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326"/>
  <workbookPr codeName="Questa_cartella_di_lavoro"/>
  <mc:AlternateContent xmlns:mc="http://schemas.openxmlformats.org/markup-compatibility/2006">
    <mc:Choice Requires="x15">
      <x15ac:absPath xmlns:x15ac="http://schemas.microsoft.com/office/spreadsheetml/2010/11/ac" url="D:\ReadyNas\Fanta\GruppoEsperti\"/>
    </mc:Choice>
  </mc:AlternateContent>
  <bookViews>
    <workbookView xWindow="0" yWindow="0" windowWidth="19200" windowHeight="11370" tabRatio="812" xr2:uid="{00000000-000D-0000-FFFF-FFFF00000000}"/>
  </bookViews>
  <sheets>
    <sheet name="Istruzioni" sheetId="1" r:id="rId1"/>
    <sheet name="Asta" sheetId="30" r:id="rId2"/>
    <sheet name="Rose" sheetId="4" r:id="rId3"/>
    <sheet name="Rose+Contratto" sheetId="33" r:id="rId4"/>
    <sheet name="Griglia per Ruolo" sheetId="3" r:id="rId5"/>
    <sheet name="Mia rosa + Org. Finanza" sheetId="6" r:id="rId6"/>
    <sheet name="Fasce" sheetId="34" r:id="rId7"/>
    <sheet name="I.A. + Fasce" sheetId="7" r:id="rId8"/>
    <sheet name="Griglia Portieri" sheetId="8" r:id="rId9"/>
    <sheet name="Griglia Difensori" sheetId="9" r:id="rId10"/>
    <sheet name="Formazioni Titolari GE" sheetId="10" r:id="rId11"/>
    <sheet name="Algoritmo by evilzzx" sheetId="11" r:id="rId12"/>
    <sheet name="Pesi" sheetId="12" r:id="rId13"/>
    <sheet name="Portieri" sheetId="13" r:id="rId14"/>
    <sheet name="Difensori" sheetId="14" r:id="rId15"/>
    <sheet name="Centrocampisti" sheetId="15" r:id="rId16"/>
    <sheet name="Attaccanti" sheetId="16" r:id="rId17"/>
    <sheet name="Tutti" sheetId="17" r:id="rId18"/>
    <sheet name="Squadre" sheetId="18" r:id="rId19"/>
    <sheet name="Fattore Casa" sheetId="19" r:id="rId20"/>
    <sheet name="Allenatore" sheetId="20" r:id="rId21"/>
    <sheet name="Copyright" sheetId="21" r:id="rId22"/>
    <sheet name="IA FG" sheetId="28" r:id="rId23"/>
    <sheet name="C.P." sheetId="31" r:id="rId24"/>
    <sheet name="Raccolta Aste" sheetId="35" r:id="rId25"/>
    <sheet name="Giocatori" sheetId="29" r:id="rId26"/>
    <sheet name="Giocatori FG" sheetId="23" r:id="rId27"/>
    <sheet name="Giocatori FG ALTERNATIVA" sheetId="32" r:id="rId28"/>
    <sheet name="Giocatori FFC" sheetId="24" r:id="rId29"/>
    <sheet name="Giocatori Gazzetta No T" sheetId="25" r:id="rId30"/>
    <sheet name="Giocatori Gazzetta Con T" sheetId="26" r:id="rId31"/>
    <sheet name="Giocatori PianetaFantacalcio TO" sheetId="27" r:id="rId32"/>
  </sheets>
  <definedNames>
    <definedName name="_xlnm._FilterDatabase" localSheetId="1" hidden="1">Asta!$B$19:$H$720</definedName>
    <definedName name="_xlnm._FilterDatabase" localSheetId="16" hidden="1">Attaccanti!$B$1:$Q$460</definedName>
    <definedName name="_xlnm._FilterDatabase" localSheetId="15" hidden="1">Centrocampisti!$B$1:$T$1</definedName>
    <definedName name="_xlnm._FilterDatabase" localSheetId="14" hidden="1">Difensori!$A$1:$U$184</definedName>
    <definedName name="_xlnm._FilterDatabase" localSheetId="25" hidden="1">Giocatori!$D$8:$F$570</definedName>
    <definedName name="_xlnm._FilterDatabase" localSheetId="26" hidden="1">'Giocatori FG'!$A$7:$C$541</definedName>
    <definedName name="_xlnm._FilterDatabase" localSheetId="27" hidden="1">'Giocatori FG ALTERNATIVA'!$A$7:$C$541</definedName>
    <definedName name="_xlnm._FilterDatabase" localSheetId="29" hidden="1">'Giocatori Gazzetta No T'!$A$1:$I$573</definedName>
    <definedName name="_xlnm._FilterDatabase" localSheetId="22" hidden="1">'IA FG'!$A$1:$G$563</definedName>
    <definedName name="_xlnm._FilterDatabase" localSheetId="13" hidden="1">Portieri!$B$1:$T$1</definedName>
    <definedName name="_xlnm._FilterDatabase" localSheetId="17" hidden="1">Tutti!$A$1:$L$65</definedName>
    <definedName name="ListaA" localSheetId="3">OFFSET('Rose+Contratto'!#REF!,0,0,219-COUNTBLANK('Rose+Contratto'!#REF!),1)</definedName>
    <definedName name="ListaA">OFFSET(Rose!$AT$2,0,0,219-COUNTBLANK(Rose!$AT$2:$AT$219),1)</definedName>
    <definedName name="ListaA1" localSheetId="3">OFFSET('Rose+Contratto'!#REF!,0,0,COUNTIF('Rose+Contratto'!#REF!,"&lt;&gt;0"),1)</definedName>
    <definedName name="ListaA1">OFFSET(Rose!$BL$2,0,0,COUNTIF(Rose!$BL$2:$BL$219,"&lt;&gt;0"),1)</definedName>
    <definedName name="ListaAsta">OFFSET(Asta!$Q$20,0,0,700-COUNTBLANK(Asta!$Q$20:$Q$719),1)</definedName>
    <definedName name="ListaC" localSheetId="3">OFFSET('Rose+Contratto'!#REF!,0,0,219-COUNTBLANK('Rose+Contratto'!#REF!),1)</definedName>
    <definedName name="ListaC">OFFSET(Rose!$AR$2,0,0,219-COUNTBLANK(Rose!$AR$2:$AR$219),1)</definedName>
    <definedName name="ListaC1" localSheetId="3">OFFSET('Rose+Contratto'!#REF!,0,0,COUNTIF('Rose+Contratto'!#REF!,"&lt;&gt;0"),1)</definedName>
    <definedName name="ListaC1">OFFSET(Rose!$BH$2,0,0,COUNTIF(Rose!$BH$2:$BH$219,"&lt;&gt;0"),1)</definedName>
    <definedName name="ListaD" localSheetId="3">OFFSET('Rose+Contratto'!#REF!,0,0,219-COUNTBLANK('Rose+Contratto'!#REF!),1)</definedName>
    <definedName name="ListaD">OFFSET(Rose!$AP$2,0,0,219-COUNTBLANK(Rose!$AP$2:$AP$219),1)</definedName>
    <definedName name="ListaD1" localSheetId="3">OFFSET('Rose+Contratto'!#REF!,0,0,COUNTIF('Rose+Contratto'!#REF!,"&lt;&gt;0"),1)</definedName>
    <definedName name="ListaD1">OFFSET(Rose!$BD$2,0,0,COUNTIF(Rose!$BD$2:$BD$219,"&lt;&gt;0"),1)</definedName>
    <definedName name="ListaP" localSheetId="3">OFFSET('Rose+Contratto'!#REF!,0,0,219-COUNTBLANK('Rose+Contratto'!#REF!),1)</definedName>
    <definedName name="ListaP">OFFSET(Rose!$AN$2,0,0,219-COUNTBLANK(Rose!$AN$2:$AN$219),1)</definedName>
    <definedName name="ListaP1" localSheetId="3">OFFSET('Rose+Contratto'!#REF!,0,0,COUNTIF('Rose+Contratto'!#REF!,"&lt;&gt;0"),1)</definedName>
    <definedName name="ListaP1">OFFSET(Rose!$AZ$2,0,0,COUNTIF(Rose!$AZ$2:$AZ$219,"&lt;&gt;0"),1)</definedName>
    <definedName name="ListaSquadre">OFFSET(Asta!$S$5:$S$16,0,0,12-COUNTBLANK(Asta!$S$5:$S$16),1)</definedName>
    <definedName name="ListaT" localSheetId="3">OFFSET('Rose+Contratto'!#REF!,0,0,219-COUNTBLANK('Rose+Contratto'!#REF!),1)</definedName>
    <definedName name="ListaT">OFFSET(Rose!$AV$2,0,0,219-COUNTBLANK(Rose!$AV$2:$AV$219),1)</definedName>
    <definedName name="ListaT1" localSheetId="3">OFFSET('Rose+Contratto'!#REF!,0,0,COUNTIF('Rose+Contratto'!#REF!,"&lt;&gt;0"),1)</definedName>
    <definedName name="ListaT1">OFFSET(Rose!$BP$2,0,0,COUNTIF(Rose!$BP$2:$BP$219,"&lt;&gt;0"),1)</definedName>
    <definedName name="Sq10Att">'Formazioni Titolari GE'!$AM$36:$AM$41</definedName>
    <definedName name="Sq10Cen">'Formazioni Titolari GE'!$AM$22:$AM$33</definedName>
    <definedName name="Sq10Dif">'Formazioni Titolari GE'!$AM$8:$AM$19</definedName>
    <definedName name="Sq10Por">'Formazioni Titolari GE'!$AM$3:$AM$5</definedName>
    <definedName name="Sq10Tratt">OFFSET(Asta!$AV$20:$AV$51,0,0,32-COUNTBLANK(Asta!$AV$20:$AV$51),1)</definedName>
    <definedName name="Sq11Att">'Formazioni Titolari GE'!$AN$36:$AN$41</definedName>
    <definedName name="Sq11Cen">'Formazioni Titolari GE'!$AN$22:$AN$33</definedName>
    <definedName name="Sq11Dif">'Formazioni Titolari GE'!$AN$8:$AN$19</definedName>
    <definedName name="Sq11Por">'Formazioni Titolari GE'!$AN$3:$AN$5</definedName>
    <definedName name="Sq11Tratt">OFFSET(Asta!$AW$20:$AW$51,0,0,32-COUNTBLANK(Asta!$AW$20:$AW$51),1)</definedName>
    <definedName name="Sq12Att">'Formazioni Titolari GE'!$AO$36:$AO$41</definedName>
    <definedName name="Sq12Cen">'Formazioni Titolari GE'!$AO$22:$AO$33</definedName>
    <definedName name="Sq12Dif">'Formazioni Titolari GE'!$AO$8:$AO$19</definedName>
    <definedName name="Sq12Por">'Formazioni Titolari GE'!$AO$3:$AO$5</definedName>
    <definedName name="Sq12Tratt">OFFSET(Asta!$AX$20:$AX$51,0,0,32-COUNTBLANK(Asta!$AX$20:$AX$51),1)</definedName>
    <definedName name="Sq13Att">'Formazioni Titolari GE'!$AP$36:$AP$41</definedName>
    <definedName name="Sq13Cen">'Formazioni Titolari GE'!$AP$22:$AP$33</definedName>
    <definedName name="Sq13Dif">'Formazioni Titolari GE'!$AP$8:$AP$19</definedName>
    <definedName name="Sq13Por">'Formazioni Titolari GE'!$AP$3:$AP$5</definedName>
    <definedName name="Sq14Att">'Formazioni Titolari GE'!$AQ$36:$AQ$41</definedName>
    <definedName name="Sq14Cen">'Formazioni Titolari GE'!$AQ$22:$AQ$33</definedName>
    <definedName name="Sq14Dif">'Formazioni Titolari GE'!$AQ$8:$AQ$19</definedName>
    <definedName name="Sq14Por">'Formazioni Titolari GE'!$AQ$3:$AQ$5</definedName>
    <definedName name="Sq15Att">'Formazioni Titolari GE'!$AR$36:$AR$41</definedName>
    <definedName name="Sq15Cen">'Formazioni Titolari GE'!$AR$22:$AR$33</definedName>
    <definedName name="Sq15Dif">'Formazioni Titolari GE'!$AR$8:$AR$19</definedName>
    <definedName name="Sq15Por">'Formazioni Titolari GE'!$AR$3:$AR$5</definedName>
    <definedName name="Sq16Att">'Formazioni Titolari GE'!$AS$36:$AS$41</definedName>
    <definedName name="Sq16Cen">'Formazioni Titolari GE'!$AS$22:$AS$33</definedName>
    <definedName name="Sq16Dif">'Formazioni Titolari GE'!$AS$8:$AS$19</definedName>
    <definedName name="Sq16Por">'Formazioni Titolari GE'!$AS$3:$AS$5</definedName>
    <definedName name="Sq17Att">'Formazioni Titolari GE'!$AT$36:$AT$41</definedName>
    <definedName name="Sq17Cen">'Formazioni Titolari GE'!$AT$22:$AT$33</definedName>
    <definedName name="Sq17Dif">'Formazioni Titolari GE'!$AT$8:$AT$19</definedName>
    <definedName name="Sq17Por">'Formazioni Titolari GE'!$AT$3:$AT$5</definedName>
    <definedName name="Sq18Att">'Formazioni Titolari GE'!$AU$36:$AU$41</definedName>
    <definedName name="Sq18Cen">'Formazioni Titolari GE'!$AU$22:$AU$33</definedName>
    <definedName name="Sq18Dif">'Formazioni Titolari GE'!$AU$8:$AU$19</definedName>
    <definedName name="Sq18Por">'Formazioni Titolari GE'!$AU$3:$AU$5</definedName>
    <definedName name="Sq19Att">'Formazioni Titolari GE'!$AV$36:$AV$41</definedName>
    <definedName name="Sq19Cen">'Formazioni Titolari GE'!$AV$22:$AV$33</definedName>
    <definedName name="Sq19Dif">'Formazioni Titolari GE'!$AV$8:$AV$19</definedName>
    <definedName name="Sq19Por">'Formazioni Titolari GE'!$AV$3:$AV$5</definedName>
    <definedName name="Sq1Att">'Formazioni Titolari GE'!$AD$36:$AD$41</definedName>
    <definedName name="Sq1Cen">'Formazioni Titolari GE'!$AD$22:$AD$33</definedName>
    <definedName name="Sq1Dif">'Formazioni Titolari GE'!$AD$8:$AD$19</definedName>
    <definedName name="Sq1Por">'Formazioni Titolari GE'!$AD$3:$AD$5</definedName>
    <definedName name="Sq1Tratt">OFFSET(Asta!$AM$20:$AM$51,0,0,32-COUNTBLANK(Asta!$AM$20:$AM$51),1)</definedName>
    <definedName name="Sq20Att">'Formazioni Titolari GE'!$AW$36:$AW$41</definedName>
    <definedName name="Sq20Cen">'Formazioni Titolari GE'!$AW$22:$AW$33</definedName>
    <definedName name="Sq20Dif">'Formazioni Titolari GE'!$AW$8:$AW$19</definedName>
    <definedName name="Sq20Por">'Formazioni Titolari GE'!$AW$3:$AW$5</definedName>
    <definedName name="Sq21Att">'Formazioni Titolari GE'!$AX$36:$AX$41</definedName>
    <definedName name="Sq21Cen">'Formazioni Titolari GE'!$AX$22:$AX$33</definedName>
    <definedName name="Sq21Dif">'Formazioni Titolari GE'!$AX$8:$AX$19</definedName>
    <definedName name="Sq21Por">'Formazioni Titolari GE'!$AX$3:$AX$5</definedName>
    <definedName name="Sq22Att">'Formazioni Titolari GE'!$AY$36:$AY$41</definedName>
    <definedName name="Sq22Cen">'Formazioni Titolari GE'!$AY$22:$AY$33</definedName>
    <definedName name="Sq22Dif">'Formazioni Titolari GE'!$AY$8:$AY$19</definedName>
    <definedName name="Sq22Por">'Formazioni Titolari GE'!$AY$3:$AY$5</definedName>
    <definedName name="Sq23Att">'Formazioni Titolari GE'!$AZ$36:$AZ$41</definedName>
    <definedName name="Sq23Cen">'Formazioni Titolari GE'!$AZ$22:$AZ$33</definedName>
    <definedName name="Sq23Dif">'Formazioni Titolari GE'!$AZ$8:$AZ$19</definedName>
    <definedName name="Sq23Por">'Formazioni Titolari GE'!$AZ$3:$AZ$5</definedName>
    <definedName name="Sq24Att">'Formazioni Titolari GE'!$BA$36:$BA$41</definedName>
    <definedName name="Sq24Cen">'Formazioni Titolari GE'!$BA$22:$BA$33</definedName>
    <definedName name="Sq24Dif">'Formazioni Titolari GE'!$BA$8:$BA$19</definedName>
    <definedName name="Sq24Por">'Formazioni Titolari GE'!$BA$3:$BA$5</definedName>
    <definedName name="Sq2Att">'Formazioni Titolari GE'!$AE$36:$AE$41</definedName>
    <definedName name="Sq2Cen">'Formazioni Titolari GE'!$AE$22:$AE$33</definedName>
    <definedName name="Sq2Dif">'Formazioni Titolari GE'!$AE$8:$AE$19</definedName>
    <definedName name="Sq2Por">'Formazioni Titolari GE'!$AE$3:$AE$5</definedName>
    <definedName name="Sq2Tratt">OFFSET(Asta!$AN$20:$AN$51,0,0,32-COUNTBLANK(Asta!$AN$20:$AN$51),1)</definedName>
    <definedName name="Sq3Att">'Formazioni Titolari GE'!$AF$36:$AF$41</definedName>
    <definedName name="Sq3Cen">'Formazioni Titolari GE'!$AF$22:$AF$33</definedName>
    <definedName name="Sq3Dif">'Formazioni Titolari GE'!$AF$8:$AF$19</definedName>
    <definedName name="Sq3Por">'Formazioni Titolari GE'!$AF$3:$AF$5</definedName>
    <definedName name="Sq3Tratt">OFFSET(Asta!$AO$20:$AO$51,0,0,32-COUNTBLANK(Asta!$AO$20:$AO$51),1)</definedName>
    <definedName name="Sq4Att">'Formazioni Titolari GE'!$AG$36:$AG$41</definedName>
    <definedName name="Sq4Cen">'Formazioni Titolari GE'!$AG$22:$AG$33</definedName>
    <definedName name="Sq4Dif">'Formazioni Titolari GE'!$AG$8:$AG$19</definedName>
    <definedName name="Sq4Por">'Formazioni Titolari GE'!$AG$3:$AG$5</definedName>
    <definedName name="Sq4Tratt">OFFSET(Asta!$AP$20:$AP$51,0,0,32-COUNTBLANK(Asta!$AP$20:$AP$51),1)</definedName>
    <definedName name="Sq5Att">'Formazioni Titolari GE'!$AH$36:$AH$41</definedName>
    <definedName name="Sq5Cen">'Formazioni Titolari GE'!$AH$22:$AH$33</definedName>
    <definedName name="Sq5Dif">'Formazioni Titolari GE'!$AH$8:$AH$19</definedName>
    <definedName name="Sq5Por">'Formazioni Titolari GE'!$AH$3:$AH$5</definedName>
    <definedName name="Sq5Tratt">OFFSET(Asta!$AQ$20:$AQ$51,0,0,32-COUNTBLANK(Asta!$AQ$20:$AQ$51),1)</definedName>
    <definedName name="Sq6Att">'Formazioni Titolari GE'!$AI$36:$AI$41</definedName>
    <definedName name="Sq6Cen">'Formazioni Titolari GE'!$AI$22:$AI$33</definedName>
    <definedName name="Sq6Dif">'Formazioni Titolari GE'!$AI$8:$AI$19</definedName>
    <definedName name="Sq6Por">'Formazioni Titolari GE'!$AI$3:$AI$5</definedName>
    <definedName name="Sq6Tratt">OFFSET(Asta!$AR$20:$AR$51,0,0,32-COUNTBLANK(Asta!$AR$20:$AR$51),1)</definedName>
    <definedName name="Sq7Att">'Formazioni Titolari GE'!$AJ$36:$AJ$41</definedName>
    <definedName name="Sq7Cen">'Formazioni Titolari GE'!$AJ$22:$AJ$33</definedName>
    <definedName name="Sq7Dif">'Formazioni Titolari GE'!$AJ$8:$AJ$19</definedName>
    <definedName name="Sq7Por">'Formazioni Titolari GE'!$AJ$3:$AJ$5</definedName>
    <definedName name="Sq7Tratt">OFFSET(Asta!$AS$20:$AS$51,0,0,32-COUNTBLANK(Asta!$AS$20:$AS$51),1)</definedName>
    <definedName name="Sq8Att">'Formazioni Titolari GE'!$AK$36:$AK$41</definedName>
    <definedName name="Sq8Cen">'Formazioni Titolari GE'!$AK$22:$AK$33</definedName>
    <definedName name="Sq8Dif">'Formazioni Titolari GE'!$AK$8:$AK$19</definedName>
    <definedName name="Sq8Por">'Formazioni Titolari GE'!$AK$3:$AK$5</definedName>
    <definedName name="Sq8Tratt">OFFSET(Asta!$AT$20:$AT$51,0,0,32-COUNTBLANK(Asta!$AT$20:$AT$51),1)</definedName>
    <definedName name="Sq9Att">'Formazioni Titolari GE'!$AL$36:$AL$41</definedName>
    <definedName name="Sq9Cen">'Formazioni Titolari GE'!$AL$22:$AL$33</definedName>
    <definedName name="Sq9Dif">'Formazioni Titolari GE'!$AL$8:$AL$19</definedName>
    <definedName name="Sq9Por">'Formazioni Titolari GE'!$AL$3:$AL$5</definedName>
    <definedName name="Sq9Tratt">OFFSET(Asta!$AU$20:$AU$51,0,0,32-COUNTBLANK(Asta!$AU$20:$AU$51),1)</definedName>
    <definedName name="SQUADRA">'Griglia per Ruolo'!$B$3:$B$209</definedName>
    <definedName name="TabAlgAll">Allenatore!$A$1:$Z$21</definedName>
    <definedName name="TabAlgAtt">Attaccanti!$B$1:$Q$146</definedName>
    <definedName name="TabAlgCen">Centrocampisti!$B$1:$T$199</definedName>
    <definedName name="TabAlgDif">Difensori!$B$1:$T$198</definedName>
    <definedName name="TabAlgFC">'Fattore Casa'!$A$1:$AD$21</definedName>
    <definedName name="TabAlgPor">Portieri!$B$1:$T$63</definedName>
    <definedName name="TabAlgSqu">Squadre!$A$1:$AA$21</definedName>
    <definedName name="TabAlgTutti">Tutti!$B$2:$L$600</definedName>
  </definedNames>
  <calcPr calcId="171027"/>
  <fileRecoveryPr autoRecover="0"/>
</workbook>
</file>

<file path=xl/calcChain.xml><?xml version="1.0" encoding="utf-8"?>
<calcChain xmlns="http://schemas.openxmlformats.org/spreadsheetml/2006/main">
  <c r="I37" i="34" l="1"/>
  <c r="J37" i="34"/>
  <c r="K37" i="34"/>
  <c r="L37" i="34"/>
  <c r="I38" i="34"/>
  <c r="J38" i="34"/>
  <c r="K38" i="34"/>
  <c r="L38" i="34"/>
  <c r="I39" i="34"/>
  <c r="J39" i="34"/>
  <c r="K39" i="34"/>
  <c r="L39" i="34"/>
  <c r="I40" i="34"/>
  <c r="J40" i="34"/>
  <c r="K40" i="34"/>
  <c r="L40" i="34"/>
  <c r="I41" i="34"/>
  <c r="J41" i="34"/>
  <c r="K41" i="34"/>
  <c r="L41" i="34"/>
  <c r="I42" i="34"/>
  <c r="J42" i="34"/>
  <c r="K42" i="34"/>
  <c r="L42" i="34"/>
  <c r="I43" i="34"/>
  <c r="J43" i="34"/>
  <c r="K43" i="34"/>
  <c r="L43" i="34"/>
  <c r="I36" i="34"/>
  <c r="J36" i="34"/>
  <c r="K36" i="34"/>
  <c r="L36" i="34"/>
  <c r="I24" i="34"/>
  <c r="J24" i="34"/>
  <c r="K24" i="34"/>
  <c r="L24" i="34"/>
  <c r="I25" i="34"/>
  <c r="J25" i="34"/>
  <c r="K25" i="34"/>
  <c r="L25" i="34"/>
  <c r="I26" i="34"/>
  <c r="J26" i="34"/>
  <c r="K26" i="34"/>
  <c r="L26" i="34"/>
  <c r="I27" i="34"/>
  <c r="J27" i="34"/>
  <c r="K27" i="34"/>
  <c r="L27" i="34"/>
  <c r="I28" i="34"/>
  <c r="J28" i="34"/>
  <c r="K28" i="34"/>
  <c r="L28" i="34"/>
  <c r="I29" i="34"/>
  <c r="J29" i="34"/>
  <c r="K29" i="34"/>
  <c r="L29" i="34"/>
  <c r="I30" i="34"/>
  <c r="J30" i="34"/>
  <c r="K30" i="34"/>
  <c r="L30" i="34"/>
  <c r="I31" i="34"/>
  <c r="J31" i="34"/>
  <c r="K31" i="34"/>
  <c r="L31" i="34"/>
  <c r="I32" i="34"/>
  <c r="J32" i="34"/>
  <c r="K32" i="34"/>
  <c r="L32" i="34"/>
  <c r="I23" i="34"/>
  <c r="J23" i="34"/>
  <c r="K23" i="34"/>
  <c r="L23" i="34"/>
  <c r="I11" i="34"/>
  <c r="J11" i="34"/>
  <c r="K11" i="34"/>
  <c r="L11" i="34"/>
  <c r="I12" i="34"/>
  <c r="J12" i="34"/>
  <c r="K12" i="34"/>
  <c r="L12" i="34"/>
  <c r="I13" i="34"/>
  <c r="J13" i="34"/>
  <c r="K13" i="34"/>
  <c r="L13" i="34"/>
  <c r="I14" i="34"/>
  <c r="J14" i="34"/>
  <c r="K14" i="34"/>
  <c r="L14" i="34"/>
  <c r="I15" i="34"/>
  <c r="J15" i="34"/>
  <c r="K15" i="34"/>
  <c r="L15" i="34"/>
  <c r="I16" i="34"/>
  <c r="J16" i="34"/>
  <c r="K16" i="34"/>
  <c r="L16" i="34"/>
  <c r="I17" i="34"/>
  <c r="J17" i="34"/>
  <c r="K17" i="34"/>
  <c r="L17" i="34"/>
  <c r="I18" i="34"/>
  <c r="J18" i="34"/>
  <c r="K18" i="34"/>
  <c r="L18" i="34"/>
  <c r="I19" i="34"/>
  <c r="J19" i="34"/>
  <c r="K19" i="34"/>
  <c r="L19" i="34"/>
  <c r="I10" i="34"/>
  <c r="J10" i="34"/>
  <c r="K10" i="34"/>
  <c r="L10" i="34"/>
  <c r="I5" i="34"/>
  <c r="J5" i="34"/>
  <c r="K5" i="34"/>
  <c r="L5" i="34"/>
  <c r="I6" i="34"/>
  <c r="J6" i="34"/>
  <c r="K6" i="34"/>
  <c r="L6" i="34"/>
  <c r="I4" i="34"/>
  <c r="J4" i="34"/>
  <c r="K4" i="34"/>
  <c r="L4" i="34"/>
  <c r="U37" i="6"/>
  <c r="V37" i="6"/>
  <c r="W37" i="6"/>
  <c r="X37" i="6"/>
  <c r="U38" i="6"/>
  <c r="V38" i="6"/>
  <c r="W38" i="6"/>
  <c r="X38" i="6"/>
  <c r="U39" i="6"/>
  <c r="V39" i="6"/>
  <c r="W39" i="6"/>
  <c r="X39" i="6"/>
  <c r="U40" i="6"/>
  <c r="V40" i="6"/>
  <c r="W40" i="6"/>
  <c r="X40" i="6"/>
  <c r="U41" i="6"/>
  <c r="V41" i="6"/>
  <c r="W41" i="6"/>
  <c r="X41" i="6"/>
  <c r="U42" i="6"/>
  <c r="V42" i="6"/>
  <c r="W42" i="6"/>
  <c r="X42" i="6"/>
  <c r="U43" i="6"/>
  <c r="V43" i="6"/>
  <c r="W43" i="6"/>
  <c r="X43" i="6"/>
  <c r="U36" i="6"/>
  <c r="V36" i="6"/>
  <c r="W36" i="6"/>
  <c r="X36" i="6"/>
  <c r="U24" i="6"/>
  <c r="V24" i="6"/>
  <c r="W24" i="6"/>
  <c r="X24" i="6"/>
  <c r="U25" i="6"/>
  <c r="V25" i="6"/>
  <c r="W25" i="6"/>
  <c r="X25" i="6"/>
  <c r="U26" i="6"/>
  <c r="V26" i="6"/>
  <c r="W26" i="6"/>
  <c r="X26" i="6"/>
  <c r="U27" i="6"/>
  <c r="V27" i="6"/>
  <c r="W27" i="6"/>
  <c r="X27" i="6"/>
  <c r="U28" i="6"/>
  <c r="V28" i="6"/>
  <c r="W28" i="6"/>
  <c r="X28" i="6"/>
  <c r="U29" i="6"/>
  <c r="V29" i="6"/>
  <c r="W29" i="6"/>
  <c r="X29" i="6"/>
  <c r="U30" i="6"/>
  <c r="V30" i="6"/>
  <c r="W30" i="6"/>
  <c r="X30" i="6"/>
  <c r="U31" i="6"/>
  <c r="V31" i="6"/>
  <c r="W31" i="6"/>
  <c r="X31" i="6"/>
  <c r="U32" i="6"/>
  <c r="V32" i="6"/>
  <c r="W32" i="6"/>
  <c r="X32" i="6"/>
  <c r="U23" i="6"/>
  <c r="V23" i="6"/>
  <c r="W23" i="6"/>
  <c r="X23" i="6"/>
  <c r="U11" i="6"/>
  <c r="V11" i="6"/>
  <c r="W11" i="6"/>
  <c r="X11" i="6"/>
  <c r="U12" i="6"/>
  <c r="V12" i="6"/>
  <c r="W12" i="6"/>
  <c r="X12" i="6"/>
  <c r="U13" i="6"/>
  <c r="V13" i="6"/>
  <c r="W13" i="6"/>
  <c r="X13" i="6"/>
  <c r="U14" i="6"/>
  <c r="V14" i="6"/>
  <c r="W14" i="6"/>
  <c r="X14" i="6"/>
  <c r="U15" i="6"/>
  <c r="V15" i="6"/>
  <c r="W15" i="6"/>
  <c r="X15" i="6"/>
  <c r="U16" i="6"/>
  <c r="V16" i="6"/>
  <c r="W16" i="6"/>
  <c r="X16" i="6"/>
  <c r="U17" i="6"/>
  <c r="V17" i="6"/>
  <c r="W17" i="6"/>
  <c r="X17" i="6"/>
  <c r="U18" i="6"/>
  <c r="V18" i="6"/>
  <c r="W18" i="6"/>
  <c r="X18" i="6"/>
  <c r="U19" i="6"/>
  <c r="V19" i="6"/>
  <c r="W19" i="6"/>
  <c r="X19" i="6"/>
  <c r="U10" i="6"/>
  <c r="V10" i="6"/>
  <c r="W10" i="6"/>
  <c r="X10" i="6"/>
  <c r="U5" i="6"/>
  <c r="V5" i="6"/>
  <c r="W5" i="6"/>
  <c r="X5" i="6"/>
  <c r="U6" i="6"/>
  <c r="V6" i="6"/>
  <c r="W6" i="6"/>
  <c r="X6" i="6"/>
  <c r="U4" i="6"/>
  <c r="V4" i="6"/>
  <c r="W4" i="6"/>
  <c r="X4" i="6"/>
  <c r="G562" i="28" l="1"/>
  <c r="C594" i="17" l="1"/>
  <c r="C595" i="17"/>
  <c r="C596" i="17"/>
  <c r="C597" i="17"/>
  <c r="C598" i="17"/>
  <c r="C599" i="17"/>
  <c r="C600" i="17"/>
  <c r="B487" i="17"/>
  <c r="B488" i="17"/>
  <c r="B489" i="17"/>
  <c r="B490" i="17"/>
  <c r="B491" i="17"/>
  <c r="B492" i="17"/>
  <c r="B493" i="17"/>
  <c r="B494" i="17"/>
  <c r="B495" i="17"/>
  <c r="B496" i="17"/>
  <c r="B497" i="17"/>
  <c r="B498" i="17"/>
  <c r="B499" i="17"/>
  <c r="B500" i="17"/>
  <c r="B501" i="17"/>
  <c r="B502" i="17"/>
  <c r="B503" i="17"/>
  <c r="B504" i="17"/>
  <c r="B505" i="17"/>
  <c r="B506" i="17"/>
  <c r="B507" i="17"/>
  <c r="B508" i="17"/>
  <c r="B509" i="17"/>
  <c r="B510" i="17"/>
  <c r="B511" i="17"/>
  <c r="B512" i="17"/>
  <c r="B513" i="17"/>
  <c r="B514" i="17"/>
  <c r="B515" i="17"/>
  <c r="B516" i="17"/>
  <c r="B517" i="17"/>
  <c r="B518" i="17"/>
  <c r="B519" i="17"/>
  <c r="B520" i="17"/>
  <c r="B521" i="17"/>
  <c r="B522" i="17"/>
  <c r="B523" i="17"/>
  <c r="B524" i="17"/>
  <c r="B525" i="17"/>
  <c r="B526" i="17"/>
  <c r="B527" i="17"/>
  <c r="B528" i="17"/>
  <c r="B529" i="17"/>
  <c r="B530" i="17"/>
  <c r="B531" i="17"/>
  <c r="B532" i="17"/>
  <c r="B533" i="17"/>
  <c r="B534" i="17"/>
  <c r="B535" i="17"/>
  <c r="B536" i="17"/>
  <c r="B537" i="17"/>
  <c r="B538" i="17"/>
  <c r="B539" i="17"/>
  <c r="B540" i="17"/>
  <c r="B541" i="17"/>
  <c r="B542" i="17"/>
  <c r="B543" i="17"/>
  <c r="B544" i="17"/>
  <c r="B545" i="17"/>
  <c r="B546" i="17"/>
  <c r="B547" i="17"/>
  <c r="B548" i="17"/>
  <c r="B549" i="17"/>
  <c r="B550" i="17"/>
  <c r="B551" i="17"/>
  <c r="B552" i="17"/>
  <c r="B553" i="17"/>
  <c r="B554" i="17"/>
  <c r="B555" i="17"/>
  <c r="B556" i="17"/>
  <c r="B557" i="17"/>
  <c r="B558" i="17"/>
  <c r="B559" i="17"/>
  <c r="B560" i="17"/>
  <c r="B561" i="17"/>
  <c r="B562" i="17"/>
  <c r="B563" i="17"/>
  <c r="B564" i="17"/>
  <c r="B565" i="17"/>
  <c r="B566" i="17"/>
  <c r="B567" i="17"/>
  <c r="B568" i="17"/>
  <c r="B569" i="17"/>
  <c r="B570" i="17"/>
  <c r="B571" i="17"/>
  <c r="B572" i="17"/>
  <c r="B573" i="17"/>
  <c r="B574" i="17"/>
  <c r="B575" i="17"/>
  <c r="B576" i="17"/>
  <c r="B577" i="17"/>
  <c r="B578" i="17"/>
  <c r="B579" i="17"/>
  <c r="B580" i="17"/>
  <c r="B581" i="17"/>
  <c r="B582" i="17"/>
  <c r="B583" i="17"/>
  <c r="B584" i="17"/>
  <c r="B585" i="17"/>
  <c r="B586" i="17"/>
  <c r="B587" i="17"/>
  <c r="B588" i="17"/>
  <c r="B589" i="17"/>
  <c r="B590" i="17"/>
  <c r="B591" i="17"/>
  <c r="B592" i="17"/>
  <c r="B593" i="17"/>
  <c r="B594" i="17"/>
  <c r="B595" i="17"/>
  <c r="B596" i="17"/>
  <c r="B597" i="17"/>
  <c r="B598" i="17"/>
  <c r="B599" i="17"/>
  <c r="B600" i="17"/>
  <c r="C454" i="17"/>
  <c r="C455" i="17"/>
  <c r="C456" i="17"/>
  <c r="C457" i="17"/>
  <c r="C458" i="17"/>
  <c r="C459" i="17"/>
  <c r="C460" i="17"/>
  <c r="C461" i="17"/>
  <c r="C462" i="17"/>
  <c r="B276" i="17"/>
  <c r="B277" i="17"/>
  <c r="B278" i="17"/>
  <c r="B279" i="17"/>
  <c r="B280" i="17"/>
  <c r="B281" i="17"/>
  <c r="B282" i="17"/>
  <c r="B283" i="17"/>
  <c r="B284" i="17"/>
  <c r="B285" i="17"/>
  <c r="B286" i="17"/>
  <c r="B287" i="17"/>
  <c r="B288" i="17"/>
  <c r="B289" i="17"/>
  <c r="B290" i="17"/>
  <c r="B291" i="17"/>
  <c r="B292" i="17"/>
  <c r="B293" i="17"/>
  <c r="B294" i="17"/>
  <c r="B295" i="17"/>
  <c r="B296" i="17"/>
  <c r="B297" i="17"/>
  <c r="B298" i="17"/>
  <c r="B299" i="17"/>
  <c r="B300" i="17"/>
  <c r="B301" i="17"/>
  <c r="B302" i="17"/>
  <c r="B303" i="17"/>
  <c r="B304" i="17"/>
  <c r="B305" i="17"/>
  <c r="B306" i="17"/>
  <c r="B307" i="17"/>
  <c r="B308" i="17"/>
  <c r="B309" i="17"/>
  <c r="B310" i="17"/>
  <c r="B311" i="17"/>
  <c r="B312" i="17"/>
  <c r="B313" i="17"/>
  <c r="B314" i="17"/>
  <c r="B315" i="17"/>
  <c r="B316" i="17"/>
  <c r="B317" i="17"/>
  <c r="B318" i="17"/>
  <c r="B319" i="17"/>
  <c r="B320" i="17"/>
  <c r="B321" i="17"/>
  <c r="B322" i="17"/>
  <c r="B323" i="17"/>
  <c r="B324" i="17"/>
  <c r="B325" i="17"/>
  <c r="B326" i="17"/>
  <c r="B327" i="17"/>
  <c r="B328" i="17"/>
  <c r="B329" i="17"/>
  <c r="B330" i="17"/>
  <c r="B331" i="17"/>
  <c r="B332" i="17"/>
  <c r="B333" i="17"/>
  <c r="B334" i="17"/>
  <c r="B335" i="17"/>
  <c r="B336" i="17"/>
  <c r="B337" i="17"/>
  <c r="B338" i="17"/>
  <c r="B339" i="17"/>
  <c r="B340" i="17"/>
  <c r="B341" i="17"/>
  <c r="B342" i="17"/>
  <c r="B343" i="17"/>
  <c r="B344" i="17"/>
  <c r="B345" i="17"/>
  <c r="B346" i="17"/>
  <c r="B347" i="17"/>
  <c r="B348" i="17"/>
  <c r="B349" i="17"/>
  <c r="B350" i="17"/>
  <c r="B351" i="17"/>
  <c r="B352" i="17"/>
  <c r="B353" i="17"/>
  <c r="B354" i="17"/>
  <c r="B355" i="17"/>
  <c r="B356" i="17"/>
  <c r="B357" i="17"/>
  <c r="B358" i="17"/>
  <c r="B359" i="17"/>
  <c r="B360" i="17"/>
  <c r="B361" i="17"/>
  <c r="B362" i="17"/>
  <c r="B363" i="17"/>
  <c r="B364" i="17"/>
  <c r="B365" i="17"/>
  <c r="B366" i="17"/>
  <c r="B367" i="17"/>
  <c r="B368" i="17"/>
  <c r="B369" i="17"/>
  <c r="B370" i="17"/>
  <c r="B371" i="17"/>
  <c r="B372" i="17"/>
  <c r="B373" i="17"/>
  <c r="B374" i="17"/>
  <c r="B375" i="17"/>
  <c r="B376" i="17"/>
  <c r="B377" i="17"/>
  <c r="B378" i="17"/>
  <c r="B379" i="17"/>
  <c r="B380" i="17"/>
  <c r="B381" i="17"/>
  <c r="B382" i="17"/>
  <c r="B383" i="17"/>
  <c r="B384" i="17"/>
  <c r="B385" i="17"/>
  <c r="B386" i="17"/>
  <c r="B387" i="17"/>
  <c r="B388" i="17"/>
  <c r="B389" i="17"/>
  <c r="B390" i="17"/>
  <c r="B391" i="17"/>
  <c r="B392" i="17"/>
  <c r="B393" i="17"/>
  <c r="B394" i="17"/>
  <c r="B395" i="17"/>
  <c r="B396" i="17"/>
  <c r="B397" i="17"/>
  <c r="B398" i="17"/>
  <c r="B399" i="17"/>
  <c r="B400" i="17"/>
  <c r="B401" i="17"/>
  <c r="B402" i="17"/>
  <c r="B403" i="17"/>
  <c r="B404" i="17"/>
  <c r="B405" i="17"/>
  <c r="B406" i="17"/>
  <c r="B407" i="17"/>
  <c r="B408" i="17"/>
  <c r="B409" i="17"/>
  <c r="B410" i="17"/>
  <c r="B411" i="17"/>
  <c r="B412" i="17"/>
  <c r="B413" i="17"/>
  <c r="B414" i="17"/>
  <c r="B415" i="17"/>
  <c r="B416" i="17"/>
  <c r="B417" i="17"/>
  <c r="B418" i="17"/>
  <c r="B419" i="17"/>
  <c r="B420" i="17"/>
  <c r="B421" i="17"/>
  <c r="B422" i="17"/>
  <c r="B423" i="17"/>
  <c r="B424" i="17"/>
  <c r="B425" i="17"/>
  <c r="B426" i="17"/>
  <c r="B427" i="17"/>
  <c r="B428" i="17"/>
  <c r="B429" i="17"/>
  <c r="B430" i="17"/>
  <c r="B431" i="17"/>
  <c r="B432" i="17"/>
  <c r="B433" i="17"/>
  <c r="B434" i="17"/>
  <c r="B435" i="17"/>
  <c r="B436" i="17"/>
  <c r="B437" i="17"/>
  <c r="B438" i="17"/>
  <c r="B439" i="17"/>
  <c r="B440" i="17"/>
  <c r="B441" i="17"/>
  <c r="B442" i="17"/>
  <c r="B443" i="17"/>
  <c r="B444" i="17"/>
  <c r="B445" i="17"/>
  <c r="B446" i="17"/>
  <c r="B447" i="17"/>
  <c r="B448" i="17"/>
  <c r="B449" i="17"/>
  <c r="B450" i="17"/>
  <c r="B451" i="17"/>
  <c r="B452" i="17"/>
  <c r="B453" i="17"/>
  <c r="B454" i="17"/>
  <c r="B455" i="17"/>
  <c r="B456" i="17"/>
  <c r="B457" i="17"/>
  <c r="B458" i="17"/>
  <c r="B459" i="17"/>
  <c r="B460" i="17"/>
  <c r="B461" i="17"/>
  <c r="B462" i="17"/>
  <c r="C263" i="17"/>
  <c r="C264" i="17"/>
  <c r="C265" i="17"/>
  <c r="C266" i="17"/>
  <c r="C267" i="17"/>
  <c r="C268" i="17"/>
  <c r="C269" i="17"/>
  <c r="C270" i="17"/>
  <c r="C271" i="17"/>
  <c r="C272" i="17"/>
  <c r="C273"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C101" i="16"/>
  <c r="W3" i="10" l="1"/>
  <c r="W4" i="10"/>
  <c r="W5" i="10"/>
  <c r="W6" i="10"/>
  <c r="W7"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2" i="10"/>
  <c r="G451" i="28" l="1"/>
  <c r="G499" i="28"/>
  <c r="G506" i="28"/>
  <c r="C108" i="16" s="1"/>
  <c r="G508" i="28"/>
  <c r="C79" i="16" s="1"/>
  <c r="G519" i="28"/>
  <c r="G553" i="28"/>
  <c r="G441" i="28"/>
  <c r="C179" i="15" s="1"/>
  <c r="G417" i="28"/>
  <c r="C132" i="15" s="1"/>
  <c r="G255" i="28"/>
  <c r="G242" i="28"/>
  <c r="C162" i="14" s="1"/>
  <c r="G202" i="28"/>
  <c r="C163" i="14" s="1"/>
  <c r="G174" i="28"/>
  <c r="C188" i="14" s="1"/>
  <c r="G180" i="28"/>
  <c r="G167" i="28"/>
  <c r="C15" i="14" s="1"/>
  <c r="G101" i="28"/>
  <c r="G386" i="28"/>
  <c r="C168" i="15" s="1"/>
  <c r="G179" i="28"/>
  <c r="C98" i="14" s="1"/>
  <c r="G132" i="28"/>
  <c r="C185" i="14" s="1"/>
  <c r="G254" i="28"/>
  <c r="G75" i="28"/>
  <c r="C149" i="14" s="1"/>
  <c r="G229" i="28"/>
  <c r="C150" i="14" s="1"/>
  <c r="G460" i="28"/>
  <c r="C107" i="16" s="1"/>
  <c r="G444" i="28"/>
  <c r="G557" i="28"/>
  <c r="G247" i="28"/>
  <c r="C102" i="14" s="1"/>
  <c r="G288" i="28"/>
  <c r="C96" i="15" s="1"/>
  <c r="G249" i="28"/>
  <c r="C187" i="14" s="1"/>
  <c r="G168" i="28"/>
  <c r="C170" i="14" s="1"/>
  <c r="G108" i="28"/>
  <c r="G12" i="28"/>
  <c r="G54" i="28"/>
  <c r="G37" i="28"/>
  <c r="G104" i="28"/>
  <c r="G72" i="28"/>
  <c r="C190" i="14" s="1"/>
  <c r="G117" i="28"/>
  <c r="C172" i="14" s="1"/>
  <c r="G143" i="28"/>
  <c r="C134" i="14" s="1"/>
  <c r="G93" i="28"/>
  <c r="C171" i="14" s="1"/>
  <c r="G145" i="28"/>
  <c r="C124" i="14" s="1"/>
  <c r="G111" i="28"/>
  <c r="C155" i="14" s="1"/>
  <c r="G244" i="28"/>
  <c r="C135" i="14" s="1"/>
  <c r="G165" i="28"/>
  <c r="G232" i="28"/>
  <c r="G447" i="28"/>
  <c r="G443" i="28"/>
  <c r="G435" i="28"/>
  <c r="G446" i="28"/>
  <c r="G333" i="28"/>
  <c r="C150" i="15" s="1"/>
  <c r="G290" i="28"/>
  <c r="G282" i="28"/>
  <c r="C83" i="15" s="1"/>
  <c r="G482" i="28"/>
  <c r="C106" i="16" s="1"/>
  <c r="G558" i="28"/>
  <c r="G466" i="28"/>
  <c r="G531" i="28"/>
  <c r="G28" i="28"/>
  <c r="G6" i="28"/>
  <c r="G51" i="28"/>
  <c r="G221" i="28"/>
  <c r="C92" i="14" s="1"/>
  <c r="G96" i="28"/>
  <c r="C113" i="14" s="1"/>
  <c r="G259" i="28"/>
  <c r="G70" i="28"/>
  <c r="C142" i="14" s="1"/>
  <c r="G77" i="28"/>
  <c r="G238" i="28"/>
  <c r="G211" i="28"/>
  <c r="G127" i="28"/>
  <c r="G261" i="28"/>
  <c r="G276" i="28"/>
  <c r="G364" i="28"/>
  <c r="G269" i="28"/>
  <c r="G270" i="28"/>
  <c r="G352" i="28"/>
  <c r="G347" i="28"/>
  <c r="C106" i="15" s="1"/>
  <c r="G332" i="28"/>
  <c r="C67" i="15" s="1"/>
  <c r="G355" i="28"/>
  <c r="C68" i="15" s="1"/>
  <c r="G311" i="28"/>
  <c r="C58" i="15" s="1"/>
  <c r="G510" i="28"/>
  <c r="G480" i="28"/>
  <c r="G512" i="28"/>
  <c r="G453" i="28"/>
  <c r="G505" i="28"/>
  <c r="G534" i="28"/>
  <c r="G555" i="28"/>
  <c r="G27" i="28"/>
  <c r="G35" i="28"/>
  <c r="G55" i="28"/>
  <c r="G97" i="28"/>
  <c r="C116" i="14" s="1"/>
  <c r="G205" i="28"/>
  <c r="G188" i="28"/>
  <c r="G130" i="28"/>
  <c r="G83" i="28"/>
  <c r="G263" i="28"/>
  <c r="G210" i="28"/>
  <c r="G206" i="28"/>
  <c r="G86" i="28"/>
  <c r="G344" i="28"/>
  <c r="C131" i="15" s="1"/>
  <c r="G412" i="28"/>
  <c r="C56" i="15" s="1"/>
  <c r="G398" i="28"/>
  <c r="G433" i="28"/>
  <c r="C129" i="15" s="1"/>
  <c r="G265" i="28"/>
  <c r="C70" i="15" s="1"/>
  <c r="G274" i="28"/>
  <c r="C33" i="15" s="1"/>
  <c r="G279" i="28"/>
  <c r="C46" i="15" s="1"/>
  <c r="G478" i="28"/>
  <c r="G547" i="28"/>
  <c r="G529" i="28"/>
  <c r="G514" i="28"/>
  <c r="G459" i="28"/>
  <c r="G507" i="28"/>
  <c r="C19" i="15" s="1"/>
  <c r="G491" i="28"/>
  <c r="C18" i="15" s="1"/>
  <c r="G454" i="28"/>
  <c r="G43" i="28"/>
  <c r="G24" i="28"/>
  <c r="G34" i="28"/>
  <c r="G31" i="28"/>
  <c r="G223" i="28"/>
  <c r="C184" i="14" s="1"/>
  <c r="G150" i="28"/>
  <c r="C186" i="14" s="1"/>
  <c r="G176" i="28"/>
  <c r="C183" i="14" s="1"/>
  <c r="G123" i="28"/>
  <c r="C181" i="14" s="1"/>
  <c r="G237" i="28"/>
  <c r="C179" i="14" s="1"/>
  <c r="G253" i="28"/>
  <c r="C182" i="14" s="1"/>
  <c r="G257" i="28"/>
  <c r="C175" i="14" s="1"/>
  <c r="G122" i="28"/>
  <c r="G198" i="28"/>
  <c r="C180" i="14" s="1"/>
  <c r="G212" i="28"/>
  <c r="G144" i="28"/>
  <c r="G421" i="28"/>
  <c r="G420" i="28"/>
  <c r="G413" i="28"/>
  <c r="C176" i="15" s="1"/>
  <c r="G391" i="28"/>
  <c r="G343" i="28"/>
  <c r="G371" i="28"/>
  <c r="G442" i="28"/>
  <c r="G484" i="28"/>
  <c r="G450" i="28"/>
  <c r="C73" i="16" s="1"/>
  <c r="G527" i="28"/>
  <c r="G458" i="28"/>
  <c r="G33" i="28"/>
  <c r="G50" i="28"/>
  <c r="G39" i="28"/>
  <c r="G11" i="28"/>
  <c r="Q45" i="14"/>
  <c r="Q175" i="14"/>
  <c r="Q57" i="14"/>
  <c r="Q152" i="14"/>
  <c r="P163" i="14"/>
  <c r="P68" i="14"/>
  <c r="P178" i="14"/>
  <c r="P73" i="14"/>
  <c r="P22" i="14"/>
  <c r="P45" i="14"/>
  <c r="P175" i="14"/>
  <c r="P57" i="14"/>
  <c r="P152" i="14"/>
  <c r="L600" i="17"/>
  <c r="G270" i="17"/>
  <c r="G271" i="17"/>
  <c r="F273" i="17"/>
  <c r="C134" i="15" l="1"/>
  <c r="C234" i="17"/>
  <c r="C243" i="17"/>
  <c r="C244" i="17"/>
  <c r="C591" i="17"/>
  <c r="C252" i="17"/>
  <c r="C251" i="17"/>
  <c r="C185" i="17"/>
  <c r="C177" i="15"/>
  <c r="C178" i="15"/>
  <c r="C451" i="17" s="1"/>
  <c r="C95" i="16"/>
  <c r="C592" i="17" s="1"/>
  <c r="C256" i="17"/>
  <c r="C144" i="15"/>
  <c r="C136" i="15"/>
  <c r="C160" i="15"/>
  <c r="C161" i="15"/>
  <c r="C45" i="16"/>
  <c r="C253" i="17"/>
  <c r="M185" i="14"/>
  <c r="J185" i="14"/>
  <c r="C254" i="17"/>
  <c r="C255" i="17"/>
  <c r="C260" i="17"/>
  <c r="C166" i="15"/>
  <c r="C102" i="16"/>
  <c r="C47" i="16"/>
  <c r="C35" i="16"/>
  <c r="C590" i="17" s="1"/>
  <c r="C103" i="15"/>
  <c r="C379" i="17" s="1"/>
  <c r="C257" i="17"/>
  <c r="C152" i="14"/>
  <c r="C138" i="14"/>
  <c r="I273" i="17"/>
  <c r="H273" i="17"/>
  <c r="F599" i="17"/>
  <c r="G599" i="17"/>
  <c r="G272" i="17"/>
  <c r="F600" i="17"/>
  <c r="D600" i="17"/>
  <c r="H600" i="17"/>
  <c r="I600" i="17"/>
  <c r="I599" i="17"/>
  <c r="I270" i="17"/>
  <c r="G273" i="17"/>
  <c r="K600" i="17"/>
  <c r="G600" i="17"/>
  <c r="J600" i="17"/>
  <c r="I271" i="17"/>
  <c r="I272" i="17"/>
  <c r="C450" i="17" l="1"/>
  <c r="C449" i="17"/>
  <c r="C224" i="17"/>
  <c r="C262" i="17"/>
  <c r="J177" i="15"/>
  <c r="M177" i="15"/>
  <c r="N3" i="16"/>
  <c r="N9" i="16"/>
  <c r="N8" i="16"/>
  <c r="N4" i="16"/>
  <c r="N5" i="16"/>
  <c r="N6" i="16"/>
  <c r="N11" i="16"/>
  <c r="N15" i="16"/>
  <c r="N10" i="16"/>
  <c r="N12" i="16"/>
  <c r="N7" i="16"/>
  <c r="N21" i="16"/>
  <c r="N13" i="16"/>
  <c r="N23" i="16"/>
  <c r="N17" i="16"/>
  <c r="N43" i="16"/>
  <c r="N16" i="16"/>
  <c r="N28" i="16"/>
  <c r="N29" i="16"/>
  <c r="N18" i="16"/>
  <c r="N14" i="16"/>
  <c r="N32" i="16"/>
  <c r="N76" i="16"/>
  <c r="N38" i="16"/>
  <c r="N47" i="16"/>
  <c r="N39" i="16"/>
  <c r="N20" i="16"/>
  <c r="N19" i="16"/>
  <c r="N22" i="16"/>
  <c r="N37" i="16"/>
  <c r="N41" i="16"/>
  <c r="N25" i="16"/>
  <c r="N46" i="16"/>
  <c r="N80" i="16"/>
  <c r="N48" i="16"/>
  <c r="N24" i="16"/>
  <c r="N26" i="16"/>
  <c r="N45" i="16"/>
  <c r="N42" i="16"/>
  <c r="N40" i="16"/>
  <c r="N53" i="16"/>
  <c r="N87" i="16"/>
  <c r="N60" i="16"/>
  <c r="N36" i="16"/>
  <c r="N30" i="16"/>
  <c r="N51" i="16"/>
  <c r="N52" i="16"/>
  <c r="N69" i="16"/>
  <c r="N58" i="16"/>
  <c r="N34" i="16"/>
  <c r="N54" i="16"/>
  <c r="N56" i="16"/>
  <c r="N44" i="16"/>
  <c r="N57" i="16"/>
  <c r="N91" i="16"/>
  <c r="N70" i="16"/>
  <c r="N27" i="16"/>
  <c r="N59" i="16"/>
  <c r="N62" i="16"/>
  <c r="N94" i="16"/>
  <c r="N55" i="16"/>
  <c r="N49" i="16"/>
  <c r="N63" i="16"/>
  <c r="N99" i="16"/>
  <c r="N65" i="16"/>
  <c r="N31" i="16"/>
  <c r="N50" i="16"/>
  <c r="N64" i="16"/>
  <c r="N100" i="16"/>
  <c r="N75" i="16"/>
  <c r="N81" i="16"/>
  <c r="N33" i="16"/>
  <c r="N71" i="16"/>
  <c r="N102" i="16"/>
  <c r="N73" i="16"/>
  <c r="N83" i="16"/>
  <c r="N78" i="16"/>
  <c r="N84" i="16"/>
  <c r="N88" i="16"/>
  <c r="N61" i="16"/>
  <c r="N86" i="16"/>
  <c r="N105" i="16"/>
  <c r="N82" i="16"/>
  <c r="N72" i="16"/>
  <c r="N93" i="16"/>
  <c r="N68" i="16"/>
  <c r="N109" i="16"/>
  <c r="N66" i="16"/>
  <c r="N67" i="16"/>
  <c r="N92" i="16"/>
  <c r="N85" i="16"/>
  <c r="N77" i="16"/>
  <c r="N74" i="16"/>
  <c r="N89" i="16"/>
  <c r="N90" i="16"/>
  <c r="N96" i="16"/>
  <c r="N103" i="16"/>
  <c r="N107" i="16"/>
  <c r="N108" i="16"/>
  <c r="N98" i="16"/>
  <c r="N97" i="16"/>
  <c r="N79" i="16"/>
  <c r="N104" i="16"/>
  <c r="N35" i="16"/>
  <c r="N106" i="16"/>
  <c r="N95" i="16"/>
  <c r="N101" i="16"/>
  <c r="N110" i="16"/>
  <c r="N111" i="16"/>
  <c r="H599" i="17" s="1"/>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2" i="16"/>
  <c r="G425" i="17" l="1"/>
  <c r="G426" i="17"/>
  <c r="G427" i="17"/>
  <c r="G428" i="17"/>
  <c r="I428" i="17"/>
  <c r="G429" i="17"/>
  <c r="G430" i="17"/>
  <c r="G456" i="17"/>
  <c r="G457" i="17"/>
  <c r="E458" i="17"/>
  <c r="D459" i="17"/>
  <c r="F459" i="17"/>
  <c r="K459" i="17" l="1"/>
  <c r="G459" i="17"/>
  <c r="I429" i="17"/>
  <c r="I459" i="17"/>
  <c r="J459" i="17"/>
  <c r="E459" i="17"/>
  <c r="G455" i="17"/>
  <c r="I457" i="17"/>
  <c r="E457" i="17"/>
  <c r="D457" i="17"/>
  <c r="D458" i="17"/>
  <c r="I455" i="17"/>
  <c r="I425" i="17"/>
  <c r="I430" i="17"/>
  <c r="I426" i="17"/>
  <c r="I427" i="17"/>
  <c r="L459" i="17"/>
  <c r="H459" i="17"/>
  <c r="G458" i="17"/>
  <c r="I456" i="17"/>
  <c r="I458" i="17"/>
  <c r="U124" i="34"/>
  <c r="U123" i="34"/>
  <c r="W207" i="34" s="1"/>
  <c r="U122" i="34"/>
  <c r="U121" i="34"/>
  <c r="V205" i="34" s="1"/>
  <c r="U120" i="34"/>
  <c r="U119" i="34"/>
  <c r="W203" i="34" s="1"/>
  <c r="U118" i="34"/>
  <c r="U117" i="34"/>
  <c r="V201" i="34" s="1"/>
  <c r="U116" i="34"/>
  <c r="U115" i="34"/>
  <c r="W199" i="34" s="1"/>
  <c r="U114" i="34"/>
  <c r="U113" i="34"/>
  <c r="U112" i="34"/>
  <c r="U111" i="34"/>
  <c r="W195" i="34" s="1"/>
  <c r="U110" i="34"/>
  <c r="U109" i="34"/>
  <c r="V193" i="34" s="1"/>
  <c r="U108" i="34"/>
  <c r="U107" i="34"/>
  <c r="W191" i="34" s="1"/>
  <c r="U106" i="34"/>
  <c r="U105" i="34"/>
  <c r="U104" i="34"/>
  <c r="U103" i="34"/>
  <c r="W187" i="34" s="1"/>
  <c r="U102" i="34"/>
  <c r="U101" i="34"/>
  <c r="V185" i="34" s="1"/>
  <c r="U100" i="34"/>
  <c r="U99" i="34"/>
  <c r="U98" i="34"/>
  <c r="U97" i="34"/>
  <c r="V181" i="34" s="1"/>
  <c r="U96" i="34"/>
  <c r="U95" i="34"/>
  <c r="U94" i="34"/>
  <c r="U93" i="34"/>
  <c r="U92" i="34"/>
  <c r="U91" i="34"/>
  <c r="U90" i="34"/>
  <c r="W174" i="34" s="1"/>
  <c r="U89" i="34"/>
  <c r="U88" i="34"/>
  <c r="U87" i="34"/>
  <c r="X147" i="34" s="1"/>
  <c r="U86" i="34"/>
  <c r="W170" i="34" s="1"/>
  <c r="U85" i="34"/>
  <c r="V169" i="34" s="1"/>
  <c r="U84" i="34"/>
  <c r="U83" i="34"/>
  <c r="X143" i="34" s="1"/>
  <c r="U82" i="34"/>
  <c r="U81" i="34"/>
  <c r="V165" i="34" s="1"/>
  <c r="U80" i="34"/>
  <c r="U79" i="34"/>
  <c r="U78" i="34"/>
  <c r="U77" i="34"/>
  <c r="U76" i="34"/>
  <c r="U75" i="34"/>
  <c r="U74" i="34"/>
  <c r="W158" i="34" s="1"/>
  <c r="U73" i="34"/>
  <c r="U72" i="34"/>
  <c r="U71" i="34"/>
  <c r="X131" i="34" s="1"/>
  <c r="U70" i="34"/>
  <c r="W154" i="34" s="1"/>
  <c r="U69" i="34"/>
  <c r="V153" i="34" s="1"/>
  <c r="U68" i="34"/>
  <c r="U67" i="34"/>
  <c r="X127" i="34" s="1"/>
  <c r="U66" i="34"/>
  <c r="U65" i="34"/>
  <c r="V149" i="34" s="1"/>
  <c r="U64" i="34"/>
  <c r="U63" i="34"/>
  <c r="U62" i="34"/>
  <c r="U61" i="34"/>
  <c r="U60" i="34"/>
  <c r="U59" i="34"/>
  <c r="U58" i="34"/>
  <c r="W142" i="34" s="1"/>
  <c r="U57" i="34"/>
  <c r="U56" i="34"/>
  <c r="U55" i="34"/>
  <c r="U54" i="34"/>
  <c r="W138" i="34" s="1"/>
  <c r="U53" i="34"/>
  <c r="V137" i="34" s="1"/>
  <c r="U52" i="34"/>
  <c r="U51" i="34"/>
  <c r="U50" i="34"/>
  <c r="W134" i="34" s="1"/>
  <c r="U49" i="34"/>
  <c r="V133" i="34" s="1"/>
  <c r="U48" i="34"/>
  <c r="U47" i="34"/>
  <c r="U46" i="34"/>
  <c r="U45" i="34"/>
  <c r="U44" i="34"/>
  <c r="U43" i="34"/>
  <c r="U42" i="34"/>
  <c r="U41" i="34"/>
  <c r="L3" i="34"/>
  <c r="K3" i="34"/>
  <c r="J3" i="34"/>
  <c r="I3" i="34"/>
  <c r="H3" i="34"/>
  <c r="G3" i="34"/>
  <c r="F3" i="34"/>
  <c r="F22" i="34" s="1"/>
  <c r="E3" i="34"/>
  <c r="E35" i="34" s="1"/>
  <c r="D3" i="34"/>
  <c r="C3" i="34"/>
  <c r="B3" i="34"/>
  <c r="B9" i="34" s="1"/>
  <c r="A3" i="34"/>
  <c r="A9" i="34" s="1"/>
  <c r="J9" i="34" l="1"/>
  <c r="E9" i="34"/>
  <c r="F9" i="34"/>
  <c r="I9" i="34"/>
  <c r="C35" i="34"/>
  <c r="C22" i="34"/>
  <c r="G35" i="34"/>
  <c r="G22" i="34"/>
  <c r="B22" i="34"/>
  <c r="K35" i="34"/>
  <c r="K22" i="34"/>
  <c r="H22" i="34"/>
  <c r="H35" i="34"/>
  <c r="A22" i="34"/>
  <c r="A35" i="34"/>
  <c r="E22" i="34"/>
  <c r="I22" i="34"/>
  <c r="I35" i="34"/>
  <c r="C9" i="34"/>
  <c r="G9" i="34"/>
  <c r="K9" i="34"/>
  <c r="D35" i="34"/>
  <c r="D22" i="34"/>
  <c r="L35" i="34"/>
  <c r="L22" i="34"/>
  <c r="B35" i="34"/>
  <c r="F35" i="34"/>
  <c r="J35" i="34"/>
  <c r="D9" i="34"/>
  <c r="H9" i="34"/>
  <c r="L9" i="34"/>
  <c r="J22" i="34"/>
  <c r="V126" i="34"/>
  <c r="X102" i="34"/>
  <c r="W126" i="34"/>
  <c r="X105" i="34"/>
  <c r="W129" i="34"/>
  <c r="V129" i="34"/>
  <c r="X101" i="34"/>
  <c r="W125" i="34"/>
  <c r="V125" i="34"/>
  <c r="W183" i="34"/>
  <c r="V183" i="34"/>
  <c r="X159" i="34"/>
  <c r="X173" i="34"/>
  <c r="W197" i="34"/>
  <c r="W202" i="34"/>
  <c r="V202" i="34"/>
  <c r="X178" i="34"/>
  <c r="W206" i="34"/>
  <c r="V206" i="34"/>
  <c r="X182" i="34"/>
  <c r="X163" i="34"/>
  <c r="X179" i="34"/>
  <c r="V130" i="34"/>
  <c r="X106" i="34"/>
  <c r="W131" i="34"/>
  <c r="X107" i="34"/>
  <c r="V131" i="34"/>
  <c r="X113" i="34"/>
  <c r="W137" i="34"/>
  <c r="W139" i="34"/>
  <c r="X115" i="34"/>
  <c r="V139" i="34"/>
  <c r="X117" i="34"/>
  <c r="W141" i="34"/>
  <c r="W143" i="34"/>
  <c r="X119" i="34"/>
  <c r="V143" i="34"/>
  <c r="V182" i="34"/>
  <c r="X158" i="34"/>
  <c r="W186" i="34"/>
  <c r="V186" i="34"/>
  <c r="X162" i="34"/>
  <c r="W190" i="34"/>
  <c r="V190" i="34"/>
  <c r="X166" i="34"/>
  <c r="W194" i="34"/>
  <c r="V194" i="34"/>
  <c r="X170" i="34"/>
  <c r="X175" i="34"/>
  <c r="V187" i="34"/>
  <c r="V195" i="34"/>
  <c r="V203" i="34"/>
  <c r="X108" i="34"/>
  <c r="W132" i="34"/>
  <c r="V132" i="34"/>
  <c r="X109" i="34"/>
  <c r="W133" i="34"/>
  <c r="X120" i="34"/>
  <c r="W144" i="34"/>
  <c r="V144" i="34"/>
  <c r="X121" i="34"/>
  <c r="W145" i="34"/>
  <c r="V146" i="34"/>
  <c r="X122" i="34"/>
  <c r="W147" i="34"/>
  <c r="X123" i="34"/>
  <c r="V147" i="34"/>
  <c r="X124" i="34"/>
  <c r="W148" i="34"/>
  <c r="V148" i="34"/>
  <c r="X125" i="34"/>
  <c r="W149" i="34"/>
  <c r="V150" i="34"/>
  <c r="X126" i="34"/>
  <c r="W151" i="34"/>
  <c r="V151" i="34"/>
  <c r="X128" i="34"/>
  <c r="W152" i="34"/>
  <c r="V152" i="34"/>
  <c r="X129" i="34"/>
  <c r="W153" i="34"/>
  <c r="V154" i="34"/>
  <c r="X130" i="34"/>
  <c r="W155" i="34"/>
  <c r="V155" i="34"/>
  <c r="X132" i="34"/>
  <c r="W156" i="34"/>
  <c r="V156" i="34"/>
  <c r="X133" i="34"/>
  <c r="W157" i="34"/>
  <c r="V158" i="34"/>
  <c r="X134" i="34"/>
  <c r="W159" i="34"/>
  <c r="V159" i="34"/>
  <c r="X136" i="34"/>
  <c r="W160" i="34"/>
  <c r="V160" i="34"/>
  <c r="X137" i="34"/>
  <c r="W161" i="34"/>
  <c r="V162" i="34"/>
  <c r="X138" i="34"/>
  <c r="W163" i="34"/>
  <c r="V163" i="34"/>
  <c r="X140" i="34"/>
  <c r="W164" i="34"/>
  <c r="V164" i="34"/>
  <c r="X141" i="34"/>
  <c r="W165" i="34"/>
  <c r="V166" i="34"/>
  <c r="X142" i="34"/>
  <c r="W167" i="34"/>
  <c r="V167" i="34"/>
  <c r="X144" i="34"/>
  <c r="W168" i="34"/>
  <c r="V168" i="34"/>
  <c r="X145" i="34"/>
  <c r="W169" i="34"/>
  <c r="V170" i="34"/>
  <c r="X146" i="34"/>
  <c r="W171" i="34"/>
  <c r="V171" i="34"/>
  <c r="X148" i="34"/>
  <c r="W172" i="34"/>
  <c r="V172" i="34"/>
  <c r="X149" i="34"/>
  <c r="W173" i="34"/>
  <c r="V174" i="34"/>
  <c r="X150" i="34"/>
  <c r="W175" i="34"/>
  <c r="V175" i="34"/>
  <c r="X152" i="34"/>
  <c r="W176" i="34"/>
  <c r="V176" i="34"/>
  <c r="X153" i="34"/>
  <c r="W177" i="34"/>
  <c r="V178" i="34"/>
  <c r="X154" i="34"/>
  <c r="W179" i="34"/>
  <c r="V179" i="34"/>
  <c r="X156" i="34"/>
  <c r="W180" i="34"/>
  <c r="V180" i="34"/>
  <c r="X157" i="34"/>
  <c r="W181" i="34"/>
  <c r="X161" i="34"/>
  <c r="W185" i="34"/>
  <c r="X165" i="34"/>
  <c r="W189" i="34"/>
  <c r="X169" i="34"/>
  <c r="W193" i="34"/>
  <c r="W196" i="34"/>
  <c r="X172" i="34"/>
  <c r="V196" i="34"/>
  <c r="W198" i="34"/>
  <c r="V198" i="34"/>
  <c r="X174" i="34"/>
  <c r="W200" i="34"/>
  <c r="X176" i="34"/>
  <c r="V200" i="34"/>
  <c r="W204" i="34"/>
  <c r="X180" i="34"/>
  <c r="V204" i="34"/>
  <c r="W208" i="34"/>
  <c r="X184" i="34"/>
  <c r="V208" i="34"/>
  <c r="X139" i="34"/>
  <c r="V145" i="34"/>
  <c r="W150" i="34"/>
  <c r="X155" i="34"/>
  <c r="V161" i="34"/>
  <c r="W166" i="34"/>
  <c r="X171" i="34"/>
  <c r="V177" i="34"/>
  <c r="W182" i="34"/>
  <c r="V189" i="34"/>
  <c r="V197" i="34"/>
  <c r="W127" i="34"/>
  <c r="X103" i="34"/>
  <c r="V127" i="34"/>
  <c r="X104" i="34"/>
  <c r="W128" i="34"/>
  <c r="V128" i="34"/>
  <c r="V134" i="34"/>
  <c r="X110" i="34"/>
  <c r="W135" i="34"/>
  <c r="X111" i="34"/>
  <c r="V135" i="34"/>
  <c r="X112" i="34"/>
  <c r="W136" i="34"/>
  <c r="V136" i="34"/>
  <c r="V138" i="34"/>
  <c r="X114" i="34"/>
  <c r="X116" i="34"/>
  <c r="W140" i="34"/>
  <c r="V140" i="34"/>
  <c r="V142" i="34"/>
  <c r="X118" i="34"/>
  <c r="X160" i="34"/>
  <c r="W184" i="34"/>
  <c r="V184" i="34"/>
  <c r="W188" i="34"/>
  <c r="X164" i="34"/>
  <c r="V188" i="34"/>
  <c r="W192" i="34"/>
  <c r="X168" i="34"/>
  <c r="V192" i="34"/>
  <c r="X177" i="34"/>
  <c r="W201" i="34"/>
  <c r="X181" i="34"/>
  <c r="W205" i="34"/>
  <c r="W130" i="34"/>
  <c r="X135" i="34"/>
  <c r="V141" i="34"/>
  <c r="W146" i="34"/>
  <c r="X151" i="34"/>
  <c r="V157" i="34"/>
  <c r="W162" i="34"/>
  <c r="X167" i="34"/>
  <c r="V173" i="34"/>
  <c r="W178" i="34"/>
  <c r="X183" i="34"/>
  <c r="V191" i="34"/>
  <c r="V199" i="34"/>
  <c r="V207" i="34"/>
  <c r="E50" i="33"/>
  <c r="I50" i="33" l="1"/>
  <c r="M50" i="33" l="1"/>
  <c r="Q50" i="33" l="1"/>
  <c r="U50" i="33" l="1"/>
  <c r="Y50" i="33" l="1"/>
  <c r="A51" i="33"/>
  <c r="AC50" i="33" l="1"/>
  <c r="E51" i="33"/>
  <c r="I51" i="33" l="1"/>
  <c r="AG50" i="33"/>
  <c r="AK50" i="33" l="1"/>
  <c r="M51" i="33"/>
  <c r="Q51" i="33" l="1"/>
  <c r="AO50" i="33"/>
  <c r="U51" i="33" l="1"/>
  <c r="AS50" i="33"/>
  <c r="AW50" i="33" l="1"/>
  <c r="Y51" i="33"/>
  <c r="AC51" i="33" l="1"/>
  <c r="A52" i="33"/>
  <c r="E52" i="33" s="1"/>
  <c r="I52" i="33" s="1"/>
  <c r="M52" i="33" l="1"/>
  <c r="AG51" i="33"/>
  <c r="AK51" i="33" l="1"/>
  <c r="Q52" i="33"/>
  <c r="U52" i="33" l="1"/>
  <c r="AO51" i="33"/>
  <c r="AS51" i="33" l="1"/>
  <c r="Y52" i="33"/>
  <c r="AC52" i="33" l="1"/>
  <c r="AW51" i="33"/>
  <c r="AG52" i="33" l="1"/>
  <c r="AK52" i="33" l="1"/>
  <c r="A53" i="33"/>
  <c r="E53" i="33" s="1"/>
  <c r="I53" i="33" s="1"/>
  <c r="M53" i="33" l="1"/>
  <c r="AO52" i="33"/>
  <c r="AS52" i="33" l="1"/>
  <c r="Q53" i="33"/>
  <c r="U53" i="33" l="1"/>
  <c r="AW52" i="33"/>
  <c r="Y53" i="33" l="1"/>
  <c r="AC53" i="33" l="1"/>
  <c r="AG53" i="33" l="1"/>
  <c r="AK53" i="33" l="1"/>
  <c r="A54" i="33"/>
  <c r="E54" i="33" s="1"/>
  <c r="I54" i="33" s="1"/>
  <c r="M54" i="33" l="1"/>
  <c r="AO53" i="33"/>
  <c r="AS53" i="33" l="1"/>
  <c r="Q54" i="33"/>
  <c r="U54" i="33" l="1"/>
  <c r="AW53" i="33"/>
  <c r="Y54" i="33" l="1"/>
  <c r="AC54" i="33" l="1"/>
  <c r="AG54" i="33" l="1"/>
  <c r="AK54" i="33" l="1"/>
  <c r="A55" i="33"/>
  <c r="E55" i="33" s="1"/>
  <c r="I55" i="33" s="1"/>
  <c r="M55" i="33" l="1"/>
  <c r="AO54" i="33"/>
  <c r="Q55" i="33" l="1"/>
  <c r="AS54" i="33"/>
  <c r="AW54" i="33" l="1"/>
  <c r="U55" i="33"/>
  <c r="Y55" i="33" l="1"/>
  <c r="AC55" i="33" l="1"/>
  <c r="AG55" i="33" l="1"/>
  <c r="AK55" i="33" l="1"/>
  <c r="A56" i="33"/>
  <c r="E56" i="33" s="1"/>
  <c r="I56" i="33" s="1"/>
  <c r="M56" i="33" l="1"/>
  <c r="AO55" i="33"/>
  <c r="AS55" i="33" l="1"/>
  <c r="Q56" i="33"/>
  <c r="U56" i="33" l="1"/>
  <c r="AW55" i="33"/>
  <c r="Y56" i="33" l="1"/>
  <c r="AC56" i="33" l="1"/>
  <c r="AG56" i="33" l="1"/>
  <c r="AK56" i="33" l="1"/>
  <c r="A57" i="33"/>
  <c r="E57" i="33" s="1"/>
  <c r="I57" i="33" s="1"/>
  <c r="M57" i="33" l="1"/>
  <c r="AO56" i="33"/>
  <c r="AS56" i="33" l="1"/>
  <c r="Q57" i="33"/>
  <c r="U57" i="33" l="1"/>
  <c r="AW56" i="33"/>
  <c r="Y57" i="33" l="1"/>
  <c r="AC57" i="33" l="1"/>
  <c r="AG57" i="33" l="1"/>
  <c r="AK57" i="33" l="1"/>
  <c r="A58" i="33"/>
  <c r="E58" i="33" s="1"/>
  <c r="I58" i="33" s="1"/>
  <c r="M58" i="33" l="1"/>
  <c r="AO57" i="33"/>
  <c r="Q58" i="33" l="1"/>
  <c r="AS57" i="33"/>
  <c r="AW57" i="33" l="1"/>
  <c r="U58" i="33"/>
  <c r="Y58" i="33" l="1"/>
  <c r="AC58" i="33" l="1"/>
  <c r="AG58" i="33" l="1"/>
  <c r="AK58" i="33" l="1"/>
  <c r="A59" i="33"/>
  <c r="E59" i="33" s="1"/>
  <c r="I59" i="33" s="1"/>
  <c r="M59" i="33" l="1"/>
  <c r="AO58" i="33"/>
  <c r="Q59" i="33" l="1"/>
  <c r="AS58" i="33"/>
  <c r="AW58" i="33" l="1"/>
  <c r="U59" i="33"/>
  <c r="Y59" i="33" l="1"/>
  <c r="AC59" i="33" l="1"/>
  <c r="AG59" i="33" l="1"/>
  <c r="AK59" i="33" l="1"/>
  <c r="E60" i="33"/>
  <c r="I60" i="33" s="1"/>
  <c r="M60" i="33" l="1"/>
  <c r="AO59" i="33"/>
  <c r="AS59" i="33" l="1"/>
  <c r="Q60" i="33"/>
  <c r="U60" i="33" l="1"/>
  <c r="AW59" i="33"/>
  <c r="Y60" i="33" l="1"/>
  <c r="AC60" i="33" l="1"/>
  <c r="A61" i="33"/>
  <c r="AG60" i="33" l="1"/>
  <c r="E61" i="33"/>
  <c r="I61" i="33" l="1"/>
  <c r="AK60" i="33"/>
  <c r="M61" i="33" l="1"/>
  <c r="AO60" i="33"/>
  <c r="AS60" i="33" l="1"/>
  <c r="Q61" i="33"/>
  <c r="U61" i="33" l="1"/>
  <c r="AW60" i="33"/>
  <c r="Y61" i="33" l="1"/>
  <c r="AC61" i="33" l="1"/>
  <c r="A62" i="33"/>
  <c r="E62" i="33" l="1"/>
  <c r="AG61" i="33"/>
  <c r="I62" i="33" l="1"/>
  <c r="AK61" i="33"/>
  <c r="AO61" i="33" l="1"/>
  <c r="M62" i="33"/>
  <c r="Q62" i="33" l="1"/>
  <c r="AS61" i="33"/>
  <c r="AW61" i="33" l="1"/>
  <c r="U62" i="33"/>
  <c r="Y62" i="33" l="1"/>
  <c r="AC62" i="33" l="1"/>
  <c r="A63" i="33"/>
  <c r="E63" i="33" l="1"/>
  <c r="AG62" i="33"/>
  <c r="I63" i="33" l="1"/>
  <c r="AK62" i="33"/>
  <c r="AO62" i="33" l="1"/>
  <c r="M63" i="33"/>
  <c r="Q63" i="33" l="1"/>
  <c r="AS62" i="33"/>
  <c r="AW62" i="33" l="1"/>
  <c r="U63" i="33"/>
  <c r="Y63" i="33" l="1"/>
  <c r="AC63" i="33" l="1"/>
  <c r="A64" i="33"/>
  <c r="E64" i="33" l="1"/>
  <c r="AG63" i="33"/>
  <c r="AK63" i="33" l="1"/>
  <c r="I64" i="33"/>
  <c r="M64" i="33" l="1"/>
  <c r="AO63" i="33"/>
  <c r="AS63" i="33" l="1"/>
  <c r="Q64" i="33"/>
  <c r="U64" i="33" l="1"/>
  <c r="AW63" i="33"/>
  <c r="Y64" i="33" l="1"/>
  <c r="AC64" i="33" l="1"/>
  <c r="A65" i="33"/>
  <c r="E65" i="33" l="1"/>
  <c r="AG64" i="33"/>
  <c r="AK64" i="33" l="1"/>
  <c r="I65" i="33"/>
  <c r="AO64" i="33" l="1"/>
  <c r="M65" i="33"/>
  <c r="Q65" i="33" l="1"/>
  <c r="AS64" i="33"/>
  <c r="AW64" i="33" l="1"/>
  <c r="U65" i="33"/>
  <c r="Y65" i="33" l="1"/>
  <c r="AC65" i="33" l="1"/>
  <c r="A66" i="33"/>
  <c r="E66" i="33" l="1"/>
  <c r="AG65" i="33"/>
  <c r="AK65" i="33" l="1"/>
  <c r="I66" i="33"/>
  <c r="AO65" i="33" l="1"/>
  <c r="M66" i="33"/>
  <c r="Q66" i="33" l="1"/>
  <c r="AS65" i="33"/>
  <c r="AW65" i="33" l="1"/>
  <c r="U66" i="33"/>
  <c r="Y66" i="33" l="1"/>
  <c r="AC66" i="33" l="1"/>
  <c r="A67" i="33"/>
  <c r="E67" i="33" l="1"/>
  <c r="AG66" i="33"/>
  <c r="AK66" i="33" l="1"/>
  <c r="I67" i="33"/>
  <c r="M67" i="33" l="1"/>
  <c r="AO66" i="33"/>
  <c r="AS66" i="33" l="1"/>
  <c r="Q67" i="33"/>
  <c r="U67" i="33" l="1"/>
  <c r="AW66" i="33"/>
  <c r="Y67" i="33" l="1"/>
  <c r="AC67" i="33" l="1"/>
  <c r="A68" i="33"/>
  <c r="E68" i="33" l="1"/>
  <c r="AG67" i="33"/>
  <c r="AK67" i="33" l="1"/>
  <c r="I68" i="33"/>
  <c r="M68" i="33" l="1"/>
  <c r="AO67" i="33"/>
  <c r="AS67" i="33" l="1"/>
  <c r="Q68" i="33"/>
  <c r="U68" i="33" l="1"/>
  <c r="AW67" i="33"/>
  <c r="Y68" i="33" l="1"/>
  <c r="AC68" i="33" l="1"/>
  <c r="A69" i="33"/>
  <c r="E69" i="33" l="1"/>
  <c r="AG68" i="33"/>
  <c r="AK68" i="33" l="1"/>
  <c r="I69" i="33"/>
  <c r="M69" i="33" l="1"/>
  <c r="AO68" i="33"/>
  <c r="AS68" i="33" l="1"/>
  <c r="Q69" i="33"/>
  <c r="U69" i="33" l="1"/>
  <c r="AW68" i="33"/>
  <c r="Y69" i="33" l="1"/>
  <c r="AC69" i="33" l="1"/>
  <c r="B70" i="33"/>
  <c r="F70" i="33"/>
  <c r="J70" i="33"/>
  <c r="N70" i="33"/>
  <c r="R70" i="33"/>
  <c r="V70" i="33"/>
  <c r="Z70" i="33"/>
  <c r="AD70" i="33"/>
  <c r="AH70" i="33"/>
  <c r="AL70" i="33"/>
  <c r="AP70" i="33"/>
  <c r="AT70" i="33"/>
  <c r="AG69" i="33" l="1"/>
  <c r="AK69" i="33" l="1"/>
  <c r="AO69" i="33" l="1"/>
  <c r="AS69" i="33" l="1"/>
  <c r="AW69" i="33" l="1"/>
  <c r="A38" i="33"/>
  <c r="A37" i="33"/>
  <c r="B37" i="33" s="1"/>
  <c r="C37" i="33" s="1"/>
  <c r="A36" i="33"/>
  <c r="A35" i="33"/>
  <c r="E35" i="33" s="1"/>
  <c r="A34" i="33"/>
  <c r="E34" i="33" s="1"/>
  <c r="A33" i="33"/>
  <c r="E33" i="33" s="1"/>
  <c r="I33" i="33" s="1"/>
  <c r="A32" i="33"/>
  <c r="A31" i="33"/>
  <c r="A29" i="33"/>
  <c r="A28" i="33"/>
  <c r="A27" i="33"/>
  <c r="E27" i="33" s="1"/>
  <c r="A26" i="33"/>
  <c r="A25" i="33"/>
  <c r="E25" i="33" s="1"/>
  <c r="A24" i="33"/>
  <c r="A23" i="33"/>
  <c r="E23" i="33" s="1"/>
  <c r="A22" i="33"/>
  <c r="A21" i="33"/>
  <c r="E21" i="33" s="1"/>
  <c r="A20" i="33"/>
  <c r="A18" i="33"/>
  <c r="B18" i="33" s="1"/>
  <c r="C18" i="33" s="1"/>
  <c r="A17" i="33"/>
  <c r="A16" i="33"/>
  <c r="E16" i="33" s="1"/>
  <c r="A15" i="33"/>
  <c r="A14" i="33"/>
  <c r="E14" i="33" s="1"/>
  <c r="I14" i="33" s="1"/>
  <c r="A13" i="33"/>
  <c r="E13" i="33" s="1"/>
  <c r="A12" i="33"/>
  <c r="E12" i="33" s="1"/>
  <c r="A11" i="33"/>
  <c r="A10" i="33"/>
  <c r="E10" i="33" s="1"/>
  <c r="I10" i="33" s="1"/>
  <c r="A9" i="33"/>
  <c r="E9" i="33" s="1"/>
  <c r="A7" i="33"/>
  <c r="E7" i="33" s="1"/>
  <c r="I7" i="33" s="1"/>
  <c r="A6" i="33"/>
  <c r="E6" i="33" s="1"/>
  <c r="A5" i="33"/>
  <c r="E5" i="33" s="1"/>
  <c r="AW3" i="33"/>
  <c r="AS3" i="33"/>
  <c r="AO3" i="33"/>
  <c r="AK3" i="33"/>
  <c r="AG3" i="33"/>
  <c r="AC3" i="33"/>
  <c r="Y3" i="33"/>
  <c r="U3" i="33"/>
  <c r="Q3" i="33"/>
  <c r="M3" i="33"/>
  <c r="I3" i="33"/>
  <c r="E3" i="33"/>
  <c r="A3" i="33"/>
  <c r="E18" i="33" l="1"/>
  <c r="I18" i="33" s="1"/>
  <c r="M10" i="33"/>
  <c r="I16" i="33"/>
  <c r="I6" i="33"/>
  <c r="I9" i="33"/>
  <c r="M14" i="33"/>
  <c r="I13" i="33"/>
  <c r="M7" i="33"/>
  <c r="I25" i="33"/>
  <c r="E28" i="33"/>
  <c r="B28" i="33"/>
  <c r="I5" i="33"/>
  <c r="E11" i="33"/>
  <c r="I12" i="33"/>
  <c r="E15" i="33"/>
  <c r="E17" i="33"/>
  <c r="B17" i="33"/>
  <c r="E31" i="33"/>
  <c r="E32" i="33"/>
  <c r="F18" i="33"/>
  <c r="E20" i="33"/>
  <c r="M33" i="33"/>
  <c r="I35" i="33"/>
  <c r="E36" i="33"/>
  <c r="B38" i="33"/>
  <c r="E38" i="33"/>
  <c r="I21" i="33"/>
  <c r="E24" i="33"/>
  <c r="E29" i="33"/>
  <c r="B29" i="33"/>
  <c r="I34" i="33"/>
  <c r="E22" i="33"/>
  <c r="I23" i="33"/>
  <c r="E26" i="33"/>
  <c r="I27" i="33"/>
  <c r="E37" i="33"/>
  <c r="G263" i="17"/>
  <c r="G264" i="17"/>
  <c r="M12" i="33" l="1"/>
  <c r="C28" i="33"/>
  <c r="Q7" i="33"/>
  <c r="Q14" i="33"/>
  <c r="I37" i="33"/>
  <c r="F37" i="33"/>
  <c r="M23" i="33"/>
  <c r="M21" i="33"/>
  <c r="Q33" i="33"/>
  <c r="G18" i="33"/>
  <c r="I32" i="33"/>
  <c r="I15" i="33"/>
  <c r="I11" i="33"/>
  <c r="I28" i="33"/>
  <c r="F28" i="33"/>
  <c r="M13" i="33"/>
  <c r="M16" i="33"/>
  <c r="I26" i="33"/>
  <c r="I20" i="33"/>
  <c r="I31" i="33"/>
  <c r="I22" i="33"/>
  <c r="C29" i="33"/>
  <c r="I24" i="33"/>
  <c r="I38" i="33"/>
  <c r="F38" i="33"/>
  <c r="J18" i="33"/>
  <c r="M18" i="33"/>
  <c r="C17" i="33"/>
  <c r="M5" i="33"/>
  <c r="Q10" i="33"/>
  <c r="M34" i="33"/>
  <c r="I36" i="33"/>
  <c r="M27" i="33"/>
  <c r="I29" i="33"/>
  <c r="F29" i="33"/>
  <c r="C38" i="33"/>
  <c r="M35" i="33"/>
  <c r="F17" i="33"/>
  <c r="I17" i="33"/>
  <c r="M25" i="33"/>
  <c r="M9" i="33"/>
  <c r="M6" i="33"/>
  <c r="I263" i="17"/>
  <c r="G266" i="17"/>
  <c r="G269" i="17"/>
  <c r="G268" i="17"/>
  <c r="G267" i="17"/>
  <c r="I264" i="17"/>
  <c r="T98" i="14"/>
  <c r="S98" i="14"/>
  <c r="R98" i="14"/>
  <c r="Q98" i="14"/>
  <c r="P98" i="14"/>
  <c r="T151" i="14"/>
  <c r="S151" i="14"/>
  <c r="R151" i="14"/>
  <c r="Q151" i="14"/>
  <c r="P151" i="14"/>
  <c r="T197" i="14"/>
  <c r="S197" i="14"/>
  <c r="R197" i="14"/>
  <c r="Q197" i="14"/>
  <c r="H271" i="17" s="1"/>
  <c r="P197" i="14"/>
  <c r="F271" i="17" s="1"/>
  <c r="T61" i="14"/>
  <c r="S61" i="14"/>
  <c r="R61" i="14"/>
  <c r="Q61" i="14"/>
  <c r="P61" i="14"/>
  <c r="T198" i="14"/>
  <c r="S198" i="14"/>
  <c r="R198" i="14"/>
  <c r="Q198" i="14"/>
  <c r="H272" i="17" s="1"/>
  <c r="P198" i="14"/>
  <c r="F272" i="17" s="1"/>
  <c r="T120" i="14"/>
  <c r="S120" i="14"/>
  <c r="R120" i="14"/>
  <c r="Q120" i="14"/>
  <c r="P120" i="14"/>
  <c r="T74" i="14"/>
  <c r="S74" i="14"/>
  <c r="R74" i="14"/>
  <c r="Q74" i="14"/>
  <c r="P74" i="14"/>
  <c r="T47" i="14"/>
  <c r="S47" i="14"/>
  <c r="R47" i="14"/>
  <c r="Q47" i="14"/>
  <c r="P47" i="14"/>
  <c r="T145" i="14"/>
  <c r="S145" i="14"/>
  <c r="R145" i="14"/>
  <c r="Q145" i="14"/>
  <c r="P145" i="14"/>
  <c r="T189" i="14"/>
  <c r="S189" i="14"/>
  <c r="R189" i="14"/>
  <c r="Q189" i="14"/>
  <c r="P189" i="14"/>
  <c r="T179" i="14"/>
  <c r="S179" i="14"/>
  <c r="R179" i="14"/>
  <c r="Q179" i="14"/>
  <c r="P179" i="14"/>
  <c r="T19" i="14"/>
  <c r="S19" i="14"/>
  <c r="R19" i="14"/>
  <c r="Q19" i="14"/>
  <c r="P19" i="14"/>
  <c r="T181" i="14"/>
  <c r="S181" i="14"/>
  <c r="R181" i="14"/>
  <c r="Q181" i="14"/>
  <c r="P181" i="14"/>
  <c r="T33" i="14"/>
  <c r="S33" i="14"/>
  <c r="R33" i="14"/>
  <c r="Q33" i="14"/>
  <c r="P33" i="14"/>
  <c r="T136" i="14"/>
  <c r="S136" i="14"/>
  <c r="R136" i="14"/>
  <c r="Q136" i="14"/>
  <c r="P136" i="14"/>
  <c r="T34" i="14"/>
  <c r="S34" i="14"/>
  <c r="R34" i="14"/>
  <c r="Q34" i="14"/>
  <c r="P34" i="14"/>
  <c r="T30" i="14"/>
  <c r="S30" i="14"/>
  <c r="R30" i="14"/>
  <c r="Q30" i="14"/>
  <c r="P30" i="14"/>
  <c r="T194" i="14"/>
  <c r="S194" i="14"/>
  <c r="R194" i="14"/>
  <c r="Q194" i="14"/>
  <c r="P194" i="14"/>
  <c r="T58" i="14"/>
  <c r="S58" i="14"/>
  <c r="R58" i="14"/>
  <c r="Q58" i="14"/>
  <c r="P58" i="14"/>
  <c r="B66" i="17"/>
  <c r="G66" i="17" s="1"/>
  <c r="P155" i="14"/>
  <c r="P31" i="14"/>
  <c r="G17" i="33" l="1"/>
  <c r="Q5" i="33"/>
  <c r="N18" i="33"/>
  <c r="Q18" i="33"/>
  <c r="M26" i="33"/>
  <c r="Q13" i="33"/>
  <c r="M32" i="33"/>
  <c r="Q23" i="33"/>
  <c r="U7" i="33"/>
  <c r="M20" i="33"/>
  <c r="Q6" i="33"/>
  <c r="G29" i="33"/>
  <c r="Q34" i="33"/>
  <c r="K18" i="33"/>
  <c r="M24" i="33"/>
  <c r="M22" i="33"/>
  <c r="M31" i="33"/>
  <c r="M11" i="33"/>
  <c r="U33" i="33"/>
  <c r="Q12" i="33"/>
  <c r="Q9" i="33"/>
  <c r="J17" i="33"/>
  <c r="M17" i="33"/>
  <c r="Q27" i="33"/>
  <c r="M38" i="33"/>
  <c r="J38" i="33"/>
  <c r="Q16" i="33"/>
  <c r="J28" i="33"/>
  <c r="M28" i="33"/>
  <c r="M15" i="33"/>
  <c r="Q21" i="33"/>
  <c r="M37" i="33"/>
  <c r="J37" i="33"/>
  <c r="Q25" i="33"/>
  <c r="Q35" i="33"/>
  <c r="J29" i="33"/>
  <c r="M29" i="33"/>
  <c r="M36" i="33"/>
  <c r="U10" i="33"/>
  <c r="G38" i="33"/>
  <c r="G28" i="33"/>
  <c r="G37" i="33"/>
  <c r="U14" i="33"/>
  <c r="J66" i="17"/>
  <c r="I66" i="17"/>
  <c r="F66" i="17"/>
  <c r="E66" i="17"/>
  <c r="L66" i="17"/>
  <c r="H66" i="17"/>
  <c r="D66" i="17"/>
  <c r="K66" i="17"/>
  <c r="R19" i="15"/>
  <c r="S19" i="15"/>
  <c r="T19" i="15"/>
  <c r="R141" i="15"/>
  <c r="S141" i="15"/>
  <c r="T141" i="15"/>
  <c r="R88" i="15"/>
  <c r="S88" i="15"/>
  <c r="T88" i="15"/>
  <c r="R97" i="15"/>
  <c r="S97" i="15"/>
  <c r="T97" i="15"/>
  <c r="R41" i="15"/>
  <c r="S41" i="15"/>
  <c r="T41" i="15"/>
  <c r="R81" i="15"/>
  <c r="S81" i="15"/>
  <c r="T81" i="15"/>
  <c r="R51" i="15"/>
  <c r="S51" i="15"/>
  <c r="T51" i="15"/>
  <c r="R55" i="15"/>
  <c r="S55" i="15"/>
  <c r="T55" i="15"/>
  <c r="R124" i="15"/>
  <c r="S124" i="15"/>
  <c r="T124" i="15"/>
  <c r="R65" i="15"/>
  <c r="S65" i="15"/>
  <c r="T65" i="15"/>
  <c r="R23" i="15"/>
  <c r="S23" i="15"/>
  <c r="T23" i="15"/>
  <c r="R144" i="15"/>
  <c r="S144" i="15"/>
  <c r="T144" i="15"/>
  <c r="R63" i="15"/>
  <c r="S63" i="15"/>
  <c r="T63" i="15"/>
  <c r="R87" i="15"/>
  <c r="S87" i="15"/>
  <c r="T87" i="15"/>
  <c r="R102" i="15"/>
  <c r="S102" i="15"/>
  <c r="T102" i="15"/>
  <c r="R83" i="15"/>
  <c r="S83" i="15"/>
  <c r="T83" i="15"/>
  <c r="R33" i="15"/>
  <c r="S33" i="15"/>
  <c r="T33" i="15"/>
  <c r="R58" i="15"/>
  <c r="S58" i="15"/>
  <c r="T58" i="15"/>
  <c r="R86" i="15"/>
  <c r="S86" i="15"/>
  <c r="T86" i="15"/>
  <c r="R160" i="15"/>
  <c r="S160" i="15"/>
  <c r="T160" i="15"/>
  <c r="R13" i="15"/>
  <c r="S13" i="15"/>
  <c r="T13" i="15"/>
  <c r="R24" i="15"/>
  <c r="S24" i="15"/>
  <c r="T24" i="15"/>
  <c r="R111" i="15"/>
  <c r="S111" i="15"/>
  <c r="T111" i="15"/>
  <c r="R162" i="15"/>
  <c r="S162" i="15"/>
  <c r="T162" i="15"/>
  <c r="R47" i="15"/>
  <c r="S47" i="15"/>
  <c r="T47" i="15"/>
  <c r="R109" i="15"/>
  <c r="S109" i="15"/>
  <c r="T109" i="15"/>
  <c r="R17" i="15"/>
  <c r="S17" i="15"/>
  <c r="T17" i="15"/>
  <c r="R18" i="15"/>
  <c r="S18" i="15"/>
  <c r="T18" i="15"/>
  <c r="R120" i="15"/>
  <c r="S120" i="15"/>
  <c r="T120" i="15"/>
  <c r="R75" i="15"/>
  <c r="S75" i="15"/>
  <c r="T75" i="15"/>
  <c r="R156" i="15"/>
  <c r="S156" i="15"/>
  <c r="T156" i="15"/>
  <c r="R131" i="15"/>
  <c r="S131" i="15"/>
  <c r="T131" i="15"/>
  <c r="R158" i="15"/>
  <c r="S158" i="15"/>
  <c r="T158" i="15"/>
  <c r="R50" i="15"/>
  <c r="S50" i="15"/>
  <c r="T50" i="15"/>
  <c r="R98" i="15"/>
  <c r="S98" i="15"/>
  <c r="T98" i="15"/>
  <c r="R132" i="15"/>
  <c r="S132" i="15"/>
  <c r="T132" i="15"/>
  <c r="R34" i="15"/>
  <c r="S34" i="15"/>
  <c r="T34" i="15"/>
  <c r="R100" i="15"/>
  <c r="S100" i="15"/>
  <c r="T100" i="15"/>
  <c r="R45" i="15"/>
  <c r="S45" i="15"/>
  <c r="T45" i="15"/>
  <c r="R22" i="15"/>
  <c r="S22" i="15"/>
  <c r="T22" i="15"/>
  <c r="R103" i="15"/>
  <c r="S103" i="15"/>
  <c r="T103" i="15"/>
  <c r="R180" i="15"/>
  <c r="S180" i="15"/>
  <c r="T180" i="15"/>
  <c r="R135" i="15"/>
  <c r="S135" i="15"/>
  <c r="T135" i="15"/>
  <c r="R27" i="15"/>
  <c r="S27" i="15"/>
  <c r="T27" i="15"/>
  <c r="R16" i="15"/>
  <c r="S16" i="15"/>
  <c r="T16" i="15"/>
  <c r="R169" i="15"/>
  <c r="S169" i="15"/>
  <c r="T169" i="15"/>
  <c r="R155" i="15"/>
  <c r="S155" i="15"/>
  <c r="T155" i="15"/>
  <c r="R3" i="15"/>
  <c r="S3" i="15"/>
  <c r="T3" i="15"/>
  <c r="R37" i="15"/>
  <c r="S37" i="15"/>
  <c r="T37" i="15"/>
  <c r="R173" i="15"/>
  <c r="S173" i="15"/>
  <c r="T173" i="15"/>
  <c r="R136" i="15"/>
  <c r="S136" i="15"/>
  <c r="T136" i="15"/>
  <c r="R145" i="15"/>
  <c r="S145" i="15"/>
  <c r="T145" i="15"/>
  <c r="R128" i="15"/>
  <c r="S128" i="15"/>
  <c r="T128" i="15"/>
  <c r="R105" i="15"/>
  <c r="S105" i="15"/>
  <c r="T105" i="15"/>
  <c r="R7" i="15"/>
  <c r="S7" i="15"/>
  <c r="T7" i="15"/>
  <c r="R96" i="15"/>
  <c r="S96" i="15"/>
  <c r="T96" i="15"/>
  <c r="R71" i="15"/>
  <c r="S71" i="15"/>
  <c r="T71" i="15"/>
  <c r="R151" i="15"/>
  <c r="S151" i="15"/>
  <c r="T151" i="15"/>
  <c r="R21" i="15"/>
  <c r="S21" i="15"/>
  <c r="T21" i="15"/>
  <c r="R44" i="15"/>
  <c r="S44" i="15"/>
  <c r="T44" i="15"/>
  <c r="R78" i="15"/>
  <c r="S78" i="15"/>
  <c r="T78" i="15"/>
  <c r="R154" i="15"/>
  <c r="S154" i="15"/>
  <c r="T154" i="15"/>
  <c r="R147" i="15"/>
  <c r="S147" i="15"/>
  <c r="T147" i="15"/>
  <c r="R73" i="15"/>
  <c r="S73" i="15"/>
  <c r="T73" i="15"/>
  <c r="R92" i="15"/>
  <c r="S92" i="15"/>
  <c r="T92" i="15"/>
  <c r="R157" i="15"/>
  <c r="S157" i="15"/>
  <c r="T157" i="15"/>
  <c r="R101" i="15"/>
  <c r="S101" i="15"/>
  <c r="T101" i="15"/>
  <c r="R35" i="15"/>
  <c r="S35" i="15"/>
  <c r="T35" i="15"/>
  <c r="R59" i="15"/>
  <c r="S59" i="15"/>
  <c r="T59" i="15"/>
  <c r="R179" i="15"/>
  <c r="S179" i="15"/>
  <c r="T179" i="15"/>
  <c r="R2" i="15"/>
  <c r="S2" i="15"/>
  <c r="T2" i="15"/>
  <c r="R82" i="15"/>
  <c r="S82" i="15"/>
  <c r="T82" i="15"/>
  <c r="R166" i="15"/>
  <c r="S166" i="15"/>
  <c r="T166" i="15"/>
  <c r="R15" i="15"/>
  <c r="S15" i="15"/>
  <c r="T15" i="15"/>
  <c r="R66" i="15"/>
  <c r="S66" i="15"/>
  <c r="T66" i="15"/>
  <c r="R70" i="15"/>
  <c r="S70" i="15"/>
  <c r="T70" i="15"/>
  <c r="R84" i="15"/>
  <c r="S84" i="15"/>
  <c r="T84" i="15"/>
  <c r="R123" i="15"/>
  <c r="S123" i="15"/>
  <c r="T123" i="15"/>
  <c r="R43" i="15"/>
  <c r="S43" i="15"/>
  <c r="T43" i="15"/>
  <c r="R31" i="15"/>
  <c r="S31" i="15"/>
  <c r="T31" i="15"/>
  <c r="R62" i="15"/>
  <c r="S62" i="15"/>
  <c r="T62" i="15"/>
  <c r="R60" i="15"/>
  <c r="S60" i="15"/>
  <c r="T60" i="15"/>
  <c r="R25" i="15"/>
  <c r="S25" i="15"/>
  <c r="T25" i="15"/>
  <c r="R129" i="15"/>
  <c r="S129" i="15"/>
  <c r="T129" i="15"/>
  <c r="R11" i="15"/>
  <c r="S11" i="15"/>
  <c r="T11" i="15"/>
  <c r="R5" i="15"/>
  <c r="S5" i="15"/>
  <c r="T5" i="15"/>
  <c r="R165" i="15"/>
  <c r="S165" i="15"/>
  <c r="T165" i="15"/>
  <c r="R140" i="15"/>
  <c r="S140" i="15"/>
  <c r="T140" i="15"/>
  <c r="R99" i="15"/>
  <c r="S99" i="15"/>
  <c r="T99" i="15"/>
  <c r="R29" i="15"/>
  <c r="S29" i="15"/>
  <c r="T29" i="15"/>
  <c r="R49" i="15"/>
  <c r="S49" i="15"/>
  <c r="T49" i="15"/>
  <c r="R48" i="15"/>
  <c r="S48" i="15"/>
  <c r="T48" i="15"/>
  <c r="R174" i="15"/>
  <c r="S174" i="15"/>
  <c r="T174" i="15"/>
  <c r="R142" i="15"/>
  <c r="S142" i="15"/>
  <c r="T142" i="15"/>
  <c r="R12" i="15"/>
  <c r="S12" i="15"/>
  <c r="T12" i="15"/>
  <c r="R80" i="15"/>
  <c r="S80" i="15"/>
  <c r="T80" i="15"/>
  <c r="R38" i="15"/>
  <c r="S38" i="15"/>
  <c r="T38" i="15"/>
  <c r="R46" i="15"/>
  <c r="S46" i="15"/>
  <c r="T46" i="15"/>
  <c r="R39" i="15"/>
  <c r="S39" i="15"/>
  <c r="T39" i="15"/>
  <c r="R106" i="15"/>
  <c r="S106" i="15"/>
  <c r="T106" i="15"/>
  <c r="R152" i="15"/>
  <c r="S152" i="15"/>
  <c r="T152" i="15"/>
  <c r="R178" i="15"/>
  <c r="S178" i="15"/>
  <c r="T178" i="15"/>
  <c r="R10" i="15"/>
  <c r="S10" i="15"/>
  <c r="T10" i="15"/>
  <c r="R117" i="15"/>
  <c r="S117" i="15"/>
  <c r="T117" i="15"/>
  <c r="R121" i="15"/>
  <c r="S121" i="15"/>
  <c r="T121" i="15"/>
  <c r="R175" i="15"/>
  <c r="S175" i="15"/>
  <c r="T175" i="15"/>
  <c r="R171" i="15"/>
  <c r="S171" i="15"/>
  <c r="T171" i="15"/>
  <c r="R52" i="15"/>
  <c r="S52" i="15"/>
  <c r="T52" i="15"/>
  <c r="R20" i="15"/>
  <c r="S20" i="15"/>
  <c r="T20" i="15"/>
  <c r="R113" i="15"/>
  <c r="S113" i="15"/>
  <c r="T113" i="15"/>
  <c r="R76" i="15"/>
  <c r="S76" i="15"/>
  <c r="T76" i="15"/>
  <c r="R94" i="15"/>
  <c r="S94" i="15"/>
  <c r="T94" i="15"/>
  <c r="R170" i="15"/>
  <c r="S170" i="15"/>
  <c r="T170" i="15"/>
  <c r="R61" i="15"/>
  <c r="S61" i="15"/>
  <c r="T61" i="15"/>
  <c r="R118" i="15"/>
  <c r="S118" i="15"/>
  <c r="T118" i="15"/>
  <c r="R6" i="15"/>
  <c r="S6" i="15"/>
  <c r="T6" i="15"/>
  <c r="R137" i="15"/>
  <c r="S137" i="15"/>
  <c r="T137" i="15"/>
  <c r="R90" i="15"/>
  <c r="S90" i="15"/>
  <c r="T90" i="15"/>
  <c r="R148" i="15"/>
  <c r="S148" i="15"/>
  <c r="T148" i="15"/>
  <c r="R108" i="15"/>
  <c r="S108" i="15"/>
  <c r="T108" i="15"/>
  <c r="R77" i="15"/>
  <c r="S77" i="15"/>
  <c r="T77" i="15"/>
  <c r="R26" i="15"/>
  <c r="S26" i="15"/>
  <c r="T26" i="15"/>
  <c r="R72" i="15"/>
  <c r="S72" i="15"/>
  <c r="T72" i="15"/>
  <c r="R14" i="15"/>
  <c r="S14" i="15"/>
  <c r="T14" i="15"/>
  <c r="R57" i="15"/>
  <c r="S57" i="15"/>
  <c r="T57" i="15"/>
  <c r="R4" i="15"/>
  <c r="S4" i="15"/>
  <c r="T4" i="15"/>
  <c r="R95" i="15"/>
  <c r="S95" i="15"/>
  <c r="T95" i="15"/>
  <c r="R36" i="15"/>
  <c r="S36" i="15"/>
  <c r="T36" i="15"/>
  <c r="R139" i="15"/>
  <c r="S139" i="15"/>
  <c r="T139" i="15"/>
  <c r="R112" i="15"/>
  <c r="S112" i="15"/>
  <c r="T112" i="15"/>
  <c r="R67" i="15"/>
  <c r="S67" i="15"/>
  <c r="T67" i="15"/>
  <c r="R79" i="15"/>
  <c r="S79" i="15"/>
  <c r="T79" i="15"/>
  <c r="R150" i="15"/>
  <c r="S150" i="15"/>
  <c r="T150" i="15"/>
  <c r="R53" i="15"/>
  <c r="S53" i="15"/>
  <c r="T53" i="15"/>
  <c r="R114" i="15"/>
  <c r="S114" i="15"/>
  <c r="T114" i="15"/>
  <c r="R93" i="15"/>
  <c r="S93" i="15"/>
  <c r="T93" i="15"/>
  <c r="R127" i="15"/>
  <c r="S127" i="15"/>
  <c r="T127" i="15"/>
  <c r="R161" i="15"/>
  <c r="S161" i="15"/>
  <c r="T161" i="15"/>
  <c r="R163" i="15"/>
  <c r="S163" i="15"/>
  <c r="T163" i="15"/>
  <c r="R28" i="15"/>
  <c r="S28" i="15"/>
  <c r="T28" i="15"/>
  <c r="R149" i="15"/>
  <c r="S149" i="15"/>
  <c r="T149" i="15"/>
  <c r="R172" i="15"/>
  <c r="S172" i="15"/>
  <c r="T172" i="15"/>
  <c r="R107" i="15"/>
  <c r="S107" i="15"/>
  <c r="T107" i="15"/>
  <c r="R68" i="15"/>
  <c r="S68" i="15"/>
  <c r="T68" i="15"/>
  <c r="R164" i="15"/>
  <c r="S164" i="15"/>
  <c r="T164" i="15"/>
  <c r="R40" i="15"/>
  <c r="S40" i="15"/>
  <c r="T40" i="15"/>
  <c r="R91" i="15"/>
  <c r="S91" i="15"/>
  <c r="T91" i="15"/>
  <c r="R134" i="15"/>
  <c r="S134" i="15"/>
  <c r="T134" i="15"/>
  <c r="R9" i="15"/>
  <c r="S9" i="15"/>
  <c r="T9" i="15"/>
  <c r="R116" i="15"/>
  <c r="S116" i="15"/>
  <c r="T116" i="15"/>
  <c r="R119" i="15"/>
  <c r="S119" i="15"/>
  <c r="T119" i="15"/>
  <c r="R74" i="15"/>
  <c r="S74" i="15"/>
  <c r="T74" i="15"/>
  <c r="R85" i="15"/>
  <c r="S85" i="15"/>
  <c r="T85" i="15"/>
  <c r="R115" i="15"/>
  <c r="S115" i="15"/>
  <c r="T115" i="15"/>
  <c r="R110" i="15"/>
  <c r="S110" i="15"/>
  <c r="T110" i="15"/>
  <c r="R126" i="15"/>
  <c r="S126" i="15"/>
  <c r="T126" i="15"/>
  <c r="R32" i="15"/>
  <c r="S32" i="15"/>
  <c r="T32" i="15"/>
  <c r="R56" i="15"/>
  <c r="S56" i="15"/>
  <c r="T56" i="15"/>
  <c r="R138" i="15"/>
  <c r="S138" i="15"/>
  <c r="T138" i="15"/>
  <c r="R133" i="15"/>
  <c r="S133" i="15"/>
  <c r="T133" i="15"/>
  <c r="R159" i="15"/>
  <c r="S159" i="15"/>
  <c r="T159" i="15"/>
  <c r="R130" i="15"/>
  <c r="S130" i="15"/>
  <c r="T130" i="15"/>
  <c r="R89" i="15"/>
  <c r="S89" i="15"/>
  <c r="T89" i="15"/>
  <c r="R8" i="15"/>
  <c r="S8" i="15"/>
  <c r="T8" i="15"/>
  <c r="R146" i="15"/>
  <c r="S146" i="15"/>
  <c r="T146" i="15"/>
  <c r="R167" i="15"/>
  <c r="S167" i="15"/>
  <c r="T167" i="15"/>
  <c r="R177" i="15"/>
  <c r="S177" i="15"/>
  <c r="T177" i="15"/>
  <c r="R122" i="15"/>
  <c r="S122" i="15"/>
  <c r="T122" i="15"/>
  <c r="R125" i="15"/>
  <c r="S125" i="15"/>
  <c r="T125" i="15"/>
  <c r="R64" i="15"/>
  <c r="S64" i="15"/>
  <c r="T64" i="15"/>
  <c r="R143" i="15"/>
  <c r="S143" i="15"/>
  <c r="T143" i="15"/>
  <c r="R153" i="15"/>
  <c r="S153" i="15"/>
  <c r="T153" i="15"/>
  <c r="R30" i="15"/>
  <c r="S30" i="15"/>
  <c r="T30" i="15"/>
  <c r="R42" i="15"/>
  <c r="S42" i="15"/>
  <c r="T42" i="15"/>
  <c r="R176" i="15"/>
  <c r="S176" i="15"/>
  <c r="T176" i="15"/>
  <c r="R69" i="15"/>
  <c r="S69" i="15"/>
  <c r="T69" i="15"/>
  <c r="R168" i="15"/>
  <c r="S168" i="15"/>
  <c r="T168" i="15"/>
  <c r="R104" i="15"/>
  <c r="S104" i="15"/>
  <c r="T104" i="15"/>
  <c r="R181" i="15"/>
  <c r="J455" i="17" s="1"/>
  <c r="S181" i="15"/>
  <c r="K455" i="17" s="1"/>
  <c r="T181" i="15"/>
  <c r="L455" i="17" s="1"/>
  <c r="R182" i="15"/>
  <c r="J456" i="17" s="1"/>
  <c r="S182" i="15"/>
  <c r="K456" i="17" s="1"/>
  <c r="T182" i="15"/>
  <c r="L456" i="17" s="1"/>
  <c r="R183" i="15"/>
  <c r="J457" i="17" s="1"/>
  <c r="S183" i="15"/>
  <c r="K457" i="17" s="1"/>
  <c r="T183" i="15"/>
  <c r="L457" i="17" s="1"/>
  <c r="R184" i="15"/>
  <c r="J458" i="17" s="1"/>
  <c r="S184" i="15"/>
  <c r="K458" i="17" s="1"/>
  <c r="T184" i="15"/>
  <c r="L458" i="17" s="1"/>
  <c r="R185" i="15"/>
  <c r="S185" i="15"/>
  <c r="T185" i="15"/>
  <c r="R186" i="15"/>
  <c r="S186" i="15"/>
  <c r="T186" i="15"/>
  <c r="R187" i="15"/>
  <c r="S187" i="15"/>
  <c r="T187" i="15"/>
  <c r="R188" i="15"/>
  <c r="S188" i="15"/>
  <c r="T188" i="15"/>
  <c r="R189" i="15"/>
  <c r="S189" i="15"/>
  <c r="T189" i="15"/>
  <c r="R190" i="15"/>
  <c r="S190" i="15"/>
  <c r="T190" i="15"/>
  <c r="R191" i="15"/>
  <c r="S191" i="15"/>
  <c r="T191" i="15"/>
  <c r="R192" i="15"/>
  <c r="S192" i="15"/>
  <c r="T192" i="15"/>
  <c r="R193" i="15"/>
  <c r="S193" i="15"/>
  <c r="T193" i="15"/>
  <c r="R194" i="15"/>
  <c r="S194" i="15"/>
  <c r="T194" i="15"/>
  <c r="R195" i="15"/>
  <c r="S195" i="15"/>
  <c r="T195" i="15"/>
  <c r="R196" i="15"/>
  <c r="S196" i="15"/>
  <c r="T196" i="15"/>
  <c r="R197" i="15"/>
  <c r="S197" i="15"/>
  <c r="T197" i="15"/>
  <c r="R198" i="15"/>
  <c r="S198" i="15"/>
  <c r="T198" i="15"/>
  <c r="R199" i="15"/>
  <c r="S199" i="15"/>
  <c r="T199" i="15"/>
  <c r="R200" i="15"/>
  <c r="S200" i="15"/>
  <c r="T200" i="15"/>
  <c r="R201" i="15"/>
  <c r="S201" i="15"/>
  <c r="T201" i="15"/>
  <c r="R202" i="15"/>
  <c r="S202" i="15"/>
  <c r="T202" i="15"/>
  <c r="R203" i="15"/>
  <c r="S203" i="15"/>
  <c r="T203" i="15"/>
  <c r="R204" i="15"/>
  <c r="S204" i="15"/>
  <c r="T204" i="15"/>
  <c r="R205" i="15"/>
  <c r="S205" i="15"/>
  <c r="T205" i="15"/>
  <c r="R206" i="15"/>
  <c r="S206" i="15"/>
  <c r="T206" i="15"/>
  <c r="R207" i="15"/>
  <c r="S207" i="15"/>
  <c r="T207" i="15"/>
  <c r="R208" i="15"/>
  <c r="S208" i="15"/>
  <c r="T208" i="15"/>
  <c r="R209" i="15"/>
  <c r="S209" i="15"/>
  <c r="T209" i="15"/>
  <c r="R210" i="15"/>
  <c r="S210" i="15"/>
  <c r="T210" i="15"/>
  <c r="R211" i="15"/>
  <c r="S211" i="15"/>
  <c r="T211" i="15"/>
  <c r="R212" i="15"/>
  <c r="S212" i="15"/>
  <c r="T212" i="15"/>
  <c r="R213" i="15"/>
  <c r="S213" i="15"/>
  <c r="T213" i="15"/>
  <c r="R214" i="15"/>
  <c r="S214" i="15"/>
  <c r="T214" i="15"/>
  <c r="R215" i="15"/>
  <c r="S215" i="15"/>
  <c r="T215" i="15"/>
  <c r="R216" i="15"/>
  <c r="S216" i="15"/>
  <c r="T216" i="15"/>
  <c r="R217" i="15"/>
  <c r="S217" i="15"/>
  <c r="T217" i="15"/>
  <c r="R218" i="15"/>
  <c r="S218" i="15"/>
  <c r="T218" i="15"/>
  <c r="R219" i="15"/>
  <c r="S219" i="15"/>
  <c r="T219" i="15"/>
  <c r="R220" i="15"/>
  <c r="S220" i="15"/>
  <c r="T220" i="15"/>
  <c r="R221" i="15"/>
  <c r="S221" i="15"/>
  <c r="T221" i="15"/>
  <c r="R222" i="15"/>
  <c r="S222" i="15"/>
  <c r="T222" i="15"/>
  <c r="R223" i="15"/>
  <c r="S223" i="15"/>
  <c r="T223" i="15"/>
  <c r="R224" i="15"/>
  <c r="S224" i="15"/>
  <c r="T224" i="15"/>
  <c r="R225" i="15"/>
  <c r="S225" i="15"/>
  <c r="T225" i="15"/>
  <c r="R226" i="15"/>
  <c r="S226" i="15"/>
  <c r="T226" i="15"/>
  <c r="R227" i="15"/>
  <c r="S227" i="15"/>
  <c r="T227" i="15"/>
  <c r="R228" i="15"/>
  <c r="S228" i="15"/>
  <c r="T228" i="15"/>
  <c r="R229" i="15"/>
  <c r="S229" i="15"/>
  <c r="T229" i="15"/>
  <c r="R230" i="15"/>
  <c r="S230" i="15"/>
  <c r="T230" i="15"/>
  <c r="R231" i="15"/>
  <c r="S231" i="15"/>
  <c r="T231" i="15"/>
  <c r="R232" i="15"/>
  <c r="S232" i="15"/>
  <c r="T232" i="15"/>
  <c r="R233" i="15"/>
  <c r="S233" i="15"/>
  <c r="T233" i="15"/>
  <c r="R234" i="15"/>
  <c r="S234" i="15"/>
  <c r="T234" i="15"/>
  <c r="R235" i="15"/>
  <c r="S235" i="15"/>
  <c r="T235" i="15"/>
  <c r="R236" i="15"/>
  <c r="S236" i="15"/>
  <c r="T236" i="15"/>
  <c r="R237" i="15"/>
  <c r="S237" i="15"/>
  <c r="T237" i="15"/>
  <c r="R238" i="15"/>
  <c r="S238" i="15"/>
  <c r="T238" i="15"/>
  <c r="R239" i="15"/>
  <c r="S239" i="15"/>
  <c r="T239" i="15"/>
  <c r="R240" i="15"/>
  <c r="S240" i="15"/>
  <c r="T240" i="15"/>
  <c r="R241" i="15"/>
  <c r="S241" i="15"/>
  <c r="T241" i="15"/>
  <c r="R242" i="15"/>
  <c r="S242" i="15"/>
  <c r="T242" i="15"/>
  <c r="R243" i="15"/>
  <c r="S243" i="15"/>
  <c r="T243" i="15"/>
  <c r="R244" i="15"/>
  <c r="S244" i="15"/>
  <c r="T244" i="15"/>
  <c r="R245" i="15"/>
  <c r="S245" i="15"/>
  <c r="T245" i="15"/>
  <c r="R246" i="15"/>
  <c r="S246" i="15"/>
  <c r="T246" i="15"/>
  <c r="R247" i="15"/>
  <c r="S247" i="15"/>
  <c r="T247" i="15"/>
  <c r="R248" i="15"/>
  <c r="S248" i="15"/>
  <c r="T248" i="15"/>
  <c r="R249" i="15"/>
  <c r="S249" i="15"/>
  <c r="T249" i="15"/>
  <c r="R250" i="15"/>
  <c r="S250" i="15"/>
  <c r="T250" i="15"/>
  <c r="R251" i="15"/>
  <c r="S251" i="15"/>
  <c r="T251" i="15"/>
  <c r="R252" i="15"/>
  <c r="S252" i="15"/>
  <c r="T252" i="15"/>
  <c r="R253" i="15"/>
  <c r="S253" i="15"/>
  <c r="T253" i="15"/>
  <c r="R254" i="15"/>
  <c r="S254" i="15"/>
  <c r="T254" i="15"/>
  <c r="R255" i="15"/>
  <c r="S255" i="15"/>
  <c r="T255" i="15"/>
  <c r="R256" i="15"/>
  <c r="S256" i="15"/>
  <c r="T256" i="15"/>
  <c r="R257" i="15"/>
  <c r="S257" i="15"/>
  <c r="T257" i="15"/>
  <c r="R258" i="15"/>
  <c r="S258" i="15"/>
  <c r="T258" i="15"/>
  <c r="R259" i="15"/>
  <c r="S259" i="15"/>
  <c r="T259" i="15"/>
  <c r="R260" i="15"/>
  <c r="S260" i="15"/>
  <c r="T260" i="15"/>
  <c r="R261" i="15"/>
  <c r="S261" i="15"/>
  <c r="T261" i="15"/>
  <c r="R262" i="15"/>
  <c r="S262" i="15"/>
  <c r="T262" i="15"/>
  <c r="R263" i="15"/>
  <c r="S263" i="15"/>
  <c r="T263" i="15"/>
  <c r="R264" i="15"/>
  <c r="S264" i="15"/>
  <c r="T264" i="15"/>
  <c r="R265" i="15"/>
  <c r="S265" i="15"/>
  <c r="T265" i="15"/>
  <c r="R266" i="15"/>
  <c r="S266" i="15"/>
  <c r="T266" i="15"/>
  <c r="R267" i="15"/>
  <c r="S267" i="15"/>
  <c r="T267" i="15"/>
  <c r="R268" i="15"/>
  <c r="S268" i="15"/>
  <c r="T268" i="15"/>
  <c r="R269" i="15"/>
  <c r="S269" i="15"/>
  <c r="T269" i="15"/>
  <c r="R270" i="15"/>
  <c r="S270" i="15"/>
  <c r="T270" i="15"/>
  <c r="R271" i="15"/>
  <c r="S271" i="15"/>
  <c r="T271" i="15"/>
  <c r="R272" i="15"/>
  <c r="S272" i="15"/>
  <c r="T272" i="15"/>
  <c r="R273" i="15"/>
  <c r="S273" i="15"/>
  <c r="T273" i="15"/>
  <c r="R274" i="15"/>
  <c r="S274" i="15"/>
  <c r="T274" i="15"/>
  <c r="O13" i="16"/>
  <c r="P13" i="16"/>
  <c r="Q13" i="16"/>
  <c r="O73" i="16"/>
  <c r="P73" i="16"/>
  <c r="Q73" i="16"/>
  <c r="O14" i="16"/>
  <c r="P14" i="16"/>
  <c r="Q14" i="16"/>
  <c r="O45" i="16"/>
  <c r="P45" i="16"/>
  <c r="Q45" i="16"/>
  <c r="O11" i="16"/>
  <c r="P11" i="16"/>
  <c r="Q11" i="16"/>
  <c r="O20" i="16"/>
  <c r="P20" i="16"/>
  <c r="Q20" i="16"/>
  <c r="O82" i="16"/>
  <c r="P82" i="16"/>
  <c r="Q82" i="16"/>
  <c r="O19" i="16"/>
  <c r="P19" i="16"/>
  <c r="Q19" i="16"/>
  <c r="O84" i="16"/>
  <c r="P84" i="16"/>
  <c r="Q84" i="16"/>
  <c r="O22" i="16"/>
  <c r="P22" i="16"/>
  <c r="Q22" i="16"/>
  <c r="O53" i="16"/>
  <c r="P53" i="16"/>
  <c r="Q53" i="16"/>
  <c r="O59" i="16"/>
  <c r="P59" i="16"/>
  <c r="Q59" i="16"/>
  <c r="O4" i="16"/>
  <c r="P4" i="16"/>
  <c r="Q4" i="16"/>
  <c r="O34" i="16"/>
  <c r="P34" i="16"/>
  <c r="Q34" i="16"/>
  <c r="O44" i="16"/>
  <c r="P44" i="16"/>
  <c r="Q44" i="16"/>
  <c r="O96" i="16"/>
  <c r="P96" i="16"/>
  <c r="Q96" i="16"/>
  <c r="O50" i="16"/>
  <c r="P50" i="16"/>
  <c r="Q50" i="16"/>
  <c r="O108" i="16"/>
  <c r="P108" i="16"/>
  <c r="Q108" i="16"/>
  <c r="O78" i="16"/>
  <c r="P78" i="16"/>
  <c r="Q78" i="16"/>
  <c r="O89" i="16"/>
  <c r="P89" i="16"/>
  <c r="Q89" i="16"/>
  <c r="O80" i="16"/>
  <c r="P80" i="16"/>
  <c r="Q80" i="16"/>
  <c r="O39" i="16"/>
  <c r="P39" i="16"/>
  <c r="Q39" i="16"/>
  <c r="O37" i="16"/>
  <c r="P37" i="16"/>
  <c r="Q37" i="16"/>
  <c r="O42" i="16"/>
  <c r="P42" i="16"/>
  <c r="Q42" i="16"/>
  <c r="O27" i="16"/>
  <c r="P27" i="16"/>
  <c r="Q27" i="16"/>
  <c r="O33" i="16"/>
  <c r="P33" i="16"/>
  <c r="Q33" i="16"/>
  <c r="O3" i="16"/>
  <c r="P3" i="16"/>
  <c r="Q3" i="16"/>
  <c r="O5" i="16"/>
  <c r="P5" i="16"/>
  <c r="Q5" i="16"/>
  <c r="O32" i="16"/>
  <c r="P32" i="16"/>
  <c r="Q32" i="16"/>
  <c r="O43" i="16"/>
  <c r="P43" i="16"/>
  <c r="Q43" i="16"/>
  <c r="O29" i="16"/>
  <c r="P29" i="16"/>
  <c r="Q29" i="16"/>
  <c r="O98" i="16"/>
  <c r="P98" i="16"/>
  <c r="Q98" i="16"/>
  <c r="O40" i="16"/>
  <c r="P40" i="16"/>
  <c r="Q40" i="16"/>
  <c r="O103" i="16"/>
  <c r="P103" i="16"/>
  <c r="Q103" i="16"/>
  <c r="O63" i="16"/>
  <c r="P63" i="16"/>
  <c r="Q63" i="16"/>
  <c r="O68" i="16"/>
  <c r="P68" i="16"/>
  <c r="Q68" i="16"/>
  <c r="O57" i="16"/>
  <c r="P57" i="16"/>
  <c r="Q57" i="16"/>
  <c r="O74" i="16"/>
  <c r="P74" i="16"/>
  <c r="Q74" i="16"/>
  <c r="O12" i="16"/>
  <c r="P12" i="16"/>
  <c r="Q12" i="16"/>
  <c r="O2" i="16"/>
  <c r="P2" i="16"/>
  <c r="Q2" i="16"/>
  <c r="O10" i="16"/>
  <c r="P10" i="16"/>
  <c r="Q10" i="16"/>
  <c r="O91" i="16"/>
  <c r="P91" i="16"/>
  <c r="Q91" i="16"/>
  <c r="O6" i="16"/>
  <c r="P6" i="16"/>
  <c r="Q6" i="16"/>
  <c r="O48" i="16"/>
  <c r="P48" i="16"/>
  <c r="Q48" i="16"/>
  <c r="O8" i="16"/>
  <c r="P8" i="16"/>
  <c r="Q8" i="16"/>
  <c r="O60" i="16"/>
  <c r="P60" i="16"/>
  <c r="Q60" i="16"/>
  <c r="O7" i="16"/>
  <c r="P7" i="16"/>
  <c r="Q7" i="16"/>
  <c r="O25" i="16"/>
  <c r="P25" i="16"/>
  <c r="Q25" i="16"/>
  <c r="O21" i="16"/>
  <c r="P21" i="16"/>
  <c r="Q21" i="16"/>
  <c r="O107" i="16"/>
  <c r="P107" i="16"/>
  <c r="Q107" i="16"/>
  <c r="O100" i="16"/>
  <c r="P100" i="16"/>
  <c r="Q100" i="16"/>
  <c r="O24" i="16"/>
  <c r="P24" i="16"/>
  <c r="Q24" i="16"/>
  <c r="O46" i="16"/>
  <c r="P46" i="16"/>
  <c r="Q46" i="16"/>
  <c r="O81" i="16"/>
  <c r="P81" i="16"/>
  <c r="Q81" i="16"/>
  <c r="O15" i="16"/>
  <c r="P15" i="16"/>
  <c r="Q15" i="16"/>
  <c r="O61" i="16"/>
  <c r="P61" i="16"/>
  <c r="Q61" i="16"/>
  <c r="O70" i="16"/>
  <c r="P70" i="16"/>
  <c r="Q70" i="16"/>
  <c r="O56" i="16"/>
  <c r="P56" i="16"/>
  <c r="Q56" i="16"/>
  <c r="O9" i="16"/>
  <c r="P9" i="16"/>
  <c r="Q9" i="16"/>
  <c r="O23" i="16"/>
  <c r="P23" i="16"/>
  <c r="Q23" i="16"/>
  <c r="O87" i="16"/>
  <c r="P87" i="16"/>
  <c r="Q87" i="16"/>
  <c r="O85" i="16"/>
  <c r="P85" i="16"/>
  <c r="Q85" i="16"/>
  <c r="O52" i="16"/>
  <c r="P52" i="16"/>
  <c r="Q52" i="16"/>
  <c r="O41" i="16"/>
  <c r="P41" i="16"/>
  <c r="Q41" i="16"/>
  <c r="O83" i="16"/>
  <c r="P83" i="16"/>
  <c r="Q83" i="16"/>
  <c r="O31" i="16"/>
  <c r="P31" i="16"/>
  <c r="Q31" i="16"/>
  <c r="O92" i="16"/>
  <c r="P92" i="16"/>
  <c r="Q92" i="16"/>
  <c r="O72" i="16"/>
  <c r="P72" i="16"/>
  <c r="Q72" i="16"/>
  <c r="O75" i="16"/>
  <c r="P75" i="16"/>
  <c r="Q75" i="16"/>
  <c r="O69" i="16"/>
  <c r="P69" i="16"/>
  <c r="Q69" i="16"/>
  <c r="O30" i="16"/>
  <c r="P30" i="16"/>
  <c r="Q30" i="16"/>
  <c r="O55" i="16"/>
  <c r="P55" i="16"/>
  <c r="Q55" i="16"/>
  <c r="O62" i="16"/>
  <c r="P62" i="16"/>
  <c r="Q62" i="16"/>
  <c r="O94" i="16"/>
  <c r="P94" i="16"/>
  <c r="Q94" i="16"/>
  <c r="O18" i="16"/>
  <c r="P18" i="16"/>
  <c r="Q18" i="16"/>
  <c r="O86" i="16"/>
  <c r="P86" i="16"/>
  <c r="Q86" i="16"/>
  <c r="O99" i="16"/>
  <c r="P99" i="16"/>
  <c r="Q99" i="16"/>
  <c r="O76" i="16"/>
  <c r="P76" i="16"/>
  <c r="Q76" i="16"/>
  <c r="O36" i="16"/>
  <c r="P36" i="16"/>
  <c r="Q36" i="16"/>
  <c r="O67" i="16"/>
  <c r="P67" i="16"/>
  <c r="Q67" i="16"/>
  <c r="O66" i="16"/>
  <c r="P66" i="16"/>
  <c r="Q66" i="16"/>
  <c r="O38" i="16"/>
  <c r="P38" i="16"/>
  <c r="Q38" i="16"/>
  <c r="O49" i="16"/>
  <c r="P49" i="16"/>
  <c r="Q49" i="16"/>
  <c r="O71" i="16"/>
  <c r="P71" i="16"/>
  <c r="Q71" i="16"/>
  <c r="O90" i="16"/>
  <c r="P90" i="16"/>
  <c r="Q90" i="16"/>
  <c r="O58" i="16"/>
  <c r="P58" i="16"/>
  <c r="Q58" i="16"/>
  <c r="O28" i="16"/>
  <c r="P28" i="16"/>
  <c r="Q28" i="16"/>
  <c r="O17" i="16"/>
  <c r="P17" i="16"/>
  <c r="Q17" i="16"/>
  <c r="O77" i="16"/>
  <c r="P77" i="16"/>
  <c r="Q77" i="16"/>
  <c r="O16" i="16"/>
  <c r="P16" i="16"/>
  <c r="Q16" i="16"/>
  <c r="O47" i="16"/>
  <c r="P47" i="16"/>
  <c r="Q47" i="16"/>
  <c r="O93" i="16"/>
  <c r="P93" i="16"/>
  <c r="Q93" i="16"/>
  <c r="O64" i="16"/>
  <c r="P64" i="16"/>
  <c r="Q64" i="16"/>
  <c r="O88" i="16"/>
  <c r="P88" i="16"/>
  <c r="Q88" i="16"/>
  <c r="O26" i="16"/>
  <c r="P26" i="16"/>
  <c r="Q26" i="16"/>
  <c r="O51" i="16"/>
  <c r="P51" i="16"/>
  <c r="Q51" i="16"/>
  <c r="O65" i="16"/>
  <c r="P65" i="16"/>
  <c r="Q65" i="16"/>
  <c r="O102" i="16"/>
  <c r="P102" i="16"/>
  <c r="Q102" i="16"/>
  <c r="O97" i="16"/>
  <c r="P97" i="16"/>
  <c r="Q97" i="16"/>
  <c r="O79" i="16"/>
  <c r="P79" i="16"/>
  <c r="Q79" i="16"/>
  <c r="O105" i="16"/>
  <c r="P105" i="16"/>
  <c r="Q105" i="16"/>
  <c r="O54" i="16"/>
  <c r="P54" i="16"/>
  <c r="Q54" i="16"/>
  <c r="O104" i="16"/>
  <c r="P104" i="16"/>
  <c r="Q104" i="16"/>
  <c r="O35" i="16"/>
  <c r="P35" i="16"/>
  <c r="Q35" i="16"/>
  <c r="O106" i="16"/>
  <c r="P106" i="16"/>
  <c r="Q106" i="16"/>
  <c r="O95" i="16"/>
  <c r="P95" i="16"/>
  <c r="Q95" i="16"/>
  <c r="O101" i="16"/>
  <c r="P101" i="16"/>
  <c r="Q101" i="16"/>
  <c r="O110" i="16"/>
  <c r="P110" i="16"/>
  <c r="Q110" i="16"/>
  <c r="O111" i="16"/>
  <c r="J599" i="17" s="1"/>
  <c r="P111" i="16"/>
  <c r="K599" i="17" s="1"/>
  <c r="Q111" i="16"/>
  <c r="L599" i="17" s="1"/>
  <c r="O112" i="16"/>
  <c r="P112" i="16"/>
  <c r="Q112" i="16"/>
  <c r="O113" i="16"/>
  <c r="P113" i="16"/>
  <c r="Q113" i="16"/>
  <c r="O114" i="16"/>
  <c r="P114" i="16"/>
  <c r="Q114" i="16"/>
  <c r="O115" i="16"/>
  <c r="P115" i="16"/>
  <c r="Q115" i="16"/>
  <c r="O116" i="16"/>
  <c r="P116" i="16"/>
  <c r="Q116" i="16"/>
  <c r="O117" i="16"/>
  <c r="P117" i="16"/>
  <c r="Q117" i="16"/>
  <c r="O118" i="16"/>
  <c r="P118" i="16"/>
  <c r="Q118" i="16"/>
  <c r="O119" i="16"/>
  <c r="P119" i="16"/>
  <c r="Q119" i="16"/>
  <c r="O120" i="16"/>
  <c r="P120" i="16"/>
  <c r="Q120" i="16"/>
  <c r="O121" i="16"/>
  <c r="P121" i="16"/>
  <c r="Q121" i="16"/>
  <c r="O122" i="16"/>
  <c r="P122" i="16"/>
  <c r="Q122" i="16"/>
  <c r="O123" i="16"/>
  <c r="P123" i="16"/>
  <c r="Q123" i="16"/>
  <c r="O124" i="16"/>
  <c r="P124" i="16"/>
  <c r="Q124" i="16"/>
  <c r="O125" i="16"/>
  <c r="P125" i="16"/>
  <c r="Q125" i="16"/>
  <c r="O126" i="16"/>
  <c r="P126" i="16"/>
  <c r="Q126" i="16"/>
  <c r="O127" i="16"/>
  <c r="P127" i="16"/>
  <c r="Q127" i="16"/>
  <c r="O128" i="16"/>
  <c r="P128" i="16"/>
  <c r="Q128" i="16"/>
  <c r="O129" i="16"/>
  <c r="P129" i="16"/>
  <c r="Q129" i="16"/>
  <c r="O130" i="16"/>
  <c r="P130" i="16"/>
  <c r="Q130" i="16"/>
  <c r="O131" i="16"/>
  <c r="P131" i="16"/>
  <c r="Q131" i="16"/>
  <c r="O132" i="16"/>
  <c r="P132" i="16"/>
  <c r="Q132" i="16"/>
  <c r="O133" i="16"/>
  <c r="P133" i="16"/>
  <c r="Q133" i="16"/>
  <c r="O134" i="16"/>
  <c r="P134" i="16"/>
  <c r="Q134" i="16"/>
  <c r="O135" i="16"/>
  <c r="P135" i="16"/>
  <c r="Q135" i="16"/>
  <c r="O136" i="16"/>
  <c r="P136" i="16"/>
  <c r="Q136" i="16"/>
  <c r="O137" i="16"/>
  <c r="P137" i="16"/>
  <c r="Q137" i="16"/>
  <c r="O138" i="16"/>
  <c r="P138" i="16"/>
  <c r="Q138" i="16"/>
  <c r="O139" i="16"/>
  <c r="P139" i="16"/>
  <c r="Q139" i="16"/>
  <c r="O140" i="16"/>
  <c r="P140" i="16"/>
  <c r="Q140" i="16"/>
  <c r="O141" i="16"/>
  <c r="P141" i="16"/>
  <c r="Q141" i="16"/>
  <c r="O142" i="16"/>
  <c r="P142" i="16"/>
  <c r="Q142" i="16"/>
  <c r="O143" i="16"/>
  <c r="P143" i="16"/>
  <c r="Q143" i="16"/>
  <c r="O144" i="16"/>
  <c r="P144" i="16"/>
  <c r="Q144" i="16"/>
  <c r="O145" i="16"/>
  <c r="P145" i="16"/>
  <c r="Q145" i="16"/>
  <c r="O146" i="16"/>
  <c r="P146" i="16"/>
  <c r="Q146" i="16"/>
  <c r="O147" i="16"/>
  <c r="P147" i="16"/>
  <c r="Q147" i="16"/>
  <c r="O148" i="16"/>
  <c r="P148" i="16"/>
  <c r="Q148" i="16"/>
  <c r="O149" i="16"/>
  <c r="P149" i="16"/>
  <c r="Q149" i="16"/>
  <c r="O150" i="16"/>
  <c r="P150" i="16"/>
  <c r="Q150" i="16"/>
  <c r="O151" i="16"/>
  <c r="P151" i="16"/>
  <c r="Q151" i="16"/>
  <c r="O152" i="16"/>
  <c r="P152" i="16"/>
  <c r="Q152" i="16"/>
  <c r="O153" i="16"/>
  <c r="P153" i="16"/>
  <c r="Q153" i="16"/>
  <c r="O154" i="16"/>
  <c r="P154" i="16"/>
  <c r="Q154" i="16"/>
  <c r="O155" i="16"/>
  <c r="P155" i="16"/>
  <c r="Q155" i="16"/>
  <c r="O156" i="16"/>
  <c r="P156" i="16"/>
  <c r="Q156" i="16"/>
  <c r="O157" i="16"/>
  <c r="P157" i="16"/>
  <c r="Q157" i="16"/>
  <c r="O158" i="16"/>
  <c r="P158" i="16"/>
  <c r="Q158" i="16"/>
  <c r="O159" i="16"/>
  <c r="P159" i="16"/>
  <c r="Q159" i="16"/>
  <c r="O160" i="16"/>
  <c r="P160" i="16"/>
  <c r="Q160" i="16"/>
  <c r="O161" i="16"/>
  <c r="P161" i="16"/>
  <c r="Q161" i="16"/>
  <c r="O162" i="16"/>
  <c r="P162" i="16"/>
  <c r="Q162" i="16"/>
  <c r="O163" i="16"/>
  <c r="P163" i="16"/>
  <c r="Q163" i="16"/>
  <c r="O164" i="16"/>
  <c r="P164" i="16"/>
  <c r="Q164" i="16"/>
  <c r="O165" i="16"/>
  <c r="P165" i="16"/>
  <c r="Q165" i="16"/>
  <c r="O166" i="16"/>
  <c r="P166" i="16"/>
  <c r="Q166" i="16"/>
  <c r="O167" i="16"/>
  <c r="P167" i="16"/>
  <c r="Q167" i="16"/>
  <c r="O168" i="16"/>
  <c r="P168" i="16"/>
  <c r="Q168" i="16"/>
  <c r="O169" i="16"/>
  <c r="P169" i="16"/>
  <c r="Q169" i="16"/>
  <c r="O170" i="16"/>
  <c r="P170" i="16"/>
  <c r="Q170" i="16"/>
  <c r="O171" i="16"/>
  <c r="P171" i="16"/>
  <c r="Q171" i="16"/>
  <c r="O172" i="16"/>
  <c r="P172" i="16"/>
  <c r="Q172" i="16"/>
  <c r="O173" i="16"/>
  <c r="P173" i="16"/>
  <c r="Q173" i="16"/>
  <c r="O174" i="16"/>
  <c r="P174" i="16"/>
  <c r="Q174" i="16"/>
  <c r="O175" i="16"/>
  <c r="P175" i="16"/>
  <c r="Q175" i="16"/>
  <c r="O176" i="16"/>
  <c r="P176" i="16"/>
  <c r="Q176" i="16"/>
  <c r="O177" i="16"/>
  <c r="P177" i="16"/>
  <c r="Q177" i="16"/>
  <c r="O178" i="16"/>
  <c r="P178" i="16"/>
  <c r="Q178" i="16"/>
  <c r="O179" i="16"/>
  <c r="P179" i="16"/>
  <c r="Q179" i="16"/>
  <c r="O180" i="16"/>
  <c r="P180" i="16"/>
  <c r="Q180" i="16"/>
  <c r="O181" i="16"/>
  <c r="P181" i="16"/>
  <c r="Q181" i="16"/>
  <c r="O182" i="16"/>
  <c r="P182" i="16"/>
  <c r="Q182" i="16"/>
  <c r="O183" i="16"/>
  <c r="P183" i="16"/>
  <c r="Q183" i="16"/>
  <c r="O184" i="16"/>
  <c r="P184" i="16"/>
  <c r="Q184" i="16"/>
  <c r="O185" i="16"/>
  <c r="P185" i="16"/>
  <c r="Q185" i="16"/>
  <c r="O186" i="16"/>
  <c r="P186" i="16"/>
  <c r="Q186" i="16"/>
  <c r="O187" i="16"/>
  <c r="P187" i="16"/>
  <c r="Q187" i="16"/>
  <c r="O188" i="16"/>
  <c r="P188" i="16"/>
  <c r="Q188" i="16"/>
  <c r="O189" i="16"/>
  <c r="P189" i="16"/>
  <c r="Q189" i="16"/>
  <c r="O190" i="16"/>
  <c r="P190" i="16"/>
  <c r="Q190" i="16"/>
  <c r="O191" i="16"/>
  <c r="P191" i="16"/>
  <c r="Q191" i="16"/>
  <c r="O192" i="16"/>
  <c r="P192" i="16"/>
  <c r="Q192" i="16"/>
  <c r="O193" i="16"/>
  <c r="P193" i="16"/>
  <c r="Q193" i="16"/>
  <c r="O194" i="16"/>
  <c r="P194" i="16"/>
  <c r="Q194" i="16"/>
  <c r="O195" i="16"/>
  <c r="P195" i="16"/>
  <c r="Q195" i="16"/>
  <c r="O196" i="16"/>
  <c r="P196" i="16"/>
  <c r="Q196" i="16"/>
  <c r="O197" i="16"/>
  <c r="P197" i="16"/>
  <c r="Q197" i="16"/>
  <c r="O198" i="16"/>
  <c r="P198" i="16"/>
  <c r="Q198" i="16"/>
  <c r="O199" i="16"/>
  <c r="P199" i="16"/>
  <c r="Q199" i="16"/>
  <c r="O200" i="16"/>
  <c r="P200" i="16"/>
  <c r="Q200" i="16"/>
  <c r="O201" i="16"/>
  <c r="P201" i="16"/>
  <c r="Q201" i="16"/>
  <c r="O202" i="16"/>
  <c r="P202" i="16"/>
  <c r="Q202" i="16"/>
  <c r="O203" i="16"/>
  <c r="P203" i="16"/>
  <c r="Q203" i="16"/>
  <c r="O204" i="16"/>
  <c r="P204" i="16"/>
  <c r="Q204" i="16"/>
  <c r="O205" i="16"/>
  <c r="P205" i="16"/>
  <c r="Q205" i="16"/>
  <c r="O206" i="16"/>
  <c r="P206" i="16"/>
  <c r="Q206" i="16"/>
  <c r="O207" i="16"/>
  <c r="P207" i="16"/>
  <c r="Q207" i="16"/>
  <c r="O208" i="16"/>
  <c r="P208" i="16"/>
  <c r="Q208" i="16"/>
  <c r="O209" i="16"/>
  <c r="P209" i="16"/>
  <c r="Q209" i="16"/>
  <c r="O210" i="16"/>
  <c r="P210" i="16"/>
  <c r="Q210" i="16"/>
  <c r="O211" i="16"/>
  <c r="P211" i="16"/>
  <c r="Q211" i="16"/>
  <c r="O212" i="16"/>
  <c r="P212" i="16"/>
  <c r="Q212" i="16"/>
  <c r="O213" i="16"/>
  <c r="P213" i="16"/>
  <c r="Q213" i="16"/>
  <c r="O214" i="16"/>
  <c r="P214" i="16"/>
  <c r="Q214" i="16"/>
  <c r="O215" i="16"/>
  <c r="P215" i="16"/>
  <c r="Q215" i="16"/>
  <c r="O216" i="16"/>
  <c r="P216" i="16"/>
  <c r="Q216" i="16"/>
  <c r="O217" i="16"/>
  <c r="P217" i="16"/>
  <c r="Q217" i="16"/>
  <c r="O218" i="16"/>
  <c r="P218" i="16"/>
  <c r="Q218" i="16"/>
  <c r="O219" i="16"/>
  <c r="P219" i="16"/>
  <c r="Q219" i="16"/>
  <c r="O220" i="16"/>
  <c r="P220" i="16"/>
  <c r="Q220" i="16"/>
  <c r="O221" i="16"/>
  <c r="P221" i="16"/>
  <c r="Q221" i="16"/>
  <c r="O222" i="16"/>
  <c r="P222" i="16"/>
  <c r="Q222" i="16"/>
  <c r="O223" i="16"/>
  <c r="P223" i="16"/>
  <c r="Q223" i="16"/>
  <c r="O224" i="16"/>
  <c r="P224" i="16"/>
  <c r="Q224" i="16"/>
  <c r="O225" i="16"/>
  <c r="P225" i="16"/>
  <c r="Q225" i="16"/>
  <c r="O226" i="16"/>
  <c r="P226" i="16"/>
  <c r="Q226" i="16"/>
  <c r="O227" i="16"/>
  <c r="P227" i="16"/>
  <c r="Q227" i="16"/>
  <c r="O228" i="16"/>
  <c r="P228" i="16"/>
  <c r="Q228" i="16"/>
  <c r="O229" i="16"/>
  <c r="P229" i="16"/>
  <c r="Q229" i="16"/>
  <c r="O230" i="16"/>
  <c r="P230" i="16"/>
  <c r="Q230" i="16"/>
  <c r="O231" i="16"/>
  <c r="P231" i="16"/>
  <c r="Q231" i="16"/>
  <c r="O232" i="16"/>
  <c r="P232" i="16"/>
  <c r="Q232" i="16"/>
  <c r="O233" i="16"/>
  <c r="P233" i="16"/>
  <c r="Q233" i="16"/>
  <c r="O234" i="16"/>
  <c r="P234" i="16"/>
  <c r="Q234" i="16"/>
  <c r="O235" i="16"/>
  <c r="P235" i="16"/>
  <c r="Q235" i="16"/>
  <c r="O236" i="16"/>
  <c r="P236" i="16"/>
  <c r="Q236" i="16"/>
  <c r="O237" i="16"/>
  <c r="P237" i="16"/>
  <c r="Q237" i="16"/>
  <c r="O238" i="16"/>
  <c r="P238" i="16"/>
  <c r="Q238" i="16"/>
  <c r="O239" i="16"/>
  <c r="P239" i="16"/>
  <c r="Q239" i="16"/>
  <c r="O240" i="16"/>
  <c r="P240" i="16"/>
  <c r="Q240" i="16"/>
  <c r="O241" i="16"/>
  <c r="P241" i="16"/>
  <c r="Q241" i="16"/>
  <c r="O242" i="16"/>
  <c r="P242" i="16"/>
  <c r="Q242" i="16"/>
  <c r="O243" i="16"/>
  <c r="P243" i="16"/>
  <c r="Q243" i="16"/>
  <c r="O244" i="16"/>
  <c r="P244" i="16"/>
  <c r="Q244" i="16"/>
  <c r="O245" i="16"/>
  <c r="P245" i="16"/>
  <c r="Q245" i="16"/>
  <c r="O246" i="16"/>
  <c r="P246" i="16"/>
  <c r="Q246" i="16"/>
  <c r="O247" i="16"/>
  <c r="P247" i="16"/>
  <c r="Q247" i="16"/>
  <c r="O248" i="16"/>
  <c r="P248" i="16"/>
  <c r="Q248" i="16"/>
  <c r="O249" i="16"/>
  <c r="P249" i="16"/>
  <c r="Q249" i="16"/>
  <c r="O250" i="16"/>
  <c r="P250" i="16"/>
  <c r="Q250" i="16"/>
  <c r="O251" i="16"/>
  <c r="P251" i="16"/>
  <c r="Q251" i="16"/>
  <c r="O252" i="16"/>
  <c r="P252" i="16"/>
  <c r="Q252" i="16"/>
  <c r="O253" i="16"/>
  <c r="P253" i="16"/>
  <c r="Q253" i="16"/>
  <c r="O254" i="16"/>
  <c r="P254" i="16"/>
  <c r="Q254" i="16"/>
  <c r="O255" i="16"/>
  <c r="P255" i="16"/>
  <c r="Q255" i="16"/>
  <c r="O256" i="16"/>
  <c r="P256" i="16"/>
  <c r="Q256" i="16"/>
  <c r="O257" i="16"/>
  <c r="P257" i="16"/>
  <c r="Q257" i="16"/>
  <c r="O258" i="16"/>
  <c r="P258" i="16"/>
  <c r="Q258" i="16"/>
  <c r="O259" i="16"/>
  <c r="P259" i="16"/>
  <c r="Q259" i="16"/>
  <c r="O260" i="16"/>
  <c r="P260" i="16"/>
  <c r="Q260" i="16"/>
  <c r="O261" i="16"/>
  <c r="P261" i="16"/>
  <c r="Q261" i="16"/>
  <c r="O262" i="16"/>
  <c r="P262" i="16"/>
  <c r="Q262" i="16"/>
  <c r="O263" i="16"/>
  <c r="P263" i="16"/>
  <c r="Q263" i="16"/>
  <c r="O264" i="16"/>
  <c r="P264" i="16"/>
  <c r="Q264" i="16"/>
  <c r="O265" i="16"/>
  <c r="P265" i="16"/>
  <c r="Q265" i="16"/>
  <c r="O266" i="16"/>
  <c r="P266" i="16"/>
  <c r="Q266" i="16"/>
  <c r="O267" i="16"/>
  <c r="P267" i="16"/>
  <c r="Q267" i="16"/>
  <c r="O268" i="16"/>
  <c r="P268" i="16"/>
  <c r="Q268" i="16"/>
  <c r="O269" i="16"/>
  <c r="P269" i="16"/>
  <c r="Q269" i="16"/>
  <c r="O270" i="16"/>
  <c r="P270" i="16"/>
  <c r="Q270" i="16"/>
  <c r="O271" i="16"/>
  <c r="P271" i="16"/>
  <c r="Q271" i="16"/>
  <c r="O272" i="16"/>
  <c r="P272" i="16"/>
  <c r="Q272" i="16"/>
  <c r="O273" i="16"/>
  <c r="P273" i="16"/>
  <c r="Q273" i="16"/>
  <c r="O274" i="16"/>
  <c r="P274" i="16"/>
  <c r="Q274" i="16"/>
  <c r="O275" i="16"/>
  <c r="P275" i="16"/>
  <c r="Q275" i="16"/>
  <c r="O276" i="16"/>
  <c r="P276" i="16"/>
  <c r="Q276" i="16"/>
  <c r="O277" i="16"/>
  <c r="P277" i="16"/>
  <c r="Q277" i="16"/>
  <c r="O278" i="16"/>
  <c r="P278" i="16"/>
  <c r="Q278" i="16"/>
  <c r="O279" i="16"/>
  <c r="P279" i="16"/>
  <c r="Q279" i="16"/>
  <c r="O280" i="16"/>
  <c r="P280" i="16"/>
  <c r="Q280" i="16"/>
  <c r="O281" i="16"/>
  <c r="P281" i="16"/>
  <c r="Q281" i="16"/>
  <c r="O282" i="16"/>
  <c r="P282" i="16"/>
  <c r="Q282" i="16"/>
  <c r="O283" i="16"/>
  <c r="P283" i="16"/>
  <c r="Q283" i="16"/>
  <c r="O284" i="16"/>
  <c r="P284" i="16"/>
  <c r="Q284" i="16"/>
  <c r="O285" i="16"/>
  <c r="P285" i="16"/>
  <c r="Q285" i="16"/>
  <c r="O286" i="16"/>
  <c r="P286" i="16"/>
  <c r="Q286" i="16"/>
  <c r="O287" i="16"/>
  <c r="P287" i="16"/>
  <c r="Q287" i="16"/>
  <c r="O288" i="16"/>
  <c r="P288" i="16"/>
  <c r="Q288" i="16"/>
  <c r="O289" i="16"/>
  <c r="P289" i="16"/>
  <c r="Q289" i="16"/>
  <c r="O290" i="16"/>
  <c r="P290" i="16"/>
  <c r="Q290" i="16"/>
  <c r="O291" i="16"/>
  <c r="P291" i="16"/>
  <c r="Q291" i="16"/>
  <c r="O292" i="16"/>
  <c r="P292" i="16"/>
  <c r="Q292" i="16"/>
  <c r="O293" i="16"/>
  <c r="P293" i="16"/>
  <c r="Q293" i="16"/>
  <c r="O294" i="16"/>
  <c r="P294" i="16"/>
  <c r="Q294" i="16"/>
  <c r="O295" i="16"/>
  <c r="P295" i="16"/>
  <c r="Q295" i="16"/>
  <c r="O296" i="16"/>
  <c r="P296" i="16"/>
  <c r="Q296" i="16"/>
  <c r="O297" i="16"/>
  <c r="P297" i="16"/>
  <c r="Q297" i="16"/>
  <c r="O298" i="16"/>
  <c r="P298" i="16"/>
  <c r="Q298" i="16"/>
  <c r="O299" i="16"/>
  <c r="P299" i="16"/>
  <c r="Q299" i="16"/>
  <c r="O300" i="16"/>
  <c r="P300" i="16"/>
  <c r="Q300" i="16"/>
  <c r="O301" i="16"/>
  <c r="P301" i="16"/>
  <c r="Q301" i="16"/>
  <c r="O302" i="16"/>
  <c r="P302" i="16"/>
  <c r="Q302" i="16"/>
  <c r="O303" i="16"/>
  <c r="P303" i="16"/>
  <c r="Q303" i="16"/>
  <c r="O304" i="16"/>
  <c r="P304" i="16"/>
  <c r="Q304" i="16"/>
  <c r="O305" i="16"/>
  <c r="P305" i="16"/>
  <c r="Q305" i="16"/>
  <c r="O306" i="16"/>
  <c r="P306" i="16"/>
  <c r="Q306" i="16"/>
  <c r="O307" i="16"/>
  <c r="P307" i="16"/>
  <c r="Q307" i="16"/>
  <c r="O308" i="16"/>
  <c r="P308" i="16"/>
  <c r="Q308" i="16"/>
  <c r="O309" i="16"/>
  <c r="P309" i="16"/>
  <c r="Q309" i="16"/>
  <c r="O310" i="16"/>
  <c r="P310" i="16"/>
  <c r="Q310" i="16"/>
  <c r="O311" i="16"/>
  <c r="P311" i="16"/>
  <c r="Q311" i="16"/>
  <c r="O312" i="16"/>
  <c r="P312" i="16"/>
  <c r="Q312" i="16"/>
  <c r="O313" i="16"/>
  <c r="P313" i="16"/>
  <c r="Q313" i="16"/>
  <c r="O314" i="16"/>
  <c r="P314" i="16"/>
  <c r="Q314" i="16"/>
  <c r="O315" i="16"/>
  <c r="P315" i="16"/>
  <c r="Q315" i="16"/>
  <c r="O316" i="16"/>
  <c r="P316" i="16"/>
  <c r="Q316" i="16"/>
  <c r="O317" i="16"/>
  <c r="P317" i="16"/>
  <c r="Q317" i="16"/>
  <c r="O318" i="16"/>
  <c r="P318" i="16"/>
  <c r="Q318" i="16"/>
  <c r="O319" i="16"/>
  <c r="P319" i="16"/>
  <c r="Q319" i="16"/>
  <c r="O320" i="16"/>
  <c r="P320" i="16"/>
  <c r="Q320" i="16"/>
  <c r="O321" i="16"/>
  <c r="P321" i="16"/>
  <c r="Q321" i="16"/>
  <c r="O322" i="16"/>
  <c r="P322" i="16"/>
  <c r="Q322" i="16"/>
  <c r="O323" i="16"/>
  <c r="P323" i="16"/>
  <c r="Q323" i="16"/>
  <c r="O324" i="16"/>
  <c r="P324" i="16"/>
  <c r="Q324" i="16"/>
  <c r="O325" i="16"/>
  <c r="P325" i="16"/>
  <c r="Q325" i="16"/>
  <c r="O326" i="16"/>
  <c r="P326" i="16"/>
  <c r="Q326" i="16"/>
  <c r="O327" i="16"/>
  <c r="P327" i="16"/>
  <c r="Q327" i="16"/>
  <c r="O328" i="16"/>
  <c r="P328" i="16"/>
  <c r="Q328" i="16"/>
  <c r="O329" i="16"/>
  <c r="P329" i="16"/>
  <c r="Q329" i="16"/>
  <c r="O330" i="16"/>
  <c r="P330" i="16"/>
  <c r="Q330" i="16"/>
  <c r="O331" i="16"/>
  <c r="P331" i="16"/>
  <c r="Q331" i="16"/>
  <c r="O332" i="16"/>
  <c r="P332" i="16"/>
  <c r="Q332" i="16"/>
  <c r="O333" i="16"/>
  <c r="P333" i="16"/>
  <c r="Q333" i="16"/>
  <c r="O334" i="16"/>
  <c r="P334" i="16"/>
  <c r="Q334" i="16"/>
  <c r="O335" i="16"/>
  <c r="P335" i="16"/>
  <c r="Q335" i="16"/>
  <c r="O336" i="16"/>
  <c r="P336" i="16"/>
  <c r="Q336" i="16"/>
  <c r="O337" i="16"/>
  <c r="P337" i="16"/>
  <c r="Q337" i="16"/>
  <c r="O338" i="16"/>
  <c r="P338" i="16"/>
  <c r="Q338" i="16"/>
  <c r="O339" i="16"/>
  <c r="P339" i="16"/>
  <c r="Q339" i="16"/>
  <c r="O340" i="16"/>
  <c r="P340" i="16"/>
  <c r="Q340" i="16"/>
  <c r="O341" i="16"/>
  <c r="P341" i="16"/>
  <c r="Q341" i="16"/>
  <c r="O342" i="16"/>
  <c r="P342" i="16"/>
  <c r="Q342" i="16"/>
  <c r="O343" i="16"/>
  <c r="P343" i="16"/>
  <c r="Q343" i="16"/>
  <c r="O344" i="16"/>
  <c r="P344" i="16"/>
  <c r="Q344" i="16"/>
  <c r="O345" i="16"/>
  <c r="P345" i="16"/>
  <c r="Q345" i="16"/>
  <c r="O346" i="16"/>
  <c r="P346" i="16"/>
  <c r="Q346" i="16"/>
  <c r="O347" i="16"/>
  <c r="P347" i="16"/>
  <c r="Q347" i="16"/>
  <c r="O348" i="16"/>
  <c r="P348" i="16"/>
  <c r="Q348" i="16"/>
  <c r="O349" i="16"/>
  <c r="P349" i="16"/>
  <c r="Q349" i="16"/>
  <c r="O350" i="16"/>
  <c r="P350" i="16"/>
  <c r="Q350" i="16"/>
  <c r="O351" i="16"/>
  <c r="P351" i="16"/>
  <c r="Q351" i="16"/>
  <c r="O352" i="16"/>
  <c r="P352" i="16"/>
  <c r="Q352" i="16"/>
  <c r="O353" i="16"/>
  <c r="P353" i="16"/>
  <c r="Q353" i="16"/>
  <c r="O354" i="16"/>
  <c r="P354" i="16"/>
  <c r="Q354" i="16"/>
  <c r="O355" i="16"/>
  <c r="P355" i="16"/>
  <c r="Q355" i="16"/>
  <c r="O356" i="16"/>
  <c r="P356" i="16"/>
  <c r="Q356" i="16"/>
  <c r="O357" i="16"/>
  <c r="P357" i="16"/>
  <c r="Q357" i="16"/>
  <c r="O358" i="16"/>
  <c r="P358" i="16"/>
  <c r="Q358" i="16"/>
  <c r="O359" i="16"/>
  <c r="P359" i="16"/>
  <c r="Q359" i="16"/>
  <c r="O360" i="16"/>
  <c r="P360" i="16"/>
  <c r="Q360" i="16"/>
  <c r="O361" i="16"/>
  <c r="P361" i="16"/>
  <c r="Q361" i="16"/>
  <c r="O362" i="16"/>
  <c r="P362" i="16"/>
  <c r="Q362" i="16"/>
  <c r="O363" i="16"/>
  <c r="P363" i="16"/>
  <c r="Q363" i="16"/>
  <c r="O364" i="16"/>
  <c r="P364" i="16"/>
  <c r="Q364" i="16"/>
  <c r="O365" i="16"/>
  <c r="P365" i="16"/>
  <c r="Q365" i="16"/>
  <c r="O366" i="16"/>
  <c r="P366" i="16"/>
  <c r="Q366" i="16"/>
  <c r="O367" i="16"/>
  <c r="P367" i="16"/>
  <c r="Q367" i="16"/>
  <c r="O368" i="16"/>
  <c r="P368" i="16"/>
  <c r="Q368" i="16"/>
  <c r="O369" i="16"/>
  <c r="P369" i="16"/>
  <c r="Q369" i="16"/>
  <c r="O370" i="16"/>
  <c r="P370" i="16"/>
  <c r="Q370" i="16"/>
  <c r="O371" i="16"/>
  <c r="P371" i="16"/>
  <c r="Q371" i="16"/>
  <c r="O372" i="16"/>
  <c r="P372" i="16"/>
  <c r="Q372" i="16"/>
  <c r="O373" i="16"/>
  <c r="P373" i="16"/>
  <c r="Q373" i="16"/>
  <c r="O374" i="16"/>
  <c r="P374" i="16"/>
  <c r="Q374" i="16"/>
  <c r="O375" i="16"/>
  <c r="P375" i="16"/>
  <c r="Q375" i="16"/>
  <c r="O376" i="16"/>
  <c r="P376" i="16"/>
  <c r="Q376" i="16"/>
  <c r="O377" i="16"/>
  <c r="P377" i="16"/>
  <c r="Q377" i="16"/>
  <c r="O378" i="16"/>
  <c r="P378" i="16"/>
  <c r="Q378" i="16"/>
  <c r="O379" i="16"/>
  <c r="P379" i="16"/>
  <c r="Q379" i="16"/>
  <c r="O380" i="16"/>
  <c r="P380" i="16"/>
  <c r="Q380" i="16"/>
  <c r="O381" i="16"/>
  <c r="P381" i="16"/>
  <c r="Q381" i="16"/>
  <c r="O382" i="16"/>
  <c r="P382" i="16"/>
  <c r="Q382" i="16"/>
  <c r="O383" i="16"/>
  <c r="P383" i="16"/>
  <c r="Q383" i="16"/>
  <c r="O384" i="16"/>
  <c r="P384" i="16"/>
  <c r="Q384" i="16"/>
  <c r="O385" i="16"/>
  <c r="P385" i="16"/>
  <c r="Q385" i="16"/>
  <c r="O386" i="16"/>
  <c r="P386" i="16"/>
  <c r="Q386" i="16"/>
  <c r="O387" i="16"/>
  <c r="P387" i="16"/>
  <c r="Q387" i="16"/>
  <c r="O388" i="16"/>
  <c r="P388" i="16"/>
  <c r="Q388" i="16"/>
  <c r="O389" i="16"/>
  <c r="P389" i="16"/>
  <c r="Q389" i="16"/>
  <c r="O390" i="16"/>
  <c r="P390" i="16"/>
  <c r="Q390" i="16"/>
  <c r="O391" i="16"/>
  <c r="P391" i="16"/>
  <c r="Q391" i="16"/>
  <c r="O392" i="16"/>
  <c r="P392" i="16"/>
  <c r="Q392" i="16"/>
  <c r="O393" i="16"/>
  <c r="P393" i="16"/>
  <c r="Q393" i="16"/>
  <c r="O394" i="16"/>
  <c r="P394" i="16"/>
  <c r="Q394" i="16"/>
  <c r="O395" i="16"/>
  <c r="P395" i="16"/>
  <c r="Q395" i="16"/>
  <c r="O396" i="16"/>
  <c r="P396" i="16"/>
  <c r="Q396" i="16"/>
  <c r="O397" i="16"/>
  <c r="P397" i="16"/>
  <c r="Q397" i="16"/>
  <c r="O398" i="16"/>
  <c r="P398" i="16"/>
  <c r="Q398" i="16"/>
  <c r="O399" i="16"/>
  <c r="P399" i="16"/>
  <c r="Q399" i="16"/>
  <c r="O400" i="16"/>
  <c r="P400" i="16"/>
  <c r="Q400" i="16"/>
  <c r="O401" i="16"/>
  <c r="P401" i="16"/>
  <c r="Q401" i="16"/>
  <c r="O402" i="16"/>
  <c r="P402" i="16"/>
  <c r="Q402" i="16"/>
  <c r="O403" i="16"/>
  <c r="P403" i="16"/>
  <c r="Q403" i="16"/>
  <c r="O404" i="16"/>
  <c r="P404" i="16"/>
  <c r="Q404" i="16"/>
  <c r="O405" i="16"/>
  <c r="P405" i="16"/>
  <c r="Q405" i="16"/>
  <c r="O406" i="16"/>
  <c r="P406" i="16"/>
  <c r="Q406" i="16"/>
  <c r="O407" i="16"/>
  <c r="P407" i="16"/>
  <c r="Q407" i="16"/>
  <c r="O408" i="16"/>
  <c r="P408" i="16"/>
  <c r="Q408" i="16"/>
  <c r="O409" i="16"/>
  <c r="P409" i="16"/>
  <c r="Q409" i="16"/>
  <c r="O410" i="16"/>
  <c r="P410" i="16"/>
  <c r="Q410" i="16"/>
  <c r="O411" i="16"/>
  <c r="P411" i="16"/>
  <c r="Q411" i="16"/>
  <c r="O412" i="16"/>
  <c r="P412" i="16"/>
  <c r="Q412" i="16"/>
  <c r="O413" i="16"/>
  <c r="P413" i="16"/>
  <c r="Q413" i="16"/>
  <c r="O414" i="16"/>
  <c r="P414" i="16"/>
  <c r="Q414" i="16"/>
  <c r="O415" i="16"/>
  <c r="P415" i="16"/>
  <c r="Q415" i="16"/>
  <c r="O416" i="16"/>
  <c r="P416" i="16"/>
  <c r="Q416" i="16"/>
  <c r="O417" i="16"/>
  <c r="P417" i="16"/>
  <c r="Q417" i="16"/>
  <c r="O418" i="16"/>
  <c r="P418" i="16"/>
  <c r="Q418" i="16"/>
  <c r="O419" i="16"/>
  <c r="P419" i="16"/>
  <c r="Q419" i="16"/>
  <c r="O420" i="16"/>
  <c r="P420" i="16"/>
  <c r="Q420" i="16"/>
  <c r="O421" i="16"/>
  <c r="P421" i="16"/>
  <c r="Q421" i="16"/>
  <c r="O422" i="16"/>
  <c r="P422" i="16"/>
  <c r="Q422" i="16"/>
  <c r="O423" i="16"/>
  <c r="P423" i="16"/>
  <c r="Q423" i="16"/>
  <c r="O424" i="16"/>
  <c r="P424" i="16"/>
  <c r="Q424" i="16"/>
  <c r="O425" i="16"/>
  <c r="P425" i="16"/>
  <c r="Q425" i="16"/>
  <c r="O426" i="16"/>
  <c r="P426" i="16"/>
  <c r="Q426" i="16"/>
  <c r="O427" i="16"/>
  <c r="P427" i="16"/>
  <c r="Q427" i="16"/>
  <c r="O428" i="16"/>
  <c r="P428" i="16"/>
  <c r="Q428" i="16"/>
  <c r="O429" i="16"/>
  <c r="P429" i="16"/>
  <c r="Q429" i="16"/>
  <c r="O430" i="16"/>
  <c r="P430" i="16"/>
  <c r="Q430" i="16"/>
  <c r="O431" i="16"/>
  <c r="P431" i="16"/>
  <c r="Q431" i="16"/>
  <c r="O432" i="16"/>
  <c r="P432" i="16"/>
  <c r="Q432" i="16"/>
  <c r="O433" i="16"/>
  <c r="P433" i="16"/>
  <c r="Q433" i="16"/>
  <c r="O434" i="16"/>
  <c r="P434" i="16"/>
  <c r="Q434" i="16"/>
  <c r="O435" i="16"/>
  <c r="P435" i="16"/>
  <c r="Q435" i="16"/>
  <c r="O436" i="16"/>
  <c r="P436" i="16"/>
  <c r="Q436" i="16"/>
  <c r="O437" i="16"/>
  <c r="P437" i="16"/>
  <c r="Q437" i="16"/>
  <c r="O438" i="16"/>
  <c r="P438" i="16"/>
  <c r="Q438" i="16"/>
  <c r="O439" i="16"/>
  <c r="P439" i="16"/>
  <c r="Q439" i="16"/>
  <c r="O440" i="16"/>
  <c r="P440" i="16"/>
  <c r="Q440" i="16"/>
  <c r="O441" i="16"/>
  <c r="P441" i="16"/>
  <c r="Q441" i="16"/>
  <c r="O442" i="16"/>
  <c r="P442" i="16"/>
  <c r="Q442" i="16"/>
  <c r="O443" i="16"/>
  <c r="P443" i="16"/>
  <c r="Q443" i="16"/>
  <c r="O444" i="16"/>
  <c r="P444" i="16"/>
  <c r="Q444" i="16"/>
  <c r="O445" i="16"/>
  <c r="P445" i="16"/>
  <c r="Q445" i="16"/>
  <c r="O446" i="16"/>
  <c r="P446" i="16"/>
  <c r="Q446" i="16"/>
  <c r="O447" i="16"/>
  <c r="P447" i="16"/>
  <c r="Q447" i="16"/>
  <c r="O448" i="16"/>
  <c r="P448" i="16"/>
  <c r="Q448" i="16"/>
  <c r="O449" i="16"/>
  <c r="P449" i="16"/>
  <c r="Q449" i="16"/>
  <c r="O450" i="16"/>
  <c r="P450" i="16"/>
  <c r="Q450" i="16"/>
  <c r="O451" i="16"/>
  <c r="P451" i="16"/>
  <c r="Q451" i="16"/>
  <c r="O452" i="16"/>
  <c r="P452" i="16"/>
  <c r="Q452" i="16"/>
  <c r="O453" i="16"/>
  <c r="P453" i="16"/>
  <c r="Q453" i="16"/>
  <c r="O454" i="16"/>
  <c r="P454" i="16"/>
  <c r="Q454" i="16"/>
  <c r="O455" i="16"/>
  <c r="P455" i="16"/>
  <c r="Q455" i="16"/>
  <c r="O456" i="16"/>
  <c r="P456" i="16"/>
  <c r="Q456" i="16"/>
  <c r="O457" i="16"/>
  <c r="P457" i="16"/>
  <c r="Q457" i="16"/>
  <c r="O458" i="16"/>
  <c r="P458" i="16"/>
  <c r="Q458" i="16"/>
  <c r="O459" i="16"/>
  <c r="P459" i="16"/>
  <c r="Q459" i="16"/>
  <c r="O460" i="16"/>
  <c r="P460" i="16"/>
  <c r="Q460" i="16"/>
  <c r="Q109" i="16"/>
  <c r="P109" i="16"/>
  <c r="O109" i="16"/>
  <c r="R165" i="14"/>
  <c r="S165" i="14"/>
  <c r="T165" i="14"/>
  <c r="R84" i="14"/>
  <c r="S84" i="14"/>
  <c r="T84" i="14"/>
  <c r="R18" i="14"/>
  <c r="S18" i="14"/>
  <c r="T18" i="14"/>
  <c r="R191" i="14"/>
  <c r="S191" i="14"/>
  <c r="T191" i="14"/>
  <c r="R11" i="14"/>
  <c r="S11" i="14"/>
  <c r="T11" i="14"/>
  <c r="R154" i="14"/>
  <c r="S154" i="14"/>
  <c r="T154" i="14"/>
  <c r="R42" i="14"/>
  <c r="S42" i="14"/>
  <c r="T42" i="14"/>
  <c r="R195" i="14"/>
  <c r="S195" i="14"/>
  <c r="T195" i="14"/>
  <c r="R150" i="14"/>
  <c r="S150" i="14"/>
  <c r="T150" i="14"/>
  <c r="R38" i="14"/>
  <c r="S38" i="14"/>
  <c r="T38" i="14"/>
  <c r="R52" i="14"/>
  <c r="S52" i="14"/>
  <c r="T52" i="14"/>
  <c r="R21" i="14"/>
  <c r="S21" i="14"/>
  <c r="T21" i="14"/>
  <c r="R10" i="14"/>
  <c r="S10" i="14"/>
  <c r="T10" i="14"/>
  <c r="R128" i="14"/>
  <c r="S128" i="14"/>
  <c r="T128" i="14"/>
  <c r="R157" i="14"/>
  <c r="S157" i="14"/>
  <c r="T157" i="14"/>
  <c r="R32" i="14"/>
  <c r="S32" i="14"/>
  <c r="T32" i="14"/>
  <c r="R39" i="14"/>
  <c r="S39" i="14"/>
  <c r="T39" i="14"/>
  <c r="R176" i="14"/>
  <c r="S176" i="14"/>
  <c r="T176" i="14"/>
  <c r="R146" i="14"/>
  <c r="S146" i="14"/>
  <c r="T146" i="14"/>
  <c r="R46" i="14"/>
  <c r="S46" i="14"/>
  <c r="T46" i="14"/>
  <c r="R36" i="14"/>
  <c r="S36" i="14"/>
  <c r="T36" i="14"/>
  <c r="R160" i="14"/>
  <c r="S160" i="14"/>
  <c r="T160" i="14"/>
  <c r="R161" i="14"/>
  <c r="S161" i="14"/>
  <c r="T161" i="14"/>
  <c r="R16" i="14"/>
  <c r="S16" i="14"/>
  <c r="T16" i="14"/>
  <c r="R66" i="14"/>
  <c r="S66" i="14"/>
  <c r="T66" i="14"/>
  <c r="R173" i="14"/>
  <c r="S173" i="14"/>
  <c r="T173" i="14"/>
  <c r="R60" i="14"/>
  <c r="S60" i="14"/>
  <c r="T60" i="14"/>
  <c r="R193" i="14"/>
  <c r="S193" i="14"/>
  <c r="T193" i="14"/>
  <c r="R158" i="14"/>
  <c r="S158" i="14"/>
  <c r="T158" i="14"/>
  <c r="R192" i="14"/>
  <c r="S192" i="14"/>
  <c r="T192" i="14"/>
  <c r="R28" i="14"/>
  <c r="S28" i="14"/>
  <c r="T28" i="14"/>
  <c r="R126" i="14"/>
  <c r="S126" i="14"/>
  <c r="T126" i="14"/>
  <c r="R40" i="14"/>
  <c r="S40" i="14"/>
  <c r="T40" i="14"/>
  <c r="R183" i="14"/>
  <c r="S183" i="14"/>
  <c r="T183" i="14"/>
  <c r="R81" i="14"/>
  <c r="S81" i="14"/>
  <c r="T81" i="14"/>
  <c r="R149" i="14"/>
  <c r="S149" i="14"/>
  <c r="T149" i="14"/>
  <c r="R8" i="14"/>
  <c r="S8" i="14"/>
  <c r="T8" i="14"/>
  <c r="R196" i="14"/>
  <c r="S196" i="14"/>
  <c r="T196" i="14"/>
  <c r="R148" i="14"/>
  <c r="S148" i="14"/>
  <c r="T148" i="14"/>
  <c r="R107" i="14"/>
  <c r="S107" i="14"/>
  <c r="T107" i="14"/>
  <c r="R122" i="14"/>
  <c r="S122" i="14"/>
  <c r="T122" i="14"/>
  <c r="R174" i="14"/>
  <c r="S174" i="14"/>
  <c r="T174" i="14"/>
  <c r="R25" i="14"/>
  <c r="S25" i="14"/>
  <c r="T25" i="14"/>
  <c r="R9" i="14"/>
  <c r="S9" i="14"/>
  <c r="T9" i="14"/>
  <c r="R27" i="14"/>
  <c r="S27" i="14"/>
  <c r="T27" i="14"/>
  <c r="R177" i="14"/>
  <c r="S177" i="14"/>
  <c r="T177" i="14"/>
  <c r="R17" i="14"/>
  <c r="S17" i="14"/>
  <c r="T17" i="14"/>
  <c r="R104" i="14"/>
  <c r="S104" i="14"/>
  <c r="T104" i="14"/>
  <c r="R113" i="14"/>
  <c r="S113" i="14"/>
  <c r="T113" i="14"/>
  <c r="R13" i="14"/>
  <c r="S13" i="14"/>
  <c r="T13" i="14"/>
  <c r="R139" i="14"/>
  <c r="S139" i="14"/>
  <c r="T139" i="14"/>
  <c r="R164" i="14"/>
  <c r="S164" i="14"/>
  <c r="T164" i="14"/>
  <c r="R24" i="14"/>
  <c r="S24" i="14"/>
  <c r="T24" i="14"/>
  <c r="R49" i="14"/>
  <c r="S49" i="14"/>
  <c r="T49" i="14"/>
  <c r="R166" i="14"/>
  <c r="S166" i="14"/>
  <c r="T166" i="14"/>
  <c r="R129" i="14"/>
  <c r="S129" i="14"/>
  <c r="T129" i="14"/>
  <c r="R76" i="14"/>
  <c r="S76" i="14"/>
  <c r="T76" i="14"/>
  <c r="R97" i="14"/>
  <c r="S97" i="14"/>
  <c r="T97" i="14"/>
  <c r="R171" i="14"/>
  <c r="S171" i="14"/>
  <c r="T171" i="14"/>
  <c r="R117" i="14"/>
  <c r="S117" i="14"/>
  <c r="T117" i="14"/>
  <c r="R79" i="14"/>
  <c r="S79" i="14"/>
  <c r="T79" i="14"/>
  <c r="R72" i="14"/>
  <c r="S72" i="14"/>
  <c r="T72" i="14"/>
  <c r="R147" i="14"/>
  <c r="S147" i="14"/>
  <c r="T147" i="14"/>
  <c r="R188" i="14"/>
  <c r="S188" i="14"/>
  <c r="T188" i="14"/>
  <c r="R55" i="14"/>
  <c r="S55" i="14"/>
  <c r="T55" i="14"/>
  <c r="R88" i="14"/>
  <c r="S88" i="14"/>
  <c r="T88" i="14"/>
  <c r="R62" i="14"/>
  <c r="S62" i="14"/>
  <c r="T62" i="14"/>
  <c r="R140" i="14"/>
  <c r="S140" i="14"/>
  <c r="T140" i="14"/>
  <c r="R41" i="14"/>
  <c r="S41" i="14"/>
  <c r="T41" i="14"/>
  <c r="R83" i="14"/>
  <c r="S83" i="14"/>
  <c r="T83" i="14"/>
  <c r="R29" i="14"/>
  <c r="S29" i="14"/>
  <c r="T29" i="14"/>
  <c r="R137" i="14"/>
  <c r="S137" i="14"/>
  <c r="T137" i="14"/>
  <c r="R141" i="14"/>
  <c r="S141" i="14"/>
  <c r="T141" i="14"/>
  <c r="R54" i="14"/>
  <c r="S54" i="14"/>
  <c r="T54" i="14"/>
  <c r="R77" i="14"/>
  <c r="S77" i="14"/>
  <c r="T77" i="14"/>
  <c r="R48" i="14"/>
  <c r="S48" i="14"/>
  <c r="T48" i="14"/>
  <c r="R155" i="14"/>
  <c r="S155" i="14"/>
  <c r="T155" i="14"/>
  <c r="R31" i="14"/>
  <c r="S31" i="14"/>
  <c r="T31" i="14"/>
  <c r="R178" i="14"/>
  <c r="S178" i="14"/>
  <c r="T178" i="14"/>
  <c r="R73" i="14"/>
  <c r="S73" i="14"/>
  <c r="T73" i="14"/>
  <c r="R22" i="14"/>
  <c r="S22" i="14"/>
  <c r="T22" i="14"/>
  <c r="R45" i="14"/>
  <c r="S45" i="14"/>
  <c r="T45" i="14"/>
  <c r="R175" i="14"/>
  <c r="J270" i="17" s="1"/>
  <c r="S175" i="14"/>
  <c r="T175" i="14"/>
  <c r="L270" i="17" s="1"/>
  <c r="R57" i="14"/>
  <c r="S57" i="14"/>
  <c r="T57" i="14"/>
  <c r="R152" i="14"/>
  <c r="J272" i="17" s="1"/>
  <c r="S152" i="14"/>
  <c r="K272" i="17" s="1"/>
  <c r="T152" i="14"/>
  <c r="L272" i="17" s="1"/>
  <c r="R199" i="14"/>
  <c r="S199" i="14"/>
  <c r="T199" i="14"/>
  <c r="R201" i="14"/>
  <c r="S201" i="14"/>
  <c r="T201" i="14"/>
  <c r="R202" i="14"/>
  <c r="S202" i="14"/>
  <c r="T202" i="14"/>
  <c r="R203" i="14"/>
  <c r="S203" i="14"/>
  <c r="T203" i="14"/>
  <c r="R204" i="14"/>
  <c r="S204" i="14"/>
  <c r="T204" i="14"/>
  <c r="R205" i="14"/>
  <c r="S205" i="14"/>
  <c r="T205" i="14"/>
  <c r="R206" i="14"/>
  <c r="S206" i="14"/>
  <c r="T206" i="14"/>
  <c r="R207" i="14"/>
  <c r="S207" i="14"/>
  <c r="T207" i="14"/>
  <c r="R208" i="14"/>
  <c r="S208" i="14"/>
  <c r="T208" i="14"/>
  <c r="R209" i="14"/>
  <c r="S209" i="14"/>
  <c r="T209" i="14"/>
  <c r="R210" i="14"/>
  <c r="S210" i="14"/>
  <c r="T210" i="14"/>
  <c r="R211" i="14"/>
  <c r="S211" i="14"/>
  <c r="T211" i="14"/>
  <c r="R212" i="14"/>
  <c r="S212" i="14"/>
  <c r="T212" i="14"/>
  <c r="R213" i="14"/>
  <c r="S213" i="14"/>
  <c r="T213" i="14"/>
  <c r="R214" i="14"/>
  <c r="S214" i="14"/>
  <c r="T214" i="14"/>
  <c r="R215" i="14"/>
  <c r="S215" i="14"/>
  <c r="T215" i="14"/>
  <c r="R216" i="14"/>
  <c r="S216" i="14"/>
  <c r="T216" i="14"/>
  <c r="R217" i="14"/>
  <c r="S217" i="14"/>
  <c r="T217" i="14"/>
  <c r="R218" i="14"/>
  <c r="S218" i="14"/>
  <c r="T218" i="14"/>
  <c r="R219" i="14"/>
  <c r="S219" i="14"/>
  <c r="T219" i="14"/>
  <c r="R220" i="14"/>
  <c r="S220" i="14"/>
  <c r="T220" i="14"/>
  <c r="R221" i="14"/>
  <c r="S221" i="14"/>
  <c r="T221" i="14"/>
  <c r="R222" i="14"/>
  <c r="S222" i="14"/>
  <c r="T222" i="14"/>
  <c r="R223" i="14"/>
  <c r="S223" i="14"/>
  <c r="T223" i="14"/>
  <c r="R224" i="14"/>
  <c r="S224" i="14"/>
  <c r="T224" i="14"/>
  <c r="R225" i="14"/>
  <c r="S225" i="14"/>
  <c r="T225" i="14"/>
  <c r="R226" i="14"/>
  <c r="S226" i="14"/>
  <c r="T226" i="14"/>
  <c r="R227" i="14"/>
  <c r="S227" i="14"/>
  <c r="T227" i="14"/>
  <c r="R228" i="14"/>
  <c r="S228" i="14"/>
  <c r="T228" i="14"/>
  <c r="R229" i="14"/>
  <c r="S229" i="14"/>
  <c r="T229" i="14"/>
  <c r="R230" i="14"/>
  <c r="S230" i="14"/>
  <c r="T230" i="14"/>
  <c r="R231" i="14"/>
  <c r="S231" i="14"/>
  <c r="T231" i="14"/>
  <c r="R232" i="14"/>
  <c r="S232" i="14"/>
  <c r="T232" i="14"/>
  <c r="R233" i="14"/>
  <c r="S233" i="14"/>
  <c r="T233" i="14"/>
  <c r="R234" i="14"/>
  <c r="S234" i="14"/>
  <c r="T234" i="14"/>
  <c r="R235" i="14"/>
  <c r="S235" i="14"/>
  <c r="T235" i="14"/>
  <c r="R236" i="14"/>
  <c r="S236" i="14"/>
  <c r="T236" i="14"/>
  <c r="T167" i="14"/>
  <c r="S167" i="14"/>
  <c r="R167" i="14"/>
  <c r="R2" i="13"/>
  <c r="S2" i="13"/>
  <c r="T2" i="13"/>
  <c r="R5" i="13"/>
  <c r="S5" i="13"/>
  <c r="T5" i="13"/>
  <c r="R7" i="13"/>
  <c r="S7" i="13"/>
  <c r="T7" i="13"/>
  <c r="R4" i="13"/>
  <c r="S4" i="13"/>
  <c r="T4" i="13"/>
  <c r="R6" i="13"/>
  <c r="S6" i="13"/>
  <c r="T6" i="13"/>
  <c r="R8" i="13"/>
  <c r="S8" i="13"/>
  <c r="T8" i="13"/>
  <c r="R9" i="13"/>
  <c r="S9" i="13"/>
  <c r="T9" i="13"/>
  <c r="R10" i="13"/>
  <c r="S10" i="13"/>
  <c r="T10" i="13"/>
  <c r="R11" i="13"/>
  <c r="S11" i="13"/>
  <c r="T11" i="13"/>
  <c r="R12" i="13"/>
  <c r="S12" i="13"/>
  <c r="T12" i="13"/>
  <c r="R13" i="13"/>
  <c r="S13" i="13"/>
  <c r="T13" i="13"/>
  <c r="R15" i="13"/>
  <c r="S15" i="13"/>
  <c r="T15" i="13"/>
  <c r="R18" i="13"/>
  <c r="S18" i="13"/>
  <c r="T18" i="13"/>
  <c r="R32" i="13"/>
  <c r="S32" i="13"/>
  <c r="T32" i="13"/>
  <c r="R14" i="13"/>
  <c r="S14" i="13"/>
  <c r="T14" i="13"/>
  <c r="R16" i="13"/>
  <c r="S16" i="13"/>
  <c r="T16" i="13"/>
  <c r="R19" i="13"/>
  <c r="S19" i="13"/>
  <c r="T19" i="13"/>
  <c r="R17" i="13"/>
  <c r="S17" i="13"/>
  <c r="T17" i="13"/>
  <c r="R20" i="13"/>
  <c r="S20" i="13"/>
  <c r="T20" i="13"/>
  <c r="R49" i="13"/>
  <c r="S49" i="13"/>
  <c r="T49" i="13"/>
  <c r="R21" i="13"/>
  <c r="S21" i="13"/>
  <c r="T21" i="13"/>
  <c r="R24" i="13"/>
  <c r="S24" i="13"/>
  <c r="T24" i="13"/>
  <c r="R22" i="13"/>
  <c r="S22" i="13"/>
  <c r="T22" i="13"/>
  <c r="R23" i="13"/>
  <c r="S23" i="13"/>
  <c r="T23" i="13"/>
  <c r="R31" i="13"/>
  <c r="S31" i="13"/>
  <c r="T31" i="13"/>
  <c r="R25" i="13"/>
  <c r="S25" i="13"/>
  <c r="T25" i="13"/>
  <c r="R56" i="13"/>
  <c r="S56" i="13"/>
  <c r="T56" i="13"/>
  <c r="R28" i="13"/>
  <c r="S28" i="13"/>
  <c r="T28" i="13"/>
  <c r="R35" i="13"/>
  <c r="S35" i="13"/>
  <c r="T35" i="13"/>
  <c r="R58" i="13"/>
  <c r="S58" i="13"/>
  <c r="T58" i="13"/>
  <c r="R26" i="13"/>
  <c r="S26" i="13"/>
  <c r="T26" i="13"/>
  <c r="R36" i="13"/>
  <c r="S36" i="13"/>
  <c r="T36" i="13"/>
  <c r="R29" i="13"/>
  <c r="S29" i="13"/>
  <c r="T29" i="13"/>
  <c r="R30" i="13"/>
  <c r="S30" i="13"/>
  <c r="T30" i="13"/>
  <c r="R34" i="13"/>
  <c r="S34" i="13"/>
  <c r="T34" i="13"/>
  <c r="R40" i="13"/>
  <c r="S40" i="13"/>
  <c r="T40" i="13"/>
  <c r="R39" i="13"/>
  <c r="S39" i="13"/>
  <c r="T39" i="13"/>
  <c r="R38" i="13"/>
  <c r="S38" i="13"/>
  <c r="T38" i="13"/>
  <c r="R41" i="13"/>
  <c r="S41" i="13"/>
  <c r="T41" i="13"/>
  <c r="R33" i="13"/>
  <c r="S33" i="13"/>
  <c r="T33" i="13"/>
  <c r="R37" i="13"/>
  <c r="S37" i="13"/>
  <c r="T37" i="13"/>
  <c r="R27" i="13"/>
  <c r="S27" i="13"/>
  <c r="T27" i="13"/>
  <c r="R43" i="13"/>
  <c r="S43" i="13"/>
  <c r="T43" i="13"/>
  <c r="R51" i="13"/>
  <c r="S51" i="13"/>
  <c r="T51" i="13"/>
  <c r="R44" i="13"/>
  <c r="S44" i="13"/>
  <c r="T44" i="13"/>
  <c r="R63" i="13"/>
  <c r="S63" i="13"/>
  <c r="T63" i="13"/>
  <c r="R48" i="13"/>
  <c r="S48" i="13"/>
  <c r="T48" i="13"/>
  <c r="R42" i="13"/>
  <c r="S42" i="13"/>
  <c r="T42" i="13"/>
  <c r="R50" i="13"/>
  <c r="S50" i="13"/>
  <c r="T50" i="13"/>
  <c r="R52" i="13"/>
  <c r="S52" i="13"/>
  <c r="T52" i="13"/>
  <c r="R45" i="13"/>
  <c r="S45" i="13"/>
  <c r="T45" i="13"/>
  <c r="R47" i="13"/>
  <c r="S47" i="13"/>
  <c r="T47" i="13"/>
  <c r="R57" i="13"/>
  <c r="S57" i="13"/>
  <c r="T57" i="13"/>
  <c r="R54" i="13"/>
  <c r="S54" i="13"/>
  <c r="T54" i="13"/>
  <c r="R53" i="13"/>
  <c r="S53" i="13"/>
  <c r="T53" i="13"/>
  <c r="R55" i="13"/>
  <c r="S55" i="13"/>
  <c r="T55" i="13"/>
  <c r="R59" i="13"/>
  <c r="S59" i="13"/>
  <c r="T59" i="13"/>
  <c r="R60" i="13"/>
  <c r="S60" i="13"/>
  <c r="T60" i="13"/>
  <c r="R61" i="13"/>
  <c r="S61" i="13"/>
  <c r="T61" i="13"/>
  <c r="R64" i="13"/>
  <c r="S64" i="13"/>
  <c r="T64" i="13"/>
  <c r="R66" i="13"/>
  <c r="S66" i="13"/>
  <c r="T66" i="13"/>
  <c r="R62" i="13"/>
  <c r="S62" i="13"/>
  <c r="T62" i="13"/>
  <c r="R46" i="13"/>
  <c r="S46" i="13"/>
  <c r="T46" i="13"/>
  <c r="R65" i="13"/>
  <c r="S65" i="13"/>
  <c r="T65" i="13"/>
  <c r="T3" i="13"/>
  <c r="S3" i="13"/>
  <c r="R3" i="13"/>
  <c r="T54" i="15"/>
  <c r="S54" i="15"/>
  <c r="R54" i="15"/>
  <c r="AJ59" i="4"/>
  <c r="AD59" i="4"/>
  <c r="X59" i="4"/>
  <c r="R59" i="4"/>
  <c r="L59" i="4"/>
  <c r="F59" i="4"/>
  <c r="AG59" i="4"/>
  <c r="AA59" i="4"/>
  <c r="U59" i="4"/>
  <c r="O59" i="4"/>
  <c r="I59" i="4"/>
  <c r="C59" i="4"/>
  <c r="C28" i="12"/>
  <c r="C61" i="4"/>
  <c r="L429" i="17" l="1"/>
  <c r="J429" i="17"/>
  <c r="K427" i="17"/>
  <c r="L427" i="17"/>
  <c r="K429" i="17"/>
  <c r="K425" i="17"/>
  <c r="J425" i="17"/>
  <c r="L425" i="17"/>
  <c r="J427" i="17"/>
  <c r="J428" i="17"/>
  <c r="L426" i="17"/>
  <c r="L430" i="17"/>
  <c r="K426" i="17"/>
  <c r="L428" i="17"/>
  <c r="K430" i="17"/>
  <c r="J426" i="17"/>
  <c r="K428" i="17"/>
  <c r="J430" i="17"/>
  <c r="K270" i="17"/>
  <c r="L273" i="17"/>
  <c r="L271" i="17"/>
  <c r="J273" i="17"/>
  <c r="J271" i="17"/>
  <c r="K273" i="17"/>
  <c r="K271" i="17"/>
  <c r="U12" i="33"/>
  <c r="Y14" i="33"/>
  <c r="U35" i="33"/>
  <c r="K37" i="33"/>
  <c r="U16" i="33"/>
  <c r="K38" i="33"/>
  <c r="Q22" i="33"/>
  <c r="U34" i="33"/>
  <c r="Y7" i="33"/>
  <c r="Q32" i="33"/>
  <c r="Q26" i="33"/>
  <c r="U5" i="33"/>
  <c r="K29" i="33"/>
  <c r="K28" i="33"/>
  <c r="Q36" i="33"/>
  <c r="N37" i="33"/>
  <c r="Q37" i="33"/>
  <c r="Q15" i="33"/>
  <c r="N38" i="33"/>
  <c r="Q38" i="33"/>
  <c r="U27" i="33"/>
  <c r="U9" i="33"/>
  <c r="Q11" i="33"/>
  <c r="Q24" i="33"/>
  <c r="U6" i="33"/>
  <c r="U13" i="33"/>
  <c r="R18" i="33"/>
  <c r="U18" i="33"/>
  <c r="Y10" i="33"/>
  <c r="K17" i="33"/>
  <c r="Q20" i="33"/>
  <c r="N29" i="33"/>
  <c r="Q29" i="33"/>
  <c r="U25" i="33"/>
  <c r="U21" i="33"/>
  <c r="N28" i="33"/>
  <c r="Q28" i="33"/>
  <c r="Q17" i="33"/>
  <c r="N17" i="33"/>
  <c r="Y33" i="33"/>
  <c r="Q31" i="33"/>
  <c r="U23" i="33"/>
  <c r="O18" i="33"/>
  <c r="X7" i="10"/>
  <c r="X16" i="10"/>
  <c r="Y16" i="10" s="1"/>
  <c r="X26" i="10"/>
  <c r="X27" i="10" s="1"/>
  <c r="X29" i="10"/>
  <c r="X2" i="10"/>
  <c r="P46" i="13"/>
  <c r="Q46" i="13"/>
  <c r="P65" i="13"/>
  <c r="Q65" i="13"/>
  <c r="P48" i="14"/>
  <c r="Q48" i="14"/>
  <c r="G259" i="17"/>
  <c r="G260" i="17"/>
  <c r="I262" i="17"/>
  <c r="B75" i="17"/>
  <c r="B76" i="17"/>
  <c r="B77" i="17"/>
  <c r="B78" i="17"/>
  <c r="B79" i="17"/>
  <c r="B80" i="17"/>
  <c r="B81" i="17"/>
  <c r="B82" i="17"/>
  <c r="B83" i="17"/>
  <c r="B84" i="17"/>
  <c r="B85" i="17"/>
  <c r="B86" i="17"/>
  <c r="B87" i="17"/>
  <c r="B88" i="17"/>
  <c r="B89" i="17"/>
  <c r="B90" i="17"/>
  <c r="B91" i="17"/>
  <c r="B92" i="17"/>
  <c r="B93" i="17"/>
  <c r="B94" i="17"/>
  <c r="B95" i="17"/>
  <c r="B96" i="17"/>
  <c r="B97" i="17"/>
  <c r="B98" i="17"/>
  <c r="B99" i="17"/>
  <c r="B100" i="17"/>
  <c r="B101" i="17"/>
  <c r="B102" i="17"/>
  <c r="B103" i="17"/>
  <c r="B104" i="17"/>
  <c r="B105" i="17"/>
  <c r="B106" i="17"/>
  <c r="B107" i="17"/>
  <c r="B108" i="17"/>
  <c r="B109" i="17"/>
  <c r="B110" i="17"/>
  <c r="B111" i="17"/>
  <c r="B112" i="17"/>
  <c r="B113" i="17"/>
  <c r="B114" i="17"/>
  <c r="B115" i="17"/>
  <c r="B116" i="17"/>
  <c r="B117" i="17"/>
  <c r="B118" i="17"/>
  <c r="B119" i="17"/>
  <c r="B120" i="17"/>
  <c r="B121" i="17"/>
  <c r="B122" i="17"/>
  <c r="B123" i="17"/>
  <c r="B124" i="17"/>
  <c r="B125" i="17"/>
  <c r="B126" i="17"/>
  <c r="B127" i="17"/>
  <c r="B128" i="17"/>
  <c r="B129" i="17"/>
  <c r="B130" i="17"/>
  <c r="B131" i="17"/>
  <c r="B132" i="17"/>
  <c r="B133" i="17"/>
  <c r="B134" i="17"/>
  <c r="B135" i="17"/>
  <c r="B136" i="17"/>
  <c r="B137" i="17"/>
  <c r="B138" i="17"/>
  <c r="B139" i="17"/>
  <c r="B140" i="17"/>
  <c r="B141" i="17"/>
  <c r="B142" i="17"/>
  <c r="B143" i="17"/>
  <c r="B144" i="17"/>
  <c r="B145" i="17"/>
  <c r="B146" i="17"/>
  <c r="B147" i="17"/>
  <c r="B148"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3"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G489" i="28"/>
  <c r="C12" i="16" s="1"/>
  <c r="G535" i="28"/>
  <c r="G522" i="28"/>
  <c r="G470" i="28"/>
  <c r="C80" i="16" s="1"/>
  <c r="G559" i="28"/>
  <c r="G312" i="28"/>
  <c r="C53" i="15" s="1"/>
  <c r="G351" i="28"/>
  <c r="C42" i="15" s="1"/>
  <c r="G368" i="28"/>
  <c r="C54" i="15" s="1"/>
  <c r="G334" i="28"/>
  <c r="C21" i="15" s="1"/>
  <c r="G306" i="28"/>
  <c r="C49" i="15" s="1"/>
  <c r="G423" i="28"/>
  <c r="C59" i="15" s="1"/>
  <c r="G358" i="28"/>
  <c r="C101" i="15" s="1"/>
  <c r="G345" i="28"/>
  <c r="C76" i="15" s="1"/>
  <c r="G385" i="28"/>
  <c r="G106" i="28"/>
  <c r="G196" i="28"/>
  <c r="G112" i="28"/>
  <c r="G248" i="28"/>
  <c r="G162" i="28"/>
  <c r="G89" i="28"/>
  <c r="G159" i="28"/>
  <c r="G216" i="28"/>
  <c r="G138" i="28"/>
  <c r="G192" i="28"/>
  <c r="G4" i="28"/>
  <c r="G23" i="28"/>
  <c r="G48" i="28"/>
  <c r="G468" i="28"/>
  <c r="G465" i="28"/>
  <c r="G541" i="28"/>
  <c r="G467" i="28"/>
  <c r="C109" i="16" s="1"/>
  <c r="G300" i="28"/>
  <c r="C127" i="15" s="1"/>
  <c r="G296" i="28"/>
  <c r="C164" i="15" s="1"/>
  <c r="G310" i="28"/>
  <c r="C142" i="15" s="1"/>
  <c r="G298" i="28"/>
  <c r="C169" i="15" s="1"/>
  <c r="G440" i="28"/>
  <c r="C163" i="15" s="1"/>
  <c r="G324" i="28"/>
  <c r="G384" i="28"/>
  <c r="G315" i="28"/>
  <c r="G181" i="28"/>
  <c r="G186" i="28"/>
  <c r="G121" i="28"/>
  <c r="G135" i="28"/>
  <c r="C36" i="14" s="1"/>
  <c r="G256" i="28"/>
  <c r="G107" i="28"/>
  <c r="G136" i="28"/>
  <c r="G160" i="28"/>
  <c r="G161" i="28"/>
  <c r="G14" i="28"/>
  <c r="G3" i="28"/>
  <c r="G7" i="28"/>
  <c r="G42" i="28"/>
  <c r="G473" i="28"/>
  <c r="G536" i="28"/>
  <c r="G521" i="28"/>
  <c r="G524" i="28"/>
  <c r="G437" i="28"/>
  <c r="G367" i="28"/>
  <c r="C88" i="15" s="1"/>
  <c r="C332" i="17" s="1"/>
  <c r="G317" i="28"/>
  <c r="G429" i="28"/>
  <c r="C99" i="15" s="1"/>
  <c r="C372" i="17" s="1"/>
  <c r="G327" i="28"/>
  <c r="G405" i="28"/>
  <c r="C92" i="15" s="1"/>
  <c r="G394" i="28"/>
  <c r="C107" i="15" s="1"/>
  <c r="G321" i="28"/>
  <c r="G326" i="28"/>
  <c r="G407" i="28"/>
  <c r="G305" i="28"/>
  <c r="G392" i="28"/>
  <c r="G434" i="28"/>
  <c r="G197" i="28"/>
  <c r="G128" i="28"/>
  <c r="G158" i="28"/>
  <c r="G178" i="28"/>
  <c r="G190" i="28"/>
  <c r="C35" i="14" s="1"/>
  <c r="G252" i="28"/>
  <c r="G199" i="28"/>
  <c r="G151" i="28"/>
  <c r="G164" i="28"/>
  <c r="G36" i="28"/>
  <c r="G17" i="28"/>
  <c r="G49" i="28"/>
  <c r="G549" i="28"/>
  <c r="G483" i="28"/>
  <c r="G516" i="28"/>
  <c r="C56" i="16" s="1"/>
  <c r="G488" i="28"/>
  <c r="G469" i="28"/>
  <c r="G357" i="28"/>
  <c r="C34" i="15" s="1"/>
  <c r="G353" i="28"/>
  <c r="C75" i="15" s="1"/>
  <c r="C343" i="17" s="1"/>
  <c r="G301" i="28"/>
  <c r="C69" i="15" s="1"/>
  <c r="G272" i="28"/>
  <c r="C66" i="15" s="1"/>
  <c r="G314" i="28"/>
  <c r="G316" i="28"/>
  <c r="G303" i="28"/>
  <c r="G328" i="28"/>
  <c r="C139" i="15" s="1"/>
  <c r="G214" i="28"/>
  <c r="G76" i="28"/>
  <c r="G222" i="28"/>
  <c r="C50" i="14" s="1"/>
  <c r="G200" i="28"/>
  <c r="G115" i="28"/>
  <c r="G110" i="28"/>
  <c r="G230" i="28"/>
  <c r="G84" i="28"/>
  <c r="G15" i="28"/>
  <c r="G45" i="28"/>
  <c r="G16" i="28"/>
  <c r="G495" i="28"/>
  <c r="C48" i="16" s="1"/>
  <c r="G533" i="28"/>
  <c r="C62" i="16" s="1"/>
  <c r="G540" i="28"/>
  <c r="G546" i="28"/>
  <c r="C90" i="16" s="1"/>
  <c r="G515" i="28"/>
  <c r="C98" i="16" s="1"/>
  <c r="G285" i="28"/>
  <c r="C40" i="15" s="1"/>
  <c r="G295" i="28"/>
  <c r="C72" i="15" s="1"/>
  <c r="G408" i="28"/>
  <c r="G349" i="28"/>
  <c r="G275" i="28"/>
  <c r="C118" i="15" s="1"/>
  <c r="G337" i="28"/>
  <c r="G336" i="28"/>
  <c r="C119" i="15" s="1"/>
  <c r="G411" i="28"/>
  <c r="G363" i="28"/>
  <c r="G103" i="28"/>
  <c r="C37" i="14" s="1"/>
  <c r="G148" i="28"/>
  <c r="G124" i="28"/>
  <c r="G155" i="28"/>
  <c r="G116" i="28"/>
  <c r="G171" i="28"/>
  <c r="G134" i="28"/>
  <c r="G227" i="28"/>
  <c r="G85" i="28"/>
  <c r="G147" i="28"/>
  <c r="G57" i="28"/>
  <c r="G52" i="28"/>
  <c r="G10" i="28"/>
  <c r="G461" i="28"/>
  <c r="C53" i="16" s="1"/>
  <c r="G556" i="28"/>
  <c r="G552" i="28"/>
  <c r="G448" i="28"/>
  <c r="C88" i="16" s="1"/>
  <c r="G271" i="28"/>
  <c r="C87" i="15" s="1"/>
  <c r="G366" i="28"/>
  <c r="G354" i="28"/>
  <c r="C148" i="15" s="1"/>
  <c r="G416" i="28"/>
  <c r="C86" i="15" s="1"/>
  <c r="C359" i="17" s="1"/>
  <c r="G396" i="28"/>
  <c r="C113" i="15" s="1"/>
  <c r="G424" i="28"/>
  <c r="C85" i="15" s="1"/>
  <c r="G430" i="28"/>
  <c r="G378" i="28"/>
  <c r="G365" i="28"/>
  <c r="C103" i="16" s="1"/>
  <c r="G427" i="28"/>
  <c r="G308" i="28"/>
  <c r="C156" i="15" s="1"/>
  <c r="G195" i="28"/>
  <c r="G71" i="28"/>
  <c r="G114" i="28"/>
  <c r="C133" i="14" s="1"/>
  <c r="G102" i="28"/>
  <c r="C63" i="14" s="1"/>
  <c r="G141" i="28"/>
  <c r="G239" i="28"/>
  <c r="G139" i="28"/>
  <c r="G13" i="28"/>
  <c r="G21" i="28"/>
  <c r="G64" i="28"/>
  <c r="G498" i="28"/>
  <c r="G551" i="28"/>
  <c r="G452" i="28"/>
  <c r="G561" i="28"/>
  <c r="G544" i="28"/>
  <c r="G419" i="28"/>
  <c r="C55" i="15" s="1"/>
  <c r="G299" i="28"/>
  <c r="C23" i="15" s="1"/>
  <c r="G268" i="28"/>
  <c r="C73" i="15" s="1"/>
  <c r="G277" i="28"/>
  <c r="C65" i="15" s="1"/>
  <c r="G438" i="28"/>
  <c r="C74" i="15" s="1"/>
  <c r="G418" i="28"/>
  <c r="C97" i="15" s="1"/>
  <c r="G307" i="28"/>
  <c r="G330" i="28"/>
  <c r="G346" i="28"/>
  <c r="C111" i="15" s="1"/>
  <c r="G325" i="28"/>
  <c r="C44" i="15" s="1"/>
  <c r="G340" i="28"/>
  <c r="C61" i="15" s="1"/>
  <c r="G82" i="28"/>
  <c r="C71" i="14" s="1"/>
  <c r="G149" i="28"/>
  <c r="G258" i="28"/>
  <c r="C69" i="14" s="1"/>
  <c r="G203" i="28"/>
  <c r="G213" i="28"/>
  <c r="G250" i="28"/>
  <c r="G94" i="28"/>
  <c r="G220" i="28"/>
  <c r="G9" i="28"/>
  <c r="G58" i="28"/>
  <c r="G20" i="28"/>
  <c r="G504" i="28"/>
  <c r="G487" i="28"/>
  <c r="C57" i="16" s="1"/>
  <c r="G532" i="28"/>
  <c r="G528" i="28"/>
  <c r="C72" i="16" s="1"/>
  <c r="G486" i="28"/>
  <c r="G525" i="28"/>
  <c r="C83" i="16" s="1"/>
  <c r="G554" i="28"/>
  <c r="G548" i="28"/>
  <c r="G410" i="28"/>
  <c r="C93" i="15" s="1"/>
  <c r="G281" i="28"/>
  <c r="C62" i="15" s="1"/>
  <c r="G369" i="28"/>
  <c r="C64" i="15" s="1"/>
  <c r="G397" i="28"/>
  <c r="G387" i="28"/>
  <c r="C84" i="15" s="1"/>
  <c r="G350" i="28"/>
  <c r="G370" i="28"/>
  <c r="C71" i="15" s="1"/>
  <c r="G302" i="28"/>
  <c r="G297" i="28"/>
  <c r="C44" i="16" s="1"/>
  <c r="G414" i="28"/>
  <c r="C126" i="15" s="1"/>
  <c r="G399" i="28"/>
  <c r="C95" i="15" s="1"/>
  <c r="G264" i="28"/>
  <c r="C75" i="14" s="1"/>
  <c r="G245" i="28"/>
  <c r="G95" i="28"/>
  <c r="C153" i="14" s="1"/>
  <c r="G233" i="28"/>
  <c r="G234" i="28"/>
  <c r="G153" i="28"/>
  <c r="G99" i="28"/>
  <c r="G170" i="28"/>
  <c r="G201" i="28"/>
  <c r="G40" i="28"/>
  <c r="G29" i="28"/>
  <c r="G66" i="28"/>
  <c r="G492" i="28"/>
  <c r="G477" i="28"/>
  <c r="C32" i="16" s="1"/>
  <c r="G497" i="28"/>
  <c r="C60" i="16" s="1"/>
  <c r="G485" i="28"/>
  <c r="G537" i="28"/>
  <c r="C99" i="16" s="1"/>
  <c r="G402" i="28"/>
  <c r="C8" i="15" s="1"/>
  <c r="G292" i="28"/>
  <c r="C20" i="15" s="1"/>
  <c r="G289" i="28"/>
  <c r="C51" i="15" s="1"/>
  <c r="G287" i="28"/>
  <c r="C28" i="15" s="1"/>
  <c r="G335" i="28"/>
  <c r="C38" i="15" s="1"/>
  <c r="G356" i="28"/>
  <c r="C31" i="15" s="1"/>
  <c r="G436" i="28"/>
  <c r="C32" i="15" s="1"/>
  <c r="G341" i="28"/>
  <c r="C180" i="15" s="1"/>
  <c r="C453" i="17" s="1"/>
  <c r="G204" i="28"/>
  <c r="C82" i="14" s="1"/>
  <c r="G125" i="28"/>
  <c r="G243" i="28"/>
  <c r="G78" i="28"/>
  <c r="G126" i="28"/>
  <c r="C90" i="14" s="1"/>
  <c r="G209" i="28"/>
  <c r="G240" i="28"/>
  <c r="G225" i="28"/>
  <c r="G26" i="28"/>
  <c r="G38" i="28"/>
  <c r="G5" i="28"/>
  <c r="G490" i="28"/>
  <c r="C2" i="16" s="1"/>
  <c r="G475" i="28"/>
  <c r="C3" i="16" s="1"/>
  <c r="C487" i="17" s="1"/>
  <c r="G511" i="28"/>
  <c r="C15" i="16" s="1"/>
  <c r="G500" i="28"/>
  <c r="G538" i="28"/>
  <c r="G280" i="28"/>
  <c r="C7" i="15" s="1"/>
  <c r="G404" i="28"/>
  <c r="C4" i="15" s="1"/>
  <c r="C277" i="17" s="1"/>
  <c r="G322" i="28"/>
  <c r="C3" i="15" s="1"/>
  <c r="C276" i="17" s="1"/>
  <c r="G362" i="28"/>
  <c r="C11" i="15" s="1"/>
  <c r="G309" i="28"/>
  <c r="C16" i="15" s="1"/>
  <c r="G379" i="28"/>
  <c r="C29" i="15" s="1"/>
  <c r="G426" i="28"/>
  <c r="G278" i="28"/>
  <c r="C36" i="15" s="1"/>
  <c r="G381" i="28"/>
  <c r="C17" i="15" s="1"/>
  <c r="G74" i="28"/>
  <c r="G91" i="28"/>
  <c r="C96" i="14" s="1"/>
  <c r="G235" i="28"/>
  <c r="C93" i="14" s="1"/>
  <c r="G118" i="28"/>
  <c r="C95" i="14" s="1"/>
  <c r="G129" i="28"/>
  <c r="G184" i="28"/>
  <c r="G81" i="28"/>
  <c r="G87" i="28"/>
  <c r="G61" i="28"/>
  <c r="G41" i="28"/>
  <c r="G494" i="28"/>
  <c r="G501" i="28"/>
  <c r="G474" i="28"/>
  <c r="G462" i="28"/>
  <c r="C61" i="16" s="1"/>
  <c r="G509" i="28"/>
  <c r="G526" i="28"/>
  <c r="G502" i="28"/>
  <c r="G329" i="28"/>
  <c r="C13" i="15" s="1"/>
  <c r="G388" i="28"/>
  <c r="C14" i="15" s="1"/>
  <c r="G400" i="28"/>
  <c r="C25" i="15" s="1"/>
  <c r="G376" i="28"/>
  <c r="C24" i="15" s="1"/>
  <c r="C294" i="17" s="1"/>
  <c r="G374" i="28"/>
  <c r="C48" i="15" s="1"/>
  <c r="G375" i="28"/>
  <c r="C47" i="15" s="1"/>
  <c r="C346" i="17" s="1"/>
  <c r="G318" i="28"/>
  <c r="C63" i="15" s="1"/>
  <c r="G380" i="28"/>
  <c r="C57" i="14" s="1"/>
  <c r="G393" i="28"/>
  <c r="C45" i="15" s="1"/>
  <c r="C334" i="17" s="1"/>
  <c r="G304" i="28"/>
  <c r="C157" i="15" s="1"/>
  <c r="G131" i="28"/>
  <c r="G88" i="28"/>
  <c r="G224" i="28"/>
  <c r="C101" i="14" s="1"/>
  <c r="G260" i="28"/>
  <c r="G90" i="28"/>
  <c r="C99" i="14" s="1"/>
  <c r="G187" i="28"/>
  <c r="C112" i="14" s="1"/>
  <c r="G166" i="28"/>
  <c r="G217" i="28"/>
  <c r="C126" i="14" s="1"/>
  <c r="G60" i="28"/>
  <c r="G32" i="28"/>
  <c r="G25" i="28"/>
  <c r="G63" i="28"/>
  <c r="G449" i="28"/>
  <c r="G520" i="28"/>
  <c r="C87" i="16" s="1"/>
  <c r="G457" i="28"/>
  <c r="G471" i="28"/>
  <c r="G291" i="28"/>
  <c r="C9" i="15" s="1"/>
  <c r="G286" i="28"/>
  <c r="C26" i="15" s="1"/>
  <c r="G428" i="28"/>
  <c r="G361" i="28"/>
  <c r="C15" i="15" s="1"/>
  <c r="G283" i="28"/>
  <c r="C43" i="15" s="1"/>
  <c r="G390" i="28"/>
  <c r="C94" i="15" s="1"/>
  <c r="G373" i="28"/>
  <c r="G360" i="28"/>
  <c r="G382" i="28"/>
  <c r="G98" i="28"/>
  <c r="G120" i="28"/>
  <c r="G228" i="28"/>
  <c r="G231" i="28"/>
  <c r="G208" i="28"/>
  <c r="G67" i="28"/>
  <c r="G80" i="28"/>
  <c r="C87" i="14" s="1"/>
  <c r="G262" i="28"/>
  <c r="C86" i="14" s="1"/>
  <c r="G215" i="28"/>
  <c r="C120" i="14" s="1"/>
  <c r="G105" i="28"/>
  <c r="C85" i="14" s="1"/>
  <c r="G157" i="28"/>
  <c r="C73" i="14" s="1"/>
  <c r="G19" i="28"/>
  <c r="G59" i="28"/>
  <c r="G22" i="28"/>
  <c r="G18" i="28"/>
  <c r="G517" i="28"/>
  <c r="C9" i="16" s="1"/>
  <c r="G496" i="28"/>
  <c r="G463" i="28"/>
  <c r="G518" i="28"/>
  <c r="G523" i="28"/>
  <c r="C41" i="16" s="1"/>
  <c r="G530" i="28"/>
  <c r="C69" i="16" s="1"/>
  <c r="G560" i="28"/>
  <c r="C97" i="16" s="1"/>
  <c r="G348" i="28"/>
  <c r="C2" i="15" s="1"/>
  <c r="G445" i="28"/>
  <c r="C5" i="15" s="1"/>
  <c r="G359" i="28"/>
  <c r="C22" i="15" s="1"/>
  <c r="G266" i="28"/>
  <c r="C10" i="15" s="1"/>
  <c r="G319" i="28"/>
  <c r="C27" i="15" s="1"/>
  <c r="G415" i="28"/>
  <c r="C37" i="15" s="1"/>
  <c r="G339" i="28"/>
  <c r="G177" i="28"/>
  <c r="G73" i="28"/>
  <c r="G154" i="28"/>
  <c r="G169" i="28"/>
  <c r="G194" i="28"/>
  <c r="G251" i="28"/>
  <c r="C106" i="14" s="1"/>
  <c r="G119" i="28"/>
  <c r="G191" i="28"/>
  <c r="C61" i="14" s="1"/>
  <c r="G189" i="28"/>
  <c r="C105" i="14" s="1"/>
  <c r="G246" i="28"/>
  <c r="G47" i="28"/>
  <c r="G46" i="28"/>
  <c r="G53" i="28"/>
  <c r="G476" i="28"/>
  <c r="C5" i="16" s="1"/>
  <c r="G479" i="28"/>
  <c r="C43" i="16" s="1"/>
  <c r="G472" i="28"/>
  <c r="G395" i="28"/>
  <c r="C6" i="15" s="1"/>
  <c r="C279" i="17" s="1"/>
  <c r="G403" i="28"/>
  <c r="C30" i="15" s="1"/>
  <c r="G331" i="28"/>
  <c r="G425" i="28"/>
  <c r="C12" i="15" s="1"/>
  <c r="G432" i="28"/>
  <c r="C41" i="15" s="1"/>
  <c r="G313" i="28"/>
  <c r="C52" i="15" s="1"/>
  <c r="G342" i="28"/>
  <c r="G401" i="28"/>
  <c r="C35" i="15" s="1"/>
  <c r="G338" i="28"/>
  <c r="C114" i="15" s="1"/>
  <c r="G193" i="28"/>
  <c r="G142" i="28"/>
  <c r="G175" i="28"/>
  <c r="G100" i="28"/>
  <c r="C51" i="14" s="1"/>
  <c r="G173" i="28"/>
  <c r="G163" i="28"/>
  <c r="G140" i="28"/>
  <c r="C88" i="14" s="1"/>
  <c r="G172" i="28"/>
  <c r="C108" i="14" s="1"/>
  <c r="G113" i="28"/>
  <c r="C169" i="14" s="1"/>
  <c r="G2" i="28"/>
  <c r="G56" i="28"/>
  <c r="G30" i="28"/>
  <c r="G542" i="28"/>
  <c r="G464" i="28"/>
  <c r="C34" i="16" s="1"/>
  <c r="G503" i="28"/>
  <c r="C100" i="16" s="1"/>
  <c r="C584" i="17" s="1"/>
  <c r="G550" i="28"/>
  <c r="G456" i="28"/>
  <c r="G406" i="28"/>
  <c r="C79" i="15" s="1"/>
  <c r="G431" i="28"/>
  <c r="C57" i="15" s="1"/>
  <c r="C305" i="17" s="1"/>
  <c r="G273" i="28"/>
  <c r="C80" i="15" s="1"/>
  <c r="G267" i="28"/>
  <c r="C120" i="15" s="1"/>
  <c r="C402" i="17" s="1"/>
  <c r="G372" i="28"/>
  <c r="C50" i="15" s="1"/>
  <c r="C313" i="17" s="1"/>
  <c r="G320" i="28"/>
  <c r="C89" i="15" s="1"/>
  <c r="C365" i="17" s="1"/>
  <c r="G439" i="28"/>
  <c r="G293" i="28"/>
  <c r="G409" i="28"/>
  <c r="C39" i="15" s="1"/>
  <c r="G146" i="28"/>
  <c r="G241" i="28"/>
  <c r="G207" i="28"/>
  <c r="C123" i="14" s="1"/>
  <c r="G226" i="28"/>
  <c r="C137" i="14" s="1"/>
  <c r="G92" i="28"/>
  <c r="C148" i="14" s="1"/>
  <c r="C227" i="17" s="1"/>
  <c r="G236" i="28"/>
  <c r="C147" i="14" s="1"/>
  <c r="G218" i="28"/>
  <c r="G137" i="28"/>
  <c r="C176" i="14" s="1"/>
  <c r="C248" i="17" s="1"/>
  <c r="G183" i="28"/>
  <c r="G65" i="28"/>
  <c r="G62" i="28"/>
  <c r="G44" i="28"/>
  <c r="G455" i="28"/>
  <c r="C20" i="16" s="1"/>
  <c r="G481" i="28"/>
  <c r="G539" i="28"/>
  <c r="G513" i="28"/>
  <c r="G493" i="28"/>
  <c r="C91" i="16" s="1"/>
  <c r="C541" i="17" s="1"/>
  <c r="G543" i="28"/>
  <c r="G545" i="28"/>
  <c r="G323" i="28"/>
  <c r="C81" i="15" s="1"/>
  <c r="G389" i="28"/>
  <c r="C91" i="15" s="1"/>
  <c r="G377" i="28"/>
  <c r="C98" i="15" s="1"/>
  <c r="G383" i="28"/>
  <c r="G422" i="28"/>
  <c r="C90" i="15" s="1"/>
  <c r="G284" i="28"/>
  <c r="C162" i="15" s="1"/>
  <c r="G294" i="28"/>
  <c r="C172" i="15" s="1"/>
  <c r="G68" i="28"/>
  <c r="G185" i="28"/>
  <c r="C91" i="14" s="1"/>
  <c r="G219" i="28"/>
  <c r="C129" i="14" s="1"/>
  <c r="G109" i="28"/>
  <c r="C100" i="14" s="1"/>
  <c r="C180" i="17" s="1"/>
  <c r="G156" i="28"/>
  <c r="C132" i="14" s="1"/>
  <c r="G182" i="28"/>
  <c r="C167" i="14" s="1"/>
  <c r="C239" i="17" s="1"/>
  <c r="G69" i="28"/>
  <c r="C140" i="14" s="1"/>
  <c r="G152" i="28"/>
  <c r="C164" i="14" s="1"/>
  <c r="C236" i="17" s="1"/>
  <c r="G79" i="28"/>
  <c r="G133" i="28"/>
  <c r="C128" i="14" s="1"/>
  <c r="C206" i="17" s="1"/>
  <c r="C43" i="13"/>
  <c r="C43" i="17" s="1"/>
  <c r="G8" i="28"/>
  <c r="C2" i="13" s="1"/>
  <c r="F65" i="28"/>
  <c r="C67" i="14" l="1"/>
  <c r="C37" i="16"/>
  <c r="C144" i="14"/>
  <c r="C94" i="14"/>
  <c r="C164" i="17" s="1"/>
  <c r="C322" i="17"/>
  <c r="C38" i="16"/>
  <c r="C70" i="16"/>
  <c r="C65" i="14"/>
  <c r="C371" i="17"/>
  <c r="C316" i="17"/>
  <c r="C309" i="17"/>
  <c r="C39" i="16"/>
  <c r="C74" i="14"/>
  <c r="C64" i="14"/>
  <c r="C55" i="14"/>
  <c r="C154" i="17"/>
  <c r="C198" i="17"/>
  <c r="C63" i="16"/>
  <c r="C349" i="17"/>
  <c r="C293" i="17"/>
  <c r="C8" i="16"/>
  <c r="C216" i="17"/>
  <c r="C337" i="17"/>
  <c r="C71" i="16"/>
  <c r="C555" i="17" s="1"/>
  <c r="C23" i="16"/>
  <c r="C529" i="17"/>
  <c r="C352" i="17"/>
  <c r="C356" i="17"/>
  <c r="C286" i="17"/>
  <c r="C335" i="17"/>
  <c r="C177" i="17"/>
  <c r="C318" i="17"/>
  <c r="C340" i="17"/>
  <c r="C168" i="17"/>
  <c r="C310" i="17"/>
  <c r="C283" i="17"/>
  <c r="C162" i="17"/>
  <c r="C307" i="17"/>
  <c r="C368" i="17"/>
  <c r="C341" i="17"/>
  <c r="C342" i="17"/>
  <c r="C296" i="17"/>
  <c r="C329" i="17"/>
  <c r="C292" i="17"/>
  <c r="C143" i="17"/>
  <c r="C364" i="17"/>
  <c r="C583" i="17"/>
  <c r="C585" i="17"/>
  <c r="C581" i="17"/>
  <c r="C545" i="17"/>
  <c r="C593" i="17"/>
  <c r="C528" i="17"/>
  <c r="C297" i="17"/>
  <c r="C315" i="17"/>
  <c r="C284" i="17"/>
  <c r="C285" i="17"/>
  <c r="C357" i="17"/>
  <c r="C339" i="17"/>
  <c r="C301" i="17"/>
  <c r="C288" i="17"/>
  <c r="C325" i="17"/>
  <c r="C314" i="17"/>
  <c r="C278" i="17"/>
  <c r="C347" i="17"/>
  <c r="C369" i="17"/>
  <c r="C319" i="17"/>
  <c r="C387" i="17"/>
  <c r="C360" i="17"/>
  <c r="C291" i="17"/>
  <c r="C366" i="17"/>
  <c r="C429" i="17"/>
  <c r="C281" i="17"/>
  <c r="C295" i="17"/>
  <c r="C287" i="17"/>
  <c r="C452" i="17"/>
  <c r="C300" i="17"/>
  <c r="C304" i="17"/>
  <c r="C280" i="17"/>
  <c r="C299" i="17"/>
  <c r="C320" i="17"/>
  <c r="C362" i="17"/>
  <c r="C361" i="17"/>
  <c r="C312" i="17"/>
  <c r="C344" i="17"/>
  <c r="C330" i="17"/>
  <c r="C370" i="17"/>
  <c r="C374" i="17"/>
  <c r="C363" i="17"/>
  <c r="C317" i="17"/>
  <c r="C303" i="17"/>
  <c r="C345" i="17"/>
  <c r="C324" i="17"/>
  <c r="C311" i="17"/>
  <c r="C308" i="17"/>
  <c r="C421" i="17"/>
  <c r="C282" i="17"/>
  <c r="C290" i="17"/>
  <c r="C367" i="17"/>
  <c r="C348" i="17"/>
  <c r="C321" i="17"/>
  <c r="C328" i="17"/>
  <c r="C298" i="17"/>
  <c r="C302" i="17"/>
  <c r="C306" i="17"/>
  <c r="C289" i="17"/>
  <c r="C323" i="17"/>
  <c r="C327" i="17"/>
  <c r="C326" i="17"/>
  <c r="C416" i="17"/>
  <c r="C338" i="17"/>
  <c r="C331" i="17"/>
  <c r="C210" i="17"/>
  <c r="C201" i="17"/>
  <c r="C241" i="17"/>
  <c r="C159" i="17"/>
  <c r="C163" i="17"/>
  <c r="C139" i="17"/>
  <c r="C212" i="17"/>
  <c r="C195" i="17"/>
  <c r="C209" i="17"/>
  <c r="C171" i="17"/>
  <c r="C188" i="17"/>
  <c r="C173" i="17"/>
  <c r="C165" i="17"/>
  <c r="C136" i="17"/>
  <c r="C123" i="17"/>
  <c r="C200" i="17"/>
  <c r="C225" i="17"/>
  <c r="C133" i="17"/>
  <c r="C172" i="17"/>
  <c r="C107" i="17"/>
  <c r="C13" i="16"/>
  <c r="C21" i="16"/>
  <c r="C42" i="16"/>
  <c r="C527" i="17" s="1"/>
  <c r="C81" i="14"/>
  <c r="C119" i="14"/>
  <c r="C192" i="17" s="1"/>
  <c r="C30" i="14"/>
  <c r="C146" i="17" s="1"/>
  <c r="C117" i="14"/>
  <c r="C68" i="16"/>
  <c r="C572" i="17" s="1"/>
  <c r="C24" i="16"/>
  <c r="C522" i="17" s="1"/>
  <c r="C48" i="14"/>
  <c r="C54" i="14"/>
  <c r="C129" i="17" s="1"/>
  <c r="C141" i="14"/>
  <c r="C214" i="17" s="1"/>
  <c r="C53" i="14"/>
  <c r="C115" i="14"/>
  <c r="C28" i="14"/>
  <c r="C178" i="14"/>
  <c r="C250" i="17" s="1"/>
  <c r="C122" i="14"/>
  <c r="C165" i="14"/>
  <c r="C121" i="14"/>
  <c r="C79" i="14"/>
  <c r="C41" i="14"/>
  <c r="C113" i="17" s="1"/>
  <c r="C154" i="14"/>
  <c r="C74" i="16"/>
  <c r="C93" i="16"/>
  <c r="C571" i="17" s="1"/>
  <c r="C40" i="14"/>
  <c r="C131" i="14"/>
  <c r="C207" i="17" s="1"/>
  <c r="C25" i="14"/>
  <c r="C143" i="14"/>
  <c r="C213" i="17" s="1"/>
  <c r="C26" i="16"/>
  <c r="C18" i="14"/>
  <c r="C17" i="14"/>
  <c r="C96" i="16"/>
  <c r="C582" i="17" s="1"/>
  <c r="C8" i="14"/>
  <c r="C80" i="17" s="1"/>
  <c r="C6" i="14"/>
  <c r="C78" i="17" s="1"/>
  <c r="C51" i="16"/>
  <c r="C532" i="17" s="1"/>
  <c r="C72" i="14"/>
  <c r="C189" i="14"/>
  <c r="C261" i="17" s="1"/>
  <c r="C6" i="16"/>
  <c r="C159" i="14"/>
  <c r="C167" i="17" s="1"/>
  <c r="C97" i="14"/>
  <c r="C76" i="16"/>
  <c r="C62" i="14"/>
  <c r="C157" i="17" s="1"/>
  <c r="C146" i="14"/>
  <c r="C10" i="16"/>
  <c r="C11" i="16"/>
  <c r="C493" i="17" s="1"/>
  <c r="C151" i="14"/>
  <c r="C147" i="17" s="1"/>
  <c r="C104" i="14"/>
  <c r="C29" i="14"/>
  <c r="C145" i="17" s="1"/>
  <c r="C14" i="16"/>
  <c r="C60" i="14"/>
  <c r="C103" i="14"/>
  <c r="C178" i="17" s="1"/>
  <c r="C59" i="14"/>
  <c r="C44" i="14"/>
  <c r="C156" i="14"/>
  <c r="C52" i="14"/>
  <c r="C122" i="17" s="1"/>
  <c r="C157" i="14"/>
  <c r="C67" i="16"/>
  <c r="C575" i="17" s="1"/>
  <c r="C42" i="14"/>
  <c r="C136" i="14"/>
  <c r="C196" i="17" s="1"/>
  <c r="C14" i="14"/>
  <c r="C24" i="14"/>
  <c r="C114" i="14"/>
  <c r="C20" i="14"/>
  <c r="C68" i="14"/>
  <c r="C141" i="17" s="1"/>
  <c r="C105" i="16"/>
  <c r="C84" i="16"/>
  <c r="C564" i="17" s="1"/>
  <c r="C11" i="14"/>
  <c r="C177" i="14"/>
  <c r="C19" i="14"/>
  <c r="C9" i="14"/>
  <c r="C78" i="16"/>
  <c r="C563" i="17" s="1"/>
  <c r="C13" i="14"/>
  <c r="C111" i="14"/>
  <c r="C12" i="14"/>
  <c r="C81" i="17" s="1"/>
  <c r="C110" i="14"/>
  <c r="C184" i="17" s="1"/>
  <c r="C5" i="14"/>
  <c r="C22" i="14"/>
  <c r="C104" i="15"/>
  <c r="C377" i="17" s="1"/>
  <c r="C110" i="15"/>
  <c r="C434" i="17" s="1"/>
  <c r="C36" i="16"/>
  <c r="C520" i="17" s="1"/>
  <c r="C46" i="16"/>
  <c r="C519" i="17" s="1"/>
  <c r="C82" i="16"/>
  <c r="C566" i="17" s="1"/>
  <c r="C104" i="16"/>
  <c r="C49" i="16"/>
  <c r="C65" i="16"/>
  <c r="C29" i="16"/>
  <c r="C505" i="17" s="1"/>
  <c r="C28" i="16"/>
  <c r="C4" i="16"/>
  <c r="C16" i="16"/>
  <c r="C500" i="17" s="1"/>
  <c r="C19" i="16"/>
  <c r="C30" i="16"/>
  <c r="C25" i="16"/>
  <c r="C75" i="16"/>
  <c r="C77" i="14"/>
  <c r="C158" i="17" s="1"/>
  <c r="C160" i="14"/>
  <c r="C58" i="14"/>
  <c r="C83" i="14"/>
  <c r="C118" i="14"/>
  <c r="C190" i="17" s="1"/>
  <c r="C55" i="16"/>
  <c r="C547" i="17" s="1"/>
  <c r="C34" i="14"/>
  <c r="C166" i="14"/>
  <c r="C17" i="16"/>
  <c r="C77" i="16"/>
  <c r="C562" i="17" s="1"/>
  <c r="C92" i="16"/>
  <c r="C576" i="17" s="1"/>
  <c r="C43" i="14"/>
  <c r="C78" i="14"/>
  <c r="C174" i="17" s="1"/>
  <c r="C38" i="14"/>
  <c r="C109" i="17" s="1"/>
  <c r="C145" i="14"/>
  <c r="C217" i="17" s="1"/>
  <c r="C40" i="16"/>
  <c r="C33" i="14"/>
  <c r="C130" i="14"/>
  <c r="C39" i="14"/>
  <c r="C27" i="16"/>
  <c r="C85" i="16"/>
  <c r="C27" i="14"/>
  <c r="C174" i="14"/>
  <c r="C205" i="17" s="1"/>
  <c r="C16" i="14"/>
  <c r="C161" i="14"/>
  <c r="C235" i="17" s="1"/>
  <c r="C4" i="14"/>
  <c r="C2" i="14"/>
  <c r="C52" i="16"/>
  <c r="C50" i="16"/>
  <c r="C258" i="17"/>
  <c r="C23" i="14"/>
  <c r="C33" i="16"/>
  <c r="C80" i="14"/>
  <c r="C76" i="14"/>
  <c r="C125" i="14"/>
  <c r="C70" i="14"/>
  <c r="C45" i="14"/>
  <c r="C84" i="14"/>
  <c r="C56" i="14"/>
  <c r="C135" i="17" s="1"/>
  <c r="C7" i="16"/>
  <c r="C497" i="17" s="1"/>
  <c r="C66" i="14"/>
  <c r="C64" i="16"/>
  <c r="C554" i="17" s="1"/>
  <c r="C46" i="14"/>
  <c r="C139" i="14"/>
  <c r="C32" i="14"/>
  <c r="C127" i="14"/>
  <c r="C219" i="17" s="1"/>
  <c r="C31" i="14"/>
  <c r="C49" i="14"/>
  <c r="C108" i="17" s="1"/>
  <c r="C109" i="14"/>
  <c r="C170" i="17" s="1"/>
  <c r="C89" i="16"/>
  <c r="C58" i="16"/>
  <c r="C542" i="17" s="1"/>
  <c r="C54" i="16"/>
  <c r="C537" i="17" s="1"/>
  <c r="C107" i="14"/>
  <c r="C158" i="14"/>
  <c r="C230" i="17" s="1"/>
  <c r="C26" i="14"/>
  <c r="C95" i="17" s="1"/>
  <c r="C47" i="14"/>
  <c r="C86" i="16"/>
  <c r="C567" i="17" s="1"/>
  <c r="C21" i="14"/>
  <c r="C92" i="17" s="1"/>
  <c r="C173" i="14"/>
  <c r="C204" i="17" s="1"/>
  <c r="C10" i="14"/>
  <c r="C87" i="17" s="1"/>
  <c r="C168" i="14"/>
  <c r="C66" i="16"/>
  <c r="C574" i="17" s="1"/>
  <c r="C94" i="16"/>
  <c r="C546" i="17" s="1"/>
  <c r="C7" i="14"/>
  <c r="C79" i="17" s="1"/>
  <c r="C3" i="14"/>
  <c r="C18" i="16"/>
  <c r="C22" i="16"/>
  <c r="C174" i="15"/>
  <c r="C122" i="15"/>
  <c r="C398" i="17" s="1"/>
  <c r="C137" i="15"/>
  <c r="C59" i="16"/>
  <c r="C544" i="17" s="1"/>
  <c r="C117" i="15"/>
  <c r="C78" i="15"/>
  <c r="C351" i="17" s="1"/>
  <c r="C154" i="15"/>
  <c r="C167" i="15"/>
  <c r="C441" i="17" s="1"/>
  <c r="C115" i="15"/>
  <c r="C123" i="15"/>
  <c r="C417" i="17" s="1"/>
  <c r="C140" i="15"/>
  <c r="C175" i="15"/>
  <c r="C170" i="15"/>
  <c r="C436" i="17" s="1"/>
  <c r="C159" i="15"/>
  <c r="C130" i="15"/>
  <c r="C105" i="15"/>
  <c r="C128" i="15"/>
  <c r="C410" i="17" s="1"/>
  <c r="C158" i="15"/>
  <c r="C173" i="15"/>
  <c r="C82" i="15"/>
  <c r="C358" i="17" s="1"/>
  <c r="C77" i="15"/>
  <c r="C350" i="17" s="1"/>
  <c r="C31" i="16"/>
  <c r="C552" i="17" s="1"/>
  <c r="C108" i="15"/>
  <c r="C147" i="15"/>
  <c r="C138" i="15"/>
  <c r="C121" i="15"/>
  <c r="C404" i="17" s="1"/>
  <c r="C109" i="15"/>
  <c r="C433" i="17" s="1"/>
  <c r="C151" i="15"/>
  <c r="C155" i="15"/>
  <c r="C428" i="17" s="1"/>
  <c r="C165" i="15"/>
  <c r="C133" i="15"/>
  <c r="C406" i="17" s="1"/>
  <c r="C146" i="15"/>
  <c r="C419" i="17" s="1"/>
  <c r="C141" i="15"/>
  <c r="C395" i="17" s="1"/>
  <c r="C116" i="15"/>
  <c r="C394" i="17" s="1"/>
  <c r="C60" i="15"/>
  <c r="C383" i="17" s="1"/>
  <c r="C81" i="16"/>
  <c r="C557" i="17" s="1"/>
  <c r="C100" i="15"/>
  <c r="C373" i="17" s="1"/>
  <c r="C145" i="15"/>
  <c r="C112" i="15"/>
  <c r="C149" i="15"/>
  <c r="C435" i="17" s="1"/>
  <c r="C152" i="15"/>
  <c r="C124" i="15"/>
  <c r="C102" i="15"/>
  <c r="C375" i="17" s="1"/>
  <c r="C135" i="15"/>
  <c r="C171" i="15"/>
  <c r="C382" i="17" s="1"/>
  <c r="O28" i="33"/>
  <c r="U31" i="33"/>
  <c r="O17" i="33"/>
  <c r="Y21" i="33"/>
  <c r="U29" i="33"/>
  <c r="R29" i="33"/>
  <c r="S18" i="33"/>
  <c r="Y6" i="33"/>
  <c r="U11" i="33"/>
  <c r="Y27" i="33"/>
  <c r="U15" i="33"/>
  <c r="Y5" i="33"/>
  <c r="U22" i="33"/>
  <c r="Y16" i="33"/>
  <c r="U36" i="33"/>
  <c r="Y35" i="33"/>
  <c r="U17" i="33"/>
  <c r="R17" i="33"/>
  <c r="O29" i="33"/>
  <c r="U24" i="33"/>
  <c r="R38" i="33"/>
  <c r="U38" i="33"/>
  <c r="R37" i="33"/>
  <c r="U37" i="33"/>
  <c r="Y34" i="33"/>
  <c r="AC33" i="33"/>
  <c r="Y18" i="33"/>
  <c r="V18" i="33"/>
  <c r="U32" i="33"/>
  <c r="Y12" i="33"/>
  <c r="Y23" i="33"/>
  <c r="U28" i="33"/>
  <c r="R28" i="33"/>
  <c r="Y25" i="33"/>
  <c r="U20" i="33"/>
  <c r="AC10" i="33"/>
  <c r="Y13" i="33"/>
  <c r="Y9" i="33"/>
  <c r="O38" i="33"/>
  <c r="O37" i="33"/>
  <c r="U26" i="33"/>
  <c r="AC7" i="33"/>
  <c r="AC14" i="33"/>
  <c r="G262" i="17"/>
  <c r="G261" i="17"/>
  <c r="I259" i="17"/>
  <c r="I261" i="17"/>
  <c r="X17" i="10"/>
  <c r="X132" i="10"/>
  <c r="Y2" i="10"/>
  <c r="X3" i="10"/>
  <c r="X30" i="10"/>
  <c r="Y29" i="10"/>
  <c r="X28" i="10"/>
  <c r="Y28" i="10" s="1"/>
  <c r="Y27" i="10"/>
  <c r="Y26" i="10"/>
  <c r="X8" i="10"/>
  <c r="Y7" i="10"/>
  <c r="C28" i="13"/>
  <c r="C28" i="17" s="1"/>
  <c r="C56" i="13"/>
  <c r="C56" i="17" s="1"/>
  <c r="C23" i="13"/>
  <c r="C23" i="17" s="1"/>
  <c r="C39" i="13"/>
  <c r="C39" i="17" s="1"/>
  <c r="C27" i="13"/>
  <c r="C27" i="17" s="1"/>
  <c r="C44" i="13"/>
  <c r="C44" i="17" s="1"/>
  <c r="C45" i="13"/>
  <c r="C45" i="17" s="1"/>
  <c r="C29" i="13"/>
  <c r="C29" i="17" s="1"/>
  <c r="C17" i="13"/>
  <c r="C17" i="17" s="1"/>
  <c r="C12" i="13"/>
  <c r="C12" i="17" s="1"/>
  <c r="C31" i="13"/>
  <c r="C31" i="17" s="1"/>
  <c r="C65" i="13"/>
  <c r="C34" i="13"/>
  <c r="C34" i="17" s="1"/>
  <c r="C60" i="13"/>
  <c r="C60" i="17" s="1"/>
  <c r="C13" i="13"/>
  <c r="C13" i="17" s="1"/>
  <c r="C41" i="13"/>
  <c r="C41" i="17" s="1"/>
  <c r="C57" i="13"/>
  <c r="C57" i="17" s="1"/>
  <c r="C53" i="13"/>
  <c r="C53" i="17" s="1"/>
  <c r="C33" i="13"/>
  <c r="C33" i="17" s="1"/>
  <c r="C59" i="13"/>
  <c r="C59" i="17" s="1"/>
  <c r="C40" i="13"/>
  <c r="C40" i="17" s="1"/>
  <c r="C10" i="13"/>
  <c r="C10" i="17" s="1"/>
  <c r="C7" i="13"/>
  <c r="C7" i="17" s="1"/>
  <c r="C4" i="13"/>
  <c r="C4" i="17" s="1"/>
  <c r="C55" i="13"/>
  <c r="C55" i="17" s="1"/>
  <c r="C42" i="13"/>
  <c r="C42" i="17" s="1"/>
  <c r="C6" i="13"/>
  <c r="C6" i="17" s="1"/>
  <c r="C5" i="13"/>
  <c r="C5" i="17" s="1"/>
  <c r="C25" i="13"/>
  <c r="C25" i="17" s="1"/>
  <c r="C64" i="13"/>
  <c r="C58" i="13"/>
  <c r="C58" i="17" s="1"/>
  <c r="C19" i="13"/>
  <c r="C19" i="17" s="1"/>
  <c r="C16" i="13"/>
  <c r="C16" i="17" s="1"/>
  <c r="C35" i="13"/>
  <c r="C35" i="17" s="1"/>
  <c r="C63" i="13"/>
  <c r="C49" i="13"/>
  <c r="C49" i="17" s="1"/>
  <c r="C21" i="13"/>
  <c r="C21" i="17" s="1"/>
  <c r="C22" i="13"/>
  <c r="C22" i="17" s="1"/>
  <c r="C14" i="13"/>
  <c r="C14" i="17" s="1"/>
  <c r="C51" i="13"/>
  <c r="C51" i="17" s="1"/>
  <c r="C9" i="13"/>
  <c r="C9" i="17" s="1"/>
  <c r="C8" i="13"/>
  <c r="C8" i="17" s="1"/>
  <c r="C3" i="13"/>
  <c r="C54" i="13"/>
  <c r="C54" i="17" s="1"/>
  <c r="C48" i="13"/>
  <c r="C48" i="17" s="1"/>
  <c r="C32" i="13"/>
  <c r="C32" i="17" s="1"/>
  <c r="C46" i="13"/>
  <c r="C46" i="17" s="1"/>
  <c r="C24" i="13"/>
  <c r="C24" i="17" s="1"/>
  <c r="C15" i="13"/>
  <c r="C15" i="17" s="1"/>
  <c r="C20" i="13"/>
  <c r="C20" i="17" s="1"/>
  <c r="C18" i="13"/>
  <c r="C18" i="17" s="1"/>
  <c r="C50" i="13"/>
  <c r="C50" i="17" s="1"/>
  <c r="C52" i="13"/>
  <c r="C52" i="17" s="1"/>
  <c r="C89" i="14"/>
  <c r="C161" i="17" s="1"/>
  <c r="C37" i="13"/>
  <c r="C37" i="17" s="1"/>
  <c r="C26" i="13"/>
  <c r="C26" i="17" s="1"/>
  <c r="C30" i="13"/>
  <c r="C30" i="17" s="1"/>
  <c r="C61" i="13"/>
  <c r="C61" i="17" s="1"/>
  <c r="C11" i="13"/>
  <c r="C11" i="17" s="1"/>
  <c r="C38" i="13"/>
  <c r="C38" i="17" s="1"/>
  <c r="C66" i="13"/>
  <c r="C36" i="13"/>
  <c r="C36" i="17" s="1"/>
  <c r="C47" i="13"/>
  <c r="C47" i="17" s="1"/>
  <c r="C62" i="13"/>
  <c r="I260" i="17"/>
  <c r="C389" i="17" l="1"/>
  <c r="C166" i="17"/>
  <c r="C191" i="17"/>
  <c r="C137" i="17"/>
  <c r="C401" i="17"/>
  <c r="C333" i="17"/>
  <c r="C440" i="17"/>
  <c r="C444" i="17"/>
  <c r="C396" i="17"/>
  <c r="C355" i="17"/>
  <c r="C448" i="17"/>
  <c r="C437" i="17"/>
  <c r="C438" i="17"/>
  <c r="C127" i="17"/>
  <c r="C426" i="17"/>
  <c r="C558" i="17"/>
  <c r="C526" i="17"/>
  <c r="C580" i="17"/>
  <c r="C533" i="17"/>
  <c r="C411" i="17"/>
  <c r="C490" i="17"/>
  <c r="C586" i="17"/>
  <c r="C588" i="17"/>
  <c r="C538" i="17"/>
  <c r="C502" i="17"/>
  <c r="C514" i="17"/>
  <c r="C491" i="17"/>
  <c r="C524" i="17"/>
  <c r="C508" i="17"/>
  <c r="C488" i="17"/>
  <c r="C515" i="17"/>
  <c r="C548" i="17"/>
  <c r="C530" i="17"/>
  <c r="C495" i="17"/>
  <c r="C494" i="17"/>
  <c r="C517" i="17"/>
  <c r="C149" i="17"/>
  <c r="C568" i="17"/>
  <c r="C116" i="17"/>
  <c r="C194" i="17"/>
  <c r="C237" i="17"/>
  <c r="C152" i="17"/>
  <c r="C114" i="17"/>
  <c r="C112" i="17"/>
  <c r="C506" i="17"/>
  <c r="C150" i="17"/>
  <c r="C90" i="17"/>
  <c r="C102" i="17"/>
  <c r="C120" i="17"/>
  <c r="C386" i="17"/>
  <c r="C76" i="17"/>
  <c r="C231" i="17"/>
  <c r="C83" i="17"/>
  <c r="C100" i="17"/>
  <c r="C77" i="17"/>
  <c r="C103" i="17"/>
  <c r="C118" i="17"/>
  <c r="C130" i="17"/>
  <c r="C553" i="17"/>
  <c r="C577" i="17"/>
  <c r="C101" i="17"/>
  <c r="C409" i="17"/>
  <c r="C381" i="17"/>
  <c r="C439" i="17"/>
  <c r="C106" i="17"/>
  <c r="C543" i="17"/>
  <c r="C535" i="17"/>
  <c r="C125" i="17"/>
  <c r="C91" i="17"/>
  <c r="C531" i="17"/>
  <c r="C504" i="17"/>
  <c r="C63" i="17"/>
  <c r="C399" i="17"/>
  <c r="C556" i="17"/>
  <c r="C560" i="17"/>
  <c r="C503" i="17"/>
  <c r="C551" i="17"/>
  <c r="C507" i="17"/>
  <c r="C509" i="17"/>
  <c r="C561" i="17"/>
  <c r="C523" i="17"/>
  <c r="C511" i="17"/>
  <c r="C499" i="17"/>
  <c r="C534" i="17"/>
  <c r="C565" i="17"/>
  <c r="C512" i="17"/>
  <c r="C539" i="17"/>
  <c r="C518" i="17"/>
  <c r="C521" i="17"/>
  <c r="C516" i="17"/>
  <c r="C573" i="17"/>
  <c r="C587" i="17"/>
  <c r="C570" i="17"/>
  <c r="C431" i="17"/>
  <c r="C578" i="17"/>
  <c r="C579" i="17"/>
  <c r="C525" i="17"/>
  <c r="C559" i="17"/>
  <c r="C550" i="17"/>
  <c r="C510" i="17"/>
  <c r="C501" i="17"/>
  <c r="C569" i="17"/>
  <c r="C492" i="17"/>
  <c r="C498" i="17"/>
  <c r="C540" i="17"/>
  <c r="C489" i="17"/>
  <c r="C513" i="17"/>
  <c r="C549" i="17"/>
  <c r="C496" i="17"/>
  <c r="C536" i="17"/>
  <c r="C385" i="17"/>
  <c r="C400" i="17"/>
  <c r="C432" i="17"/>
  <c r="C407" i="17"/>
  <c r="C390" i="17"/>
  <c r="C384" i="17"/>
  <c r="C443" i="17"/>
  <c r="C420" i="17"/>
  <c r="C405" i="17"/>
  <c r="C424" i="17"/>
  <c r="C391" i="17"/>
  <c r="C187" i="17"/>
  <c r="C415" i="17"/>
  <c r="C445" i="17"/>
  <c r="C408" i="17"/>
  <c r="C425" i="17"/>
  <c r="C423" i="17"/>
  <c r="C418" i="17"/>
  <c r="C442" i="17"/>
  <c r="C427" i="17"/>
  <c r="C430" i="17"/>
  <c r="C393" i="17"/>
  <c r="C388" i="17"/>
  <c r="C380" i="17"/>
  <c r="C336" i="17"/>
  <c r="C397" i="17"/>
  <c r="C446" i="17"/>
  <c r="C414" i="17"/>
  <c r="C447" i="17"/>
  <c r="C413" i="17"/>
  <c r="C376" i="17"/>
  <c r="C403" i="17"/>
  <c r="C422" i="17"/>
  <c r="C392" i="17"/>
  <c r="C412" i="17"/>
  <c r="C378" i="17"/>
  <c r="C354" i="17"/>
  <c r="C353" i="17"/>
  <c r="C93" i="17"/>
  <c r="C98" i="17"/>
  <c r="C117" i="17"/>
  <c r="C155" i="17"/>
  <c r="C75" i="17"/>
  <c r="C82" i="17"/>
  <c r="C220" i="17"/>
  <c r="C249" i="17"/>
  <c r="C105" i="17"/>
  <c r="C229" i="17"/>
  <c r="C131" i="17"/>
  <c r="C176" i="17"/>
  <c r="C148" i="17"/>
  <c r="C181" i="17"/>
  <c r="C97" i="17"/>
  <c r="C144" i="17"/>
  <c r="C86" i="17"/>
  <c r="C142" i="17"/>
  <c r="C215" i="17"/>
  <c r="C156" i="17"/>
  <c r="C203" i="17"/>
  <c r="C202" i="17"/>
  <c r="C233" i="17"/>
  <c r="C232" i="17"/>
  <c r="C96" i="17"/>
  <c r="C175" i="17"/>
  <c r="C222" i="17"/>
  <c r="C218" i="17"/>
  <c r="C85" i="17"/>
  <c r="C115" i="17"/>
  <c r="C193" i="17"/>
  <c r="C138" i="17"/>
  <c r="C124" i="17"/>
  <c r="C132" i="17"/>
  <c r="C140" i="17"/>
  <c r="C199" i="17"/>
  <c r="C134" i="17"/>
  <c r="C245" i="17"/>
  <c r="C189" i="17"/>
  <c r="C240" i="17"/>
  <c r="C104" i="17"/>
  <c r="C84" i="17"/>
  <c r="C110" i="17"/>
  <c r="C242" i="17"/>
  <c r="C228" i="17"/>
  <c r="C89" i="17"/>
  <c r="C221" i="17"/>
  <c r="C226" i="17"/>
  <c r="C246" i="17"/>
  <c r="C182" i="17"/>
  <c r="C151" i="17"/>
  <c r="C169" i="17"/>
  <c r="C126" i="17"/>
  <c r="C197" i="17"/>
  <c r="C179" i="17"/>
  <c r="C247" i="17"/>
  <c r="C238" i="17"/>
  <c r="C186" i="17"/>
  <c r="C183" i="17"/>
  <c r="C88" i="17"/>
  <c r="C99" i="17"/>
  <c r="C119" i="17"/>
  <c r="C111" i="17"/>
  <c r="C121" i="17"/>
  <c r="C128" i="17"/>
  <c r="C211" i="17"/>
  <c r="C153" i="17"/>
  <c r="C223" i="17"/>
  <c r="C208" i="17"/>
  <c r="C66" i="17"/>
  <c r="C64" i="17"/>
  <c r="C589" i="17"/>
  <c r="C94" i="17"/>
  <c r="C259" i="17"/>
  <c r="C74" i="17"/>
  <c r="C160" i="17"/>
  <c r="C2" i="17"/>
  <c r="C3" i="17"/>
  <c r="M62" i="13"/>
  <c r="C65" i="17"/>
  <c r="J63" i="13"/>
  <c r="C62" i="17"/>
  <c r="C275" i="17"/>
  <c r="C486" i="17"/>
  <c r="S28" i="33"/>
  <c r="Y36" i="33"/>
  <c r="AC5" i="33"/>
  <c r="AC27" i="33"/>
  <c r="AG7" i="33"/>
  <c r="AC9" i="33"/>
  <c r="AG10" i="33"/>
  <c r="Y20" i="33"/>
  <c r="Y28" i="33"/>
  <c r="V28" i="33"/>
  <c r="AG33" i="33"/>
  <c r="AC34" i="33"/>
  <c r="S38" i="33"/>
  <c r="S17" i="33"/>
  <c r="AC16" i="33"/>
  <c r="AC6" i="33"/>
  <c r="Y31" i="33"/>
  <c r="Y29" i="33"/>
  <c r="V29" i="33"/>
  <c r="Y26" i="33"/>
  <c r="AC23" i="33"/>
  <c r="Y32" i="33"/>
  <c r="W18" i="33"/>
  <c r="Y37" i="33"/>
  <c r="V37" i="33"/>
  <c r="Y17" i="33"/>
  <c r="V17" i="33"/>
  <c r="AC35" i="33"/>
  <c r="Y22" i="33"/>
  <c r="Y15" i="33"/>
  <c r="Y11" i="33"/>
  <c r="AC21" i="33"/>
  <c r="AC12" i="33"/>
  <c r="Y38" i="33"/>
  <c r="V38" i="33"/>
  <c r="AG14" i="33"/>
  <c r="AC13" i="33"/>
  <c r="AC25" i="33"/>
  <c r="AC18" i="33"/>
  <c r="Z18" i="33"/>
  <c r="S37" i="33"/>
  <c r="Y24" i="33"/>
  <c r="S29" i="33"/>
  <c r="M181" i="14"/>
  <c r="J181" i="14"/>
  <c r="J179" i="14"/>
  <c r="M179" i="14"/>
  <c r="M65" i="13"/>
  <c r="J65" i="13"/>
  <c r="J62" i="13"/>
  <c r="M66" i="13"/>
  <c r="M63" i="13"/>
  <c r="M175" i="15"/>
  <c r="M32" i="13"/>
  <c r="M58" i="13"/>
  <c r="M49" i="13"/>
  <c r="M56" i="13"/>
  <c r="Y17" i="10"/>
  <c r="X18" i="10"/>
  <c r="X9" i="10"/>
  <c r="Y8" i="10"/>
  <c r="X85" i="10"/>
  <c r="X133" i="10"/>
  <c r="Y132" i="10"/>
  <c r="X82" i="10"/>
  <c r="X4" i="10"/>
  <c r="Y3" i="10"/>
  <c r="X31" i="10"/>
  <c r="Y30" i="10"/>
  <c r="C164" i="30"/>
  <c r="D164" i="30"/>
  <c r="Y82" i="10" l="1"/>
  <c r="X83" i="10"/>
  <c r="Y133" i="10"/>
  <c r="X134" i="10"/>
  <c r="AD18" i="33"/>
  <c r="AG18" i="33"/>
  <c r="AG13" i="33"/>
  <c r="W38" i="33"/>
  <c r="AC22" i="33"/>
  <c r="W37" i="33"/>
  <c r="AC26" i="33"/>
  <c r="AC31" i="33"/>
  <c r="AK33" i="33"/>
  <c r="AC20" i="33"/>
  <c r="AC36" i="33"/>
  <c r="AG25" i="33"/>
  <c r="AG12" i="33"/>
  <c r="AG27" i="33"/>
  <c r="AC24" i="33"/>
  <c r="AC38" i="33"/>
  <c r="Z38" i="33"/>
  <c r="AG21" i="33"/>
  <c r="AC11" i="33"/>
  <c r="AG35" i="33"/>
  <c r="AC37" i="33"/>
  <c r="Z37" i="33"/>
  <c r="AC32" i="33"/>
  <c r="AG6" i="33"/>
  <c r="W28" i="33"/>
  <c r="AK10" i="33"/>
  <c r="AK7" i="33"/>
  <c r="AG5" i="33"/>
  <c r="AC15" i="33"/>
  <c r="Z17" i="33"/>
  <c r="AC17" i="33"/>
  <c r="Z29" i="33"/>
  <c r="AC29" i="33"/>
  <c r="AG16" i="33"/>
  <c r="AG9" i="33"/>
  <c r="AA18" i="33"/>
  <c r="AK14" i="33"/>
  <c r="W17" i="33"/>
  <c r="AG23" i="33"/>
  <c r="W29" i="33"/>
  <c r="AG34" i="33"/>
  <c r="Z28" i="33"/>
  <c r="AC28" i="33"/>
  <c r="X19" i="10"/>
  <c r="Y18" i="10"/>
  <c r="Y4" i="10"/>
  <c r="X5" i="10"/>
  <c r="X10" i="10"/>
  <c r="Y9" i="10"/>
  <c r="X190" i="10"/>
  <c r="Y85" i="10"/>
  <c r="X86" i="10"/>
  <c r="X32" i="10"/>
  <c r="Y31" i="10"/>
  <c r="Q136" i="15"/>
  <c r="Q171" i="15"/>
  <c r="Q12" i="15"/>
  <c r="Q50" i="15"/>
  <c r="Q154" i="15"/>
  <c r="Q147" i="15"/>
  <c r="Q167" i="15"/>
  <c r="Q23" i="15"/>
  <c r="Q55" i="15"/>
  <c r="Q92" i="15"/>
  <c r="Q131" i="15"/>
  <c r="Q173" i="15"/>
  <c r="Q16" i="15"/>
  <c r="Q177" i="15"/>
  <c r="Q187" i="15"/>
  <c r="Q91" i="15"/>
  <c r="Q95" i="15"/>
  <c r="Q86" i="15"/>
  <c r="Q106" i="15"/>
  <c r="Q2" i="15"/>
  <c r="Q151" i="15"/>
  <c r="Q137" i="15"/>
  <c r="Q24" i="15"/>
  <c r="Q81" i="15"/>
  <c r="Q107" i="15"/>
  <c r="Q94" i="15"/>
  <c r="Q129" i="15"/>
  <c r="Q61" i="15"/>
  <c r="Q58" i="15"/>
  <c r="Q74" i="15"/>
  <c r="Q11" i="15"/>
  <c r="Q108" i="15"/>
  <c r="Q62" i="15"/>
  <c r="Q7" i="15"/>
  <c r="Q64" i="15"/>
  <c r="Q10" i="15"/>
  <c r="Q184" i="15"/>
  <c r="H458" i="17" s="1"/>
  <c r="Q159" i="15"/>
  <c r="Q37" i="15"/>
  <c r="Q172" i="15"/>
  <c r="Q114" i="15"/>
  <c r="Q66" i="15"/>
  <c r="Q79" i="15"/>
  <c r="Q72" i="15"/>
  <c r="Q41" i="15"/>
  <c r="Q71" i="15"/>
  <c r="Q36" i="15"/>
  <c r="Q75" i="15"/>
  <c r="Q100" i="15"/>
  <c r="Q178" i="15"/>
  <c r="Q5" i="15"/>
  <c r="Q166" i="15"/>
  <c r="Q101" i="15"/>
  <c r="Q98" i="15"/>
  <c r="Q135" i="15"/>
  <c r="Q144" i="15"/>
  <c r="Q115" i="15"/>
  <c r="Q162" i="15"/>
  <c r="Q122" i="15"/>
  <c r="Q165" i="15"/>
  <c r="Q89" i="15"/>
  <c r="Q83" i="15"/>
  <c r="Q119" i="15"/>
  <c r="Q124" i="15"/>
  <c r="Q160" i="15"/>
  <c r="Q78" i="15"/>
  <c r="Q125" i="15"/>
  <c r="Q161" i="15"/>
  <c r="Q35" i="15"/>
  <c r="Q4" i="15"/>
  <c r="Q155" i="15"/>
  <c r="Q118" i="15"/>
  <c r="Q186" i="15"/>
  <c r="Q146" i="15"/>
  <c r="Q17" i="15"/>
  <c r="Q145" i="15"/>
  <c r="Q39" i="15"/>
  <c r="Q88" i="15"/>
  <c r="Q9" i="15"/>
  <c r="Q34" i="15"/>
  <c r="Q90" i="15"/>
  <c r="Q18" i="15"/>
  <c r="Q169" i="15"/>
  <c r="Q141" i="15"/>
  <c r="Q51" i="15"/>
  <c r="Q185" i="15"/>
  <c r="Q126" i="15"/>
  <c r="Q29" i="15"/>
  <c r="Q105" i="15"/>
  <c r="Q133" i="15"/>
  <c r="Q97" i="15"/>
  <c r="Q120" i="15"/>
  <c r="Q85" i="15"/>
  <c r="Q111" i="15"/>
  <c r="Q52" i="15"/>
  <c r="Q26" i="15"/>
  <c r="Q181" i="15"/>
  <c r="H455" i="17" s="1"/>
  <c r="Q134" i="15"/>
  <c r="Q188" i="15"/>
  <c r="Q168" i="15"/>
  <c r="Q93" i="15"/>
  <c r="Q77" i="15"/>
  <c r="Q32" i="15"/>
  <c r="Q127" i="15"/>
  <c r="Q28" i="15"/>
  <c r="Q54" i="15"/>
  <c r="Q143" i="15"/>
  <c r="Q8" i="15"/>
  <c r="Q82" i="15"/>
  <c r="Q112" i="15"/>
  <c r="Q63" i="15"/>
  <c r="Q43" i="15"/>
  <c r="Q80" i="15"/>
  <c r="Q156" i="15"/>
  <c r="Q33" i="15"/>
  <c r="Q22" i="15"/>
  <c r="Q53" i="15"/>
  <c r="Q152" i="15"/>
  <c r="Q148" i="15"/>
  <c r="Q110" i="15"/>
  <c r="Q117" i="15"/>
  <c r="Q150" i="15"/>
  <c r="Q73" i="15"/>
  <c r="Q179" i="15"/>
  <c r="Q14" i="15"/>
  <c r="Q182" i="15"/>
  <c r="H456" i="17" s="1"/>
  <c r="Q121" i="15"/>
  <c r="Q30" i="15"/>
  <c r="Q59" i="15"/>
  <c r="Q3" i="15"/>
  <c r="Q60" i="15"/>
  <c r="Q163" i="15"/>
  <c r="Q45" i="15"/>
  <c r="Q38" i="15"/>
  <c r="Q176" i="15"/>
  <c r="Q153" i="15"/>
  <c r="Q139" i="15"/>
  <c r="Q164" i="15"/>
  <c r="Q87" i="15"/>
  <c r="Q42" i="15"/>
  <c r="Q130" i="15"/>
  <c r="Q15" i="15"/>
  <c r="Q149" i="15"/>
  <c r="Q49" i="15"/>
  <c r="Q132" i="15"/>
  <c r="Q158" i="15"/>
  <c r="Q175" i="15"/>
  <c r="Q46" i="15"/>
  <c r="Q76" i="15"/>
  <c r="Q20" i="15"/>
  <c r="Q170" i="15"/>
  <c r="Q27" i="15"/>
  <c r="Q102" i="15"/>
  <c r="Q99" i="15"/>
  <c r="Q104" i="15"/>
  <c r="Q128" i="15"/>
  <c r="Q40" i="15"/>
  <c r="Q21" i="15"/>
  <c r="Q103" i="15"/>
  <c r="Q138" i="15"/>
  <c r="Q44" i="15"/>
  <c r="Q19" i="15"/>
  <c r="Q67" i="15"/>
  <c r="Q142" i="15"/>
  <c r="Q180" i="15"/>
  <c r="Q68" i="15"/>
  <c r="Q96" i="15"/>
  <c r="Q31" i="15"/>
  <c r="Q113" i="15"/>
  <c r="Q48" i="15"/>
  <c r="Q6" i="15"/>
  <c r="Q56" i="15"/>
  <c r="Q25" i="15"/>
  <c r="Q183" i="15"/>
  <c r="H457" i="17" s="1"/>
  <c r="Q47" i="15"/>
  <c r="Q70" i="15"/>
  <c r="Q84" i="15"/>
  <c r="Q109" i="15"/>
  <c r="Q69" i="15"/>
  <c r="Q174" i="15"/>
  <c r="Q123" i="15"/>
  <c r="Q65" i="15"/>
  <c r="Q157" i="15"/>
  <c r="Q140" i="15"/>
  <c r="Q116" i="15"/>
  <c r="Q13" i="15"/>
  <c r="Q57" i="15"/>
  <c r="Q176" i="14"/>
  <c r="Q18" i="14"/>
  <c r="Q173" i="14"/>
  <c r="Q102" i="14"/>
  <c r="R102" i="14"/>
  <c r="S102" i="14"/>
  <c r="T102" i="14"/>
  <c r="Q110" i="14"/>
  <c r="R110" i="14"/>
  <c r="S110" i="14"/>
  <c r="T110" i="14"/>
  <c r="Q131" i="14"/>
  <c r="R131" i="14"/>
  <c r="S131" i="14"/>
  <c r="T131" i="14"/>
  <c r="Q141" i="14"/>
  <c r="Q53" i="14"/>
  <c r="R53" i="14"/>
  <c r="S53" i="14"/>
  <c r="T53" i="14"/>
  <c r="Q94" i="14"/>
  <c r="R94" i="14"/>
  <c r="S94" i="14"/>
  <c r="T94" i="14"/>
  <c r="Q132" i="14"/>
  <c r="R132" i="14"/>
  <c r="S132" i="14"/>
  <c r="T132" i="14"/>
  <c r="Q137" i="14"/>
  <c r="Q129" i="14"/>
  <c r="Q160" i="14"/>
  <c r="Q196" i="14"/>
  <c r="H270" i="17" s="1"/>
  <c r="Q49" i="14"/>
  <c r="Q165" i="14"/>
  <c r="Q168" i="14"/>
  <c r="R168" i="14"/>
  <c r="S168" i="14"/>
  <c r="T168" i="14"/>
  <c r="Q80" i="14"/>
  <c r="R80" i="14"/>
  <c r="S80" i="14"/>
  <c r="T80" i="14"/>
  <c r="Q142" i="14"/>
  <c r="R142" i="14"/>
  <c r="S142" i="14"/>
  <c r="T142" i="14"/>
  <c r="Q72" i="14"/>
  <c r="Q130" i="14"/>
  <c r="R130" i="14"/>
  <c r="S130" i="14"/>
  <c r="T130" i="14"/>
  <c r="Q148" i="14"/>
  <c r="Q17" i="14"/>
  <c r="Q40" i="14"/>
  <c r="Q70" i="14"/>
  <c r="R70" i="14"/>
  <c r="S70" i="14"/>
  <c r="T70" i="14"/>
  <c r="Q29" i="14"/>
  <c r="Q67" i="14"/>
  <c r="R67" i="14"/>
  <c r="S67" i="14"/>
  <c r="T67" i="14"/>
  <c r="Q187" i="14"/>
  <c r="R187" i="14"/>
  <c r="J263" i="17" s="1"/>
  <c r="S187" i="14"/>
  <c r="T187" i="14"/>
  <c r="Q156" i="14"/>
  <c r="R156" i="14"/>
  <c r="S156" i="14"/>
  <c r="T156" i="14"/>
  <c r="Q27" i="14"/>
  <c r="Q3" i="14"/>
  <c r="R3" i="14"/>
  <c r="S3" i="14"/>
  <c r="T3" i="14"/>
  <c r="Q96" i="14"/>
  <c r="R96" i="14"/>
  <c r="S96" i="14"/>
  <c r="T96" i="14"/>
  <c r="Q41" i="14"/>
  <c r="Q101" i="14"/>
  <c r="R101" i="14"/>
  <c r="S101" i="14"/>
  <c r="T101" i="14"/>
  <c r="Q62" i="14"/>
  <c r="Q192" i="14"/>
  <c r="Q79" i="14"/>
  <c r="Q184" i="14"/>
  <c r="R184" i="14"/>
  <c r="S184" i="14"/>
  <c r="T184" i="14"/>
  <c r="Q86" i="14"/>
  <c r="R86" i="14"/>
  <c r="S86" i="14"/>
  <c r="T86" i="14"/>
  <c r="Q180" i="14"/>
  <c r="R180" i="14"/>
  <c r="S180" i="14"/>
  <c r="T180" i="14"/>
  <c r="Q12" i="14"/>
  <c r="R12" i="14"/>
  <c r="S12" i="14"/>
  <c r="T12" i="14"/>
  <c r="Q169" i="14"/>
  <c r="R169" i="14"/>
  <c r="S169" i="14"/>
  <c r="T169" i="14"/>
  <c r="Q171" i="14"/>
  <c r="Q43" i="14"/>
  <c r="R43" i="14"/>
  <c r="S43" i="14"/>
  <c r="T43" i="14"/>
  <c r="Q182" i="14"/>
  <c r="R182" i="14"/>
  <c r="S182" i="14"/>
  <c r="T182" i="14"/>
  <c r="Q59" i="14"/>
  <c r="R59" i="14"/>
  <c r="S59" i="14"/>
  <c r="T59" i="14"/>
  <c r="Q177" i="14"/>
  <c r="Q66" i="14"/>
  <c r="Q75" i="14"/>
  <c r="R75" i="14"/>
  <c r="S75" i="14"/>
  <c r="T75" i="14"/>
  <c r="Q185" i="14"/>
  <c r="R185" i="14"/>
  <c r="S185" i="14"/>
  <c r="T185" i="14"/>
  <c r="Q138" i="14"/>
  <c r="R138" i="14"/>
  <c r="S138" i="14"/>
  <c r="T138" i="14"/>
  <c r="Q64" i="14"/>
  <c r="R64" i="14"/>
  <c r="S64" i="14"/>
  <c r="T64" i="14"/>
  <c r="Q135" i="14"/>
  <c r="R135" i="14"/>
  <c r="S135" i="14"/>
  <c r="T135" i="14"/>
  <c r="Q16" i="14"/>
  <c r="Q128" i="14"/>
  <c r="Q115" i="14"/>
  <c r="R115" i="14"/>
  <c r="S115" i="14"/>
  <c r="T115" i="14"/>
  <c r="Q113" i="14"/>
  <c r="Q82" i="14"/>
  <c r="R82" i="14"/>
  <c r="S82" i="14"/>
  <c r="T82" i="14"/>
  <c r="Q164" i="14"/>
  <c r="Q186" i="14"/>
  <c r="R186" i="14"/>
  <c r="S186" i="14"/>
  <c r="K260" i="17" s="1"/>
  <c r="T186" i="14"/>
  <c r="Q68" i="14"/>
  <c r="R68" i="14"/>
  <c r="S68" i="14"/>
  <c r="T68" i="14"/>
  <c r="Q15" i="14"/>
  <c r="R15" i="14"/>
  <c r="S15" i="14"/>
  <c r="T15" i="14"/>
  <c r="Q39" i="14"/>
  <c r="Q92" i="14"/>
  <c r="R92" i="14"/>
  <c r="S92" i="14"/>
  <c r="T92" i="14"/>
  <c r="Q144" i="14"/>
  <c r="R144" i="14"/>
  <c r="S144" i="14"/>
  <c r="T144" i="14"/>
  <c r="Q143" i="14"/>
  <c r="R143" i="14"/>
  <c r="S143" i="14"/>
  <c r="T143" i="14"/>
  <c r="Q9" i="14"/>
  <c r="Q10" i="14"/>
  <c r="Q195" i="14"/>
  <c r="Q112" i="14"/>
  <c r="R112" i="14"/>
  <c r="S112" i="14"/>
  <c r="T112" i="14"/>
  <c r="Q150" i="14"/>
  <c r="Q107" i="14"/>
  <c r="Q124" i="14"/>
  <c r="R124" i="14"/>
  <c r="S124" i="14"/>
  <c r="T124" i="14"/>
  <c r="Q78" i="14"/>
  <c r="R78" i="14"/>
  <c r="S78" i="14"/>
  <c r="T78" i="14"/>
  <c r="Q44" i="14"/>
  <c r="R44" i="14"/>
  <c r="S44" i="14"/>
  <c r="T44" i="14"/>
  <c r="Q104" i="14"/>
  <c r="Q35" i="14"/>
  <c r="R35" i="14"/>
  <c r="S35" i="14"/>
  <c r="T35" i="14"/>
  <c r="Q183" i="14"/>
  <c r="Q158" i="14"/>
  <c r="Q146" i="14"/>
  <c r="Q28" i="14"/>
  <c r="Q162" i="14"/>
  <c r="R162" i="14"/>
  <c r="S162" i="14"/>
  <c r="T162" i="14"/>
  <c r="Q2" i="14"/>
  <c r="R2" i="14"/>
  <c r="S2" i="14"/>
  <c r="T2" i="14"/>
  <c r="Q83" i="14"/>
  <c r="Q105" i="14"/>
  <c r="R105" i="14"/>
  <c r="S105" i="14"/>
  <c r="T105" i="14"/>
  <c r="Q26" i="14"/>
  <c r="R26" i="14"/>
  <c r="S26" i="14"/>
  <c r="T26" i="14"/>
  <c r="Q7" i="14"/>
  <c r="R7" i="14"/>
  <c r="S7" i="14"/>
  <c r="T7" i="14"/>
  <c r="Q118" i="14"/>
  <c r="R118" i="14"/>
  <c r="S118" i="14"/>
  <c r="T118" i="14"/>
  <c r="Q117" i="14"/>
  <c r="Q81" i="14"/>
  <c r="Q99" i="14"/>
  <c r="R99" i="14"/>
  <c r="S99" i="14"/>
  <c r="T99" i="14"/>
  <c r="Q13" i="14"/>
  <c r="Q65" i="14"/>
  <c r="R65" i="14"/>
  <c r="S65" i="14"/>
  <c r="T65" i="14"/>
  <c r="Q174" i="14"/>
  <c r="Q109" i="14"/>
  <c r="R109" i="14"/>
  <c r="S109" i="14"/>
  <c r="T109" i="14"/>
  <c r="Q167" i="14"/>
  <c r="Q121" i="14"/>
  <c r="R121" i="14"/>
  <c r="S121" i="14"/>
  <c r="T121" i="14"/>
  <c r="Q20" i="14"/>
  <c r="R20" i="14"/>
  <c r="S20" i="14"/>
  <c r="T20" i="14"/>
  <c r="Q133" i="14"/>
  <c r="R133" i="14"/>
  <c r="S133" i="14"/>
  <c r="T133" i="14"/>
  <c r="Q76" i="14"/>
  <c r="Q97" i="14"/>
  <c r="Q46" i="14"/>
  <c r="Q147" i="14"/>
  <c r="Q55" i="14"/>
  <c r="Q52" i="14"/>
  <c r="Q69" i="14"/>
  <c r="R69" i="14"/>
  <c r="S69" i="14"/>
  <c r="T69" i="14"/>
  <c r="Q122" i="14"/>
  <c r="Q63" i="14"/>
  <c r="R63" i="14"/>
  <c r="S63" i="14"/>
  <c r="T63" i="14"/>
  <c r="Q123" i="14"/>
  <c r="R123" i="14"/>
  <c r="S123" i="14"/>
  <c r="T123" i="14"/>
  <c r="Q5" i="14"/>
  <c r="R5" i="14"/>
  <c r="S5" i="14"/>
  <c r="T5" i="14"/>
  <c r="Q134" i="14"/>
  <c r="R134" i="14"/>
  <c r="S134" i="14"/>
  <c r="T134" i="14"/>
  <c r="J260" i="17"/>
  <c r="J261" i="17"/>
  <c r="Q155" i="14"/>
  <c r="H263" i="17" s="1"/>
  <c r="Q31" i="14"/>
  <c r="Q178" i="14"/>
  <c r="Q73" i="14"/>
  <c r="Q22" i="14"/>
  <c r="Q149" i="14"/>
  <c r="Q166" i="14"/>
  <c r="T116" i="14"/>
  <c r="S116" i="14"/>
  <c r="R116" i="14"/>
  <c r="Q116" i="14"/>
  <c r="T93" i="14"/>
  <c r="S93" i="14"/>
  <c r="R93" i="14"/>
  <c r="Q93" i="14"/>
  <c r="Q188" i="14"/>
  <c r="T56" i="14"/>
  <c r="S56" i="14"/>
  <c r="R56" i="14"/>
  <c r="Q56" i="14"/>
  <c r="Q77" i="14"/>
  <c r="T14" i="14"/>
  <c r="S14" i="14"/>
  <c r="R14" i="14"/>
  <c r="Q14" i="14"/>
  <c r="Q161" i="14"/>
  <c r="Q54" i="14"/>
  <c r="T87" i="14"/>
  <c r="S87" i="14"/>
  <c r="R87" i="14"/>
  <c r="Q87" i="14"/>
  <c r="T50" i="14"/>
  <c r="S50" i="14"/>
  <c r="R50" i="14"/>
  <c r="Q50" i="14"/>
  <c r="T100" i="14"/>
  <c r="S100" i="14"/>
  <c r="R100" i="14"/>
  <c r="Q100" i="14"/>
  <c r="Q21" i="14"/>
  <c r="T159" i="14"/>
  <c r="S159" i="14"/>
  <c r="R159" i="14"/>
  <c r="Q159" i="14"/>
  <c r="Q126" i="14"/>
  <c r="T4" i="14"/>
  <c r="S4" i="14"/>
  <c r="R4" i="14"/>
  <c r="Q4" i="14"/>
  <c r="Q25" i="14"/>
  <c r="T6" i="14"/>
  <c r="S6" i="14"/>
  <c r="R6" i="14"/>
  <c r="Q6" i="14"/>
  <c r="Q32" i="14"/>
  <c r="Q42" i="14"/>
  <c r="Q193" i="14"/>
  <c r="Q24" i="14"/>
  <c r="T91" i="14"/>
  <c r="S91" i="14"/>
  <c r="R91" i="14"/>
  <c r="Q91" i="14"/>
  <c r="T125" i="14"/>
  <c r="S125" i="14"/>
  <c r="R125" i="14"/>
  <c r="Q125" i="14"/>
  <c r="T37" i="14"/>
  <c r="S37" i="14"/>
  <c r="R37" i="14"/>
  <c r="Q37" i="14"/>
  <c r="T85" i="14"/>
  <c r="S85" i="14"/>
  <c r="R85" i="14"/>
  <c r="Q85" i="14"/>
  <c r="Q191" i="14"/>
  <c r="T170" i="14"/>
  <c r="S170" i="14"/>
  <c r="R170" i="14"/>
  <c r="Q170" i="14"/>
  <c r="Q88" i="14"/>
  <c r="Q84" i="14"/>
  <c r="T127" i="14"/>
  <c r="S127" i="14"/>
  <c r="R127" i="14"/>
  <c r="Q127" i="14"/>
  <c r="Q8" i="14"/>
  <c r="Q140" i="14"/>
  <c r="T119" i="14"/>
  <c r="S119" i="14"/>
  <c r="R119" i="14"/>
  <c r="Q119" i="14"/>
  <c r="T51" i="14"/>
  <c r="S51" i="14"/>
  <c r="R51" i="14"/>
  <c r="Q51" i="14"/>
  <c r="Q38" i="14"/>
  <c r="T172" i="14"/>
  <c r="S172" i="14"/>
  <c r="R172" i="14"/>
  <c r="Q172" i="14"/>
  <c r="T111" i="14"/>
  <c r="S111" i="14"/>
  <c r="R111" i="14"/>
  <c r="Q111" i="14"/>
  <c r="Q154" i="14"/>
  <c r="T90" i="14"/>
  <c r="S90" i="14"/>
  <c r="R90" i="14"/>
  <c r="Q90" i="14"/>
  <c r="T71" i="14"/>
  <c r="S71" i="14"/>
  <c r="R71" i="14"/>
  <c r="Q71" i="14"/>
  <c r="T190" i="14"/>
  <c r="S190" i="14"/>
  <c r="R190" i="14"/>
  <c r="Q190" i="14"/>
  <c r="Q36" i="14"/>
  <c r="T23" i="14"/>
  <c r="S23" i="14"/>
  <c r="R23" i="14"/>
  <c r="Q23" i="14"/>
  <c r="T114" i="14"/>
  <c r="S114" i="14"/>
  <c r="R114" i="14"/>
  <c r="Q114" i="14"/>
  <c r="Q11" i="14"/>
  <c r="T108" i="14"/>
  <c r="S108" i="14"/>
  <c r="R108" i="14"/>
  <c r="Q108" i="14"/>
  <c r="Q157" i="14"/>
  <c r="Q60" i="14"/>
  <c r="T153" i="14"/>
  <c r="S153" i="14"/>
  <c r="R153" i="14"/>
  <c r="Q153" i="14"/>
  <c r="T106" i="14"/>
  <c r="S106" i="14"/>
  <c r="R106" i="14"/>
  <c r="Q106" i="14"/>
  <c r="T89" i="14"/>
  <c r="S89" i="14"/>
  <c r="R89" i="14"/>
  <c r="Q89" i="14"/>
  <c r="T95" i="14"/>
  <c r="S95" i="14"/>
  <c r="R95" i="14"/>
  <c r="Q95" i="14"/>
  <c r="Q139" i="14"/>
  <c r="T103" i="14"/>
  <c r="S103" i="14"/>
  <c r="R103" i="14"/>
  <c r="Q103" i="14"/>
  <c r="Q48" i="13"/>
  <c r="Q13" i="13"/>
  <c r="Q44" i="13"/>
  <c r="Q29" i="13"/>
  <c r="Q27" i="13"/>
  <c r="Q3" i="13"/>
  <c r="Q57" i="13"/>
  <c r="Q12" i="13"/>
  <c r="Q60" i="13"/>
  <c r="Q19" i="13"/>
  <c r="Q17" i="13"/>
  <c r="Q55" i="13"/>
  <c r="Q20" i="13"/>
  <c r="Q23" i="13"/>
  <c r="Q2" i="13"/>
  <c r="Q40" i="13"/>
  <c r="Q42" i="13"/>
  <c r="Q45" i="13"/>
  <c r="Q25" i="13"/>
  <c r="Q53" i="13"/>
  <c r="Q43" i="13"/>
  <c r="Q6" i="13"/>
  <c r="Q26" i="13"/>
  <c r="Q50" i="13"/>
  <c r="Q22" i="13"/>
  <c r="Q64" i="13"/>
  <c r="Q54" i="13"/>
  <c r="Q62" i="13"/>
  <c r="Q30" i="13"/>
  <c r="Q28" i="13"/>
  <c r="Q18" i="13"/>
  <c r="Q21" i="13"/>
  <c r="Q39" i="13"/>
  <c r="Q41" i="13"/>
  <c r="Q9" i="13"/>
  <c r="Q31" i="13"/>
  <c r="Q61" i="13"/>
  <c r="Q66" i="13"/>
  <c r="Q49" i="13"/>
  <c r="Q37" i="13"/>
  <c r="Q24" i="13"/>
  <c r="Q56" i="13"/>
  <c r="Q4" i="13"/>
  <c r="Q51" i="13"/>
  <c r="Q33" i="13"/>
  <c r="Q52" i="13"/>
  <c r="Q32" i="13"/>
  <c r="Q36" i="13"/>
  <c r="Q35" i="13"/>
  <c r="Q58" i="13"/>
  <c r="Q16" i="13"/>
  <c r="Q14" i="13"/>
  <c r="Q15" i="13"/>
  <c r="Q10" i="13"/>
  <c r="Q34" i="13"/>
  <c r="Q8" i="13"/>
  <c r="Q7" i="13"/>
  <c r="Q47" i="13"/>
  <c r="Q38" i="13"/>
  <c r="Q59" i="13"/>
  <c r="Q11" i="13"/>
  <c r="Q63" i="13"/>
  <c r="Q5" i="13"/>
  <c r="K259" i="17" l="1"/>
  <c r="L259" i="17"/>
  <c r="H259" i="17"/>
  <c r="J259" i="17"/>
  <c r="H429" i="17"/>
  <c r="H262" i="17"/>
  <c r="L260" i="17"/>
  <c r="H428" i="17"/>
  <c r="H426" i="17"/>
  <c r="L262" i="17"/>
  <c r="K263" i="17"/>
  <c r="K261" i="17"/>
  <c r="H430" i="17"/>
  <c r="H425" i="17"/>
  <c r="L263" i="17"/>
  <c r="L261" i="17"/>
  <c r="K262" i="17"/>
  <c r="H427" i="17"/>
  <c r="H260" i="17"/>
  <c r="J262" i="17"/>
  <c r="X135" i="10"/>
  <c r="Y134" i="10"/>
  <c r="X84" i="10"/>
  <c r="Y84" i="10" s="1"/>
  <c r="Y83" i="10"/>
  <c r="Y32" i="10"/>
  <c r="X33" i="10"/>
  <c r="H261" i="17"/>
  <c r="AK34" i="33"/>
  <c r="AO10" i="33"/>
  <c r="AA28" i="33"/>
  <c r="AK9" i="33"/>
  <c r="AA29" i="33"/>
  <c r="AG15" i="33"/>
  <c r="AK5" i="33"/>
  <c r="AK6" i="33"/>
  <c r="AA37" i="33"/>
  <c r="AA38" i="33"/>
  <c r="AG31" i="33"/>
  <c r="AG22" i="33"/>
  <c r="AD28" i="33"/>
  <c r="AG28" i="33"/>
  <c r="AG32" i="33"/>
  <c r="AK23" i="33"/>
  <c r="AO14" i="33"/>
  <c r="AK16" i="33"/>
  <c r="AD17" i="33"/>
  <c r="AG17" i="33"/>
  <c r="AO7" i="33"/>
  <c r="AD37" i="33"/>
  <c r="AG37" i="33"/>
  <c r="AG11" i="33"/>
  <c r="AD38" i="33"/>
  <c r="AG38" i="33"/>
  <c r="AK27" i="33"/>
  <c r="AK12" i="33"/>
  <c r="AG36" i="33"/>
  <c r="AK13" i="33"/>
  <c r="AK18" i="33"/>
  <c r="AH18" i="33"/>
  <c r="AD29" i="33"/>
  <c r="AG29" i="33"/>
  <c r="AA17" i="33"/>
  <c r="AK35" i="33"/>
  <c r="AK21" i="33"/>
  <c r="AG24" i="33"/>
  <c r="AK25" i="33"/>
  <c r="AG20" i="33"/>
  <c r="AO33" i="33"/>
  <c r="AG26" i="33"/>
  <c r="AE18" i="33"/>
  <c r="X20" i="10"/>
  <c r="Y19" i="10"/>
  <c r="X139" i="10"/>
  <c r="Y5" i="10"/>
  <c r="X6" i="10"/>
  <c r="Y6" i="10" s="1"/>
  <c r="X11" i="10"/>
  <c r="Y10" i="10"/>
  <c r="X87" i="10"/>
  <c r="Y86" i="10"/>
  <c r="X191" i="10"/>
  <c r="Y190" i="10"/>
  <c r="B49" i="12"/>
  <c r="P64" i="13"/>
  <c r="P54" i="13"/>
  <c r="P62" i="13"/>
  <c r="P30" i="13"/>
  <c r="P28" i="13"/>
  <c r="P18" i="13"/>
  <c r="P66" i="13"/>
  <c r="M92" i="16"/>
  <c r="M22" i="16"/>
  <c r="M61" i="16"/>
  <c r="M108" i="16"/>
  <c r="M50" i="16"/>
  <c r="M71" i="16"/>
  <c r="M63" i="16"/>
  <c r="M43" i="16"/>
  <c r="M28" i="16"/>
  <c r="M33" i="16"/>
  <c r="M26" i="16"/>
  <c r="M14" i="16"/>
  <c r="M89" i="16"/>
  <c r="M91" i="16"/>
  <c r="M86" i="16"/>
  <c r="M90" i="16"/>
  <c r="M93" i="16"/>
  <c r="M41" i="16"/>
  <c r="M94" i="16"/>
  <c r="M38" i="16"/>
  <c r="M69" i="16"/>
  <c r="M85" i="16"/>
  <c r="M39" i="16"/>
  <c r="M47" i="16"/>
  <c r="M25" i="16"/>
  <c r="M107" i="16"/>
  <c r="M31" i="16"/>
  <c r="M17" i="16"/>
  <c r="M52" i="16"/>
  <c r="M55" i="16"/>
  <c r="M96" i="16"/>
  <c r="M58" i="16"/>
  <c r="M70" i="16"/>
  <c r="M83" i="16"/>
  <c r="M77" i="16"/>
  <c r="M110" i="16"/>
  <c r="M103" i="16"/>
  <c r="M109" i="16"/>
  <c r="M45" i="16"/>
  <c r="M57" i="16"/>
  <c r="M68" i="16"/>
  <c r="M27" i="16"/>
  <c r="M7" i="16"/>
  <c r="M11" i="16"/>
  <c r="M62" i="16"/>
  <c r="M82" i="16"/>
  <c r="M97" i="16"/>
  <c r="M49" i="16"/>
  <c r="M75" i="16"/>
  <c r="M12" i="16"/>
  <c r="M72" i="16"/>
  <c r="M59" i="16"/>
  <c r="M106" i="16"/>
  <c r="M73" i="16"/>
  <c r="M32" i="16"/>
  <c r="M100" i="16"/>
  <c r="M74" i="16"/>
  <c r="M84" i="16"/>
  <c r="M24" i="16"/>
  <c r="M13" i="16"/>
  <c r="M19" i="16"/>
  <c r="M99" i="16"/>
  <c r="M6" i="16"/>
  <c r="M40" i="16"/>
  <c r="M5" i="16"/>
  <c r="M64" i="16"/>
  <c r="M15" i="16"/>
  <c r="M2" i="16"/>
  <c r="M87" i="16"/>
  <c r="M4" i="16"/>
  <c r="M81" i="16"/>
  <c r="M56" i="16"/>
  <c r="M105" i="16"/>
  <c r="M101" i="16"/>
  <c r="M66" i="16"/>
  <c r="M54" i="16"/>
  <c r="M20" i="16"/>
  <c r="M29" i="16"/>
  <c r="M53" i="16"/>
  <c r="M10" i="16"/>
  <c r="M3" i="16"/>
  <c r="M51" i="16"/>
  <c r="M36" i="16"/>
  <c r="M78" i="16"/>
  <c r="M60" i="16"/>
  <c r="M46" i="16"/>
  <c r="M42" i="16"/>
  <c r="M95" i="16"/>
  <c r="M79" i="16"/>
  <c r="M104" i="16"/>
  <c r="M88" i="16"/>
  <c r="M34" i="16"/>
  <c r="M9" i="16"/>
  <c r="M37" i="16"/>
  <c r="M80" i="16"/>
  <c r="M30" i="16"/>
  <c r="M16" i="16"/>
  <c r="M18" i="16"/>
  <c r="M102" i="16"/>
  <c r="M48" i="16"/>
  <c r="M8" i="16"/>
  <c r="M98" i="16"/>
  <c r="M65" i="16"/>
  <c r="M44" i="16"/>
  <c r="M23" i="16"/>
  <c r="M35" i="16"/>
  <c r="M76" i="16"/>
  <c r="M21" i="16"/>
  <c r="B21" i="19"/>
  <c r="B20" i="19"/>
  <c r="J73" i="16" s="1"/>
  <c r="B19" i="19"/>
  <c r="B17" i="19"/>
  <c r="J101" i="16" s="1"/>
  <c r="B16" i="19"/>
  <c r="B15" i="19"/>
  <c r="M114" i="15" s="1"/>
  <c r="B14" i="19"/>
  <c r="B13" i="19"/>
  <c r="B12" i="19"/>
  <c r="B11" i="19"/>
  <c r="B10" i="19"/>
  <c r="B9" i="19"/>
  <c r="B8" i="19"/>
  <c r="B7" i="19"/>
  <c r="B6" i="19"/>
  <c r="B5" i="19"/>
  <c r="B4" i="19"/>
  <c r="B2" i="19"/>
  <c r="J35" i="16" l="1"/>
  <c r="M157" i="14"/>
  <c r="J157" i="14"/>
  <c r="M138" i="14"/>
  <c r="J138" i="14"/>
  <c r="M180" i="15"/>
  <c r="M160" i="14"/>
  <c r="J66" i="16"/>
  <c r="J160" i="14"/>
  <c r="M19" i="14"/>
  <c r="J19" i="14"/>
  <c r="J96" i="16"/>
  <c r="M133" i="15"/>
  <c r="J167" i="14"/>
  <c r="M167" i="14"/>
  <c r="M164" i="14"/>
  <c r="J164" i="14"/>
  <c r="J22" i="14"/>
  <c r="M22" i="14"/>
  <c r="M162" i="14"/>
  <c r="J162" i="14"/>
  <c r="J189" i="14"/>
  <c r="J103" i="16"/>
  <c r="J92" i="16"/>
  <c r="M189" i="14"/>
  <c r="M172" i="15"/>
  <c r="J15" i="14"/>
  <c r="M15" i="14"/>
  <c r="J9" i="14"/>
  <c r="M11" i="14"/>
  <c r="M9" i="14"/>
  <c r="J97" i="14"/>
  <c r="M10" i="14"/>
  <c r="M97" i="14"/>
  <c r="J10" i="14"/>
  <c r="J11" i="14"/>
  <c r="M100" i="15"/>
  <c r="J78" i="16"/>
  <c r="M188" i="14"/>
  <c r="J188" i="14"/>
  <c r="J158" i="14"/>
  <c r="M158" i="14"/>
  <c r="J84" i="16"/>
  <c r="J98" i="14"/>
  <c r="M98" i="14"/>
  <c r="J106" i="16"/>
  <c r="J17" i="14"/>
  <c r="M17" i="14"/>
  <c r="M157" i="15"/>
  <c r="J187" i="14"/>
  <c r="M187" i="14"/>
  <c r="J104" i="16"/>
  <c r="M190" i="14"/>
  <c r="J190" i="14"/>
  <c r="J36" i="14"/>
  <c r="M36" i="14"/>
  <c r="J108" i="16"/>
  <c r="M171" i="14"/>
  <c r="M173" i="15"/>
  <c r="J171" i="14"/>
  <c r="M152" i="14"/>
  <c r="J152" i="14"/>
  <c r="J178" i="14"/>
  <c r="M178" i="14"/>
  <c r="M94" i="15"/>
  <c r="J176" i="15"/>
  <c r="M176" i="15"/>
  <c r="M17" i="15"/>
  <c r="J57" i="14"/>
  <c r="M57" i="14"/>
  <c r="J54" i="16"/>
  <c r="M128" i="14"/>
  <c r="J128" i="14"/>
  <c r="J95" i="16"/>
  <c r="J125" i="15"/>
  <c r="M125" i="15"/>
  <c r="M175" i="14"/>
  <c r="J175" i="14"/>
  <c r="M126" i="14"/>
  <c r="J126" i="14"/>
  <c r="M120" i="15"/>
  <c r="J45" i="14"/>
  <c r="M45" i="14"/>
  <c r="J148" i="14"/>
  <c r="M148" i="14"/>
  <c r="X136" i="10"/>
  <c r="Y135" i="10"/>
  <c r="M109" i="15"/>
  <c r="M149" i="15"/>
  <c r="M174" i="15"/>
  <c r="M159" i="15"/>
  <c r="M73" i="14"/>
  <c r="J73" i="14"/>
  <c r="X109" i="10"/>
  <c r="Y139" i="10"/>
  <c r="X140" i="10"/>
  <c r="Y33" i="10"/>
  <c r="X34" i="10"/>
  <c r="Y87" i="10"/>
  <c r="X88" i="10"/>
  <c r="AO13" i="33"/>
  <c r="AO12" i="33"/>
  <c r="AE38" i="33"/>
  <c r="AE37" i="33"/>
  <c r="AE17" i="33"/>
  <c r="AS14" i="33"/>
  <c r="AO23" i="33"/>
  <c r="AO5" i="33"/>
  <c r="AH38" i="33"/>
  <c r="AK38" i="33"/>
  <c r="AH37" i="33"/>
  <c r="AK37" i="33"/>
  <c r="AK17" i="33"/>
  <c r="AH17" i="33"/>
  <c r="AO9" i="33"/>
  <c r="AK26" i="33"/>
  <c r="AK24" i="33"/>
  <c r="AO21" i="33"/>
  <c r="AK29" i="33"/>
  <c r="AH29" i="33"/>
  <c r="AI18" i="33"/>
  <c r="AO16" i="33"/>
  <c r="AK28" i="33"/>
  <c r="AH28" i="33"/>
  <c r="AK31" i="33"/>
  <c r="AO34" i="33"/>
  <c r="AK20" i="33"/>
  <c r="AO35" i="33"/>
  <c r="AO25" i="33"/>
  <c r="AS33" i="33"/>
  <c r="AE29" i="33"/>
  <c r="AO18" i="33"/>
  <c r="AL18" i="33"/>
  <c r="AK36" i="33"/>
  <c r="AO27" i="33"/>
  <c r="AK11" i="33"/>
  <c r="AS7" i="33"/>
  <c r="AK32" i="33"/>
  <c r="AE28" i="33"/>
  <c r="AK22" i="33"/>
  <c r="AO6" i="33"/>
  <c r="AK15" i="33"/>
  <c r="AS10" i="33"/>
  <c r="M163" i="14"/>
  <c r="J163" i="14"/>
  <c r="J104" i="15"/>
  <c r="M104" i="15"/>
  <c r="J117" i="14"/>
  <c r="M117" i="14"/>
  <c r="J79" i="14"/>
  <c r="M79" i="14"/>
  <c r="J31" i="14"/>
  <c r="M31" i="14"/>
  <c r="J72" i="14"/>
  <c r="M72" i="14"/>
  <c r="M155" i="14"/>
  <c r="J155" i="14"/>
  <c r="J147" i="14"/>
  <c r="M147" i="14"/>
  <c r="M60" i="14"/>
  <c r="J66" i="14"/>
  <c r="M66" i="14"/>
  <c r="J60" i="14"/>
  <c r="M40" i="14"/>
  <c r="J40" i="14"/>
  <c r="M24" i="14"/>
  <c r="M107" i="14"/>
  <c r="J25" i="14"/>
  <c r="J24" i="14"/>
  <c r="J33" i="14"/>
  <c r="J107" i="14"/>
  <c r="M25" i="14"/>
  <c r="M33" i="14"/>
  <c r="M151" i="14"/>
  <c r="J151" i="14"/>
  <c r="J161" i="14"/>
  <c r="J145" i="14"/>
  <c r="M145" i="14"/>
  <c r="M161" i="14"/>
  <c r="J104" i="14"/>
  <c r="M104" i="14"/>
  <c r="M183" i="14"/>
  <c r="J183" i="14"/>
  <c r="J149" i="14"/>
  <c r="M177" i="14"/>
  <c r="M27" i="14"/>
  <c r="J177" i="14"/>
  <c r="M146" i="14"/>
  <c r="J27" i="14"/>
  <c r="J146" i="14"/>
  <c r="J139" i="14"/>
  <c r="M149" i="14"/>
  <c r="M139" i="14"/>
  <c r="M16" i="14"/>
  <c r="J13" i="14"/>
  <c r="J16" i="14"/>
  <c r="M8" i="14"/>
  <c r="M13" i="14"/>
  <c r="J8" i="14"/>
  <c r="M173" i="14"/>
  <c r="M174" i="14"/>
  <c r="J173" i="14"/>
  <c r="J174" i="14"/>
  <c r="M74" i="14"/>
  <c r="J48" i="14"/>
  <c r="J74" i="14"/>
  <c r="M34" i="14"/>
  <c r="M48" i="14"/>
  <c r="J34" i="14"/>
  <c r="J49" i="14"/>
  <c r="M49" i="14"/>
  <c r="J168" i="15"/>
  <c r="M168" i="15"/>
  <c r="M30" i="14"/>
  <c r="M47" i="14"/>
  <c r="J30" i="14"/>
  <c r="J81" i="14"/>
  <c r="M81" i="14"/>
  <c r="J47" i="14"/>
  <c r="M46" i="14"/>
  <c r="J28" i="14"/>
  <c r="M120" i="14"/>
  <c r="J46" i="14"/>
  <c r="M28" i="14"/>
  <c r="J120" i="14"/>
  <c r="M122" i="14"/>
  <c r="J122" i="14"/>
  <c r="M61" i="14"/>
  <c r="J61" i="14"/>
  <c r="J58" i="14"/>
  <c r="M58" i="14"/>
  <c r="M113" i="14"/>
  <c r="M136" i="14"/>
  <c r="J113" i="14"/>
  <c r="J136" i="14"/>
  <c r="M176" i="14"/>
  <c r="J176" i="14"/>
  <c r="J166" i="14"/>
  <c r="M166" i="14"/>
  <c r="M59" i="15"/>
  <c r="M28" i="15"/>
  <c r="J14" i="16"/>
  <c r="J17" i="16"/>
  <c r="M88" i="15"/>
  <c r="M163" i="15"/>
  <c r="M144" i="14"/>
  <c r="M89" i="15"/>
  <c r="M56" i="15"/>
  <c r="M69" i="14"/>
  <c r="M65" i="14"/>
  <c r="M42" i="15"/>
  <c r="M98" i="15"/>
  <c r="M18" i="15"/>
  <c r="M46" i="13"/>
  <c r="M9" i="13"/>
  <c r="M30" i="15"/>
  <c r="M40" i="13"/>
  <c r="M71" i="14"/>
  <c r="M56" i="14"/>
  <c r="M96" i="15"/>
  <c r="M54" i="13"/>
  <c r="M67" i="15"/>
  <c r="M141" i="15"/>
  <c r="M111" i="15"/>
  <c r="M36" i="15"/>
  <c r="M51" i="15"/>
  <c r="M169" i="15"/>
  <c r="M131" i="14"/>
  <c r="M142" i="15"/>
  <c r="M143" i="14"/>
  <c r="J28" i="16"/>
  <c r="J82" i="16"/>
  <c r="M11" i="13"/>
  <c r="M74" i="15"/>
  <c r="J100" i="16"/>
  <c r="M25" i="13"/>
  <c r="M138" i="15"/>
  <c r="M106" i="14"/>
  <c r="J34" i="16"/>
  <c r="J38" i="16"/>
  <c r="J68" i="16"/>
  <c r="M52" i="15"/>
  <c r="J44" i="16"/>
  <c r="M156" i="15"/>
  <c r="J55" i="16"/>
  <c r="M49" i="15"/>
  <c r="M116" i="15"/>
  <c r="J24" i="16"/>
  <c r="M79" i="15"/>
  <c r="M108" i="15"/>
  <c r="J72" i="16"/>
  <c r="M90" i="15"/>
  <c r="M93" i="15"/>
  <c r="M48" i="15"/>
  <c r="M153" i="14"/>
  <c r="M50" i="13"/>
  <c r="M166" i="15"/>
  <c r="M64" i="14"/>
  <c r="M84" i="14"/>
  <c r="J57" i="16"/>
  <c r="M10" i="13"/>
  <c r="M23" i="13"/>
  <c r="J83" i="16"/>
  <c r="M144" i="15"/>
  <c r="M75" i="14"/>
  <c r="J12" i="16"/>
  <c r="M60" i="15"/>
  <c r="M4" i="14"/>
  <c r="J80" i="16"/>
  <c r="M21" i="15"/>
  <c r="M2" i="14"/>
  <c r="J51" i="16"/>
  <c r="J52" i="16"/>
  <c r="M6" i="14"/>
  <c r="M66" i="15"/>
  <c r="M43" i="13"/>
  <c r="M35" i="15"/>
  <c r="M69" i="15"/>
  <c r="M29" i="15"/>
  <c r="M68" i="15"/>
  <c r="M12" i="14"/>
  <c r="M5" i="14"/>
  <c r="M28" i="13"/>
  <c r="M171" i="15"/>
  <c r="M13" i="13"/>
  <c r="J18" i="16"/>
  <c r="M7" i="14"/>
  <c r="M3" i="14"/>
  <c r="M50" i="15"/>
  <c r="J77" i="16"/>
  <c r="M137" i="15"/>
  <c r="M132" i="15"/>
  <c r="J93" i="16"/>
  <c r="M178" i="15"/>
  <c r="J107" i="16"/>
  <c r="M41" i="15"/>
  <c r="J53" i="16"/>
  <c r="M123" i="15"/>
  <c r="M161" i="15"/>
  <c r="M18" i="13"/>
  <c r="M164" i="15"/>
  <c r="M59" i="14"/>
  <c r="M134" i="15"/>
  <c r="M59" i="13"/>
  <c r="M63" i="14"/>
  <c r="M51" i="13"/>
  <c r="M140" i="15"/>
  <c r="J64" i="16"/>
  <c r="M53" i="14"/>
  <c r="M133" i="14"/>
  <c r="M2" i="13"/>
  <c r="M64" i="15"/>
  <c r="J76" i="16"/>
  <c r="M34" i="15"/>
  <c r="J25" i="16"/>
  <c r="J3" i="16"/>
  <c r="J2" i="16"/>
  <c r="M23" i="15"/>
  <c r="J15" i="16"/>
  <c r="M143" i="15"/>
  <c r="M67" i="14"/>
  <c r="M159" i="14"/>
  <c r="M91" i="15"/>
  <c r="M4" i="15"/>
  <c r="M96" i="14"/>
  <c r="M4" i="13"/>
  <c r="M27" i="13"/>
  <c r="M5" i="15"/>
  <c r="M80" i="14"/>
  <c r="M3" i="15"/>
  <c r="M10" i="15"/>
  <c r="M95" i="14"/>
  <c r="M94" i="14"/>
  <c r="M93" i="14"/>
  <c r="M5" i="13"/>
  <c r="M132" i="14"/>
  <c r="M130" i="14"/>
  <c r="M61" i="13"/>
  <c r="M134" i="14"/>
  <c r="M105" i="14"/>
  <c r="M92" i="15"/>
  <c r="M6" i="15"/>
  <c r="M123" i="14"/>
  <c r="M40" i="15"/>
  <c r="M85" i="15"/>
  <c r="M135" i="14"/>
  <c r="M17" i="13"/>
  <c r="M72" i="15"/>
  <c r="M147" i="15"/>
  <c r="M57" i="15"/>
  <c r="J43" i="16"/>
  <c r="M112" i="14"/>
  <c r="M150" i="14"/>
  <c r="J5" i="16"/>
  <c r="M22" i="15"/>
  <c r="J37" i="16"/>
  <c r="M97" i="15"/>
  <c r="M47" i="13"/>
  <c r="M34" i="13"/>
  <c r="J47" i="16"/>
  <c r="M70" i="15"/>
  <c r="M184" i="14"/>
  <c r="J45" i="16"/>
  <c r="M43" i="15"/>
  <c r="M186" i="14"/>
  <c r="M16" i="13"/>
  <c r="J94" i="16"/>
  <c r="M71" i="15"/>
  <c r="M136" i="15"/>
  <c r="J46" i="16"/>
  <c r="M45" i="15"/>
  <c r="M152" i="15"/>
  <c r="J61" i="16"/>
  <c r="M122" i="15"/>
  <c r="M179" i="15"/>
  <c r="M118" i="15"/>
  <c r="M110" i="15"/>
  <c r="M145" i="15"/>
  <c r="J26" i="16"/>
  <c r="M155" i="15"/>
  <c r="J105" i="16"/>
  <c r="M20" i="14"/>
  <c r="J85" i="16"/>
  <c r="J27" i="16"/>
  <c r="M158" i="15"/>
  <c r="J42" i="16"/>
  <c r="M128" i="15"/>
  <c r="M170" i="15"/>
  <c r="M119" i="15"/>
  <c r="M41" i="13"/>
  <c r="M35" i="14"/>
  <c r="M21" i="13"/>
  <c r="M99" i="15"/>
  <c r="M26" i="14"/>
  <c r="M95" i="15"/>
  <c r="M39" i="14"/>
  <c r="J86" i="16"/>
  <c r="M15" i="13"/>
  <c r="M139" i="15"/>
  <c r="J81" i="16"/>
  <c r="J59" i="16"/>
  <c r="J31" i="16"/>
  <c r="M8" i="13"/>
  <c r="M44" i="13"/>
  <c r="M86" i="14"/>
  <c r="J6" i="16"/>
  <c r="M26" i="15"/>
  <c r="J21" i="16"/>
  <c r="M27" i="15"/>
  <c r="J79" i="16"/>
  <c r="M55" i="13"/>
  <c r="M20" i="15"/>
  <c r="M91" i="14"/>
  <c r="M109" i="14"/>
  <c r="M7" i="15"/>
  <c r="M46" i="15"/>
  <c r="M37" i="13"/>
  <c r="M85" i="14"/>
  <c r="J33" i="16"/>
  <c r="M78" i="14"/>
  <c r="M38" i="15"/>
  <c r="M39" i="15"/>
  <c r="M92" i="14"/>
  <c r="M61" i="15"/>
  <c r="M167" i="15"/>
  <c r="M35" i="13"/>
  <c r="J50" i="16"/>
  <c r="J88" i="16"/>
  <c r="M146" i="15"/>
  <c r="M63" i="15"/>
  <c r="M126" i="15"/>
  <c r="M60" i="13"/>
  <c r="J30" i="16"/>
  <c r="M160" i="15"/>
  <c r="M23" i="14"/>
  <c r="M130" i="15"/>
  <c r="J98" i="16"/>
  <c r="M21" i="14"/>
  <c r="M18" i="14"/>
  <c r="M151" i="15"/>
  <c r="M24" i="13"/>
  <c r="M68" i="14"/>
  <c r="M135" i="15"/>
  <c r="J58" i="16"/>
  <c r="M62" i="15"/>
  <c r="M131" i="15"/>
  <c r="M14" i="14"/>
  <c r="M50" i="14"/>
  <c r="J40" i="16"/>
  <c r="M84" i="15"/>
  <c r="J89" i="16"/>
  <c r="M103" i="15"/>
  <c r="M129" i="14"/>
  <c r="J56" i="16"/>
  <c r="M75" i="15"/>
  <c r="J74" i="16"/>
  <c r="M57" i="13"/>
  <c r="M81" i="15"/>
  <c r="M38" i="14"/>
  <c r="M22" i="13"/>
  <c r="M20" i="13"/>
  <c r="M42" i="14"/>
  <c r="M77" i="15"/>
  <c r="M105" i="15"/>
  <c r="J7" i="16"/>
  <c r="M9" i="15"/>
  <c r="M87" i="15"/>
  <c r="M26" i="13"/>
  <c r="J13" i="16"/>
  <c r="J16" i="16"/>
  <c r="M110" i="14"/>
  <c r="M116" i="14"/>
  <c r="M42" i="13"/>
  <c r="M87" i="14"/>
  <c r="M45" i="13"/>
  <c r="M76" i="15"/>
  <c r="M100" i="14"/>
  <c r="J87" i="16"/>
  <c r="M11" i="15"/>
  <c r="M129" i="15"/>
  <c r="M99" i="14"/>
  <c r="M103" i="14"/>
  <c r="M117" i="15"/>
  <c r="M33" i="15"/>
  <c r="M80" i="15"/>
  <c r="M111" i="14"/>
  <c r="M102" i="14"/>
  <c r="M115" i="14"/>
  <c r="M13" i="15"/>
  <c r="J39" i="16"/>
  <c r="J19" i="16"/>
  <c r="M154" i="14"/>
  <c r="M102" i="15"/>
  <c r="J71" i="16"/>
  <c r="M48" i="13"/>
  <c r="J20" i="16"/>
  <c r="M107" i="15"/>
  <c r="M127" i="14"/>
  <c r="M180" i="14"/>
  <c r="J91" i="16"/>
  <c r="M38" i="13"/>
  <c r="M162" i="15"/>
  <c r="M64" i="13"/>
  <c r="J70" i="16"/>
  <c r="M37" i="15"/>
  <c r="M106" i="15"/>
  <c r="M121" i="15"/>
  <c r="J29" i="16"/>
  <c r="M113" i="15"/>
  <c r="M12" i="13"/>
  <c r="J36" i="16"/>
  <c r="M142" i="14"/>
  <c r="J49" i="16"/>
  <c r="M165" i="15"/>
  <c r="J67" i="16"/>
  <c r="M112" i="15"/>
  <c r="M83" i="15"/>
  <c r="M154" i="15"/>
  <c r="J90" i="16"/>
  <c r="M78" i="15"/>
  <c r="M43" i="14"/>
  <c r="M124" i="15"/>
  <c r="M121" i="14"/>
  <c r="J62" i="16"/>
  <c r="M47" i="15"/>
  <c r="M37" i="14"/>
  <c r="M32" i="14"/>
  <c r="M33" i="13"/>
  <c r="M44" i="14"/>
  <c r="M150" i="15"/>
  <c r="M52" i="14"/>
  <c r="M14" i="13"/>
  <c r="M82" i="15"/>
  <c r="J48" i="16"/>
  <c r="M53" i="13"/>
  <c r="M153" i="15"/>
  <c r="J63" i="16"/>
  <c r="M32" i="15"/>
  <c r="M24" i="15"/>
  <c r="J99" i="16"/>
  <c r="M44" i="15"/>
  <c r="M58" i="15"/>
  <c r="M86" i="15"/>
  <c r="M31" i="15"/>
  <c r="J10" i="16"/>
  <c r="M14" i="15"/>
  <c r="M39" i="13"/>
  <c r="M70" i="14"/>
  <c r="M7" i="13"/>
  <c r="M90" i="14"/>
  <c r="M52" i="13"/>
  <c r="M169" i="14"/>
  <c r="J60" i="16"/>
  <c r="J32" i="16"/>
  <c r="M82" i="14"/>
  <c r="J97" i="16"/>
  <c r="M73" i="15"/>
  <c r="J41" i="16"/>
  <c r="M2" i="15"/>
  <c r="M6" i="13"/>
  <c r="J23" i="16"/>
  <c r="M16" i="15"/>
  <c r="M125" i="14"/>
  <c r="J4" i="16"/>
  <c r="M119" i="14"/>
  <c r="J8" i="16"/>
  <c r="M29" i="13"/>
  <c r="M108" i="14"/>
  <c r="M101" i="14"/>
  <c r="M8" i="15"/>
  <c r="M127" i="15"/>
  <c r="M168" i="14"/>
  <c r="M114" i="14"/>
  <c r="M118" i="14"/>
  <c r="M124" i="14"/>
  <c r="J9" i="16"/>
  <c r="M30" i="13"/>
  <c r="J69" i="16"/>
  <c r="M19" i="15"/>
  <c r="M25" i="15"/>
  <c r="M182" i="14"/>
  <c r="M65" i="15"/>
  <c r="J22" i="16"/>
  <c r="M156" i="14"/>
  <c r="M148" i="15"/>
  <c r="M51" i="14"/>
  <c r="M53" i="15"/>
  <c r="M15" i="15"/>
  <c r="J75" i="16"/>
  <c r="M36" i="13"/>
  <c r="M115" i="15"/>
  <c r="M31" i="13"/>
  <c r="M55" i="15"/>
  <c r="M172" i="14"/>
  <c r="J65" i="16"/>
  <c r="J102" i="16"/>
  <c r="M165" i="14"/>
  <c r="M19" i="13"/>
  <c r="M170" i="14"/>
  <c r="M76" i="14"/>
  <c r="J11" i="16"/>
  <c r="M101" i="15"/>
  <c r="M12" i="15"/>
  <c r="J159" i="14"/>
  <c r="J95" i="14"/>
  <c r="J143" i="15"/>
  <c r="J64" i="15"/>
  <c r="J93" i="14"/>
  <c r="J67" i="14"/>
  <c r="J96" i="14"/>
  <c r="J94" i="14"/>
  <c r="J80" i="14"/>
  <c r="J14" i="14"/>
  <c r="J50" i="14"/>
  <c r="J38" i="14"/>
  <c r="J42" i="14"/>
  <c r="J50" i="13"/>
  <c r="J64" i="14"/>
  <c r="J153" i="14"/>
  <c r="J84" i="14"/>
  <c r="J75" i="14"/>
  <c r="J87" i="14"/>
  <c r="J45" i="13"/>
  <c r="J100" i="14"/>
  <c r="J103" i="14"/>
  <c r="J116" i="14"/>
  <c r="J99" i="14"/>
  <c r="J102" i="14"/>
  <c r="J42" i="13"/>
  <c r="J115" i="14"/>
  <c r="J110" i="14"/>
  <c r="J111" i="14"/>
  <c r="J48" i="13"/>
  <c r="J180" i="14"/>
  <c r="J154" i="14"/>
  <c r="J142" i="14"/>
  <c r="J127" i="14"/>
  <c r="J135" i="14"/>
  <c r="J130" i="14"/>
  <c r="J134" i="14"/>
  <c r="J150" i="14"/>
  <c r="J112" i="14"/>
  <c r="J132" i="14"/>
  <c r="J105" i="14"/>
  <c r="J123" i="14"/>
  <c r="J32" i="14"/>
  <c r="J121" i="14"/>
  <c r="J43" i="14"/>
  <c r="J37" i="14"/>
  <c r="J44" i="14"/>
  <c r="J52" i="14"/>
  <c r="J82" i="14"/>
  <c r="J52" i="13"/>
  <c r="J153" i="15"/>
  <c r="J70" i="14"/>
  <c r="J90" i="14"/>
  <c r="J169" i="14"/>
  <c r="J114" i="14"/>
  <c r="J101" i="14"/>
  <c r="J124" i="14"/>
  <c r="J125" i="14"/>
  <c r="J119" i="14"/>
  <c r="J108" i="14"/>
  <c r="J168" i="14"/>
  <c r="J118" i="14"/>
  <c r="J170" i="14"/>
  <c r="J165" i="14"/>
  <c r="J182" i="14"/>
  <c r="J156" i="14"/>
  <c r="J51" i="14"/>
  <c r="J172" i="14"/>
  <c r="J69" i="15"/>
  <c r="J43" i="13"/>
  <c r="J2" i="14"/>
  <c r="J6" i="14"/>
  <c r="J3" i="14"/>
  <c r="J4" i="14"/>
  <c r="J12" i="14"/>
  <c r="J7" i="14"/>
  <c r="J5" i="14"/>
  <c r="J122" i="15"/>
  <c r="J186" i="14"/>
  <c r="J184" i="14"/>
  <c r="J133" i="14"/>
  <c r="J51" i="13"/>
  <c r="J53" i="14"/>
  <c r="J63" i="14"/>
  <c r="J59" i="14"/>
  <c r="J26" i="14"/>
  <c r="J20" i="14"/>
  <c r="J39" i="14"/>
  <c r="J35" i="14"/>
  <c r="J144" i="14"/>
  <c r="J65" i="14"/>
  <c r="J71" i="14"/>
  <c r="J30" i="15"/>
  <c r="J46" i="13"/>
  <c r="J42" i="15"/>
  <c r="J56" i="14"/>
  <c r="J69" i="14"/>
  <c r="J85" i="14"/>
  <c r="J109" i="14"/>
  <c r="J91" i="14"/>
  <c r="J44" i="13"/>
  <c r="J86" i="14"/>
  <c r="J92" i="14"/>
  <c r="J78" i="14"/>
  <c r="J143" i="14"/>
  <c r="J106" i="14"/>
  <c r="J131" i="14"/>
  <c r="J23" i="14"/>
  <c r="J21" i="14"/>
  <c r="J18" i="14"/>
  <c r="J68" i="14"/>
  <c r="Y20" i="10"/>
  <c r="X21" i="10"/>
  <c r="X192" i="10"/>
  <c r="Y191" i="10"/>
  <c r="X12" i="10"/>
  <c r="Y11" i="10"/>
  <c r="X360" i="10"/>
  <c r="J30" i="13"/>
  <c r="J18" i="13"/>
  <c r="J54" i="13"/>
  <c r="J109" i="16"/>
  <c r="M3" i="13"/>
  <c r="J64" i="13"/>
  <c r="J66" i="13"/>
  <c r="J28" i="13"/>
  <c r="L595" i="17"/>
  <c r="G593" i="17"/>
  <c r="I587" i="17"/>
  <c r="I588" i="17"/>
  <c r="G588" i="17"/>
  <c r="G64" i="17"/>
  <c r="B2" i="17"/>
  <c r="C43" i="12" l="1"/>
  <c r="E37" i="28"/>
  <c r="F37" i="28" s="1"/>
  <c r="E6" i="28"/>
  <c r="F6" i="28" s="1"/>
  <c r="E12" i="28"/>
  <c r="F12" i="28" s="1"/>
  <c r="E43" i="28"/>
  <c r="F43" i="28" s="1"/>
  <c r="E50" i="28"/>
  <c r="F50" i="28" s="1"/>
  <c r="E35" i="28"/>
  <c r="F35" i="28" s="1"/>
  <c r="E51" i="28"/>
  <c r="F51" i="28" s="1"/>
  <c r="E11" i="28"/>
  <c r="F11" i="28" s="1"/>
  <c r="E55" i="28"/>
  <c r="F55" i="28" s="1"/>
  <c r="E33" i="28"/>
  <c r="F33" i="28" s="1"/>
  <c r="E27" i="28"/>
  <c r="F27" i="28" s="1"/>
  <c r="E24" i="28"/>
  <c r="F24" i="28" s="1"/>
  <c r="E28" i="28"/>
  <c r="F28" i="28" s="1"/>
  <c r="E34" i="28"/>
  <c r="F34" i="28" s="1"/>
  <c r="E54" i="28"/>
  <c r="F54" i="28" s="1"/>
  <c r="E39" i="28"/>
  <c r="F39" i="28" s="1"/>
  <c r="E31" i="28"/>
  <c r="F31" i="28" s="1"/>
  <c r="X137" i="10"/>
  <c r="Y136" i="10"/>
  <c r="X162" i="10"/>
  <c r="Y34" i="10"/>
  <c r="X35" i="10"/>
  <c r="Y88" i="10"/>
  <c r="X89" i="10"/>
  <c r="Y109" i="10"/>
  <c r="X110" i="10"/>
  <c r="X141" i="10"/>
  <c r="Y140" i="10"/>
  <c r="AI28" i="33"/>
  <c r="AI29" i="33"/>
  <c r="AI17" i="33"/>
  <c r="AO38" i="33"/>
  <c r="AL38" i="33"/>
  <c r="AS5" i="33"/>
  <c r="AS23" i="33"/>
  <c r="AS6" i="33"/>
  <c r="AO11" i="33"/>
  <c r="AO36" i="33"/>
  <c r="AO20" i="33"/>
  <c r="AO28" i="33"/>
  <c r="AL28" i="33"/>
  <c r="AS16" i="33"/>
  <c r="AO29" i="33"/>
  <c r="AL29" i="33"/>
  <c r="AO24" i="33"/>
  <c r="AS9" i="33"/>
  <c r="AL17" i="33"/>
  <c r="AO17" i="33"/>
  <c r="AI38" i="33"/>
  <c r="AS13" i="33"/>
  <c r="AS18" i="33"/>
  <c r="AT18" i="33" s="1"/>
  <c r="AP18" i="33"/>
  <c r="AQ18" i="33" s="1"/>
  <c r="AO15" i="33"/>
  <c r="AO22" i="33"/>
  <c r="AS34" i="33"/>
  <c r="AO31" i="33"/>
  <c r="AO26" i="33"/>
  <c r="AO37" i="33"/>
  <c r="AL37" i="33"/>
  <c r="AS12" i="33"/>
  <c r="AO32" i="33"/>
  <c r="AS27" i="33"/>
  <c r="AM18" i="33"/>
  <c r="AS25" i="33"/>
  <c r="AS35" i="33"/>
  <c r="AS21" i="33"/>
  <c r="AI37" i="33"/>
  <c r="Y21" i="10"/>
  <c r="X22" i="10"/>
  <c r="X361" i="10"/>
  <c r="Y360" i="10"/>
  <c r="X385" i="10"/>
  <c r="X13" i="10"/>
  <c r="Y12" i="10"/>
  <c r="Y192" i="10"/>
  <c r="X193" i="10"/>
  <c r="L593" i="17"/>
  <c r="I598" i="17"/>
  <c r="G590" i="17"/>
  <c r="G595" i="17"/>
  <c r="G63" i="17"/>
  <c r="I62" i="17"/>
  <c r="L63" i="17"/>
  <c r="I64" i="17"/>
  <c r="J63" i="17"/>
  <c r="G587" i="17"/>
  <c r="G596" i="17"/>
  <c r="F64" i="17"/>
  <c r="K63" i="17"/>
  <c r="L589" i="17"/>
  <c r="J64" i="17"/>
  <c r="H63" i="17"/>
  <c r="L587" i="17"/>
  <c r="G586" i="17"/>
  <c r="G589" i="17"/>
  <c r="I593" i="17"/>
  <c r="G597" i="17"/>
  <c r="L596" i="17"/>
  <c r="K65" i="17"/>
  <c r="G65" i="17"/>
  <c r="J65" i="17"/>
  <c r="F65" i="17"/>
  <c r="L64" i="17"/>
  <c r="H64" i="17"/>
  <c r="L62" i="17"/>
  <c r="H62" i="17"/>
  <c r="I586" i="17"/>
  <c r="I590" i="17"/>
  <c r="G594" i="17"/>
  <c r="I65" i="17"/>
  <c r="K64" i="17"/>
  <c r="I63" i="17"/>
  <c r="K62" i="17"/>
  <c r="G62" i="17"/>
  <c r="L586" i="17"/>
  <c r="G591" i="17"/>
  <c r="L590" i="17"/>
  <c r="L592" i="17"/>
  <c r="G592" i="17"/>
  <c r="L598" i="17"/>
  <c r="G598" i="17"/>
  <c r="L65" i="17"/>
  <c r="H65" i="17"/>
  <c r="J62" i="17"/>
  <c r="I596" i="17"/>
  <c r="F595" i="17"/>
  <c r="I597" i="17"/>
  <c r="I595" i="17"/>
  <c r="L597" i="17"/>
  <c r="I594" i="17"/>
  <c r="I592" i="17"/>
  <c r="L594" i="17"/>
  <c r="I591" i="17"/>
  <c r="I589" i="17"/>
  <c r="L591" i="17"/>
  <c r="L588" i="17"/>
  <c r="AB230" i="9"/>
  <c r="X230" i="9" s="1"/>
  <c r="AA230" i="9"/>
  <c r="W230" i="9" s="1"/>
  <c r="AB229" i="9"/>
  <c r="X229" i="9" s="1"/>
  <c r="AA229" i="9"/>
  <c r="W229" i="9" s="1"/>
  <c r="AB228" i="9"/>
  <c r="X228" i="9" s="1"/>
  <c r="AA228" i="9"/>
  <c r="W228" i="9" s="1"/>
  <c r="AB227" i="9"/>
  <c r="X227" i="9" s="1"/>
  <c r="AA227" i="9"/>
  <c r="W227" i="9" s="1"/>
  <c r="AB226" i="9"/>
  <c r="X226" i="9" s="1"/>
  <c r="AA226" i="9"/>
  <c r="W226" i="9" s="1"/>
  <c r="AB225" i="9"/>
  <c r="X225" i="9" s="1"/>
  <c r="AA225" i="9"/>
  <c r="W225" i="9" s="1"/>
  <c r="AB224" i="9"/>
  <c r="X224" i="9" s="1"/>
  <c r="AA224" i="9"/>
  <c r="W224" i="9" s="1"/>
  <c r="AB223" i="9"/>
  <c r="X223" i="9" s="1"/>
  <c r="AA223" i="9"/>
  <c r="W223" i="9" s="1"/>
  <c r="AB222" i="9"/>
  <c r="X222" i="9" s="1"/>
  <c r="AA222" i="9"/>
  <c r="W222" i="9" s="1"/>
  <c r="AB221" i="9"/>
  <c r="X221" i="9" s="1"/>
  <c r="AA221" i="9"/>
  <c r="W221" i="9" s="1"/>
  <c r="AA220" i="9"/>
  <c r="W220" i="9" s="1"/>
  <c r="AB218" i="9"/>
  <c r="X218" i="9" s="1"/>
  <c r="AA218" i="9"/>
  <c r="W218" i="9" s="1"/>
  <c r="AB217" i="9"/>
  <c r="X217" i="9" s="1"/>
  <c r="AA217" i="9"/>
  <c r="W217" i="9" s="1"/>
  <c r="AB216" i="9"/>
  <c r="X216" i="9" s="1"/>
  <c r="AA216" i="9"/>
  <c r="W216" i="9" s="1"/>
  <c r="AB215" i="9"/>
  <c r="X215" i="9" s="1"/>
  <c r="AA215" i="9"/>
  <c r="W215" i="9" s="1"/>
  <c r="AB214" i="9"/>
  <c r="X214" i="9" s="1"/>
  <c r="AA214" i="9"/>
  <c r="W214" i="9" s="1"/>
  <c r="AB213" i="9"/>
  <c r="X213" i="9" s="1"/>
  <c r="AA213" i="9"/>
  <c r="W213" i="9" s="1"/>
  <c r="AB212" i="9"/>
  <c r="X212" i="9" s="1"/>
  <c r="AA212" i="9"/>
  <c r="W212" i="9" s="1"/>
  <c r="AB211" i="9"/>
  <c r="X211" i="9" s="1"/>
  <c r="AA211" i="9"/>
  <c r="W211" i="9" s="1"/>
  <c r="AB210" i="9"/>
  <c r="X210" i="9" s="1"/>
  <c r="AA210" i="9"/>
  <c r="W210" i="9" s="1"/>
  <c r="AB209" i="9"/>
  <c r="X209" i="9" s="1"/>
  <c r="AA209" i="9"/>
  <c r="W209" i="9" s="1"/>
  <c r="AA208" i="9"/>
  <c r="W208" i="9" s="1"/>
  <c r="AB206" i="9"/>
  <c r="X206" i="9" s="1"/>
  <c r="AA206" i="9"/>
  <c r="W206" i="9" s="1"/>
  <c r="AB205" i="9"/>
  <c r="X205" i="9" s="1"/>
  <c r="AA205" i="9"/>
  <c r="W205" i="9" s="1"/>
  <c r="AB204" i="9"/>
  <c r="X204" i="9" s="1"/>
  <c r="AA204" i="9"/>
  <c r="W204" i="9" s="1"/>
  <c r="AB203" i="9"/>
  <c r="X203" i="9" s="1"/>
  <c r="AA203" i="9"/>
  <c r="W203" i="9" s="1"/>
  <c r="AB202" i="9"/>
  <c r="X202" i="9" s="1"/>
  <c r="AA202" i="9"/>
  <c r="W202" i="9" s="1"/>
  <c r="AB201" i="9"/>
  <c r="X201" i="9" s="1"/>
  <c r="AA201" i="9"/>
  <c r="W201" i="9" s="1"/>
  <c r="AB200" i="9"/>
  <c r="X200" i="9" s="1"/>
  <c r="AA200" i="9"/>
  <c r="W200" i="9" s="1"/>
  <c r="AB199" i="9"/>
  <c r="X199" i="9" s="1"/>
  <c r="AA199" i="9"/>
  <c r="W199" i="9" s="1"/>
  <c r="AB198" i="9"/>
  <c r="X198" i="9" s="1"/>
  <c r="AA198" i="9"/>
  <c r="W198" i="9" s="1"/>
  <c r="AB197" i="9"/>
  <c r="X197" i="9" s="1"/>
  <c r="AA197" i="9"/>
  <c r="W197" i="9" s="1"/>
  <c r="AA196" i="9"/>
  <c r="W196" i="9" s="1"/>
  <c r="AB194" i="9"/>
  <c r="X194" i="9" s="1"/>
  <c r="AA194" i="9"/>
  <c r="W194" i="9" s="1"/>
  <c r="AB193" i="9"/>
  <c r="X193" i="9" s="1"/>
  <c r="AA193" i="9"/>
  <c r="W193" i="9" s="1"/>
  <c r="AB192" i="9"/>
  <c r="X192" i="9" s="1"/>
  <c r="AA192" i="9"/>
  <c r="W192" i="9" s="1"/>
  <c r="AB191" i="9"/>
  <c r="X191" i="9" s="1"/>
  <c r="AA191" i="9"/>
  <c r="W191" i="9" s="1"/>
  <c r="AB190" i="9"/>
  <c r="X190" i="9" s="1"/>
  <c r="AA190" i="9"/>
  <c r="W190" i="9" s="1"/>
  <c r="AB189" i="9"/>
  <c r="X189" i="9" s="1"/>
  <c r="AA189" i="9"/>
  <c r="W189" i="9" s="1"/>
  <c r="AB188" i="9"/>
  <c r="X188" i="9" s="1"/>
  <c r="AA188" i="9"/>
  <c r="W188" i="9" s="1"/>
  <c r="AB187" i="9"/>
  <c r="X187" i="9" s="1"/>
  <c r="AA187" i="9"/>
  <c r="W187" i="9" s="1"/>
  <c r="AB186" i="9"/>
  <c r="X186" i="9" s="1"/>
  <c r="AA186" i="9"/>
  <c r="W186" i="9" s="1"/>
  <c r="AB185" i="9"/>
  <c r="X185" i="9" s="1"/>
  <c r="AA185" i="9"/>
  <c r="W185" i="9" s="1"/>
  <c r="AA184" i="9"/>
  <c r="W184" i="9" s="1"/>
  <c r="AB182" i="9"/>
  <c r="X182" i="9" s="1"/>
  <c r="AA182" i="9"/>
  <c r="W182" i="9" s="1"/>
  <c r="AB181" i="9"/>
  <c r="X181" i="9" s="1"/>
  <c r="AA181" i="9"/>
  <c r="W181" i="9" s="1"/>
  <c r="AB180" i="9"/>
  <c r="X180" i="9" s="1"/>
  <c r="AA180" i="9"/>
  <c r="W180" i="9" s="1"/>
  <c r="AB179" i="9"/>
  <c r="X179" i="9" s="1"/>
  <c r="AA179" i="9"/>
  <c r="W179" i="9" s="1"/>
  <c r="AB178" i="9"/>
  <c r="X178" i="9" s="1"/>
  <c r="AA178" i="9"/>
  <c r="W178" i="9" s="1"/>
  <c r="AB177" i="9"/>
  <c r="X177" i="9" s="1"/>
  <c r="AA177" i="9"/>
  <c r="W177" i="9" s="1"/>
  <c r="AB176" i="9"/>
  <c r="X176" i="9" s="1"/>
  <c r="AA176" i="9"/>
  <c r="W176" i="9" s="1"/>
  <c r="AB175" i="9"/>
  <c r="X175" i="9" s="1"/>
  <c r="AA175" i="9"/>
  <c r="W175" i="9" s="1"/>
  <c r="AB174" i="9"/>
  <c r="X174" i="9" s="1"/>
  <c r="AA174" i="9"/>
  <c r="W174" i="9" s="1"/>
  <c r="AB173" i="9"/>
  <c r="X173" i="9" s="1"/>
  <c r="AA173" i="9"/>
  <c r="W173" i="9" s="1"/>
  <c r="AA172" i="9"/>
  <c r="W172" i="9" s="1"/>
  <c r="AB170" i="9"/>
  <c r="X170" i="9" s="1"/>
  <c r="AA170" i="9"/>
  <c r="W170" i="9" s="1"/>
  <c r="AB169" i="9"/>
  <c r="X169" i="9" s="1"/>
  <c r="AA169" i="9"/>
  <c r="W169" i="9" s="1"/>
  <c r="AB168" i="9"/>
  <c r="X168" i="9" s="1"/>
  <c r="AA168" i="9"/>
  <c r="W168" i="9" s="1"/>
  <c r="AB167" i="9"/>
  <c r="X167" i="9" s="1"/>
  <c r="AA167" i="9"/>
  <c r="W167" i="9" s="1"/>
  <c r="AB166" i="9"/>
  <c r="X166" i="9" s="1"/>
  <c r="AA166" i="9"/>
  <c r="W166" i="9" s="1"/>
  <c r="AB165" i="9"/>
  <c r="X165" i="9" s="1"/>
  <c r="AA165" i="9"/>
  <c r="W165" i="9" s="1"/>
  <c r="AB164" i="9"/>
  <c r="X164" i="9" s="1"/>
  <c r="AA164" i="9"/>
  <c r="W164" i="9" s="1"/>
  <c r="AB163" i="9"/>
  <c r="X163" i="9" s="1"/>
  <c r="AA163" i="9"/>
  <c r="W163" i="9" s="1"/>
  <c r="AB162" i="9"/>
  <c r="X162" i="9" s="1"/>
  <c r="AA162" i="9"/>
  <c r="W162" i="9" s="1"/>
  <c r="AB161" i="9"/>
  <c r="X161" i="9" s="1"/>
  <c r="AA161" i="9"/>
  <c r="W161" i="9" s="1"/>
  <c r="AA160" i="9"/>
  <c r="W160" i="9" s="1"/>
  <c r="AB158" i="9"/>
  <c r="X158" i="9" s="1"/>
  <c r="AA158" i="9"/>
  <c r="W158" i="9" s="1"/>
  <c r="AB157" i="9"/>
  <c r="X157" i="9" s="1"/>
  <c r="AA157" i="9"/>
  <c r="W157" i="9" s="1"/>
  <c r="AB156" i="9"/>
  <c r="X156" i="9" s="1"/>
  <c r="AA156" i="9"/>
  <c r="W156" i="9" s="1"/>
  <c r="AB155" i="9"/>
  <c r="X155" i="9" s="1"/>
  <c r="AA155" i="9"/>
  <c r="W155" i="9" s="1"/>
  <c r="AB154" i="9"/>
  <c r="X154" i="9" s="1"/>
  <c r="AA154" i="9"/>
  <c r="W154" i="9" s="1"/>
  <c r="AB153" i="9"/>
  <c r="X153" i="9" s="1"/>
  <c r="AA153" i="9"/>
  <c r="W153" i="9" s="1"/>
  <c r="AB152" i="9"/>
  <c r="X152" i="9" s="1"/>
  <c r="AA152" i="9"/>
  <c r="W152" i="9" s="1"/>
  <c r="AB151" i="9"/>
  <c r="X151" i="9" s="1"/>
  <c r="AA151" i="9"/>
  <c r="W151" i="9" s="1"/>
  <c r="AB150" i="9"/>
  <c r="X150" i="9" s="1"/>
  <c r="AA150" i="9"/>
  <c r="W150" i="9" s="1"/>
  <c r="AB149" i="9"/>
  <c r="X149" i="9" s="1"/>
  <c r="AA149" i="9"/>
  <c r="W149" i="9" s="1"/>
  <c r="AA148" i="9"/>
  <c r="W148" i="9" s="1"/>
  <c r="AB146" i="9"/>
  <c r="X146" i="9" s="1"/>
  <c r="AA146" i="9"/>
  <c r="W146" i="9" s="1"/>
  <c r="AB145" i="9"/>
  <c r="X145" i="9" s="1"/>
  <c r="AA145" i="9"/>
  <c r="W145" i="9" s="1"/>
  <c r="AB144" i="9"/>
  <c r="X144" i="9" s="1"/>
  <c r="AA144" i="9"/>
  <c r="W144" i="9" s="1"/>
  <c r="AB143" i="9"/>
  <c r="X143" i="9" s="1"/>
  <c r="AA143" i="9"/>
  <c r="W143" i="9" s="1"/>
  <c r="AB142" i="9"/>
  <c r="X142" i="9" s="1"/>
  <c r="AA142" i="9"/>
  <c r="W142" i="9" s="1"/>
  <c r="AB141" i="9"/>
  <c r="X141" i="9" s="1"/>
  <c r="AA141" i="9"/>
  <c r="W141" i="9" s="1"/>
  <c r="AB140" i="9"/>
  <c r="X140" i="9" s="1"/>
  <c r="AA140" i="9"/>
  <c r="W140" i="9" s="1"/>
  <c r="AB139" i="9"/>
  <c r="X139" i="9" s="1"/>
  <c r="AA139" i="9"/>
  <c r="W139" i="9" s="1"/>
  <c r="AB138" i="9"/>
  <c r="X138" i="9" s="1"/>
  <c r="AA138" i="9"/>
  <c r="W138" i="9" s="1"/>
  <c r="AB137" i="9"/>
  <c r="X137" i="9" s="1"/>
  <c r="AA137" i="9"/>
  <c r="W137" i="9" s="1"/>
  <c r="AA136" i="9"/>
  <c r="W136" i="9" s="1"/>
  <c r="AB134" i="9"/>
  <c r="X134" i="9" s="1"/>
  <c r="AA134" i="9"/>
  <c r="W134" i="9" s="1"/>
  <c r="AB133" i="9"/>
  <c r="X133" i="9" s="1"/>
  <c r="AA133" i="9"/>
  <c r="W133" i="9" s="1"/>
  <c r="AB132" i="9"/>
  <c r="X132" i="9" s="1"/>
  <c r="AA132" i="9"/>
  <c r="W132" i="9" s="1"/>
  <c r="AB131" i="9"/>
  <c r="X131" i="9" s="1"/>
  <c r="AA131" i="9"/>
  <c r="W131" i="9" s="1"/>
  <c r="AB130" i="9"/>
  <c r="X130" i="9" s="1"/>
  <c r="AA130" i="9"/>
  <c r="W130" i="9" s="1"/>
  <c r="AB129" i="9"/>
  <c r="X129" i="9" s="1"/>
  <c r="AA129" i="9"/>
  <c r="W129" i="9" s="1"/>
  <c r="AB128" i="9"/>
  <c r="X128" i="9" s="1"/>
  <c r="AA128" i="9"/>
  <c r="W128" i="9" s="1"/>
  <c r="AB127" i="9"/>
  <c r="X127" i="9" s="1"/>
  <c r="AA127" i="9"/>
  <c r="W127" i="9" s="1"/>
  <c r="AB126" i="9"/>
  <c r="X126" i="9" s="1"/>
  <c r="AA126" i="9"/>
  <c r="W126" i="9" s="1"/>
  <c r="AB125" i="9"/>
  <c r="X125" i="9" s="1"/>
  <c r="AA125" i="9"/>
  <c r="W125" i="9" s="1"/>
  <c r="AA124" i="9"/>
  <c r="W124" i="9" s="1"/>
  <c r="AB122" i="9"/>
  <c r="X122" i="9" s="1"/>
  <c r="AA122" i="9"/>
  <c r="W122" i="9" s="1"/>
  <c r="AB121" i="9"/>
  <c r="X121" i="9" s="1"/>
  <c r="AA121" i="9"/>
  <c r="W121" i="9" s="1"/>
  <c r="AB120" i="9"/>
  <c r="X120" i="9" s="1"/>
  <c r="AA120" i="9"/>
  <c r="W120" i="9" s="1"/>
  <c r="AB119" i="9"/>
  <c r="X119" i="9" s="1"/>
  <c r="AA119" i="9"/>
  <c r="W119" i="9" s="1"/>
  <c r="AB118" i="9"/>
  <c r="X118" i="9" s="1"/>
  <c r="AA118" i="9"/>
  <c r="W118" i="9" s="1"/>
  <c r="AB117" i="9"/>
  <c r="X117" i="9" s="1"/>
  <c r="AA117" i="9"/>
  <c r="W117" i="9" s="1"/>
  <c r="AB116" i="9"/>
  <c r="X116" i="9" s="1"/>
  <c r="AA116" i="9"/>
  <c r="W116" i="9" s="1"/>
  <c r="AB115" i="9"/>
  <c r="X115" i="9" s="1"/>
  <c r="AA115" i="9"/>
  <c r="W115" i="9" s="1"/>
  <c r="AB114" i="9"/>
  <c r="X114" i="9" s="1"/>
  <c r="AA114" i="9"/>
  <c r="W114" i="9" s="1"/>
  <c r="AB113" i="9"/>
  <c r="X113" i="9" s="1"/>
  <c r="AA113" i="9"/>
  <c r="W113" i="9" s="1"/>
  <c r="AA112" i="9"/>
  <c r="W112" i="9" s="1"/>
  <c r="AB110" i="9"/>
  <c r="X110" i="9" s="1"/>
  <c r="AA110" i="9"/>
  <c r="W110" i="9" s="1"/>
  <c r="AB109" i="9"/>
  <c r="X109" i="9" s="1"/>
  <c r="AA109" i="9"/>
  <c r="W109" i="9" s="1"/>
  <c r="AB108" i="9"/>
  <c r="X108" i="9" s="1"/>
  <c r="AA108" i="9"/>
  <c r="W108" i="9" s="1"/>
  <c r="AB107" i="9"/>
  <c r="X107" i="9" s="1"/>
  <c r="AA107" i="9"/>
  <c r="W107" i="9" s="1"/>
  <c r="AB106" i="9"/>
  <c r="X106" i="9" s="1"/>
  <c r="AA106" i="9"/>
  <c r="W106" i="9" s="1"/>
  <c r="AB105" i="9"/>
  <c r="X105" i="9" s="1"/>
  <c r="AA105" i="9"/>
  <c r="W105" i="9" s="1"/>
  <c r="AB104" i="9"/>
  <c r="X104" i="9" s="1"/>
  <c r="AA104" i="9"/>
  <c r="W104" i="9" s="1"/>
  <c r="AB103" i="9"/>
  <c r="X103" i="9" s="1"/>
  <c r="AA103" i="9"/>
  <c r="W103" i="9" s="1"/>
  <c r="AB102" i="9"/>
  <c r="X102" i="9" s="1"/>
  <c r="AA102" i="9"/>
  <c r="W102" i="9" s="1"/>
  <c r="AB101" i="9"/>
  <c r="X101" i="9" s="1"/>
  <c r="AA101" i="9"/>
  <c r="W101" i="9" s="1"/>
  <c r="AA100" i="9"/>
  <c r="W100" i="9" s="1"/>
  <c r="AB98" i="9"/>
  <c r="X98" i="9" s="1"/>
  <c r="AA98" i="9"/>
  <c r="W98" i="9" s="1"/>
  <c r="AB97" i="9"/>
  <c r="X97" i="9" s="1"/>
  <c r="AA97" i="9"/>
  <c r="W97" i="9" s="1"/>
  <c r="AB96" i="9"/>
  <c r="X96" i="9" s="1"/>
  <c r="AA96" i="9"/>
  <c r="W96" i="9" s="1"/>
  <c r="AB95" i="9"/>
  <c r="X95" i="9" s="1"/>
  <c r="AA95" i="9"/>
  <c r="W95" i="9" s="1"/>
  <c r="AB94" i="9"/>
  <c r="X94" i="9" s="1"/>
  <c r="AA94" i="9"/>
  <c r="W94" i="9" s="1"/>
  <c r="AB93" i="9"/>
  <c r="X93" i="9" s="1"/>
  <c r="AA93" i="9"/>
  <c r="W93" i="9" s="1"/>
  <c r="AB92" i="9"/>
  <c r="X92" i="9" s="1"/>
  <c r="AA92" i="9"/>
  <c r="W92" i="9" s="1"/>
  <c r="AB91" i="9"/>
  <c r="X91" i="9" s="1"/>
  <c r="AA91" i="9"/>
  <c r="W91" i="9" s="1"/>
  <c r="AB90" i="9"/>
  <c r="X90" i="9" s="1"/>
  <c r="AA90" i="9"/>
  <c r="W90" i="9" s="1"/>
  <c r="AB89" i="9"/>
  <c r="X89" i="9" s="1"/>
  <c r="AA89" i="9"/>
  <c r="W89" i="9" s="1"/>
  <c r="AA88" i="9"/>
  <c r="W88" i="9" s="1"/>
  <c r="AB86" i="9"/>
  <c r="X86" i="9" s="1"/>
  <c r="AA86" i="9"/>
  <c r="W86" i="9" s="1"/>
  <c r="AB85" i="9"/>
  <c r="X85" i="9" s="1"/>
  <c r="AA85" i="9"/>
  <c r="W85" i="9" s="1"/>
  <c r="AB84" i="9"/>
  <c r="X84" i="9" s="1"/>
  <c r="AA84" i="9"/>
  <c r="W84" i="9" s="1"/>
  <c r="AB83" i="9"/>
  <c r="X83" i="9" s="1"/>
  <c r="AA83" i="9"/>
  <c r="W83" i="9" s="1"/>
  <c r="AB82" i="9"/>
  <c r="X82" i="9" s="1"/>
  <c r="AA82" i="9"/>
  <c r="W82" i="9" s="1"/>
  <c r="AB81" i="9"/>
  <c r="X81" i="9" s="1"/>
  <c r="AA81" i="9"/>
  <c r="W81" i="9" s="1"/>
  <c r="AB80" i="9"/>
  <c r="X80" i="9" s="1"/>
  <c r="AA80" i="9"/>
  <c r="W80" i="9" s="1"/>
  <c r="AB79" i="9"/>
  <c r="X79" i="9" s="1"/>
  <c r="AA79" i="9"/>
  <c r="W79" i="9" s="1"/>
  <c r="AB78" i="9"/>
  <c r="X78" i="9" s="1"/>
  <c r="AA78" i="9"/>
  <c r="W78" i="9" s="1"/>
  <c r="AB77" i="9"/>
  <c r="X77" i="9" s="1"/>
  <c r="AA77" i="9"/>
  <c r="W77" i="9" s="1"/>
  <c r="AA76" i="9"/>
  <c r="W76" i="9" s="1"/>
  <c r="AB74" i="9"/>
  <c r="X74" i="9" s="1"/>
  <c r="AA74" i="9"/>
  <c r="W74" i="9" s="1"/>
  <c r="AB73" i="9"/>
  <c r="X73" i="9" s="1"/>
  <c r="AA73" i="9"/>
  <c r="W73" i="9" s="1"/>
  <c r="AB72" i="9"/>
  <c r="X72" i="9" s="1"/>
  <c r="AA72" i="9"/>
  <c r="W72" i="9" s="1"/>
  <c r="AB71" i="9"/>
  <c r="X71" i="9" s="1"/>
  <c r="AA71" i="9"/>
  <c r="W71" i="9" s="1"/>
  <c r="AB70" i="9"/>
  <c r="X70" i="9" s="1"/>
  <c r="AA70" i="9"/>
  <c r="W70" i="9" s="1"/>
  <c r="AB69" i="9"/>
  <c r="X69" i="9" s="1"/>
  <c r="AA69" i="9"/>
  <c r="W69" i="9" s="1"/>
  <c r="AB68" i="9"/>
  <c r="X68" i="9" s="1"/>
  <c r="AA68" i="9"/>
  <c r="W68" i="9" s="1"/>
  <c r="AB67" i="9"/>
  <c r="X67" i="9" s="1"/>
  <c r="AA67" i="9"/>
  <c r="W67" i="9" s="1"/>
  <c r="AB66" i="9"/>
  <c r="X66" i="9" s="1"/>
  <c r="AA66" i="9"/>
  <c r="W66" i="9" s="1"/>
  <c r="AB65" i="9"/>
  <c r="X65" i="9" s="1"/>
  <c r="AA65" i="9"/>
  <c r="W65" i="9" s="1"/>
  <c r="AA64" i="9"/>
  <c r="W64" i="9" s="1"/>
  <c r="AB62" i="9"/>
  <c r="X62" i="9" s="1"/>
  <c r="AA62" i="9"/>
  <c r="W62" i="9" s="1"/>
  <c r="AB61" i="9"/>
  <c r="X61" i="9" s="1"/>
  <c r="AA61" i="9"/>
  <c r="W61" i="9" s="1"/>
  <c r="AB60" i="9"/>
  <c r="X60" i="9" s="1"/>
  <c r="AA60" i="9"/>
  <c r="W60" i="9" s="1"/>
  <c r="AB59" i="9"/>
  <c r="X59" i="9" s="1"/>
  <c r="AA59" i="9"/>
  <c r="W59" i="9" s="1"/>
  <c r="AB58" i="9"/>
  <c r="X58" i="9" s="1"/>
  <c r="AA58" i="9"/>
  <c r="W58" i="9" s="1"/>
  <c r="AB57" i="9"/>
  <c r="X57" i="9" s="1"/>
  <c r="AA57" i="9"/>
  <c r="W57" i="9" s="1"/>
  <c r="AB56" i="9"/>
  <c r="X56" i="9" s="1"/>
  <c r="AA56" i="9"/>
  <c r="W56" i="9" s="1"/>
  <c r="AB55" i="9"/>
  <c r="X55" i="9" s="1"/>
  <c r="AA55" i="9"/>
  <c r="W55" i="9" s="1"/>
  <c r="AB54" i="9"/>
  <c r="X54" i="9" s="1"/>
  <c r="AA54" i="9"/>
  <c r="W54" i="9" s="1"/>
  <c r="AB53" i="9"/>
  <c r="X53" i="9" s="1"/>
  <c r="AA53" i="9"/>
  <c r="W53" i="9" s="1"/>
  <c r="AA52" i="9"/>
  <c r="W52" i="9" s="1"/>
  <c r="AB50" i="9"/>
  <c r="X50" i="9" s="1"/>
  <c r="AA50" i="9"/>
  <c r="W50" i="9" s="1"/>
  <c r="AB49" i="9"/>
  <c r="X49" i="9" s="1"/>
  <c r="AA49" i="9"/>
  <c r="W49" i="9" s="1"/>
  <c r="AB48" i="9"/>
  <c r="X48" i="9" s="1"/>
  <c r="AA48" i="9"/>
  <c r="W48" i="9" s="1"/>
  <c r="AB47" i="9"/>
  <c r="X47" i="9" s="1"/>
  <c r="AA47" i="9"/>
  <c r="W47" i="9" s="1"/>
  <c r="AB46" i="9"/>
  <c r="X46" i="9" s="1"/>
  <c r="AA46" i="9"/>
  <c r="W46" i="9" s="1"/>
  <c r="AB45" i="9"/>
  <c r="X45" i="9" s="1"/>
  <c r="AA45" i="9"/>
  <c r="W45" i="9" s="1"/>
  <c r="AB44" i="9"/>
  <c r="X44" i="9" s="1"/>
  <c r="AA44" i="9"/>
  <c r="W44" i="9" s="1"/>
  <c r="AB43" i="9"/>
  <c r="X43" i="9" s="1"/>
  <c r="AA43" i="9"/>
  <c r="W43" i="9" s="1"/>
  <c r="AB42" i="9"/>
  <c r="X42" i="9" s="1"/>
  <c r="AA42" i="9"/>
  <c r="W42" i="9" s="1"/>
  <c r="AB41" i="9"/>
  <c r="X41" i="9" s="1"/>
  <c r="AA41" i="9"/>
  <c r="W41" i="9" s="1"/>
  <c r="AA40" i="9"/>
  <c r="W40" i="9" s="1"/>
  <c r="AB38" i="9"/>
  <c r="X38" i="9" s="1"/>
  <c r="AA38" i="9"/>
  <c r="W38" i="9" s="1"/>
  <c r="AB37" i="9"/>
  <c r="X37" i="9" s="1"/>
  <c r="AA37" i="9"/>
  <c r="W37" i="9" s="1"/>
  <c r="AB36" i="9"/>
  <c r="X36" i="9" s="1"/>
  <c r="AA36" i="9"/>
  <c r="W36" i="9" s="1"/>
  <c r="AB35" i="9"/>
  <c r="X35" i="9" s="1"/>
  <c r="AA35" i="9"/>
  <c r="W35" i="9" s="1"/>
  <c r="AB34" i="9"/>
  <c r="X34" i="9" s="1"/>
  <c r="AA34" i="9"/>
  <c r="W34" i="9" s="1"/>
  <c r="AB33" i="9"/>
  <c r="X33" i="9" s="1"/>
  <c r="AA33" i="9"/>
  <c r="W33" i="9" s="1"/>
  <c r="AB32" i="9"/>
  <c r="X32" i="9" s="1"/>
  <c r="AA32" i="9"/>
  <c r="W32" i="9" s="1"/>
  <c r="AB31" i="9"/>
  <c r="X31" i="9" s="1"/>
  <c r="AA31" i="9"/>
  <c r="W31" i="9" s="1"/>
  <c r="AB30" i="9"/>
  <c r="X30" i="9" s="1"/>
  <c r="AA30" i="9"/>
  <c r="W30" i="9" s="1"/>
  <c r="AB29" i="9"/>
  <c r="X29" i="9" s="1"/>
  <c r="AA29" i="9"/>
  <c r="W29" i="9" s="1"/>
  <c r="AA28" i="9"/>
  <c r="W28" i="9" s="1"/>
  <c r="AA16" i="9"/>
  <c r="W16" i="9" s="1"/>
  <c r="AA4" i="9"/>
  <c r="W4" i="9" s="1"/>
  <c r="AB26" i="9"/>
  <c r="X26" i="9" s="1"/>
  <c r="AA26" i="9"/>
  <c r="W26" i="9" s="1"/>
  <c r="AB25" i="9"/>
  <c r="X25" i="9" s="1"/>
  <c r="AA25" i="9"/>
  <c r="W25" i="9" s="1"/>
  <c r="AB24" i="9"/>
  <c r="X24" i="9" s="1"/>
  <c r="AA24" i="9"/>
  <c r="W24" i="9" s="1"/>
  <c r="AB23" i="9"/>
  <c r="X23" i="9" s="1"/>
  <c r="AA23" i="9"/>
  <c r="W23" i="9" s="1"/>
  <c r="AB22" i="9"/>
  <c r="X22" i="9" s="1"/>
  <c r="AA22" i="9"/>
  <c r="W22" i="9" s="1"/>
  <c r="AB21" i="9"/>
  <c r="X21" i="9" s="1"/>
  <c r="AA21" i="9"/>
  <c r="W21" i="9" s="1"/>
  <c r="AB20" i="9"/>
  <c r="X20" i="9" s="1"/>
  <c r="AA20" i="9"/>
  <c r="W20" i="9" s="1"/>
  <c r="AB19" i="9"/>
  <c r="X19" i="9" s="1"/>
  <c r="AA19" i="9"/>
  <c r="W19" i="9" s="1"/>
  <c r="AB18" i="9"/>
  <c r="X18" i="9" s="1"/>
  <c r="AA18" i="9"/>
  <c r="W18" i="9" s="1"/>
  <c r="AB17" i="9"/>
  <c r="X17" i="9" s="1"/>
  <c r="AA17" i="9"/>
  <c r="W17" i="9" s="1"/>
  <c r="AB6" i="9"/>
  <c r="X6" i="9" s="1"/>
  <c r="AB7" i="9"/>
  <c r="X7" i="9" s="1"/>
  <c r="AB8" i="9"/>
  <c r="X8" i="9" s="1"/>
  <c r="AB9" i="9"/>
  <c r="X9" i="9" s="1"/>
  <c r="AB10" i="9"/>
  <c r="X10" i="9" s="1"/>
  <c r="AB11" i="9"/>
  <c r="X11" i="9" s="1"/>
  <c r="AB12" i="9"/>
  <c r="X12" i="9" s="1"/>
  <c r="AB13" i="9"/>
  <c r="X13" i="9" s="1"/>
  <c r="AB14" i="9"/>
  <c r="X14" i="9" s="1"/>
  <c r="AB5" i="9"/>
  <c r="X5" i="9" s="1"/>
  <c r="AA6" i="9"/>
  <c r="W6" i="9" s="1"/>
  <c r="AA7" i="9"/>
  <c r="W7" i="9" s="1"/>
  <c r="AA8" i="9"/>
  <c r="W8" i="9" s="1"/>
  <c r="AA9" i="9"/>
  <c r="W9" i="9" s="1"/>
  <c r="AA10" i="9"/>
  <c r="W10" i="9" s="1"/>
  <c r="AA11" i="9"/>
  <c r="W11" i="9" s="1"/>
  <c r="AA12" i="9"/>
  <c r="W12" i="9" s="1"/>
  <c r="AA13" i="9"/>
  <c r="W13" i="9" s="1"/>
  <c r="AA14" i="9"/>
  <c r="W14" i="9" s="1"/>
  <c r="AA5" i="9"/>
  <c r="W5" i="9" s="1"/>
  <c r="X138" i="10" l="1"/>
  <c r="Y138" i="10" s="1"/>
  <c r="Y137" i="10"/>
  <c r="Y162" i="10"/>
  <c r="X163" i="10"/>
  <c r="Y110" i="10"/>
  <c r="X111" i="10"/>
  <c r="X114" i="10"/>
  <c r="X106" i="10"/>
  <c r="Y89" i="10"/>
  <c r="X90" i="10"/>
  <c r="X298" i="10"/>
  <c r="Y35" i="10"/>
  <c r="X36" i="10"/>
  <c r="X58" i="10"/>
  <c r="X273" i="10"/>
  <c r="X142" i="10"/>
  <c r="Y141" i="10"/>
  <c r="AM37" i="33"/>
  <c r="AS22" i="33"/>
  <c r="AP17" i="33"/>
  <c r="AS17" i="33"/>
  <c r="AT17" i="33" s="1"/>
  <c r="AS11" i="33"/>
  <c r="AS37" i="33"/>
  <c r="AT37" i="33" s="1"/>
  <c r="AP37" i="33"/>
  <c r="AU18" i="33"/>
  <c r="AM17" i="33"/>
  <c r="AS24" i="33"/>
  <c r="AS26" i="33"/>
  <c r="AM29" i="33"/>
  <c r="AM28" i="33"/>
  <c r="AS36" i="33"/>
  <c r="AS38" i="33"/>
  <c r="AT38" i="33" s="1"/>
  <c r="AP38" i="33"/>
  <c r="AS32" i="33"/>
  <c r="AS31" i="33"/>
  <c r="AS15" i="33"/>
  <c r="AP29" i="33"/>
  <c r="AS29" i="33"/>
  <c r="AT29" i="33" s="1"/>
  <c r="AP28" i="33"/>
  <c r="AS28" i="33"/>
  <c r="AT28" i="33" s="1"/>
  <c r="AS20" i="33"/>
  <c r="AM38" i="33"/>
  <c r="X23" i="10"/>
  <c r="Y22" i="10"/>
  <c r="Y193" i="10"/>
  <c r="X194" i="10"/>
  <c r="Y361" i="10"/>
  <c r="X362" i="10"/>
  <c r="X14" i="10"/>
  <c r="Y13" i="10"/>
  <c r="X386" i="10"/>
  <c r="Y385" i="10"/>
  <c r="AK3" i="4"/>
  <c r="G4" i="9"/>
  <c r="F4" i="9"/>
  <c r="E4" i="9"/>
  <c r="C4" i="9"/>
  <c r="B4" i="9"/>
  <c r="D4" i="9"/>
  <c r="H4" i="9"/>
  <c r="Y111" i="10" l="1"/>
  <c r="X112" i="10"/>
  <c r="Y106" i="10"/>
  <c r="X107" i="10"/>
  <c r="X164" i="10"/>
  <c r="Y163" i="10"/>
  <c r="Y36" i="10"/>
  <c r="X37" i="10"/>
  <c r="X91" i="10"/>
  <c r="Y90" i="10"/>
  <c r="X115" i="10"/>
  <c r="Y114" i="10"/>
  <c r="X62" i="10"/>
  <c r="Y58" i="10"/>
  <c r="X59" i="10"/>
  <c r="Y298" i="10"/>
  <c r="X299" i="10"/>
  <c r="Y273" i="10"/>
  <c r="X274" i="10"/>
  <c r="Y142" i="10"/>
  <c r="X143" i="10"/>
  <c r="AU29" i="33"/>
  <c r="AQ38" i="33"/>
  <c r="AU17" i="33"/>
  <c r="AQ28" i="33"/>
  <c r="AQ29" i="33"/>
  <c r="AU38" i="33"/>
  <c r="AQ37" i="33"/>
  <c r="AQ17" i="33"/>
  <c r="AU28" i="33"/>
  <c r="AU37" i="33"/>
  <c r="Y23" i="10"/>
  <c r="X24" i="10"/>
  <c r="X195" i="10"/>
  <c r="Y194" i="10"/>
  <c r="X363" i="10"/>
  <c r="Y362" i="10"/>
  <c r="X387" i="10"/>
  <c r="Y386" i="10"/>
  <c r="X15" i="10"/>
  <c r="Y15" i="10" s="1"/>
  <c r="Y14" i="10"/>
  <c r="C531" i="7"/>
  <c r="C305" i="7"/>
  <c r="AH3" i="4"/>
  <c r="AE3" i="4"/>
  <c r="AB3" i="4"/>
  <c r="Y3" i="4"/>
  <c r="V3" i="4"/>
  <c r="S3" i="4"/>
  <c r="P3" i="4"/>
  <c r="M3" i="4"/>
  <c r="J3" i="4"/>
  <c r="G3" i="4"/>
  <c r="D3" i="4"/>
  <c r="A3" i="4"/>
  <c r="B531" i="7"/>
  <c r="L531" i="7" s="1"/>
  <c r="B305" i="7"/>
  <c r="L305" i="7" s="1"/>
  <c r="E3" i="21"/>
  <c r="F3" i="21" s="1"/>
  <c r="K3" i="21"/>
  <c r="Q3" i="21"/>
  <c r="W3" i="21"/>
  <c r="Y3" i="21" s="1"/>
  <c r="AC3" i="21"/>
  <c r="AI3" i="21"/>
  <c r="AO3" i="21"/>
  <c r="AU3" i="21"/>
  <c r="AW3" i="21" s="1"/>
  <c r="BA3" i="21"/>
  <c r="BB3" i="21" s="1"/>
  <c r="BG3" i="21"/>
  <c r="BH3" i="21" s="1"/>
  <c r="BK3" i="21" s="1"/>
  <c r="BM3" i="21"/>
  <c r="BS3" i="21"/>
  <c r="BU3" i="21" s="1"/>
  <c r="BY3" i="21"/>
  <c r="CA3" i="21" s="1"/>
  <c r="CE3" i="21"/>
  <c r="CF3" i="21" s="1"/>
  <c r="CI3" i="21" s="1"/>
  <c r="CK3" i="21"/>
  <c r="CQ3" i="21"/>
  <c r="CS3" i="21" s="1"/>
  <c r="CW3" i="21"/>
  <c r="CX3" i="21" s="1"/>
  <c r="DC3" i="21"/>
  <c r="DI3" i="21"/>
  <c r="DO3" i="21"/>
  <c r="DQ3" i="21" s="1"/>
  <c r="E4" i="21"/>
  <c r="K4" i="21"/>
  <c r="L4" i="21" s="1"/>
  <c r="O4" i="21" s="1"/>
  <c r="Q4" i="21"/>
  <c r="W4" i="21"/>
  <c r="Y4" i="21" s="1"/>
  <c r="AC4" i="21"/>
  <c r="AD4" i="21" s="1"/>
  <c r="AI4" i="21"/>
  <c r="AJ4" i="21" s="1"/>
  <c r="AM4" i="21" s="1"/>
  <c r="AO4" i="21"/>
  <c r="AU4" i="21"/>
  <c r="AW4" i="21" s="1"/>
  <c r="BA4" i="21"/>
  <c r="BC4" i="21" s="1"/>
  <c r="BG4" i="21"/>
  <c r="BH4" i="21" s="1"/>
  <c r="BK4" i="21" s="1"/>
  <c r="BM4" i="21"/>
  <c r="BS4" i="21"/>
  <c r="BU4" i="21" s="1"/>
  <c r="BY4" i="21"/>
  <c r="BZ4" i="21" s="1"/>
  <c r="CE4" i="21"/>
  <c r="CK4" i="21"/>
  <c r="CQ4" i="21"/>
  <c r="CS4" i="21" s="1"/>
  <c r="CW4" i="21"/>
  <c r="DC4" i="21"/>
  <c r="DI4" i="21"/>
  <c r="DO4" i="21"/>
  <c r="DQ4" i="21" s="1"/>
  <c r="E5" i="21"/>
  <c r="F5" i="21" s="1"/>
  <c r="K5" i="21"/>
  <c r="L5" i="21" s="1"/>
  <c r="O5" i="21" s="1"/>
  <c r="Q5" i="21"/>
  <c r="W5" i="21"/>
  <c r="Y5" i="21" s="1"/>
  <c r="AC5" i="21"/>
  <c r="AE5" i="21" s="1"/>
  <c r="AI5" i="21"/>
  <c r="AJ5" i="21" s="1"/>
  <c r="AM5" i="21" s="1"/>
  <c r="AO5" i="21"/>
  <c r="AU5" i="21"/>
  <c r="AW5" i="21" s="1"/>
  <c r="BA5" i="21"/>
  <c r="BB5" i="21" s="1"/>
  <c r="BG5" i="21"/>
  <c r="BM5" i="21"/>
  <c r="BS5" i="21"/>
  <c r="BU5" i="21" s="1"/>
  <c r="BY5" i="21"/>
  <c r="CE5" i="21"/>
  <c r="CF5" i="21" s="1"/>
  <c r="CI5" i="21" s="1"/>
  <c r="CK5" i="21"/>
  <c r="CQ5" i="21"/>
  <c r="CS5" i="21" s="1"/>
  <c r="CW5" i="21"/>
  <c r="CX5" i="21" s="1"/>
  <c r="DC5" i="21"/>
  <c r="DD5" i="21" s="1"/>
  <c r="DG5" i="21" s="1"/>
  <c r="DI5" i="21"/>
  <c r="DO5" i="21"/>
  <c r="DQ5" i="21" s="1"/>
  <c r="E6" i="21"/>
  <c r="G6" i="21" s="1"/>
  <c r="K6" i="21"/>
  <c r="L6" i="21" s="1"/>
  <c r="O6" i="21" s="1"/>
  <c r="Q6" i="21"/>
  <c r="W6" i="21"/>
  <c r="Y6" i="21" s="1"/>
  <c r="AC6" i="21"/>
  <c r="AD6" i="21" s="1"/>
  <c r="AI6" i="21"/>
  <c r="AO6" i="21"/>
  <c r="AU6" i="21"/>
  <c r="AW6" i="21" s="1"/>
  <c r="BA6" i="21"/>
  <c r="BG6" i="21"/>
  <c r="BM6" i="21"/>
  <c r="BS6" i="21"/>
  <c r="BU6" i="21" s="1"/>
  <c r="BY6" i="21"/>
  <c r="BZ6" i="21" s="1"/>
  <c r="CE6" i="21"/>
  <c r="CF6" i="21" s="1"/>
  <c r="CI6" i="21" s="1"/>
  <c r="CK6" i="21"/>
  <c r="CQ6" i="21"/>
  <c r="CS6" i="21" s="1"/>
  <c r="CW6" i="21"/>
  <c r="CY6" i="21" s="1"/>
  <c r="DC6" i="21"/>
  <c r="DD6" i="21" s="1"/>
  <c r="DG6" i="21" s="1"/>
  <c r="DI6" i="21"/>
  <c r="DO6" i="21"/>
  <c r="DQ6" i="21" s="1"/>
  <c r="E7" i="21"/>
  <c r="F7" i="21" s="1"/>
  <c r="K7" i="21"/>
  <c r="Q7" i="21"/>
  <c r="W7" i="21"/>
  <c r="Y7" i="21" s="1"/>
  <c r="AC7" i="21"/>
  <c r="AI7" i="21"/>
  <c r="AJ7" i="21" s="1"/>
  <c r="AL7" i="21" s="1"/>
  <c r="AO7" i="21"/>
  <c r="AU7" i="21"/>
  <c r="AV7" i="21" s="1"/>
  <c r="AY7" i="21" s="1"/>
  <c r="BA7" i="21"/>
  <c r="BG7" i="21"/>
  <c r="BH7" i="21" s="1"/>
  <c r="BM7" i="21"/>
  <c r="BO7" i="21" s="1"/>
  <c r="BS7" i="21"/>
  <c r="BT7" i="21" s="1"/>
  <c r="BW7" i="21" s="1"/>
  <c r="BY7" i="21"/>
  <c r="CE7" i="21"/>
  <c r="CF7" i="21" s="1"/>
  <c r="CH7" i="21" s="1"/>
  <c r="CK7" i="21"/>
  <c r="CQ7" i="21"/>
  <c r="CR7" i="21" s="1"/>
  <c r="CU7" i="21" s="1"/>
  <c r="CW7" i="21"/>
  <c r="DC7" i="21"/>
  <c r="DD7" i="21" s="1"/>
  <c r="DI7" i="21"/>
  <c r="DK7" i="21" s="1"/>
  <c r="DO7" i="21"/>
  <c r="DP7" i="21" s="1"/>
  <c r="DS7" i="21" s="1"/>
  <c r="E8" i="21"/>
  <c r="K8" i="21"/>
  <c r="L8" i="21" s="1"/>
  <c r="N8" i="21" s="1"/>
  <c r="Q8" i="21"/>
  <c r="W8" i="21"/>
  <c r="X8" i="21" s="1"/>
  <c r="AA8" i="21" s="1"/>
  <c r="AC8" i="21"/>
  <c r="AI8" i="21"/>
  <c r="AJ8" i="21" s="1"/>
  <c r="AO8" i="21"/>
  <c r="AU8" i="21"/>
  <c r="AV8" i="21" s="1"/>
  <c r="AY8" i="21" s="1"/>
  <c r="BA8" i="21"/>
  <c r="BG8" i="21"/>
  <c r="BH8" i="21" s="1"/>
  <c r="BJ8" i="21" s="1"/>
  <c r="BM8" i="21"/>
  <c r="BS8" i="21"/>
  <c r="BT8" i="21" s="1"/>
  <c r="BW8" i="21" s="1"/>
  <c r="BY8" i="21"/>
  <c r="CE8" i="21"/>
  <c r="CG8" i="21" s="1"/>
  <c r="CK8" i="21"/>
  <c r="CL8" i="21" s="1"/>
  <c r="CQ8" i="21"/>
  <c r="CR8" i="21" s="1"/>
  <c r="CU8" i="21" s="1"/>
  <c r="CW8" i="21"/>
  <c r="DC8" i="21"/>
  <c r="DI8" i="21"/>
  <c r="DO8" i="21"/>
  <c r="DP8" i="21" s="1"/>
  <c r="DS8" i="21" s="1"/>
  <c r="E9" i="21"/>
  <c r="K9" i="21"/>
  <c r="L9" i="21" s="1"/>
  <c r="Q9" i="21"/>
  <c r="S9" i="21" s="1"/>
  <c r="W9" i="21"/>
  <c r="X9" i="21" s="1"/>
  <c r="AA9" i="21" s="1"/>
  <c r="AC9" i="21"/>
  <c r="AI9" i="21"/>
  <c r="AJ9" i="21" s="1"/>
  <c r="AL9" i="21" s="1"/>
  <c r="AO9" i="21"/>
  <c r="AP9" i="21" s="1"/>
  <c r="AU9" i="21"/>
  <c r="AV9" i="21" s="1"/>
  <c r="AY9" i="21" s="1"/>
  <c r="BA9" i="21"/>
  <c r="BG9" i="21"/>
  <c r="BH9" i="21" s="1"/>
  <c r="BM9" i="21"/>
  <c r="BN9" i="21" s="1"/>
  <c r="BS9" i="21"/>
  <c r="BT9" i="21" s="1"/>
  <c r="BY9" i="21"/>
  <c r="CE9" i="21"/>
  <c r="CF9" i="21" s="1"/>
  <c r="CH9" i="21" s="1"/>
  <c r="CK9" i="21"/>
  <c r="CQ9" i="21"/>
  <c r="CR9" i="21" s="1"/>
  <c r="CU9" i="21" s="1"/>
  <c r="CW9" i="21"/>
  <c r="DC9" i="21"/>
  <c r="DD9" i="21" s="1"/>
  <c r="DI9" i="21"/>
  <c r="DO9" i="21"/>
  <c r="DP9" i="21" s="1"/>
  <c r="DS9" i="21" s="1"/>
  <c r="E10" i="21"/>
  <c r="K10" i="21"/>
  <c r="L10" i="21" s="1"/>
  <c r="N10" i="21" s="1"/>
  <c r="Q10" i="21"/>
  <c r="W10" i="21"/>
  <c r="X10" i="21" s="1"/>
  <c r="AA10" i="21" s="1"/>
  <c r="AC10" i="21"/>
  <c r="AI10" i="21"/>
  <c r="AJ10" i="21" s="1"/>
  <c r="AO10" i="21"/>
  <c r="AP10" i="21" s="1"/>
  <c r="AU10" i="21"/>
  <c r="AV10" i="21" s="1"/>
  <c r="AY10" i="21" s="1"/>
  <c r="BA10" i="21"/>
  <c r="BG10" i="21"/>
  <c r="BM10" i="21"/>
  <c r="BS10" i="21"/>
  <c r="BT10" i="21" s="1"/>
  <c r="BW10" i="21" s="1"/>
  <c r="BY10" i="21"/>
  <c r="CE10" i="21"/>
  <c r="CF10" i="21" s="1"/>
  <c r="CK10" i="21"/>
  <c r="CM10" i="21" s="1"/>
  <c r="CQ10" i="21"/>
  <c r="CR10" i="21" s="1"/>
  <c r="CU10" i="21" s="1"/>
  <c r="CW10" i="21"/>
  <c r="DC10" i="21"/>
  <c r="DI10" i="21"/>
  <c r="DO10" i="21"/>
  <c r="DP10" i="21" s="1"/>
  <c r="DS10" i="21" s="1"/>
  <c r="E11" i="21"/>
  <c r="K11" i="21"/>
  <c r="L11" i="21" s="1"/>
  <c r="Q11" i="21"/>
  <c r="R11" i="21" s="1"/>
  <c r="W11" i="21"/>
  <c r="X11" i="21" s="1"/>
  <c r="AA11" i="21" s="1"/>
  <c r="AC11" i="21"/>
  <c r="AI11" i="21"/>
  <c r="AO11" i="21"/>
  <c r="AU11" i="21"/>
  <c r="AV11" i="21" s="1"/>
  <c r="AY11" i="21" s="1"/>
  <c r="BA11" i="21"/>
  <c r="BG11" i="21"/>
  <c r="BH11" i="21" s="1"/>
  <c r="BM11" i="21"/>
  <c r="BN11" i="21" s="1"/>
  <c r="BS11" i="21"/>
  <c r="BY11" i="21"/>
  <c r="CA11" i="21" s="1"/>
  <c r="CE11" i="21"/>
  <c r="CK11" i="21"/>
  <c r="CQ11" i="21"/>
  <c r="CR11" i="21" s="1"/>
  <c r="CU11" i="21" s="1"/>
  <c r="CW11" i="21"/>
  <c r="CY11" i="21" s="1"/>
  <c r="DC11" i="21"/>
  <c r="DD11" i="21" s="1"/>
  <c r="DG11" i="21" s="1"/>
  <c r="DI11" i="21"/>
  <c r="DO11" i="21"/>
  <c r="E12" i="21"/>
  <c r="G12" i="21" s="1"/>
  <c r="K12" i="21"/>
  <c r="Q12" i="21"/>
  <c r="R12" i="21" s="1"/>
  <c r="U12" i="21" s="1"/>
  <c r="W12" i="21"/>
  <c r="Y12" i="21" s="1"/>
  <c r="AC12" i="21"/>
  <c r="AE12" i="21" s="1"/>
  <c r="AI12" i="21"/>
  <c r="AJ12" i="21" s="1"/>
  <c r="AO12" i="21"/>
  <c r="AP12" i="21" s="1"/>
  <c r="AR12" i="21" s="1"/>
  <c r="AU12" i="21"/>
  <c r="AW12" i="21" s="1"/>
  <c r="BA12" i="21"/>
  <c r="BC12" i="21" s="1"/>
  <c r="BG12" i="21"/>
  <c r="BM12" i="21"/>
  <c r="BS12" i="21"/>
  <c r="BU12" i="21" s="1"/>
  <c r="BY12" i="21"/>
  <c r="CA12" i="21" s="1"/>
  <c r="CE12" i="21"/>
  <c r="CF12" i="21" s="1"/>
  <c r="CI12" i="21" s="1"/>
  <c r="CK12" i="21"/>
  <c r="CQ12" i="21"/>
  <c r="CW12" i="21"/>
  <c r="CY12" i="21" s="1"/>
  <c r="DC12" i="21"/>
  <c r="DD12" i="21" s="1"/>
  <c r="DG12" i="21" s="1"/>
  <c r="DI12" i="21"/>
  <c r="DO12" i="21"/>
  <c r="DQ12" i="21" s="1"/>
  <c r="E13" i="21"/>
  <c r="G13" i="21" s="1"/>
  <c r="K13" i="21"/>
  <c r="L13" i="21" s="1"/>
  <c r="O13" i="21" s="1"/>
  <c r="Q13" i="21"/>
  <c r="R13" i="21" s="1"/>
  <c r="W13" i="21"/>
  <c r="X13" i="21" s="1"/>
  <c r="AA13" i="21" s="1"/>
  <c r="AC13" i="21"/>
  <c r="AE13" i="21" s="1"/>
  <c r="AI13" i="21"/>
  <c r="AO13" i="21"/>
  <c r="AP13" i="21" s="1"/>
  <c r="AS13" i="21" s="1"/>
  <c r="AU13" i="21"/>
  <c r="AV13" i="21" s="1"/>
  <c r="AY13" i="21" s="1"/>
  <c r="BA13" i="21"/>
  <c r="BC13" i="21" s="1"/>
  <c r="BG13" i="21"/>
  <c r="BH13" i="21" s="1"/>
  <c r="BK13" i="21" s="1"/>
  <c r="BM13" i="21"/>
  <c r="BN13" i="21" s="1"/>
  <c r="BP13" i="21" s="1"/>
  <c r="BS13" i="21"/>
  <c r="BU13" i="21" s="1"/>
  <c r="BY13" i="21"/>
  <c r="CA13" i="21" s="1"/>
  <c r="CE13" i="21"/>
  <c r="CF13" i="21" s="1"/>
  <c r="CI13" i="21" s="1"/>
  <c r="CK13" i="21"/>
  <c r="CQ13" i="21"/>
  <c r="CR13" i="21" s="1"/>
  <c r="CU13" i="21" s="1"/>
  <c r="CW13" i="21"/>
  <c r="DC13" i="21"/>
  <c r="DD13" i="21" s="1"/>
  <c r="DG13" i="21" s="1"/>
  <c r="DI13" i="21"/>
  <c r="DJ13" i="21" s="1"/>
  <c r="DO13" i="21"/>
  <c r="E14" i="21"/>
  <c r="K14" i="21"/>
  <c r="M14" i="21" s="1"/>
  <c r="Q14" i="21"/>
  <c r="S14" i="21" s="1"/>
  <c r="W14" i="21"/>
  <c r="AC14" i="21"/>
  <c r="AI14" i="21"/>
  <c r="AO14" i="21"/>
  <c r="AU14" i="21"/>
  <c r="BA14" i="21"/>
  <c r="BG14" i="21"/>
  <c r="BI14" i="21" s="1"/>
  <c r="BM14" i="21"/>
  <c r="BO14" i="21" s="1"/>
  <c r="BS14" i="21"/>
  <c r="BY14" i="21"/>
  <c r="CE14" i="21"/>
  <c r="CF14" i="21" s="1"/>
  <c r="CI14" i="21" s="1"/>
  <c r="CK14" i="21"/>
  <c r="CL14" i="21" s="1"/>
  <c r="CQ14" i="21"/>
  <c r="CW14" i="21"/>
  <c r="DC14" i="21"/>
  <c r="DI14" i="21"/>
  <c r="DO14" i="21"/>
  <c r="E15" i="21"/>
  <c r="K15" i="21"/>
  <c r="Q15" i="21"/>
  <c r="S15" i="21" s="1"/>
  <c r="W15" i="21"/>
  <c r="AC15" i="21"/>
  <c r="AI15" i="21"/>
  <c r="AK15" i="21" s="1"/>
  <c r="AO15" i="21"/>
  <c r="AQ15" i="21" s="1"/>
  <c r="AU15" i="21"/>
  <c r="BA15" i="21"/>
  <c r="BG15" i="21"/>
  <c r="BM15" i="21"/>
  <c r="BO15" i="21" s="1"/>
  <c r="BS15" i="21"/>
  <c r="BY15" i="21"/>
  <c r="CE15" i="21"/>
  <c r="CK15" i="21"/>
  <c r="CM15" i="21" s="1"/>
  <c r="CQ15" i="21"/>
  <c r="CW15" i="21"/>
  <c r="DC15" i="21"/>
  <c r="DI15" i="21"/>
  <c r="DK15" i="21" s="1"/>
  <c r="DO15" i="21"/>
  <c r="E16" i="21"/>
  <c r="K16" i="21"/>
  <c r="Q16" i="21"/>
  <c r="W16" i="21"/>
  <c r="AC16" i="21"/>
  <c r="AI16" i="21"/>
  <c r="AJ16" i="21" s="1"/>
  <c r="AM16" i="21" s="1"/>
  <c r="AO16" i="21"/>
  <c r="AU16" i="21"/>
  <c r="BA16" i="21"/>
  <c r="BG16" i="21"/>
  <c r="BM16" i="21"/>
  <c r="BS16" i="21"/>
  <c r="BY16" i="21"/>
  <c r="CE16" i="21"/>
  <c r="CK16" i="21"/>
  <c r="CL16" i="21" s="1"/>
  <c r="CQ16" i="21"/>
  <c r="CW16" i="21"/>
  <c r="DC16" i="21"/>
  <c r="DE16" i="21" s="1"/>
  <c r="DI16" i="21"/>
  <c r="DK16" i="21" s="1"/>
  <c r="DO16" i="21"/>
  <c r="E17" i="21"/>
  <c r="K17" i="21"/>
  <c r="M17" i="21" s="1"/>
  <c r="Q17" i="21"/>
  <c r="W17" i="21"/>
  <c r="AC17" i="21"/>
  <c r="AI17" i="21"/>
  <c r="AO17" i="21"/>
  <c r="AQ17" i="21" s="1"/>
  <c r="AU17" i="21"/>
  <c r="BA17" i="21"/>
  <c r="BG17" i="21"/>
  <c r="BH17" i="21" s="1"/>
  <c r="BK17" i="21" s="1"/>
  <c r="BM17" i="21"/>
  <c r="BN17" i="21" s="1"/>
  <c r="BS17" i="21"/>
  <c r="BY17" i="21"/>
  <c r="CE17" i="21"/>
  <c r="CK17" i="21"/>
  <c r="CQ17" i="21"/>
  <c r="CW17" i="21"/>
  <c r="DC17" i="21"/>
  <c r="DE17" i="21" s="1"/>
  <c r="DI17" i="21"/>
  <c r="DO17" i="21"/>
  <c r="E18" i="21"/>
  <c r="K18" i="21"/>
  <c r="L18" i="21" s="1"/>
  <c r="O18" i="21" s="1"/>
  <c r="Q18" i="21"/>
  <c r="R18" i="21" s="1"/>
  <c r="W18" i="21"/>
  <c r="AC18" i="21"/>
  <c r="AI18" i="21"/>
  <c r="AJ18" i="21" s="1"/>
  <c r="AL18" i="21" s="1"/>
  <c r="AO18" i="21"/>
  <c r="AU18" i="21"/>
  <c r="BA18" i="21"/>
  <c r="BG18" i="21"/>
  <c r="BM18" i="21"/>
  <c r="BS18" i="21"/>
  <c r="BY18" i="21"/>
  <c r="CE18" i="21"/>
  <c r="CK18" i="21"/>
  <c r="CM18" i="21" s="1"/>
  <c r="CQ18" i="21"/>
  <c r="CW18" i="21"/>
  <c r="DC18" i="21"/>
  <c r="DE18" i="21" s="1"/>
  <c r="DI18" i="21"/>
  <c r="DO18" i="21"/>
  <c r="E19" i="21"/>
  <c r="K19" i="21"/>
  <c r="Q19" i="21"/>
  <c r="R19" i="21" s="1"/>
  <c r="W19" i="21"/>
  <c r="Y19" i="21" s="1"/>
  <c r="AC19" i="21"/>
  <c r="AI19" i="21"/>
  <c r="AO19" i="21"/>
  <c r="AU19" i="21"/>
  <c r="AW19" i="21" s="1"/>
  <c r="BA19" i="21"/>
  <c r="BG19" i="21"/>
  <c r="BM19" i="21"/>
  <c r="BN19" i="21" s="1"/>
  <c r="BP19" i="21" s="1"/>
  <c r="BS19" i="21"/>
  <c r="BU19" i="21" s="1"/>
  <c r="BY19" i="21"/>
  <c r="CE19" i="21"/>
  <c r="CK19" i="21"/>
  <c r="CQ19" i="21"/>
  <c r="CS19" i="21" s="1"/>
  <c r="CW19" i="21"/>
  <c r="DC19" i="21"/>
  <c r="DI19" i="21"/>
  <c r="DO19" i="21"/>
  <c r="DQ19" i="21" s="1"/>
  <c r="E20" i="21"/>
  <c r="K20" i="21"/>
  <c r="Q20" i="21"/>
  <c r="R20" i="21" s="1"/>
  <c r="U20" i="21" s="1"/>
  <c r="W20" i="21"/>
  <c r="Y20" i="21" s="1"/>
  <c r="AC20" i="21"/>
  <c r="AI20" i="21"/>
  <c r="AK20" i="21" s="1"/>
  <c r="AO20" i="21"/>
  <c r="AP20" i="21" s="1"/>
  <c r="AS20" i="21" s="1"/>
  <c r="AU20" i="21"/>
  <c r="AV20" i="21" s="1"/>
  <c r="AY20" i="21" s="1"/>
  <c r="BA20" i="21"/>
  <c r="BC20" i="21" s="1"/>
  <c r="BG20" i="21"/>
  <c r="BH20" i="21" s="1"/>
  <c r="BM20" i="21"/>
  <c r="BS20" i="21"/>
  <c r="BU20" i="21" s="1"/>
  <c r="BY20" i="21"/>
  <c r="CA20" i="21" s="1"/>
  <c r="CE20" i="21"/>
  <c r="CK20" i="21"/>
  <c r="CL20" i="21" s="1"/>
  <c r="CQ20" i="21"/>
  <c r="CR20" i="21" s="1"/>
  <c r="CU20" i="21" s="1"/>
  <c r="CW20" i="21"/>
  <c r="CY20" i="21" s="1"/>
  <c r="DC20" i="21"/>
  <c r="DD20" i="21" s="1"/>
  <c r="DG20" i="21" s="1"/>
  <c r="DI20" i="21"/>
  <c r="DJ20" i="21" s="1"/>
  <c r="DO20" i="21"/>
  <c r="DP20" i="21" s="1"/>
  <c r="DS20" i="21" s="1"/>
  <c r="E21" i="21"/>
  <c r="G21" i="21" s="1"/>
  <c r="K21" i="21"/>
  <c r="M21" i="21" s="1"/>
  <c r="Q21" i="21"/>
  <c r="S21" i="21" s="1"/>
  <c r="W21" i="21"/>
  <c r="Y21" i="21" s="1"/>
  <c r="AC21" i="21"/>
  <c r="AE21" i="21" s="1"/>
  <c r="AI21" i="21"/>
  <c r="AJ21" i="21" s="1"/>
  <c r="AM21" i="21" s="1"/>
  <c r="AO21" i="21"/>
  <c r="AU21" i="21"/>
  <c r="BA21" i="21"/>
  <c r="BC21" i="21" s="1"/>
  <c r="BG21" i="21"/>
  <c r="BM21" i="21"/>
  <c r="BS21" i="21"/>
  <c r="BY21" i="21"/>
  <c r="CA21" i="21" s="1"/>
  <c r="CE21" i="21"/>
  <c r="CK21" i="21"/>
  <c r="CM21" i="21" s="1"/>
  <c r="CQ21" i="21"/>
  <c r="CR21" i="21" s="1"/>
  <c r="CU21" i="21" s="1"/>
  <c r="CW21" i="21"/>
  <c r="CY21" i="21" s="1"/>
  <c r="DC21" i="21"/>
  <c r="DE21" i="21" s="1"/>
  <c r="DI21" i="21"/>
  <c r="DK21" i="21" s="1"/>
  <c r="DO21" i="21"/>
  <c r="DP21" i="21" s="1"/>
  <c r="DS21" i="21" s="1"/>
  <c r="E22" i="21"/>
  <c r="G22" i="21" s="1"/>
  <c r="K22" i="21"/>
  <c r="L22" i="21" s="1"/>
  <c r="O22" i="21" s="1"/>
  <c r="Q22" i="21"/>
  <c r="W22" i="21"/>
  <c r="Y22" i="21" s="1"/>
  <c r="AC22" i="21"/>
  <c r="AE22" i="21" s="1"/>
  <c r="AI22" i="21"/>
  <c r="AO22" i="21"/>
  <c r="AP22" i="21" s="1"/>
  <c r="AU22" i="21"/>
  <c r="AV22" i="21" s="1"/>
  <c r="AY22" i="21" s="1"/>
  <c r="BA22" i="21"/>
  <c r="BC22" i="21" s="1"/>
  <c r="BG22" i="21"/>
  <c r="BH22" i="21" s="1"/>
  <c r="BK22" i="21" s="1"/>
  <c r="BM22" i="21"/>
  <c r="BS22" i="21"/>
  <c r="BT22" i="21" s="1"/>
  <c r="BW22" i="21" s="1"/>
  <c r="BY22" i="21"/>
  <c r="CA22" i="21" s="1"/>
  <c r="CE22" i="21"/>
  <c r="CG22" i="21" s="1"/>
  <c r="CK22" i="21"/>
  <c r="CM22" i="21" s="1"/>
  <c r="CQ22" i="21"/>
  <c r="CW22" i="21"/>
  <c r="CY22" i="21" s="1"/>
  <c r="DC22" i="21"/>
  <c r="DI22" i="21"/>
  <c r="DO22" i="21"/>
  <c r="DQ22" i="21" s="1"/>
  <c r="E24" i="21"/>
  <c r="F24" i="21" s="1"/>
  <c r="G24" i="21" s="1"/>
  <c r="H24" i="21" s="1"/>
  <c r="I24" i="21" s="1"/>
  <c r="J24" i="21" s="1"/>
  <c r="K24" i="21" s="1"/>
  <c r="L24" i="21" s="1"/>
  <c r="M24" i="21" s="1"/>
  <c r="N24" i="21" s="1"/>
  <c r="O24" i="21" s="1"/>
  <c r="P24" i="21" s="1"/>
  <c r="Q24" i="21" s="1"/>
  <c r="R24" i="21" s="1"/>
  <c r="S24" i="21" s="1"/>
  <c r="T24" i="21" s="1"/>
  <c r="U24" i="21" s="1"/>
  <c r="V24" i="21" s="1"/>
  <c r="W24" i="21" s="1"/>
  <c r="X24" i="21" s="1"/>
  <c r="Y24" i="21" s="1"/>
  <c r="Z24" i="21" s="1"/>
  <c r="AA24" i="21" s="1"/>
  <c r="AB24" i="21" s="1"/>
  <c r="AC24" i="21" s="1"/>
  <c r="AD24" i="21" s="1"/>
  <c r="AE24" i="21" s="1"/>
  <c r="AF24" i="21" s="1"/>
  <c r="AG24" i="21" s="1"/>
  <c r="AH24" i="21" s="1"/>
  <c r="E46" i="21"/>
  <c r="F46" i="21" s="1"/>
  <c r="G46" i="21" s="1"/>
  <c r="H46" i="21" s="1"/>
  <c r="I46" i="21" s="1"/>
  <c r="J46" i="21" s="1"/>
  <c r="K46" i="21" s="1"/>
  <c r="L46" i="21" s="1"/>
  <c r="M46" i="21" s="1"/>
  <c r="N46" i="21" s="1"/>
  <c r="O46" i="21" s="1"/>
  <c r="P46" i="21" s="1"/>
  <c r="Q46" i="21" s="1"/>
  <c r="R46" i="21" s="1"/>
  <c r="S46" i="21" s="1"/>
  <c r="T46" i="21" s="1"/>
  <c r="U46" i="21" s="1"/>
  <c r="V46" i="21" s="1"/>
  <c r="W46" i="21" s="1"/>
  <c r="E68" i="21"/>
  <c r="F68" i="21" s="1"/>
  <c r="G68" i="21" s="1"/>
  <c r="H68" i="21" s="1"/>
  <c r="I68" i="21" s="1"/>
  <c r="J68" i="21" s="1"/>
  <c r="K68" i="21" s="1"/>
  <c r="L68" i="21" s="1"/>
  <c r="M68" i="21" s="1"/>
  <c r="N68" i="21" s="1"/>
  <c r="O68" i="21" s="1"/>
  <c r="P68" i="21" s="1"/>
  <c r="Q68" i="21" s="1"/>
  <c r="R68" i="21" s="1"/>
  <c r="S68" i="21" s="1"/>
  <c r="T68" i="21" s="1"/>
  <c r="U68" i="21" s="1"/>
  <c r="V68" i="21" s="1"/>
  <c r="W68" i="21" s="1"/>
  <c r="I2" i="17"/>
  <c r="E19" i="28"/>
  <c r="F19" i="28" s="1"/>
  <c r="I3" i="17"/>
  <c r="E2" i="28"/>
  <c r="F2" i="28" s="1"/>
  <c r="E26" i="28"/>
  <c r="F26" i="28" s="1"/>
  <c r="I6" i="17"/>
  <c r="E61" i="28"/>
  <c r="F61" i="28" s="1"/>
  <c r="I7" i="17"/>
  <c r="E47" i="28"/>
  <c r="F47" i="28" s="1"/>
  <c r="E60" i="28"/>
  <c r="F60" i="28" s="1"/>
  <c r="E58" i="28"/>
  <c r="F58" i="28" s="1"/>
  <c r="I10" i="17"/>
  <c r="E40" i="28"/>
  <c r="F40" i="28" s="1"/>
  <c r="I11" i="17"/>
  <c r="E4" i="28"/>
  <c r="F4" i="28" s="1"/>
  <c r="I14" i="17"/>
  <c r="E36" i="28"/>
  <c r="F36" i="28" s="1"/>
  <c r="E13" i="28"/>
  <c r="F13" i="28" s="1"/>
  <c r="E57" i="28"/>
  <c r="F57" i="28" s="1"/>
  <c r="I18" i="17"/>
  <c r="E56" i="28"/>
  <c r="F56" i="28" s="1"/>
  <c r="E15" i="28"/>
  <c r="F15" i="28" s="1"/>
  <c r="I22" i="17"/>
  <c r="E3" i="28"/>
  <c r="F3" i="28" s="1"/>
  <c r="E17" i="28"/>
  <c r="F17" i="28" s="1"/>
  <c r="I25" i="17"/>
  <c r="E45" i="28"/>
  <c r="F45" i="28" s="1"/>
  <c r="I26" i="17"/>
  <c r="E29" i="28"/>
  <c r="F29" i="28" s="1"/>
  <c r="G28" i="17"/>
  <c r="E44" i="28"/>
  <c r="F44" i="28" s="1"/>
  <c r="I29" i="17"/>
  <c r="E7" i="28"/>
  <c r="F7" i="28" s="1"/>
  <c r="I30" i="17"/>
  <c r="E23" i="28"/>
  <c r="F23" i="28" s="1"/>
  <c r="E18" i="28"/>
  <c r="F18" i="28" s="1"/>
  <c r="I34" i="17"/>
  <c r="G35" i="17"/>
  <c r="E46" i="28"/>
  <c r="F46" i="28" s="1"/>
  <c r="E53" i="28"/>
  <c r="F53" i="28" s="1"/>
  <c r="I37" i="17"/>
  <c r="E20" i="28"/>
  <c r="F20" i="28" s="1"/>
  <c r="G39" i="17"/>
  <c r="E38" i="28"/>
  <c r="F38" i="28" s="1"/>
  <c r="G40" i="17"/>
  <c r="E49" i="28"/>
  <c r="F49" i="28" s="1"/>
  <c r="G42" i="17"/>
  <c r="E52" i="28"/>
  <c r="F52" i="28" s="1"/>
  <c r="G43" i="17"/>
  <c r="E63" i="28"/>
  <c r="F63" i="28" s="1"/>
  <c r="G44" i="17"/>
  <c r="E41" i="28"/>
  <c r="F41" i="28" s="1"/>
  <c r="I45" i="17"/>
  <c r="I46" i="17"/>
  <c r="I47" i="17"/>
  <c r="I49" i="17"/>
  <c r="I50" i="17"/>
  <c r="I51" i="17"/>
  <c r="I53" i="17"/>
  <c r="I57" i="17"/>
  <c r="G58" i="17"/>
  <c r="G60" i="17"/>
  <c r="I61" i="17"/>
  <c r="E30" i="28"/>
  <c r="F30" i="28" s="1"/>
  <c r="B74" i="17"/>
  <c r="E184" i="28" s="1"/>
  <c r="F184" i="28" s="1"/>
  <c r="I75" i="17"/>
  <c r="I77" i="17"/>
  <c r="I78" i="17"/>
  <c r="E154" i="28"/>
  <c r="F154" i="28" s="1"/>
  <c r="I79" i="17"/>
  <c r="G80" i="17"/>
  <c r="G83" i="17"/>
  <c r="E235" i="28"/>
  <c r="F235" i="28" s="1"/>
  <c r="G84" i="17"/>
  <c r="G86" i="17"/>
  <c r="G87" i="17"/>
  <c r="I88" i="17"/>
  <c r="G91" i="17"/>
  <c r="G92" i="17"/>
  <c r="I93" i="17"/>
  <c r="I94" i="17"/>
  <c r="I95" i="17"/>
  <c r="G96" i="17"/>
  <c r="E204" i="28"/>
  <c r="F204" i="28" s="1"/>
  <c r="L98" i="17"/>
  <c r="G99" i="17"/>
  <c r="J100" i="17"/>
  <c r="E170" i="28"/>
  <c r="F170" i="28" s="1"/>
  <c r="K102" i="17"/>
  <c r="L103" i="17"/>
  <c r="H104" i="17"/>
  <c r="E142" i="28"/>
  <c r="F142" i="28" s="1"/>
  <c r="I105" i="17"/>
  <c r="G106" i="17"/>
  <c r="E248" i="28"/>
  <c r="F248" i="28" s="1"/>
  <c r="I110" i="17"/>
  <c r="I111" i="17"/>
  <c r="J112" i="17"/>
  <c r="E114" i="28"/>
  <c r="F114" i="28" s="1"/>
  <c r="E208" i="28"/>
  <c r="F208" i="28" s="1"/>
  <c r="I115" i="17"/>
  <c r="I117" i="17"/>
  <c r="E125" i="28"/>
  <c r="F125" i="28" s="1"/>
  <c r="E197" i="28"/>
  <c r="F197" i="28" s="1"/>
  <c r="K120" i="17"/>
  <c r="E264" i="28"/>
  <c r="F264" i="28" s="1"/>
  <c r="I121" i="17"/>
  <c r="I122" i="17"/>
  <c r="H124" i="17"/>
  <c r="I126" i="17"/>
  <c r="E88" i="28"/>
  <c r="F88" i="28" s="1"/>
  <c r="I127" i="17"/>
  <c r="K128" i="17"/>
  <c r="I129" i="17"/>
  <c r="K130" i="17"/>
  <c r="I131" i="17"/>
  <c r="E246" i="28"/>
  <c r="F246" i="28" s="1"/>
  <c r="L132" i="17"/>
  <c r="E191" i="28"/>
  <c r="F191" i="28" s="1"/>
  <c r="I134" i="17"/>
  <c r="K135" i="17"/>
  <c r="L136" i="17"/>
  <c r="E195" i="28"/>
  <c r="F195" i="28" s="1"/>
  <c r="I139" i="17"/>
  <c r="J140" i="17"/>
  <c r="E222" i="28"/>
  <c r="F222" i="28" s="1"/>
  <c r="I142" i="17"/>
  <c r="L144" i="17"/>
  <c r="E148" i="28"/>
  <c r="F148" i="28" s="1"/>
  <c r="L146" i="17"/>
  <c r="E190" i="28"/>
  <c r="F190" i="28" s="1"/>
  <c r="H148" i="17"/>
  <c r="I149" i="17"/>
  <c r="L150" i="17"/>
  <c r="J152" i="17"/>
  <c r="K153" i="17"/>
  <c r="E80" i="28"/>
  <c r="F80" i="28" s="1"/>
  <c r="I156" i="17"/>
  <c r="K157" i="17"/>
  <c r="E78" i="28"/>
  <c r="F78" i="28" s="1"/>
  <c r="E79" i="28"/>
  <c r="F79" i="28" s="1"/>
  <c r="K161" i="17"/>
  <c r="E85" i="28"/>
  <c r="F85" i="28" s="1"/>
  <c r="I164" i="17"/>
  <c r="L165" i="17"/>
  <c r="E92" i="28"/>
  <c r="F92" i="28" s="1"/>
  <c r="I166" i="17"/>
  <c r="H169" i="17"/>
  <c r="K170" i="17"/>
  <c r="I171" i="17"/>
  <c r="I172" i="17"/>
  <c r="J173" i="17"/>
  <c r="K174" i="17"/>
  <c r="E110" i="28"/>
  <c r="F110" i="28" s="1"/>
  <c r="I175" i="17"/>
  <c r="I176" i="17"/>
  <c r="E113" i="28"/>
  <c r="F113" i="28" s="1"/>
  <c r="E115" i="28"/>
  <c r="F115" i="28" s="1"/>
  <c r="G178" i="17"/>
  <c r="E116" i="28"/>
  <c r="F116" i="28" s="1"/>
  <c r="E121" i="28"/>
  <c r="F121" i="28" s="1"/>
  <c r="K182" i="17"/>
  <c r="I183" i="17"/>
  <c r="E124" i="28"/>
  <c r="F124" i="28" s="1"/>
  <c r="E128" i="28"/>
  <c r="F128" i="28" s="1"/>
  <c r="K185" i="17"/>
  <c r="K186" i="17"/>
  <c r="E133" i="28"/>
  <c r="F133" i="28" s="1"/>
  <c r="J188" i="17"/>
  <c r="E134" i="28"/>
  <c r="F134" i="28" s="1"/>
  <c r="H189" i="17"/>
  <c r="E135" i="28"/>
  <c r="F135" i="28" s="1"/>
  <c r="K190" i="17"/>
  <c r="E136" i="28"/>
  <c r="F136" i="28" s="1"/>
  <c r="I191" i="17"/>
  <c r="E137" i="28"/>
  <c r="F137" i="28" s="1"/>
  <c r="J192" i="17"/>
  <c r="J193" i="17"/>
  <c r="G194" i="17"/>
  <c r="I195" i="17"/>
  <c r="E141" i="28"/>
  <c r="F141" i="28" s="1"/>
  <c r="L198" i="17"/>
  <c r="E147" i="28"/>
  <c r="F147" i="28" s="1"/>
  <c r="L201" i="17"/>
  <c r="H202" i="17"/>
  <c r="E151" i="28"/>
  <c r="F151" i="28" s="1"/>
  <c r="E152" i="28"/>
  <c r="F152" i="28" s="1"/>
  <c r="H204" i="17"/>
  <c r="E153" i="28"/>
  <c r="F153" i="28" s="1"/>
  <c r="E156" i="28"/>
  <c r="F156" i="28" s="1"/>
  <c r="H206" i="17"/>
  <c r="I207" i="17"/>
  <c r="E160" i="28"/>
  <c r="F160" i="28" s="1"/>
  <c r="L208" i="17"/>
  <c r="E161" i="28"/>
  <c r="F161" i="28" s="1"/>
  <c r="E164" i="28"/>
  <c r="F164" i="28" s="1"/>
  <c r="E171" i="28"/>
  <c r="F171" i="28" s="1"/>
  <c r="I211" i="17"/>
  <c r="E172" i="28"/>
  <c r="F172" i="28" s="1"/>
  <c r="H212" i="17"/>
  <c r="E178" i="28"/>
  <c r="F178" i="28" s="1"/>
  <c r="E181" i="28"/>
  <c r="F181" i="28" s="1"/>
  <c r="K214" i="17"/>
  <c r="K215" i="17"/>
  <c r="E185" i="28"/>
  <c r="F185" i="28" s="1"/>
  <c r="E186" i="28"/>
  <c r="F186" i="28" s="1"/>
  <c r="E187" i="28"/>
  <c r="F187" i="28" s="1"/>
  <c r="J218" i="17"/>
  <c r="E189" i="28"/>
  <c r="F189" i="28" s="1"/>
  <c r="H219" i="17"/>
  <c r="H222" i="17"/>
  <c r="E199" i="28"/>
  <c r="F199" i="28" s="1"/>
  <c r="E200" i="28"/>
  <c r="F200" i="28" s="1"/>
  <c r="G224" i="17"/>
  <c r="J225" i="17"/>
  <c r="L226" i="17"/>
  <c r="E207" i="28"/>
  <c r="F207" i="28" s="1"/>
  <c r="E209" i="28"/>
  <c r="F209" i="28" s="1"/>
  <c r="G228" i="17"/>
  <c r="G230" i="17"/>
  <c r="L231" i="17"/>
  <c r="E215" i="28"/>
  <c r="F215" i="28" s="1"/>
  <c r="G232" i="17"/>
  <c r="E217" i="28"/>
  <c r="F217" i="28" s="1"/>
  <c r="K233" i="17"/>
  <c r="I234" i="17"/>
  <c r="E219" i="28"/>
  <c r="F219" i="28" s="1"/>
  <c r="I236" i="17"/>
  <c r="G237" i="17"/>
  <c r="E224" i="28"/>
  <c r="F224" i="28" s="1"/>
  <c r="I238" i="17"/>
  <c r="E225" i="28"/>
  <c r="F225" i="28" s="1"/>
  <c r="H239" i="17"/>
  <c r="E226" i="28"/>
  <c r="F226" i="28" s="1"/>
  <c r="E230" i="28"/>
  <c r="F230" i="28" s="1"/>
  <c r="G241" i="17"/>
  <c r="E233" i="28"/>
  <c r="F233" i="28" s="1"/>
  <c r="I242" i="17"/>
  <c r="E234" i="28"/>
  <c r="F234" i="28" s="1"/>
  <c r="H243" i="17"/>
  <c r="E236" i="28"/>
  <c r="F236" i="28" s="1"/>
  <c r="I244" i="17"/>
  <c r="I245" i="17"/>
  <c r="E239" i="28"/>
  <c r="F239" i="28" s="1"/>
  <c r="I246" i="17"/>
  <c r="E240" i="28"/>
  <c r="F240" i="28" s="1"/>
  <c r="I247" i="17"/>
  <c r="I248" i="17"/>
  <c r="E243" i="28"/>
  <c r="F243" i="28" s="1"/>
  <c r="I249" i="17"/>
  <c r="I250" i="17"/>
  <c r="E245" i="28"/>
  <c r="F245" i="28" s="1"/>
  <c r="H251" i="17"/>
  <c r="E250" i="28"/>
  <c r="F250" i="28" s="1"/>
  <c r="I252" i="17"/>
  <c r="E251" i="28"/>
  <c r="F251" i="28" s="1"/>
  <c r="H253" i="17"/>
  <c r="E252" i="28"/>
  <c r="F252" i="28" s="1"/>
  <c r="I254" i="17"/>
  <c r="G255" i="17"/>
  <c r="E256" i="28"/>
  <c r="F256" i="28" s="1"/>
  <c r="G256" i="17"/>
  <c r="L257" i="17"/>
  <c r="I258" i="17"/>
  <c r="B275" i="17"/>
  <c r="G276" i="17"/>
  <c r="K277" i="17"/>
  <c r="I279" i="17"/>
  <c r="I281" i="17"/>
  <c r="J282" i="17"/>
  <c r="I283" i="17"/>
  <c r="I284" i="17"/>
  <c r="I285" i="17"/>
  <c r="J286" i="17"/>
  <c r="L288" i="17"/>
  <c r="K289" i="17"/>
  <c r="I291" i="17"/>
  <c r="K292" i="17"/>
  <c r="K293" i="17"/>
  <c r="I295" i="17"/>
  <c r="I296" i="17"/>
  <c r="I297" i="17"/>
  <c r="I299" i="17"/>
  <c r="I300" i="17"/>
  <c r="I301" i="17"/>
  <c r="I303" i="17"/>
  <c r="G304" i="17"/>
  <c r="I307" i="17"/>
  <c r="I311" i="17"/>
  <c r="I312" i="17"/>
  <c r="I315" i="17"/>
  <c r="I316" i="17"/>
  <c r="H317" i="17"/>
  <c r="H321" i="17"/>
  <c r="L325" i="17"/>
  <c r="K326" i="17"/>
  <c r="K327" i="17"/>
  <c r="I328" i="17"/>
  <c r="H329" i="17"/>
  <c r="J331" i="17"/>
  <c r="I332" i="17"/>
  <c r="G334" i="17"/>
  <c r="J335" i="17"/>
  <c r="H338" i="17"/>
  <c r="J340" i="17"/>
  <c r="H341" i="17"/>
  <c r="J344" i="17"/>
  <c r="L345" i="17"/>
  <c r="J346" i="17"/>
  <c r="L347" i="17"/>
  <c r="I349" i="17"/>
  <c r="J350" i="17"/>
  <c r="L351" i="17"/>
  <c r="L353" i="17"/>
  <c r="H354" i="17"/>
  <c r="K355" i="17"/>
  <c r="L357" i="17"/>
  <c r="H359" i="17"/>
  <c r="L361" i="17"/>
  <c r="L362" i="17"/>
  <c r="H363" i="17"/>
  <c r="H364" i="17"/>
  <c r="H365" i="17"/>
  <c r="L366" i="17"/>
  <c r="J368" i="17"/>
  <c r="J369" i="17"/>
  <c r="K370" i="17"/>
  <c r="H373" i="17"/>
  <c r="K374" i="17"/>
  <c r="K375" i="17"/>
  <c r="K376" i="17"/>
  <c r="H377" i="17"/>
  <c r="J379" i="17"/>
  <c r="H380" i="17"/>
  <c r="L381" i="17"/>
  <c r="H382" i="17"/>
  <c r="H383" i="17"/>
  <c r="L384" i="17"/>
  <c r="L385" i="17"/>
  <c r="K386" i="17"/>
  <c r="K387" i="17"/>
  <c r="L388" i="17"/>
  <c r="L389" i="17"/>
  <c r="L390" i="17"/>
  <c r="J391" i="17"/>
  <c r="K392" i="17"/>
  <c r="J395" i="17"/>
  <c r="I396" i="17"/>
  <c r="J397" i="17"/>
  <c r="L399" i="17"/>
  <c r="I400" i="17"/>
  <c r="H402" i="17"/>
  <c r="J403" i="17"/>
  <c r="L404" i="17"/>
  <c r="H405" i="17"/>
  <c r="J406" i="17"/>
  <c r="J407" i="17"/>
  <c r="L409" i="17"/>
  <c r="G412" i="17"/>
  <c r="L413" i="17"/>
  <c r="H414" i="17"/>
  <c r="L415" i="17"/>
  <c r="I416" i="17"/>
  <c r="I417" i="17"/>
  <c r="L418" i="17"/>
  <c r="K419" i="17"/>
  <c r="I420" i="17"/>
  <c r="I421" i="17"/>
  <c r="H422" i="17"/>
  <c r="J423" i="17"/>
  <c r="I424" i="17"/>
  <c r="J431" i="17"/>
  <c r="I432" i="17"/>
  <c r="I433" i="17"/>
  <c r="G434" i="17"/>
  <c r="L435" i="17"/>
  <c r="H439" i="17"/>
  <c r="J440" i="17"/>
  <c r="L441" i="17"/>
  <c r="L442" i="17"/>
  <c r="H443" i="17"/>
  <c r="J444" i="17"/>
  <c r="L445" i="17"/>
  <c r="J446" i="17"/>
  <c r="L447" i="17"/>
  <c r="L449" i="17"/>
  <c r="L450" i="17"/>
  <c r="H451" i="17"/>
  <c r="L453" i="17"/>
  <c r="L454" i="17"/>
  <c r="J460" i="17"/>
  <c r="L461" i="17"/>
  <c r="L462" i="17"/>
  <c r="B486" i="17"/>
  <c r="L564" i="17"/>
  <c r="F570" i="17"/>
  <c r="F587" i="17"/>
  <c r="F590" i="17"/>
  <c r="F588" i="17"/>
  <c r="F591" i="17"/>
  <c r="F597" i="17"/>
  <c r="F593" i="17"/>
  <c r="F598" i="17"/>
  <c r="F596" i="17"/>
  <c r="F592" i="17"/>
  <c r="M67" i="16"/>
  <c r="F589" i="17"/>
  <c r="F594" i="17"/>
  <c r="F586" i="17"/>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P2" i="15"/>
  <c r="P3" i="15"/>
  <c r="J20" i="15"/>
  <c r="P20" i="15"/>
  <c r="J9" i="15"/>
  <c r="P9" i="15"/>
  <c r="P18" i="15"/>
  <c r="J4" i="15"/>
  <c r="P4" i="15"/>
  <c r="P21" i="15"/>
  <c r="J26" i="15"/>
  <c r="P26" i="15"/>
  <c r="P24" i="15"/>
  <c r="P8" i="15"/>
  <c r="J71" i="15"/>
  <c r="P71" i="15"/>
  <c r="P12" i="15"/>
  <c r="J142" i="15"/>
  <c r="P142" i="15"/>
  <c r="J83" i="15"/>
  <c r="P83" i="15"/>
  <c r="P6" i="15"/>
  <c r="P14" i="15"/>
  <c r="P23" i="15"/>
  <c r="J28" i="15"/>
  <c r="P28" i="15"/>
  <c r="J74" i="15"/>
  <c r="P74" i="15"/>
  <c r="J50" i="15"/>
  <c r="P50" i="15"/>
  <c r="P40" i="15"/>
  <c r="J7" i="15"/>
  <c r="P7" i="15"/>
  <c r="J39" i="15"/>
  <c r="P39" i="15"/>
  <c r="J62" i="15"/>
  <c r="P62" i="15"/>
  <c r="P5" i="15"/>
  <c r="P47" i="15"/>
  <c r="P67" i="15"/>
  <c r="J15" i="15"/>
  <c r="P15" i="15"/>
  <c r="J87" i="15"/>
  <c r="P87" i="15"/>
  <c r="P48" i="15"/>
  <c r="P19" i="15"/>
  <c r="P13" i="15"/>
  <c r="J306" i="17"/>
  <c r="J41" i="15"/>
  <c r="P41" i="15"/>
  <c r="P66" i="15"/>
  <c r="J32" i="15"/>
  <c r="P32" i="15"/>
  <c r="L309" i="17"/>
  <c r="P63" i="15"/>
  <c r="J99" i="15"/>
  <c r="P99" i="15"/>
  <c r="J61" i="15"/>
  <c r="P61" i="15"/>
  <c r="J65" i="15"/>
  <c r="P65" i="15"/>
  <c r="P33" i="15"/>
  <c r="J55" i="15"/>
  <c r="P55" i="15"/>
  <c r="J76" i="15"/>
  <c r="P76" i="15"/>
  <c r="J58" i="15"/>
  <c r="P58" i="15"/>
  <c r="J49" i="15"/>
  <c r="P49" i="15"/>
  <c r="J127" i="15"/>
  <c r="P127" i="15"/>
  <c r="L319" i="17"/>
  <c r="P79" i="15"/>
  <c r="J11" i="15"/>
  <c r="P11" i="15"/>
  <c r="J109" i="15"/>
  <c r="P109" i="15"/>
  <c r="J53" i="15"/>
  <c r="P53" i="15"/>
  <c r="P84" i="15"/>
  <c r="J56" i="15"/>
  <c r="P56" i="15"/>
  <c r="J46" i="15"/>
  <c r="P46" i="15"/>
  <c r="J113" i="15"/>
  <c r="P113" i="15"/>
  <c r="J130" i="15"/>
  <c r="P130" i="15"/>
  <c r="P85" i="15"/>
  <c r="J161" i="15"/>
  <c r="P161" i="15"/>
  <c r="J34" i="15"/>
  <c r="P34" i="15"/>
  <c r="L331" i="17"/>
  <c r="J27" i="15"/>
  <c r="P27" i="15"/>
  <c r="J94" i="15"/>
  <c r="P94" i="15"/>
  <c r="J68" i="15"/>
  <c r="P68" i="15"/>
  <c r="P75" i="15"/>
  <c r="L335" i="17"/>
  <c r="P160" i="15"/>
  <c r="J81" i="15"/>
  <c r="P81" i="15"/>
  <c r="L337" i="17"/>
  <c r="J159" i="15"/>
  <c r="P159" i="15"/>
  <c r="J59" i="15"/>
  <c r="P59" i="15"/>
  <c r="J45" i="15"/>
  <c r="P45" i="15"/>
  <c r="P144" i="15"/>
  <c r="J29" i="15"/>
  <c r="P29" i="15"/>
  <c r="J25" i="15"/>
  <c r="P25" i="15"/>
  <c r="J100" i="15"/>
  <c r="P100" i="15"/>
  <c r="J44" i="15"/>
  <c r="P44" i="15"/>
  <c r="P37" i="15"/>
  <c r="J88" i="15"/>
  <c r="P88" i="15"/>
  <c r="J31" i="15"/>
  <c r="P31" i="15"/>
  <c r="J86" i="15"/>
  <c r="P86" i="15"/>
  <c r="J107" i="15"/>
  <c r="P107" i="15"/>
  <c r="J118" i="15"/>
  <c r="P118" i="15"/>
  <c r="J351" i="17"/>
  <c r="J169" i="15"/>
  <c r="P169" i="15"/>
  <c r="P51" i="15"/>
  <c r="J70" i="15"/>
  <c r="P70" i="15"/>
  <c r="K354" i="17"/>
  <c r="P93" i="15"/>
  <c r="H355" i="17"/>
  <c r="J120" i="15"/>
  <c r="P120" i="15"/>
  <c r="J52" i="15"/>
  <c r="P52" i="15"/>
  <c r="J38" i="15"/>
  <c r="P38" i="15"/>
  <c r="J110" i="15"/>
  <c r="P110" i="15"/>
  <c r="J35" i="15"/>
  <c r="P35" i="15"/>
  <c r="J117" i="15"/>
  <c r="P117" i="15"/>
  <c r="J43" i="15"/>
  <c r="P43" i="15"/>
  <c r="J163" i="15"/>
  <c r="P163" i="15"/>
  <c r="K363" i="17"/>
  <c r="J57" i="15"/>
  <c r="P57" i="15"/>
  <c r="J22" i="15"/>
  <c r="P22" i="15"/>
  <c r="J119" i="15"/>
  <c r="P119" i="15"/>
  <c r="J102" i="15"/>
  <c r="P102" i="15"/>
  <c r="L367" i="17"/>
  <c r="J149" i="15"/>
  <c r="P149" i="15"/>
  <c r="L368" i="17"/>
  <c r="P170" i="15"/>
  <c r="J95" i="15"/>
  <c r="P95" i="15"/>
  <c r="J164" i="15"/>
  <c r="P164" i="15"/>
  <c r="H371" i="17"/>
  <c r="P183" i="15"/>
  <c r="F457" i="17" s="1"/>
  <c r="J179" i="15"/>
  <c r="P179" i="15"/>
  <c r="J106" i="15"/>
  <c r="P106" i="15"/>
  <c r="J97" i="15"/>
  <c r="P97" i="15"/>
  <c r="J137" i="15"/>
  <c r="P137" i="15"/>
  <c r="J134" i="15"/>
  <c r="P134" i="15"/>
  <c r="J98" i="15"/>
  <c r="P98" i="15"/>
  <c r="J112" i="15"/>
  <c r="P112" i="15"/>
  <c r="J10" i="15"/>
  <c r="P10" i="15"/>
  <c r="J155" i="15"/>
  <c r="P155" i="15"/>
  <c r="J17" i="15"/>
  <c r="P17" i="15"/>
  <c r="J90" i="15"/>
  <c r="P90" i="15"/>
  <c r="J78" i="15"/>
  <c r="P78" i="15"/>
  <c r="J174" i="15"/>
  <c r="P174" i="15"/>
  <c r="J36" i="15"/>
  <c r="P36" i="15"/>
  <c r="J101" i="15"/>
  <c r="P101" i="15"/>
  <c r="J92" i="15"/>
  <c r="P92" i="15"/>
  <c r="J166" i="15"/>
  <c r="P166" i="15"/>
  <c r="J123" i="15"/>
  <c r="P123" i="15"/>
  <c r="J126" i="15"/>
  <c r="P126" i="15"/>
  <c r="J16" i="15"/>
  <c r="P16" i="15"/>
  <c r="F301" i="17" s="1"/>
  <c r="J138" i="15"/>
  <c r="P138" i="15"/>
  <c r="P181" i="15"/>
  <c r="F455" i="17" s="1"/>
  <c r="J146" i="15"/>
  <c r="P146" i="15"/>
  <c r="J82" i="15"/>
  <c r="P82" i="15"/>
  <c r="J151" i="15"/>
  <c r="P151" i="15"/>
  <c r="J60" i="15"/>
  <c r="P60" i="15"/>
  <c r="J136" i="15"/>
  <c r="P136" i="15"/>
  <c r="P30" i="15"/>
  <c r="J129" i="15"/>
  <c r="P129" i="15"/>
  <c r="P177" i="15"/>
  <c r="J135" i="15"/>
  <c r="P135" i="15"/>
  <c r="J156" i="15"/>
  <c r="P156" i="15"/>
  <c r="P176" i="15"/>
  <c r="J150" i="15"/>
  <c r="P150" i="15"/>
  <c r="J116" i="15"/>
  <c r="P116" i="15"/>
  <c r="P122" i="15"/>
  <c r="P168" i="15"/>
  <c r="J72" i="15"/>
  <c r="P72" i="15"/>
  <c r="J89" i="15"/>
  <c r="P89" i="15"/>
  <c r="J124" i="15"/>
  <c r="P124" i="15"/>
  <c r="J133" i="15"/>
  <c r="P133" i="15"/>
  <c r="J80" i="15"/>
  <c r="P80" i="15"/>
  <c r="J115" i="15"/>
  <c r="P115" i="15"/>
  <c r="J152" i="15"/>
  <c r="P152" i="15"/>
  <c r="J154" i="15"/>
  <c r="P154" i="15"/>
  <c r="J128" i="15"/>
  <c r="P128" i="15"/>
  <c r="J121" i="15"/>
  <c r="P121" i="15"/>
  <c r="J165" i="15"/>
  <c r="P165" i="15"/>
  <c r="J54" i="15"/>
  <c r="M54" i="15"/>
  <c r="P54" i="15"/>
  <c r="J132" i="15"/>
  <c r="P132" i="15"/>
  <c r="P69" i="15"/>
  <c r="J178" i="15"/>
  <c r="P178" i="15"/>
  <c r="J103" i="15"/>
  <c r="P103" i="15"/>
  <c r="F317" i="17" s="1"/>
  <c r="P182" i="15"/>
  <c r="F456" i="17" s="1"/>
  <c r="P185" i="15"/>
  <c r="J175" i="15"/>
  <c r="P175" i="15"/>
  <c r="J131" i="15"/>
  <c r="P131" i="15"/>
  <c r="J141" i="15"/>
  <c r="P141" i="15"/>
  <c r="J77" i="15"/>
  <c r="P77" i="15"/>
  <c r="J96" i="15"/>
  <c r="P96" i="15"/>
  <c r="J105" i="15"/>
  <c r="P105" i="15"/>
  <c r="P184" i="15"/>
  <c r="F458" i="17" s="1"/>
  <c r="J171" i="15"/>
  <c r="P171" i="15"/>
  <c r="J108" i="15"/>
  <c r="P108" i="15"/>
  <c r="J73" i="15"/>
  <c r="P73" i="15"/>
  <c r="J139" i="15"/>
  <c r="P139" i="15"/>
  <c r="J148" i="15"/>
  <c r="P148" i="15"/>
  <c r="P186" i="15"/>
  <c r="J111" i="15"/>
  <c r="P111" i="15"/>
  <c r="P153" i="15"/>
  <c r="J140" i="15"/>
  <c r="P140" i="15"/>
  <c r="P143" i="15"/>
  <c r="J180" i="15"/>
  <c r="P180" i="15"/>
  <c r="J158" i="15"/>
  <c r="P158" i="15"/>
  <c r="J91" i="15"/>
  <c r="P91" i="15"/>
  <c r="P125" i="15"/>
  <c r="J145" i="15"/>
  <c r="P145" i="15"/>
  <c r="J147" i="15"/>
  <c r="P147" i="15"/>
  <c r="J173" i="15"/>
  <c r="P173" i="15"/>
  <c r="P104" i="15"/>
  <c r="J157" i="15"/>
  <c r="P157" i="15"/>
  <c r="J167" i="15"/>
  <c r="P167" i="15"/>
  <c r="P64" i="15"/>
  <c r="J172" i="15"/>
  <c r="P172" i="15"/>
  <c r="P42" i="15"/>
  <c r="P187" i="15"/>
  <c r="J162" i="15"/>
  <c r="P162" i="15"/>
  <c r="J114" i="15"/>
  <c r="P114" i="15"/>
  <c r="P188"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6" i="15"/>
  <c r="Q397" i="15"/>
  <c r="Q398" i="15"/>
  <c r="Q399" i="15"/>
  <c r="Q400" i="15"/>
  <c r="Q401" i="15"/>
  <c r="Q402"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85" i="15"/>
  <c r="Q486" i="15"/>
  <c r="Q487" i="15"/>
  <c r="Q488" i="15"/>
  <c r="Q489" i="15"/>
  <c r="Q490" i="15"/>
  <c r="Q491" i="15"/>
  <c r="Q492" i="15"/>
  <c r="Q493" i="15"/>
  <c r="Q494" i="15"/>
  <c r="Q495" i="15"/>
  <c r="Q496" i="15"/>
  <c r="Q497" i="15"/>
  <c r="Q498" i="15"/>
  <c r="Q499" i="15"/>
  <c r="Q500" i="15"/>
  <c r="Q501" i="15"/>
  <c r="Q502" i="15"/>
  <c r="Q503"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541" i="15"/>
  <c r="Q542" i="15"/>
  <c r="Q543" i="15"/>
  <c r="Q544" i="15"/>
  <c r="Q545" i="15"/>
  <c r="Q546" i="15"/>
  <c r="Q547" i="15"/>
  <c r="Q548" i="15"/>
  <c r="Q549" i="15"/>
  <c r="Q550" i="15"/>
  <c r="Q551" i="15"/>
  <c r="Q552" i="15"/>
  <c r="Q553" i="15"/>
  <c r="Q554" i="15"/>
  <c r="Q555" i="15"/>
  <c r="Q556" i="15"/>
  <c r="Q557" i="15"/>
  <c r="Q558" i="15"/>
  <c r="Q559" i="15"/>
  <c r="Q560" i="15"/>
  <c r="Q561" i="15"/>
  <c r="Q562" i="15"/>
  <c r="Q563" i="15"/>
  <c r="Q564" i="15"/>
  <c r="Q565" i="15"/>
  <c r="Q566" i="15"/>
  <c r="Q567" i="15"/>
  <c r="Q568" i="15"/>
  <c r="Q569" i="15"/>
  <c r="Q570" i="15"/>
  <c r="Q571" i="15"/>
  <c r="Q572" i="15"/>
  <c r="Q573" i="15"/>
  <c r="Q574" i="15"/>
  <c r="Q575" i="15"/>
  <c r="Q576" i="15"/>
  <c r="Q577" i="15"/>
  <c r="Q578" i="15"/>
  <c r="Q579" i="15"/>
  <c r="Q580" i="15"/>
  <c r="Q581" i="15"/>
  <c r="Q582" i="15"/>
  <c r="Q583" i="15"/>
  <c r="Q584" i="15"/>
  <c r="P103" i="14"/>
  <c r="L74" i="17"/>
  <c r="C49" i="12"/>
  <c r="E49" i="12"/>
  <c r="P101" i="14"/>
  <c r="H75" i="17"/>
  <c r="J75" i="17"/>
  <c r="K75" i="17"/>
  <c r="J89" i="14"/>
  <c r="M89" i="14"/>
  <c r="P89" i="14"/>
  <c r="H76" i="17"/>
  <c r="J76" i="17"/>
  <c r="K76" i="17"/>
  <c r="L76" i="17"/>
  <c r="P127" i="14"/>
  <c r="H77" i="17"/>
  <c r="L77" i="17"/>
  <c r="P168" i="14"/>
  <c r="H78" i="17"/>
  <c r="L78" i="17"/>
  <c r="P91" i="14"/>
  <c r="H79" i="17"/>
  <c r="P87" i="14"/>
  <c r="H80" i="17"/>
  <c r="J80" i="17"/>
  <c r="K80" i="17"/>
  <c r="L80" i="17"/>
  <c r="P2" i="14"/>
  <c r="H81" i="17"/>
  <c r="K81" i="17"/>
  <c r="L81" i="17"/>
  <c r="P5" i="14"/>
  <c r="H82" i="17"/>
  <c r="K82" i="17"/>
  <c r="L82" i="17"/>
  <c r="P95" i="14"/>
  <c r="H83" i="17"/>
  <c r="J83" i="17"/>
  <c r="K83" i="17"/>
  <c r="L83" i="17"/>
  <c r="P93" i="14"/>
  <c r="H84" i="17"/>
  <c r="J84" i="17"/>
  <c r="K84" i="17"/>
  <c r="L84" i="17"/>
  <c r="P100" i="14"/>
  <c r="H85" i="17"/>
  <c r="K85" i="17"/>
  <c r="L85" i="17"/>
  <c r="P132" i="14"/>
  <c r="H86" i="17"/>
  <c r="K86" i="17"/>
  <c r="L86" i="17"/>
  <c r="P114" i="14"/>
  <c r="H87" i="17"/>
  <c r="J87" i="17"/>
  <c r="K87" i="17"/>
  <c r="L87" i="17"/>
  <c r="P105" i="14"/>
  <c r="H88" i="17"/>
  <c r="J88" i="17"/>
  <c r="K88" i="17"/>
  <c r="L88" i="17"/>
  <c r="P96" i="14"/>
  <c r="P26" i="14"/>
  <c r="H90" i="17"/>
  <c r="K90" i="17"/>
  <c r="L90" i="17"/>
  <c r="P187" i="14"/>
  <c r="H91" i="17"/>
  <c r="P177" i="14"/>
  <c r="H92" i="17"/>
  <c r="J92" i="17"/>
  <c r="K92" i="17"/>
  <c r="L92" i="17"/>
  <c r="P69" i="14"/>
  <c r="P172" i="14"/>
  <c r="H94" i="17"/>
  <c r="K94" i="17"/>
  <c r="L94" i="17"/>
  <c r="P192" i="14"/>
  <c r="J95" i="17"/>
  <c r="K95" i="17"/>
  <c r="L95" i="17"/>
  <c r="P64" i="14"/>
  <c r="H96" i="17"/>
  <c r="J96" i="17"/>
  <c r="K96" i="17"/>
  <c r="L96" i="17"/>
  <c r="P156" i="14"/>
  <c r="H97" i="17"/>
  <c r="P118" i="14"/>
  <c r="H98" i="17"/>
  <c r="K98" i="17"/>
  <c r="P82" i="14"/>
  <c r="J99" i="17"/>
  <c r="K99" i="17"/>
  <c r="L99" i="17"/>
  <c r="P160" i="14"/>
  <c r="H100" i="17"/>
  <c r="K100" i="17"/>
  <c r="L100" i="17"/>
  <c r="P112" i="14"/>
  <c r="H101" i="17"/>
  <c r="L101" i="17"/>
  <c r="P123" i="14"/>
  <c r="H102" i="17"/>
  <c r="L102" i="17"/>
  <c r="P4" i="14"/>
  <c r="H103" i="17"/>
  <c r="J103" i="17"/>
  <c r="K103" i="17"/>
  <c r="P190" i="14"/>
  <c r="J104" i="17"/>
  <c r="K104" i="17"/>
  <c r="L104" i="17"/>
  <c r="P133" i="14"/>
  <c r="H105" i="17"/>
  <c r="L105" i="17"/>
  <c r="P99" i="14"/>
  <c r="K106" i="17"/>
  <c r="L106" i="17"/>
  <c r="P65" i="14"/>
  <c r="H107" i="17"/>
  <c r="J107" i="17"/>
  <c r="L107" i="17"/>
  <c r="P12" i="14"/>
  <c r="H108" i="17"/>
  <c r="J108" i="17"/>
  <c r="K108" i="17"/>
  <c r="P70" i="14"/>
  <c r="J109" i="17"/>
  <c r="K109" i="17"/>
  <c r="L109" i="17"/>
  <c r="P94" i="14"/>
  <c r="P106" i="14"/>
  <c r="H111" i="17"/>
  <c r="J111" i="17"/>
  <c r="P113" i="14"/>
  <c r="H112" i="17"/>
  <c r="K112" i="17"/>
  <c r="L112" i="17"/>
  <c r="P134" i="14"/>
  <c r="J113" i="17"/>
  <c r="K113" i="17"/>
  <c r="P166" i="14"/>
  <c r="K114" i="17"/>
  <c r="L114" i="17"/>
  <c r="P3" i="14"/>
  <c r="H115" i="17"/>
  <c r="P71" i="14"/>
  <c r="H116" i="17"/>
  <c r="J116" i="17"/>
  <c r="L116" i="17"/>
  <c r="P131" i="14"/>
  <c r="J117" i="17"/>
  <c r="K117" i="17"/>
  <c r="P14" i="14"/>
  <c r="K118" i="17"/>
  <c r="L118" i="17"/>
  <c r="P135" i="14"/>
  <c r="H119" i="17"/>
  <c r="K119" i="17"/>
  <c r="L119" i="17"/>
  <c r="P186" i="14"/>
  <c r="H120" i="17"/>
  <c r="J120" i="17"/>
  <c r="L120" i="17"/>
  <c r="K121" i="17"/>
  <c r="P144" i="14"/>
  <c r="K122" i="17"/>
  <c r="L122" i="17"/>
  <c r="P6" i="14"/>
  <c r="H123" i="17"/>
  <c r="J123" i="17"/>
  <c r="J54" i="14"/>
  <c r="M54" i="14"/>
  <c r="P54" i="14"/>
  <c r="J124" i="17"/>
  <c r="K124" i="17"/>
  <c r="L124" i="17"/>
  <c r="H125" i="17"/>
  <c r="L125" i="17"/>
  <c r="P185" i="14"/>
  <c r="L126" i="17"/>
  <c r="P170" i="14"/>
  <c r="H127" i="17"/>
  <c r="J127" i="17"/>
  <c r="P130" i="14"/>
  <c r="H128" i="17"/>
  <c r="J128" i="17"/>
  <c r="L128" i="17"/>
  <c r="P109" i="14"/>
  <c r="J129" i="17"/>
  <c r="K129" i="17"/>
  <c r="L129" i="17"/>
  <c r="P90" i="14"/>
  <c r="H130" i="17"/>
  <c r="L130" i="17"/>
  <c r="P10" i="14"/>
  <c r="H131" i="17"/>
  <c r="P119" i="14"/>
  <c r="H132" i="17"/>
  <c r="J132" i="17"/>
  <c r="K132" i="17"/>
  <c r="P138" i="14"/>
  <c r="F264" i="17" s="1"/>
  <c r="K133" i="17"/>
  <c r="P35" i="14"/>
  <c r="K134" i="17"/>
  <c r="L134" i="17"/>
  <c r="P75" i="14"/>
  <c r="H135" i="17"/>
  <c r="J135" i="17"/>
  <c r="L135" i="17"/>
  <c r="J55" i="14"/>
  <c r="M55" i="14"/>
  <c r="P55" i="14"/>
  <c r="H136" i="17"/>
  <c r="J136" i="17"/>
  <c r="K136" i="17"/>
  <c r="P20" i="14"/>
  <c r="P153" i="14"/>
  <c r="L138" i="17"/>
  <c r="P184" i="14"/>
  <c r="H139" i="17"/>
  <c r="J139" i="17"/>
  <c r="K139" i="17"/>
  <c r="P7" i="14"/>
  <c r="F79" i="17" s="1"/>
  <c r="H140" i="17"/>
  <c r="K140" i="17"/>
  <c r="L140" i="17"/>
  <c r="P50" i="14"/>
  <c r="H141" i="17"/>
  <c r="J141" i="17"/>
  <c r="L141" i="17"/>
  <c r="P115" i="14"/>
  <c r="J143" i="17"/>
  <c r="P191" i="14"/>
  <c r="H144" i="17"/>
  <c r="J144" i="17"/>
  <c r="K144" i="17"/>
  <c r="P124" i="14"/>
  <c r="K145" i="17"/>
  <c r="L145" i="17"/>
  <c r="P15" i="14"/>
  <c r="H146" i="17"/>
  <c r="K146" i="17"/>
  <c r="P37" i="14"/>
  <c r="P56" i="14"/>
  <c r="J148" i="17"/>
  <c r="K148" i="17"/>
  <c r="L148" i="17"/>
  <c r="P195" i="14"/>
  <c r="J149" i="17"/>
  <c r="P59" i="14"/>
  <c r="K150" i="17"/>
  <c r="P182" i="14"/>
  <c r="J151" i="17"/>
  <c r="K151" i="17"/>
  <c r="L151" i="17"/>
  <c r="H152" i="17"/>
  <c r="K152" i="17"/>
  <c r="L152" i="17"/>
  <c r="P85" i="14"/>
  <c r="H153" i="17"/>
  <c r="J153" i="17"/>
  <c r="L153" i="17"/>
  <c r="P92" i="14"/>
  <c r="H154" i="17"/>
  <c r="J154" i="17"/>
  <c r="K154" i="17"/>
  <c r="P171" i="14"/>
  <c r="L155" i="17"/>
  <c r="P86" i="14"/>
  <c r="H156" i="17"/>
  <c r="L156" i="17"/>
  <c r="P39" i="14"/>
  <c r="F98" i="17" s="1"/>
  <c r="H157" i="17"/>
  <c r="J157" i="17"/>
  <c r="L157" i="17"/>
  <c r="P148" i="14"/>
  <c r="H158" i="17"/>
  <c r="J158" i="17"/>
  <c r="K158" i="17"/>
  <c r="P67" i="14"/>
  <c r="L159" i="17"/>
  <c r="J141" i="14"/>
  <c r="M141" i="14"/>
  <c r="P141" i="14"/>
  <c r="H160" i="17"/>
  <c r="L160" i="17"/>
  <c r="P72" i="14"/>
  <c r="H161" i="17"/>
  <c r="J161" i="17"/>
  <c r="L161" i="17"/>
  <c r="P63" i="14"/>
  <c r="H162" i="17"/>
  <c r="J162" i="17"/>
  <c r="K162" i="17"/>
  <c r="J77" i="14"/>
  <c r="M77" i="14"/>
  <c r="P77" i="14"/>
  <c r="L163" i="17"/>
  <c r="P40" i="14"/>
  <c r="H164" i="17"/>
  <c r="P125" i="14"/>
  <c r="H165" i="17"/>
  <c r="J165" i="17"/>
  <c r="K165" i="17"/>
  <c r="P121" i="14"/>
  <c r="H167" i="17"/>
  <c r="P110" i="14"/>
  <c r="P80" i="14"/>
  <c r="J169" i="17"/>
  <c r="K169" i="17"/>
  <c r="L169" i="17"/>
  <c r="P108" i="14"/>
  <c r="P104" i="14"/>
  <c r="H171" i="17"/>
  <c r="L171" i="17"/>
  <c r="H172" i="17"/>
  <c r="J129" i="14"/>
  <c r="P129" i="14"/>
  <c r="H173" i="17"/>
  <c r="K173" i="17"/>
  <c r="L173" i="17"/>
  <c r="P102" i="14"/>
  <c r="P24" i="14"/>
  <c r="H175" i="17"/>
  <c r="L175" i="17"/>
  <c r="P60" i="14"/>
  <c r="H176" i="17"/>
  <c r="P164" i="14"/>
  <c r="H177" i="17"/>
  <c r="J177" i="17"/>
  <c r="L177" i="17"/>
  <c r="P193" i="14"/>
  <c r="L179" i="17"/>
  <c r="P128" i="14"/>
  <c r="H180" i="17"/>
  <c r="P53" i="14"/>
  <c r="H181" i="17"/>
  <c r="J181" i="17"/>
  <c r="K181" i="17"/>
  <c r="P8" i="14"/>
  <c r="P111" i="14"/>
  <c r="H183" i="17"/>
  <c r="L183" i="17"/>
  <c r="P154" i="14"/>
  <c r="P17" i="14"/>
  <c r="H185" i="17"/>
  <c r="J185" i="17"/>
  <c r="L185" i="17"/>
  <c r="P165" i="14"/>
  <c r="P43" i="14"/>
  <c r="P169" i="14"/>
  <c r="L189" i="17"/>
  <c r="P116" i="14"/>
  <c r="P46" i="14"/>
  <c r="L191" i="17"/>
  <c r="P122" i="14"/>
  <c r="H192" i="17"/>
  <c r="H193" i="17"/>
  <c r="K193" i="17"/>
  <c r="P167" i="14"/>
  <c r="P149" i="14"/>
  <c r="H195" i="17"/>
  <c r="J140" i="14"/>
  <c r="M140" i="14"/>
  <c r="P140" i="14"/>
  <c r="H196" i="17"/>
  <c r="P28" i="14"/>
  <c r="L197" i="17"/>
  <c r="H198" i="17"/>
  <c r="J198" i="17"/>
  <c r="K198" i="17"/>
  <c r="P97" i="14"/>
  <c r="P196" i="14"/>
  <c r="F270" i="17" s="1"/>
  <c r="L200" i="17"/>
  <c r="K201" i="17"/>
  <c r="P81" i="14"/>
  <c r="J202" i="17"/>
  <c r="K202" i="17"/>
  <c r="L202" i="17"/>
  <c r="J76" i="14"/>
  <c r="P76" i="14"/>
  <c r="P107" i="14"/>
  <c r="J205" i="17"/>
  <c r="P126" i="14"/>
  <c r="K206" i="17"/>
  <c r="L206" i="17"/>
  <c r="P188" i="14"/>
  <c r="H207" i="17"/>
  <c r="J62" i="14"/>
  <c r="M62" i="14"/>
  <c r="P62" i="14"/>
  <c r="H208" i="17"/>
  <c r="P42" i="14"/>
  <c r="J209" i="17"/>
  <c r="K209" i="17"/>
  <c r="P13" i="14"/>
  <c r="J210" i="17"/>
  <c r="L210" i="17"/>
  <c r="P78" i="14"/>
  <c r="L212" i="17"/>
  <c r="P139" i="14"/>
  <c r="H213" i="17"/>
  <c r="J213" i="17"/>
  <c r="P52" i="14"/>
  <c r="J214" i="17"/>
  <c r="L214" i="17"/>
  <c r="P180" i="14"/>
  <c r="L215" i="17"/>
  <c r="P117" i="14"/>
  <c r="H216" i="17"/>
  <c r="L216" i="17"/>
  <c r="P161" i="14"/>
  <c r="H217" i="17"/>
  <c r="J83" i="14"/>
  <c r="M83" i="14"/>
  <c r="P83" i="14"/>
  <c r="L218" i="17"/>
  <c r="P158" i="14"/>
  <c r="J219" i="17"/>
  <c r="L219" i="17"/>
  <c r="P11" i="14"/>
  <c r="K220" i="17"/>
  <c r="P146" i="14"/>
  <c r="H221" i="17"/>
  <c r="P142" i="14"/>
  <c r="J222" i="17"/>
  <c r="P173" i="14"/>
  <c r="J223" i="17"/>
  <c r="L223" i="17"/>
  <c r="P38" i="14"/>
  <c r="K224" i="17"/>
  <c r="L224" i="17"/>
  <c r="P84" i="14"/>
  <c r="L225" i="17"/>
  <c r="H226" i="17"/>
  <c r="J226" i="17"/>
  <c r="P150" i="14"/>
  <c r="L227" i="17"/>
  <c r="P32" i="14"/>
  <c r="K228" i="17"/>
  <c r="L228" i="17"/>
  <c r="J29" i="14"/>
  <c r="M29" i="14"/>
  <c r="P29" i="14"/>
  <c r="L229" i="17"/>
  <c r="J88" i="14"/>
  <c r="M88" i="14"/>
  <c r="P88" i="14"/>
  <c r="H230" i="17"/>
  <c r="J230" i="17"/>
  <c r="L230" i="17"/>
  <c r="P27" i="14"/>
  <c r="P36" i="14"/>
  <c r="H232" i="17"/>
  <c r="L232" i="17"/>
  <c r="P16" i="14"/>
  <c r="H233" i="17"/>
  <c r="J233" i="17"/>
  <c r="P174" i="14"/>
  <c r="L234" i="17"/>
  <c r="P66" i="14"/>
  <c r="P9" i="14"/>
  <c r="H236" i="17"/>
  <c r="J137" i="14"/>
  <c r="M137" i="14"/>
  <c r="P137" i="14"/>
  <c r="J237" i="17"/>
  <c r="K237" i="17"/>
  <c r="P44" i="14"/>
  <c r="J238" i="17"/>
  <c r="L239" i="17"/>
  <c r="P143" i="14"/>
  <c r="P18" i="14"/>
  <c r="L242" i="17"/>
  <c r="P79" i="14"/>
  <c r="P23" i="14"/>
  <c r="J244" i="17"/>
  <c r="K244" i="17"/>
  <c r="P162" i="14"/>
  <c r="H246" i="17"/>
  <c r="J246" i="17"/>
  <c r="L246" i="17"/>
  <c r="P159" i="14"/>
  <c r="F167" i="17" s="1"/>
  <c r="P49" i="14"/>
  <c r="H248" i="17"/>
  <c r="P21" i="14"/>
  <c r="J249" i="17"/>
  <c r="K249" i="17"/>
  <c r="P51" i="14"/>
  <c r="J250" i="17"/>
  <c r="P157" i="14"/>
  <c r="K251" i="17"/>
  <c r="L251" i="17"/>
  <c r="H252" i="17"/>
  <c r="J252" i="17"/>
  <c r="P25" i="14"/>
  <c r="K253" i="17"/>
  <c r="L253" i="17"/>
  <c r="P176" i="14"/>
  <c r="J254" i="17"/>
  <c r="L254" i="17"/>
  <c r="P147" i="14"/>
  <c r="L255" i="17"/>
  <c r="J41" i="14"/>
  <c r="M41" i="14"/>
  <c r="P41" i="14"/>
  <c r="H256" i="17"/>
  <c r="J256" i="17"/>
  <c r="K256" i="17"/>
  <c r="P183" i="14"/>
  <c r="J257" i="17"/>
  <c r="K257" i="17"/>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J2" i="13"/>
  <c r="P2" i="13"/>
  <c r="H43" i="17"/>
  <c r="J43" i="17"/>
  <c r="L43" i="17"/>
  <c r="J3" i="13"/>
  <c r="P3" i="13"/>
  <c r="H47" i="17"/>
  <c r="J47" i="17"/>
  <c r="K47" i="17"/>
  <c r="J5" i="13"/>
  <c r="P5" i="13"/>
  <c r="H44" i="17"/>
  <c r="J44" i="17"/>
  <c r="K44" i="17"/>
  <c r="L44" i="17"/>
  <c r="J6" i="13"/>
  <c r="P6" i="13"/>
  <c r="H30" i="17"/>
  <c r="L30" i="17"/>
  <c r="J7" i="13"/>
  <c r="P7" i="13"/>
  <c r="H3" i="17"/>
  <c r="L3" i="17"/>
  <c r="J4" i="13"/>
  <c r="P4" i="13"/>
  <c r="H33" i="17"/>
  <c r="J33" i="17"/>
  <c r="L33" i="17"/>
  <c r="J8" i="13"/>
  <c r="P8" i="13"/>
  <c r="H26" i="17"/>
  <c r="K26" i="17"/>
  <c r="L26" i="17"/>
  <c r="J9" i="13"/>
  <c r="P9" i="13"/>
  <c r="H45" i="17"/>
  <c r="J10" i="13"/>
  <c r="P10" i="13"/>
  <c r="H12" i="17"/>
  <c r="J12" i="17"/>
  <c r="K12" i="17"/>
  <c r="L12" i="17"/>
  <c r="J11" i="13"/>
  <c r="P11" i="13"/>
  <c r="H28" i="17"/>
  <c r="J28" i="17"/>
  <c r="K28" i="17"/>
  <c r="L28" i="17"/>
  <c r="J12" i="13"/>
  <c r="P12" i="13"/>
  <c r="J27" i="17"/>
  <c r="K27" i="17"/>
  <c r="L27" i="17"/>
  <c r="H8" i="17"/>
  <c r="J8" i="17"/>
  <c r="K8" i="17"/>
  <c r="L8" i="17"/>
  <c r="J13" i="13"/>
  <c r="P13" i="13"/>
  <c r="H54" i="17"/>
  <c r="K54" i="17"/>
  <c r="L54" i="17"/>
  <c r="H14" i="17"/>
  <c r="J14" i="17"/>
  <c r="L14" i="17"/>
  <c r="J19" i="13"/>
  <c r="P19" i="13"/>
  <c r="H6" i="17"/>
  <c r="J6" i="17"/>
  <c r="K6" i="17"/>
  <c r="L6" i="17"/>
  <c r="J32" i="13"/>
  <c r="P32" i="13"/>
  <c r="L34" i="17"/>
  <c r="J16" i="13"/>
  <c r="P16" i="13"/>
  <c r="H35" i="17"/>
  <c r="K35" i="17"/>
  <c r="L35" i="17"/>
  <c r="J15" i="13"/>
  <c r="P15" i="13"/>
  <c r="H18" i="17"/>
  <c r="J18" i="17"/>
  <c r="L18" i="17"/>
  <c r="J14" i="13"/>
  <c r="P14" i="13"/>
  <c r="H13" i="17"/>
  <c r="J13" i="17"/>
  <c r="L13" i="17"/>
  <c r="J17" i="13"/>
  <c r="P17" i="13"/>
  <c r="K46" i="17"/>
  <c r="L46" i="17"/>
  <c r="J20" i="13"/>
  <c r="P20" i="13"/>
  <c r="H41" i="17"/>
  <c r="J41" i="17"/>
  <c r="L41" i="17"/>
  <c r="J24" i="13"/>
  <c r="P24" i="13"/>
  <c r="H36" i="17"/>
  <c r="J36" i="17"/>
  <c r="K36" i="17"/>
  <c r="L36" i="17"/>
  <c r="P48" i="13"/>
  <c r="J58" i="17"/>
  <c r="K58" i="17"/>
  <c r="L58" i="17"/>
  <c r="J21" i="13"/>
  <c r="P21" i="13"/>
  <c r="H25" i="17"/>
  <c r="J25" i="17"/>
  <c r="L25" i="17"/>
  <c r="J22" i="13"/>
  <c r="P22" i="13"/>
  <c r="H56" i="17"/>
  <c r="J56" i="17"/>
  <c r="K56" i="17"/>
  <c r="L56" i="17"/>
  <c r="H59" i="17"/>
  <c r="J59" i="17"/>
  <c r="K59" i="17"/>
  <c r="L59" i="17"/>
  <c r="J49" i="13"/>
  <c r="P49" i="13"/>
  <c r="J23" i="17"/>
  <c r="J25" i="13"/>
  <c r="P25" i="13"/>
  <c r="H21" i="17"/>
  <c r="J21" i="17"/>
  <c r="K21" i="17"/>
  <c r="L21" i="17"/>
  <c r="J58" i="13"/>
  <c r="P58" i="13"/>
  <c r="H49" i="17"/>
  <c r="J49" i="17"/>
  <c r="L49" i="17"/>
  <c r="J23" i="13"/>
  <c r="P23" i="13"/>
  <c r="H32" i="17"/>
  <c r="J32" i="17"/>
  <c r="K32" i="17"/>
  <c r="L32" i="17"/>
  <c r="J56" i="13"/>
  <c r="P56" i="13"/>
  <c r="K40" i="17"/>
  <c r="L40" i="17"/>
  <c r="J53" i="13"/>
  <c r="P53" i="13"/>
  <c r="H4" i="17"/>
  <c r="J4" i="17"/>
  <c r="K4" i="17"/>
  <c r="L4" i="17"/>
  <c r="J26" i="13"/>
  <c r="P26" i="13"/>
  <c r="H29" i="17"/>
  <c r="J29" i="17"/>
  <c r="L29" i="17"/>
  <c r="J35" i="13"/>
  <c r="P35" i="13"/>
  <c r="H57" i="17"/>
  <c r="J57" i="17"/>
  <c r="J40" i="13"/>
  <c r="P40" i="13"/>
  <c r="H55" i="17"/>
  <c r="J55" i="17"/>
  <c r="L55" i="17"/>
  <c r="J33" i="13"/>
  <c r="P33" i="13"/>
  <c r="H16" i="17"/>
  <c r="J16" i="17"/>
  <c r="K16" i="17"/>
  <c r="L16" i="17"/>
  <c r="J29" i="13"/>
  <c r="P29" i="13"/>
  <c r="H24" i="17"/>
  <c r="J24" i="17"/>
  <c r="K24" i="17"/>
  <c r="L24" i="17"/>
  <c r="J39" i="13"/>
  <c r="P39" i="13"/>
  <c r="H60" i="17"/>
  <c r="J60" i="17"/>
  <c r="K60" i="17"/>
  <c r="L60" i="17"/>
  <c r="J36" i="13"/>
  <c r="P36" i="13"/>
  <c r="J53" i="17"/>
  <c r="K53" i="17"/>
  <c r="L53" i="17"/>
  <c r="J41" i="13"/>
  <c r="P41" i="13"/>
  <c r="K42" i="17"/>
  <c r="L42" i="17"/>
  <c r="J61" i="13"/>
  <c r="P61" i="13"/>
  <c r="H50" i="17"/>
  <c r="L50" i="17"/>
  <c r="J38" i="13"/>
  <c r="P38" i="13"/>
  <c r="H17" i="17"/>
  <c r="J17" i="17"/>
  <c r="L17" i="17"/>
  <c r="J31" i="13"/>
  <c r="P31" i="13"/>
  <c r="H37" i="17"/>
  <c r="J37" i="17"/>
  <c r="K37" i="17"/>
  <c r="L37" i="17"/>
  <c r="P51" i="13"/>
  <c r="H7" i="17"/>
  <c r="K7" i="17"/>
  <c r="L7" i="17"/>
  <c r="J37" i="13"/>
  <c r="P37" i="13"/>
  <c r="H38" i="17"/>
  <c r="L38" i="17"/>
  <c r="P42" i="13"/>
  <c r="H5" i="17"/>
  <c r="J5" i="17"/>
  <c r="L5" i="17"/>
  <c r="P43" i="13"/>
  <c r="J19" i="17"/>
  <c r="K19" i="17"/>
  <c r="P52" i="13"/>
  <c r="H61" i="17"/>
  <c r="L61" i="17"/>
  <c r="P63" i="13"/>
  <c r="H10" i="17"/>
  <c r="L10" i="17"/>
  <c r="J27" i="13"/>
  <c r="P27" i="13"/>
  <c r="H39" i="17"/>
  <c r="J39" i="17"/>
  <c r="K39" i="17"/>
  <c r="J34" i="13"/>
  <c r="P34" i="13"/>
  <c r="H15" i="17"/>
  <c r="J15" i="17"/>
  <c r="K15" i="17"/>
  <c r="P44" i="13"/>
  <c r="H11" i="17"/>
  <c r="L11" i="17"/>
  <c r="P45" i="13"/>
  <c r="H2" i="17"/>
  <c r="L2" i="17"/>
  <c r="P50" i="13"/>
  <c r="H9" i="17"/>
  <c r="J9" i="17"/>
  <c r="L9" i="17"/>
  <c r="J55" i="13"/>
  <c r="P55" i="13"/>
  <c r="H48" i="17"/>
  <c r="J48" i="17"/>
  <c r="K48" i="17"/>
  <c r="L48" i="17"/>
  <c r="J47" i="13"/>
  <c r="P47" i="13"/>
  <c r="F54" i="17" s="1"/>
  <c r="H20" i="17"/>
  <c r="J20" i="17"/>
  <c r="K20" i="17"/>
  <c r="L20" i="17"/>
  <c r="J57" i="13"/>
  <c r="P57" i="13"/>
  <c r="H51" i="17"/>
  <c r="J51" i="17"/>
  <c r="J59" i="13"/>
  <c r="P59" i="13"/>
  <c r="F63" i="17" s="1"/>
  <c r="H31" i="17"/>
  <c r="J31" i="17"/>
  <c r="L31" i="17"/>
  <c r="H52" i="17"/>
  <c r="J52" i="17"/>
  <c r="K52" i="17"/>
  <c r="L52" i="17"/>
  <c r="J60" i="13"/>
  <c r="P60" i="13"/>
  <c r="H22" i="17"/>
  <c r="L22" i="17"/>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3" i="13"/>
  <c r="Q174" i="13"/>
  <c r="Q175" i="13"/>
  <c r="Q176" i="13"/>
  <c r="Q177" i="13"/>
  <c r="Q178" i="13"/>
  <c r="Q179"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5" i="13"/>
  <c r="Q276" i="13"/>
  <c r="Q277" i="13"/>
  <c r="Q278" i="13"/>
  <c r="Q279" i="13"/>
  <c r="Q280" i="13"/>
  <c r="Q281" i="13"/>
  <c r="Q282" i="13"/>
  <c r="Q283" i="13"/>
  <c r="Q284" i="13"/>
  <c r="Q285" i="13"/>
  <c r="Q286" i="13"/>
  <c r="Q287" i="13"/>
  <c r="Q288" i="13"/>
  <c r="Q289" i="13"/>
  <c r="Q290" i="13"/>
  <c r="Q291" i="13"/>
  <c r="Q292" i="13"/>
  <c r="Q293" i="13"/>
  <c r="Q294" i="13"/>
  <c r="Q295" i="13"/>
  <c r="Q296" i="13"/>
  <c r="Q297" i="13"/>
  <c r="Q298" i="13"/>
  <c r="Q299" i="13"/>
  <c r="Q300" i="13"/>
  <c r="Q301" i="13"/>
  <c r="Q302" i="13"/>
  <c r="Q303" i="13"/>
  <c r="Q304" i="13"/>
  <c r="Q305" i="13"/>
  <c r="Q306" i="13"/>
  <c r="Q307" i="13"/>
  <c r="Q308" i="13"/>
  <c r="Q309" i="13"/>
  <c r="Q310" i="13"/>
  <c r="Q311" i="13"/>
  <c r="Q312" i="13"/>
  <c r="Q313" i="13"/>
  <c r="Q314" i="13"/>
  <c r="Q315" i="13"/>
  <c r="Q316" i="13"/>
  <c r="Q317" i="13"/>
  <c r="Q318" i="13"/>
  <c r="Q319" i="13"/>
  <c r="Q320" i="13"/>
  <c r="Q321" i="13"/>
  <c r="Q322" i="13"/>
  <c r="Q323" i="13"/>
  <c r="Q324" i="13"/>
  <c r="Q325" i="13"/>
  <c r="Q326" i="13"/>
  <c r="Q327" i="13"/>
  <c r="Q328" i="13"/>
  <c r="Q329" i="13"/>
  <c r="Q330" i="13"/>
  <c r="Q331" i="13"/>
  <c r="Q332" i="13"/>
  <c r="Q333" i="13"/>
  <c r="Q334" i="13"/>
  <c r="Q335" i="13"/>
  <c r="Q336" i="13"/>
  <c r="Q337" i="13"/>
  <c r="Q338" i="13"/>
  <c r="Q339" i="13"/>
  <c r="Q340" i="13"/>
  <c r="Q341" i="13"/>
  <c r="Q342" i="13"/>
  <c r="Q343" i="13"/>
  <c r="Q344" i="13"/>
  <c r="Q345" i="13"/>
  <c r="Q346" i="13"/>
  <c r="Q347" i="13"/>
  <c r="Q348" i="13"/>
  <c r="Q349" i="13"/>
  <c r="Q350" i="13"/>
  <c r="Q351" i="13"/>
  <c r="Q352" i="13"/>
  <c r="Q353" i="13"/>
  <c r="Q354" i="13"/>
  <c r="Q355" i="13"/>
  <c r="Q356" i="13"/>
  <c r="Q357" i="13"/>
  <c r="Q358" i="13"/>
  <c r="Q359" i="13"/>
  <c r="Q360" i="13"/>
  <c r="Q361" i="13"/>
  <c r="Q362" i="13"/>
  <c r="Q363" i="13"/>
  <c r="Q364" i="13"/>
  <c r="Q365" i="13"/>
  <c r="Q366" i="13"/>
  <c r="Q367" i="13"/>
  <c r="Q368" i="13"/>
  <c r="Q369" i="13"/>
  <c r="Q370" i="13"/>
  <c r="Q371" i="13"/>
  <c r="Q372" i="13"/>
  <c r="Q373" i="13"/>
  <c r="Q374" i="13"/>
  <c r="Q375" i="13"/>
  <c r="Q376" i="13"/>
  <c r="Q377" i="13"/>
  <c r="Q378" i="13"/>
  <c r="Q379" i="13"/>
  <c r="Q380" i="13"/>
  <c r="Q381" i="13"/>
  <c r="Q382" i="13"/>
  <c r="Q383" i="13"/>
  <c r="Q384" i="13"/>
  <c r="Q385" i="13"/>
  <c r="Q386" i="13"/>
  <c r="Q387" i="13"/>
  <c r="Q388" i="13"/>
  <c r="Q389" i="13"/>
  <c r="Q390" i="13"/>
  <c r="Q391" i="13"/>
  <c r="Q392" i="13"/>
  <c r="Q393" i="13"/>
  <c r="Q394" i="13"/>
  <c r="Q395" i="13"/>
  <c r="Q396" i="13"/>
  <c r="Q397" i="13"/>
  <c r="Q398" i="13"/>
  <c r="Q399" i="13"/>
  <c r="Q400" i="13"/>
  <c r="Q401" i="13"/>
  <c r="Q402" i="13"/>
  <c r="Q403" i="13"/>
  <c r="Q404" i="13"/>
  <c r="Q405" i="13"/>
  <c r="Q406" i="13"/>
  <c r="Q407" i="13"/>
  <c r="Q408" i="13"/>
  <c r="Q409" i="13"/>
  <c r="Q410" i="13"/>
  <c r="Q411" i="13"/>
  <c r="Q412" i="13"/>
  <c r="Q413" i="13"/>
  <c r="Q414" i="13"/>
  <c r="Q415" i="13"/>
  <c r="Q416" i="13"/>
  <c r="Q417" i="13"/>
  <c r="Q418" i="13"/>
  <c r="Q419" i="13"/>
  <c r="Q420" i="13"/>
  <c r="Q421" i="13"/>
  <c r="Q422" i="13"/>
  <c r="Q423" i="13"/>
  <c r="Q424" i="13"/>
  <c r="Q425" i="13"/>
  <c r="Q426" i="13"/>
  <c r="Q427" i="13"/>
  <c r="Q428" i="13"/>
  <c r="Q429" i="13"/>
  <c r="Q430" i="13"/>
  <c r="Q431" i="13"/>
  <c r="Q432" i="13"/>
  <c r="Q433" i="13"/>
  <c r="Q434" i="13"/>
  <c r="Q435" i="13"/>
  <c r="Q436" i="13"/>
  <c r="Q437" i="13"/>
  <c r="Q438" i="13"/>
  <c r="Q439" i="13"/>
  <c r="Q440" i="13"/>
  <c r="Q441" i="13"/>
  <c r="Q442" i="13"/>
  <c r="Q443" i="13"/>
  <c r="Q444" i="13"/>
  <c r="Q445" i="13"/>
  <c r="Q446" i="13"/>
  <c r="Q447" i="13"/>
  <c r="Q448" i="13"/>
  <c r="Q449" i="13"/>
  <c r="Q450" i="13"/>
  <c r="Q451" i="13"/>
  <c r="Q452" i="13"/>
  <c r="Q453" i="13"/>
  <c r="Q454" i="13"/>
  <c r="Q455" i="13"/>
  <c r="Q456" i="13"/>
  <c r="Q457" i="13"/>
  <c r="Q458" i="13"/>
  <c r="Q459" i="13"/>
  <c r="Q460" i="13"/>
  <c r="Q461" i="13"/>
  <c r="Q462" i="13"/>
  <c r="Q463" i="13"/>
  <c r="Q464" i="13"/>
  <c r="Q486" i="13"/>
  <c r="Q487" i="13"/>
  <c r="Q488" i="13"/>
  <c r="Q489" i="13"/>
  <c r="Q490" i="13"/>
  <c r="Q491" i="13"/>
  <c r="Q492" i="13"/>
  <c r="Q493" i="13"/>
  <c r="Q494" i="13"/>
  <c r="Q495" i="13"/>
  <c r="Q496" i="13"/>
  <c r="Q497" i="13"/>
  <c r="Q498" i="13"/>
  <c r="Q499" i="13"/>
  <c r="Q500" i="13"/>
  <c r="Q501" i="13"/>
  <c r="Q502" i="13"/>
  <c r="Q503" i="13"/>
  <c r="Q504" i="13"/>
  <c r="Q505" i="13"/>
  <c r="Q506" i="13"/>
  <c r="Q507" i="13"/>
  <c r="Q508" i="13"/>
  <c r="Q509" i="13"/>
  <c r="Q510" i="13"/>
  <c r="Q511" i="13"/>
  <c r="Q512" i="13"/>
  <c r="Q513" i="13"/>
  <c r="Q514" i="13"/>
  <c r="Q515" i="13"/>
  <c r="Q516" i="13"/>
  <c r="Q517" i="13"/>
  <c r="Q518" i="13"/>
  <c r="Q519" i="13"/>
  <c r="Q520" i="13"/>
  <c r="Q521" i="13"/>
  <c r="Q522" i="13"/>
  <c r="Q523" i="13"/>
  <c r="Q524" i="13"/>
  <c r="Q525" i="13"/>
  <c r="Q526" i="13"/>
  <c r="Q527" i="13"/>
  <c r="Q528" i="13"/>
  <c r="Q529" i="13"/>
  <c r="Q530" i="13"/>
  <c r="Q531" i="13"/>
  <c r="Q532" i="13"/>
  <c r="Q533" i="13"/>
  <c r="Q534" i="13"/>
  <c r="Q535" i="13"/>
  <c r="Q536" i="13"/>
  <c r="Q537" i="13"/>
  <c r="Q538" i="13"/>
  <c r="Q539" i="13"/>
  <c r="Q540" i="13"/>
  <c r="Q541" i="13"/>
  <c r="Q542" i="13"/>
  <c r="Q543" i="13"/>
  <c r="Q544" i="13"/>
  <c r="Q545" i="13"/>
  <c r="Q546" i="13"/>
  <c r="Q547" i="13"/>
  <c r="Q548" i="13"/>
  <c r="Q549" i="13"/>
  <c r="Q550" i="13"/>
  <c r="Q551" i="13"/>
  <c r="Q552" i="13"/>
  <c r="Q553" i="13"/>
  <c r="Q554" i="13"/>
  <c r="Q555" i="13"/>
  <c r="Q556" i="13"/>
  <c r="Q557" i="13"/>
  <c r="Q558" i="13"/>
  <c r="Q559" i="13"/>
  <c r="Q560" i="13"/>
  <c r="Q561" i="13"/>
  <c r="Q562" i="13"/>
  <c r="Q563" i="13"/>
  <c r="Q564" i="13"/>
  <c r="Q565" i="13"/>
  <c r="Q566" i="13"/>
  <c r="Q567" i="13"/>
  <c r="Q568" i="13"/>
  <c r="Q569" i="13"/>
  <c r="Q570" i="13"/>
  <c r="Q571" i="13"/>
  <c r="Q572" i="13"/>
  <c r="Q573" i="13"/>
  <c r="Q574" i="13"/>
  <c r="Q575" i="13"/>
  <c r="Q576" i="13"/>
  <c r="Q577" i="13"/>
  <c r="Q578" i="13"/>
  <c r="Q579" i="13"/>
  <c r="Q580" i="13"/>
  <c r="Q581" i="13"/>
  <c r="Q582" i="13"/>
  <c r="Q583" i="13"/>
  <c r="Q584" i="13"/>
  <c r="Q585" i="13"/>
  <c r="F34" i="12"/>
  <c r="B47" i="12"/>
  <c r="B48" i="12"/>
  <c r="B50" i="12"/>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U185" i="10"/>
  <c r="R186" i="10"/>
  <c r="U186" i="10"/>
  <c r="R187" i="10"/>
  <c r="U187" i="10"/>
  <c r="R188" i="10"/>
  <c r="U188" i="10"/>
  <c r="R189" i="10"/>
  <c r="U189" i="10"/>
  <c r="R190" i="10"/>
  <c r="U190" i="10"/>
  <c r="R191" i="10"/>
  <c r="U191" i="10"/>
  <c r="R192" i="10"/>
  <c r="U192" i="10"/>
  <c r="R193" i="10"/>
  <c r="U193" i="10"/>
  <c r="R194" i="10"/>
  <c r="U194" i="10"/>
  <c r="R195" i="10"/>
  <c r="U195" i="10"/>
  <c r="R196" i="10"/>
  <c r="U196" i="10"/>
  <c r="R197" i="10"/>
  <c r="U197" i="10"/>
  <c r="R198" i="10"/>
  <c r="U198" i="10"/>
  <c r="R199" i="10"/>
  <c r="U199" i="10"/>
  <c r="R200" i="10"/>
  <c r="U200" i="10"/>
  <c r="R201" i="10"/>
  <c r="U201" i="10"/>
  <c r="R202" i="10"/>
  <c r="U202" i="10"/>
  <c r="R203" i="10"/>
  <c r="U203" i="10"/>
  <c r="R204" i="10"/>
  <c r="U204" i="10"/>
  <c r="R205" i="10"/>
  <c r="U205" i="10"/>
  <c r="R206" i="10"/>
  <c r="U206" i="10"/>
  <c r="R207" i="10"/>
  <c r="U207" i="10"/>
  <c r="R208" i="10"/>
  <c r="U208" i="10"/>
  <c r="R209" i="10"/>
  <c r="S209" i="10"/>
  <c r="T209" i="10"/>
  <c r="U209" i="10"/>
  <c r="R210" i="10"/>
  <c r="S210" i="10"/>
  <c r="T210" i="10"/>
  <c r="U210" i="10"/>
  <c r="R211" i="10"/>
  <c r="S211" i="10"/>
  <c r="T211" i="10"/>
  <c r="U211" i="10"/>
  <c r="S8" i="7"/>
  <c r="N34" i="7"/>
  <c r="N35" i="7"/>
  <c r="N312" i="7" s="1"/>
  <c r="N36" i="7"/>
  <c r="N87" i="7" s="1"/>
  <c r="N37" i="7"/>
  <c r="N540" i="7" s="1"/>
  <c r="N38" i="7"/>
  <c r="N89" i="7" s="1"/>
  <c r="N39" i="7"/>
  <c r="N648" i="7" s="1"/>
  <c r="N40" i="7"/>
  <c r="N649" i="7" s="1"/>
  <c r="N41" i="7"/>
  <c r="N318" i="7" s="1"/>
  <c r="N42" i="7"/>
  <c r="N43" i="7"/>
  <c r="N44" i="7"/>
  <c r="O44" i="7" s="1"/>
  <c r="N45" i="7"/>
  <c r="A244" i="7"/>
  <c r="A457" i="7"/>
  <c r="M3" i="6"/>
  <c r="M35" i="6" s="1"/>
  <c r="N3" i="6"/>
  <c r="N9" i="6" s="1"/>
  <c r="O3" i="6"/>
  <c r="O9" i="6" s="1"/>
  <c r="P3" i="6"/>
  <c r="P9" i="6" s="1"/>
  <c r="Q3" i="6"/>
  <c r="Q22" i="6" s="1"/>
  <c r="R3" i="6"/>
  <c r="R35" i="6" s="1"/>
  <c r="S3" i="6"/>
  <c r="S35" i="6" s="1"/>
  <c r="T3" i="6"/>
  <c r="T9" i="6" s="1"/>
  <c r="U3" i="6"/>
  <c r="U35" i="6" s="1"/>
  <c r="V3" i="6"/>
  <c r="V9" i="6" s="1"/>
  <c r="W3" i="6"/>
  <c r="W9" i="6" s="1"/>
  <c r="X3" i="6"/>
  <c r="A4" i="6"/>
  <c r="A5" i="6"/>
  <c r="A6" i="6"/>
  <c r="E7" i="6"/>
  <c r="A10" i="6"/>
  <c r="A11" i="6"/>
  <c r="A12" i="6"/>
  <c r="A13" i="6"/>
  <c r="A14" i="6"/>
  <c r="A15" i="6"/>
  <c r="A16" i="6"/>
  <c r="A17" i="6"/>
  <c r="A18" i="6"/>
  <c r="A19" i="6"/>
  <c r="E20" i="6"/>
  <c r="A23" i="6"/>
  <c r="A24" i="6"/>
  <c r="A25" i="6"/>
  <c r="A26" i="6"/>
  <c r="A27" i="6"/>
  <c r="A28" i="6"/>
  <c r="A29" i="6"/>
  <c r="A30" i="6"/>
  <c r="A31" i="6"/>
  <c r="A32" i="6"/>
  <c r="E33" i="6"/>
  <c r="A36" i="6"/>
  <c r="A37" i="6"/>
  <c r="A38" i="6"/>
  <c r="A39" i="6"/>
  <c r="A40" i="6"/>
  <c r="A41" i="6"/>
  <c r="AG41" i="6"/>
  <c r="AH125" i="6" s="1"/>
  <c r="A42" i="6"/>
  <c r="AG42" i="6"/>
  <c r="AH126" i="6" s="1"/>
  <c r="A43" i="6"/>
  <c r="AG43" i="6"/>
  <c r="AD43" i="7" s="1"/>
  <c r="AA43" i="3" s="1"/>
  <c r="E44" i="6"/>
  <c r="AG44" i="6"/>
  <c r="R44" i="10" s="1"/>
  <c r="AG45" i="6"/>
  <c r="AG46" i="6"/>
  <c r="R46" i="10" s="1"/>
  <c r="AG47" i="6"/>
  <c r="AJ107" i="6" s="1"/>
  <c r="U107" i="10" s="1"/>
  <c r="AG48" i="6"/>
  <c r="AJ108" i="6" s="1"/>
  <c r="AG108" i="7" s="1"/>
  <c r="AD108" i="3" s="1"/>
  <c r="AG49" i="6"/>
  <c r="E50" i="6"/>
  <c r="F43" i="6" s="1"/>
  <c r="AG50" i="6"/>
  <c r="AG51" i="6"/>
  <c r="R51" i="10" s="1"/>
  <c r="AG52" i="6"/>
  <c r="B53" i="6"/>
  <c r="AC51" i="7" s="1"/>
  <c r="Z51" i="3" s="1"/>
  <c r="D53" i="6"/>
  <c r="AG53" i="6"/>
  <c r="AD53" i="7" s="1"/>
  <c r="AA53" i="3" s="1"/>
  <c r="B54" i="6"/>
  <c r="D54" i="6"/>
  <c r="AG54" i="6"/>
  <c r="AH138" i="6" s="1"/>
  <c r="B55" i="6"/>
  <c r="AC53" i="7" s="1"/>
  <c r="Z53" i="3" s="1"/>
  <c r="D55" i="6"/>
  <c r="AG55" i="6"/>
  <c r="AD55" i="7" s="1"/>
  <c r="AA55" i="3" s="1"/>
  <c r="B56" i="6"/>
  <c r="Q54" i="10" s="1"/>
  <c r="D56" i="6"/>
  <c r="AG56" i="6"/>
  <c r="B57" i="6"/>
  <c r="AC55" i="7" s="1"/>
  <c r="Z55" i="3" s="1"/>
  <c r="D57" i="6"/>
  <c r="AG57" i="6"/>
  <c r="R57" i="10" s="1"/>
  <c r="B58" i="6"/>
  <c r="D58" i="6"/>
  <c r="AG58" i="6"/>
  <c r="AI142" i="6" s="1"/>
  <c r="AF145" i="7" s="1"/>
  <c r="B59" i="6"/>
  <c r="AC57" i="7" s="1"/>
  <c r="Z57" i="3" s="1"/>
  <c r="D59" i="6"/>
  <c r="AG59" i="6"/>
  <c r="AI143" i="6" s="1"/>
  <c r="AG60" i="6"/>
  <c r="AI144" i="6" s="1"/>
  <c r="T144" i="10" s="1"/>
  <c r="AG61" i="6"/>
  <c r="AH145" i="6" s="1"/>
  <c r="S145" i="10" s="1"/>
  <c r="AG62" i="6"/>
  <c r="AG63" i="6"/>
  <c r="R63" i="10" s="1"/>
  <c r="AG64" i="6"/>
  <c r="AH148" i="6" s="1"/>
  <c r="S148" i="10" s="1"/>
  <c r="AG65" i="6"/>
  <c r="AH149" i="6" s="1"/>
  <c r="AE152" i="7" s="1"/>
  <c r="AG66" i="6"/>
  <c r="AG67" i="6"/>
  <c r="AH151" i="6" s="1"/>
  <c r="S151" i="10" s="1"/>
  <c r="AG68" i="6"/>
  <c r="R68" i="10" s="1"/>
  <c r="AG69" i="6"/>
  <c r="AH153" i="6" s="1"/>
  <c r="S153" i="10" s="1"/>
  <c r="AG70" i="6"/>
  <c r="AG71" i="6"/>
  <c r="AD71" i="7" s="1"/>
  <c r="AA71" i="3" s="1"/>
  <c r="AG72" i="6"/>
  <c r="R72" i="10" s="1"/>
  <c r="AG73" i="6"/>
  <c r="AH157" i="6" s="1"/>
  <c r="AE160" i="7" s="1"/>
  <c r="AG74" i="6"/>
  <c r="AG75" i="6"/>
  <c r="R75" i="10" s="1"/>
  <c r="AG76" i="6"/>
  <c r="R76" i="10" s="1"/>
  <c r="AG77" i="6"/>
  <c r="AH161" i="6" s="1"/>
  <c r="AG78" i="6"/>
  <c r="AG79" i="6"/>
  <c r="AD79" i="7" s="1"/>
  <c r="AA79" i="3" s="1"/>
  <c r="AG80" i="6"/>
  <c r="AH164" i="6" s="1"/>
  <c r="S164" i="10" s="1"/>
  <c r="AG81" i="6"/>
  <c r="AH165" i="6" s="1"/>
  <c r="AG82" i="6"/>
  <c r="AG83" i="6"/>
  <c r="R83" i="10" s="1"/>
  <c r="AG84" i="6"/>
  <c r="AD84" i="7" s="1"/>
  <c r="AA84" i="3" s="1"/>
  <c r="AG85" i="6"/>
  <c r="AH169" i="6" s="1"/>
  <c r="AE172" i="7" s="1"/>
  <c r="AG86" i="6"/>
  <c r="AG87" i="6"/>
  <c r="AD87" i="7" s="1"/>
  <c r="AA87" i="3" s="1"/>
  <c r="AG88" i="6"/>
  <c r="AD88" i="7" s="1"/>
  <c r="AA88" i="3" s="1"/>
  <c r="AG89" i="6"/>
  <c r="AH173" i="6" s="1"/>
  <c r="S173" i="10" s="1"/>
  <c r="AG90" i="6"/>
  <c r="R90" i="10" s="1"/>
  <c r="AG91" i="6"/>
  <c r="AH175" i="6" s="1"/>
  <c r="AG92" i="6"/>
  <c r="AD92" i="7" s="1"/>
  <c r="AA92" i="3" s="1"/>
  <c r="AG93" i="6"/>
  <c r="AH177" i="6" s="1"/>
  <c r="AE180" i="7" s="1"/>
  <c r="AG94" i="6"/>
  <c r="AG95" i="6"/>
  <c r="AD95" i="7" s="1"/>
  <c r="AA95" i="3" s="1"/>
  <c r="AG96" i="6"/>
  <c r="R96" i="10" s="1"/>
  <c r="AG97" i="6"/>
  <c r="AH181" i="6" s="1"/>
  <c r="AG98" i="6"/>
  <c r="AG99" i="6"/>
  <c r="AI183" i="6" s="1"/>
  <c r="AG100" i="6"/>
  <c r="AD100" i="7" s="1"/>
  <c r="AA100" i="3" s="1"/>
  <c r="AG101" i="6"/>
  <c r="AH185" i="6" s="1"/>
  <c r="AG102" i="6"/>
  <c r="AG103" i="6"/>
  <c r="AI187" i="6" s="1"/>
  <c r="T187" i="10" s="1"/>
  <c r="AG104" i="6"/>
  <c r="AG105" i="6"/>
  <c r="AH189" i="6" s="1"/>
  <c r="AE192" i="7" s="1"/>
  <c r="AG106" i="6"/>
  <c r="AJ106" i="6"/>
  <c r="AG106" i="7" s="1"/>
  <c r="AD106" i="3" s="1"/>
  <c r="AG107" i="6"/>
  <c r="AJ167" i="6" s="1"/>
  <c r="AG170" i="7" s="1"/>
  <c r="AG108" i="6"/>
  <c r="AJ168" i="6" s="1"/>
  <c r="U168" i="10" s="1"/>
  <c r="AG109" i="6"/>
  <c r="AG110" i="6"/>
  <c r="AD110" i="7" s="1"/>
  <c r="AA110" i="3" s="1"/>
  <c r="AG111" i="6"/>
  <c r="AI195" i="6" s="1"/>
  <c r="T195" i="10" s="1"/>
  <c r="AG112" i="6"/>
  <c r="AI196" i="6" s="1"/>
  <c r="T196" i="10" s="1"/>
  <c r="AG113" i="6"/>
  <c r="AG114" i="6"/>
  <c r="AD114" i="7" s="1"/>
  <c r="AA114" i="3" s="1"/>
  <c r="AG115" i="6"/>
  <c r="AJ175" i="6" s="1"/>
  <c r="U175" i="10" s="1"/>
  <c r="AG116" i="6"/>
  <c r="AH200" i="6" s="1"/>
  <c r="AG117" i="6"/>
  <c r="AG118" i="6"/>
  <c r="AD118" i="7" s="1"/>
  <c r="AA118" i="3" s="1"/>
  <c r="AG119" i="6"/>
  <c r="AJ179" i="6" s="1"/>
  <c r="AG120" i="6"/>
  <c r="AD120" i="7" s="1"/>
  <c r="AA120" i="3" s="1"/>
  <c r="AG121" i="6"/>
  <c r="AG122" i="6"/>
  <c r="AJ182" i="6" s="1"/>
  <c r="U182" i="10" s="1"/>
  <c r="AG123" i="6"/>
  <c r="AH207" i="6" s="1"/>
  <c r="S207" i="10" s="1"/>
  <c r="AG124" i="6"/>
  <c r="AI208" i="6" s="1"/>
  <c r="Z8" i="3"/>
  <c r="Z9" i="3"/>
  <c r="Z20" i="3"/>
  <c r="Z21" i="3"/>
  <c r="Z32" i="3"/>
  <c r="Z33" i="3"/>
  <c r="Z42" i="3"/>
  <c r="Z43" i="3"/>
  <c r="Z44" i="3"/>
  <c r="Z45" i="3"/>
  <c r="Z46" i="3"/>
  <c r="Z47" i="3"/>
  <c r="Z48" i="3"/>
  <c r="Z49" i="3"/>
  <c r="Z50"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A5" i="4"/>
  <c r="D5" i="4" s="1"/>
  <c r="G5" i="4" s="1"/>
  <c r="J5" i="4" s="1"/>
  <c r="M5" i="4" s="1"/>
  <c r="P5" i="4" s="1"/>
  <c r="S5" i="4" s="1"/>
  <c r="V5" i="4" s="1"/>
  <c r="Y5" i="4" s="1"/>
  <c r="AB5" i="4" s="1"/>
  <c r="AE5" i="4" s="1"/>
  <c r="AH5" i="4" s="1"/>
  <c r="A6" i="4"/>
  <c r="D6" i="4" s="1"/>
  <c r="G6" i="4" s="1"/>
  <c r="J6" i="4" s="1"/>
  <c r="M6" i="4" s="1"/>
  <c r="P6" i="4" s="1"/>
  <c r="S6" i="4" s="1"/>
  <c r="V6" i="4" s="1"/>
  <c r="Y6" i="4" s="1"/>
  <c r="AB6" i="4" s="1"/>
  <c r="AE6" i="4" s="1"/>
  <c r="AH6" i="4" s="1"/>
  <c r="A7" i="4"/>
  <c r="D7" i="4" s="1"/>
  <c r="G7" i="4" s="1"/>
  <c r="J7" i="4" s="1"/>
  <c r="M7" i="4" s="1"/>
  <c r="P7" i="4" s="1"/>
  <c r="S7" i="4" s="1"/>
  <c r="V7" i="4" s="1"/>
  <c r="Y7" i="4" s="1"/>
  <c r="AB7" i="4" s="1"/>
  <c r="AE7" i="4" s="1"/>
  <c r="AH7" i="4" s="1"/>
  <c r="A14" i="4"/>
  <c r="D14" i="4" s="1"/>
  <c r="G14" i="4" s="1"/>
  <c r="J14" i="4" s="1"/>
  <c r="M14" i="4" s="1"/>
  <c r="P14" i="4" s="1"/>
  <c r="S14" i="4" s="1"/>
  <c r="V14" i="4" s="1"/>
  <c r="A15" i="4"/>
  <c r="D15" i="4" s="1"/>
  <c r="G15" i="4" s="1"/>
  <c r="J15" i="4" s="1"/>
  <c r="M15" i="4" s="1"/>
  <c r="P15" i="4" s="1"/>
  <c r="S15" i="4" s="1"/>
  <c r="V15" i="4" s="1"/>
  <c r="Y15" i="4" s="1"/>
  <c r="AB15" i="4" s="1"/>
  <c r="AE15" i="4" s="1"/>
  <c r="AH15" i="4" s="1"/>
  <c r="A16" i="4"/>
  <c r="D16" i="4" s="1"/>
  <c r="G16" i="4" s="1"/>
  <c r="J16" i="4" s="1"/>
  <c r="M16" i="4" s="1"/>
  <c r="P16" i="4" s="1"/>
  <c r="S16" i="4" s="1"/>
  <c r="V16" i="4" s="1"/>
  <c r="Y16" i="4" s="1"/>
  <c r="AB16" i="4" s="1"/>
  <c r="AE16" i="4" s="1"/>
  <c r="AH16" i="4" s="1"/>
  <c r="A17" i="4"/>
  <c r="D17" i="4" s="1"/>
  <c r="G17" i="4" s="1"/>
  <c r="J17" i="4" s="1"/>
  <c r="M17" i="4" s="1"/>
  <c r="P17" i="4" s="1"/>
  <c r="S17" i="4" s="1"/>
  <c r="V17" i="4" s="1"/>
  <c r="Y17" i="4" s="1"/>
  <c r="AB17" i="4" s="1"/>
  <c r="AE17" i="4" s="1"/>
  <c r="AH17" i="4" s="1"/>
  <c r="A18" i="4"/>
  <c r="D18" i="4" s="1"/>
  <c r="G18" i="4" s="1"/>
  <c r="J18" i="4" s="1"/>
  <c r="M18" i="4" s="1"/>
  <c r="P18" i="4" s="1"/>
  <c r="S18" i="4" s="1"/>
  <c r="V18" i="4" s="1"/>
  <c r="A19" i="4"/>
  <c r="D19" i="4" s="1"/>
  <c r="G19" i="4" s="1"/>
  <c r="J19" i="4" s="1"/>
  <c r="M19" i="4" s="1"/>
  <c r="P19" i="4" s="1"/>
  <c r="S19" i="4" s="1"/>
  <c r="V19" i="4" s="1"/>
  <c r="Y19" i="4" s="1"/>
  <c r="AB19" i="4" s="1"/>
  <c r="AE19" i="4" s="1"/>
  <c r="AH19" i="4" s="1"/>
  <c r="A20" i="4"/>
  <c r="D20" i="4" s="1"/>
  <c r="G20" i="4" s="1"/>
  <c r="J20" i="4" s="1"/>
  <c r="M20" i="4" s="1"/>
  <c r="P20" i="4" s="1"/>
  <c r="S20" i="4" s="1"/>
  <c r="V20" i="4" s="1"/>
  <c r="Y20" i="4" s="1"/>
  <c r="AB20" i="4" s="1"/>
  <c r="AE20" i="4" s="1"/>
  <c r="AH20" i="4" s="1"/>
  <c r="A21" i="4"/>
  <c r="D21" i="4" s="1"/>
  <c r="G21" i="4" s="1"/>
  <c r="J21" i="4" s="1"/>
  <c r="M21" i="4" s="1"/>
  <c r="P21" i="4" s="1"/>
  <c r="S21" i="4" s="1"/>
  <c r="V21" i="4" s="1"/>
  <c r="A22" i="4"/>
  <c r="D22" i="4" s="1"/>
  <c r="G22" i="4" s="1"/>
  <c r="J22" i="4" s="1"/>
  <c r="A23" i="4"/>
  <c r="D23" i="4" s="1"/>
  <c r="A30" i="4"/>
  <c r="D30" i="4" s="1"/>
  <c r="G30" i="4" s="1"/>
  <c r="J30" i="4" s="1"/>
  <c r="M30" i="4" s="1"/>
  <c r="P30" i="4" s="1"/>
  <c r="S30" i="4" s="1"/>
  <c r="V30" i="4" s="1"/>
  <c r="Y30" i="4" s="1"/>
  <c r="AB30" i="4" s="1"/>
  <c r="AE30" i="4" s="1"/>
  <c r="AH30" i="4" s="1"/>
  <c r="A31" i="4"/>
  <c r="D31" i="4" s="1"/>
  <c r="G31" i="4" s="1"/>
  <c r="J31" i="4" s="1"/>
  <c r="M31" i="4" s="1"/>
  <c r="P31" i="4" s="1"/>
  <c r="S31" i="4" s="1"/>
  <c r="V31" i="4" s="1"/>
  <c r="Y31" i="4" s="1"/>
  <c r="AB31" i="4" s="1"/>
  <c r="AE31" i="4" s="1"/>
  <c r="AH31" i="4" s="1"/>
  <c r="A32" i="4"/>
  <c r="D32" i="4" s="1"/>
  <c r="G32" i="4" s="1"/>
  <c r="J32" i="4" s="1"/>
  <c r="M32" i="4" s="1"/>
  <c r="P32" i="4" s="1"/>
  <c r="S32" i="4" s="1"/>
  <c r="V32" i="4" s="1"/>
  <c r="A33" i="4"/>
  <c r="D33" i="4" s="1"/>
  <c r="G33" i="4" s="1"/>
  <c r="J33" i="4" s="1"/>
  <c r="M33" i="4" s="1"/>
  <c r="P33" i="4" s="1"/>
  <c r="S33" i="4" s="1"/>
  <c r="V33" i="4" s="1"/>
  <c r="Y33" i="4" s="1"/>
  <c r="AB33" i="4" s="1"/>
  <c r="AE33" i="4" s="1"/>
  <c r="AH33" i="4" s="1"/>
  <c r="A34" i="4"/>
  <c r="D34" i="4" s="1"/>
  <c r="G34" i="4" s="1"/>
  <c r="J34" i="4" s="1"/>
  <c r="M34" i="4" s="1"/>
  <c r="P34" i="4" s="1"/>
  <c r="S34" i="4" s="1"/>
  <c r="V34" i="4" s="1"/>
  <c r="Y34" i="4" s="1"/>
  <c r="AB34" i="4" s="1"/>
  <c r="AE34" i="4" s="1"/>
  <c r="AH34" i="4" s="1"/>
  <c r="A35" i="4"/>
  <c r="D35" i="4" s="1"/>
  <c r="G35" i="4" s="1"/>
  <c r="J35" i="4" s="1"/>
  <c r="M35" i="4" s="1"/>
  <c r="P35" i="4" s="1"/>
  <c r="S35" i="4" s="1"/>
  <c r="V35" i="4" s="1"/>
  <c r="A36" i="4"/>
  <c r="D36" i="4" s="1"/>
  <c r="G36" i="4" s="1"/>
  <c r="J36" i="4" s="1"/>
  <c r="M36" i="4" s="1"/>
  <c r="P36" i="4" s="1"/>
  <c r="S36" i="4" s="1"/>
  <c r="V36" i="4" s="1"/>
  <c r="A37" i="4"/>
  <c r="D37" i="4" s="1"/>
  <c r="G37" i="4" s="1"/>
  <c r="J37" i="4" s="1"/>
  <c r="M37" i="4" s="1"/>
  <c r="P37" i="4" s="1"/>
  <c r="S37" i="4" s="1"/>
  <c r="V37" i="4" s="1"/>
  <c r="Y37" i="4" s="1"/>
  <c r="AB37" i="4" s="1"/>
  <c r="AE37" i="4" s="1"/>
  <c r="AH37" i="4" s="1"/>
  <c r="A38" i="4"/>
  <c r="D38" i="4" s="1"/>
  <c r="A39" i="4"/>
  <c r="D39" i="4" s="1"/>
  <c r="G39" i="4" s="1"/>
  <c r="J39" i="4" s="1"/>
  <c r="M39" i="4" s="1"/>
  <c r="P39" i="4" s="1"/>
  <c r="S39" i="4" s="1"/>
  <c r="BM42" i="4"/>
  <c r="BM43" i="4"/>
  <c r="A46" i="4"/>
  <c r="D46" i="4" s="1"/>
  <c r="G46" i="4" s="1"/>
  <c r="J46" i="4" s="1"/>
  <c r="M46" i="4" s="1"/>
  <c r="P46" i="4" s="1"/>
  <c r="S46" i="4" s="1"/>
  <c r="V46" i="4" s="1"/>
  <c r="Y46" i="4" s="1"/>
  <c r="AB46" i="4" s="1"/>
  <c r="AE46" i="4" s="1"/>
  <c r="AH46" i="4" s="1"/>
  <c r="A47" i="4"/>
  <c r="D47" i="4" s="1"/>
  <c r="G47" i="4" s="1"/>
  <c r="J47" i="4" s="1"/>
  <c r="M47" i="4" s="1"/>
  <c r="P47" i="4" s="1"/>
  <c r="S47" i="4" s="1"/>
  <c r="V47" i="4" s="1"/>
  <c r="Y47" i="4" s="1"/>
  <c r="A48" i="4"/>
  <c r="D48" i="4" s="1"/>
  <c r="G48" i="4" s="1"/>
  <c r="J48" i="4" s="1"/>
  <c r="M48" i="4" s="1"/>
  <c r="P48" i="4" s="1"/>
  <c r="S48" i="4" s="1"/>
  <c r="V48" i="4" s="1"/>
  <c r="Y48" i="4" s="1"/>
  <c r="AB48" i="4" s="1"/>
  <c r="AE48" i="4" s="1"/>
  <c r="AH48" i="4" s="1"/>
  <c r="A49" i="4"/>
  <c r="D49" i="4" s="1"/>
  <c r="G49" i="4" s="1"/>
  <c r="J49" i="4" s="1"/>
  <c r="M49" i="4" s="1"/>
  <c r="P49" i="4" s="1"/>
  <c r="S49" i="4" s="1"/>
  <c r="V49" i="4" s="1"/>
  <c r="Y49" i="4" s="1"/>
  <c r="AB49" i="4" s="1"/>
  <c r="AE49" i="4" s="1"/>
  <c r="AH49" i="4" s="1"/>
  <c r="A50" i="4"/>
  <c r="D50" i="4" s="1"/>
  <c r="G50" i="4" s="1"/>
  <c r="J50" i="4" s="1"/>
  <c r="M50" i="4" s="1"/>
  <c r="P50" i="4" s="1"/>
  <c r="S50" i="4" s="1"/>
  <c r="V50" i="4" s="1"/>
  <c r="Y50" i="4" s="1"/>
  <c r="AB50" i="4" s="1"/>
  <c r="AE50" i="4" s="1"/>
  <c r="AH50" i="4" s="1"/>
  <c r="A51" i="4"/>
  <c r="D51" i="4" s="1"/>
  <c r="G51" i="4" s="1"/>
  <c r="J51" i="4" s="1"/>
  <c r="M51" i="4" s="1"/>
  <c r="P51" i="4" s="1"/>
  <c r="S51" i="4" s="1"/>
  <c r="V51" i="4" s="1"/>
  <c r="Y51" i="4" s="1"/>
  <c r="A52" i="4"/>
  <c r="D52" i="4" s="1"/>
  <c r="A53" i="4"/>
  <c r="D53" i="4" s="1"/>
  <c r="B71" i="4"/>
  <c r="C71" i="4"/>
  <c r="E71" i="4"/>
  <c r="F71" i="4"/>
  <c r="H71" i="4"/>
  <c r="I71" i="4"/>
  <c r="K71" i="4"/>
  <c r="L71" i="4"/>
  <c r="N71" i="4"/>
  <c r="O71" i="4"/>
  <c r="Q71" i="4"/>
  <c r="R71" i="4"/>
  <c r="T71" i="4"/>
  <c r="U71" i="4"/>
  <c r="W71" i="4"/>
  <c r="X71" i="4"/>
  <c r="Z71" i="4"/>
  <c r="AA71" i="4"/>
  <c r="AC71" i="4"/>
  <c r="AD71" i="4"/>
  <c r="AF71" i="4"/>
  <c r="AG71" i="4"/>
  <c r="AI71" i="4"/>
  <c r="AJ71" i="4"/>
  <c r="D74" i="4"/>
  <c r="G74" i="4" s="1"/>
  <c r="J74" i="4" s="1"/>
  <c r="M74" i="4" s="1"/>
  <c r="P74" i="4" s="1"/>
  <c r="S74" i="4" s="1"/>
  <c r="V74" i="4" s="1"/>
  <c r="Y74" i="4" s="1"/>
  <c r="AB74" i="4" s="1"/>
  <c r="AE74" i="4" s="1"/>
  <c r="AH74" i="4" s="1"/>
  <c r="AK74" i="4" s="1"/>
  <c r="A75" i="4"/>
  <c r="D75" i="4" s="1"/>
  <c r="G75" i="4" s="1"/>
  <c r="J75" i="4" s="1"/>
  <c r="M75" i="4" s="1"/>
  <c r="P75" i="4" s="1"/>
  <c r="S75" i="4" s="1"/>
  <c r="V75" i="4" s="1"/>
  <c r="Y75" i="4" s="1"/>
  <c r="AB75" i="4" s="1"/>
  <c r="AE75" i="4" s="1"/>
  <c r="AH75" i="4" s="1"/>
  <c r="AK75" i="4" s="1"/>
  <c r="D84" i="4"/>
  <c r="G84" i="4" s="1"/>
  <c r="J84" i="4" s="1"/>
  <c r="M84" i="4" s="1"/>
  <c r="P84" i="4" s="1"/>
  <c r="S84" i="4" s="1"/>
  <c r="V84" i="4" s="1"/>
  <c r="Y84" i="4" s="1"/>
  <c r="AB84" i="4" s="1"/>
  <c r="AE84" i="4" s="1"/>
  <c r="AH84" i="4" s="1"/>
  <c r="AK84" i="4" s="1"/>
  <c r="A85" i="4"/>
  <c r="A86" i="4" s="1"/>
  <c r="D86" i="4" s="1"/>
  <c r="G86" i="4" s="1"/>
  <c r="J86" i="4" s="1"/>
  <c r="M86" i="4" s="1"/>
  <c r="P86" i="4" s="1"/>
  <c r="S86" i="4" s="1"/>
  <c r="V86" i="4" s="1"/>
  <c r="Y86" i="4" s="1"/>
  <c r="AB86" i="4" s="1"/>
  <c r="AE86" i="4" s="1"/>
  <c r="AH86" i="4" s="1"/>
  <c r="AK86" i="4" s="1"/>
  <c r="B94" i="4"/>
  <c r="E94" i="4"/>
  <c r="H94" i="4"/>
  <c r="K94" i="4"/>
  <c r="N94" i="4"/>
  <c r="Q94" i="4"/>
  <c r="T94" i="4"/>
  <c r="W94" i="4"/>
  <c r="Z94" i="4"/>
  <c r="AC94" i="4"/>
  <c r="AF94" i="4"/>
  <c r="AI94" i="4"/>
  <c r="BA101" i="4"/>
  <c r="S5" i="30"/>
  <c r="S6" i="30"/>
  <c r="S7" i="30"/>
  <c r="S8" i="30"/>
  <c r="S9" i="30"/>
  <c r="S10" i="30"/>
  <c r="S11" i="30"/>
  <c r="S12" i="30"/>
  <c r="S13" i="30"/>
  <c r="S15" i="30"/>
  <c r="S16" i="30"/>
  <c r="AM19" i="30"/>
  <c r="AN19" i="30"/>
  <c r="AO19" i="30"/>
  <c r="AP19" i="30"/>
  <c r="AQ19" i="30"/>
  <c r="AR19" i="30"/>
  <c r="AS19" i="30"/>
  <c r="AT19" i="30"/>
  <c r="AU19" i="30"/>
  <c r="AV19" i="30"/>
  <c r="AW19" i="30"/>
  <c r="AX19" i="30"/>
  <c r="F20" i="30"/>
  <c r="G20" i="30" s="1"/>
  <c r="L20" i="30"/>
  <c r="M20" i="30"/>
  <c r="N20" i="30"/>
  <c r="AG20" i="30"/>
  <c r="AH20" i="30" s="1"/>
  <c r="F21" i="30"/>
  <c r="G21" i="30" s="1"/>
  <c r="L21" i="30"/>
  <c r="M21" i="30"/>
  <c r="N21" i="30"/>
  <c r="AF21" i="30"/>
  <c r="AG21" i="30"/>
  <c r="AH21" i="30" s="1"/>
  <c r="F22" i="30"/>
  <c r="G22" i="30" s="1"/>
  <c r="L22" i="30"/>
  <c r="M22" i="30"/>
  <c r="N22" i="30"/>
  <c r="AF22" i="30"/>
  <c r="AG22" i="30"/>
  <c r="AH22" i="30" s="1"/>
  <c r="F23" i="30"/>
  <c r="G23" i="30" s="1"/>
  <c r="L23" i="30"/>
  <c r="M23" i="30"/>
  <c r="N23" i="30"/>
  <c r="AF23" i="30"/>
  <c r="AG23" i="30"/>
  <c r="AH23" i="30" s="1"/>
  <c r="F24" i="30"/>
  <c r="G24" i="30" s="1"/>
  <c r="L24" i="30"/>
  <c r="M24" i="30"/>
  <c r="N24" i="30"/>
  <c r="AF24" i="30"/>
  <c r="AG24" i="30"/>
  <c r="AH24" i="30" s="1"/>
  <c r="F25" i="30"/>
  <c r="G25" i="30" s="1"/>
  <c r="L25" i="30"/>
  <c r="M25" i="30"/>
  <c r="N25" i="30"/>
  <c r="AB25" i="30"/>
  <c r="AC25" i="30"/>
  <c r="AF25" i="30"/>
  <c r="AG25" i="30"/>
  <c r="AH25" i="30" s="1"/>
  <c r="F26" i="30"/>
  <c r="G26" i="30" s="1"/>
  <c r="L26" i="30"/>
  <c r="M26" i="30"/>
  <c r="N26" i="30"/>
  <c r="AB26" i="30"/>
  <c r="AC26" i="30"/>
  <c r="AF26" i="30"/>
  <c r="AG26" i="30"/>
  <c r="AH26" i="30" s="1"/>
  <c r="F27" i="30"/>
  <c r="G27" i="30" s="1"/>
  <c r="L27" i="30"/>
  <c r="M27" i="30"/>
  <c r="N27" i="30"/>
  <c r="AB27" i="30"/>
  <c r="AC27" i="30"/>
  <c r="AF27" i="30"/>
  <c r="AG27" i="30"/>
  <c r="AH27" i="30" s="1"/>
  <c r="F28" i="30"/>
  <c r="G28" i="30" s="1"/>
  <c r="L28" i="30"/>
  <c r="M28" i="30"/>
  <c r="N28" i="30"/>
  <c r="AB28" i="30"/>
  <c r="AC28" i="30"/>
  <c r="AF28" i="30"/>
  <c r="AG28" i="30"/>
  <c r="AH28" i="30" s="1"/>
  <c r="F29" i="30"/>
  <c r="G29" i="30" s="1"/>
  <c r="L29" i="30"/>
  <c r="M29" i="30"/>
  <c r="N29" i="30"/>
  <c r="AB29" i="30"/>
  <c r="AC29" i="30"/>
  <c r="AF29" i="30"/>
  <c r="AG29" i="30"/>
  <c r="AH29" i="30" s="1"/>
  <c r="F30" i="30"/>
  <c r="G30" i="30" s="1"/>
  <c r="L30" i="30"/>
  <c r="M30" i="30"/>
  <c r="N30" i="30"/>
  <c r="AB30" i="30"/>
  <c r="AC30" i="30"/>
  <c r="AF30" i="30"/>
  <c r="AG30" i="30"/>
  <c r="AH30" i="30" s="1"/>
  <c r="F31" i="30"/>
  <c r="G31" i="30" s="1"/>
  <c r="L31" i="30"/>
  <c r="M31" i="30"/>
  <c r="N31" i="30"/>
  <c r="AB31" i="30"/>
  <c r="AC31" i="30"/>
  <c r="AF31" i="30"/>
  <c r="AG31" i="30"/>
  <c r="AH31" i="30" s="1"/>
  <c r="F32" i="30"/>
  <c r="G32" i="30" s="1"/>
  <c r="L32" i="30"/>
  <c r="M32" i="30"/>
  <c r="N32" i="30"/>
  <c r="AB32" i="30"/>
  <c r="AC32" i="30"/>
  <c r="AF32" i="30"/>
  <c r="AG32" i="30"/>
  <c r="AH32" i="30" s="1"/>
  <c r="F33" i="30"/>
  <c r="G33" i="30" s="1"/>
  <c r="L33" i="30"/>
  <c r="M33" i="30"/>
  <c r="N33" i="30"/>
  <c r="AB33" i="30"/>
  <c r="AC33" i="30"/>
  <c r="AF33" i="30"/>
  <c r="AG33" i="30"/>
  <c r="AH33" i="30" s="1"/>
  <c r="F34" i="30"/>
  <c r="G34" i="30" s="1"/>
  <c r="L34" i="30"/>
  <c r="M34" i="30"/>
  <c r="N34" i="30"/>
  <c r="AB34" i="30"/>
  <c r="AC34" i="30"/>
  <c r="AF34" i="30"/>
  <c r="AG34" i="30"/>
  <c r="AH34" i="30" s="1"/>
  <c r="F35" i="30"/>
  <c r="G35" i="30" s="1"/>
  <c r="L35" i="30"/>
  <c r="M35" i="30"/>
  <c r="N35" i="30"/>
  <c r="AB35" i="30"/>
  <c r="AC35" i="30"/>
  <c r="AF35" i="30"/>
  <c r="AG35" i="30"/>
  <c r="AH35" i="30" s="1"/>
  <c r="F36" i="30"/>
  <c r="G36" i="30" s="1"/>
  <c r="L36" i="30"/>
  <c r="M36" i="30"/>
  <c r="N36" i="30"/>
  <c r="AB36" i="30"/>
  <c r="AC36" i="30"/>
  <c r="AF36" i="30"/>
  <c r="AG36" i="30"/>
  <c r="AH36" i="30" s="1"/>
  <c r="F37" i="30"/>
  <c r="G37" i="30" s="1"/>
  <c r="L37" i="30"/>
  <c r="M37" i="30"/>
  <c r="N37" i="30"/>
  <c r="AB37" i="30"/>
  <c r="AC37" i="30"/>
  <c r="AF37" i="30"/>
  <c r="AG37" i="30"/>
  <c r="AH37" i="30" s="1"/>
  <c r="F38" i="30"/>
  <c r="G38" i="30" s="1"/>
  <c r="L38" i="30"/>
  <c r="M38" i="30"/>
  <c r="N38" i="30"/>
  <c r="AB38" i="30"/>
  <c r="AC38" i="30"/>
  <c r="AF38" i="30"/>
  <c r="AG38" i="30"/>
  <c r="AH38" i="30" s="1"/>
  <c r="F39" i="30"/>
  <c r="G39" i="30" s="1"/>
  <c r="L39" i="30"/>
  <c r="M39" i="30"/>
  <c r="N39" i="30"/>
  <c r="AB39" i="30"/>
  <c r="AC39" i="30"/>
  <c r="AF39" i="30"/>
  <c r="AG39" i="30"/>
  <c r="AH39" i="30" s="1"/>
  <c r="F40" i="30"/>
  <c r="G40" i="30" s="1"/>
  <c r="L40" i="30"/>
  <c r="M40" i="30"/>
  <c r="N40" i="30"/>
  <c r="AB40" i="30"/>
  <c r="AC40" i="30"/>
  <c r="AF40" i="30"/>
  <c r="AG40" i="30"/>
  <c r="AH40" i="30" s="1"/>
  <c r="F41" i="30"/>
  <c r="G41" i="30" s="1"/>
  <c r="L41" i="30"/>
  <c r="M41" i="30"/>
  <c r="N41" i="30"/>
  <c r="AB41" i="30"/>
  <c r="AC41" i="30"/>
  <c r="AF41" i="30"/>
  <c r="AG41" i="30"/>
  <c r="AH41" i="30" s="1"/>
  <c r="F42" i="30"/>
  <c r="G42" i="30" s="1"/>
  <c r="L42" i="30"/>
  <c r="M42" i="30"/>
  <c r="N42" i="30"/>
  <c r="AB42" i="30"/>
  <c r="AC42" i="30"/>
  <c r="AF42" i="30"/>
  <c r="AG42" i="30"/>
  <c r="AH42" i="30" s="1"/>
  <c r="F43" i="30"/>
  <c r="G43" i="30" s="1"/>
  <c r="L43" i="30"/>
  <c r="M43" i="30"/>
  <c r="N43" i="30"/>
  <c r="AB43" i="30"/>
  <c r="AC43" i="30"/>
  <c r="AF43" i="30"/>
  <c r="AG43" i="30"/>
  <c r="AH43" i="30" s="1"/>
  <c r="F44" i="30"/>
  <c r="G44" i="30" s="1"/>
  <c r="L44" i="30"/>
  <c r="M44" i="30"/>
  <c r="N44" i="30"/>
  <c r="AB44" i="30"/>
  <c r="AC44" i="30"/>
  <c r="AF44" i="30"/>
  <c r="AG44" i="30"/>
  <c r="AH44" i="30" s="1"/>
  <c r="F45" i="30"/>
  <c r="G45" i="30" s="1"/>
  <c r="L45" i="30"/>
  <c r="M45" i="30"/>
  <c r="N45" i="30"/>
  <c r="AB45" i="30"/>
  <c r="AC45" i="30"/>
  <c r="AF45" i="30"/>
  <c r="AG45" i="30"/>
  <c r="AH45" i="30" s="1"/>
  <c r="F46" i="30"/>
  <c r="G46" i="30" s="1"/>
  <c r="L46" i="30"/>
  <c r="M46" i="30"/>
  <c r="N46" i="30"/>
  <c r="AB46" i="30"/>
  <c r="AC46" i="30"/>
  <c r="AF46" i="30"/>
  <c r="AG46" i="30"/>
  <c r="AH46" i="30" s="1"/>
  <c r="F47" i="30"/>
  <c r="G47" i="30" s="1"/>
  <c r="L47" i="30"/>
  <c r="M47" i="30"/>
  <c r="N47" i="30"/>
  <c r="AB47" i="30"/>
  <c r="AC47" i="30"/>
  <c r="AF47" i="30"/>
  <c r="AG47" i="30"/>
  <c r="AH47" i="30" s="1"/>
  <c r="F48" i="30"/>
  <c r="G48" i="30" s="1"/>
  <c r="L48" i="30"/>
  <c r="M48" i="30"/>
  <c r="N48" i="30"/>
  <c r="AB48" i="30"/>
  <c r="AC48" i="30"/>
  <c r="AF48" i="30"/>
  <c r="AG48" i="30"/>
  <c r="AH48" i="30" s="1"/>
  <c r="F49" i="30"/>
  <c r="G49" i="30" s="1"/>
  <c r="L49" i="30"/>
  <c r="M49" i="30"/>
  <c r="N49" i="30"/>
  <c r="AB49" i="30"/>
  <c r="AC49" i="30"/>
  <c r="AF49" i="30"/>
  <c r="AG49" i="30"/>
  <c r="AH49" i="30" s="1"/>
  <c r="F50" i="30"/>
  <c r="G50" i="30" s="1"/>
  <c r="L50" i="30"/>
  <c r="M50" i="30"/>
  <c r="N50" i="30"/>
  <c r="AB50" i="30"/>
  <c r="AC50" i="30"/>
  <c r="AF50" i="30"/>
  <c r="AG50" i="30"/>
  <c r="AH50" i="30" s="1"/>
  <c r="F51" i="30"/>
  <c r="G51" i="30" s="1"/>
  <c r="L51" i="30"/>
  <c r="M51" i="30"/>
  <c r="N51" i="30"/>
  <c r="AB51" i="30"/>
  <c r="AC51" i="30"/>
  <c r="AF51" i="30"/>
  <c r="AG51" i="30"/>
  <c r="AH51" i="30" s="1"/>
  <c r="F52" i="30"/>
  <c r="G52" i="30" s="1"/>
  <c r="L52" i="30"/>
  <c r="M52" i="30"/>
  <c r="N52" i="30"/>
  <c r="AB52" i="30"/>
  <c r="AC52" i="30"/>
  <c r="AF52" i="30"/>
  <c r="AG52" i="30"/>
  <c r="AH52" i="30" s="1"/>
  <c r="F53" i="30"/>
  <c r="G53" i="30" s="1"/>
  <c r="L53" i="30"/>
  <c r="M53" i="30"/>
  <c r="N53" i="30"/>
  <c r="AB53" i="30"/>
  <c r="AC53" i="30"/>
  <c r="AF53" i="30"/>
  <c r="AG53" i="30"/>
  <c r="AH53" i="30" s="1"/>
  <c r="F54" i="30"/>
  <c r="G54" i="30" s="1"/>
  <c r="L54" i="30"/>
  <c r="M54" i="30"/>
  <c r="N54" i="30"/>
  <c r="AB54" i="30"/>
  <c r="AC54" i="30"/>
  <c r="AF54" i="30"/>
  <c r="AG54" i="30"/>
  <c r="AH54" i="30" s="1"/>
  <c r="F55" i="30"/>
  <c r="G55" i="30" s="1"/>
  <c r="L55" i="30"/>
  <c r="M55" i="30"/>
  <c r="N55" i="30"/>
  <c r="AB55" i="30"/>
  <c r="AC55" i="30"/>
  <c r="AF55" i="30"/>
  <c r="AG55" i="30"/>
  <c r="AH55" i="30" s="1"/>
  <c r="F56" i="30"/>
  <c r="G56" i="30" s="1"/>
  <c r="L56" i="30"/>
  <c r="M56" i="30"/>
  <c r="N56" i="30"/>
  <c r="AB56" i="30"/>
  <c r="AC56" i="30"/>
  <c r="AF56" i="30"/>
  <c r="AG56" i="30"/>
  <c r="AH56" i="30" s="1"/>
  <c r="F57" i="30"/>
  <c r="G57" i="30" s="1"/>
  <c r="L57" i="30"/>
  <c r="M57" i="30"/>
  <c r="N57" i="30"/>
  <c r="AB57" i="30"/>
  <c r="AC57" i="30"/>
  <c r="AF57" i="30"/>
  <c r="AG57" i="30"/>
  <c r="AH57" i="30" s="1"/>
  <c r="F58" i="30"/>
  <c r="G58" i="30" s="1"/>
  <c r="L58" i="30"/>
  <c r="M58" i="30"/>
  <c r="N58" i="30"/>
  <c r="AB58" i="30"/>
  <c r="AC58" i="30"/>
  <c r="AF58" i="30"/>
  <c r="AG58" i="30"/>
  <c r="AH58" i="30" s="1"/>
  <c r="F59" i="30"/>
  <c r="G59" i="30" s="1"/>
  <c r="L59" i="30"/>
  <c r="M59" i="30"/>
  <c r="N59" i="30"/>
  <c r="AB59" i="30"/>
  <c r="AC59" i="30"/>
  <c r="AF59" i="30"/>
  <c r="AG59" i="30"/>
  <c r="AH59" i="30" s="1"/>
  <c r="F60" i="30"/>
  <c r="G60" i="30" s="1"/>
  <c r="L60" i="30"/>
  <c r="M60" i="30"/>
  <c r="N60" i="30"/>
  <c r="AB60" i="30"/>
  <c r="AC60" i="30"/>
  <c r="AF60" i="30"/>
  <c r="AG60" i="30"/>
  <c r="AH60" i="30" s="1"/>
  <c r="F61" i="30"/>
  <c r="G61" i="30" s="1"/>
  <c r="L61" i="30"/>
  <c r="M61" i="30"/>
  <c r="N61" i="30"/>
  <c r="AB61" i="30"/>
  <c r="AC61" i="30"/>
  <c r="AF61" i="30"/>
  <c r="AG61" i="30"/>
  <c r="AH61" i="30" s="1"/>
  <c r="F62" i="30"/>
  <c r="G62" i="30" s="1"/>
  <c r="L62" i="30"/>
  <c r="M62" i="30"/>
  <c r="N62" i="30"/>
  <c r="AB62" i="30"/>
  <c r="AC62" i="30"/>
  <c r="AF62" i="30"/>
  <c r="AG62" i="30"/>
  <c r="AH62" i="30" s="1"/>
  <c r="F63" i="30"/>
  <c r="G63" i="30" s="1"/>
  <c r="L63" i="30"/>
  <c r="M63" i="30"/>
  <c r="N63" i="30"/>
  <c r="AB63" i="30"/>
  <c r="AC63" i="30"/>
  <c r="AF63" i="30"/>
  <c r="AG63" i="30"/>
  <c r="AH63" i="30" s="1"/>
  <c r="F64" i="30"/>
  <c r="G64" i="30" s="1"/>
  <c r="L64" i="30"/>
  <c r="M64" i="30"/>
  <c r="N64" i="30"/>
  <c r="AB64" i="30"/>
  <c r="AC64" i="30"/>
  <c r="AF64" i="30"/>
  <c r="AG64" i="30"/>
  <c r="AH64" i="30" s="1"/>
  <c r="F65" i="30"/>
  <c r="G65" i="30" s="1"/>
  <c r="L65" i="30"/>
  <c r="M65" i="30"/>
  <c r="N65" i="30"/>
  <c r="AB65" i="30"/>
  <c r="AC65" i="30"/>
  <c r="AF65" i="30"/>
  <c r="AG65" i="30"/>
  <c r="AH65" i="30" s="1"/>
  <c r="F66" i="30"/>
  <c r="G66" i="30" s="1"/>
  <c r="L66" i="30"/>
  <c r="M66" i="30"/>
  <c r="N66" i="30"/>
  <c r="AB66" i="30"/>
  <c r="AC66" i="30"/>
  <c r="AF66" i="30"/>
  <c r="AG66" i="30"/>
  <c r="AH66" i="30" s="1"/>
  <c r="F67" i="30"/>
  <c r="G67" i="30" s="1"/>
  <c r="L67" i="30"/>
  <c r="M67" i="30"/>
  <c r="N67" i="30"/>
  <c r="AB67" i="30"/>
  <c r="AC67" i="30"/>
  <c r="AF67" i="30"/>
  <c r="AG67" i="30"/>
  <c r="AH67" i="30" s="1"/>
  <c r="F68" i="30"/>
  <c r="G68" i="30" s="1"/>
  <c r="L68" i="30"/>
  <c r="M68" i="30"/>
  <c r="N68" i="30"/>
  <c r="AB68" i="30"/>
  <c r="AC68" i="30"/>
  <c r="AF68" i="30"/>
  <c r="AG68" i="30"/>
  <c r="AH68" i="30" s="1"/>
  <c r="F69" i="30"/>
  <c r="G69" i="30" s="1"/>
  <c r="L69" i="30"/>
  <c r="M69" i="30"/>
  <c r="N69" i="30"/>
  <c r="AB69" i="30"/>
  <c r="AC69" i="30"/>
  <c r="AF69" i="30"/>
  <c r="AG69" i="30"/>
  <c r="AH69" i="30" s="1"/>
  <c r="F70" i="30"/>
  <c r="G70" i="30" s="1"/>
  <c r="L70" i="30"/>
  <c r="M70" i="30"/>
  <c r="N70" i="30"/>
  <c r="AB70" i="30"/>
  <c r="AC70" i="30"/>
  <c r="AF70" i="30"/>
  <c r="AG70" i="30"/>
  <c r="AH70" i="30" s="1"/>
  <c r="F71" i="30"/>
  <c r="G71" i="30" s="1"/>
  <c r="L71" i="30"/>
  <c r="M71" i="30"/>
  <c r="N71" i="30"/>
  <c r="AB71" i="30"/>
  <c r="AC71" i="30"/>
  <c r="AF71" i="30"/>
  <c r="AG71" i="30"/>
  <c r="AH71" i="30" s="1"/>
  <c r="F72" i="30"/>
  <c r="G72" i="30" s="1"/>
  <c r="L72" i="30"/>
  <c r="M72" i="30"/>
  <c r="N72" i="30"/>
  <c r="AB72" i="30"/>
  <c r="AC72" i="30"/>
  <c r="AF72" i="30"/>
  <c r="AG72" i="30"/>
  <c r="AH72" i="30" s="1"/>
  <c r="F73" i="30"/>
  <c r="G73" i="30" s="1"/>
  <c r="L73" i="30"/>
  <c r="M73" i="30"/>
  <c r="N73" i="30"/>
  <c r="AB73" i="30"/>
  <c r="AC73" i="30"/>
  <c r="AF73" i="30"/>
  <c r="AG73" i="30"/>
  <c r="AH73" i="30" s="1"/>
  <c r="F74" i="30"/>
  <c r="G74" i="30" s="1"/>
  <c r="L74" i="30"/>
  <c r="M74" i="30"/>
  <c r="N74" i="30"/>
  <c r="AB74" i="30"/>
  <c r="AC74" i="30"/>
  <c r="AF74" i="30"/>
  <c r="AG74" i="30"/>
  <c r="AH74" i="30" s="1"/>
  <c r="F75" i="30"/>
  <c r="G75" i="30" s="1"/>
  <c r="L75" i="30"/>
  <c r="M75" i="30"/>
  <c r="N75" i="30"/>
  <c r="AB75" i="30"/>
  <c r="AC75" i="30"/>
  <c r="AF75" i="30"/>
  <c r="AG75" i="30"/>
  <c r="AH75" i="30" s="1"/>
  <c r="F76" i="30"/>
  <c r="G76" i="30" s="1"/>
  <c r="L76" i="30"/>
  <c r="M76" i="30"/>
  <c r="N76" i="30"/>
  <c r="AB76" i="30"/>
  <c r="AC76" i="30"/>
  <c r="AF76" i="30"/>
  <c r="AG76" i="30"/>
  <c r="AH76" i="30" s="1"/>
  <c r="F77" i="30"/>
  <c r="G77" i="30" s="1"/>
  <c r="L77" i="30"/>
  <c r="M77" i="30"/>
  <c r="N77" i="30"/>
  <c r="AB77" i="30"/>
  <c r="AC77" i="30"/>
  <c r="AF77" i="30"/>
  <c r="AG77" i="30"/>
  <c r="AH77" i="30" s="1"/>
  <c r="F78" i="30"/>
  <c r="G78" i="30" s="1"/>
  <c r="L78" i="30"/>
  <c r="M78" i="30"/>
  <c r="N78" i="30"/>
  <c r="AB78" i="30"/>
  <c r="AC78" i="30"/>
  <c r="AF78" i="30"/>
  <c r="AG78" i="30"/>
  <c r="AH78" i="30" s="1"/>
  <c r="F79" i="30"/>
  <c r="G79" i="30" s="1"/>
  <c r="L79" i="30"/>
  <c r="M79" i="30"/>
  <c r="N79" i="30"/>
  <c r="AB79" i="30"/>
  <c r="AC79" i="30"/>
  <c r="AF79" i="30"/>
  <c r="AG79" i="30"/>
  <c r="AH79" i="30" s="1"/>
  <c r="F80" i="30"/>
  <c r="G80" i="30" s="1"/>
  <c r="L80" i="30"/>
  <c r="M80" i="30"/>
  <c r="N80" i="30"/>
  <c r="AB80" i="30"/>
  <c r="AC80" i="30"/>
  <c r="AF80" i="30"/>
  <c r="AG80" i="30"/>
  <c r="AH80" i="30" s="1"/>
  <c r="F81" i="30"/>
  <c r="G81" i="30" s="1"/>
  <c r="L81" i="30"/>
  <c r="M81" i="30"/>
  <c r="N81" i="30"/>
  <c r="AB81" i="30"/>
  <c r="AC81" i="30"/>
  <c r="AF81" i="30"/>
  <c r="AG81" i="30"/>
  <c r="AH81" i="30" s="1"/>
  <c r="F82" i="30"/>
  <c r="G82" i="30" s="1"/>
  <c r="L82" i="30"/>
  <c r="M82" i="30"/>
  <c r="N82" i="30"/>
  <c r="AB82" i="30"/>
  <c r="AC82" i="30"/>
  <c r="AF82" i="30"/>
  <c r="AG82" i="30"/>
  <c r="AH82" i="30" s="1"/>
  <c r="F83" i="30"/>
  <c r="G83" i="30" s="1"/>
  <c r="L83" i="30"/>
  <c r="M83" i="30"/>
  <c r="N83" i="30"/>
  <c r="AB83" i="30"/>
  <c r="AC83" i="30"/>
  <c r="AF83" i="30"/>
  <c r="AG83" i="30"/>
  <c r="AH83" i="30" s="1"/>
  <c r="F84" i="30"/>
  <c r="G84" i="30" s="1"/>
  <c r="L84" i="30"/>
  <c r="M84" i="30"/>
  <c r="N84" i="30"/>
  <c r="AB84" i="30"/>
  <c r="AC84" i="30"/>
  <c r="AF84" i="30"/>
  <c r="AG84" i="30"/>
  <c r="AH84" i="30" s="1"/>
  <c r="F85" i="30"/>
  <c r="G85" i="30" s="1"/>
  <c r="L85" i="30"/>
  <c r="M85" i="30"/>
  <c r="N85" i="30"/>
  <c r="AB85" i="30"/>
  <c r="AC85" i="30"/>
  <c r="AF85" i="30"/>
  <c r="AG85" i="30"/>
  <c r="AH85" i="30" s="1"/>
  <c r="F86" i="30"/>
  <c r="G86" i="30" s="1"/>
  <c r="L86" i="30"/>
  <c r="M86" i="30"/>
  <c r="N86" i="30"/>
  <c r="AB86" i="30"/>
  <c r="AC86" i="30"/>
  <c r="AF86" i="30"/>
  <c r="AG86" i="30"/>
  <c r="AH86" i="30" s="1"/>
  <c r="F87" i="30"/>
  <c r="G87" i="30" s="1"/>
  <c r="L87" i="30"/>
  <c r="M87" i="30"/>
  <c r="N87" i="30"/>
  <c r="AB87" i="30"/>
  <c r="AC87" i="30"/>
  <c r="AF87" i="30"/>
  <c r="AG87" i="30"/>
  <c r="AH87" i="30" s="1"/>
  <c r="F88" i="30"/>
  <c r="G88" i="30" s="1"/>
  <c r="L88" i="30"/>
  <c r="M88" i="30"/>
  <c r="N88" i="30"/>
  <c r="AB88" i="30"/>
  <c r="AC88" i="30"/>
  <c r="AF88" i="30"/>
  <c r="AG88" i="30"/>
  <c r="AH88" i="30" s="1"/>
  <c r="F89" i="30"/>
  <c r="G89" i="30" s="1"/>
  <c r="L89" i="30"/>
  <c r="M89" i="30"/>
  <c r="N89" i="30"/>
  <c r="AB89" i="30"/>
  <c r="AC89" i="30"/>
  <c r="AF89" i="30"/>
  <c r="AG89" i="30"/>
  <c r="AH89" i="30" s="1"/>
  <c r="F90" i="30"/>
  <c r="G90" i="30" s="1"/>
  <c r="L90" i="30"/>
  <c r="M90" i="30"/>
  <c r="N90" i="30"/>
  <c r="AB90" i="30"/>
  <c r="AC90" i="30"/>
  <c r="AF90" i="30"/>
  <c r="AG90" i="30"/>
  <c r="AH90" i="30" s="1"/>
  <c r="F91" i="30"/>
  <c r="G91" i="30" s="1"/>
  <c r="L91" i="30"/>
  <c r="M91" i="30"/>
  <c r="N91" i="30"/>
  <c r="AB91" i="30"/>
  <c r="AC91" i="30"/>
  <c r="AF91" i="30"/>
  <c r="AG91" i="30"/>
  <c r="AH91" i="30" s="1"/>
  <c r="F92" i="30"/>
  <c r="G92" i="30" s="1"/>
  <c r="L92" i="30"/>
  <c r="M92" i="30"/>
  <c r="N92" i="30"/>
  <c r="AB92" i="30"/>
  <c r="AC92" i="30"/>
  <c r="AF92" i="30"/>
  <c r="AG92" i="30"/>
  <c r="AH92" i="30" s="1"/>
  <c r="F93" i="30"/>
  <c r="G93" i="30" s="1"/>
  <c r="L93" i="30"/>
  <c r="M93" i="30"/>
  <c r="N93" i="30"/>
  <c r="AB93" i="30"/>
  <c r="AC93" i="30"/>
  <c r="AF93" i="30"/>
  <c r="AG93" i="30"/>
  <c r="AH93" i="30" s="1"/>
  <c r="F94" i="30"/>
  <c r="G94" i="30" s="1"/>
  <c r="L94" i="30"/>
  <c r="M94" i="30"/>
  <c r="N94" i="30"/>
  <c r="AB94" i="30"/>
  <c r="AC94" i="30"/>
  <c r="AF94" i="30"/>
  <c r="AG94" i="30"/>
  <c r="AH94" i="30" s="1"/>
  <c r="F95" i="30"/>
  <c r="G95" i="30" s="1"/>
  <c r="L95" i="30"/>
  <c r="M95" i="30"/>
  <c r="N95" i="30"/>
  <c r="AB95" i="30"/>
  <c r="AC95" i="30"/>
  <c r="AF95" i="30"/>
  <c r="AG95" i="30"/>
  <c r="AH95" i="30" s="1"/>
  <c r="F96" i="30"/>
  <c r="G96" i="30" s="1"/>
  <c r="L96" i="30"/>
  <c r="M96" i="30"/>
  <c r="N96" i="30"/>
  <c r="AB96" i="30"/>
  <c r="AC96" i="30"/>
  <c r="AF96" i="30"/>
  <c r="AG96" i="30"/>
  <c r="AH96" i="30" s="1"/>
  <c r="F97" i="30"/>
  <c r="G97" i="30" s="1"/>
  <c r="L97" i="30"/>
  <c r="M97" i="30"/>
  <c r="N97" i="30"/>
  <c r="AB97" i="30"/>
  <c r="AC97" i="30"/>
  <c r="AF97" i="30"/>
  <c r="AG97" i="30"/>
  <c r="AH97" i="30" s="1"/>
  <c r="F98" i="30"/>
  <c r="G98" i="30" s="1"/>
  <c r="L98" i="30"/>
  <c r="M98" i="30"/>
  <c r="N98" i="30"/>
  <c r="AB98" i="30"/>
  <c r="AC98" i="30"/>
  <c r="AF98" i="30"/>
  <c r="AG98" i="30"/>
  <c r="AH98" i="30" s="1"/>
  <c r="F99" i="30"/>
  <c r="G99" i="30" s="1"/>
  <c r="L99" i="30"/>
  <c r="M99" i="30"/>
  <c r="N99" i="30"/>
  <c r="AB99" i="30"/>
  <c r="AC99" i="30"/>
  <c r="AF99" i="30"/>
  <c r="AG99" i="30"/>
  <c r="AH99" i="30" s="1"/>
  <c r="F100" i="30"/>
  <c r="G100" i="30" s="1"/>
  <c r="L100" i="30"/>
  <c r="M100" i="30"/>
  <c r="N100" i="30"/>
  <c r="AB100" i="30"/>
  <c r="AC100" i="30"/>
  <c r="AF100" i="30"/>
  <c r="AG100" i="30"/>
  <c r="AH100" i="30" s="1"/>
  <c r="F101" i="30"/>
  <c r="G101" i="30" s="1"/>
  <c r="L101" i="30"/>
  <c r="M101" i="30"/>
  <c r="N101" i="30"/>
  <c r="AB101" i="30"/>
  <c r="AC101" i="30"/>
  <c r="AF101" i="30"/>
  <c r="AG101" i="30"/>
  <c r="AH101" i="30" s="1"/>
  <c r="F102" i="30"/>
  <c r="G102" i="30" s="1"/>
  <c r="L102" i="30"/>
  <c r="M102" i="30"/>
  <c r="N102" i="30"/>
  <c r="AB102" i="30"/>
  <c r="AC102" i="30"/>
  <c r="AF102" i="30"/>
  <c r="AG102" i="30"/>
  <c r="AH102" i="30" s="1"/>
  <c r="F103" i="30"/>
  <c r="G103" i="30" s="1"/>
  <c r="L103" i="30"/>
  <c r="M103" i="30"/>
  <c r="N103" i="30"/>
  <c r="AB103" i="30"/>
  <c r="AC103" i="30"/>
  <c r="AF103" i="30"/>
  <c r="AG103" i="30"/>
  <c r="AH103" i="30" s="1"/>
  <c r="F104" i="30"/>
  <c r="G104" i="30" s="1"/>
  <c r="L104" i="30"/>
  <c r="M104" i="30"/>
  <c r="N104" i="30"/>
  <c r="AB104" i="30"/>
  <c r="AC104" i="30"/>
  <c r="AF104" i="30"/>
  <c r="AG104" i="30"/>
  <c r="AH104" i="30" s="1"/>
  <c r="F105" i="30"/>
  <c r="G105" i="30" s="1"/>
  <c r="L105" i="30"/>
  <c r="M105" i="30"/>
  <c r="N105" i="30"/>
  <c r="AB105" i="30"/>
  <c r="AC105" i="30"/>
  <c r="AF105" i="30"/>
  <c r="AG105" i="30"/>
  <c r="AH105" i="30" s="1"/>
  <c r="F106" i="30"/>
  <c r="G106" i="30" s="1"/>
  <c r="L106" i="30"/>
  <c r="M106" i="30"/>
  <c r="N106" i="30"/>
  <c r="AB106" i="30"/>
  <c r="AC106" i="30"/>
  <c r="AF106" i="30"/>
  <c r="AG106" i="30"/>
  <c r="AH106" i="30" s="1"/>
  <c r="F107" i="30"/>
  <c r="G107" i="30" s="1"/>
  <c r="L107" i="30"/>
  <c r="M107" i="30"/>
  <c r="N107" i="30"/>
  <c r="AB107" i="30"/>
  <c r="AC107" i="30"/>
  <c r="AF107" i="30"/>
  <c r="AG107" i="30"/>
  <c r="AH107" i="30" s="1"/>
  <c r="F108" i="30"/>
  <c r="G108" i="30" s="1"/>
  <c r="L108" i="30"/>
  <c r="M108" i="30"/>
  <c r="N108" i="30"/>
  <c r="AB108" i="30"/>
  <c r="AC108" i="30"/>
  <c r="AF108" i="30"/>
  <c r="AG108" i="30"/>
  <c r="AH108" i="30" s="1"/>
  <c r="F109" i="30"/>
  <c r="G109" i="30" s="1"/>
  <c r="L109" i="30"/>
  <c r="M109" i="30"/>
  <c r="N109" i="30"/>
  <c r="AB109" i="30"/>
  <c r="AC109" i="30"/>
  <c r="AF109" i="30"/>
  <c r="AG109" i="30"/>
  <c r="AH109" i="30" s="1"/>
  <c r="F110" i="30"/>
  <c r="G110" i="30" s="1"/>
  <c r="L110" i="30"/>
  <c r="M110" i="30"/>
  <c r="N110" i="30"/>
  <c r="AB110" i="30"/>
  <c r="AC110" i="30"/>
  <c r="AF110" i="30"/>
  <c r="AG110" i="30"/>
  <c r="AH110" i="30" s="1"/>
  <c r="F111" i="30"/>
  <c r="G111" i="30" s="1"/>
  <c r="L111" i="30"/>
  <c r="M111" i="30"/>
  <c r="N111" i="30"/>
  <c r="AB111" i="30"/>
  <c r="AC111" i="30"/>
  <c r="AF111" i="30"/>
  <c r="AG111" i="30"/>
  <c r="AH111" i="30" s="1"/>
  <c r="F112" i="30"/>
  <c r="G112" i="30" s="1"/>
  <c r="L112" i="30"/>
  <c r="M112" i="30"/>
  <c r="N112" i="30"/>
  <c r="AB112" i="30"/>
  <c r="AC112" i="30"/>
  <c r="AF112" i="30"/>
  <c r="AG112" i="30"/>
  <c r="AH112" i="30" s="1"/>
  <c r="F113" i="30"/>
  <c r="G113" i="30" s="1"/>
  <c r="L113" i="30"/>
  <c r="M113" i="30"/>
  <c r="N113" i="30"/>
  <c r="AB113" i="30"/>
  <c r="AC113" i="30"/>
  <c r="AF113" i="30"/>
  <c r="AG113" i="30"/>
  <c r="AH113" i="30" s="1"/>
  <c r="F114" i="30"/>
  <c r="G114" i="30" s="1"/>
  <c r="L114" i="30"/>
  <c r="M114" i="30"/>
  <c r="N114" i="30"/>
  <c r="AB114" i="30"/>
  <c r="AC114" i="30"/>
  <c r="AF114" i="30"/>
  <c r="AG114" i="30"/>
  <c r="AH114" i="30" s="1"/>
  <c r="F115" i="30"/>
  <c r="G115" i="30" s="1"/>
  <c r="L115" i="30"/>
  <c r="M115" i="30"/>
  <c r="N115" i="30"/>
  <c r="AB115" i="30"/>
  <c r="AC115" i="30"/>
  <c r="AF115" i="30"/>
  <c r="AG115" i="30"/>
  <c r="AH115" i="30" s="1"/>
  <c r="F116" i="30"/>
  <c r="G116" i="30" s="1"/>
  <c r="L116" i="30"/>
  <c r="M116" i="30"/>
  <c r="N116" i="30"/>
  <c r="AB116" i="30"/>
  <c r="AC116" i="30"/>
  <c r="AF116" i="30"/>
  <c r="AG116" i="30"/>
  <c r="AH116" i="30" s="1"/>
  <c r="F117" i="30"/>
  <c r="G117" i="30" s="1"/>
  <c r="L117" i="30"/>
  <c r="M117" i="30"/>
  <c r="N117" i="30"/>
  <c r="AB117" i="30"/>
  <c r="AC117" i="30"/>
  <c r="AF117" i="30"/>
  <c r="AG117" i="30"/>
  <c r="AH117" i="30" s="1"/>
  <c r="F118" i="30"/>
  <c r="G118" i="30" s="1"/>
  <c r="L118" i="30"/>
  <c r="M118" i="30"/>
  <c r="N118" i="30"/>
  <c r="AB118" i="30"/>
  <c r="AC118" i="30"/>
  <c r="AF118" i="30"/>
  <c r="AG118" i="30"/>
  <c r="AH118" i="30" s="1"/>
  <c r="F119" i="30"/>
  <c r="G119" i="30" s="1"/>
  <c r="L119" i="30"/>
  <c r="M119" i="30"/>
  <c r="N119" i="30"/>
  <c r="AB119" i="30"/>
  <c r="AC119" i="30"/>
  <c r="AF119" i="30"/>
  <c r="AG119" i="30"/>
  <c r="AH119" i="30" s="1"/>
  <c r="F120" i="30"/>
  <c r="G120" i="30" s="1"/>
  <c r="L120" i="30"/>
  <c r="M120" i="30"/>
  <c r="N120" i="30"/>
  <c r="AB120" i="30"/>
  <c r="AC120" i="30"/>
  <c r="AF120" i="30"/>
  <c r="AG120" i="30"/>
  <c r="AH120" i="30" s="1"/>
  <c r="F121" i="30"/>
  <c r="G121" i="30" s="1"/>
  <c r="L121" i="30"/>
  <c r="M121" i="30"/>
  <c r="N121" i="30"/>
  <c r="AB121" i="30"/>
  <c r="AC121" i="30"/>
  <c r="AF121" i="30"/>
  <c r="AG121" i="30"/>
  <c r="AH121" i="30" s="1"/>
  <c r="F122" i="30"/>
  <c r="G122" i="30" s="1"/>
  <c r="L122" i="30"/>
  <c r="M122" i="30"/>
  <c r="N122" i="30"/>
  <c r="AB122" i="30"/>
  <c r="AC122" i="30"/>
  <c r="AF122" i="30"/>
  <c r="AG122" i="30"/>
  <c r="AH122" i="30" s="1"/>
  <c r="F123" i="30"/>
  <c r="G123" i="30" s="1"/>
  <c r="L123" i="30"/>
  <c r="M123" i="30"/>
  <c r="N123" i="30"/>
  <c r="AB123" i="30"/>
  <c r="AC123" i="30"/>
  <c r="AF123" i="30"/>
  <c r="AG123" i="30"/>
  <c r="AH123" i="30" s="1"/>
  <c r="F124" i="30"/>
  <c r="G124" i="30" s="1"/>
  <c r="L124" i="30"/>
  <c r="M124" i="30"/>
  <c r="N124" i="30"/>
  <c r="AB124" i="30"/>
  <c r="AC124" i="30"/>
  <c r="AF124" i="30"/>
  <c r="AG124" i="30"/>
  <c r="AH124" i="30" s="1"/>
  <c r="F125" i="30"/>
  <c r="G125" i="30" s="1"/>
  <c r="L125" i="30"/>
  <c r="M125" i="30"/>
  <c r="N125" i="30"/>
  <c r="AB125" i="30"/>
  <c r="AC125" i="30"/>
  <c r="AF125" i="30"/>
  <c r="AG125" i="30"/>
  <c r="AH125" i="30" s="1"/>
  <c r="F126" i="30"/>
  <c r="G126" i="30" s="1"/>
  <c r="L126" i="30"/>
  <c r="M126" i="30"/>
  <c r="N126" i="30"/>
  <c r="AB126" i="30"/>
  <c r="AC126" i="30"/>
  <c r="AF126" i="30"/>
  <c r="AG126" i="30"/>
  <c r="AH126" i="30" s="1"/>
  <c r="F127" i="30"/>
  <c r="G127" i="30" s="1"/>
  <c r="L127" i="30"/>
  <c r="M127" i="30"/>
  <c r="N127" i="30"/>
  <c r="AB127" i="30"/>
  <c r="AC127" i="30"/>
  <c r="AF127" i="30"/>
  <c r="AG127" i="30"/>
  <c r="AH127" i="30" s="1"/>
  <c r="F128" i="30"/>
  <c r="G128" i="30" s="1"/>
  <c r="L128" i="30"/>
  <c r="M128" i="30"/>
  <c r="N128" i="30"/>
  <c r="AB128" i="30"/>
  <c r="AC128" i="30"/>
  <c r="AF128" i="30"/>
  <c r="AG128" i="30"/>
  <c r="AH128" i="30" s="1"/>
  <c r="F129" i="30"/>
  <c r="G129" i="30" s="1"/>
  <c r="L129" i="30"/>
  <c r="M129" i="30"/>
  <c r="N129" i="30"/>
  <c r="AB129" i="30"/>
  <c r="AC129" i="30"/>
  <c r="AF129" i="30"/>
  <c r="AG129" i="30"/>
  <c r="AH129" i="30" s="1"/>
  <c r="F130" i="30"/>
  <c r="G130" i="30" s="1"/>
  <c r="L130" i="30"/>
  <c r="M130" i="30"/>
  <c r="N130" i="30"/>
  <c r="AB130" i="30"/>
  <c r="AC130" i="30"/>
  <c r="AF130" i="30"/>
  <c r="AG130" i="30"/>
  <c r="AH130" i="30" s="1"/>
  <c r="F131" i="30"/>
  <c r="G131" i="30" s="1"/>
  <c r="L131" i="30"/>
  <c r="M131" i="30"/>
  <c r="N131" i="30"/>
  <c r="AB131" i="30"/>
  <c r="AC131" i="30"/>
  <c r="AF131" i="30"/>
  <c r="AG131" i="30"/>
  <c r="AH131" i="30" s="1"/>
  <c r="F132" i="30"/>
  <c r="G132" i="30" s="1"/>
  <c r="L132" i="30"/>
  <c r="M132" i="30"/>
  <c r="N132" i="30"/>
  <c r="AB132" i="30"/>
  <c r="AC132" i="30"/>
  <c r="AF132" i="30"/>
  <c r="AG132" i="30"/>
  <c r="AH132" i="30" s="1"/>
  <c r="F133" i="30"/>
  <c r="G133" i="30" s="1"/>
  <c r="L133" i="30"/>
  <c r="M133" i="30"/>
  <c r="N133" i="30"/>
  <c r="AB133" i="30"/>
  <c r="AC133" i="30"/>
  <c r="AF133" i="30"/>
  <c r="AG133" i="30"/>
  <c r="AH133" i="30" s="1"/>
  <c r="F134" i="30"/>
  <c r="G134" i="30" s="1"/>
  <c r="L134" i="30"/>
  <c r="M134" i="30"/>
  <c r="N134" i="30"/>
  <c r="AB134" i="30"/>
  <c r="AC134" i="30"/>
  <c r="AF134" i="30"/>
  <c r="AG134" i="30"/>
  <c r="AH134" i="30" s="1"/>
  <c r="F135" i="30"/>
  <c r="G135" i="30" s="1"/>
  <c r="L135" i="30"/>
  <c r="M135" i="30"/>
  <c r="N135" i="30"/>
  <c r="AB135" i="30"/>
  <c r="AC135" i="30"/>
  <c r="AF135" i="30"/>
  <c r="AG135" i="30"/>
  <c r="AH135" i="30" s="1"/>
  <c r="F136" i="30"/>
  <c r="G136" i="30" s="1"/>
  <c r="L136" i="30"/>
  <c r="M136" i="30"/>
  <c r="N136" i="30"/>
  <c r="AB136" i="30"/>
  <c r="AC136" i="30"/>
  <c r="AF136" i="30"/>
  <c r="AG136" i="30"/>
  <c r="AH136" i="30" s="1"/>
  <c r="F137" i="30"/>
  <c r="G137" i="30" s="1"/>
  <c r="L137" i="30"/>
  <c r="M137" i="30"/>
  <c r="N137" i="30"/>
  <c r="AB137" i="30"/>
  <c r="AC137" i="30"/>
  <c r="AF137" i="30"/>
  <c r="AG137" i="30"/>
  <c r="AH137" i="30" s="1"/>
  <c r="F138" i="30"/>
  <c r="G138" i="30" s="1"/>
  <c r="L138" i="30"/>
  <c r="M138" i="30"/>
  <c r="N138" i="30"/>
  <c r="AB138" i="30"/>
  <c r="AC138" i="30"/>
  <c r="AF138" i="30"/>
  <c r="AG138" i="30"/>
  <c r="AH138" i="30" s="1"/>
  <c r="F139" i="30"/>
  <c r="G139" i="30" s="1"/>
  <c r="L139" i="30"/>
  <c r="M139" i="30"/>
  <c r="N139" i="30"/>
  <c r="AB139" i="30"/>
  <c r="AC139" i="30"/>
  <c r="AF139" i="30"/>
  <c r="AG139" i="30"/>
  <c r="AH139" i="30" s="1"/>
  <c r="F140" i="30"/>
  <c r="G140" i="30" s="1"/>
  <c r="L140" i="30"/>
  <c r="M140" i="30"/>
  <c r="N140" i="30"/>
  <c r="AB140" i="30"/>
  <c r="AC140" i="30"/>
  <c r="AF140" i="30"/>
  <c r="AG140" i="30"/>
  <c r="AH140" i="30" s="1"/>
  <c r="F141" i="30"/>
  <c r="G141" i="30" s="1"/>
  <c r="L141" i="30"/>
  <c r="M141" i="30"/>
  <c r="N141" i="30"/>
  <c r="AB141" i="30"/>
  <c r="AC141" i="30"/>
  <c r="AF141" i="30"/>
  <c r="AG141" i="30"/>
  <c r="AH141" i="30" s="1"/>
  <c r="F142" i="30"/>
  <c r="G142" i="30" s="1"/>
  <c r="L142" i="30"/>
  <c r="M142" i="30"/>
  <c r="N142" i="30"/>
  <c r="AB142" i="30"/>
  <c r="AC142" i="30"/>
  <c r="AF142" i="30"/>
  <c r="AG142" i="30"/>
  <c r="AH142" i="30" s="1"/>
  <c r="F143" i="30"/>
  <c r="G143" i="30" s="1"/>
  <c r="L143" i="30"/>
  <c r="M143" i="30"/>
  <c r="N143" i="30"/>
  <c r="AB143" i="30"/>
  <c r="AC143" i="30"/>
  <c r="AF143" i="30"/>
  <c r="AG143" i="30"/>
  <c r="AH143" i="30" s="1"/>
  <c r="F144" i="30"/>
  <c r="G144" i="30" s="1"/>
  <c r="L144" i="30"/>
  <c r="M144" i="30"/>
  <c r="N144" i="30"/>
  <c r="AB144" i="30"/>
  <c r="AC144" i="30"/>
  <c r="AF144" i="30"/>
  <c r="AG144" i="30"/>
  <c r="AH144" i="30" s="1"/>
  <c r="F145" i="30"/>
  <c r="G145" i="30" s="1"/>
  <c r="L145" i="30"/>
  <c r="M145" i="30"/>
  <c r="N145" i="30"/>
  <c r="AB145" i="30"/>
  <c r="AC145" i="30"/>
  <c r="AF145" i="30"/>
  <c r="AG145" i="30"/>
  <c r="AH145" i="30" s="1"/>
  <c r="F146" i="30"/>
  <c r="G146" i="30" s="1"/>
  <c r="L146" i="30"/>
  <c r="M146" i="30"/>
  <c r="N146" i="30"/>
  <c r="AB146" i="30"/>
  <c r="AC146" i="30"/>
  <c r="AF146" i="30"/>
  <c r="AG146" i="30"/>
  <c r="AH146" i="30" s="1"/>
  <c r="F147" i="30"/>
  <c r="G147" i="30" s="1"/>
  <c r="L147" i="30"/>
  <c r="M147" i="30"/>
  <c r="N147" i="30"/>
  <c r="AB147" i="30"/>
  <c r="AC147" i="30"/>
  <c r="AF147" i="30"/>
  <c r="AG147" i="30"/>
  <c r="AH147" i="30" s="1"/>
  <c r="F148" i="30"/>
  <c r="G148" i="30" s="1"/>
  <c r="L148" i="30"/>
  <c r="M148" i="30"/>
  <c r="N148" i="30"/>
  <c r="AB148" i="30"/>
  <c r="AC148" i="30"/>
  <c r="AF148" i="30"/>
  <c r="AG148" i="30"/>
  <c r="AH148" i="30" s="1"/>
  <c r="F149" i="30"/>
  <c r="G149" i="30" s="1"/>
  <c r="L149" i="30"/>
  <c r="M149" i="30"/>
  <c r="N149" i="30"/>
  <c r="AB149" i="30"/>
  <c r="AC149" i="30"/>
  <c r="AF149" i="30"/>
  <c r="AG149" i="30"/>
  <c r="AH149" i="30" s="1"/>
  <c r="F150" i="30"/>
  <c r="G150" i="30" s="1"/>
  <c r="L150" i="30"/>
  <c r="M150" i="30"/>
  <c r="N150" i="30"/>
  <c r="AB150" i="30"/>
  <c r="AC150" i="30"/>
  <c r="AF150" i="30"/>
  <c r="AG150" i="30"/>
  <c r="AH150" i="30" s="1"/>
  <c r="F151" i="30"/>
  <c r="G151" i="30" s="1"/>
  <c r="L151" i="30"/>
  <c r="M151" i="30"/>
  <c r="N151" i="30"/>
  <c r="AB151" i="30"/>
  <c r="AC151" i="30"/>
  <c r="AF151" i="30"/>
  <c r="AG151" i="30"/>
  <c r="AH151" i="30" s="1"/>
  <c r="F152" i="30"/>
  <c r="G152" i="30" s="1"/>
  <c r="L152" i="30"/>
  <c r="M152" i="30"/>
  <c r="N152" i="30"/>
  <c r="AB152" i="30"/>
  <c r="AC152" i="30"/>
  <c r="AF152" i="30"/>
  <c r="AG152" i="30"/>
  <c r="AH152" i="30" s="1"/>
  <c r="F153" i="30"/>
  <c r="G153" i="30" s="1"/>
  <c r="L153" i="30"/>
  <c r="M153" i="30"/>
  <c r="N153" i="30"/>
  <c r="AB153" i="30"/>
  <c r="AC153" i="30"/>
  <c r="AF153" i="30"/>
  <c r="AG153" i="30"/>
  <c r="AH153" i="30" s="1"/>
  <c r="F154" i="30"/>
  <c r="G154" i="30" s="1"/>
  <c r="L154" i="30"/>
  <c r="M154" i="30"/>
  <c r="N154" i="30"/>
  <c r="AB154" i="30"/>
  <c r="AC154" i="30"/>
  <c r="AF154" i="30"/>
  <c r="AG154" i="30"/>
  <c r="AH154" i="30" s="1"/>
  <c r="F155" i="30"/>
  <c r="G155" i="30" s="1"/>
  <c r="L155" i="30"/>
  <c r="M155" i="30"/>
  <c r="N155" i="30"/>
  <c r="AB155" i="30"/>
  <c r="AC155" i="30"/>
  <c r="AF155" i="30"/>
  <c r="AG155" i="30"/>
  <c r="AH155" i="30" s="1"/>
  <c r="F156" i="30"/>
  <c r="G156" i="30" s="1"/>
  <c r="L156" i="30"/>
  <c r="M156" i="30"/>
  <c r="N156" i="30"/>
  <c r="AB156" i="30"/>
  <c r="AC156" i="30"/>
  <c r="AF156" i="30"/>
  <c r="AG156" i="30"/>
  <c r="AH156" i="30" s="1"/>
  <c r="F157" i="30"/>
  <c r="G157" i="30" s="1"/>
  <c r="L157" i="30"/>
  <c r="M157" i="30"/>
  <c r="N157" i="30"/>
  <c r="AB157" i="30"/>
  <c r="AC157" i="30"/>
  <c r="AF157" i="30"/>
  <c r="AG157" i="30"/>
  <c r="AH157" i="30" s="1"/>
  <c r="F158" i="30"/>
  <c r="G158" i="30" s="1"/>
  <c r="L158" i="30"/>
  <c r="M158" i="30"/>
  <c r="N158" i="30"/>
  <c r="AB158" i="30"/>
  <c r="AC158" i="30"/>
  <c r="AF158" i="30"/>
  <c r="AG158" i="30"/>
  <c r="AH158" i="30" s="1"/>
  <c r="F159" i="30"/>
  <c r="G159" i="30" s="1"/>
  <c r="L159" i="30"/>
  <c r="M159" i="30"/>
  <c r="N159" i="30"/>
  <c r="AB159" i="30"/>
  <c r="AC159" i="30"/>
  <c r="AF159" i="30"/>
  <c r="AG159" i="30"/>
  <c r="AH159" i="30" s="1"/>
  <c r="F160" i="30"/>
  <c r="G160" i="30" s="1"/>
  <c r="L160" i="30"/>
  <c r="M160" i="30"/>
  <c r="N160" i="30"/>
  <c r="AB160" i="30"/>
  <c r="AC160" i="30"/>
  <c r="AF160" i="30"/>
  <c r="AG160" i="30"/>
  <c r="AH160" i="30" s="1"/>
  <c r="F161" i="30"/>
  <c r="G161" i="30" s="1"/>
  <c r="L161" i="30"/>
  <c r="M161" i="30"/>
  <c r="N161" i="30"/>
  <c r="AB161" i="30"/>
  <c r="AC161" i="30"/>
  <c r="AF161" i="30"/>
  <c r="AG161" i="30"/>
  <c r="AH161" i="30" s="1"/>
  <c r="F162" i="30"/>
  <c r="G162" i="30" s="1"/>
  <c r="L162" i="30"/>
  <c r="M162" i="30"/>
  <c r="N162" i="30"/>
  <c r="AB162" i="30"/>
  <c r="AC162" i="30"/>
  <c r="AF162" i="30"/>
  <c r="AG162" i="30"/>
  <c r="AH162" i="30" s="1"/>
  <c r="F163" i="30"/>
  <c r="G163" i="30" s="1"/>
  <c r="L163" i="30"/>
  <c r="M163" i="30"/>
  <c r="N163" i="30"/>
  <c r="AB163" i="30"/>
  <c r="AC163" i="30"/>
  <c r="AF163" i="30"/>
  <c r="AG163" i="30"/>
  <c r="AH163" i="30" s="1"/>
  <c r="F164" i="30"/>
  <c r="G164" i="30" s="1"/>
  <c r="L164" i="30"/>
  <c r="M164" i="30"/>
  <c r="N164" i="30"/>
  <c r="AB164" i="30"/>
  <c r="AC164" i="30"/>
  <c r="AF164" i="30"/>
  <c r="AG164" i="30"/>
  <c r="AH164" i="30" s="1"/>
  <c r="F165" i="30"/>
  <c r="G165" i="30" s="1"/>
  <c r="L165" i="30"/>
  <c r="M165" i="30"/>
  <c r="N165" i="30"/>
  <c r="AB165" i="30"/>
  <c r="AC165" i="30"/>
  <c r="AF165" i="30"/>
  <c r="AG165" i="30"/>
  <c r="AH165" i="30" s="1"/>
  <c r="F166" i="30"/>
  <c r="G166" i="30" s="1"/>
  <c r="L166" i="30"/>
  <c r="M166" i="30"/>
  <c r="N166" i="30"/>
  <c r="AB166" i="30"/>
  <c r="AC166" i="30"/>
  <c r="AF166" i="30"/>
  <c r="AG166" i="30"/>
  <c r="AH166" i="30" s="1"/>
  <c r="F167" i="30"/>
  <c r="G167" i="30" s="1"/>
  <c r="L167" i="30"/>
  <c r="M167" i="30"/>
  <c r="N167" i="30"/>
  <c r="AB167" i="30"/>
  <c r="AC167" i="30"/>
  <c r="AF167" i="30"/>
  <c r="AG167" i="30"/>
  <c r="AH167" i="30" s="1"/>
  <c r="F168" i="30"/>
  <c r="G168" i="30" s="1"/>
  <c r="L168" i="30"/>
  <c r="M168" i="30"/>
  <c r="N168" i="30"/>
  <c r="AB168" i="30"/>
  <c r="AC168" i="30"/>
  <c r="AF168" i="30"/>
  <c r="AG168" i="30"/>
  <c r="AH168" i="30" s="1"/>
  <c r="F169" i="30"/>
  <c r="G169" i="30" s="1"/>
  <c r="L169" i="30"/>
  <c r="M169" i="30"/>
  <c r="N169" i="30"/>
  <c r="AB169" i="30"/>
  <c r="AC169" i="30"/>
  <c r="AF169" i="30"/>
  <c r="AG169" i="30"/>
  <c r="AH169" i="30" s="1"/>
  <c r="F170" i="30"/>
  <c r="G170" i="30" s="1"/>
  <c r="L170" i="30"/>
  <c r="M170" i="30"/>
  <c r="N170" i="30"/>
  <c r="AB170" i="30"/>
  <c r="AC170" i="30"/>
  <c r="AF170" i="30"/>
  <c r="AG170" i="30"/>
  <c r="AH170" i="30" s="1"/>
  <c r="F171" i="30"/>
  <c r="G171" i="30" s="1"/>
  <c r="L171" i="30"/>
  <c r="M171" i="30"/>
  <c r="N171" i="30"/>
  <c r="AB171" i="30"/>
  <c r="AC171" i="30"/>
  <c r="AF171" i="30"/>
  <c r="AG171" i="30"/>
  <c r="AH171" i="30" s="1"/>
  <c r="F172" i="30"/>
  <c r="G172" i="30" s="1"/>
  <c r="L172" i="30"/>
  <c r="M172" i="30"/>
  <c r="N172" i="30"/>
  <c r="AB172" i="30"/>
  <c r="AC172" i="30"/>
  <c r="AF172" i="30"/>
  <c r="AG172" i="30"/>
  <c r="AH172" i="30" s="1"/>
  <c r="F173" i="30"/>
  <c r="G173" i="30" s="1"/>
  <c r="L173" i="30"/>
  <c r="M173" i="30"/>
  <c r="N173" i="30"/>
  <c r="AB173" i="30"/>
  <c r="AC173" i="30"/>
  <c r="AF173" i="30"/>
  <c r="AG173" i="30"/>
  <c r="AH173" i="30" s="1"/>
  <c r="F174" i="30"/>
  <c r="G174" i="30" s="1"/>
  <c r="L174" i="30"/>
  <c r="M174" i="30"/>
  <c r="N174" i="30"/>
  <c r="AB174" i="30"/>
  <c r="AC174" i="30"/>
  <c r="AF174" i="30"/>
  <c r="AG174" i="30"/>
  <c r="AH174" i="30" s="1"/>
  <c r="F175" i="30"/>
  <c r="G175" i="30" s="1"/>
  <c r="L175" i="30"/>
  <c r="M175" i="30"/>
  <c r="N175" i="30"/>
  <c r="AB175" i="30"/>
  <c r="AC175" i="30"/>
  <c r="AF175" i="30"/>
  <c r="AG175" i="30"/>
  <c r="AH175" i="30" s="1"/>
  <c r="F176" i="30"/>
  <c r="G176" i="30" s="1"/>
  <c r="L176" i="30"/>
  <c r="M176" i="30"/>
  <c r="N176" i="30"/>
  <c r="AB176" i="30"/>
  <c r="AC176" i="30"/>
  <c r="AF176" i="30"/>
  <c r="AG176" i="30"/>
  <c r="AH176" i="30" s="1"/>
  <c r="F177" i="30"/>
  <c r="G177" i="30" s="1"/>
  <c r="L177" i="30"/>
  <c r="M177" i="30"/>
  <c r="N177" i="30"/>
  <c r="AB177" i="30"/>
  <c r="AC177" i="30"/>
  <c r="AF177" i="30"/>
  <c r="AG177" i="30"/>
  <c r="AH177" i="30" s="1"/>
  <c r="F178" i="30"/>
  <c r="G178" i="30" s="1"/>
  <c r="L178" i="30"/>
  <c r="M178" i="30"/>
  <c r="N178" i="30"/>
  <c r="AB178" i="30"/>
  <c r="AC178" i="30"/>
  <c r="AF178" i="30"/>
  <c r="AG178" i="30"/>
  <c r="AH178" i="30" s="1"/>
  <c r="F179" i="30"/>
  <c r="G179" i="30" s="1"/>
  <c r="L179" i="30"/>
  <c r="M179" i="30"/>
  <c r="N179" i="30"/>
  <c r="AB179" i="30"/>
  <c r="AC179" i="30"/>
  <c r="AF179" i="30"/>
  <c r="AG179" i="30"/>
  <c r="AH179" i="30" s="1"/>
  <c r="F180" i="30"/>
  <c r="G180" i="30" s="1"/>
  <c r="L180" i="30"/>
  <c r="M180" i="30"/>
  <c r="N180" i="30"/>
  <c r="AB180" i="30"/>
  <c r="AC180" i="30"/>
  <c r="AF180" i="30"/>
  <c r="AG180" i="30"/>
  <c r="AH180" i="30" s="1"/>
  <c r="F181" i="30"/>
  <c r="G181" i="30" s="1"/>
  <c r="L181" i="30"/>
  <c r="M181" i="30"/>
  <c r="N181" i="30"/>
  <c r="AB181" i="30"/>
  <c r="AC181" i="30"/>
  <c r="AF181" i="30"/>
  <c r="AG181" i="30"/>
  <c r="AH181" i="30" s="1"/>
  <c r="F182" i="30"/>
  <c r="G182" i="30" s="1"/>
  <c r="L182" i="30"/>
  <c r="M182" i="30"/>
  <c r="N182" i="30"/>
  <c r="AB182" i="30"/>
  <c r="AC182" i="30"/>
  <c r="AF182" i="30"/>
  <c r="AG182" i="30"/>
  <c r="AH182" i="30" s="1"/>
  <c r="F183" i="30"/>
  <c r="G183" i="30" s="1"/>
  <c r="L183" i="30"/>
  <c r="M183" i="30"/>
  <c r="N183" i="30"/>
  <c r="AB183" i="30"/>
  <c r="AC183" i="30"/>
  <c r="AF183" i="30"/>
  <c r="AG183" i="30"/>
  <c r="AH183" i="30" s="1"/>
  <c r="F184" i="30"/>
  <c r="G184" i="30" s="1"/>
  <c r="L184" i="30"/>
  <c r="M184" i="30"/>
  <c r="N184" i="30"/>
  <c r="AB184" i="30"/>
  <c r="AC184" i="30"/>
  <c r="AF184" i="30"/>
  <c r="AG184" i="30"/>
  <c r="AH184" i="30" s="1"/>
  <c r="F185" i="30"/>
  <c r="G185" i="30" s="1"/>
  <c r="L185" i="30"/>
  <c r="M185" i="30"/>
  <c r="N185" i="30"/>
  <c r="AB185" i="30"/>
  <c r="AC185" i="30"/>
  <c r="AF185" i="30"/>
  <c r="AG185" i="30"/>
  <c r="AH185" i="30" s="1"/>
  <c r="F186" i="30"/>
  <c r="G186" i="30" s="1"/>
  <c r="L186" i="30"/>
  <c r="M186" i="30"/>
  <c r="N186" i="30"/>
  <c r="AB186" i="30"/>
  <c r="AC186" i="30"/>
  <c r="AF186" i="30"/>
  <c r="AG186" i="30"/>
  <c r="AH186" i="30" s="1"/>
  <c r="F187" i="30"/>
  <c r="G187" i="30" s="1"/>
  <c r="L187" i="30"/>
  <c r="M187" i="30"/>
  <c r="N187" i="30"/>
  <c r="AB187" i="30"/>
  <c r="AC187" i="30"/>
  <c r="AF187" i="30"/>
  <c r="AG187" i="30"/>
  <c r="AH187" i="30" s="1"/>
  <c r="F188" i="30"/>
  <c r="G188" i="30" s="1"/>
  <c r="L188" i="30"/>
  <c r="M188" i="30"/>
  <c r="N188" i="30"/>
  <c r="AB188" i="30"/>
  <c r="AC188" i="30"/>
  <c r="AF188" i="30"/>
  <c r="AG188" i="30"/>
  <c r="AH188" i="30" s="1"/>
  <c r="F189" i="30"/>
  <c r="G189" i="30" s="1"/>
  <c r="L189" i="30"/>
  <c r="M189" i="30"/>
  <c r="N189" i="30"/>
  <c r="AB189" i="30"/>
  <c r="AC189" i="30"/>
  <c r="AF189" i="30"/>
  <c r="AG189" i="30"/>
  <c r="AH189" i="30" s="1"/>
  <c r="F190" i="30"/>
  <c r="G190" i="30" s="1"/>
  <c r="L190" i="30"/>
  <c r="M190" i="30"/>
  <c r="N190" i="30"/>
  <c r="AB190" i="30"/>
  <c r="AC190" i="30"/>
  <c r="AF190" i="30"/>
  <c r="AG190" i="30"/>
  <c r="AH190" i="30" s="1"/>
  <c r="F191" i="30"/>
  <c r="G191" i="30" s="1"/>
  <c r="L191" i="30"/>
  <c r="M191" i="30"/>
  <c r="N191" i="30"/>
  <c r="AB191" i="30"/>
  <c r="AC191" i="30"/>
  <c r="AF191" i="30"/>
  <c r="AG191" i="30"/>
  <c r="AH191" i="30" s="1"/>
  <c r="F192" i="30"/>
  <c r="G192" i="30" s="1"/>
  <c r="L192" i="30"/>
  <c r="M192" i="30"/>
  <c r="N192" i="30"/>
  <c r="AB192" i="30"/>
  <c r="AC192" i="30"/>
  <c r="AF192" i="30"/>
  <c r="AG192" i="30"/>
  <c r="AH192" i="30" s="1"/>
  <c r="F193" i="30"/>
  <c r="G193" i="30" s="1"/>
  <c r="L193" i="30"/>
  <c r="M193" i="30"/>
  <c r="N193" i="30"/>
  <c r="AB193" i="30"/>
  <c r="AC193" i="30"/>
  <c r="AF193" i="30"/>
  <c r="AG193" i="30"/>
  <c r="AH193" i="30" s="1"/>
  <c r="F194" i="30"/>
  <c r="G194" i="30" s="1"/>
  <c r="L194" i="30"/>
  <c r="M194" i="30"/>
  <c r="N194" i="30"/>
  <c r="AB194" i="30"/>
  <c r="AC194" i="30"/>
  <c r="AF194" i="30"/>
  <c r="AG194" i="30"/>
  <c r="AH194" i="30" s="1"/>
  <c r="F195" i="30"/>
  <c r="G195" i="30" s="1"/>
  <c r="L195" i="30"/>
  <c r="M195" i="30"/>
  <c r="N195" i="30"/>
  <c r="AB195" i="30"/>
  <c r="AC195" i="30"/>
  <c r="AF195" i="30"/>
  <c r="AG195" i="30"/>
  <c r="AH195" i="30" s="1"/>
  <c r="F196" i="30"/>
  <c r="G196" i="30" s="1"/>
  <c r="L196" i="30"/>
  <c r="M196" i="30"/>
  <c r="N196" i="30"/>
  <c r="AB196" i="30"/>
  <c r="AC196" i="30"/>
  <c r="AF196" i="30"/>
  <c r="AG196" i="30"/>
  <c r="AH196" i="30" s="1"/>
  <c r="F197" i="30"/>
  <c r="G197" i="30" s="1"/>
  <c r="L197" i="30"/>
  <c r="M197" i="30"/>
  <c r="N197" i="30"/>
  <c r="AB197" i="30"/>
  <c r="AC197" i="30"/>
  <c r="AF197" i="30"/>
  <c r="AG197" i="30"/>
  <c r="AH197" i="30" s="1"/>
  <c r="F198" i="30"/>
  <c r="G198" i="30" s="1"/>
  <c r="L198" i="30"/>
  <c r="M198" i="30"/>
  <c r="N198" i="30"/>
  <c r="AB198" i="30"/>
  <c r="AC198" i="30"/>
  <c r="AF198" i="30"/>
  <c r="AG198" i="30"/>
  <c r="AH198" i="30" s="1"/>
  <c r="F199" i="30"/>
  <c r="G199" i="30" s="1"/>
  <c r="L199" i="30"/>
  <c r="M199" i="30"/>
  <c r="N199" i="30"/>
  <c r="AB199" i="30"/>
  <c r="AC199" i="30"/>
  <c r="AF199" i="30"/>
  <c r="AG199" i="30"/>
  <c r="AH199" i="30" s="1"/>
  <c r="F200" i="30"/>
  <c r="G200" i="30" s="1"/>
  <c r="L200" i="30"/>
  <c r="M200" i="30"/>
  <c r="N200" i="30"/>
  <c r="AB200" i="30"/>
  <c r="AC200" i="30"/>
  <c r="AF200" i="30"/>
  <c r="AG200" i="30"/>
  <c r="AH200" i="30" s="1"/>
  <c r="F201" i="30"/>
  <c r="G201" i="30" s="1"/>
  <c r="L201" i="30"/>
  <c r="M201" i="30"/>
  <c r="N201" i="30"/>
  <c r="AB201" i="30"/>
  <c r="AC201" i="30"/>
  <c r="AF201" i="30"/>
  <c r="AG201" i="30"/>
  <c r="AH201" i="30" s="1"/>
  <c r="F202" i="30"/>
  <c r="G202" i="30" s="1"/>
  <c r="L202" i="30"/>
  <c r="M202" i="30"/>
  <c r="N202" i="30"/>
  <c r="AB202" i="30"/>
  <c r="AC202" i="30"/>
  <c r="AF202" i="30"/>
  <c r="AG202" i="30"/>
  <c r="AH202" i="30" s="1"/>
  <c r="F203" i="30"/>
  <c r="G203" i="30" s="1"/>
  <c r="L203" i="30"/>
  <c r="M203" i="30"/>
  <c r="N203" i="30"/>
  <c r="AB203" i="30"/>
  <c r="AC203" i="30"/>
  <c r="AF203" i="30"/>
  <c r="AG203" i="30"/>
  <c r="AH203" i="30" s="1"/>
  <c r="F204" i="30"/>
  <c r="G204" i="30" s="1"/>
  <c r="L204" i="30"/>
  <c r="M204" i="30"/>
  <c r="N204" i="30"/>
  <c r="AB204" i="30"/>
  <c r="AC204" i="30"/>
  <c r="AF204" i="30"/>
  <c r="AG204" i="30"/>
  <c r="AH204" i="30" s="1"/>
  <c r="F205" i="30"/>
  <c r="G205" i="30" s="1"/>
  <c r="L205" i="30"/>
  <c r="M205" i="30"/>
  <c r="N205" i="30"/>
  <c r="AB205" i="30"/>
  <c r="AC205" i="30"/>
  <c r="AF205" i="30"/>
  <c r="AG205" i="30"/>
  <c r="AH205" i="30" s="1"/>
  <c r="F206" i="30"/>
  <c r="G206" i="30" s="1"/>
  <c r="L206" i="30"/>
  <c r="M206" i="30"/>
  <c r="N206" i="30"/>
  <c r="AB206" i="30"/>
  <c r="AC206" i="30"/>
  <c r="AF206" i="30"/>
  <c r="AG206" i="30"/>
  <c r="AH206" i="30" s="1"/>
  <c r="F207" i="30"/>
  <c r="G207" i="30" s="1"/>
  <c r="L207" i="30"/>
  <c r="M207" i="30"/>
  <c r="N207" i="30"/>
  <c r="AB207" i="30"/>
  <c r="AC207" i="30"/>
  <c r="AF207" i="30"/>
  <c r="AG207" i="30"/>
  <c r="AH207" i="30" s="1"/>
  <c r="F208" i="30"/>
  <c r="G208" i="30" s="1"/>
  <c r="L208" i="30"/>
  <c r="M208" i="30"/>
  <c r="N208" i="30"/>
  <c r="AB208" i="30"/>
  <c r="AC208" i="30"/>
  <c r="AF208" i="30"/>
  <c r="AG208" i="30"/>
  <c r="AH208" i="30" s="1"/>
  <c r="F209" i="30"/>
  <c r="G209" i="30" s="1"/>
  <c r="L209" i="30"/>
  <c r="M209" i="30"/>
  <c r="N209" i="30"/>
  <c r="AB209" i="30"/>
  <c r="AC209" i="30"/>
  <c r="AF209" i="30"/>
  <c r="AG209" i="30"/>
  <c r="AH209" i="30" s="1"/>
  <c r="F210" i="30"/>
  <c r="G210" i="30" s="1"/>
  <c r="L210" i="30"/>
  <c r="M210" i="30"/>
  <c r="N210" i="30"/>
  <c r="AB210" i="30"/>
  <c r="AC210" i="30"/>
  <c r="AF210" i="30"/>
  <c r="AG210" i="30"/>
  <c r="AH210" i="30" s="1"/>
  <c r="F211" i="30"/>
  <c r="G211" i="30" s="1"/>
  <c r="L211" i="30"/>
  <c r="M211" i="30"/>
  <c r="N211" i="30"/>
  <c r="AB211" i="30"/>
  <c r="AC211" i="30"/>
  <c r="AF211" i="30"/>
  <c r="AG211" i="30"/>
  <c r="AH211" i="30" s="1"/>
  <c r="F212" i="30"/>
  <c r="G212" i="30" s="1"/>
  <c r="L212" i="30"/>
  <c r="M212" i="30"/>
  <c r="N212" i="30"/>
  <c r="AB212" i="30"/>
  <c r="AC212" i="30"/>
  <c r="AF212" i="30"/>
  <c r="AG212" i="30"/>
  <c r="AH212" i="30" s="1"/>
  <c r="F213" i="30"/>
  <c r="G213" i="30" s="1"/>
  <c r="L213" i="30"/>
  <c r="M213" i="30"/>
  <c r="N213" i="30"/>
  <c r="AB213" i="30"/>
  <c r="AC213" i="30"/>
  <c r="AF213" i="30"/>
  <c r="AG213" i="30"/>
  <c r="AH213" i="30" s="1"/>
  <c r="F214" i="30"/>
  <c r="G214" i="30" s="1"/>
  <c r="L214" i="30"/>
  <c r="M214" i="30"/>
  <c r="N214" i="30"/>
  <c r="AB214" i="30"/>
  <c r="AC214" i="30"/>
  <c r="AF214" i="30"/>
  <c r="AG214" i="30"/>
  <c r="AH214" i="30" s="1"/>
  <c r="F215" i="30"/>
  <c r="G215" i="30" s="1"/>
  <c r="L215" i="30"/>
  <c r="M215" i="30"/>
  <c r="N215" i="30"/>
  <c r="AB215" i="30"/>
  <c r="AC215" i="30"/>
  <c r="AF215" i="30"/>
  <c r="AG215" i="30"/>
  <c r="AH215" i="30" s="1"/>
  <c r="F216" i="30"/>
  <c r="G216" i="30" s="1"/>
  <c r="L216" i="30"/>
  <c r="M216" i="30"/>
  <c r="N216" i="30"/>
  <c r="AB216" i="30"/>
  <c r="AC216" i="30"/>
  <c r="AF216" i="30"/>
  <c r="AG216" i="30"/>
  <c r="AH216" i="30" s="1"/>
  <c r="F217" i="30"/>
  <c r="G217" i="30" s="1"/>
  <c r="L217" i="30"/>
  <c r="M217" i="30"/>
  <c r="N217" i="30"/>
  <c r="AB217" i="30"/>
  <c r="AC217" i="30"/>
  <c r="AF217" i="30"/>
  <c r="AG217" i="30"/>
  <c r="AH217" i="30" s="1"/>
  <c r="F218" i="30"/>
  <c r="G218" i="30" s="1"/>
  <c r="L218" i="30"/>
  <c r="M218" i="30"/>
  <c r="N218" i="30"/>
  <c r="AB218" i="30"/>
  <c r="AC218" i="30"/>
  <c r="AF218" i="30"/>
  <c r="AG218" i="30"/>
  <c r="AH218" i="30" s="1"/>
  <c r="F219" i="30"/>
  <c r="G219" i="30" s="1"/>
  <c r="L219" i="30"/>
  <c r="M219" i="30"/>
  <c r="N219" i="30"/>
  <c r="AB219" i="30"/>
  <c r="AC219" i="30"/>
  <c r="AF219" i="30"/>
  <c r="AG219" i="30"/>
  <c r="AH219" i="30" s="1"/>
  <c r="F220" i="30"/>
  <c r="G220" i="30" s="1"/>
  <c r="L220" i="30"/>
  <c r="M220" i="30"/>
  <c r="N220" i="30"/>
  <c r="AB220" i="30"/>
  <c r="AC220" i="30"/>
  <c r="AF220" i="30"/>
  <c r="AG220" i="30"/>
  <c r="AH220" i="30" s="1"/>
  <c r="F221" i="30"/>
  <c r="G221" i="30" s="1"/>
  <c r="L221" i="30"/>
  <c r="M221" i="30"/>
  <c r="N221" i="30"/>
  <c r="AB221" i="30"/>
  <c r="AC221" i="30"/>
  <c r="AF221" i="30"/>
  <c r="AG221" i="30"/>
  <c r="AH221" i="30" s="1"/>
  <c r="F222" i="30"/>
  <c r="G222" i="30" s="1"/>
  <c r="L222" i="30"/>
  <c r="M222" i="30"/>
  <c r="N222" i="30"/>
  <c r="AB222" i="30"/>
  <c r="AC222" i="30"/>
  <c r="AF222" i="30"/>
  <c r="AG222" i="30"/>
  <c r="AH222" i="30" s="1"/>
  <c r="F223" i="30"/>
  <c r="G223" i="30" s="1"/>
  <c r="L223" i="30"/>
  <c r="M223" i="30"/>
  <c r="N223" i="30"/>
  <c r="AB223" i="30"/>
  <c r="AC223" i="30"/>
  <c r="AF223" i="30"/>
  <c r="AG223" i="30"/>
  <c r="AH223" i="30" s="1"/>
  <c r="F224" i="30"/>
  <c r="G224" i="30" s="1"/>
  <c r="L224" i="30"/>
  <c r="M224" i="30"/>
  <c r="N224" i="30"/>
  <c r="AB224" i="30"/>
  <c r="AC224" i="30"/>
  <c r="AF224" i="30"/>
  <c r="AG224" i="30"/>
  <c r="AH224" i="30" s="1"/>
  <c r="F225" i="30"/>
  <c r="G225" i="30" s="1"/>
  <c r="L225" i="30"/>
  <c r="M225" i="30"/>
  <c r="N225" i="30"/>
  <c r="AB225" i="30"/>
  <c r="AC225" i="30"/>
  <c r="AF225" i="30"/>
  <c r="AG225" i="30"/>
  <c r="AH225" i="30" s="1"/>
  <c r="F226" i="30"/>
  <c r="G226" i="30" s="1"/>
  <c r="L226" i="30"/>
  <c r="M226" i="30"/>
  <c r="N226" i="30"/>
  <c r="AB226" i="30"/>
  <c r="AC226" i="30"/>
  <c r="AF226" i="30"/>
  <c r="AG226" i="30"/>
  <c r="AH226" i="30" s="1"/>
  <c r="F227" i="30"/>
  <c r="G227" i="30" s="1"/>
  <c r="L227" i="30"/>
  <c r="M227" i="30"/>
  <c r="N227" i="30"/>
  <c r="AB227" i="30"/>
  <c r="AC227" i="30"/>
  <c r="AF227" i="30"/>
  <c r="AG227" i="30"/>
  <c r="AH227" i="30" s="1"/>
  <c r="F228" i="30"/>
  <c r="G228" i="30" s="1"/>
  <c r="L228" i="30"/>
  <c r="M228" i="30"/>
  <c r="N228" i="30"/>
  <c r="AB228" i="30"/>
  <c r="AC228" i="30"/>
  <c r="AF228" i="30"/>
  <c r="AG228" i="30"/>
  <c r="AH228" i="30" s="1"/>
  <c r="F229" i="30"/>
  <c r="G229" i="30" s="1"/>
  <c r="L229" i="30"/>
  <c r="M229" i="30"/>
  <c r="N229" i="30"/>
  <c r="AB229" i="30"/>
  <c r="AC229" i="30"/>
  <c r="AF229" i="30"/>
  <c r="AG229" i="30"/>
  <c r="AH229" i="30" s="1"/>
  <c r="F230" i="30"/>
  <c r="G230" i="30" s="1"/>
  <c r="L230" i="30"/>
  <c r="M230" i="30"/>
  <c r="N230" i="30"/>
  <c r="AB230" i="30"/>
  <c r="AC230" i="30"/>
  <c r="AF230" i="30"/>
  <c r="AG230" i="30"/>
  <c r="AH230" i="30" s="1"/>
  <c r="F231" i="30"/>
  <c r="G231" i="30" s="1"/>
  <c r="L231" i="30"/>
  <c r="M231" i="30"/>
  <c r="N231" i="30"/>
  <c r="AB231" i="30"/>
  <c r="AC231" i="30"/>
  <c r="AF231" i="30"/>
  <c r="AG231" i="30"/>
  <c r="AH231" i="30" s="1"/>
  <c r="F232" i="30"/>
  <c r="G232" i="30" s="1"/>
  <c r="L232" i="30"/>
  <c r="M232" i="30"/>
  <c r="N232" i="30"/>
  <c r="AB232" i="30"/>
  <c r="AC232" i="30"/>
  <c r="AF232" i="30"/>
  <c r="AG232" i="30"/>
  <c r="AH232" i="30" s="1"/>
  <c r="F233" i="30"/>
  <c r="G233" i="30" s="1"/>
  <c r="L233" i="30"/>
  <c r="M233" i="30"/>
  <c r="N233" i="30"/>
  <c r="AB233" i="30"/>
  <c r="AC233" i="30"/>
  <c r="AF233" i="30"/>
  <c r="AG233" i="30"/>
  <c r="AH233" i="30" s="1"/>
  <c r="F234" i="30"/>
  <c r="G234" i="30" s="1"/>
  <c r="L234" i="30"/>
  <c r="M234" i="30"/>
  <c r="N234" i="30"/>
  <c r="AB234" i="30"/>
  <c r="AC234" i="30"/>
  <c r="AF234" i="30"/>
  <c r="AG234" i="30"/>
  <c r="AH234" i="30" s="1"/>
  <c r="F235" i="30"/>
  <c r="G235" i="30" s="1"/>
  <c r="L235" i="30"/>
  <c r="M235" i="30"/>
  <c r="N235" i="30"/>
  <c r="AB235" i="30"/>
  <c r="AC235" i="30"/>
  <c r="AF235" i="30"/>
  <c r="AG235" i="30"/>
  <c r="AH235" i="30" s="1"/>
  <c r="F236" i="30"/>
  <c r="G236" i="30" s="1"/>
  <c r="L236" i="30"/>
  <c r="M236" i="30"/>
  <c r="N236" i="30"/>
  <c r="AB236" i="30"/>
  <c r="AC236" i="30"/>
  <c r="AF236" i="30"/>
  <c r="AG236" i="30"/>
  <c r="AH236" i="30" s="1"/>
  <c r="F237" i="30"/>
  <c r="G237" i="30" s="1"/>
  <c r="L237" i="30"/>
  <c r="M237" i="30"/>
  <c r="N237" i="30"/>
  <c r="AB237" i="30"/>
  <c r="AC237" i="30"/>
  <c r="AF237" i="30"/>
  <c r="AG237" i="30"/>
  <c r="AH237" i="30" s="1"/>
  <c r="F238" i="30"/>
  <c r="G238" i="30" s="1"/>
  <c r="L238" i="30"/>
  <c r="M238" i="30"/>
  <c r="N238" i="30"/>
  <c r="AB238" i="30"/>
  <c r="AC238" i="30"/>
  <c r="AF238" i="30"/>
  <c r="AG238" i="30"/>
  <c r="AH238" i="30" s="1"/>
  <c r="F239" i="30"/>
  <c r="G239" i="30" s="1"/>
  <c r="L239" i="30"/>
  <c r="M239" i="30"/>
  <c r="N239" i="30"/>
  <c r="AB239" i="30"/>
  <c r="AC239" i="30"/>
  <c r="AF239" i="30"/>
  <c r="AG239" i="30"/>
  <c r="AH239" i="30" s="1"/>
  <c r="F240" i="30"/>
  <c r="G240" i="30" s="1"/>
  <c r="K240" i="30"/>
  <c r="L240" i="30"/>
  <c r="M240" i="30"/>
  <c r="N240" i="30"/>
  <c r="AB240" i="30"/>
  <c r="AC240" i="30"/>
  <c r="AF240" i="30"/>
  <c r="AG240" i="30"/>
  <c r="AH240" i="30" s="1"/>
  <c r="F241" i="30"/>
  <c r="G241" i="30" s="1"/>
  <c r="K241" i="30"/>
  <c r="L241" i="30"/>
  <c r="M241" i="30"/>
  <c r="N241" i="30"/>
  <c r="AB241" i="30"/>
  <c r="AC241" i="30"/>
  <c r="AF241" i="30"/>
  <c r="AG241" i="30"/>
  <c r="AH241" i="30" s="1"/>
  <c r="F242" i="30"/>
  <c r="G242" i="30" s="1"/>
  <c r="K242" i="30"/>
  <c r="L242" i="30"/>
  <c r="M242" i="30"/>
  <c r="N242" i="30"/>
  <c r="AB242" i="30"/>
  <c r="AC242" i="30"/>
  <c r="AF242" i="30"/>
  <c r="AG242" i="30"/>
  <c r="AH242" i="30" s="1"/>
  <c r="F243" i="30"/>
  <c r="G243" i="30" s="1"/>
  <c r="K243" i="30"/>
  <c r="L243" i="30"/>
  <c r="M243" i="30"/>
  <c r="N243" i="30"/>
  <c r="AB243" i="30"/>
  <c r="AC243" i="30"/>
  <c r="AF243" i="30"/>
  <c r="AG243" i="30"/>
  <c r="AH243" i="30" s="1"/>
  <c r="F244" i="30"/>
  <c r="G244" i="30" s="1"/>
  <c r="K244" i="30"/>
  <c r="L244" i="30"/>
  <c r="M244" i="30"/>
  <c r="N244" i="30"/>
  <c r="AB244" i="30"/>
  <c r="AC244" i="30"/>
  <c r="AF244" i="30"/>
  <c r="AG244" i="30"/>
  <c r="AH244" i="30" s="1"/>
  <c r="F245" i="30"/>
  <c r="G245" i="30" s="1"/>
  <c r="K245" i="30"/>
  <c r="L245" i="30"/>
  <c r="M245" i="30"/>
  <c r="N245" i="30"/>
  <c r="AB245" i="30"/>
  <c r="AC245" i="30"/>
  <c r="AF245" i="30"/>
  <c r="AG245" i="30"/>
  <c r="AH245" i="30" s="1"/>
  <c r="F246" i="30"/>
  <c r="G246" i="30" s="1"/>
  <c r="K246" i="30"/>
  <c r="L246" i="30"/>
  <c r="M246" i="30"/>
  <c r="N246" i="30"/>
  <c r="AB246" i="30"/>
  <c r="AC246" i="30"/>
  <c r="AF246" i="30"/>
  <c r="AG246" i="30"/>
  <c r="AH246" i="30" s="1"/>
  <c r="F247" i="30"/>
  <c r="G247" i="30" s="1"/>
  <c r="K247" i="30"/>
  <c r="L247" i="30"/>
  <c r="M247" i="30"/>
  <c r="N247" i="30"/>
  <c r="AB247" i="30"/>
  <c r="AC247" i="30"/>
  <c r="AF247" i="30"/>
  <c r="AG247" i="30"/>
  <c r="AH247" i="30" s="1"/>
  <c r="F248" i="30"/>
  <c r="G248" i="30" s="1"/>
  <c r="K248" i="30"/>
  <c r="L248" i="30"/>
  <c r="M248" i="30"/>
  <c r="N248" i="30"/>
  <c r="AB248" i="30"/>
  <c r="AC248" i="30"/>
  <c r="AF248" i="30"/>
  <c r="AG248" i="30"/>
  <c r="AH248" i="30" s="1"/>
  <c r="F249" i="30"/>
  <c r="G249" i="30" s="1"/>
  <c r="K249" i="30"/>
  <c r="L249" i="30"/>
  <c r="M249" i="30"/>
  <c r="N249" i="30"/>
  <c r="AB249" i="30"/>
  <c r="AC249" i="30"/>
  <c r="AF249" i="30"/>
  <c r="AG249" i="30"/>
  <c r="AH249" i="30" s="1"/>
  <c r="F250" i="30"/>
  <c r="G250" i="30" s="1"/>
  <c r="K250" i="30"/>
  <c r="L250" i="30"/>
  <c r="M250" i="30"/>
  <c r="N250" i="30"/>
  <c r="AB250" i="30"/>
  <c r="AC250" i="30"/>
  <c r="AF250" i="30"/>
  <c r="AG250" i="30"/>
  <c r="AH250" i="30" s="1"/>
  <c r="F251" i="30"/>
  <c r="G251" i="30" s="1"/>
  <c r="K251" i="30"/>
  <c r="L251" i="30"/>
  <c r="M251" i="30"/>
  <c r="N251" i="30"/>
  <c r="AB251" i="30"/>
  <c r="AC251" i="30"/>
  <c r="AF251" i="30"/>
  <c r="AG251" i="30"/>
  <c r="AH251" i="30" s="1"/>
  <c r="F252" i="30"/>
  <c r="G252" i="30" s="1"/>
  <c r="K252" i="30"/>
  <c r="L252" i="30"/>
  <c r="M252" i="30"/>
  <c r="N252" i="30"/>
  <c r="AB252" i="30"/>
  <c r="AC252" i="30"/>
  <c r="AF252" i="30"/>
  <c r="AG252" i="30"/>
  <c r="AH252" i="30" s="1"/>
  <c r="F253" i="30"/>
  <c r="G253" i="30" s="1"/>
  <c r="K253" i="30"/>
  <c r="L253" i="30"/>
  <c r="M253" i="30"/>
  <c r="N253" i="30"/>
  <c r="AB253" i="30"/>
  <c r="AC253" i="30"/>
  <c r="AF253" i="30"/>
  <c r="AG253" i="30"/>
  <c r="AH253" i="30" s="1"/>
  <c r="F254" i="30"/>
  <c r="G254" i="30" s="1"/>
  <c r="K254" i="30"/>
  <c r="L254" i="30"/>
  <c r="M254" i="30"/>
  <c r="N254" i="30"/>
  <c r="AB254" i="30"/>
  <c r="AC254" i="30"/>
  <c r="AF254" i="30"/>
  <c r="AG254" i="30"/>
  <c r="AH254" i="30" s="1"/>
  <c r="F255" i="30"/>
  <c r="G255" i="30" s="1"/>
  <c r="K255" i="30"/>
  <c r="L255" i="30"/>
  <c r="M255" i="30"/>
  <c r="N255" i="30"/>
  <c r="AB255" i="30"/>
  <c r="AC255" i="30"/>
  <c r="AF255" i="30"/>
  <c r="AG255" i="30"/>
  <c r="AH255" i="30" s="1"/>
  <c r="F256" i="30"/>
  <c r="G256" i="30" s="1"/>
  <c r="K256" i="30"/>
  <c r="L256" i="30"/>
  <c r="M256" i="30"/>
  <c r="N256" i="30"/>
  <c r="AB256" i="30"/>
  <c r="AC256" i="30"/>
  <c r="AF256" i="30"/>
  <c r="AG256" i="30"/>
  <c r="AH256" i="30" s="1"/>
  <c r="F257" i="30"/>
  <c r="G257" i="30" s="1"/>
  <c r="K257" i="30"/>
  <c r="L257" i="30"/>
  <c r="M257" i="30"/>
  <c r="N257" i="30"/>
  <c r="AB257" i="30"/>
  <c r="AC257" i="30"/>
  <c r="AF257" i="30"/>
  <c r="AG257" i="30"/>
  <c r="AH257" i="30" s="1"/>
  <c r="F258" i="30"/>
  <c r="G258" i="30" s="1"/>
  <c r="K258" i="30"/>
  <c r="L258" i="30"/>
  <c r="M258" i="30"/>
  <c r="N258" i="30"/>
  <c r="AB258" i="30"/>
  <c r="AC258" i="30"/>
  <c r="AF258" i="30"/>
  <c r="AG258" i="30"/>
  <c r="AH258" i="30" s="1"/>
  <c r="F259" i="30"/>
  <c r="G259" i="30" s="1"/>
  <c r="K259" i="30"/>
  <c r="L259" i="30"/>
  <c r="M259" i="30"/>
  <c r="N259" i="30"/>
  <c r="AB259" i="30"/>
  <c r="AC259" i="30"/>
  <c r="AF259" i="30"/>
  <c r="AG259" i="30"/>
  <c r="AH259" i="30" s="1"/>
  <c r="F260" i="30"/>
  <c r="G260" i="30" s="1"/>
  <c r="K260" i="30"/>
  <c r="L260" i="30"/>
  <c r="M260" i="30"/>
  <c r="N260" i="30"/>
  <c r="AB260" i="30"/>
  <c r="AC260" i="30"/>
  <c r="AF260" i="30"/>
  <c r="AG260" i="30"/>
  <c r="AH260" i="30" s="1"/>
  <c r="F261" i="30"/>
  <c r="G261" i="30" s="1"/>
  <c r="K261" i="30"/>
  <c r="L261" i="30"/>
  <c r="M261" i="30"/>
  <c r="N261" i="30"/>
  <c r="AB261" i="30"/>
  <c r="AC261" i="30"/>
  <c r="AF261" i="30"/>
  <c r="AG261" i="30"/>
  <c r="AH261" i="30" s="1"/>
  <c r="F262" i="30"/>
  <c r="G262" i="30" s="1"/>
  <c r="K262" i="30"/>
  <c r="L262" i="30"/>
  <c r="M262" i="30"/>
  <c r="N262" i="30"/>
  <c r="AB262" i="30"/>
  <c r="AC262" i="30"/>
  <c r="AF262" i="30"/>
  <c r="AG262" i="30"/>
  <c r="AH262" i="30" s="1"/>
  <c r="F263" i="30"/>
  <c r="G263" i="30" s="1"/>
  <c r="K263" i="30"/>
  <c r="L263" i="30"/>
  <c r="M263" i="30"/>
  <c r="N263" i="30"/>
  <c r="AB263" i="30"/>
  <c r="AC263" i="30"/>
  <c r="AF263" i="30"/>
  <c r="AG263" i="30"/>
  <c r="AH263" i="30" s="1"/>
  <c r="F264" i="30"/>
  <c r="G264" i="30" s="1"/>
  <c r="K264" i="30"/>
  <c r="L264" i="30"/>
  <c r="M264" i="30"/>
  <c r="N264" i="30"/>
  <c r="AB264" i="30"/>
  <c r="AC264" i="30"/>
  <c r="AF264" i="30"/>
  <c r="AG264" i="30"/>
  <c r="AH264" i="30" s="1"/>
  <c r="F265" i="30"/>
  <c r="G265" i="30" s="1"/>
  <c r="K265" i="30"/>
  <c r="L265" i="30"/>
  <c r="M265" i="30"/>
  <c r="N265" i="30"/>
  <c r="AB265" i="30"/>
  <c r="AC265" i="30"/>
  <c r="AF265" i="30"/>
  <c r="AG265" i="30"/>
  <c r="AH265" i="30" s="1"/>
  <c r="F266" i="30"/>
  <c r="G266" i="30" s="1"/>
  <c r="K266" i="30"/>
  <c r="L266" i="30"/>
  <c r="M266" i="30"/>
  <c r="N266" i="30"/>
  <c r="AB266" i="30"/>
  <c r="AC266" i="30"/>
  <c r="AF266" i="30"/>
  <c r="AG266" i="30"/>
  <c r="AH266" i="30" s="1"/>
  <c r="F267" i="30"/>
  <c r="G267" i="30" s="1"/>
  <c r="K267" i="30"/>
  <c r="L267" i="30"/>
  <c r="M267" i="30"/>
  <c r="N267" i="30"/>
  <c r="AB267" i="30"/>
  <c r="AC267" i="30"/>
  <c r="AF267" i="30"/>
  <c r="AG267" i="30"/>
  <c r="AH267" i="30" s="1"/>
  <c r="F268" i="30"/>
  <c r="G268" i="30" s="1"/>
  <c r="K268" i="30"/>
  <c r="L268" i="30"/>
  <c r="M268" i="30"/>
  <c r="N268" i="30"/>
  <c r="AB268" i="30"/>
  <c r="AC268" i="30"/>
  <c r="AF268" i="30"/>
  <c r="AG268" i="30"/>
  <c r="AH268" i="30" s="1"/>
  <c r="F269" i="30"/>
  <c r="G269" i="30" s="1"/>
  <c r="K269" i="30"/>
  <c r="L269" i="30"/>
  <c r="M269" i="30"/>
  <c r="N269" i="30"/>
  <c r="AB269" i="30"/>
  <c r="AC269" i="30"/>
  <c r="AF269" i="30"/>
  <c r="AG269" i="30"/>
  <c r="AH269" i="30" s="1"/>
  <c r="C270" i="30"/>
  <c r="D270" i="30"/>
  <c r="F270" i="30"/>
  <c r="G270" i="30"/>
  <c r="K270" i="30"/>
  <c r="L270" i="30"/>
  <c r="M270" i="30"/>
  <c r="N270" i="30"/>
  <c r="AB270" i="30"/>
  <c r="AC270" i="30"/>
  <c r="AF270" i="30"/>
  <c r="AG270" i="30"/>
  <c r="AH270" i="30" s="1"/>
  <c r="C271" i="30"/>
  <c r="D271" i="30"/>
  <c r="F271" i="30"/>
  <c r="G271" i="30"/>
  <c r="K271" i="30"/>
  <c r="L271" i="30"/>
  <c r="M271" i="30"/>
  <c r="N271" i="30"/>
  <c r="AB271" i="30"/>
  <c r="AC271" i="30"/>
  <c r="AF271" i="30"/>
  <c r="AG271" i="30"/>
  <c r="AH271" i="30" s="1"/>
  <c r="C272" i="30"/>
  <c r="D272" i="30"/>
  <c r="F272" i="30"/>
  <c r="G272" i="30"/>
  <c r="K272" i="30"/>
  <c r="L272" i="30"/>
  <c r="M272" i="30"/>
  <c r="N272" i="30"/>
  <c r="AB272" i="30"/>
  <c r="AC272" i="30"/>
  <c r="AF272" i="30"/>
  <c r="AG272" i="30"/>
  <c r="AH272" i="30" s="1"/>
  <c r="C273" i="30"/>
  <c r="D273" i="30"/>
  <c r="F273" i="30"/>
  <c r="G273" i="30"/>
  <c r="K273" i="30"/>
  <c r="L273" i="30"/>
  <c r="M273" i="30"/>
  <c r="N273" i="30"/>
  <c r="AB273" i="30"/>
  <c r="AC273" i="30"/>
  <c r="AF273" i="30"/>
  <c r="AG273" i="30"/>
  <c r="AH273" i="30" s="1"/>
  <c r="C274" i="30"/>
  <c r="D274" i="30"/>
  <c r="F274" i="30"/>
  <c r="G274" i="30"/>
  <c r="K274" i="30"/>
  <c r="L274" i="30"/>
  <c r="M274" i="30"/>
  <c r="N274" i="30"/>
  <c r="AB274" i="30"/>
  <c r="AC274" i="30"/>
  <c r="AF274" i="30"/>
  <c r="AG274" i="30"/>
  <c r="AH274" i="30" s="1"/>
  <c r="C275" i="30"/>
  <c r="D275" i="30"/>
  <c r="F275" i="30"/>
  <c r="G275" i="30"/>
  <c r="K275" i="30"/>
  <c r="L275" i="30"/>
  <c r="M275" i="30"/>
  <c r="N275" i="30"/>
  <c r="AB275" i="30"/>
  <c r="AC275" i="30"/>
  <c r="AF275" i="30"/>
  <c r="AG275" i="30"/>
  <c r="AH275" i="30" s="1"/>
  <c r="C276" i="30"/>
  <c r="D276" i="30"/>
  <c r="F276" i="30"/>
  <c r="G276" i="30"/>
  <c r="K276" i="30"/>
  <c r="L276" i="30"/>
  <c r="M276" i="30"/>
  <c r="N276" i="30"/>
  <c r="AB276" i="30"/>
  <c r="AC276" i="30"/>
  <c r="AF276" i="30"/>
  <c r="AG276" i="30"/>
  <c r="AH276" i="30" s="1"/>
  <c r="C277" i="30"/>
  <c r="D277" i="30"/>
  <c r="F277" i="30"/>
  <c r="G277" i="30"/>
  <c r="K277" i="30"/>
  <c r="L277" i="30"/>
  <c r="M277" i="30"/>
  <c r="N277" i="30"/>
  <c r="AB277" i="30"/>
  <c r="AC277" i="30"/>
  <c r="AF277" i="30"/>
  <c r="AG277" i="30"/>
  <c r="AH277" i="30" s="1"/>
  <c r="C278" i="30"/>
  <c r="D278" i="30"/>
  <c r="F278" i="30"/>
  <c r="G278" i="30"/>
  <c r="K278" i="30"/>
  <c r="L278" i="30"/>
  <c r="M278" i="30"/>
  <c r="N278" i="30"/>
  <c r="AB278" i="30"/>
  <c r="AC278" i="30"/>
  <c r="AF278" i="30"/>
  <c r="AG278" i="30"/>
  <c r="AH278" i="30" s="1"/>
  <c r="C279" i="30"/>
  <c r="D279" i="30"/>
  <c r="F279" i="30"/>
  <c r="G279" i="30"/>
  <c r="K279" i="30"/>
  <c r="L279" i="30"/>
  <c r="M279" i="30"/>
  <c r="N279" i="30"/>
  <c r="AB279" i="30"/>
  <c r="AC279" i="30"/>
  <c r="AF279" i="30"/>
  <c r="AG279" i="30"/>
  <c r="AH279" i="30" s="1"/>
  <c r="C280" i="30"/>
  <c r="D280" i="30"/>
  <c r="F280" i="30"/>
  <c r="G280" i="30"/>
  <c r="K280" i="30"/>
  <c r="L280" i="30"/>
  <c r="M280" i="30"/>
  <c r="N280" i="30"/>
  <c r="AB280" i="30"/>
  <c r="AC280" i="30"/>
  <c r="AF280" i="30"/>
  <c r="AG280" i="30"/>
  <c r="AH280" i="30" s="1"/>
  <c r="C281" i="30"/>
  <c r="D281" i="30"/>
  <c r="F281" i="30"/>
  <c r="G281" i="30"/>
  <c r="K281" i="30"/>
  <c r="L281" i="30"/>
  <c r="M281" i="30"/>
  <c r="N281" i="30"/>
  <c r="AB281" i="30"/>
  <c r="AC281" i="30"/>
  <c r="AF281" i="30"/>
  <c r="AG281" i="30"/>
  <c r="AH281" i="30" s="1"/>
  <c r="C282" i="30"/>
  <c r="D282" i="30"/>
  <c r="F282" i="30"/>
  <c r="G282" i="30"/>
  <c r="K282" i="30"/>
  <c r="L282" i="30"/>
  <c r="M282" i="30"/>
  <c r="N282" i="30"/>
  <c r="AB282" i="30"/>
  <c r="AC282" i="30"/>
  <c r="AF282" i="30"/>
  <c r="AG282" i="30"/>
  <c r="AH282" i="30" s="1"/>
  <c r="C283" i="30"/>
  <c r="D283" i="30"/>
  <c r="F283" i="30"/>
  <c r="G283" i="30"/>
  <c r="K283" i="30"/>
  <c r="L283" i="30"/>
  <c r="M283" i="30"/>
  <c r="N283" i="30"/>
  <c r="AB283" i="30"/>
  <c r="AC283" i="30"/>
  <c r="AF283" i="30"/>
  <c r="AG283" i="30"/>
  <c r="AH283" i="30" s="1"/>
  <c r="C284" i="30"/>
  <c r="D284" i="30"/>
  <c r="F284" i="30"/>
  <c r="G284" i="30"/>
  <c r="K284" i="30"/>
  <c r="L284" i="30"/>
  <c r="M284" i="30"/>
  <c r="N284" i="30"/>
  <c r="AB284" i="30"/>
  <c r="AC284" i="30"/>
  <c r="AF284" i="30"/>
  <c r="AG284" i="30"/>
  <c r="AH284" i="30" s="1"/>
  <c r="C285" i="30"/>
  <c r="D285" i="30"/>
  <c r="F285" i="30"/>
  <c r="G285" i="30"/>
  <c r="K285" i="30"/>
  <c r="L285" i="30"/>
  <c r="M285" i="30"/>
  <c r="N285" i="30"/>
  <c r="AB285" i="30"/>
  <c r="AC285" i="30"/>
  <c r="AF285" i="30"/>
  <c r="AG285" i="30"/>
  <c r="AH285" i="30" s="1"/>
  <c r="C286" i="30"/>
  <c r="D286" i="30"/>
  <c r="F286" i="30"/>
  <c r="G286" i="30"/>
  <c r="K286" i="30"/>
  <c r="L286" i="30"/>
  <c r="M286" i="30"/>
  <c r="N286" i="30"/>
  <c r="AB286" i="30"/>
  <c r="AC286" i="30"/>
  <c r="AF286" i="30"/>
  <c r="AG286" i="30"/>
  <c r="AH286" i="30" s="1"/>
  <c r="C287" i="30"/>
  <c r="D287" i="30"/>
  <c r="F287" i="30"/>
  <c r="G287" i="30"/>
  <c r="K287" i="30"/>
  <c r="L287" i="30"/>
  <c r="M287" i="30"/>
  <c r="N287" i="30"/>
  <c r="AB287" i="30"/>
  <c r="AC287" i="30"/>
  <c r="AF287" i="30"/>
  <c r="AG287" i="30"/>
  <c r="AH287" i="30" s="1"/>
  <c r="C288" i="30"/>
  <c r="D288" i="30"/>
  <c r="F288" i="30"/>
  <c r="G288" i="30"/>
  <c r="K288" i="30"/>
  <c r="L288" i="30"/>
  <c r="M288" i="30"/>
  <c r="N288" i="30"/>
  <c r="AB288" i="30"/>
  <c r="AC288" i="30"/>
  <c r="AF288" i="30"/>
  <c r="AG288" i="30"/>
  <c r="AH288" i="30" s="1"/>
  <c r="C289" i="30"/>
  <c r="D289" i="30"/>
  <c r="F289" i="30"/>
  <c r="G289" i="30"/>
  <c r="K289" i="30"/>
  <c r="L289" i="30"/>
  <c r="M289" i="30"/>
  <c r="N289" i="30"/>
  <c r="AB289" i="30"/>
  <c r="AC289" i="30"/>
  <c r="AF289" i="30"/>
  <c r="AG289" i="30"/>
  <c r="AH289" i="30" s="1"/>
  <c r="C290" i="30"/>
  <c r="D290" i="30"/>
  <c r="F290" i="30"/>
  <c r="G290" i="30"/>
  <c r="K290" i="30"/>
  <c r="L290" i="30"/>
  <c r="M290" i="30"/>
  <c r="N290" i="30"/>
  <c r="AB290" i="30"/>
  <c r="AC290" i="30"/>
  <c r="AF290" i="30"/>
  <c r="AG290" i="30"/>
  <c r="AH290" i="30" s="1"/>
  <c r="C291" i="30"/>
  <c r="D291" i="30"/>
  <c r="F291" i="30"/>
  <c r="G291" i="30"/>
  <c r="K291" i="30"/>
  <c r="L291" i="30"/>
  <c r="M291" i="30"/>
  <c r="N291" i="30"/>
  <c r="AB291" i="30"/>
  <c r="AC291" i="30"/>
  <c r="AF291" i="30"/>
  <c r="AG291" i="30"/>
  <c r="AH291" i="30" s="1"/>
  <c r="C292" i="30"/>
  <c r="D292" i="30"/>
  <c r="F292" i="30"/>
  <c r="G292" i="30"/>
  <c r="K292" i="30"/>
  <c r="L292" i="30"/>
  <c r="M292" i="30"/>
  <c r="N292" i="30"/>
  <c r="AB292" i="30"/>
  <c r="AC292" i="30"/>
  <c r="AF292" i="30"/>
  <c r="AG292" i="30"/>
  <c r="AH292" i="30" s="1"/>
  <c r="C293" i="30"/>
  <c r="D293" i="30"/>
  <c r="F293" i="30"/>
  <c r="G293" i="30"/>
  <c r="K293" i="30"/>
  <c r="L293" i="30"/>
  <c r="M293" i="30"/>
  <c r="N293" i="30"/>
  <c r="AB293" i="30"/>
  <c r="AC293" i="30"/>
  <c r="AF293" i="30"/>
  <c r="AG293" i="30"/>
  <c r="AH293" i="30" s="1"/>
  <c r="C294" i="30"/>
  <c r="D294" i="30"/>
  <c r="F294" i="30"/>
  <c r="G294" i="30"/>
  <c r="K294" i="30"/>
  <c r="L294" i="30"/>
  <c r="M294" i="30"/>
  <c r="N294" i="30"/>
  <c r="AB294" i="30"/>
  <c r="AC294" i="30"/>
  <c r="AF294" i="30"/>
  <c r="AG294" i="30"/>
  <c r="AH294" i="30" s="1"/>
  <c r="C295" i="30"/>
  <c r="D295" i="30"/>
  <c r="F295" i="30"/>
  <c r="G295" i="30"/>
  <c r="K295" i="30"/>
  <c r="L295" i="30"/>
  <c r="M295" i="30"/>
  <c r="N295" i="30"/>
  <c r="AB295" i="30"/>
  <c r="AC295" i="30"/>
  <c r="AF295" i="30"/>
  <c r="AG295" i="30"/>
  <c r="AH295" i="30" s="1"/>
  <c r="C296" i="30"/>
  <c r="D296" i="30"/>
  <c r="F296" i="30"/>
  <c r="G296" i="30"/>
  <c r="K296" i="30"/>
  <c r="L296" i="30"/>
  <c r="M296" i="30"/>
  <c r="N296" i="30"/>
  <c r="AB296" i="30"/>
  <c r="AC296" i="30"/>
  <c r="AF296" i="30"/>
  <c r="AG296" i="30"/>
  <c r="AH296" i="30" s="1"/>
  <c r="C297" i="30"/>
  <c r="D297" i="30"/>
  <c r="F297" i="30"/>
  <c r="G297" i="30"/>
  <c r="K297" i="30"/>
  <c r="L297" i="30"/>
  <c r="M297" i="30"/>
  <c r="N297" i="30"/>
  <c r="AB297" i="30"/>
  <c r="AC297" i="30"/>
  <c r="AF297" i="30"/>
  <c r="AG297" i="30"/>
  <c r="AH297" i="30" s="1"/>
  <c r="C298" i="30"/>
  <c r="D298" i="30"/>
  <c r="F298" i="30"/>
  <c r="G298" i="30"/>
  <c r="K298" i="30"/>
  <c r="L298" i="30"/>
  <c r="M298" i="30"/>
  <c r="N298" i="30"/>
  <c r="AB298" i="30"/>
  <c r="AC298" i="30"/>
  <c r="AF298" i="30"/>
  <c r="AG298" i="30"/>
  <c r="AH298" i="30" s="1"/>
  <c r="C299" i="30"/>
  <c r="D299" i="30"/>
  <c r="F299" i="30"/>
  <c r="G299" i="30"/>
  <c r="K299" i="30"/>
  <c r="L299" i="30"/>
  <c r="M299" i="30"/>
  <c r="N299" i="30"/>
  <c r="AB299" i="30"/>
  <c r="AC299" i="30"/>
  <c r="AF299" i="30"/>
  <c r="AG299" i="30"/>
  <c r="AH299" i="30" s="1"/>
  <c r="C300" i="30"/>
  <c r="D300" i="30"/>
  <c r="F300" i="30"/>
  <c r="G300" i="30"/>
  <c r="K300" i="30"/>
  <c r="L300" i="30"/>
  <c r="M300" i="30"/>
  <c r="N300" i="30"/>
  <c r="AB300" i="30"/>
  <c r="AC300" i="30"/>
  <c r="AF300" i="30"/>
  <c r="AG300" i="30"/>
  <c r="AH300" i="30" s="1"/>
  <c r="C301" i="30"/>
  <c r="D301" i="30"/>
  <c r="F301" i="30"/>
  <c r="G301" i="30"/>
  <c r="K301" i="30"/>
  <c r="L301" i="30"/>
  <c r="M301" i="30"/>
  <c r="N301" i="30"/>
  <c r="AB301" i="30"/>
  <c r="AC301" i="30"/>
  <c r="AF301" i="30"/>
  <c r="AG301" i="30"/>
  <c r="AH301" i="30" s="1"/>
  <c r="C302" i="30"/>
  <c r="D302" i="30"/>
  <c r="F302" i="30"/>
  <c r="G302" i="30"/>
  <c r="K302" i="30"/>
  <c r="L302" i="30"/>
  <c r="M302" i="30"/>
  <c r="N302" i="30"/>
  <c r="AB302" i="30"/>
  <c r="AC302" i="30"/>
  <c r="AF302" i="30"/>
  <c r="AG302" i="30"/>
  <c r="AH302" i="30" s="1"/>
  <c r="C303" i="30"/>
  <c r="D303" i="30"/>
  <c r="F303" i="30"/>
  <c r="G303" i="30"/>
  <c r="K303" i="30"/>
  <c r="L303" i="30"/>
  <c r="M303" i="30"/>
  <c r="N303" i="30"/>
  <c r="AB303" i="30"/>
  <c r="AC303" i="30"/>
  <c r="AF303" i="30"/>
  <c r="AG303" i="30"/>
  <c r="AH303" i="30" s="1"/>
  <c r="C304" i="30"/>
  <c r="D304" i="30"/>
  <c r="F304" i="30"/>
  <c r="G304" i="30"/>
  <c r="K304" i="30"/>
  <c r="L304" i="30"/>
  <c r="M304" i="30"/>
  <c r="N304" i="30"/>
  <c r="AB304" i="30"/>
  <c r="AC304" i="30"/>
  <c r="AF304" i="30"/>
  <c r="AG304" i="30"/>
  <c r="AH304" i="30" s="1"/>
  <c r="C305" i="30"/>
  <c r="D305" i="30"/>
  <c r="F305" i="30"/>
  <c r="G305" i="30"/>
  <c r="K305" i="30"/>
  <c r="L305" i="30"/>
  <c r="M305" i="30"/>
  <c r="N305" i="30"/>
  <c r="AB305" i="30"/>
  <c r="AC305" i="30"/>
  <c r="AF305" i="30"/>
  <c r="AG305" i="30"/>
  <c r="AH305" i="30" s="1"/>
  <c r="C306" i="30"/>
  <c r="D306" i="30"/>
  <c r="F306" i="30"/>
  <c r="G306" i="30"/>
  <c r="K306" i="30"/>
  <c r="L306" i="30"/>
  <c r="M306" i="30"/>
  <c r="N306" i="30"/>
  <c r="AB306" i="30"/>
  <c r="AC306" i="30"/>
  <c r="AF306" i="30"/>
  <c r="AG306" i="30"/>
  <c r="AH306" i="30" s="1"/>
  <c r="C307" i="30"/>
  <c r="D307" i="30"/>
  <c r="F307" i="30"/>
  <c r="G307" i="30"/>
  <c r="K307" i="30"/>
  <c r="L307" i="30"/>
  <c r="M307" i="30"/>
  <c r="N307" i="30"/>
  <c r="AB307" i="30"/>
  <c r="AC307" i="30"/>
  <c r="AF307" i="30"/>
  <c r="AG307" i="30"/>
  <c r="AH307" i="30" s="1"/>
  <c r="C308" i="30"/>
  <c r="D308" i="30"/>
  <c r="F308" i="30"/>
  <c r="G308" i="30"/>
  <c r="K308" i="30"/>
  <c r="L308" i="30"/>
  <c r="M308" i="30"/>
  <c r="N308" i="30"/>
  <c r="AB308" i="30"/>
  <c r="AC308" i="30"/>
  <c r="AF308" i="30"/>
  <c r="AG308" i="30"/>
  <c r="AH308" i="30" s="1"/>
  <c r="C309" i="30"/>
  <c r="D309" i="30"/>
  <c r="F309" i="30"/>
  <c r="G309" i="30"/>
  <c r="K309" i="30"/>
  <c r="L309" i="30"/>
  <c r="M309" i="30"/>
  <c r="N309" i="30"/>
  <c r="AB309" i="30"/>
  <c r="AC309" i="30"/>
  <c r="AF309" i="30"/>
  <c r="AG309" i="30"/>
  <c r="AH309" i="30" s="1"/>
  <c r="C310" i="30"/>
  <c r="D310" i="30"/>
  <c r="F310" i="30"/>
  <c r="G310" i="30"/>
  <c r="K310" i="30"/>
  <c r="L310" i="30"/>
  <c r="M310" i="30"/>
  <c r="N310" i="30"/>
  <c r="AB310" i="30"/>
  <c r="AC310" i="30"/>
  <c r="AF310" i="30"/>
  <c r="AG310" i="30"/>
  <c r="AH310" i="30" s="1"/>
  <c r="C311" i="30"/>
  <c r="D311" i="30"/>
  <c r="F311" i="30"/>
  <c r="G311" i="30"/>
  <c r="K311" i="30"/>
  <c r="L311" i="30"/>
  <c r="M311" i="30"/>
  <c r="N311" i="30"/>
  <c r="AB311" i="30"/>
  <c r="AC311" i="30"/>
  <c r="AF311" i="30"/>
  <c r="AG311" i="30"/>
  <c r="AH311" i="30" s="1"/>
  <c r="C312" i="30"/>
  <c r="D312" i="30"/>
  <c r="F312" i="30"/>
  <c r="G312" i="30"/>
  <c r="K312" i="30"/>
  <c r="L312" i="30"/>
  <c r="M312" i="30"/>
  <c r="N312" i="30"/>
  <c r="AB312" i="30"/>
  <c r="AC312" i="30"/>
  <c r="AF312" i="30"/>
  <c r="AG312" i="30"/>
  <c r="AH312" i="30" s="1"/>
  <c r="C313" i="30"/>
  <c r="D313" i="30"/>
  <c r="F313" i="30"/>
  <c r="G313" i="30"/>
  <c r="K313" i="30"/>
  <c r="L313" i="30"/>
  <c r="M313" i="30"/>
  <c r="N313" i="30"/>
  <c r="AB313" i="30"/>
  <c r="AC313" i="30"/>
  <c r="AF313" i="30"/>
  <c r="AG313" i="30"/>
  <c r="AH313" i="30" s="1"/>
  <c r="C314" i="30"/>
  <c r="D314" i="30"/>
  <c r="F314" i="30"/>
  <c r="G314" i="30"/>
  <c r="K314" i="30"/>
  <c r="L314" i="30"/>
  <c r="M314" i="30"/>
  <c r="N314" i="30"/>
  <c r="AB314" i="30"/>
  <c r="AC314" i="30"/>
  <c r="AF314" i="30"/>
  <c r="AG314" i="30"/>
  <c r="AH314" i="30" s="1"/>
  <c r="C315" i="30"/>
  <c r="D315" i="30"/>
  <c r="F315" i="30"/>
  <c r="G315" i="30"/>
  <c r="K315" i="30"/>
  <c r="L315" i="30"/>
  <c r="M315" i="30"/>
  <c r="N315" i="30"/>
  <c r="AB315" i="30"/>
  <c r="AC315" i="30"/>
  <c r="AF315" i="30"/>
  <c r="AG315" i="30"/>
  <c r="AH315" i="30" s="1"/>
  <c r="C316" i="30"/>
  <c r="D316" i="30"/>
  <c r="F316" i="30"/>
  <c r="G316" i="30"/>
  <c r="K316" i="30"/>
  <c r="L316" i="30"/>
  <c r="M316" i="30"/>
  <c r="N316" i="30"/>
  <c r="AB316" i="30"/>
  <c r="AC316" i="30"/>
  <c r="AF316" i="30"/>
  <c r="AG316" i="30"/>
  <c r="AH316" i="30" s="1"/>
  <c r="C317" i="30"/>
  <c r="D317" i="30"/>
  <c r="F317" i="30"/>
  <c r="G317" i="30"/>
  <c r="K317" i="30"/>
  <c r="L317" i="30"/>
  <c r="M317" i="30"/>
  <c r="N317" i="30"/>
  <c r="AB317" i="30"/>
  <c r="AC317" i="30"/>
  <c r="AF317" i="30"/>
  <c r="AG317" i="30"/>
  <c r="AH317" i="30" s="1"/>
  <c r="C318" i="30"/>
  <c r="D318" i="30"/>
  <c r="F318" i="30"/>
  <c r="G318" i="30"/>
  <c r="K318" i="30"/>
  <c r="L318" i="30"/>
  <c r="M318" i="30"/>
  <c r="N318" i="30"/>
  <c r="AB318" i="30"/>
  <c r="AC318" i="30"/>
  <c r="AF318" i="30"/>
  <c r="AG318" i="30"/>
  <c r="AH318" i="30" s="1"/>
  <c r="C319" i="30"/>
  <c r="D319" i="30"/>
  <c r="F319" i="30"/>
  <c r="G319" i="30"/>
  <c r="K319" i="30"/>
  <c r="L319" i="30"/>
  <c r="M319" i="30"/>
  <c r="N319" i="30"/>
  <c r="AB319" i="30"/>
  <c r="AC319" i="30"/>
  <c r="AF319" i="30"/>
  <c r="AG319" i="30"/>
  <c r="AH319" i="30" s="1"/>
  <c r="C320" i="30"/>
  <c r="D320" i="30"/>
  <c r="F320" i="30"/>
  <c r="G320" i="30"/>
  <c r="K320" i="30"/>
  <c r="L320" i="30"/>
  <c r="M320" i="30"/>
  <c r="N320" i="30"/>
  <c r="AB320" i="30"/>
  <c r="AC320" i="30"/>
  <c r="AF320" i="30"/>
  <c r="AG320" i="30"/>
  <c r="AH320" i="30" s="1"/>
  <c r="C321" i="30"/>
  <c r="D321" i="30"/>
  <c r="F321" i="30"/>
  <c r="G321" i="30"/>
  <c r="K321" i="30"/>
  <c r="L321" i="30"/>
  <c r="M321" i="30"/>
  <c r="N321" i="30"/>
  <c r="AB321" i="30"/>
  <c r="AC321" i="30"/>
  <c r="AF321" i="30"/>
  <c r="AG321" i="30"/>
  <c r="AH321" i="30" s="1"/>
  <c r="C322" i="30"/>
  <c r="D322" i="30"/>
  <c r="F322" i="30"/>
  <c r="G322" i="30"/>
  <c r="K322" i="30"/>
  <c r="L322" i="30"/>
  <c r="M322" i="30"/>
  <c r="N322" i="30"/>
  <c r="AB322" i="30"/>
  <c r="AC322" i="30"/>
  <c r="AF322" i="30"/>
  <c r="AG322" i="30"/>
  <c r="AH322" i="30" s="1"/>
  <c r="C323" i="30"/>
  <c r="D323" i="30"/>
  <c r="F323" i="30"/>
  <c r="G323" i="30"/>
  <c r="K323" i="30"/>
  <c r="L323" i="30"/>
  <c r="M323" i="30"/>
  <c r="N323" i="30"/>
  <c r="AB323" i="30"/>
  <c r="AC323" i="30"/>
  <c r="AF323" i="30"/>
  <c r="AG323" i="30"/>
  <c r="AH323" i="30" s="1"/>
  <c r="C324" i="30"/>
  <c r="D324" i="30"/>
  <c r="F324" i="30"/>
  <c r="G324" i="30"/>
  <c r="K324" i="30"/>
  <c r="L324" i="30"/>
  <c r="M324" i="30"/>
  <c r="N324" i="30"/>
  <c r="AB324" i="30"/>
  <c r="AC324" i="30"/>
  <c r="AF324" i="30"/>
  <c r="AG324" i="30"/>
  <c r="AH324" i="30" s="1"/>
  <c r="C325" i="30"/>
  <c r="D325" i="30"/>
  <c r="F325" i="30"/>
  <c r="G325" i="30"/>
  <c r="K325" i="30"/>
  <c r="L325" i="30"/>
  <c r="M325" i="30"/>
  <c r="N325" i="30"/>
  <c r="AB325" i="30"/>
  <c r="AC325" i="30"/>
  <c r="AF325" i="30"/>
  <c r="AG325" i="30"/>
  <c r="AH325" i="30" s="1"/>
  <c r="C326" i="30"/>
  <c r="D326" i="30"/>
  <c r="F326" i="30"/>
  <c r="G326" i="30"/>
  <c r="K326" i="30"/>
  <c r="L326" i="30"/>
  <c r="M326" i="30"/>
  <c r="N326" i="30"/>
  <c r="AB326" i="30"/>
  <c r="AC326" i="30"/>
  <c r="AF326" i="30"/>
  <c r="AG326" i="30"/>
  <c r="AH326" i="30" s="1"/>
  <c r="C327" i="30"/>
  <c r="D327" i="30"/>
  <c r="F327" i="30"/>
  <c r="G327" i="30"/>
  <c r="K327" i="30"/>
  <c r="L327" i="30"/>
  <c r="M327" i="30"/>
  <c r="N327" i="30"/>
  <c r="AB327" i="30"/>
  <c r="AC327" i="30"/>
  <c r="AF327" i="30"/>
  <c r="AG327" i="30"/>
  <c r="AH327" i="30" s="1"/>
  <c r="C328" i="30"/>
  <c r="D328" i="30"/>
  <c r="F328" i="30"/>
  <c r="G328" i="30"/>
  <c r="K328" i="30"/>
  <c r="L328" i="30"/>
  <c r="M328" i="30"/>
  <c r="N328" i="30"/>
  <c r="AB328" i="30"/>
  <c r="AC328" i="30"/>
  <c r="AF328" i="30"/>
  <c r="AG328" i="30"/>
  <c r="AH328" i="30" s="1"/>
  <c r="C329" i="30"/>
  <c r="D329" i="30"/>
  <c r="F329" i="30"/>
  <c r="G329" i="30"/>
  <c r="K329" i="30"/>
  <c r="L329" i="30"/>
  <c r="M329" i="30"/>
  <c r="N329" i="30"/>
  <c r="AB329" i="30"/>
  <c r="AC329" i="30"/>
  <c r="AF329" i="30"/>
  <c r="AG329" i="30"/>
  <c r="AH329" i="30" s="1"/>
  <c r="C330" i="30"/>
  <c r="D330" i="30"/>
  <c r="F330" i="30"/>
  <c r="G330" i="30"/>
  <c r="K330" i="30"/>
  <c r="L330" i="30"/>
  <c r="M330" i="30"/>
  <c r="N330" i="30"/>
  <c r="AB330" i="30"/>
  <c r="AC330" i="30"/>
  <c r="AF330" i="30"/>
  <c r="AG330" i="30"/>
  <c r="AH330" i="30" s="1"/>
  <c r="C331" i="30"/>
  <c r="D331" i="30"/>
  <c r="F331" i="30"/>
  <c r="G331" i="30"/>
  <c r="K331" i="30"/>
  <c r="L331" i="30"/>
  <c r="M331" i="30"/>
  <c r="N331" i="30"/>
  <c r="AB331" i="30"/>
  <c r="AC331" i="30"/>
  <c r="AF331" i="30"/>
  <c r="AG331" i="30"/>
  <c r="AH331" i="30" s="1"/>
  <c r="C332" i="30"/>
  <c r="D332" i="30"/>
  <c r="F332" i="30"/>
  <c r="G332" i="30"/>
  <c r="K332" i="30"/>
  <c r="L332" i="30"/>
  <c r="M332" i="30"/>
  <c r="N332" i="30"/>
  <c r="AB332" i="30"/>
  <c r="AC332" i="30"/>
  <c r="AF332" i="30"/>
  <c r="AG332" i="30"/>
  <c r="AH332" i="30" s="1"/>
  <c r="C333" i="30"/>
  <c r="D333" i="30"/>
  <c r="F333" i="30"/>
  <c r="G333" i="30"/>
  <c r="K333" i="30"/>
  <c r="L333" i="30"/>
  <c r="M333" i="30"/>
  <c r="N333" i="30"/>
  <c r="AB333" i="30"/>
  <c r="AC333" i="30"/>
  <c r="AF333" i="30"/>
  <c r="AG333" i="30"/>
  <c r="AH333" i="30" s="1"/>
  <c r="C334" i="30"/>
  <c r="D334" i="30"/>
  <c r="F334" i="30"/>
  <c r="G334" i="30"/>
  <c r="K334" i="30"/>
  <c r="L334" i="30"/>
  <c r="M334" i="30"/>
  <c r="N334" i="30"/>
  <c r="AB334" i="30"/>
  <c r="AC334" i="30"/>
  <c r="AF334" i="30"/>
  <c r="AG334" i="30"/>
  <c r="AH334" i="30" s="1"/>
  <c r="C335" i="30"/>
  <c r="D335" i="30"/>
  <c r="F335" i="30"/>
  <c r="G335" i="30"/>
  <c r="K335" i="30"/>
  <c r="L335" i="30"/>
  <c r="M335" i="30"/>
  <c r="N335" i="30"/>
  <c r="AB335" i="30"/>
  <c r="AC335" i="30"/>
  <c r="AF335" i="30"/>
  <c r="AG335" i="30"/>
  <c r="AH335" i="30" s="1"/>
  <c r="C336" i="30"/>
  <c r="D336" i="30"/>
  <c r="F336" i="30"/>
  <c r="G336" i="30"/>
  <c r="K336" i="30"/>
  <c r="L336" i="30"/>
  <c r="M336" i="30"/>
  <c r="N336" i="30"/>
  <c r="AB336" i="30"/>
  <c r="AC336" i="30"/>
  <c r="AF336" i="30"/>
  <c r="AG336" i="30"/>
  <c r="AH336" i="30" s="1"/>
  <c r="C337" i="30"/>
  <c r="D337" i="30"/>
  <c r="F337" i="30"/>
  <c r="G337" i="30"/>
  <c r="K337" i="30"/>
  <c r="L337" i="30"/>
  <c r="M337" i="30"/>
  <c r="N337" i="30"/>
  <c r="AB337" i="30"/>
  <c r="AC337" i="30"/>
  <c r="AF337" i="30"/>
  <c r="AG337" i="30"/>
  <c r="AH337" i="30" s="1"/>
  <c r="C338" i="30"/>
  <c r="D338" i="30"/>
  <c r="F338" i="30"/>
  <c r="G338" i="30"/>
  <c r="K338" i="30"/>
  <c r="L338" i="30"/>
  <c r="M338" i="30"/>
  <c r="N338" i="30"/>
  <c r="AB338" i="30"/>
  <c r="AC338" i="30"/>
  <c r="AF338" i="30"/>
  <c r="AG338" i="30"/>
  <c r="AH338" i="30" s="1"/>
  <c r="C339" i="30"/>
  <c r="D339" i="30"/>
  <c r="F339" i="30"/>
  <c r="G339" i="30"/>
  <c r="K339" i="30"/>
  <c r="L339" i="30"/>
  <c r="M339" i="30"/>
  <c r="N339" i="30"/>
  <c r="AB339" i="30"/>
  <c r="AC339" i="30"/>
  <c r="AF339" i="30"/>
  <c r="AG339" i="30"/>
  <c r="AH339" i="30" s="1"/>
  <c r="C340" i="30"/>
  <c r="D340" i="30"/>
  <c r="F340" i="30"/>
  <c r="G340" i="30"/>
  <c r="K340" i="30"/>
  <c r="L340" i="30"/>
  <c r="M340" i="30"/>
  <c r="N340" i="30"/>
  <c r="AB340" i="30"/>
  <c r="AC340" i="30"/>
  <c r="AF340" i="30"/>
  <c r="AG340" i="30"/>
  <c r="AH340" i="30" s="1"/>
  <c r="C341" i="30"/>
  <c r="D341" i="30"/>
  <c r="F341" i="30"/>
  <c r="G341" i="30"/>
  <c r="K341" i="30"/>
  <c r="L341" i="30"/>
  <c r="M341" i="30"/>
  <c r="N341" i="30"/>
  <c r="AB341" i="30"/>
  <c r="AC341" i="30"/>
  <c r="AF341" i="30"/>
  <c r="AG341" i="30"/>
  <c r="AH341" i="30" s="1"/>
  <c r="C342" i="30"/>
  <c r="D342" i="30"/>
  <c r="F342" i="30"/>
  <c r="G342" i="30"/>
  <c r="K342" i="30"/>
  <c r="L342" i="30"/>
  <c r="M342" i="30"/>
  <c r="N342" i="30"/>
  <c r="AB342" i="30"/>
  <c r="AC342" i="30"/>
  <c r="AF342" i="30"/>
  <c r="AG342" i="30"/>
  <c r="AH342" i="30" s="1"/>
  <c r="C343" i="30"/>
  <c r="D343" i="30"/>
  <c r="F343" i="30"/>
  <c r="G343" i="30"/>
  <c r="K343" i="30"/>
  <c r="L343" i="30"/>
  <c r="M343" i="30"/>
  <c r="N343" i="30"/>
  <c r="AB343" i="30"/>
  <c r="AC343" i="30"/>
  <c r="AF343" i="30"/>
  <c r="AG343" i="30"/>
  <c r="AH343" i="30" s="1"/>
  <c r="C344" i="30"/>
  <c r="D344" i="30"/>
  <c r="F344" i="30"/>
  <c r="G344" i="30"/>
  <c r="K344" i="30"/>
  <c r="L344" i="30"/>
  <c r="M344" i="30"/>
  <c r="N344" i="30"/>
  <c r="AB344" i="30"/>
  <c r="AC344" i="30"/>
  <c r="AF344" i="30"/>
  <c r="AG344" i="30"/>
  <c r="AH344" i="30" s="1"/>
  <c r="C345" i="30"/>
  <c r="D345" i="30"/>
  <c r="F345" i="30"/>
  <c r="G345" i="30"/>
  <c r="K345" i="30"/>
  <c r="L345" i="30"/>
  <c r="M345" i="30"/>
  <c r="N345" i="30"/>
  <c r="AB345" i="30"/>
  <c r="AC345" i="30"/>
  <c r="AF345" i="30"/>
  <c r="AG345" i="30"/>
  <c r="AH345" i="30" s="1"/>
  <c r="C346" i="30"/>
  <c r="D346" i="30"/>
  <c r="F346" i="30"/>
  <c r="G346" i="30"/>
  <c r="K346" i="30"/>
  <c r="L346" i="30"/>
  <c r="M346" i="30"/>
  <c r="N346" i="30"/>
  <c r="AB346" i="30"/>
  <c r="AC346" i="30"/>
  <c r="AF346" i="30"/>
  <c r="AG346" i="30"/>
  <c r="AH346" i="30" s="1"/>
  <c r="C347" i="30"/>
  <c r="D347" i="30"/>
  <c r="F347" i="30"/>
  <c r="G347" i="30"/>
  <c r="K347" i="30"/>
  <c r="L347" i="30"/>
  <c r="M347" i="30"/>
  <c r="N347" i="30"/>
  <c r="AB347" i="30"/>
  <c r="AC347" i="30"/>
  <c r="AF347" i="30"/>
  <c r="AG347" i="30"/>
  <c r="AH347" i="30" s="1"/>
  <c r="C348" i="30"/>
  <c r="D348" i="30"/>
  <c r="F348" i="30"/>
  <c r="G348" i="30"/>
  <c r="K348" i="30"/>
  <c r="L348" i="30"/>
  <c r="M348" i="30"/>
  <c r="N348" i="30"/>
  <c r="AB348" i="30"/>
  <c r="AC348" i="30"/>
  <c r="AF348" i="30"/>
  <c r="AG348" i="30"/>
  <c r="AH348" i="30" s="1"/>
  <c r="C349" i="30"/>
  <c r="D349" i="30"/>
  <c r="F349" i="30"/>
  <c r="G349" i="30"/>
  <c r="K349" i="30"/>
  <c r="L349" i="30"/>
  <c r="M349" i="30"/>
  <c r="N349" i="30"/>
  <c r="AB349" i="30"/>
  <c r="AC349" i="30"/>
  <c r="AF349" i="30"/>
  <c r="AG349" i="30"/>
  <c r="AH349" i="30" s="1"/>
  <c r="C350" i="30"/>
  <c r="D350" i="30"/>
  <c r="F350" i="30"/>
  <c r="G350" i="30"/>
  <c r="K350" i="30"/>
  <c r="L350" i="30"/>
  <c r="M350" i="30"/>
  <c r="N350" i="30"/>
  <c r="AB350" i="30"/>
  <c r="AC350" i="30"/>
  <c r="AF350" i="30"/>
  <c r="AG350" i="30"/>
  <c r="AH350" i="30" s="1"/>
  <c r="C351" i="30"/>
  <c r="D351" i="30"/>
  <c r="F351" i="30"/>
  <c r="G351" i="30"/>
  <c r="K351" i="30"/>
  <c r="L351" i="30"/>
  <c r="M351" i="30"/>
  <c r="N351" i="30"/>
  <c r="AB351" i="30"/>
  <c r="AC351" i="30"/>
  <c r="AF351" i="30"/>
  <c r="AG351" i="30"/>
  <c r="AH351" i="30" s="1"/>
  <c r="C352" i="30"/>
  <c r="D352" i="30"/>
  <c r="F352" i="30"/>
  <c r="G352" i="30"/>
  <c r="K352" i="30"/>
  <c r="L352" i="30"/>
  <c r="M352" i="30"/>
  <c r="N352" i="30"/>
  <c r="AB352" i="30"/>
  <c r="AC352" i="30"/>
  <c r="AF352" i="30"/>
  <c r="AG352" i="30"/>
  <c r="AH352" i="30" s="1"/>
  <c r="C353" i="30"/>
  <c r="D353" i="30"/>
  <c r="F353" i="30"/>
  <c r="G353" i="30"/>
  <c r="K353" i="30"/>
  <c r="L353" i="30"/>
  <c r="M353" i="30"/>
  <c r="N353" i="30"/>
  <c r="AB353" i="30"/>
  <c r="AC353" i="30"/>
  <c r="AF353" i="30"/>
  <c r="AG353" i="30"/>
  <c r="AH353" i="30" s="1"/>
  <c r="C354" i="30"/>
  <c r="D354" i="30"/>
  <c r="F354" i="30"/>
  <c r="G354" i="30"/>
  <c r="K354" i="30"/>
  <c r="L354" i="30"/>
  <c r="M354" i="30"/>
  <c r="N354" i="30"/>
  <c r="AB354" i="30"/>
  <c r="AC354" i="30"/>
  <c r="AF354" i="30"/>
  <c r="AG354" i="30"/>
  <c r="AH354" i="30" s="1"/>
  <c r="C355" i="30"/>
  <c r="D355" i="30"/>
  <c r="F355" i="30"/>
  <c r="G355" i="30"/>
  <c r="K355" i="30"/>
  <c r="L355" i="30"/>
  <c r="M355" i="30"/>
  <c r="N355" i="30"/>
  <c r="AB355" i="30"/>
  <c r="AC355" i="30"/>
  <c r="AF355" i="30"/>
  <c r="AG355" i="30"/>
  <c r="AH355" i="30" s="1"/>
  <c r="C356" i="30"/>
  <c r="D356" i="30"/>
  <c r="F356" i="30"/>
  <c r="G356" i="30"/>
  <c r="K356" i="30"/>
  <c r="L356" i="30"/>
  <c r="M356" i="30"/>
  <c r="N356" i="30"/>
  <c r="AB356" i="30"/>
  <c r="AC356" i="30"/>
  <c r="AF356" i="30"/>
  <c r="AG356" i="30"/>
  <c r="AH356" i="30" s="1"/>
  <c r="C357" i="30"/>
  <c r="D357" i="30"/>
  <c r="F357" i="30"/>
  <c r="G357" i="30"/>
  <c r="K357" i="30"/>
  <c r="L357" i="30"/>
  <c r="M357" i="30"/>
  <c r="N357" i="30"/>
  <c r="AB357" i="30"/>
  <c r="AC357" i="30"/>
  <c r="AF357" i="30"/>
  <c r="AG357" i="30"/>
  <c r="AH357" i="30" s="1"/>
  <c r="C358" i="30"/>
  <c r="D358" i="30"/>
  <c r="F358" i="30"/>
  <c r="G358" i="30"/>
  <c r="K358" i="30"/>
  <c r="L358" i="30"/>
  <c r="M358" i="30"/>
  <c r="N358" i="30"/>
  <c r="AB358" i="30"/>
  <c r="AC358" i="30"/>
  <c r="AF358" i="30"/>
  <c r="AG358" i="30"/>
  <c r="AH358" i="30" s="1"/>
  <c r="C359" i="30"/>
  <c r="D359" i="30"/>
  <c r="F359" i="30"/>
  <c r="G359" i="30"/>
  <c r="K359" i="30"/>
  <c r="L359" i="30"/>
  <c r="M359" i="30"/>
  <c r="N359" i="30"/>
  <c r="AB359" i="30"/>
  <c r="AC359" i="30"/>
  <c r="AF359" i="30"/>
  <c r="AG359" i="30"/>
  <c r="AH359" i="30" s="1"/>
  <c r="C360" i="30"/>
  <c r="D360" i="30"/>
  <c r="F360" i="30"/>
  <c r="G360" i="30"/>
  <c r="K360" i="30"/>
  <c r="L360" i="30"/>
  <c r="M360" i="30"/>
  <c r="N360" i="30"/>
  <c r="AB360" i="30"/>
  <c r="AC360" i="30"/>
  <c r="AF360" i="30"/>
  <c r="AG360" i="30"/>
  <c r="AH360" i="30" s="1"/>
  <c r="C361" i="30"/>
  <c r="D361" i="30"/>
  <c r="F361" i="30"/>
  <c r="G361" i="30"/>
  <c r="K361" i="30"/>
  <c r="L361" i="30"/>
  <c r="M361" i="30"/>
  <c r="N361" i="30"/>
  <c r="AB361" i="30"/>
  <c r="AC361" i="30"/>
  <c r="AF361" i="30"/>
  <c r="AG361" i="30"/>
  <c r="AH361" i="30" s="1"/>
  <c r="C362" i="30"/>
  <c r="D362" i="30"/>
  <c r="F362" i="30"/>
  <c r="G362" i="30"/>
  <c r="K362" i="30"/>
  <c r="L362" i="30"/>
  <c r="M362" i="30"/>
  <c r="N362" i="30"/>
  <c r="AB362" i="30"/>
  <c r="AC362" i="30"/>
  <c r="AF362" i="30"/>
  <c r="AG362" i="30"/>
  <c r="AH362" i="30" s="1"/>
  <c r="C363" i="30"/>
  <c r="D363" i="30"/>
  <c r="F363" i="30"/>
  <c r="G363" i="30"/>
  <c r="K363" i="30"/>
  <c r="L363" i="30"/>
  <c r="M363" i="30"/>
  <c r="N363" i="30"/>
  <c r="AB363" i="30"/>
  <c r="AC363" i="30"/>
  <c r="AF363" i="30"/>
  <c r="AG363" i="30"/>
  <c r="AH363" i="30" s="1"/>
  <c r="C364" i="30"/>
  <c r="D364" i="30"/>
  <c r="F364" i="30"/>
  <c r="G364" i="30"/>
  <c r="K364" i="30"/>
  <c r="L364" i="30"/>
  <c r="M364" i="30"/>
  <c r="N364" i="30"/>
  <c r="AB364" i="30"/>
  <c r="AC364" i="30"/>
  <c r="AF364" i="30"/>
  <c r="AG364" i="30"/>
  <c r="AH364" i="30" s="1"/>
  <c r="C365" i="30"/>
  <c r="D365" i="30"/>
  <c r="F365" i="30"/>
  <c r="G365" i="30"/>
  <c r="K365" i="30"/>
  <c r="L365" i="30"/>
  <c r="M365" i="30"/>
  <c r="N365" i="30"/>
  <c r="AB365" i="30"/>
  <c r="AC365" i="30"/>
  <c r="AF365" i="30"/>
  <c r="AG365" i="30"/>
  <c r="AH365" i="30" s="1"/>
  <c r="C366" i="30"/>
  <c r="D366" i="30"/>
  <c r="F366" i="30"/>
  <c r="G366" i="30"/>
  <c r="K366" i="30"/>
  <c r="L366" i="30"/>
  <c r="M366" i="30"/>
  <c r="N366" i="30"/>
  <c r="AB366" i="30"/>
  <c r="AC366" i="30"/>
  <c r="AF366" i="30"/>
  <c r="AG366" i="30"/>
  <c r="AH366" i="30" s="1"/>
  <c r="C367" i="30"/>
  <c r="D367" i="30"/>
  <c r="F367" i="30"/>
  <c r="G367" i="30"/>
  <c r="K367" i="30"/>
  <c r="L367" i="30"/>
  <c r="M367" i="30"/>
  <c r="N367" i="30"/>
  <c r="AB367" i="30"/>
  <c r="AC367" i="30"/>
  <c r="AF367" i="30"/>
  <c r="AG367" i="30"/>
  <c r="AH367" i="30" s="1"/>
  <c r="C368" i="30"/>
  <c r="D368" i="30"/>
  <c r="F368" i="30"/>
  <c r="G368" i="30"/>
  <c r="K368" i="30"/>
  <c r="L368" i="30"/>
  <c r="M368" i="30"/>
  <c r="N368" i="30"/>
  <c r="AB368" i="30"/>
  <c r="AC368" i="30"/>
  <c r="AF368" i="30"/>
  <c r="AG368" i="30"/>
  <c r="AH368" i="30" s="1"/>
  <c r="C369" i="30"/>
  <c r="D369" i="30"/>
  <c r="F369" i="30"/>
  <c r="G369" i="30"/>
  <c r="K369" i="30"/>
  <c r="L369" i="30"/>
  <c r="M369" i="30"/>
  <c r="N369" i="30"/>
  <c r="AB369" i="30"/>
  <c r="AC369" i="30"/>
  <c r="AF369" i="30"/>
  <c r="AG369" i="30"/>
  <c r="AH369" i="30" s="1"/>
  <c r="C370" i="30"/>
  <c r="D370" i="30"/>
  <c r="F370" i="30"/>
  <c r="G370" i="30"/>
  <c r="K370" i="30"/>
  <c r="L370" i="30"/>
  <c r="M370" i="30"/>
  <c r="N370" i="30"/>
  <c r="AB370" i="30"/>
  <c r="AC370" i="30"/>
  <c r="AF370" i="30"/>
  <c r="AG370" i="30"/>
  <c r="AH370" i="30" s="1"/>
  <c r="C371" i="30"/>
  <c r="D371" i="30"/>
  <c r="F371" i="30"/>
  <c r="G371" i="30"/>
  <c r="K371" i="30"/>
  <c r="L371" i="30"/>
  <c r="M371" i="30"/>
  <c r="N371" i="30"/>
  <c r="AB371" i="30"/>
  <c r="AC371" i="30"/>
  <c r="AF371" i="30"/>
  <c r="AG371" i="30"/>
  <c r="AH371" i="30" s="1"/>
  <c r="C372" i="30"/>
  <c r="D372" i="30"/>
  <c r="F372" i="30"/>
  <c r="G372" i="30"/>
  <c r="K372" i="30"/>
  <c r="L372" i="30"/>
  <c r="M372" i="30"/>
  <c r="N372" i="30"/>
  <c r="AB372" i="30"/>
  <c r="AC372" i="30"/>
  <c r="AF372" i="30"/>
  <c r="AG372" i="30"/>
  <c r="AH372" i="30" s="1"/>
  <c r="C373" i="30"/>
  <c r="D373" i="30"/>
  <c r="F373" i="30"/>
  <c r="G373" i="30"/>
  <c r="K373" i="30"/>
  <c r="L373" i="30"/>
  <c r="M373" i="30"/>
  <c r="N373" i="30"/>
  <c r="AB373" i="30"/>
  <c r="AC373" i="30"/>
  <c r="AF373" i="30"/>
  <c r="AG373" i="30"/>
  <c r="AH373" i="30" s="1"/>
  <c r="C374" i="30"/>
  <c r="D374" i="30"/>
  <c r="F374" i="30"/>
  <c r="G374" i="30"/>
  <c r="K374" i="30"/>
  <c r="L374" i="30"/>
  <c r="M374" i="30"/>
  <c r="N374" i="30"/>
  <c r="AB374" i="30"/>
  <c r="AC374" i="30"/>
  <c r="AF374" i="30"/>
  <c r="AG374" i="30"/>
  <c r="AH374" i="30" s="1"/>
  <c r="C375" i="30"/>
  <c r="D375" i="30"/>
  <c r="F375" i="30"/>
  <c r="G375" i="30"/>
  <c r="K375" i="30"/>
  <c r="L375" i="30"/>
  <c r="M375" i="30"/>
  <c r="N375" i="30"/>
  <c r="AB375" i="30"/>
  <c r="AC375" i="30"/>
  <c r="AF375" i="30"/>
  <c r="AG375" i="30"/>
  <c r="AH375" i="30" s="1"/>
  <c r="C376" i="30"/>
  <c r="D376" i="30"/>
  <c r="F376" i="30"/>
  <c r="G376" i="30"/>
  <c r="K376" i="30"/>
  <c r="L376" i="30"/>
  <c r="M376" i="30"/>
  <c r="N376" i="30"/>
  <c r="AB376" i="30"/>
  <c r="AC376" i="30"/>
  <c r="AF376" i="30"/>
  <c r="AG376" i="30"/>
  <c r="AH376" i="30" s="1"/>
  <c r="C377" i="30"/>
  <c r="D377" i="30"/>
  <c r="F377" i="30"/>
  <c r="G377" i="30"/>
  <c r="K377" i="30"/>
  <c r="L377" i="30"/>
  <c r="M377" i="30"/>
  <c r="N377" i="30"/>
  <c r="AB377" i="30"/>
  <c r="AC377" i="30"/>
  <c r="AF377" i="30"/>
  <c r="AG377" i="30"/>
  <c r="AH377" i="30" s="1"/>
  <c r="C378" i="30"/>
  <c r="D378" i="30"/>
  <c r="F378" i="30"/>
  <c r="G378" i="30"/>
  <c r="K378" i="30"/>
  <c r="L378" i="30"/>
  <c r="M378" i="30"/>
  <c r="N378" i="30"/>
  <c r="AB378" i="30"/>
  <c r="AC378" i="30"/>
  <c r="AF378" i="30"/>
  <c r="AG378" i="30"/>
  <c r="AH378" i="30" s="1"/>
  <c r="C379" i="30"/>
  <c r="D379" i="30"/>
  <c r="F379" i="30"/>
  <c r="G379" i="30"/>
  <c r="K379" i="30"/>
  <c r="L379" i="30"/>
  <c r="M379" i="30"/>
  <c r="N379" i="30"/>
  <c r="AB379" i="30"/>
  <c r="AC379" i="30"/>
  <c r="AF379" i="30"/>
  <c r="AG379" i="30"/>
  <c r="AH379" i="30" s="1"/>
  <c r="C380" i="30"/>
  <c r="D380" i="30"/>
  <c r="F380" i="30"/>
  <c r="G380" i="30"/>
  <c r="K380" i="30"/>
  <c r="L380" i="30"/>
  <c r="M380" i="30"/>
  <c r="N380" i="30"/>
  <c r="AB380" i="30"/>
  <c r="AC380" i="30"/>
  <c r="AF380" i="30"/>
  <c r="AG380" i="30"/>
  <c r="AH380" i="30" s="1"/>
  <c r="C381" i="30"/>
  <c r="D381" i="30"/>
  <c r="F381" i="30"/>
  <c r="G381" i="30"/>
  <c r="K381" i="30"/>
  <c r="L381" i="30"/>
  <c r="M381" i="30"/>
  <c r="N381" i="30"/>
  <c r="AB381" i="30"/>
  <c r="AC381" i="30"/>
  <c r="AF381" i="30"/>
  <c r="AG381" i="30"/>
  <c r="AH381" i="30" s="1"/>
  <c r="C382" i="30"/>
  <c r="D382" i="30"/>
  <c r="F382" i="30"/>
  <c r="G382" i="30"/>
  <c r="K382" i="30"/>
  <c r="L382" i="30"/>
  <c r="M382" i="30"/>
  <c r="N382" i="30"/>
  <c r="AB382" i="30"/>
  <c r="AC382" i="30"/>
  <c r="AF382" i="30"/>
  <c r="AG382" i="30"/>
  <c r="AH382" i="30" s="1"/>
  <c r="C383" i="30"/>
  <c r="D383" i="30"/>
  <c r="F383" i="30"/>
  <c r="G383" i="30"/>
  <c r="K383" i="30"/>
  <c r="L383" i="30"/>
  <c r="M383" i="30"/>
  <c r="N383" i="30"/>
  <c r="AB383" i="30"/>
  <c r="AC383" i="30"/>
  <c r="AF383" i="30"/>
  <c r="AG383" i="30"/>
  <c r="AH383" i="30" s="1"/>
  <c r="C384" i="30"/>
  <c r="D384" i="30"/>
  <c r="F384" i="30"/>
  <c r="G384" i="30"/>
  <c r="K384" i="30"/>
  <c r="L384" i="30"/>
  <c r="M384" i="30"/>
  <c r="N384" i="30"/>
  <c r="AB384" i="30"/>
  <c r="AC384" i="30"/>
  <c r="AF384" i="30"/>
  <c r="AG384" i="30"/>
  <c r="AH384" i="30" s="1"/>
  <c r="C385" i="30"/>
  <c r="D385" i="30"/>
  <c r="F385" i="30"/>
  <c r="G385" i="30"/>
  <c r="K385" i="30"/>
  <c r="L385" i="30"/>
  <c r="M385" i="30"/>
  <c r="N385" i="30"/>
  <c r="AB385" i="30"/>
  <c r="AC385" i="30"/>
  <c r="AF385" i="30"/>
  <c r="AG385" i="30"/>
  <c r="AH385" i="30" s="1"/>
  <c r="C386" i="30"/>
  <c r="D386" i="30"/>
  <c r="F386" i="30"/>
  <c r="G386" i="30"/>
  <c r="K386" i="30"/>
  <c r="L386" i="30"/>
  <c r="M386" i="30"/>
  <c r="N386" i="30"/>
  <c r="AB386" i="30"/>
  <c r="AC386" i="30"/>
  <c r="AF386" i="30"/>
  <c r="AG386" i="30"/>
  <c r="AH386" i="30" s="1"/>
  <c r="C387" i="30"/>
  <c r="D387" i="30"/>
  <c r="F387" i="30"/>
  <c r="G387" i="30"/>
  <c r="K387" i="30"/>
  <c r="L387" i="30"/>
  <c r="M387" i="30"/>
  <c r="N387" i="30"/>
  <c r="AB387" i="30"/>
  <c r="AC387" i="30"/>
  <c r="AF387" i="30"/>
  <c r="AG387" i="30"/>
  <c r="AH387" i="30" s="1"/>
  <c r="C388" i="30"/>
  <c r="D388" i="30"/>
  <c r="F388" i="30"/>
  <c r="G388" i="30"/>
  <c r="K388" i="30"/>
  <c r="L388" i="30"/>
  <c r="M388" i="30"/>
  <c r="N388" i="30"/>
  <c r="AB388" i="30"/>
  <c r="AC388" i="30"/>
  <c r="AF388" i="30"/>
  <c r="AG388" i="30"/>
  <c r="AH388" i="30" s="1"/>
  <c r="C389" i="30"/>
  <c r="D389" i="30"/>
  <c r="F389" i="30"/>
  <c r="G389" i="30"/>
  <c r="K389" i="30"/>
  <c r="L389" i="30"/>
  <c r="M389" i="30"/>
  <c r="N389" i="30"/>
  <c r="AB389" i="30"/>
  <c r="AC389" i="30"/>
  <c r="AF389" i="30"/>
  <c r="AG389" i="30"/>
  <c r="AH389" i="30" s="1"/>
  <c r="C390" i="30"/>
  <c r="D390" i="30"/>
  <c r="F390" i="30"/>
  <c r="G390" i="30"/>
  <c r="K390" i="30"/>
  <c r="L390" i="30"/>
  <c r="M390" i="30"/>
  <c r="N390" i="30"/>
  <c r="AB390" i="30"/>
  <c r="AC390" i="30"/>
  <c r="AF390" i="30"/>
  <c r="AG390" i="30"/>
  <c r="AH390" i="30" s="1"/>
  <c r="C391" i="30"/>
  <c r="D391" i="30"/>
  <c r="F391" i="30"/>
  <c r="G391" i="30"/>
  <c r="K391" i="30"/>
  <c r="L391" i="30"/>
  <c r="M391" i="30"/>
  <c r="N391" i="30"/>
  <c r="AB391" i="30"/>
  <c r="AC391" i="30"/>
  <c r="AF391" i="30"/>
  <c r="AG391" i="30"/>
  <c r="AH391" i="30" s="1"/>
  <c r="C392" i="30"/>
  <c r="D392" i="30"/>
  <c r="F392" i="30"/>
  <c r="G392" i="30"/>
  <c r="K392" i="30"/>
  <c r="L392" i="30"/>
  <c r="M392" i="30"/>
  <c r="N392" i="30"/>
  <c r="AB392" i="30"/>
  <c r="AC392" i="30"/>
  <c r="AF392" i="30"/>
  <c r="AG392" i="30"/>
  <c r="AH392" i="30" s="1"/>
  <c r="C393" i="30"/>
  <c r="D393" i="30"/>
  <c r="F393" i="30"/>
  <c r="G393" i="30"/>
  <c r="K393" i="30"/>
  <c r="L393" i="30"/>
  <c r="M393" i="30"/>
  <c r="N393" i="30"/>
  <c r="AB393" i="30"/>
  <c r="AC393" i="30"/>
  <c r="AF393" i="30"/>
  <c r="AG393" i="30"/>
  <c r="AH393" i="30" s="1"/>
  <c r="C394" i="30"/>
  <c r="D394" i="30"/>
  <c r="F394" i="30"/>
  <c r="G394" i="30"/>
  <c r="K394" i="30"/>
  <c r="L394" i="30"/>
  <c r="M394" i="30"/>
  <c r="N394" i="30"/>
  <c r="AB394" i="30"/>
  <c r="AC394" i="30"/>
  <c r="AF394" i="30"/>
  <c r="AG394" i="30"/>
  <c r="AH394" i="30" s="1"/>
  <c r="C395" i="30"/>
  <c r="D395" i="30"/>
  <c r="F395" i="30"/>
  <c r="G395" i="30"/>
  <c r="K395" i="30"/>
  <c r="L395" i="30"/>
  <c r="M395" i="30"/>
  <c r="N395" i="30"/>
  <c r="AB395" i="30"/>
  <c r="AC395" i="30"/>
  <c r="AF395" i="30"/>
  <c r="AG395" i="30"/>
  <c r="AH395" i="30" s="1"/>
  <c r="C396" i="30"/>
  <c r="D396" i="30"/>
  <c r="F396" i="30"/>
  <c r="G396" i="30"/>
  <c r="K396" i="30"/>
  <c r="L396" i="30"/>
  <c r="M396" i="30"/>
  <c r="N396" i="30"/>
  <c r="AB396" i="30"/>
  <c r="AC396" i="30"/>
  <c r="AF396" i="30"/>
  <c r="AG396" i="30"/>
  <c r="AH396" i="30" s="1"/>
  <c r="C397" i="30"/>
  <c r="D397" i="30"/>
  <c r="F397" i="30"/>
  <c r="G397" i="30"/>
  <c r="K397" i="30"/>
  <c r="L397" i="30"/>
  <c r="M397" i="30"/>
  <c r="N397" i="30"/>
  <c r="AB397" i="30"/>
  <c r="AC397" i="30"/>
  <c r="AF397" i="30"/>
  <c r="AG397" i="30"/>
  <c r="AH397" i="30" s="1"/>
  <c r="C398" i="30"/>
  <c r="D398" i="30"/>
  <c r="F398" i="30"/>
  <c r="G398" i="30"/>
  <c r="K398" i="30"/>
  <c r="L398" i="30"/>
  <c r="M398" i="30"/>
  <c r="N398" i="30"/>
  <c r="AB398" i="30"/>
  <c r="AC398" i="30"/>
  <c r="AF398" i="30"/>
  <c r="AG398" i="30"/>
  <c r="AH398" i="30" s="1"/>
  <c r="C399" i="30"/>
  <c r="D399" i="30"/>
  <c r="F399" i="30"/>
  <c r="G399" i="30"/>
  <c r="K399" i="30"/>
  <c r="L399" i="30"/>
  <c r="M399" i="30"/>
  <c r="N399" i="30"/>
  <c r="AB399" i="30"/>
  <c r="AC399" i="30"/>
  <c r="AF399" i="30"/>
  <c r="AG399" i="30"/>
  <c r="AH399" i="30" s="1"/>
  <c r="C400" i="30"/>
  <c r="D400" i="30"/>
  <c r="F400" i="30"/>
  <c r="G400" i="30"/>
  <c r="K400" i="30"/>
  <c r="L400" i="30"/>
  <c r="M400" i="30"/>
  <c r="N400" i="30"/>
  <c r="AB400" i="30"/>
  <c r="AC400" i="30"/>
  <c r="AF400" i="30"/>
  <c r="AG400" i="30"/>
  <c r="AH400" i="30" s="1"/>
  <c r="C401" i="30"/>
  <c r="D401" i="30"/>
  <c r="F401" i="30"/>
  <c r="G401" i="30"/>
  <c r="K401" i="30"/>
  <c r="L401" i="30"/>
  <c r="M401" i="30"/>
  <c r="N401" i="30"/>
  <c r="AB401" i="30"/>
  <c r="AC401" i="30"/>
  <c r="AF401" i="30"/>
  <c r="AG401" i="30"/>
  <c r="AH401" i="30" s="1"/>
  <c r="C402" i="30"/>
  <c r="D402" i="30"/>
  <c r="F402" i="30"/>
  <c r="G402" i="30"/>
  <c r="K402" i="30"/>
  <c r="L402" i="30"/>
  <c r="M402" i="30"/>
  <c r="N402" i="30"/>
  <c r="AB402" i="30"/>
  <c r="AC402" i="30"/>
  <c r="AF402" i="30"/>
  <c r="AG402" i="30"/>
  <c r="AH402" i="30" s="1"/>
  <c r="C403" i="30"/>
  <c r="D403" i="30"/>
  <c r="F403" i="30"/>
  <c r="G403" i="30"/>
  <c r="K403" i="30"/>
  <c r="L403" i="30"/>
  <c r="M403" i="30"/>
  <c r="N403" i="30"/>
  <c r="AB403" i="30"/>
  <c r="AC403" i="30"/>
  <c r="AF403" i="30"/>
  <c r="AG403" i="30"/>
  <c r="AH403" i="30" s="1"/>
  <c r="C404" i="30"/>
  <c r="D404" i="30"/>
  <c r="F404" i="30"/>
  <c r="G404" i="30"/>
  <c r="K404" i="30"/>
  <c r="L404" i="30"/>
  <c r="M404" i="30"/>
  <c r="N404" i="30"/>
  <c r="AB404" i="30"/>
  <c r="AC404" i="30"/>
  <c r="AF404" i="30"/>
  <c r="AG404" i="30"/>
  <c r="AH404" i="30" s="1"/>
  <c r="C405" i="30"/>
  <c r="D405" i="30"/>
  <c r="F405" i="30"/>
  <c r="G405" i="30"/>
  <c r="K405" i="30"/>
  <c r="L405" i="30"/>
  <c r="M405" i="30"/>
  <c r="N405" i="30"/>
  <c r="AB405" i="30"/>
  <c r="AC405" i="30"/>
  <c r="AF405" i="30"/>
  <c r="AG405" i="30"/>
  <c r="AH405" i="30" s="1"/>
  <c r="C406" i="30"/>
  <c r="D406" i="30"/>
  <c r="F406" i="30"/>
  <c r="G406" i="30"/>
  <c r="K406" i="30"/>
  <c r="L406" i="30"/>
  <c r="M406" i="30"/>
  <c r="N406" i="30"/>
  <c r="AB406" i="30"/>
  <c r="AC406" i="30"/>
  <c r="AF406" i="30"/>
  <c r="AG406" i="30"/>
  <c r="AH406" i="30" s="1"/>
  <c r="C407" i="30"/>
  <c r="D407" i="30"/>
  <c r="F407" i="30"/>
  <c r="G407" i="30"/>
  <c r="K407" i="30"/>
  <c r="L407" i="30"/>
  <c r="M407" i="30"/>
  <c r="N407" i="30"/>
  <c r="AB407" i="30"/>
  <c r="AC407" i="30"/>
  <c r="AF407" i="30"/>
  <c r="AG407" i="30"/>
  <c r="AH407" i="30" s="1"/>
  <c r="C408" i="30"/>
  <c r="D408" i="30"/>
  <c r="F408" i="30"/>
  <c r="G408" i="30"/>
  <c r="K408" i="30"/>
  <c r="L408" i="30"/>
  <c r="M408" i="30"/>
  <c r="N408" i="30"/>
  <c r="AB408" i="30"/>
  <c r="AC408" i="30"/>
  <c r="AF408" i="30"/>
  <c r="AG408" i="30"/>
  <c r="AH408" i="30" s="1"/>
  <c r="C409" i="30"/>
  <c r="D409" i="30"/>
  <c r="F409" i="30"/>
  <c r="G409" i="30"/>
  <c r="K409" i="30"/>
  <c r="L409" i="30"/>
  <c r="M409" i="30"/>
  <c r="N409" i="30"/>
  <c r="AB409" i="30"/>
  <c r="AC409" i="30"/>
  <c r="AF409" i="30"/>
  <c r="AG409" i="30"/>
  <c r="AH409" i="30" s="1"/>
  <c r="C410" i="30"/>
  <c r="D410" i="30"/>
  <c r="F410" i="30"/>
  <c r="G410" i="30"/>
  <c r="K410" i="30"/>
  <c r="L410" i="30"/>
  <c r="M410" i="30"/>
  <c r="N410" i="30"/>
  <c r="AB410" i="30"/>
  <c r="AC410" i="30"/>
  <c r="AF410" i="30"/>
  <c r="AG410" i="30"/>
  <c r="AH410" i="30" s="1"/>
  <c r="C411" i="30"/>
  <c r="D411" i="30"/>
  <c r="F411" i="30"/>
  <c r="G411" i="30"/>
  <c r="K411" i="30"/>
  <c r="L411" i="30"/>
  <c r="M411" i="30"/>
  <c r="N411" i="30"/>
  <c r="AB411" i="30"/>
  <c r="AC411" i="30"/>
  <c r="AF411" i="30"/>
  <c r="AG411" i="30"/>
  <c r="AH411" i="30" s="1"/>
  <c r="C412" i="30"/>
  <c r="D412" i="30"/>
  <c r="F412" i="30"/>
  <c r="G412" i="30"/>
  <c r="K412" i="30"/>
  <c r="L412" i="30"/>
  <c r="M412" i="30"/>
  <c r="N412" i="30"/>
  <c r="AB412" i="30"/>
  <c r="AC412" i="30"/>
  <c r="AF412" i="30"/>
  <c r="AG412" i="30"/>
  <c r="AH412" i="30" s="1"/>
  <c r="C413" i="30"/>
  <c r="D413" i="30"/>
  <c r="F413" i="30"/>
  <c r="G413" i="30"/>
  <c r="K413" i="30"/>
  <c r="L413" i="30"/>
  <c r="M413" i="30"/>
  <c r="N413" i="30"/>
  <c r="AB413" i="30"/>
  <c r="AC413" i="30"/>
  <c r="AF413" i="30"/>
  <c r="AG413" i="30"/>
  <c r="AH413" i="30" s="1"/>
  <c r="C414" i="30"/>
  <c r="D414" i="30"/>
  <c r="F414" i="30"/>
  <c r="G414" i="30"/>
  <c r="K414" i="30"/>
  <c r="L414" i="30"/>
  <c r="M414" i="30"/>
  <c r="N414" i="30"/>
  <c r="AB414" i="30"/>
  <c r="AC414" i="30"/>
  <c r="AF414" i="30"/>
  <c r="AG414" i="30"/>
  <c r="AH414" i="30" s="1"/>
  <c r="C415" i="30"/>
  <c r="D415" i="30"/>
  <c r="F415" i="30"/>
  <c r="G415" i="30"/>
  <c r="K415" i="30"/>
  <c r="L415" i="30"/>
  <c r="M415" i="30"/>
  <c r="N415" i="30"/>
  <c r="AB415" i="30"/>
  <c r="AC415" i="30"/>
  <c r="AF415" i="30"/>
  <c r="AG415" i="30"/>
  <c r="AH415" i="30" s="1"/>
  <c r="C416" i="30"/>
  <c r="D416" i="30"/>
  <c r="F416" i="30"/>
  <c r="G416" i="30"/>
  <c r="K416" i="30"/>
  <c r="L416" i="30"/>
  <c r="M416" i="30"/>
  <c r="N416" i="30"/>
  <c r="AB416" i="30"/>
  <c r="AC416" i="30"/>
  <c r="AF416" i="30"/>
  <c r="AG416" i="30"/>
  <c r="AH416" i="30" s="1"/>
  <c r="C417" i="30"/>
  <c r="D417" i="30"/>
  <c r="F417" i="30"/>
  <c r="G417" i="30"/>
  <c r="K417" i="30"/>
  <c r="L417" i="30"/>
  <c r="M417" i="30"/>
  <c r="N417" i="30"/>
  <c r="AB417" i="30"/>
  <c r="AC417" i="30"/>
  <c r="AF417" i="30"/>
  <c r="AG417" i="30"/>
  <c r="AH417" i="30" s="1"/>
  <c r="C418" i="30"/>
  <c r="D418" i="30"/>
  <c r="F418" i="30"/>
  <c r="G418" i="30"/>
  <c r="K418" i="30"/>
  <c r="L418" i="30"/>
  <c r="M418" i="30"/>
  <c r="N418" i="30"/>
  <c r="AB418" i="30"/>
  <c r="AC418" i="30"/>
  <c r="AF418" i="30"/>
  <c r="AG418" i="30"/>
  <c r="AH418" i="30" s="1"/>
  <c r="C419" i="30"/>
  <c r="D419" i="30"/>
  <c r="F419" i="30"/>
  <c r="G419" i="30"/>
  <c r="K419" i="30"/>
  <c r="L419" i="30"/>
  <c r="M419" i="30"/>
  <c r="N419" i="30"/>
  <c r="AB419" i="30"/>
  <c r="AC419" i="30"/>
  <c r="AF419" i="30"/>
  <c r="AG419" i="30"/>
  <c r="AH419" i="30" s="1"/>
  <c r="C420" i="30"/>
  <c r="D420" i="30"/>
  <c r="F420" i="30"/>
  <c r="G420" i="30"/>
  <c r="K420" i="30"/>
  <c r="L420" i="30"/>
  <c r="M420" i="30"/>
  <c r="N420" i="30"/>
  <c r="AB420" i="30"/>
  <c r="AC420" i="30"/>
  <c r="AF420" i="30"/>
  <c r="AG420" i="30"/>
  <c r="AH420" i="30" s="1"/>
  <c r="C421" i="30"/>
  <c r="D421" i="30"/>
  <c r="F421" i="30"/>
  <c r="G421" i="30"/>
  <c r="K421" i="30"/>
  <c r="L421" i="30"/>
  <c r="M421" i="30"/>
  <c r="N421" i="30"/>
  <c r="AB421" i="30"/>
  <c r="AC421" i="30"/>
  <c r="AF421" i="30"/>
  <c r="AG421" i="30"/>
  <c r="AH421" i="30" s="1"/>
  <c r="C422" i="30"/>
  <c r="D422" i="30"/>
  <c r="F422" i="30"/>
  <c r="G422" i="30"/>
  <c r="K422" i="30"/>
  <c r="L422" i="30"/>
  <c r="M422" i="30"/>
  <c r="N422" i="30"/>
  <c r="AB422" i="30"/>
  <c r="AC422" i="30"/>
  <c r="AF422" i="30"/>
  <c r="AG422" i="30"/>
  <c r="AH422" i="30" s="1"/>
  <c r="C423" i="30"/>
  <c r="D423" i="30"/>
  <c r="F423" i="30"/>
  <c r="G423" i="30"/>
  <c r="K423" i="30"/>
  <c r="L423" i="30"/>
  <c r="M423" i="30"/>
  <c r="N423" i="30"/>
  <c r="AB423" i="30"/>
  <c r="AC423" i="30"/>
  <c r="AF423" i="30"/>
  <c r="AG423" i="30"/>
  <c r="AH423" i="30" s="1"/>
  <c r="C424" i="30"/>
  <c r="D424" i="30"/>
  <c r="F424" i="30"/>
  <c r="G424" i="30"/>
  <c r="K424" i="30"/>
  <c r="L424" i="30"/>
  <c r="M424" i="30"/>
  <c r="N424" i="30"/>
  <c r="AB424" i="30"/>
  <c r="AC424" i="30"/>
  <c r="AF424" i="30"/>
  <c r="AG424" i="30"/>
  <c r="AH424" i="30" s="1"/>
  <c r="C425" i="30"/>
  <c r="D425" i="30"/>
  <c r="F425" i="30"/>
  <c r="G425" i="30"/>
  <c r="K425" i="30"/>
  <c r="L425" i="30"/>
  <c r="M425" i="30"/>
  <c r="N425" i="30"/>
  <c r="AB425" i="30"/>
  <c r="AC425" i="30"/>
  <c r="AF425" i="30"/>
  <c r="AG425" i="30"/>
  <c r="AH425" i="30" s="1"/>
  <c r="C426" i="30"/>
  <c r="D426" i="30"/>
  <c r="F426" i="30"/>
  <c r="G426" i="30"/>
  <c r="K426" i="30"/>
  <c r="L426" i="30"/>
  <c r="M426" i="30"/>
  <c r="N426" i="30"/>
  <c r="AB426" i="30"/>
  <c r="AC426" i="30"/>
  <c r="AF426" i="30"/>
  <c r="AG426" i="30"/>
  <c r="AH426" i="30" s="1"/>
  <c r="C427" i="30"/>
  <c r="D427" i="30"/>
  <c r="F427" i="30"/>
  <c r="G427" i="30"/>
  <c r="K427" i="30"/>
  <c r="L427" i="30"/>
  <c r="M427" i="30"/>
  <c r="N427" i="30"/>
  <c r="AB427" i="30"/>
  <c r="AC427" i="30"/>
  <c r="AF427" i="30"/>
  <c r="AG427" i="30"/>
  <c r="AH427" i="30" s="1"/>
  <c r="C428" i="30"/>
  <c r="D428" i="30"/>
  <c r="F428" i="30"/>
  <c r="G428" i="30"/>
  <c r="K428" i="30"/>
  <c r="L428" i="30"/>
  <c r="M428" i="30"/>
  <c r="N428" i="30"/>
  <c r="AB428" i="30"/>
  <c r="AC428" i="30"/>
  <c r="AF428" i="30"/>
  <c r="AG428" i="30"/>
  <c r="AH428" i="30" s="1"/>
  <c r="C429" i="30"/>
  <c r="D429" i="30"/>
  <c r="F429" i="30"/>
  <c r="G429" i="30"/>
  <c r="K429" i="30"/>
  <c r="L429" i="30"/>
  <c r="M429" i="30"/>
  <c r="N429" i="30"/>
  <c r="AB429" i="30"/>
  <c r="AC429" i="30"/>
  <c r="AF429" i="30"/>
  <c r="AG429" i="30"/>
  <c r="AH429" i="30" s="1"/>
  <c r="C430" i="30"/>
  <c r="D430" i="30"/>
  <c r="F430" i="30"/>
  <c r="G430" i="30"/>
  <c r="K430" i="30"/>
  <c r="L430" i="30"/>
  <c r="M430" i="30"/>
  <c r="N430" i="30"/>
  <c r="AB430" i="30"/>
  <c r="AC430" i="30"/>
  <c r="AF430" i="30"/>
  <c r="AG430" i="30"/>
  <c r="AH430" i="30" s="1"/>
  <c r="C431" i="30"/>
  <c r="D431" i="30"/>
  <c r="F431" i="30"/>
  <c r="G431" i="30"/>
  <c r="K431" i="30"/>
  <c r="L431" i="30"/>
  <c r="M431" i="30"/>
  <c r="N431" i="30"/>
  <c r="AB431" i="30"/>
  <c r="AC431" i="30"/>
  <c r="AF431" i="30"/>
  <c r="AG431" i="30"/>
  <c r="AH431" i="30" s="1"/>
  <c r="C432" i="30"/>
  <c r="D432" i="30"/>
  <c r="F432" i="30"/>
  <c r="G432" i="30"/>
  <c r="K432" i="30"/>
  <c r="L432" i="30"/>
  <c r="M432" i="30"/>
  <c r="N432" i="30"/>
  <c r="AB432" i="30"/>
  <c r="AC432" i="30"/>
  <c r="AF432" i="30"/>
  <c r="AG432" i="30"/>
  <c r="AH432" i="30" s="1"/>
  <c r="C433" i="30"/>
  <c r="D433" i="30"/>
  <c r="F433" i="30"/>
  <c r="G433" i="30"/>
  <c r="K433" i="30"/>
  <c r="L433" i="30"/>
  <c r="M433" i="30"/>
  <c r="N433" i="30"/>
  <c r="AB433" i="30"/>
  <c r="AC433" i="30"/>
  <c r="AF433" i="30"/>
  <c r="AG433" i="30"/>
  <c r="AH433" i="30" s="1"/>
  <c r="C434" i="30"/>
  <c r="D434" i="30"/>
  <c r="F434" i="30"/>
  <c r="G434" i="30"/>
  <c r="K434" i="30"/>
  <c r="L434" i="30"/>
  <c r="M434" i="30"/>
  <c r="N434" i="30"/>
  <c r="AB434" i="30"/>
  <c r="AC434" i="30"/>
  <c r="AF434" i="30"/>
  <c r="AG434" i="30"/>
  <c r="AH434" i="30" s="1"/>
  <c r="C435" i="30"/>
  <c r="D435" i="30"/>
  <c r="F435" i="30"/>
  <c r="G435" i="30"/>
  <c r="K435" i="30"/>
  <c r="L435" i="30"/>
  <c r="M435" i="30"/>
  <c r="N435" i="30"/>
  <c r="AB435" i="30"/>
  <c r="AC435" i="30"/>
  <c r="AF435" i="30"/>
  <c r="AG435" i="30"/>
  <c r="AH435" i="30" s="1"/>
  <c r="C436" i="30"/>
  <c r="D436" i="30"/>
  <c r="F436" i="30"/>
  <c r="G436" i="30"/>
  <c r="K436" i="30"/>
  <c r="L436" i="30"/>
  <c r="M436" i="30"/>
  <c r="N436" i="30"/>
  <c r="AB436" i="30"/>
  <c r="AC436" i="30"/>
  <c r="AF436" i="30"/>
  <c r="AG436" i="30"/>
  <c r="AH436" i="30" s="1"/>
  <c r="C437" i="30"/>
  <c r="D437" i="30"/>
  <c r="F437" i="30"/>
  <c r="G437" i="30"/>
  <c r="K437" i="30"/>
  <c r="L437" i="30"/>
  <c r="M437" i="30"/>
  <c r="N437" i="30"/>
  <c r="AB437" i="30"/>
  <c r="AC437" i="30"/>
  <c r="AF437" i="30"/>
  <c r="AG437" i="30"/>
  <c r="AH437" i="30" s="1"/>
  <c r="C438" i="30"/>
  <c r="D438" i="30"/>
  <c r="F438" i="30"/>
  <c r="G438" i="30"/>
  <c r="K438" i="30"/>
  <c r="L438" i="30"/>
  <c r="M438" i="30"/>
  <c r="N438" i="30"/>
  <c r="AB438" i="30"/>
  <c r="AC438" i="30"/>
  <c r="AF438" i="30"/>
  <c r="AG438" i="30"/>
  <c r="AH438" i="30" s="1"/>
  <c r="C439" i="30"/>
  <c r="D439" i="30"/>
  <c r="F439" i="30"/>
  <c r="G439" i="30"/>
  <c r="K439" i="30"/>
  <c r="L439" i="30"/>
  <c r="M439" i="30"/>
  <c r="N439" i="30"/>
  <c r="AB439" i="30"/>
  <c r="AC439" i="30"/>
  <c r="AF439" i="30"/>
  <c r="AG439" i="30"/>
  <c r="AH439" i="30" s="1"/>
  <c r="C440" i="30"/>
  <c r="D440" i="30"/>
  <c r="F440" i="30"/>
  <c r="G440" i="30"/>
  <c r="K440" i="30"/>
  <c r="L440" i="30"/>
  <c r="M440" i="30"/>
  <c r="N440" i="30"/>
  <c r="AB440" i="30"/>
  <c r="AC440" i="30"/>
  <c r="AF440" i="30"/>
  <c r="AG440" i="30"/>
  <c r="AH440" i="30" s="1"/>
  <c r="C441" i="30"/>
  <c r="D441" i="30"/>
  <c r="F441" i="30"/>
  <c r="G441" i="30"/>
  <c r="K441" i="30"/>
  <c r="L441" i="30"/>
  <c r="M441" i="30"/>
  <c r="N441" i="30"/>
  <c r="AB441" i="30"/>
  <c r="AC441" i="30"/>
  <c r="AF441" i="30"/>
  <c r="AG441" i="30"/>
  <c r="AH441" i="30" s="1"/>
  <c r="C442" i="30"/>
  <c r="D442" i="30"/>
  <c r="F442" i="30"/>
  <c r="G442" i="30"/>
  <c r="K442" i="30"/>
  <c r="L442" i="30"/>
  <c r="M442" i="30"/>
  <c r="N442" i="30"/>
  <c r="AB442" i="30"/>
  <c r="AC442" i="30"/>
  <c r="AF442" i="30"/>
  <c r="AG442" i="30"/>
  <c r="AH442" i="30" s="1"/>
  <c r="C443" i="30"/>
  <c r="D443" i="30"/>
  <c r="F443" i="30"/>
  <c r="G443" i="30"/>
  <c r="K443" i="30"/>
  <c r="L443" i="30"/>
  <c r="M443" i="30"/>
  <c r="N443" i="30"/>
  <c r="AB443" i="30"/>
  <c r="AC443" i="30"/>
  <c r="AF443" i="30"/>
  <c r="AG443" i="30"/>
  <c r="AH443" i="30" s="1"/>
  <c r="C444" i="30"/>
  <c r="D444" i="30"/>
  <c r="F444" i="30"/>
  <c r="G444" i="30"/>
  <c r="K444" i="30"/>
  <c r="L444" i="30"/>
  <c r="M444" i="30"/>
  <c r="N444" i="30"/>
  <c r="AB444" i="30"/>
  <c r="AC444" i="30"/>
  <c r="AF444" i="30"/>
  <c r="AG444" i="30"/>
  <c r="AH444" i="30" s="1"/>
  <c r="C445" i="30"/>
  <c r="D445" i="30"/>
  <c r="F445" i="30"/>
  <c r="G445" i="30"/>
  <c r="K445" i="30"/>
  <c r="L445" i="30"/>
  <c r="M445" i="30"/>
  <c r="N445" i="30"/>
  <c r="AB445" i="30"/>
  <c r="AC445" i="30"/>
  <c r="AF445" i="30"/>
  <c r="AG445" i="30"/>
  <c r="AH445" i="30" s="1"/>
  <c r="C446" i="30"/>
  <c r="D446" i="30"/>
  <c r="F446" i="30"/>
  <c r="G446" i="30"/>
  <c r="K446" i="30"/>
  <c r="L446" i="30"/>
  <c r="M446" i="30"/>
  <c r="N446" i="30"/>
  <c r="AB446" i="30"/>
  <c r="AC446" i="30"/>
  <c r="AF446" i="30"/>
  <c r="AG446" i="30"/>
  <c r="AH446" i="30" s="1"/>
  <c r="C447" i="30"/>
  <c r="D447" i="30"/>
  <c r="F447" i="30"/>
  <c r="G447" i="30"/>
  <c r="K447" i="30"/>
  <c r="L447" i="30"/>
  <c r="M447" i="30"/>
  <c r="N447" i="30"/>
  <c r="AB447" i="30"/>
  <c r="AC447" i="30"/>
  <c r="AF447" i="30"/>
  <c r="AG447" i="30"/>
  <c r="AH447" i="30" s="1"/>
  <c r="C448" i="30"/>
  <c r="D448" i="30"/>
  <c r="F448" i="30"/>
  <c r="G448" i="30"/>
  <c r="K448" i="30"/>
  <c r="L448" i="30"/>
  <c r="M448" i="30"/>
  <c r="N448" i="30"/>
  <c r="AB448" i="30"/>
  <c r="AC448" i="30"/>
  <c r="AF448" i="30"/>
  <c r="AG448" i="30"/>
  <c r="AH448" i="30" s="1"/>
  <c r="C449" i="30"/>
  <c r="D449" i="30"/>
  <c r="F449" i="30"/>
  <c r="G449" i="30"/>
  <c r="K449" i="30"/>
  <c r="L449" i="30"/>
  <c r="M449" i="30"/>
  <c r="N449" i="30"/>
  <c r="AB449" i="30"/>
  <c r="AC449" i="30"/>
  <c r="AF449" i="30"/>
  <c r="AG449" i="30"/>
  <c r="AH449" i="30" s="1"/>
  <c r="C450" i="30"/>
  <c r="D450" i="30"/>
  <c r="F450" i="30"/>
  <c r="G450" i="30"/>
  <c r="K450" i="30"/>
  <c r="L450" i="30"/>
  <c r="M450" i="30"/>
  <c r="N450" i="30"/>
  <c r="AB450" i="30"/>
  <c r="AC450" i="30"/>
  <c r="AF450" i="30"/>
  <c r="AG450" i="30"/>
  <c r="AH450" i="30" s="1"/>
  <c r="C451" i="30"/>
  <c r="D451" i="30"/>
  <c r="F451" i="30"/>
  <c r="G451" i="30"/>
  <c r="K451" i="30"/>
  <c r="L451" i="30"/>
  <c r="M451" i="30"/>
  <c r="N451" i="30"/>
  <c r="AB451" i="30"/>
  <c r="AC451" i="30"/>
  <c r="AF451" i="30"/>
  <c r="AG451" i="30"/>
  <c r="AH451" i="30" s="1"/>
  <c r="C452" i="30"/>
  <c r="D452" i="30"/>
  <c r="F452" i="30"/>
  <c r="G452" i="30"/>
  <c r="K452" i="30"/>
  <c r="L452" i="30"/>
  <c r="M452" i="30"/>
  <c r="N452" i="30"/>
  <c r="AB452" i="30"/>
  <c r="AC452" i="30"/>
  <c r="AF452" i="30"/>
  <c r="AG452" i="30"/>
  <c r="AH452" i="30" s="1"/>
  <c r="C453" i="30"/>
  <c r="D453" i="30"/>
  <c r="F453" i="30"/>
  <c r="G453" i="30"/>
  <c r="K453" i="30"/>
  <c r="L453" i="30"/>
  <c r="M453" i="30"/>
  <c r="N453" i="30"/>
  <c r="AB453" i="30"/>
  <c r="AC453" i="30"/>
  <c r="AF453" i="30"/>
  <c r="AG453" i="30"/>
  <c r="AH453" i="30" s="1"/>
  <c r="C454" i="30"/>
  <c r="D454" i="30"/>
  <c r="F454" i="30"/>
  <c r="G454" i="30"/>
  <c r="K454" i="30"/>
  <c r="L454" i="30"/>
  <c r="M454" i="30"/>
  <c r="N454" i="30"/>
  <c r="AB454" i="30"/>
  <c r="AC454" i="30"/>
  <c r="AF454" i="30"/>
  <c r="AG454" i="30"/>
  <c r="AH454" i="30" s="1"/>
  <c r="C455" i="30"/>
  <c r="D455" i="30"/>
  <c r="F455" i="30"/>
  <c r="G455" i="30"/>
  <c r="K455" i="30"/>
  <c r="L455" i="30"/>
  <c r="M455" i="30"/>
  <c r="N455" i="30"/>
  <c r="AB455" i="30"/>
  <c r="AC455" i="30"/>
  <c r="AF455" i="30"/>
  <c r="AG455" i="30"/>
  <c r="AH455" i="30" s="1"/>
  <c r="C456" i="30"/>
  <c r="D456" i="30"/>
  <c r="F456" i="30"/>
  <c r="G456" i="30"/>
  <c r="K456" i="30"/>
  <c r="L456" i="30"/>
  <c r="M456" i="30"/>
  <c r="N456" i="30"/>
  <c r="AB456" i="30"/>
  <c r="AC456" i="30"/>
  <c r="AF456" i="30"/>
  <c r="AG456" i="30"/>
  <c r="AH456" i="30" s="1"/>
  <c r="C457" i="30"/>
  <c r="D457" i="30"/>
  <c r="F457" i="30"/>
  <c r="G457" i="30"/>
  <c r="K457" i="30"/>
  <c r="L457" i="30"/>
  <c r="M457" i="30"/>
  <c r="N457" i="30"/>
  <c r="AB457" i="30"/>
  <c r="AC457" i="30"/>
  <c r="AF457" i="30"/>
  <c r="AG457" i="30"/>
  <c r="AH457" i="30" s="1"/>
  <c r="C458" i="30"/>
  <c r="D458" i="30"/>
  <c r="F458" i="30"/>
  <c r="G458" i="30"/>
  <c r="K458" i="30"/>
  <c r="L458" i="30"/>
  <c r="M458" i="30"/>
  <c r="N458" i="30"/>
  <c r="AB458" i="30"/>
  <c r="AC458" i="30"/>
  <c r="AF458" i="30"/>
  <c r="AG458" i="30"/>
  <c r="AH458" i="30" s="1"/>
  <c r="C459" i="30"/>
  <c r="D459" i="30"/>
  <c r="F459" i="30"/>
  <c r="G459" i="30"/>
  <c r="K459" i="30"/>
  <c r="L459" i="30"/>
  <c r="M459" i="30"/>
  <c r="N459" i="30"/>
  <c r="AB459" i="30"/>
  <c r="AC459" i="30"/>
  <c r="AF459" i="30"/>
  <c r="AG459" i="30"/>
  <c r="AH459" i="30" s="1"/>
  <c r="C460" i="30"/>
  <c r="D460" i="30"/>
  <c r="F460" i="30"/>
  <c r="G460" i="30"/>
  <c r="K460" i="30"/>
  <c r="L460" i="30"/>
  <c r="M460" i="30"/>
  <c r="N460" i="30"/>
  <c r="AB460" i="30"/>
  <c r="AC460" i="30"/>
  <c r="AF460" i="30"/>
  <c r="AG460" i="30"/>
  <c r="AH460" i="30" s="1"/>
  <c r="C461" i="30"/>
  <c r="D461" i="30"/>
  <c r="F461" i="30"/>
  <c r="G461" i="30"/>
  <c r="K461" i="30"/>
  <c r="L461" i="30"/>
  <c r="M461" i="30"/>
  <c r="N461" i="30"/>
  <c r="AB461" i="30"/>
  <c r="AC461" i="30"/>
  <c r="AF461" i="30"/>
  <c r="AG461" i="30"/>
  <c r="AH461" i="30" s="1"/>
  <c r="C462" i="30"/>
  <c r="D462" i="30"/>
  <c r="F462" i="30"/>
  <c r="G462" i="30"/>
  <c r="K462" i="30"/>
  <c r="L462" i="30"/>
  <c r="M462" i="30"/>
  <c r="N462" i="30"/>
  <c r="AB462" i="30"/>
  <c r="AC462" i="30"/>
  <c r="AF462" i="30"/>
  <c r="AG462" i="30"/>
  <c r="AH462" i="30" s="1"/>
  <c r="C463" i="30"/>
  <c r="D463" i="30"/>
  <c r="F463" i="30"/>
  <c r="G463" i="30"/>
  <c r="K463" i="30"/>
  <c r="L463" i="30"/>
  <c r="M463" i="30"/>
  <c r="N463" i="30"/>
  <c r="AB463" i="30"/>
  <c r="AC463" i="30"/>
  <c r="AF463" i="30"/>
  <c r="AG463" i="30"/>
  <c r="AH463" i="30" s="1"/>
  <c r="C464" i="30"/>
  <c r="D464" i="30"/>
  <c r="F464" i="30"/>
  <c r="G464" i="30"/>
  <c r="K464" i="30"/>
  <c r="L464" i="30"/>
  <c r="M464" i="30"/>
  <c r="N464" i="30"/>
  <c r="AB464" i="30"/>
  <c r="AC464" i="30"/>
  <c r="AF464" i="30"/>
  <c r="AG464" i="30"/>
  <c r="AH464" i="30" s="1"/>
  <c r="C465" i="30"/>
  <c r="D465" i="30"/>
  <c r="F465" i="30"/>
  <c r="G465" i="30"/>
  <c r="K465" i="30"/>
  <c r="L465" i="30"/>
  <c r="M465" i="30"/>
  <c r="N465" i="30"/>
  <c r="AB465" i="30"/>
  <c r="AC465" i="30"/>
  <c r="AF465" i="30"/>
  <c r="AG465" i="30"/>
  <c r="AH465" i="30" s="1"/>
  <c r="C466" i="30"/>
  <c r="D466" i="30"/>
  <c r="F466" i="30"/>
  <c r="G466" i="30"/>
  <c r="K466" i="30"/>
  <c r="L466" i="30"/>
  <c r="M466" i="30"/>
  <c r="N466" i="30"/>
  <c r="AB466" i="30"/>
  <c r="AC466" i="30"/>
  <c r="AF466" i="30"/>
  <c r="AG466" i="30"/>
  <c r="AH466" i="30" s="1"/>
  <c r="C467" i="30"/>
  <c r="D467" i="30"/>
  <c r="F467" i="30"/>
  <c r="G467" i="30"/>
  <c r="K467" i="30"/>
  <c r="L467" i="30"/>
  <c r="M467" i="30"/>
  <c r="N467" i="30"/>
  <c r="AB467" i="30"/>
  <c r="AC467" i="30"/>
  <c r="AF467" i="30"/>
  <c r="AG467" i="30"/>
  <c r="AH467" i="30" s="1"/>
  <c r="C468" i="30"/>
  <c r="D468" i="30"/>
  <c r="F468" i="30"/>
  <c r="G468" i="30"/>
  <c r="K468" i="30"/>
  <c r="L468" i="30"/>
  <c r="M468" i="30"/>
  <c r="N468" i="30"/>
  <c r="AB468" i="30"/>
  <c r="AC468" i="30"/>
  <c r="AF468" i="30"/>
  <c r="AG468" i="30"/>
  <c r="AH468" i="30" s="1"/>
  <c r="C469" i="30"/>
  <c r="D469" i="30"/>
  <c r="F469" i="30"/>
  <c r="G469" i="30"/>
  <c r="K469" i="30"/>
  <c r="L469" i="30"/>
  <c r="M469" i="30"/>
  <c r="N469" i="30"/>
  <c r="AB469" i="30"/>
  <c r="AC469" i="30"/>
  <c r="AF469" i="30"/>
  <c r="AG469" i="30"/>
  <c r="AH469" i="30" s="1"/>
  <c r="C470" i="30"/>
  <c r="D470" i="30"/>
  <c r="F470" i="30"/>
  <c r="G470" i="30"/>
  <c r="K470" i="30"/>
  <c r="L470" i="30"/>
  <c r="M470" i="30"/>
  <c r="N470" i="30"/>
  <c r="AB470" i="30"/>
  <c r="AC470" i="30"/>
  <c r="AF470" i="30"/>
  <c r="AG470" i="30"/>
  <c r="AH470" i="30" s="1"/>
  <c r="C471" i="30"/>
  <c r="D471" i="30"/>
  <c r="F471" i="30"/>
  <c r="G471" i="30"/>
  <c r="K471" i="30"/>
  <c r="L471" i="30"/>
  <c r="M471" i="30"/>
  <c r="N471" i="30"/>
  <c r="AB471" i="30"/>
  <c r="AC471" i="30"/>
  <c r="AF471" i="30"/>
  <c r="AG471" i="30"/>
  <c r="AH471" i="30" s="1"/>
  <c r="C472" i="30"/>
  <c r="D472" i="30"/>
  <c r="F472" i="30"/>
  <c r="G472" i="30"/>
  <c r="K472" i="30"/>
  <c r="L472" i="30"/>
  <c r="M472" i="30"/>
  <c r="N472" i="30"/>
  <c r="AB472" i="30"/>
  <c r="AC472" i="30"/>
  <c r="AF472" i="30"/>
  <c r="AG472" i="30"/>
  <c r="AH472" i="30" s="1"/>
  <c r="C473" i="30"/>
  <c r="D473" i="30"/>
  <c r="F473" i="30"/>
  <c r="G473" i="30"/>
  <c r="K473" i="30"/>
  <c r="L473" i="30"/>
  <c r="M473" i="30"/>
  <c r="N473" i="30"/>
  <c r="AB473" i="30"/>
  <c r="AC473" i="30"/>
  <c r="AF473" i="30"/>
  <c r="AG473" i="30"/>
  <c r="AH473" i="30" s="1"/>
  <c r="C474" i="30"/>
  <c r="D474" i="30"/>
  <c r="F474" i="30"/>
  <c r="G474" i="30"/>
  <c r="K474" i="30"/>
  <c r="L474" i="30"/>
  <c r="M474" i="30"/>
  <c r="N474" i="30"/>
  <c r="AB474" i="30"/>
  <c r="AC474" i="30"/>
  <c r="AF474" i="30"/>
  <c r="AG474" i="30"/>
  <c r="AH474" i="30" s="1"/>
  <c r="C475" i="30"/>
  <c r="D475" i="30"/>
  <c r="F475" i="30"/>
  <c r="G475" i="30"/>
  <c r="K475" i="30"/>
  <c r="L475" i="30"/>
  <c r="M475" i="30"/>
  <c r="N475" i="30"/>
  <c r="AB475" i="30"/>
  <c r="AC475" i="30"/>
  <c r="AF475" i="30"/>
  <c r="AG475" i="30"/>
  <c r="AH475" i="30" s="1"/>
  <c r="C476" i="30"/>
  <c r="D476" i="30"/>
  <c r="F476" i="30"/>
  <c r="G476" i="30"/>
  <c r="K476" i="30"/>
  <c r="L476" i="30"/>
  <c r="M476" i="30"/>
  <c r="N476" i="30"/>
  <c r="AB476" i="30"/>
  <c r="AC476" i="30"/>
  <c r="AF476" i="30"/>
  <c r="AG476" i="30"/>
  <c r="AH476" i="30" s="1"/>
  <c r="C477" i="30"/>
  <c r="D477" i="30"/>
  <c r="F477" i="30"/>
  <c r="G477" i="30"/>
  <c r="K477" i="30"/>
  <c r="L477" i="30"/>
  <c r="M477" i="30"/>
  <c r="N477" i="30"/>
  <c r="AB477" i="30"/>
  <c r="AC477" i="30"/>
  <c r="AF477" i="30"/>
  <c r="AG477" i="30"/>
  <c r="AH477" i="30" s="1"/>
  <c r="C478" i="30"/>
  <c r="D478" i="30"/>
  <c r="F478" i="30"/>
  <c r="G478" i="30"/>
  <c r="K478" i="30"/>
  <c r="L478" i="30"/>
  <c r="M478" i="30"/>
  <c r="N478" i="30"/>
  <c r="AB478" i="30"/>
  <c r="AC478" i="30"/>
  <c r="AF478" i="30"/>
  <c r="AG478" i="30"/>
  <c r="AH478" i="30" s="1"/>
  <c r="C479" i="30"/>
  <c r="D479" i="30"/>
  <c r="F479" i="30"/>
  <c r="G479" i="30"/>
  <c r="K479" i="30"/>
  <c r="L479" i="30"/>
  <c r="M479" i="30"/>
  <c r="N479" i="30"/>
  <c r="AB479" i="30"/>
  <c r="AC479" i="30"/>
  <c r="AF479" i="30"/>
  <c r="AG479" i="30"/>
  <c r="AH479" i="30" s="1"/>
  <c r="C480" i="30"/>
  <c r="D480" i="30"/>
  <c r="F480" i="30"/>
  <c r="G480" i="30"/>
  <c r="K480" i="30"/>
  <c r="L480" i="30"/>
  <c r="M480" i="30"/>
  <c r="N480" i="30"/>
  <c r="AB480" i="30"/>
  <c r="AC480" i="30"/>
  <c r="AF480" i="30"/>
  <c r="AG480" i="30"/>
  <c r="AH480" i="30" s="1"/>
  <c r="C481" i="30"/>
  <c r="D481" i="30"/>
  <c r="F481" i="30"/>
  <c r="G481" i="30"/>
  <c r="K481" i="30"/>
  <c r="L481" i="30"/>
  <c r="M481" i="30"/>
  <c r="N481" i="30"/>
  <c r="AB481" i="30"/>
  <c r="AC481" i="30"/>
  <c r="AF481" i="30"/>
  <c r="AG481" i="30"/>
  <c r="AH481" i="30" s="1"/>
  <c r="C482" i="30"/>
  <c r="D482" i="30"/>
  <c r="F482" i="30"/>
  <c r="G482" i="30"/>
  <c r="K482" i="30"/>
  <c r="L482" i="30"/>
  <c r="M482" i="30"/>
  <c r="N482" i="30"/>
  <c r="AB482" i="30"/>
  <c r="AC482" i="30"/>
  <c r="AF482" i="30"/>
  <c r="AG482" i="30"/>
  <c r="AH482" i="30" s="1"/>
  <c r="C483" i="30"/>
  <c r="D483" i="30"/>
  <c r="F483" i="30"/>
  <c r="G483" i="30"/>
  <c r="K483" i="30"/>
  <c r="L483" i="30"/>
  <c r="M483" i="30"/>
  <c r="N483" i="30"/>
  <c r="AB483" i="30"/>
  <c r="AC483" i="30"/>
  <c r="AF483" i="30"/>
  <c r="AG483" i="30"/>
  <c r="AH483" i="30" s="1"/>
  <c r="C484" i="30"/>
  <c r="D484" i="30"/>
  <c r="F484" i="30"/>
  <c r="G484" i="30"/>
  <c r="K484" i="30"/>
  <c r="L484" i="30"/>
  <c r="M484" i="30"/>
  <c r="N484" i="30"/>
  <c r="AB484" i="30"/>
  <c r="AC484" i="30"/>
  <c r="AF484" i="30"/>
  <c r="AG484" i="30"/>
  <c r="AH484" i="30" s="1"/>
  <c r="C485" i="30"/>
  <c r="D485" i="30"/>
  <c r="F485" i="30"/>
  <c r="G485" i="30"/>
  <c r="K485" i="30"/>
  <c r="L485" i="30"/>
  <c r="M485" i="30"/>
  <c r="N485" i="30"/>
  <c r="AB485" i="30"/>
  <c r="AC485" i="30"/>
  <c r="AF485" i="30"/>
  <c r="AG485" i="30"/>
  <c r="AH485" i="30" s="1"/>
  <c r="C486" i="30"/>
  <c r="D486" i="30"/>
  <c r="F486" i="30"/>
  <c r="G486" i="30"/>
  <c r="K486" i="30"/>
  <c r="L486" i="30"/>
  <c r="M486" i="30"/>
  <c r="N486" i="30"/>
  <c r="AB486" i="30"/>
  <c r="AC486" i="30"/>
  <c r="AF486" i="30"/>
  <c r="AG486" i="30"/>
  <c r="AH486" i="30" s="1"/>
  <c r="C487" i="30"/>
  <c r="D487" i="30"/>
  <c r="F487" i="30"/>
  <c r="G487" i="30"/>
  <c r="K487" i="30"/>
  <c r="L487" i="30"/>
  <c r="M487" i="30"/>
  <c r="N487" i="30"/>
  <c r="AB487" i="30"/>
  <c r="AC487" i="30"/>
  <c r="AF487" i="30"/>
  <c r="AG487" i="30"/>
  <c r="AH487" i="30" s="1"/>
  <c r="C488" i="30"/>
  <c r="D488" i="30"/>
  <c r="F488" i="30"/>
  <c r="G488" i="30"/>
  <c r="K488" i="30"/>
  <c r="L488" i="30"/>
  <c r="M488" i="30"/>
  <c r="N488" i="30"/>
  <c r="AB488" i="30"/>
  <c r="AC488" i="30"/>
  <c r="AF488" i="30"/>
  <c r="AG488" i="30"/>
  <c r="AH488" i="30" s="1"/>
  <c r="C489" i="30"/>
  <c r="D489" i="30"/>
  <c r="F489" i="30"/>
  <c r="G489" i="30"/>
  <c r="K489" i="30"/>
  <c r="L489" i="30"/>
  <c r="M489" i="30"/>
  <c r="N489" i="30"/>
  <c r="AB489" i="30"/>
  <c r="AC489" i="30"/>
  <c r="AF489" i="30"/>
  <c r="AG489" i="30"/>
  <c r="AH489" i="30" s="1"/>
  <c r="C490" i="30"/>
  <c r="D490" i="30"/>
  <c r="F490" i="30"/>
  <c r="G490" i="30"/>
  <c r="K490" i="30"/>
  <c r="L490" i="30"/>
  <c r="M490" i="30"/>
  <c r="N490" i="30"/>
  <c r="AB490" i="30"/>
  <c r="AC490" i="30"/>
  <c r="AF490" i="30"/>
  <c r="AG490" i="30"/>
  <c r="AH490" i="30" s="1"/>
  <c r="C491" i="30"/>
  <c r="D491" i="30"/>
  <c r="F491" i="30"/>
  <c r="G491" i="30"/>
  <c r="K491" i="30"/>
  <c r="L491" i="30"/>
  <c r="M491" i="30"/>
  <c r="N491" i="30"/>
  <c r="AB491" i="30"/>
  <c r="AC491" i="30"/>
  <c r="AF491" i="30"/>
  <c r="AG491" i="30"/>
  <c r="AH491" i="30" s="1"/>
  <c r="C492" i="30"/>
  <c r="D492" i="30"/>
  <c r="F492" i="30"/>
  <c r="G492" i="30"/>
  <c r="K492" i="30"/>
  <c r="L492" i="30"/>
  <c r="M492" i="30"/>
  <c r="N492" i="30"/>
  <c r="AB492" i="30"/>
  <c r="AC492" i="30"/>
  <c r="AF492" i="30"/>
  <c r="AG492" i="30"/>
  <c r="AH492" i="30" s="1"/>
  <c r="C493" i="30"/>
  <c r="D493" i="30"/>
  <c r="F493" i="30"/>
  <c r="G493" i="30"/>
  <c r="K493" i="30"/>
  <c r="L493" i="30"/>
  <c r="M493" i="30"/>
  <c r="N493" i="30"/>
  <c r="AB493" i="30"/>
  <c r="AC493" i="30"/>
  <c r="AF493" i="30"/>
  <c r="AG493" i="30"/>
  <c r="AH493" i="30" s="1"/>
  <c r="C494" i="30"/>
  <c r="D494" i="30"/>
  <c r="F494" i="30"/>
  <c r="G494" i="30"/>
  <c r="K494" i="30"/>
  <c r="L494" i="30"/>
  <c r="M494" i="30"/>
  <c r="N494" i="30"/>
  <c r="AB494" i="30"/>
  <c r="AC494" i="30"/>
  <c r="AF494" i="30"/>
  <c r="AG494" i="30"/>
  <c r="AH494" i="30" s="1"/>
  <c r="C495" i="30"/>
  <c r="D495" i="30"/>
  <c r="F495" i="30"/>
  <c r="G495" i="30"/>
  <c r="K495" i="30"/>
  <c r="L495" i="30"/>
  <c r="M495" i="30"/>
  <c r="N495" i="30"/>
  <c r="AB495" i="30"/>
  <c r="AC495" i="30"/>
  <c r="AF495" i="30"/>
  <c r="AG495" i="30"/>
  <c r="AH495" i="30" s="1"/>
  <c r="C496" i="30"/>
  <c r="D496" i="30"/>
  <c r="F496" i="30"/>
  <c r="G496" i="30"/>
  <c r="K496" i="30"/>
  <c r="L496" i="30"/>
  <c r="M496" i="30"/>
  <c r="N496" i="30"/>
  <c r="AB496" i="30"/>
  <c r="AC496" i="30"/>
  <c r="AF496" i="30"/>
  <c r="AG496" i="30"/>
  <c r="AH496" i="30" s="1"/>
  <c r="C497" i="30"/>
  <c r="D497" i="30"/>
  <c r="F497" i="30"/>
  <c r="G497" i="30"/>
  <c r="K497" i="30"/>
  <c r="L497" i="30"/>
  <c r="M497" i="30"/>
  <c r="N497" i="30"/>
  <c r="AB497" i="30"/>
  <c r="AC497" i="30"/>
  <c r="AF497" i="30"/>
  <c r="AG497" i="30"/>
  <c r="AH497" i="30" s="1"/>
  <c r="C498" i="30"/>
  <c r="D498" i="30"/>
  <c r="F498" i="30"/>
  <c r="G498" i="30"/>
  <c r="K498" i="30"/>
  <c r="L498" i="30"/>
  <c r="M498" i="30"/>
  <c r="N498" i="30"/>
  <c r="AB498" i="30"/>
  <c r="AC498" i="30"/>
  <c r="AF498" i="30"/>
  <c r="AG498" i="30"/>
  <c r="AH498" i="30" s="1"/>
  <c r="C499" i="30"/>
  <c r="D499" i="30"/>
  <c r="F499" i="30"/>
  <c r="G499" i="30"/>
  <c r="K499" i="30"/>
  <c r="L499" i="30"/>
  <c r="M499" i="30"/>
  <c r="N499" i="30"/>
  <c r="AB499" i="30"/>
  <c r="AC499" i="30"/>
  <c r="AF499" i="30"/>
  <c r="AG499" i="30"/>
  <c r="AH499" i="30" s="1"/>
  <c r="C500" i="30"/>
  <c r="D500" i="30"/>
  <c r="F500" i="30"/>
  <c r="G500" i="30"/>
  <c r="K500" i="30"/>
  <c r="L500" i="30"/>
  <c r="M500" i="30"/>
  <c r="N500" i="30"/>
  <c r="AB500" i="30"/>
  <c r="AC500" i="30"/>
  <c r="AF500" i="30"/>
  <c r="AG500" i="30"/>
  <c r="AH500" i="30" s="1"/>
  <c r="C501" i="30"/>
  <c r="D501" i="30"/>
  <c r="F501" i="30"/>
  <c r="G501" i="30"/>
  <c r="K501" i="30"/>
  <c r="L501" i="30"/>
  <c r="M501" i="30"/>
  <c r="N501" i="30"/>
  <c r="AB501" i="30"/>
  <c r="AC501" i="30"/>
  <c r="AF501" i="30"/>
  <c r="AG501" i="30"/>
  <c r="AH501" i="30" s="1"/>
  <c r="C502" i="30"/>
  <c r="D502" i="30"/>
  <c r="F502" i="30"/>
  <c r="G502" i="30"/>
  <c r="K502" i="30"/>
  <c r="L502" i="30"/>
  <c r="M502" i="30"/>
  <c r="N502" i="30"/>
  <c r="AB502" i="30"/>
  <c r="AC502" i="30"/>
  <c r="AF502" i="30"/>
  <c r="AG502" i="30"/>
  <c r="AH502" i="30" s="1"/>
  <c r="C503" i="30"/>
  <c r="D503" i="30"/>
  <c r="F503" i="30"/>
  <c r="G503" i="30"/>
  <c r="K503" i="30"/>
  <c r="L503" i="30"/>
  <c r="M503" i="30"/>
  <c r="N503" i="30"/>
  <c r="AB503" i="30"/>
  <c r="AC503" i="30"/>
  <c r="AF503" i="30"/>
  <c r="AG503" i="30"/>
  <c r="AH503" i="30" s="1"/>
  <c r="C504" i="30"/>
  <c r="D504" i="30"/>
  <c r="F504" i="30"/>
  <c r="G504" i="30"/>
  <c r="K504" i="30"/>
  <c r="L504" i="30"/>
  <c r="M504" i="30"/>
  <c r="N504" i="30"/>
  <c r="AB504" i="30"/>
  <c r="AC504" i="30"/>
  <c r="AF504" i="30"/>
  <c r="AG504" i="30"/>
  <c r="AH504" i="30" s="1"/>
  <c r="C505" i="30"/>
  <c r="D505" i="30"/>
  <c r="F505" i="30"/>
  <c r="G505" i="30"/>
  <c r="K505" i="30"/>
  <c r="L505" i="30"/>
  <c r="M505" i="30"/>
  <c r="N505" i="30"/>
  <c r="AB505" i="30"/>
  <c r="AC505" i="30"/>
  <c r="AF505" i="30"/>
  <c r="AG505" i="30"/>
  <c r="AH505" i="30" s="1"/>
  <c r="C506" i="30"/>
  <c r="D506" i="30"/>
  <c r="F506" i="30"/>
  <c r="G506" i="30"/>
  <c r="K506" i="30"/>
  <c r="L506" i="30"/>
  <c r="M506" i="30"/>
  <c r="N506" i="30"/>
  <c r="AB506" i="30"/>
  <c r="AC506" i="30"/>
  <c r="AF506" i="30"/>
  <c r="AG506" i="30"/>
  <c r="AH506" i="30" s="1"/>
  <c r="C507" i="30"/>
  <c r="D507" i="30"/>
  <c r="F507" i="30"/>
  <c r="G507" i="30"/>
  <c r="K507" i="30"/>
  <c r="L507" i="30"/>
  <c r="M507" i="30"/>
  <c r="N507" i="30"/>
  <c r="AB507" i="30"/>
  <c r="AC507" i="30"/>
  <c r="AF507" i="30"/>
  <c r="AG507" i="30"/>
  <c r="AH507" i="30" s="1"/>
  <c r="C508" i="30"/>
  <c r="D508" i="30"/>
  <c r="F508" i="30"/>
  <c r="G508" i="30"/>
  <c r="K508" i="30"/>
  <c r="L508" i="30"/>
  <c r="M508" i="30"/>
  <c r="N508" i="30"/>
  <c r="AB508" i="30"/>
  <c r="AC508" i="30"/>
  <c r="AF508" i="30"/>
  <c r="AG508" i="30"/>
  <c r="AH508" i="30" s="1"/>
  <c r="C509" i="30"/>
  <c r="D509" i="30"/>
  <c r="F509" i="30"/>
  <c r="G509" i="30"/>
  <c r="K509" i="30"/>
  <c r="L509" i="30"/>
  <c r="M509" i="30"/>
  <c r="N509" i="30"/>
  <c r="AB509" i="30"/>
  <c r="AC509" i="30"/>
  <c r="AF509" i="30"/>
  <c r="AG509" i="30"/>
  <c r="AH509" i="30" s="1"/>
  <c r="C510" i="30"/>
  <c r="D510" i="30"/>
  <c r="F510" i="30"/>
  <c r="G510" i="30"/>
  <c r="K510" i="30"/>
  <c r="L510" i="30"/>
  <c r="M510" i="30"/>
  <c r="N510" i="30"/>
  <c r="AB510" i="30"/>
  <c r="AC510" i="30"/>
  <c r="AF510" i="30"/>
  <c r="AG510" i="30"/>
  <c r="AH510" i="30" s="1"/>
  <c r="C511" i="30"/>
  <c r="D511" i="30"/>
  <c r="F511" i="30"/>
  <c r="G511" i="30"/>
  <c r="K511" i="30"/>
  <c r="L511" i="30"/>
  <c r="M511" i="30"/>
  <c r="N511" i="30"/>
  <c r="AB511" i="30"/>
  <c r="AC511" i="30"/>
  <c r="AF511" i="30"/>
  <c r="AG511" i="30"/>
  <c r="AH511" i="30" s="1"/>
  <c r="C512" i="30"/>
  <c r="D512" i="30"/>
  <c r="F512" i="30"/>
  <c r="G512" i="30"/>
  <c r="K512" i="30"/>
  <c r="L512" i="30"/>
  <c r="M512" i="30"/>
  <c r="N512" i="30"/>
  <c r="AB512" i="30"/>
  <c r="AC512" i="30"/>
  <c r="AF512" i="30"/>
  <c r="AG512" i="30"/>
  <c r="AH512" i="30" s="1"/>
  <c r="C513" i="30"/>
  <c r="D513" i="30"/>
  <c r="F513" i="30"/>
  <c r="G513" i="30"/>
  <c r="K513" i="30"/>
  <c r="L513" i="30"/>
  <c r="M513" i="30"/>
  <c r="N513" i="30"/>
  <c r="AB513" i="30"/>
  <c r="AC513" i="30"/>
  <c r="AF513" i="30"/>
  <c r="AG513" i="30"/>
  <c r="AH513" i="30" s="1"/>
  <c r="C514" i="30"/>
  <c r="D514" i="30"/>
  <c r="F514" i="30"/>
  <c r="G514" i="30"/>
  <c r="K514" i="30"/>
  <c r="L514" i="30"/>
  <c r="M514" i="30"/>
  <c r="N514" i="30"/>
  <c r="AB514" i="30"/>
  <c r="AC514" i="30"/>
  <c r="AF514" i="30"/>
  <c r="AG514" i="30"/>
  <c r="AH514" i="30" s="1"/>
  <c r="C515" i="30"/>
  <c r="D515" i="30"/>
  <c r="F515" i="30"/>
  <c r="G515" i="30"/>
  <c r="K515" i="30"/>
  <c r="L515" i="30"/>
  <c r="M515" i="30"/>
  <c r="N515" i="30"/>
  <c r="AB515" i="30"/>
  <c r="AC515" i="30"/>
  <c r="AF515" i="30"/>
  <c r="AG515" i="30"/>
  <c r="AH515" i="30" s="1"/>
  <c r="C516" i="30"/>
  <c r="D516" i="30"/>
  <c r="F516" i="30"/>
  <c r="G516" i="30"/>
  <c r="K516" i="30"/>
  <c r="L516" i="30"/>
  <c r="M516" i="30"/>
  <c r="N516" i="30"/>
  <c r="AB516" i="30"/>
  <c r="AC516" i="30"/>
  <c r="AF516" i="30"/>
  <c r="AG516" i="30"/>
  <c r="AH516" i="30" s="1"/>
  <c r="C517" i="30"/>
  <c r="D517" i="30"/>
  <c r="F517" i="30"/>
  <c r="G517" i="30"/>
  <c r="K517" i="30"/>
  <c r="L517" i="30"/>
  <c r="M517" i="30"/>
  <c r="N517" i="30"/>
  <c r="AB517" i="30"/>
  <c r="AC517" i="30"/>
  <c r="AF517" i="30"/>
  <c r="AG517" i="30"/>
  <c r="AH517" i="30" s="1"/>
  <c r="C518" i="30"/>
  <c r="D518" i="30"/>
  <c r="F518" i="30"/>
  <c r="G518" i="30"/>
  <c r="K518" i="30"/>
  <c r="L518" i="30"/>
  <c r="M518" i="30"/>
  <c r="N518" i="30"/>
  <c r="AB518" i="30"/>
  <c r="AC518" i="30"/>
  <c r="AF518" i="30"/>
  <c r="AG518" i="30"/>
  <c r="AH518" i="30" s="1"/>
  <c r="C519" i="30"/>
  <c r="D519" i="30"/>
  <c r="F519" i="30"/>
  <c r="G519" i="30"/>
  <c r="K519" i="30"/>
  <c r="L519" i="30"/>
  <c r="M519" i="30"/>
  <c r="N519" i="30"/>
  <c r="AB519" i="30"/>
  <c r="AC519" i="30"/>
  <c r="AF519" i="30"/>
  <c r="AG519" i="30"/>
  <c r="AH519" i="30" s="1"/>
  <c r="C520" i="30"/>
  <c r="D520" i="30"/>
  <c r="F520" i="30"/>
  <c r="G520" i="30"/>
  <c r="K520" i="30"/>
  <c r="L520" i="30"/>
  <c r="M520" i="30"/>
  <c r="N520" i="30"/>
  <c r="AB520" i="30"/>
  <c r="AC520" i="30"/>
  <c r="AF520" i="30"/>
  <c r="AG520" i="30"/>
  <c r="AH520" i="30" s="1"/>
  <c r="C521" i="30"/>
  <c r="D521" i="30"/>
  <c r="F521" i="30"/>
  <c r="G521" i="30"/>
  <c r="K521" i="30"/>
  <c r="L521" i="30"/>
  <c r="M521" i="30"/>
  <c r="N521" i="30"/>
  <c r="AB521" i="30"/>
  <c r="AC521" i="30"/>
  <c r="AF521" i="30"/>
  <c r="AG521" i="30"/>
  <c r="AH521" i="30" s="1"/>
  <c r="C522" i="30"/>
  <c r="D522" i="30"/>
  <c r="F522" i="30"/>
  <c r="G522" i="30"/>
  <c r="K522" i="30"/>
  <c r="L522" i="30"/>
  <c r="M522" i="30"/>
  <c r="N522" i="30"/>
  <c r="AB522" i="30"/>
  <c r="AC522" i="30"/>
  <c r="AF522" i="30"/>
  <c r="AG522" i="30"/>
  <c r="AH522" i="30" s="1"/>
  <c r="C523" i="30"/>
  <c r="D523" i="30"/>
  <c r="F523" i="30"/>
  <c r="G523" i="30"/>
  <c r="K523" i="30"/>
  <c r="L523" i="30"/>
  <c r="M523" i="30"/>
  <c r="N523" i="30"/>
  <c r="AB523" i="30"/>
  <c r="AC523" i="30"/>
  <c r="AF523" i="30"/>
  <c r="AG523" i="30"/>
  <c r="AH523" i="30" s="1"/>
  <c r="C524" i="30"/>
  <c r="D524" i="30"/>
  <c r="F524" i="30"/>
  <c r="G524" i="30"/>
  <c r="K524" i="30"/>
  <c r="L524" i="30"/>
  <c r="M524" i="30"/>
  <c r="N524" i="30"/>
  <c r="AB524" i="30"/>
  <c r="AC524" i="30"/>
  <c r="AF524" i="30"/>
  <c r="AG524" i="30"/>
  <c r="AH524" i="30" s="1"/>
  <c r="C525" i="30"/>
  <c r="D525" i="30"/>
  <c r="F525" i="30"/>
  <c r="G525" i="30"/>
  <c r="K525" i="30"/>
  <c r="L525" i="30"/>
  <c r="M525" i="30"/>
  <c r="N525" i="30"/>
  <c r="AB525" i="30"/>
  <c r="AC525" i="30"/>
  <c r="AF525" i="30"/>
  <c r="AG525" i="30"/>
  <c r="AH525" i="30" s="1"/>
  <c r="C526" i="30"/>
  <c r="D526" i="30"/>
  <c r="F526" i="30"/>
  <c r="G526" i="30"/>
  <c r="K526" i="30"/>
  <c r="L526" i="30"/>
  <c r="M526" i="30"/>
  <c r="N526" i="30"/>
  <c r="AB526" i="30"/>
  <c r="AC526" i="30"/>
  <c r="AF526" i="30"/>
  <c r="AG526" i="30"/>
  <c r="AH526" i="30" s="1"/>
  <c r="C527" i="30"/>
  <c r="D527" i="30"/>
  <c r="F527" i="30"/>
  <c r="G527" i="30"/>
  <c r="K527" i="30"/>
  <c r="L527" i="30"/>
  <c r="M527" i="30"/>
  <c r="N527" i="30"/>
  <c r="AB527" i="30"/>
  <c r="AC527" i="30"/>
  <c r="AF527" i="30"/>
  <c r="AG527" i="30"/>
  <c r="AH527" i="30" s="1"/>
  <c r="C528" i="30"/>
  <c r="D528" i="30"/>
  <c r="F528" i="30"/>
  <c r="G528" i="30"/>
  <c r="K528" i="30"/>
  <c r="L528" i="30"/>
  <c r="M528" i="30"/>
  <c r="N528" i="30"/>
  <c r="AB528" i="30"/>
  <c r="AC528" i="30"/>
  <c r="AF528" i="30"/>
  <c r="AG528" i="30"/>
  <c r="AH528" i="30" s="1"/>
  <c r="C529" i="30"/>
  <c r="D529" i="30"/>
  <c r="F529" i="30"/>
  <c r="G529" i="30"/>
  <c r="K529" i="30"/>
  <c r="L529" i="30"/>
  <c r="M529" i="30"/>
  <c r="N529" i="30"/>
  <c r="AB529" i="30"/>
  <c r="AC529" i="30"/>
  <c r="AF529" i="30"/>
  <c r="AG529" i="30"/>
  <c r="AH529" i="30" s="1"/>
  <c r="C530" i="30"/>
  <c r="D530" i="30"/>
  <c r="F530" i="30"/>
  <c r="G530" i="30"/>
  <c r="K530" i="30"/>
  <c r="L530" i="30"/>
  <c r="M530" i="30"/>
  <c r="N530" i="30"/>
  <c r="AB530" i="30"/>
  <c r="AC530" i="30"/>
  <c r="AF530" i="30"/>
  <c r="AG530" i="30"/>
  <c r="AH530" i="30" s="1"/>
  <c r="C531" i="30"/>
  <c r="D531" i="30"/>
  <c r="F531" i="30"/>
  <c r="G531" i="30"/>
  <c r="K531" i="30"/>
  <c r="L531" i="30"/>
  <c r="M531" i="30"/>
  <c r="N531" i="30"/>
  <c r="AB531" i="30"/>
  <c r="AC531" i="30"/>
  <c r="AF531" i="30"/>
  <c r="AG531" i="30"/>
  <c r="AH531" i="30" s="1"/>
  <c r="C532" i="30"/>
  <c r="D532" i="30"/>
  <c r="F532" i="30"/>
  <c r="G532" i="30"/>
  <c r="K532" i="30"/>
  <c r="L532" i="30"/>
  <c r="M532" i="30"/>
  <c r="N532" i="30"/>
  <c r="AB532" i="30"/>
  <c r="AC532" i="30"/>
  <c r="AF532" i="30"/>
  <c r="AG532" i="30"/>
  <c r="AH532" i="30" s="1"/>
  <c r="C533" i="30"/>
  <c r="D533" i="30"/>
  <c r="F533" i="30"/>
  <c r="G533" i="30"/>
  <c r="K533" i="30"/>
  <c r="L533" i="30"/>
  <c r="M533" i="30"/>
  <c r="N533" i="30"/>
  <c r="AB533" i="30"/>
  <c r="AC533" i="30"/>
  <c r="AF533" i="30"/>
  <c r="AG533" i="30"/>
  <c r="AH533" i="30" s="1"/>
  <c r="C534" i="30"/>
  <c r="D534" i="30"/>
  <c r="F534" i="30"/>
  <c r="G534" i="30"/>
  <c r="K534" i="30"/>
  <c r="L534" i="30"/>
  <c r="M534" i="30"/>
  <c r="N534" i="30"/>
  <c r="AB534" i="30"/>
  <c r="AC534" i="30"/>
  <c r="AF534" i="30"/>
  <c r="AG534" i="30"/>
  <c r="AH534" i="30" s="1"/>
  <c r="C535" i="30"/>
  <c r="D535" i="30"/>
  <c r="F535" i="30"/>
  <c r="G535" i="30"/>
  <c r="K535" i="30"/>
  <c r="L535" i="30"/>
  <c r="M535" i="30"/>
  <c r="N535" i="30"/>
  <c r="AB535" i="30"/>
  <c r="AC535" i="30"/>
  <c r="AF535" i="30"/>
  <c r="AG535" i="30"/>
  <c r="AH535" i="30" s="1"/>
  <c r="C536" i="30"/>
  <c r="D536" i="30"/>
  <c r="F536" i="30"/>
  <c r="G536" i="30"/>
  <c r="K536" i="30"/>
  <c r="L536" i="30"/>
  <c r="M536" i="30"/>
  <c r="N536" i="30"/>
  <c r="AB536" i="30"/>
  <c r="AC536" i="30"/>
  <c r="AF536" i="30"/>
  <c r="AG536" i="30"/>
  <c r="AH536" i="30" s="1"/>
  <c r="C537" i="30"/>
  <c r="D537" i="30"/>
  <c r="F537" i="30"/>
  <c r="G537" i="30"/>
  <c r="K537" i="30"/>
  <c r="L537" i="30"/>
  <c r="M537" i="30"/>
  <c r="N537" i="30"/>
  <c r="AB537" i="30"/>
  <c r="AC537" i="30"/>
  <c r="AF537" i="30"/>
  <c r="AG537" i="30"/>
  <c r="AH537" i="30" s="1"/>
  <c r="C538" i="30"/>
  <c r="D538" i="30"/>
  <c r="F538" i="30"/>
  <c r="G538" i="30"/>
  <c r="K538" i="30"/>
  <c r="L538" i="30"/>
  <c r="M538" i="30"/>
  <c r="N538" i="30"/>
  <c r="AB538" i="30"/>
  <c r="AC538" i="30"/>
  <c r="AF538" i="30"/>
  <c r="AG538" i="30"/>
  <c r="AH538" i="30" s="1"/>
  <c r="C539" i="30"/>
  <c r="D539" i="30"/>
  <c r="F539" i="30"/>
  <c r="G539" i="30"/>
  <c r="K539" i="30"/>
  <c r="L539" i="30"/>
  <c r="M539" i="30"/>
  <c r="N539" i="30"/>
  <c r="AB539" i="30"/>
  <c r="AC539" i="30"/>
  <c r="AF539" i="30"/>
  <c r="AG539" i="30"/>
  <c r="AH539" i="30" s="1"/>
  <c r="C540" i="30"/>
  <c r="D540" i="30"/>
  <c r="F540" i="30"/>
  <c r="G540" i="30"/>
  <c r="K540" i="30"/>
  <c r="L540" i="30"/>
  <c r="M540" i="30"/>
  <c r="N540" i="30"/>
  <c r="AB540" i="30"/>
  <c r="AC540" i="30"/>
  <c r="AF540" i="30"/>
  <c r="AG540" i="30"/>
  <c r="AH540" i="30" s="1"/>
  <c r="C541" i="30"/>
  <c r="D541" i="30"/>
  <c r="F541" i="30"/>
  <c r="G541" i="30"/>
  <c r="K541" i="30"/>
  <c r="L541" i="30"/>
  <c r="M541" i="30"/>
  <c r="N541" i="30"/>
  <c r="AB541" i="30"/>
  <c r="AC541" i="30"/>
  <c r="AF541" i="30"/>
  <c r="AG541" i="30"/>
  <c r="AH541" i="30" s="1"/>
  <c r="C542" i="30"/>
  <c r="D542" i="30"/>
  <c r="F542" i="30"/>
  <c r="G542" i="30"/>
  <c r="K542" i="30"/>
  <c r="L542" i="30"/>
  <c r="M542" i="30"/>
  <c r="N542" i="30"/>
  <c r="AB542" i="30"/>
  <c r="AC542" i="30"/>
  <c r="AF542" i="30"/>
  <c r="AG542" i="30"/>
  <c r="AH542" i="30" s="1"/>
  <c r="C543" i="30"/>
  <c r="D543" i="30"/>
  <c r="F543" i="30"/>
  <c r="G543" i="30"/>
  <c r="K543" i="30"/>
  <c r="L543" i="30"/>
  <c r="M543" i="30"/>
  <c r="N543" i="30"/>
  <c r="AB543" i="30"/>
  <c r="AC543" i="30"/>
  <c r="AF543" i="30"/>
  <c r="AG543" i="30"/>
  <c r="AH543" i="30" s="1"/>
  <c r="C544" i="30"/>
  <c r="D544" i="30"/>
  <c r="F544" i="30"/>
  <c r="G544" i="30"/>
  <c r="K544" i="30"/>
  <c r="L544" i="30"/>
  <c r="M544" i="30"/>
  <c r="N544" i="30"/>
  <c r="AB544" i="30"/>
  <c r="AC544" i="30"/>
  <c r="AF544" i="30"/>
  <c r="AG544" i="30"/>
  <c r="AH544" i="30" s="1"/>
  <c r="C545" i="30"/>
  <c r="D545" i="30"/>
  <c r="F545" i="30"/>
  <c r="G545" i="30"/>
  <c r="K545" i="30"/>
  <c r="L545" i="30"/>
  <c r="M545" i="30"/>
  <c r="N545" i="30"/>
  <c r="AB545" i="30"/>
  <c r="AC545" i="30"/>
  <c r="AF545" i="30"/>
  <c r="AG545" i="30"/>
  <c r="AH545" i="30" s="1"/>
  <c r="C546" i="30"/>
  <c r="D546" i="30"/>
  <c r="F546" i="30"/>
  <c r="G546" i="30"/>
  <c r="K546" i="30"/>
  <c r="L546" i="30"/>
  <c r="M546" i="30"/>
  <c r="N546" i="30"/>
  <c r="AB546" i="30"/>
  <c r="AC546" i="30"/>
  <c r="AF546" i="30"/>
  <c r="AG546" i="30"/>
  <c r="AH546" i="30" s="1"/>
  <c r="C547" i="30"/>
  <c r="D547" i="30"/>
  <c r="F547" i="30"/>
  <c r="G547" i="30"/>
  <c r="K547" i="30"/>
  <c r="L547" i="30"/>
  <c r="M547" i="30"/>
  <c r="N547" i="30"/>
  <c r="AB547" i="30"/>
  <c r="AC547" i="30"/>
  <c r="AF547" i="30"/>
  <c r="AG547" i="30"/>
  <c r="AH547" i="30" s="1"/>
  <c r="C548" i="30"/>
  <c r="D548" i="30"/>
  <c r="F548" i="30"/>
  <c r="G548" i="30"/>
  <c r="K548" i="30"/>
  <c r="L548" i="30"/>
  <c r="M548" i="30"/>
  <c r="N548" i="30"/>
  <c r="AB548" i="30"/>
  <c r="AC548" i="30"/>
  <c r="AF548" i="30"/>
  <c r="AG548" i="30"/>
  <c r="AH548" i="30" s="1"/>
  <c r="C549" i="30"/>
  <c r="D549" i="30"/>
  <c r="F549" i="30"/>
  <c r="G549" i="30"/>
  <c r="K549" i="30"/>
  <c r="L549" i="30"/>
  <c r="M549" i="30"/>
  <c r="N549" i="30"/>
  <c r="AB549" i="30"/>
  <c r="AC549" i="30"/>
  <c r="AF549" i="30"/>
  <c r="AG549" i="30"/>
  <c r="AH549" i="30" s="1"/>
  <c r="C550" i="30"/>
  <c r="D550" i="30"/>
  <c r="F550" i="30"/>
  <c r="G550" i="30"/>
  <c r="K550" i="30"/>
  <c r="L550" i="30"/>
  <c r="M550" i="30"/>
  <c r="N550" i="30"/>
  <c r="AB550" i="30"/>
  <c r="AC550" i="30"/>
  <c r="AF550" i="30"/>
  <c r="AG550" i="30"/>
  <c r="AH550" i="30" s="1"/>
  <c r="C551" i="30"/>
  <c r="D551" i="30"/>
  <c r="F551" i="30"/>
  <c r="G551" i="30"/>
  <c r="K551" i="30"/>
  <c r="L551" i="30"/>
  <c r="M551" i="30"/>
  <c r="N551" i="30"/>
  <c r="AB551" i="30"/>
  <c r="AC551" i="30"/>
  <c r="AF551" i="30"/>
  <c r="AG551" i="30"/>
  <c r="AH551" i="30" s="1"/>
  <c r="C552" i="30"/>
  <c r="D552" i="30"/>
  <c r="F552" i="30"/>
  <c r="G552" i="30"/>
  <c r="K552" i="30"/>
  <c r="L552" i="30"/>
  <c r="M552" i="30"/>
  <c r="N552" i="30"/>
  <c r="AB552" i="30"/>
  <c r="AC552" i="30"/>
  <c r="AF552" i="30"/>
  <c r="AG552" i="30"/>
  <c r="AH552" i="30" s="1"/>
  <c r="C553" i="30"/>
  <c r="D553" i="30"/>
  <c r="F553" i="30"/>
  <c r="G553" i="30"/>
  <c r="K553" i="30"/>
  <c r="L553" i="30"/>
  <c r="M553" i="30"/>
  <c r="N553" i="30"/>
  <c r="AB553" i="30"/>
  <c r="AC553" i="30"/>
  <c r="AF553" i="30"/>
  <c r="AG553" i="30"/>
  <c r="AH553" i="30" s="1"/>
  <c r="C554" i="30"/>
  <c r="D554" i="30"/>
  <c r="F554" i="30"/>
  <c r="G554" i="30"/>
  <c r="K554" i="30"/>
  <c r="L554" i="30"/>
  <c r="M554" i="30"/>
  <c r="N554" i="30"/>
  <c r="AB554" i="30"/>
  <c r="AC554" i="30"/>
  <c r="AF554" i="30"/>
  <c r="AG554" i="30"/>
  <c r="AH554" i="30" s="1"/>
  <c r="C555" i="30"/>
  <c r="D555" i="30"/>
  <c r="F555" i="30"/>
  <c r="G555" i="30"/>
  <c r="K555" i="30"/>
  <c r="L555" i="30"/>
  <c r="M555" i="30"/>
  <c r="N555" i="30"/>
  <c r="AB555" i="30"/>
  <c r="AC555" i="30"/>
  <c r="AF555" i="30"/>
  <c r="AG555" i="30"/>
  <c r="AH555" i="30" s="1"/>
  <c r="C556" i="30"/>
  <c r="D556" i="30"/>
  <c r="F556" i="30"/>
  <c r="G556" i="30"/>
  <c r="K556" i="30"/>
  <c r="L556" i="30"/>
  <c r="M556" i="30"/>
  <c r="N556" i="30"/>
  <c r="AB556" i="30"/>
  <c r="AC556" i="30"/>
  <c r="AF556" i="30"/>
  <c r="AG556" i="30"/>
  <c r="AH556" i="30" s="1"/>
  <c r="C557" i="30"/>
  <c r="D557" i="30"/>
  <c r="F557" i="30"/>
  <c r="G557" i="30"/>
  <c r="K557" i="30"/>
  <c r="L557" i="30"/>
  <c r="M557" i="30"/>
  <c r="N557" i="30"/>
  <c r="AB557" i="30"/>
  <c r="AC557" i="30"/>
  <c r="AF557" i="30"/>
  <c r="AG557" i="30"/>
  <c r="AH557" i="30" s="1"/>
  <c r="C558" i="30"/>
  <c r="D558" i="30"/>
  <c r="F558" i="30"/>
  <c r="G558" i="30"/>
  <c r="K558" i="30"/>
  <c r="L558" i="30"/>
  <c r="M558" i="30"/>
  <c r="N558" i="30"/>
  <c r="AB558" i="30"/>
  <c r="AC558" i="30"/>
  <c r="AF558" i="30"/>
  <c r="AG558" i="30"/>
  <c r="AH558" i="30" s="1"/>
  <c r="C559" i="30"/>
  <c r="D559" i="30"/>
  <c r="F559" i="30"/>
  <c r="G559" i="30"/>
  <c r="K559" i="30"/>
  <c r="L559" i="30"/>
  <c r="M559" i="30"/>
  <c r="N559" i="30"/>
  <c r="AB559" i="30"/>
  <c r="AC559" i="30"/>
  <c r="AF559" i="30"/>
  <c r="AG559" i="30"/>
  <c r="AH559" i="30" s="1"/>
  <c r="C560" i="30"/>
  <c r="D560" i="30"/>
  <c r="F560" i="30"/>
  <c r="G560" i="30"/>
  <c r="K560" i="30"/>
  <c r="L560" i="30"/>
  <c r="M560" i="30"/>
  <c r="N560" i="30"/>
  <c r="AB560" i="30"/>
  <c r="AC560" i="30"/>
  <c r="AF560" i="30"/>
  <c r="AG560" i="30"/>
  <c r="AH560" i="30" s="1"/>
  <c r="C561" i="30"/>
  <c r="D561" i="30"/>
  <c r="F561" i="30"/>
  <c r="G561" i="30"/>
  <c r="K561" i="30"/>
  <c r="L561" i="30"/>
  <c r="M561" i="30"/>
  <c r="N561" i="30"/>
  <c r="AB561" i="30"/>
  <c r="AC561" i="30"/>
  <c r="AF561" i="30"/>
  <c r="AG561" i="30"/>
  <c r="AH561" i="30" s="1"/>
  <c r="C562" i="30"/>
  <c r="D562" i="30"/>
  <c r="F562" i="30"/>
  <c r="G562" i="30"/>
  <c r="K562" i="30"/>
  <c r="L562" i="30"/>
  <c r="M562" i="30"/>
  <c r="N562" i="30"/>
  <c r="AB562" i="30"/>
  <c r="AC562" i="30"/>
  <c r="AF562" i="30"/>
  <c r="AG562" i="30"/>
  <c r="AH562" i="30" s="1"/>
  <c r="C563" i="30"/>
  <c r="D563" i="30"/>
  <c r="F563" i="30"/>
  <c r="G563" i="30"/>
  <c r="K563" i="30"/>
  <c r="L563" i="30"/>
  <c r="M563" i="30"/>
  <c r="N563" i="30"/>
  <c r="AB563" i="30"/>
  <c r="AC563" i="30"/>
  <c r="AF563" i="30"/>
  <c r="AG563" i="30"/>
  <c r="AH563" i="30" s="1"/>
  <c r="C564" i="30"/>
  <c r="D564" i="30"/>
  <c r="F564" i="30"/>
  <c r="G564" i="30"/>
  <c r="K564" i="30"/>
  <c r="L564" i="30"/>
  <c r="M564" i="30"/>
  <c r="N564" i="30"/>
  <c r="AB564" i="30"/>
  <c r="AC564" i="30"/>
  <c r="AF564" i="30"/>
  <c r="AG564" i="30"/>
  <c r="AH564" i="30" s="1"/>
  <c r="C565" i="30"/>
  <c r="D565" i="30"/>
  <c r="F565" i="30"/>
  <c r="G565" i="30"/>
  <c r="K565" i="30"/>
  <c r="L565" i="30"/>
  <c r="M565" i="30"/>
  <c r="N565" i="30"/>
  <c r="AB565" i="30"/>
  <c r="AC565" i="30"/>
  <c r="AF565" i="30"/>
  <c r="AG565" i="30"/>
  <c r="AH565" i="30" s="1"/>
  <c r="C566" i="30"/>
  <c r="D566" i="30"/>
  <c r="F566" i="30"/>
  <c r="G566" i="30"/>
  <c r="K566" i="30"/>
  <c r="L566" i="30"/>
  <c r="M566" i="30"/>
  <c r="N566" i="30"/>
  <c r="AB566" i="30"/>
  <c r="AC566" i="30"/>
  <c r="AF566" i="30"/>
  <c r="AG566" i="30"/>
  <c r="AH566" i="30" s="1"/>
  <c r="C567" i="30"/>
  <c r="D567" i="30"/>
  <c r="F567" i="30"/>
  <c r="G567" i="30"/>
  <c r="K567" i="30"/>
  <c r="L567" i="30"/>
  <c r="M567" i="30"/>
  <c r="N567" i="30"/>
  <c r="AB567" i="30"/>
  <c r="AC567" i="30"/>
  <c r="AF567" i="30"/>
  <c r="AG567" i="30"/>
  <c r="AH567" i="30" s="1"/>
  <c r="C568" i="30"/>
  <c r="D568" i="30"/>
  <c r="F568" i="30"/>
  <c r="G568" i="30"/>
  <c r="K568" i="30"/>
  <c r="L568" i="30"/>
  <c r="M568" i="30"/>
  <c r="N568" i="30"/>
  <c r="AB568" i="30"/>
  <c r="AC568" i="30"/>
  <c r="AF568" i="30"/>
  <c r="AG568" i="30"/>
  <c r="AH568" i="30" s="1"/>
  <c r="C569" i="30"/>
  <c r="D569" i="30"/>
  <c r="F569" i="30"/>
  <c r="G569" i="30"/>
  <c r="K569" i="30"/>
  <c r="L569" i="30"/>
  <c r="M569" i="30"/>
  <c r="N569" i="30"/>
  <c r="AB569" i="30"/>
  <c r="AC569" i="30"/>
  <c r="AF569" i="30"/>
  <c r="AG569" i="30"/>
  <c r="AH569" i="30" s="1"/>
  <c r="C570" i="30"/>
  <c r="D570" i="30"/>
  <c r="F570" i="30"/>
  <c r="G570" i="30"/>
  <c r="K570" i="30"/>
  <c r="L570" i="30"/>
  <c r="M570" i="30"/>
  <c r="N570" i="30"/>
  <c r="AB570" i="30"/>
  <c r="AC570" i="30"/>
  <c r="AF570" i="30"/>
  <c r="AG570" i="30"/>
  <c r="AH570" i="30" s="1"/>
  <c r="C571" i="30"/>
  <c r="D571" i="30"/>
  <c r="F571" i="30"/>
  <c r="G571" i="30"/>
  <c r="K571" i="30"/>
  <c r="L571" i="30"/>
  <c r="M571" i="30"/>
  <c r="N571" i="30"/>
  <c r="AB571" i="30"/>
  <c r="AC571" i="30"/>
  <c r="AF571" i="30"/>
  <c r="AG571" i="30"/>
  <c r="AH571" i="30" s="1"/>
  <c r="C572" i="30"/>
  <c r="D572" i="30"/>
  <c r="F572" i="30"/>
  <c r="G572" i="30"/>
  <c r="K572" i="30"/>
  <c r="L572" i="30"/>
  <c r="M572" i="30"/>
  <c r="N572" i="30"/>
  <c r="AB572" i="30"/>
  <c r="AC572" i="30"/>
  <c r="AF572" i="30"/>
  <c r="AG572" i="30"/>
  <c r="AH572" i="30" s="1"/>
  <c r="C573" i="30"/>
  <c r="D573" i="30"/>
  <c r="F573" i="30"/>
  <c r="G573" i="30"/>
  <c r="K573" i="30"/>
  <c r="L573" i="30"/>
  <c r="M573" i="30"/>
  <c r="N573" i="30"/>
  <c r="AB573" i="30"/>
  <c r="AC573" i="30"/>
  <c r="AF573" i="30"/>
  <c r="AG573" i="30"/>
  <c r="AH573" i="30" s="1"/>
  <c r="C574" i="30"/>
  <c r="D574" i="30"/>
  <c r="F574" i="30"/>
  <c r="G574" i="30"/>
  <c r="K574" i="30"/>
  <c r="L574" i="30"/>
  <c r="M574" i="30"/>
  <c r="N574" i="30"/>
  <c r="AB574" i="30"/>
  <c r="AC574" i="30"/>
  <c r="AF574" i="30"/>
  <c r="AG574" i="30"/>
  <c r="AH574" i="30" s="1"/>
  <c r="C575" i="30"/>
  <c r="D575" i="30"/>
  <c r="F575" i="30"/>
  <c r="G575" i="30"/>
  <c r="K575" i="30"/>
  <c r="L575" i="30"/>
  <c r="M575" i="30"/>
  <c r="N575" i="30"/>
  <c r="AB575" i="30"/>
  <c r="AC575" i="30"/>
  <c r="AF575" i="30"/>
  <c r="AG575" i="30"/>
  <c r="AH575" i="30" s="1"/>
  <c r="C576" i="30"/>
  <c r="D576" i="30"/>
  <c r="F576" i="30"/>
  <c r="G576" i="30"/>
  <c r="K576" i="30"/>
  <c r="L576" i="30"/>
  <c r="M576" i="30"/>
  <c r="N576" i="30"/>
  <c r="AB576" i="30"/>
  <c r="AC576" i="30"/>
  <c r="AF576" i="30"/>
  <c r="AG576" i="30"/>
  <c r="AH576" i="30" s="1"/>
  <c r="C577" i="30"/>
  <c r="D577" i="30"/>
  <c r="F577" i="30"/>
  <c r="G577" i="30"/>
  <c r="K577" i="30"/>
  <c r="L577" i="30"/>
  <c r="M577" i="30"/>
  <c r="N577" i="30"/>
  <c r="AB577" i="30"/>
  <c r="AC577" i="30"/>
  <c r="AF577" i="30"/>
  <c r="AG577" i="30"/>
  <c r="AH577" i="30" s="1"/>
  <c r="C578" i="30"/>
  <c r="D578" i="30"/>
  <c r="F578" i="30"/>
  <c r="G578" i="30"/>
  <c r="K578" i="30"/>
  <c r="L578" i="30"/>
  <c r="M578" i="30"/>
  <c r="N578" i="30"/>
  <c r="AB578" i="30"/>
  <c r="AC578" i="30"/>
  <c r="AF578" i="30"/>
  <c r="AG578" i="30"/>
  <c r="AH578" i="30" s="1"/>
  <c r="C579" i="30"/>
  <c r="D579" i="30"/>
  <c r="F579" i="30"/>
  <c r="G579" i="30"/>
  <c r="K579" i="30"/>
  <c r="L579" i="30"/>
  <c r="M579" i="30"/>
  <c r="N579" i="30"/>
  <c r="AB579" i="30"/>
  <c r="AC579" i="30"/>
  <c r="AF579" i="30"/>
  <c r="AG579" i="30"/>
  <c r="AH579" i="30" s="1"/>
  <c r="C580" i="30"/>
  <c r="D580" i="30"/>
  <c r="F580" i="30"/>
  <c r="G580" i="30"/>
  <c r="K580" i="30"/>
  <c r="L580" i="30"/>
  <c r="M580" i="30"/>
  <c r="N580" i="30"/>
  <c r="AB580" i="30"/>
  <c r="AC580" i="30"/>
  <c r="AF580" i="30"/>
  <c r="AG580" i="30"/>
  <c r="AH580" i="30" s="1"/>
  <c r="C581" i="30"/>
  <c r="D581" i="30"/>
  <c r="F581" i="30"/>
  <c r="G581" i="30"/>
  <c r="K581" i="30"/>
  <c r="L581" i="30"/>
  <c r="M581" i="30"/>
  <c r="N581" i="30"/>
  <c r="AB581" i="30"/>
  <c r="AC581" i="30"/>
  <c r="AF581" i="30"/>
  <c r="AG581" i="30"/>
  <c r="AH581" i="30" s="1"/>
  <c r="C582" i="30"/>
  <c r="D582" i="30"/>
  <c r="F582" i="30"/>
  <c r="G582" i="30"/>
  <c r="K582" i="30"/>
  <c r="L582" i="30"/>
  <c r="M582" i="30"/>
  <c r="N582" i="30"/>
  <c r="AB582" i="30"/>
  <c r="AC582" i="30"/>
  <c r="AF582" i="30"/>
  <c r="AG582" i="30"/>
  <c r="AH582" i="30" s="1"/>
  <c r="C583" i="30"/>
  <c r="D583" i="30"/>
  <c r="F583" i="30"/>
  <c r="G583" i="30"/>
  <c r="K583" i="30"/>
  <c r="L583" i="30"/>
  <c r="M583" i="30"/>
  <c r="N583" i="30"/>
  <c r="AB583" i="30"/>
  <c r="AC583" i="30"/>
  <c r="AF583" i="30"/>
  <c r="AG583" i="30"/>
  <c r="AH583" i="30" s="1"/>
  <c r="C584" i="30"/>
  <c r="D584" i="30"/>
  <c r="F584" i="30"/>
  <c r="G584" i="30"/>
  <c r="K584" i="30"/>
  <c r="L584" i="30"/>
  <c r="M584" i="30"/>
  <c r="N584" i="30"/>
  <c r="AB584" i="30"/>
  <c r="AC584" i="30"/>
  <c r="AF584" i="30"/>
  <c r="AG584" i="30"/>
  <c r="AH584" i="30" s="1"/>
  <c r="C585" i="30"/>
  <c r="D585" i="30"/>
  <c r="F585" i="30"/>
  <c r="G585" i="30"/>
  <c r="K585" i="30"/>
  <c r="L585" i="30"/>
  <c r="M585" i="30"/>
  <c r="N585" i="30"/>
  <c r="AB585" i="30"/>
  <c r="AC585" i="30"/>
  <c r="AF585" i="30"/>
  <c r="AG585" i="30"/>
  <c r="AH585" i="30" s="1"/>
  <c r="C586" i="30"/>
  <c r="D586" i="30"/>
  <c r="F586" i="30"/>
  <c r="G586" i="30"/>
  <c r="K586" i="30"/>
  <c r="L586" i="30"/>
  <c r="M586" i="30"/>
  <c r="N586" i="30"/>
  <c r="AB586" i="30"/>
  <c r="AC586" i="30"/>
  <c r="AF586" i="30"/>
  <c r="AG586" i="30"/>
  <c r="AH586" i="30" s="1"/>
  <c r="C587" i="30"/>
  <c r="D587" i="30"/>
  <c r="F587" i="30"/>
  <c r="G587" i="30"/>
  <c r="K587" i="30"/>
  <c r="L587" i="30"/>
  <c r="M587" i="30"/>
  <c r="N587" i="30"/>
  <c r="AB587" i="30"/>
  <c r="AC587" i="30"/>
  <c r="AF587" i="30"/>
  <c r="AG587" i="30"/>
  <c r="AH587" i="30" s="1"/>
  <c r="C588" i="30"/>
  <c r="D588" i="30"/>
  <c r="F588" i="30"/>
  <c r="G588" i="30"/>
  <c r="K588" i="30"/>
  <c r="L588" i="30"/>
  <c r="M588" i="30"/>
  <c r="N588" i="30"/>
  <c r="AB588" i="30"/>
  <c r="AC588" i="30"/>
  <c r="AF588" i="30"/>
  <c r="AG588" i="30"/>
  <c r="AH588" i="30" s="1"/>
  <c r="C589" i="30"/>
  <c r="D589" i="30"/>
  <c r="F589" i="30"/>
  <c r="G589" i="30"/>
  <c r="K589" i="30"/>
  <c r="L589" i="30"/>
  <c r="M589" i="30"/>
  <c r="N589" i="30"/>
  <c r="AB589" i="30"/>
  <c r="AC589" i="30"/>
  <c r="AF589" i="30"/>
  <c r="AG589" i="30"/>
  <c r="AH589" i="30" s="1"/>
  <c r="C590" i="30"/>
  <c r="D590" i="30"/>
  <c r="F590" i="30"/>
  <c r="G590" i="30"/>
  <c r="K590" i="30"/>
  <c r="L590" i="30"/>
  <c r="M590" i="30"/>
  <c r="N590" i="30"/>
  <c r="AB590" i="30"/>
  <c r="AC590" i="30"/>
  <c r="AF590" i="30"/>
  <c r="AG590" i="30"/>
  <c r="AH590" i="30" s="1"/>
  <c r="C591" i="30"/>
  <c r="D591" i="30"/>
  <c r="F591" i="30"/>
  <c r="G591" i="30"/>
  <c r="K591" i="30"/>
  <c r="L591" i="30"/>
  <c r="M591" i="30"/>
  <c r="N591" i="30"/>
  <c r="AB591" i="30"/>
  <c r="AC591" i="30"/>
  <c r="AF591" i="30"/>
  <c r="AG591" i="30"/>
  <c r="AH591" i="30" s="1"/>
  <c r="C592" i="30"/>
  <c r="D592" i="30"/>
  <c r="F592" i="30"/>
  <c r="G592" i="30"/>
  <c r="K592" i="30"/>
  <c r="L592" i="30"/>
  <c r="M592" i="30"/>
  <c r="N592" i="30"/>
  <c r="AB592" i="30"/>
  <c r="AC592" i="30"/>
  <c r="AF592" i="30"/>
  <c r="AG592" i="30"/>
  <c r="AH592" i="30" s="1"/>
  <c r="C593" i="30"/>
  <c r="D593" i="30"/>
  <c r="F593" i="30"/>
  <c r="G593" i="30"/>
  <c r="K593" i="30"/>
  <c r="L593" i="30"/>
  <c r="M593" i="30"/>
  <c r="N593" i="30"/>
  <c r="AB593" i="30"/>
  <c r="AC593" i="30"/>
  <c r="AF593" i="30"/>
  <c r="AG593" i="30"/>
  <c r="AH593" i="30" s="1"/>
  <c r="C594" i="30"/>
  <c r="D594" i="30"/>
  <c r="F594" i="30"/>
  <c r="G594" i="30"/>
  <c r="K594" i="30"/>
  <c r="L594" i="30"/>
  <c r="M594" i="30"/>
  <c r="N594" i="30"/>
  <c r="AB594" i="30"/>
  <c r="AC594" i="30"/>
  <c r="AF594" i="30"/>
  <c r="AG594" i="30"/>
  <c r="AH594" i="30" s="1"/>
  <c r="C595" i="30"/>
  <c r="D595" i="30"/>
  <c r="F595" i="30"/>
  <c r="G595" i="30"/>
  <c r="K595" i="30"/>
  <c r="L595" i="30"/>
  <c r="M595" i="30"/>
  <c r="N595" i="30"/>
  <c r="AB595" i="30"/>
  <c r="AC595" i="30"/>
  <c r="AF595" i="30"/>
  <c r="AG595" i="30"/>
  <c r="AH595" i="30" s="1"/>
  <c r="C596" i="30"/>
  <c r="D596" i="30"/>
  <c r="F596" i="30"/>
  <c r="G596" i="30"/>
  <c r="K596" i="30"/>
  <c r="L596" i="30"/>
  <c r="M596" i="30"/>
  <c r="N596" i="30"/>
  <c r="AB596" i="30"/>
  <c r="AC596" i="30"/>
  <c r="AF596" i="30"/>
  <c r="AG596" i="30"/>
  <c r="AH596" i="30" s="1"/>
  <c r="C597" i="30"/>
  <c r="D597" i="30"/>
  <c r="F597" i="30"/>
  <c r="G597" i="30"/>
  <c r="K597" i="30"/>
  <c r="L597" i="30"/>
  <c r="M597" i="30"/>
  <c r="N597" i="30"/>
  <c r="AB597" i="30"/>
  <c r="AC597" i="30"/>
  <c r="AF597" i="30"/>
  <c r="AG597" i="30"/>
  <c r="AH597" i="30" s="1"/>
  <c r="C598" i="30"/>
  <c r="D598" i="30"/>
  <c r="F598" i="30"/>
  <c r="G598" i="30"/>
  <c r="K598" i="30"/>
  <c r="L598" i="30"/>
  <c r="M598" i="30"/>
  <c r="N598" i="30"/>
  <c r="AB598" i="30"/>
  <c r="AC598" i="30"/>
  <c r="AF598" i="30"/>
  <c r="AG598" i="30"/>
  <c r="AH598" i="30" s="1"/>
  <c r="C599" i="30"/>
  <c r="D599" i="30"/>
  <c r="F599" i="30"/>
  <c r="G599" i="30"/>
  <c r="K599" i="30"/>
  <c r="L599" i="30"/>
  <c r="M599" i="30"/>
  <c r="N599" i="30"/>
  <c r="AB599" i="30"/>
  <c r="AC599" i="30"/>
  <c r="AF599" i="30"/>
  <c r="AG599" i="30"/>
  <c r="AH599" i="30" s="1"/>
  <c r="C600" i="30"/>
  <c r="D600" i="30"/>
  <c r="F600" i="30"/>
  <c r="G600" i="30"/>
  <c r="K600" i="30"/>
  <c r="L600" i="30"/>
  <c r="M600" i="30"/>
  <c r="N600" i="30"/>
  <c r="AB600" i="30"/>
  <c r="AC600" i="30"/>
  <c r="AF600" i="30"/>
  <c r="AG600" i="30"/>
  <c r="AH600" i="30" s="1"/>
  <c r="C601" i="30"/>
  <c r="D601" i="30"/>
  <c r="F601" i="30"/>
  <c r="G601" i="30"/>
  <c r="K601" i="30"/>
  <c r="L601" i="30"/>
  <c r="M601" i="30"/>
  <c r="N601" i="30"/>
  <c r="AB601" i="30"/>
  <c r="AC601" i="30"/>
  <c r="AF601" i="30"/>
  <c r="AG601" i="30"/>
  <c r="AH601" i="30" s="1"/>
  <c r="C602" i="30"/>
  <c r="D602" i="30"/>
  <c r="F602" i="30"/>
  <c r="G602" i="30"/>
  <c r="K602" i="30"/>
  <c r="L602" i="30"/>
  <c r="M602" i="30"/>
  <c r="N602" i="30"/>
  <c r="AB602" i="30"/>
  <c r="AC602" i="30"/>
  <c r="AF602" i="30"/>
  <c r="AG602" i="30"/>
  <c r="AH602" i="30" s="1"/>
  <c r="C603" i="30"/>
  <c r="D603" i="30"/>
  <c r="F603" i="30"/>
  <c r="G603" i="30"/>
  <c r="K603" i="30"/>
  <c r="L603" i="30"/>
  <c r="M603" i="30"/>
  <c r="N603" i="30"/>
  <c r="AB603" i="30"/>
  <c r="AC603" i="30"/>
  <c r="AF603" i="30"/>
  <c r="AG603" i="30"/>
  <c r="AH603" i="30" s="1"/>
  <c r="C604" i="30"/>
  <c r="D604" i="30"/>
  <c r="F604" i="30"/>
  <c r="G604" i="30"/>
  <c r="K604" i="30"/>
  <c r="L604" i="30"/>
  <c r="M604" i="30"/>
  <c r="N604" i="30"/>
  <c r="AB604" i="30"/>
  <c r="AC604" i="30"/>
  <c r="AF604" i="30"/>
  <c r="AG604" i="30"/>
  <c r="AH604" i="30" s="1"/>
  <c r="C605" i="30"/>
  <c r="D605" i="30"/>
  <c r="F605" i="30"/>
  <c r="G605" i="30"/>
  <c r="K605" i="30"/>
  <c r="L605" i="30"/>
  <c r="M605" i="30"/>
  <c r="N605" i="30"/>
  <c r="AB605" i="30"/>
  <c r="AC605" i="30"/>
  <c r="AF605" i="30"/>
  <c r="AG605" i="30"/>
  <c r="AH605" i="30" s="1"/>
  <c r="C606" i="30"/>
  <c r="D606" i="30"/>
  <c r="F606" i="30"/>
  <c r="G606" i="30"/>
  <c r="K606" i="30"/>
  <c r="L606" i="30"/>
  <c r="M606" i="30"/>
  <c r="N606" i="30"/>
  <c r="AB606" i="30"/>
  <c r="AC606" i="30"/>
  <c r="AF606" i="30"/>
  <c r="AG606" i="30"/>
  <c r="AH606" i="30" s="1"/>
  <c r="C607" i="30"/>
  <c r="D607" i="30"/>
  <c r="F607" i="30"/>
  <c r="G607" i="30"/>
  <c r="K607" i="30"/>
  <c r="L607" i="30"/>
  <c r="M607" i="30"/>
  <c r="N607" i="30"/>
  <c r="AB607" i="30"/>
  <c r="AC607" i="30"/>
  <c r="AF607" i="30"/>
  <c r="AG607" i="30"/>
  <c r="AH607" i="30" s="1"/>
  <c r="C608" i="30"/>
  <c r="D608" i="30"/>
  <c r="F608" i="30"/>
  <c r="G608" i="30"/>
  <c r="K608" i="30"/>
  <c r="L608" i="30"/>
  <c r="M608" i="30"/>
  <c r="N608" i="30"/>
  <c r="AB608" i="30"/>
  <c r="AC608" i="30"/>
  <c r="AF608" i="30"/>
  <c r="AG608" i="30"/>
  <c r="AH608" i="30" s="1"/>
  <c r="C609" i="30"/>
  <c r="D609" i="30"/>
  <c r="F609" i="30"/>
  <c r="G609" i="30"/>
  <c r="K609" i="30"/>
  <c r="L609" i="30"/>
  <c r="M609" i="30"/>
  <c r="N609" i="30"/>
  <c r="AB609" i="30"/>
  <c r="AC609" i="30"/>
  <c r="AF609" i="30"/>
  <c r="AG609" i="30"/>
  <c r="AH609" i="30" s="1"/>
  <c r="C610" i="30"/>
  <c r="D610" i="30"/>
  <c r="F610" i="30"/>
  <c r="G610" i="30"/>
  <c r="K610" i="30"/>
  <c r="L610" i="30"/>
  <c r="M610" i="30"/>
  <c r="N610" i="30"/>
  <c r="AB610" i="30"/>
  <c r="AC610" i="30"/>
  <c r="AF610" i="30"/>
  <c r="AG610" i="30"/>
  <c r="AH610" i="30" s="1"/>
  <c r="C611" i="30"/>
  <c r="D611" i="30"/>
  <c r="F611" i="30"/>
  <c r="G611" i="30"/>
  <c r="K611" i="30"/>
  <c r="L611" i="30"/>
  <c r="M611" i="30"/>
  <c r="N611" i="30"/>
  <c r="AB611" i="30"/>
  <c r="AC611" i="30"/>
  <c r="AF611" i="30"/>
  <c r="AG611" i="30"/>
  <c r="AH611" i="30" s="1"/>
  <c r="C612" i="30"/>
  <c r="D612" i="30"/>
  <c r="F612" i="30"/>
  <c r="G612" i="30"/>
  <c r="K612" i="30"/>
  <c r="L612" i="30"/>
  <c r="M612" i="30"/>
  <c r="N612" i="30"/>
  <c r="AB612" i="30"/>
  <c r="AC612" i="30"/>
  <c r="AF612" i="30"/>
  <c r="AG612" i="30"/>
  <c r="AH612" i="30" s="1"/>
  <c r="C613" i="30"/>
  <c r="D613" i="30"/>
  <c r="F613" i="30"/>
  <c r="G613" i="30"/>
  <c r="K613" i="30"/>
  <c r="L613" i="30"/>
  <c r="M613" i="30"/>
  <c r="N613" i="30"/>
  <c r="AB613" i="30"/>
  <c r="AC613" i="30"/>
  <c r="AF613" i="30"/>
  <c r="AG613" i="30"/>
  <c r="AH613" i="30" s="1"/>
  <c r="C614" i="30"/>
  <c r="D614" i="30"/>
  <c r="F614" i="30"/>
  <c r="G614" i="30"/>
  <c r="K614" i="30"/>
  <c r="L614" i="30"/>
  <c r="M614" i="30"/>
  <c r="N614" i="30"/>
  <c r="AB614" i="30"/>
  <c r="AC614" i="30"/>
  <c r="AF614" i="30"/>
  <c r="AG614" i="30"/>
  <c r="AH614" i="30" s="1"/>
  <c r="C615" i="30"/>
  <c r="D615" i="30"/>
  <c r="F615" i="30"/>
  <c r="G615" i="30"/>
  <c r="K615" i="30"/>
  <c r="L615" i="30"/>
  <c r="M615" i="30"/>
  <c r="N615" i="30"/>
  <c r="AB615" i="30"/>
  <c r="AC615" i="30"/>
  <c r="AF615" i="30"/>
  <c r="AG615" i="30"/>
  <c r="AH615" i="30" s="1"/>
  <c r="C616" i="30"/>
  <c r="D616" i="30"/>
  <c r="F616" i="30"/>
  <c r="G616" i="30"/>
  <c r="K616" i="30"/>
  <c r="L616" i="30"/>
  <c r="M616" i="30"/>
  <c r="N616" i="30"/>
  <c r="AB616" i="30"/>
  <c r="AC616" i="30"/>
  <c r="AF616" i="30"/>
  <c r="AG616" i="30"/>
  <c r="AH616" i="30" s="1"/>
  <c r="C617" i="30"/>
  <c r="D617" i="30"/>
  <c r="F617" i="30"/>
  <c r="G617" i="30"/>
  <c r="K617" i="30"/>
  <c r="L617" i="30"/>
  <c r="M617" i="30"/>
  <c r="N617" i="30"/>
  <c r="AB617" i="30"/>
  <c r="AC617" i="30"/>
  <c r="AF617" i="30"/>
  <c r="AG617" i="30"/>
  <c r="AH617" i="30" s="1"/>
  <c r="C618" i="30"/>
  <c r="D618" i="30"/>
  <c r="F618" i="30"/>
  <c r="G618" i="30"/>
  <c r="K618" i="30"/>
  <c r="L618" i="30"/>
  <c r="M618" i="30"/>
  <c r="N618" i="30"/>
  <c r="AB618" i="30"/>
  <c r="AC618" i="30"/>
  <c r="AF618" i="30"/>
  <c r="AG618" i="30"/>
  <c r="AH618" i="30" s="1"/>
  <c r="C619" i="30"/>
  <c r="D619" i="30"/>
  <c r="F619" i="30"/>
  <c r="G619" i="30"/>
  <c r="K619" i="30"/>
  <c r="L619" i="30"/>
  <c r="M619" i="30"/>
  <c r="N619" i="30"/>
  <c r="AB619" i="30"/>
  <c r="AC619" i="30"/>
  <c r="AF619" i="30"/>
  <c r="AG619" i="30"/>
  <c r="AH619" i="30" s="1"/>
  <c r="C620" i="30"/>
  <c r="D620" i="30"/>
  <c r="F620" i="30"/>
  <c r="G620" i="30"/>
  <c r="K620" i="30"/>
  <c r="L620" i="30"/>
  <c r="M620" i="30"/>
  <c r="N620" i="30"/>
  <c r="AB620" i="30"/>
  <c r="AC620" i="30"/>
  <c r="AF620" i="30"/>
  <c r="AG620" i="30"/>
  <c r="AH620" i="30" s="1"/>
  <c r="C621" i="30"/>
  <c r="D621" i="30"/>
  <c r="F621" i="30"/>
  <c r="G621" i="30"/>
  <c r="K621" i="30"/>
  <c r="L621" i="30"/>
  <c r="M621" i="30"/>
  <c r="N621" i="30"/>
  <c r="AB621" i="30"/>
  <c r="AC621" i="30"/>
  <c r="AF621" i="30"/>
  <c r="AG621" i="30"/>
  <c r="AH621" i="30" s="1"/>
  <c r="C622" i="30"/>
  <c r="D622" i="30"/>
  <c r="F622" i="30"/>
  <c r="G622" i="30"/>
  <c r="K622" i="30"/>
  <c r="L622" i="30"/>
  <c r="M622" i="30"/>
  <c r="N622" i="30"/>
  <c r="AB622" i="30"/>
  <c r="AC622" i="30"/>
  <c r="AF622" i="30"/>
  <c r="AG622" i="30"/>
  <c r="AH622" i="30" s="1"/>
  <c r="C623" i="30"/>
  <c r="D623" i="30"/>
  <c r="F623" i="30"/>
  <c r="G623" i="30"/>
  <c r="K623" i="30"/>
  <c r="L623" i="30"/>
  <c r="M623" i="30"/>
  <c r="N623" i="30"/>
  <c r="AB623" i="30"/>
  <c r="AC623" i="30"/>
  <c r="AF623" i="30"/>
  <c r="AG623" i="30"/>
  <c r="AH623" i="30" s="1"/>
  <c r="C624" i="30"/>
  <c r="D624" i="30"/>
  <c r="F624" i="30"/>
  <c r="G624" i="30"/>
  <c r="K624" i="30"/>
  <c r="L624" i="30"/>
  <c r="M624" i="30"/>
  <c r="N624" i="30"/>
  <c r="AB624" i="30"/>
  <c r="AC624" i="30"/>
  <c r="AF624" i="30"/>
  <c r="AG624" i="30"/>
  <c r="AH624" i="30" s="1"/>
  <c r="C625" i="30"/>
  <c r="D625" i="30"/>
  <c r="F625" i="30"/>
  <c r="G625" i="30"/>
  <c r="K625" i="30"/>
  <c r="L625" i="30"/>
  <c r="M625" i="30"/>
  <c r="N625" i="30"/>
  <c r="AB625" i="30"/>
  <c r="AC625" i="30"/>
  <c r="AF625" i="30"/>
  <c r="AG625" i="30"/>
  <c r="AH625" i="30" s="1"/>
  <c r="C626" i="30"/>
  <c r="D626" i="30"/>
  <c r="F626" i="30"/>
  <c r="G626" i="30"/>
  <c r="K626" i="30"/>
  <c r="L626" i="30"/>
  <c r="M626" i="30"/>
  <c r="N626" i="30"/>
  <c r="AB626" i="30"/>
  <c r="AC626" i="30"/>
  <c r="AF626" i="30"/>
  <c r="AG626" i="30"/>
  <c r="AH626" i="30" s="1"/>
  <c r="C627" i="30"/>
  <c r="D627" i="30"/>
  <c r="F627" i="30"/>
  <c r="G627" i="30"/>
  <c r="K627" i="30"/>
  <c r="L627" i="30"/>
  <c r="M627" i="30"/>
  <c r="N627" i="30"/>
  <c r="AB627" i="30"/>
  <c r="AC627" i="30"/>
  <c r="AF627" i="30"/>
  <c r="AG627" i="30"/>
  <c r="AH627" i="30" s="1"/>
  <c r="C628" i="30"/>
  <c r="D628" i="30"/>
  <c r="F628" i="30"/>
  <c r="G628" i="30"/>
  <c r="K628" i="30"/>
  <c r="L628" i="30"/>
  <c r="M628" i="30"/>
  <c r="N628" i="30"/>
  <c r="AB628" i="30"/>
  <c r="AC628" i="30"/>
  <c r="AF628" i="30"/>
  <c r="AG628" i="30"/>
  <c r="AH628" i="30" s="1"/>
  <c r="C629" i="30"/>
  <c r="D629" i="30"/>
  <c r="F629" i="30"/>
  <c r="G629" i="30"/>
  <c r="K629" i="30"/>
  <c r="L629" i="30"/>
  <c r="M629" i="30"/>
  <c r="N629" i="30"/>
  <c r="AB629" i="30"/>
  <c r="AC629" i="30"/>
  <c r="AF629" i="30"/>
  <c r="AG629" i="30"/>
  <c r="AH629" i="30" s="1"/>
  <c r="C630" i="30"/>
  <c r="D630" i="30"/>
  <c r="F630" i="30"/>
  <c r="G630" i="30"/>
  <c r="K630" i="30"/>
  <c r="L630" i="30"/>
  <c r="M630" i="30"/>
  <c r="N630" i="30"/>
  <c r="AB630" i="30"/>
  <c r="AC630" i="30"/>
  <c r="AF630" i="30"/>
  <c r="AG630" i="30"/>
  <c r="AH630" i="30" s="1"/>
  <c r="C631" i="30"/>
  <c r="D631" i="30"/>
  <c r="F631" i="30"/>
  <c r="G631" i="30"/>
  <c r="K631" i="30"/>
  <c r="L631" i="30"/>
  <c r="M631" i="30"/>
  <c r="N631" i="30"/>
  <c r="AB631" i="30"/>
  <c r="AC631" i="30"/>
  <c r="AF631" i="30"/>
  <c r="AG631" i="30"/>
  <c r="AH631" i="30" s="1"/>
  <c r="C632" i="30"/>
  <c r="D632" i="30"/>
  <c r="F632" i="30"/>
  <c r="G632" i="30"/>
  <c r="K632" i="30"/>
  <c r="L632" i="30"/>
  <c r="M632" i="30"/>
  <c r="N632" i="30"/>
  <c r="AB632" i="30"/>
  <c r="AC632" i="30"/>
  <c r="AF632" i="30"/>
  <c r="AG632" i="30"/>
  <c r="AH632" i="30" s="1"/>
  <c r="C633" i="30"/>
  <c r="D633" i="30"/>
  <c r="F633" i="30"/>
  <c r="G633" i="30"/>
  <c r="K633" i="30"/>
  <c r="L633" i="30"/>
  <c r="M633" i="30"/>
  <c r="N633" i="30"/>
  <c r="AB633" i="30"/>
  <c r="AC633" i="30"/>
  <c r="AF633" i="30"/>
  <c r="AG633" i="30"/>
  <c r="AH633" i="30" s="1"/>
  <c r="C634" i="30"/>
  <c r="D634" i="30"/>
  <c r="F634" i="30"/>
  <c r="G634" i="30"/>
  <c r="K634" i="30"/>
  <c r="L634" i="30"/>
  <c r="M634" i="30"/>
  <c r="N634" i="30"/>
  <c r="AB634" i="30"/>
  <c r="AC634" i="30"/>
  <c r="AF634" i="30"/>
  <c r="AG634" i="30"/>
  <c r="AH634" i="30" s="1"/>
  <c r="C635" i="30"/>
  <c r="D635" i="30"/>
  <c r="F635" i="30"/>
  <c r="G635" i="30"/>
  <c r="K635" i="30"/>
  <c r="L635" i="30"/>
  <c r="M635" i="30"/>
  <c r="N635" i="30"/>
  <c r="AB635" i="30"/>
  <c r="AC635" i="30"/>
  <c r="AF635" i="30"/>
  <c r="AG635" i="30"/>
  <c r="AH635" i="30" s="1"/>
  <c r="C636" i="30"/>
  <c r="D636" i="30"/>
  <c r="F636" i="30"/>
  <c r="G636" i="30"/>
  <c r="K636" i="30"/>
  <c r="L636" i="30"/>
  <c r="M636" i="30"/>
  <c r="N636" i="30"/>
  <c r="AB636" i="30"/>
  <c r="AC636" i="30"/>
  <c r="AF636" i="30"/>
  <c r="AG636" i="30"/>
  <c r="AH636" i="30" s="1"/>
  <c r="C637" i="30"/>
  <c r="D637" i="30"/>
  <c r="F637" i="30"/>
  <c r="G637" i="30"/>
  <c r="K637" i="30"/>
  <c r="L637" i="30"/>
  <c r="M637" i="30"/>
  <c r="N637" i="30"/>
  <c r="AB637" i="30"/>
  <c r="AC637" i="30"/>
  <c r="AF637" i="30"/>
  <c r="AG637" i="30"/>
  <c r="AH637" i="30" s="1"/>
  <c r="C638" i="30"/>
  <c r="D638" i="30"/>
  <c r="F638" i="30"/>
  <c r="G638" i="30"/>
  <c r="K638" i="30"/>
  <c r="L638" i="30"/>
  <c r="M638" i="30"/>
  <c r="N638" i="30"/>
  <c r="AB638" i="30"/>
  <c r="AC638" i="30"/>
  <c r="AF638" i="30"/>
  <c r="AG638" i="30"/>
  <c r="AH638" i="30" s="1"/>
  <c r="C639" i="30"/>
  <c r="D639" i="30"/>
  <c r="F639" i="30"/>
  <c r="G639" i="30"/>
  <c r="K639" i="30"/>
  <c r="L639" i="30"/>
  <c r="M639" i="30"/>
  <c r="N639" i="30"/>
  <c r="AB639" i="30"/>
  <c r="AC639" i="30"/>
  <c r="AF639" i="30"/>
  <c r="AG639" i="30"/>
  <c r="AH639" i="30" s="1"/>
  <c r="C640" i="30"/>
  <c r="D640" i="30"/>
  <c r="F640" i="30"/>
  <c r="G640" i="30"/>
  <c r="K640" i="30"/>
  <c r="L640" i="30"/>
  <c r="M640" i="30"/>
  <c r="N640" i="30"/>
  <c r="AB640" i="30"/>
  <c r="AC640" i="30"/>
  <c r="AF640" i="30"/>
  <c r="AG640" i="30"/>
  <c r="AH640" i="30" s="1"/>
  <c r="C641" i="30"/>
  <c r="D641" i="30"/>
  <c r="F641" i="30"/>
  <c r="G641" i="30"/>
  <c r="K641" i="30"/>
  <c r="L641" i="30"/>
  <c r="M641" i="30"/>
  <c r="N641" i="30"/>
  <c r="AB641" i="30"/>
  <c r="AC641" i="30"/>
  <c r="AF641" i="30"/>
  <c r="AG641" i="30"/>
  <c r="AH641" i="30" s="1"/>
  <c r="C642" i="30"/>
  <c r="D642" i="30"/>
  <c r="F642" i="30"/>
  <c r="G642" i="30"/>
  <c r="K642" i="30"/>
  <c r="L642" i="30"/>
  <c r="M642" i="30"/>
  <c r="N642" i="30"/>
  <c r="AB642" i="30"/>
  <c r="AC642" i="30"/>
  <c r="AF642" i="30"/>
  <c r="AG642" i="30"/>
  <c r="AH642" i="30" s="1"/>
  <c r="C643" i="30"/>
  <c r="D643" i="30"/>
  <c r="F643" i="30"/>
  <c r="G643" i="30"/>
  <c r="K643" i="30"/>
  <c r="L643" i="30"/>
  <c r="M643" i="30"/>
  <c r="N643" i="30"/>
  <c r="AB643" i="30"/>
  <c r="AC643" i="30"/>
  <c r="AF643" i="30"/>
  <c r="AG643" i="30"/>
  <c r="AH643" i="30" s="1"/>
  <c r="C644" i="30"/>
  <c r="D644" i="30"/>
  <c r="F644" i="30"/>
  <c r="G644" i="30"/>
  <c r="K644" i="30"/>
  <c r="L644" i="30"/>
  <c r="M644" i="30"/>
  <c r="N644" i="30"/>
  <c r="AB644" i="30"/>
  <c r="AC644" i="30"/>
  <c r="AF644" i="30"/>
  <c r="AG644" i="30"/>
  <c r="AH644" i="30" s="1"/>
  <c r="C645" i="30"/>
  <c r="D645" i="30"/>
  <c r="F645" i="30"/>
  <c r="G645" i="30"/>
  <c r="K645" i="30"/>
  <c r="L645" i="30"/>
  <c r="M645" i="30"/>
  <c r="N645" i="30"/>
  <c r="AB645" i="30"/>
  <c r="AC645" i="30"/>
  <c r="AF645" i="30"/>
  <c r="AG645" i="30"/>
  <c r="AH645" i="30" s="1"/>
  <c r="C646" i="30"/>
  <c r="D646" i="30"/>
  <c r="F646" i="30"/>
  <c r="G646" i="30"/>
  <c r="K646" i="30"/>
  <c r="L646" i="30"/>
  <c r="M646" i="30"/>
  <c r="N646" i="30"/>
  <c r="AB646" i="30"/>
  <c r="AC646" i="30"/>
  <c r="AF646" i="30"/>
  <c r="AG646" i="30"/>
  <c r="AH646" i="30" s="1"/>
  <c r="C647" i="30"/>
  <c r="D647" i="30"/>
  <c r="F647" i="30"/>
  <c r="G647" i="30"/>
  <c r="K647" i="30"/>
  <c r="L647" i="30"/>
  <c r="M647" i="30"/>
  <c r="N647" i="30"/>
  <c r="AB647" i="30"/>
  <c r="AC647" i="30"/>
  <c r="AF647" i="30"/>
  <c r="AG647" i="30"/>
  <c r="AH647" i="30" s="1"/>
  <c r="C648" i="30"/>
  <c r="D648" i="30"/>
  <c r="F648" i="30"/>
  <c r="G648" i="30"/>
  <c r="K648" i="30"/>
  <c r="L648" i="30"/>
  <c r="M648" i="30"/>
  <c r="N648" i="30"/>
  <c r="AB648" i="30"/>
  <c r="AC648" i="30"/>
  <c r="AF648" i="30"/>
  <c r="AG648" i="30"/>
  <c r="AH648" i="30" s="1"/>
  <c r="C649" i="30"/>
  <c r="D649" i="30"/>
  <c r="F649" i="30"/>
  <c r="G649" i="30"/>
  <c r="K649" i="30"/>
  <c r="L649" i="30"/>
  <c r="M649" i="30"/>
  <c r="N649" i="30"/>
  <c r="AB649" i="30"/>
  <c r="AC649" i="30"/>
  <c r="AF649" i="30"/>
  <c r="AG649" i="30"/>
  <c r="AH649" i="30" s="1"/>
  <c r="C650" i="30"/>
  <c r="D650" i="30"/>
  <c r="F650" i="30"/>
  <c r="G650" i="30"/>
  <c r="K650" i="30"/>
  <c r="L650" i="30"/>
  <c r="M650" i="30"/>
  <c r="N650" i="30"/>
  <c r="AB650" i="30"/>
  <c r="AC650" i="30"/>
  <c r="AF650" i="30"/>
  <c r="AG650" i="30"/>
  <c r="AH650" i="30" s="1"/>
  <c r="C651" i="30"/>
  <c r="D651" i="30"/>
  <c r="F651" i="30"/>
  <c r="G651" i="30"/>
  <c r="K651" i="30"/>
  <c r="L651" i="30"/>
  <c r="M651" i="30"/>
  <c r="N651" i="30"/>
  <c r="AB651" i="30"/>
  <c r="AC651" i="30"/>
  <c r="AF651" i="30"/>
  <c r="AG651" i="30"/>
  <c r="AH651" i="30" s="1"/>
  <c r="C652" i="30"/>
  <c r="D652" i="30"/>
  <c r="F652" i="30"/>
  <c r="G652" i="30"/>
  <c r="K652" i="30"/>
  <c r="L652" i="30"/>
  <c r="M652" i="30"/>
  <c r="N652" i="30"/>
  <c r="AB652" i="30"/>
  <c r="AC652" i="30"/>
  <c r="AF652" i="30"/>
  <c r="AG652" i="30"/>
  <c r="AH652" i="30" s="1"/>
  <c r="C653" i="30"/>
  <c r="D653" i="30"/>
  <c r="F653" i="30"/>
  <c r="G653" i="30"/>
  <c r="K653" i="30"/>
  <c r="L653" i="30"/>
  <c r="M653" i="30"/>
  <c r="N653" i="30"/>
  <c r="AB653" i="30"/>
  <c r="AC653" i="30"/>
  <c r="AF653" i="30"/>
  <c r="AG653" i="30"/>
  <c r="AH653" i="30" s="1"/>
  <c r="C654" i="30"/>
  <c r="D654" i="30"/>
  <c r="F654" i="30"/>
  <c r="G654" i="30"/>
  <c r="K654" i="30"/>
  <c r="L654" i="30"/>
  <c r="M654" i="30"/>
  <c r="N654" i="30"/>
  <c r="AB654" i="30"/>
  <c r="AC654" i="30"/>
  <c r="AF654" i="30"/>
  <c r="AG654" i="30"/>
  <c r="AH654" i="30" s="1"/>
  <c r="C655" i="30"/>
  <c r="D655" i="30"/>
  <c r="F655" i="30"/>
  <c r="G655" i="30"/>
  <c r="K655" i="30"/>
  <c r="L655" i="30"/>
  <c r="M655" i="30"/>
  <c r="N655" i="30"/>
  <c r="AB655" i="30"/>
  <c r="AC655" i="30"/>
  <c r="AF655" i="30"/>
  <c r="AG655" i="30"/>
  <c r="AH655" i="30" s="1"/>
  <c r="C656" i="30"/>
  <c r="D656" i="30"/>
  <c r="F656" i="30"/>
  <c r="G656" i="30"/>
  <c r="K656" i="30"/>
  <c r="L656" i="30"/>
  <c r="M656" i="30"/>
  <c r="N656" i="30"/>
  <c r="AB656" i="30"/>
  <c r="AC656" i="30"/>
  <c r="AF656" i="30"/>
  <c r="AG656" i="30"/>
  <c r="AH656" i="30" s="1"/>
  <c r="C657" i="30"/>
  <c r="D657" i="30"/>
  <c r="F657" i="30"/>
  <c r="G657" i="30"/>
  <c r="K657" i="30"/>
  <c r="L657" i="30"/>
  <c r="M657" i="30"/>
  <c r="N657" i="30"/>
  <c r="AB657" i="30"/>
  <c r="AC657" i="30"/>
  <c r="AF657" i="30"/>
  <c r="AG657" i="30"/>
  <c r="AH657" i="30" s="1"/>
  <c r="C658" i="30"/>
  <c r="D658" i="30"/>
  <c r="F658" i="30"/>
  <c r="G658" i="30"/>
  <c r="K658" i="30"/>
  <c r="L658" i="30"/>
  <c r="M658" i="30"/>
  <c r="N658" i="30"/>
  <c r="AB658" i="30"/>
  <c r="AC658" i="30"/>
  <c r="AF658" i="30"/>
  <c r="AG658" i="30"/>
  <c r="AH658" i="30" s="1"/>
  <c r="C659" i="30"/>
  <c r="D659" i="30"/>
  <c r="F659" i="30"/>
  <c r="G659" i="30"/>
  <c r="K659" i="30"/>
  <c r="L659" i="30"/>
  <c r="M659" i="30"/>
  <c r="N659" i="30"/>
  <c r="AB659" i="30"/>
  <c r="AC659" i="30"/>
  <c r="AF659" i="30"/>
  <c r="AG659" i="30"/>
  <c r="AH659" i="30" s="1"/>
  <c r="C660" i="30"/>
  <c r="D660" i="30"/>
  <c r="F660" i="30"/>
  <c r="G660" i="30"/>
  <c r="K660" i="30"/>
  <c r="L660" i="30"/>
  <c r="M660" i="30"/>
  <c r="N660" i="30"/>
  <c r="AB660" i="30"/>
  <c r="AC660" i="30"/>
  <c r="AF660" i="30"/>
  <c r="AG660" i="30"/>
  <c r="AH660" i="30" s="1"/>
  <c r="C661" i="30"/>
  <c r="D661" i="30"/>
  <c r="F661" i="30"/>
  <c r="G661" i="30"/>
  <c r="K661" i="30"/>
  <c r="L661" i="30"/>
  <c r="M661" i="30"/>
  <c r="N661" i="30"/>
  <c r="AB661" i="30"/>
  <c r="AC661" i="30"/>
  <c r="AF661" i="30"/>
  <c r="AG661" i="30"/>
  <c r="AH661" i="30" s="1"/>
  <c r="C662" i="30"/>
  <c r="D662" i="30"/>
  <c r="F662" i="30"/>
  <c r="G662" i="30"/>
  <c r="K662" i="30"/>
  <c r="L662" i="30"/>
  <c r="M662" i="30"/>
  <c r="N662" i="30"/>
  <c r="AB662" i="30"/>
  <c r="AC662" i="30"/>
  <c r="AF662" i="30"/>
  <c r="AG662" i="30"/>
  <c r="AH662" i="30" s="1"/>
  <c r="C663" i="30"/>
  <c r="D663" i="30"/>
  <c r="F663" i="30"/>
  <c r="G663" i="30"/>
  <c r="K663" i="30"/>
  <c r="L663" i="30"/>
  <c r="M663" i="30"/>
  <c r="N663" i="30"/>
  <c r="AB663" i="30"/>
  <c r="AC663" i="30"/>
  <c r="AF663" i="30"/>
  <c r="AG663" i="30"/>
  <c r="AH663" i="30" s="1"/>
  <c r="C664" i="30"/>
  <c r="D664" i="30"/>
  <c r="F664" i="30"/>
  <c r="G664" i="30"/>
  <c r="K664" i="30"/>
  <c r="L664" i="30"/>
  <c r="M664" i="30"/>
  <c r="N664" i="30"/>
  <c r="AB664" i="30"/>
  <c r="AC664" i="30"/>
  <c r="AF664" i="30"/>
  <c r="AG664" i="30"/>
  <c r="AH664" i="30" s="1"/>
  <c r="C665" i="30"/>
  <c r="D665" i="30"/>
  <c r="F665" i="30"/>
  <c r="G665" i="30"/>
  <c r="K665" i="30"/>
  <c r="L665" i="30"/>
  <c r="M665" i="30"/>
  <c r="N665" i="30"/>
  <c r="AB665" i="30"/>
  <c r="AC665" i="30"/>
  <c r="AF665" i="30"/>
  <c r="AG665" i="30"/>
  <c r="AH665" i="30" s="1"/>
  <c r="C666" i="30"/>
  <c r="D666" i="30"/>
  <c r="F666" i="30"/>
  <c r="G666" i="30"/>
  <c r="K666" i="30"/>
  <c r="L666" i="30"/>
  <c r="M666" i="30"/>
  <c r="N666" i="30"/>
  <c r="AB666" i="30"/>
  <c r="AC666" i="30"/>
  <c r="AF666" i="30"/>
  <c r="AG666" i="30"/>
  <c r="AH666" i="30" s="1"/>
  <c r="C667" i="30"/>
  <c r="D667" i="30"/>
  <c r="F667" i="30"/>
  <c r="G667" i="30"/>
  <c r="K667" i="30"/>
  <c r="L667" i="30"/>
  <c r="M667" i="30"/>
  <c r="N667" i="30"/>
  <c r="AB667" i="30"/>
  <c r="AC667" i="30"/>
  <c r="AF667" i="30"/>
  <c r="AG667" i="30"/>
  <c r="AH667" i="30" s="1"/>
  <c r="C668" i="30"/>
  <c r="D668" i="30"/>
  <c r="F668" i="30"/>
  <c r="G668" i="30"/>
  <c r="K668" i="30"/>
  <c r="L668" i="30"/>
  <c r="M668" i="30"/>
  <c r="N668" i="30"/>
  <c r="AB668" i="30"/>
  <c r="AC668" i="30"/>
  <c r="AF668" i="30"/>
  <c r="AG668" i="30"/>
  <c r="AH668" i="30" s="1"/>
  <c r="C669" i="30"/>
  <c r="D669" i="30"/>
  <c r="F669" i="30"/>
  <c r="G669" i="30"/>
  <c r="K669" i="30"/>
  <c r="L669" i="30"/>
  <c r="M669" i="30"/>
  <c r="N669" i="30"/>
  <c r="AB669" i="30"/>
  <c r="AC669" i="30"/>
  <c r="AF669" i="30"/>
  <c r="AG669" i="30"/>
  <c r="AH669" i="30" s="1"/>
  <c r="C670" i="30"/>
  <c r="D670" i="30"/>
  <c r="F670" i="30"/>
  <c r="G670" i="30"/>
  <c r="K670" i="30"/>
  <c r="L670" i="30"/>
  <c r="M670" i="30"/>
  <c r="N670" i="30"/>
  <c r="AB670" i="30"/>
  <c r="AC670" i="30"/>
  <c r="AF670" i="30"/>
  <c r="AG670" i="30"/>
  <c r="AH670" i="30" s="1"/>
  <c r="C671" i="30"/>
  <c r="D671" i="30"/>
  <c r="F671" i="30"/>
  <c r="G671" i="30"/>
  <c r="K671" i="30"/>
  <c r="L671" i="30"/>
  <c r="M671" i="30"/>
  <c r="N671" i="30"/>
  <c r="AB671" i="30"/>
  <c r="AC671" i="30"/>
  <c r="AF671" i="30"/>
  <c r="AG671" i="30"/>
  <c r="AH671" i="30" s="1"/>
  <c r="C672" i="30"/>
  <c r="D672" i="30"/>
  <c r="F672" i="30"/>
  <c r="G672" i="30"/>
  <c r="K672" i="30"/>
  <c r="L672" i="30"/>
  <c r="M672" i="30"/>
  <c r="N672" i="30"/>
  <c r="AB672" i="30"/>
  <c r="AC672" i="30"/>
  <c r="AF672" i="30"/>
  <c r="AG672" i="30"/>
  <c r="AH672" i="30" s="1"/>
  <c r="C673" i="30"/>
  <c r="D673" i="30"/>
  <c r="F673" i="30"/>
  <c r="G673" i="30"/>
  <c r="K673" i="30"/>
  <c r="L673" i="30"/>
  <c r="M673" i="30"/>
  <c r="N673" i="30"/>
  <c r="AB673" i="30"/>
  <c r="AC673" i="30"/>
  <c r="AF673" i="30"/>
  <c r="AG673" i="30"/>
  <c r="AH673" i="30" s="1"/>
  <c r="C674" i="30"/>
  <c r="D674" i="30"/>
  <c r="F674" i="30"/>
  <c r="G674" i="30"/>
  <c r="K674" i="30"/>
  <c r="L674" i="30"/>
  <c r="M674" i="30"/>
  <c r="N674" i="30"/>
  <c r="AB674" i="30"/>
  <c r="AC674" i="30"/>
  <c r="AF674" i="30"/>
  <c r="AG674" i="30"/>
  <c r="AH674" i="30" s="1"/>
  <c r="C675" i="30"/>
  <c r="D675" i="30"/>
  <c r="F675" i="30"/>
  <c r="G675" i="30"/>
  <c r="K675" i="30"/>
  <c r="L675" i="30"/>
  <c r="M675" i="30"/>
  <c r="N675" i="30"/>
  <c r="AB675" i="30"/>
  <c r="AC675" i="30"/>
  <c r="AF675" i="30"/>
  <c r="AG675" i="30"/>
  <c r="AH675" i="30" s="1"/>
  <c r="C676" i="30"/>
  <c r="D676" i="30"/>
  <c r="F676" i="30"/>
  <c r="G676" i="30"/>
  <c r="K676" i="30"/>
  <c r="L676" i="30"/>
  <c r="M676" i="30"/>
  <c r="N676" i="30"/>
  <c r="AB676" i="30"/>
  <c r="AC676" i="30"/>
  <c r="AF676" i="30"/>
  <c r="AG676" i="30"/>
  <c r="AH676" i="30" s="1"/>
  <c r="C677" i="30"/>
  <c r="D677" i="30"/>
  <c r="F677" i="30"/>
  <c r="G677" i="30"/>
  <c r="K677" i="30"/>
  <c r="L677" i="30"/>
  <c r="M677" i="30"/>
  <c r="N677" i="30"/>
  <c r="AB677" i="30"/>
  <c r="AC677" i="30"/>
  <c r="AF677" i="30"/>
  <c r="AG677" i="30"/>
  <c r="AH677" i="30" s="1"/>
  <c r="C678" i="30"/>
  <c r="D678" i="30"/>
  <c r="F678" i="30"/>
  <c r="G678" i="30"/>
  <c r="K678" i="30"/>
  <c r="L678" i="30"/>
  <c r="M678" i="30"/>
  <c r="N678" i="30"/>
  <c r="AB678" i="30"/>
  <c r="AC678" i="30"/>
  <c r="AF678" i="30"/>
  <c r="AG678" i="30"/>
  <c r="AH678" i="30" s="1"/>
  <c r="C679" i="30"/>
  <c r="D679" i="30"/>
  <c r="F679" i="30"/>
  <c r="G679" i="30"/>
  <c r="K679" i="30"/>
  <c r="L679" i="30"/>
  <c r="M679" i="30"/>
  <c r="N679" i="30"/>
  <c r="AB679" i="30"/>
  <c r="AC679" i="30"/>
  <c r="AF679" i="30"/>
  <c r="AG679" i="30"/>
  <c r="AH679" i="30" s="1"/>
  <c r="C680" i="30"/>
  <c r="D680" i="30"/>
  <c r="F680" i="30"/>
  <c r="G680" i="30"/>
  <c r="K680" i="30"/>
  <c r="L680" i="30"/>
  <c r="M680" i="30"/>
  <c r="N680" i="30"/>
  <c r="AB680" i="30"/>
  <c r="AC680" i="30"/>
  <c r="AF680" i="30"/>
  <c r="AG680" i="30"/>
  <c r="AH680" i="30" s="1"/>
  <c r="C681" i="30"/>
  <c r="D681" i="30"/>
  <c r="F681" i="30"/>
  <c r="G681" i="30"/>
  <c r="K681" i="30"/>
  <c r="L681" i="30"/>
  <c r="M681" i="30"/>
  <c r="N681" i="30"/>
  <c r="AB681" i="30"/>
  <c r="AC681" i="30"/>
  <c r="AF681" i="30"/>
  <c r="AG681" i="30"/>
  <c r="AH681" i="30" s="1"/>
  <c r="C682" i="30"/>
  <c r="D682" i="30"/>
  <c r="F682" i="30"/>
  <c r="G682" i="30"/>
  <c r="K682" i="30"/>
  <c r="L682" i="30"/>
  <c r="M682" i="30"/>
  <c r="N682" i="30"/>
  <c r="AB682" i="30"/>
  <c r="AC682" i="30"/>
  <c r="AF682" i="30"/>
  <c r="AG682" i="30"/>
  <c r="AH682" i="30" s="1"/>
  <c r="C683" i="30"/>
  <c r="D683" i="30"/>
  <c r="F683" i="30"/>
  <c r="G683" i="30"/>
  <c r="K683" i="30"/>
  <c r="L683" i="30"/>
  <c r="M683" i="30"/>
  <c r="N683" i="30"/>
  <c r="AB683" i="30"/>
  <c r="AC683" i="30"/>
  <c r="AF683" i="30"/>
  <c r="AG683" i="30"/>
  <c r="AH683" i="30" s="1"/>
  <c r="C684" i="30"/>
  <c r="D684" i="30"/>
  <c r="F684" i="30"/>
  <c r="G684" i="30"/>
  <c r="K684" i="30"/>
  <c r="L684" i="30"/>
  <c r="M684" i="30"/>
  <c r="N684" i="30"/>
  <c r="AB684" i="30"/>
  <c r="AC684" i="30"/>
  <c r="AF684" i="30"/>
  <c r="AG684" i="30"/>
  <c r="AH684" i="30" s="1"/>
  <c r="C685" i="30"/>
  <c r="D685" i="30"/>
  <c r="F685" i="30"/>
  <c r="G685" i="30"/>
  <c r="K685" i="30"/>
  <c r="L685" i="30"/>
  <c r="M685" i="30"/>
  <c r="N685" i="30"/>
  <c r="AB685" i="30"/>
  <c r="AC685" i="30"/>
  <c r="AF685" i="30"/>
  <c r="AG685" i="30"/>
  <c r="AH685" i="30" s="1"/>
  <c r="C686" i="30"/>
  <c r="D686" i="30"/>
  <c r="F686" i="30"/>
  <c r="G686" i="30"/>
  <c r="K686" i="30"/>
  <c r="L686" i="30"/>
  <c r="M686" i="30"/>
  <c r="N686" i="30"/>
  <c r="AB686" i="30"/>
  <c r="AC686" i="30"/>
  <c r="AF686" i="30"/>
  <c r="AG686" i="30"/>
  <c r="AH686" i="30" s="1"/>
  <c r="C687" i="30"/>
  <c r="D687" i="30"/>
  <c r="F687" i="30"/>
  <c r="G687" i="30"/>
  <c r="K687" i="30"/>
  <c r="L687" i="30"/>
  <c r="M687" i="30"/>
  <c r="N687" i="30"/>
  <c r="AB687" i="30"/>
  <c r="AC687" i="30"/>
  <c r="AF687" i="30"/>
  <c r="AG687" i="30"/>
  <c r="AH687" i="30" s="1"/>
  <c r="C688" i="30"/>
  <c r="D688" i="30"/>
  <c r="F688" i="30"/>
  <c r="G688" i="30"/>
  <c r="K688" i="30"/>
  <c r="L688" i="30"/>
  <c r="M688" i="30"/>
  <c r="N688" i="30"/>
  <c r="AB688" i="30"/>
  <c r="AC688" i="30"/>
  <c r="AF688" i="30"/>
  <c r="AG688" i="30"/>
  <c r="AH688" i="30" s="1"/>
  <c r="C689" i="30"/>
  <c r="D689" i="30"/>
  <c r="F689" i="30"/>
  <c r="G689" i="30"/>
  <c r="K689" i="30"/>
  <c r="L689" i="30"/>
  <c r="M689" i="30"/>
  <c r="N689" i="30"/>
  <c r="AB689" i="30"/>
  <c r="AC689" i="30"/>
  <c r="AF689" i="30"/>
  <c r="AG689" i="30"/>
  <c r="AH689" i="30" s="1"/>
  <c r="C690" i="30"/>
  <c r="D690" i="30"/>
  <c r="F690" i="30"/>
  <c r="G690" i="30"/>
  <c r="K690" i="30"/>
  <c r="L690" i="30"/>
  <c r="M690" i="30"/>
  <c r="N690" i="30"/>
  <c r="AB690" i="30"/>
  <c r="AC690" i="30"/>
  <c r="AF690" i="30"/>
  <c r="AG690" i="30"/>
  <c r="AH690" i="30" s="1"/>
  <c r="C691" i="30"/>
  <c r="D691" i="30"/>
  <c r="F691" i="30"/>
  <c r="G691" i="30"/>
  <c r="K691" i="30"/>
  <c r="L691" i="30"/>
  <c r="M691" i="30"/>
  <c r="N691" i="30"/>
  <c r="AB691" i="30"/>
  <c r="AC691" i="30"/>
  <c r="AF691" i="30"/>
  <c r="AG691" i="30"/>
  <c r="AH691" i="30" s="1"/>
  <c r="C692" i="30"/>
  <c r="D692" i="30"/>
  <c r="F692" i="30"/>
  <c r="G692" i="30"/>
  <c r="K692" i="30"/>
  <c r="L692" i="30"/>
  <c r="M692" i="30"/>
  <c r="N692" i="30"/>
  <c r="AB692" i="30"/>
  <c r="AC692" i="30"/>
  <c r="AF692" i="30"/>
  <c r="AG692" i="30"/>
  <c r="AH692" i="30" s="1"/>
  <c r="C693" i="30"/>
  <c r="D693" i="30"/>
  <c r="F693" i="30"/>
  <c r="G693" i="30"/>
  <c r="K693" i="30"/>
  <c r="L693" i="30"/>
  <c r="M693" i="30"/>
  <c r="N693" i="30"/>
  <c r="AB693" i="30"/>
  <c r="AC693" i="30"/>
  <c r="AF693" i="30"/>
  <c r="AG693" i="30"/>
  <c r="AH693" i="30" s="1"/>
  <c r="C694" i="30"/>
  <c r="D694" i="30"/>
  <c r="F694" i="30"/>
  <c r="G694" i="30"/>
  <c r="K694" i="30"/>
  <c r="L694" i="30"/>
  <c r="M694" i="30"/>
  <c r="N694" i="30"/>
  <c r="AB694" i="30"/>
  <c r="AC694" i="30"/>
  <c r="AF694" i="30"/>
  <c r="AG694" i="30"/>
  <c r="AH694" i="30" s="1"/>
  <c r="C695" i="30"/>
  <c r="D695" i="30"/>
  <c r="F695" i="30"/>
  <c r="G695" i="30"/>
  <c r="K695" i="30"/>
  <c r="L695" i="30"/>
  <c r="M695" i="30"/>
  <c r="N695" i="30"/>
  <c r="AB695" i="30"/>
  <c r="AC695" i="30"/>
  <c r="AF695" i="30"/>
  <c r="AG695" i="30"/>
  <c r="AH695" i="30" s="1"/>
  <c r="C696" i="30"/>
  <c r="D696" i="30"/>
  <c r="F696" i="30"/>
  <c r="G696" i="30"/>
  <c r="K696" i="30"/>
  <c r="L696" i="30"/>
  <c r="M696" i="30"/>
  <c r="N696" i="30"/>
  <c r="AB696" i="30"/>
  <c r="AC696" i="30"/>
  <c r="AF696" i="30"/>
  <c r="AG696" i="30"/>
  <c r="AH696" i="30" s="1"/>
  <c r="C697" i="30"/>
  <c r="D697" i="30"/>
  <c r="F697" i="30"/>
  <c r="G697" i="30"/>
  <c r="K697" i="30"/>
  <c r="L697" i="30"/>
  <c r="M697" i="30"/>
  <c r="N697" i="30"/>
  <c r="AB697" i="30"/>
  <c r="AC697" i="30"/>
  <c r="AF697" i="30"/>
  <c r="AG697" i="30"/>
  <c r="AH697" i="30" s="1"/>
  <c r="C698" i="30"/>
  <c r="D698" i="30"/>
  <c r="F698" i="30"/>
  <c r="G698" i="30"/>
  <c r="K698" i="30"/>
  <c r="L698" i="30"/>
  <c r="M698" i="30"/>
  <c r="N698" i="30"/>
  <c r="AB698" i="30"/>
  <c r="AC698" i="30"/>
  <c r="AF698" i="30"/>
  <c r="AG698" i="30"/>
  <c r="AH698" i="30" s="1"/>
  <c r="C699" i="30"/>
  <c r="D699" i="30"/>
  <c r="F699" i="30"/>
  <c r="G699" i="30"/>
  <c r="K699" i="30"/>
  <c r="L699" i="30"/>
  <c r="M699" i="30"/>
  <c r="N699" i="30"/>
  <c r="AB699" i="30"/>
  <c r="AC699" i="30"/>
  <c r="AF699" i="30"/>
  <c r="AG699" i="30"/>
  <c r="AH699" i="30" s="1"/>
  <c r="C700" i="30"/>
  <c r="D700" i="30"/>
  <c r="F700" i="30"/>
  <c r="G700" i="30"/>
  <c r="K700" i="30"/>
  <c r="L700" i="30"/>
  <c r="M700" i="30"/>
  <c r="N700" i="30"/>
  <c r="AB700" i="30"/>
  <c r="AC700" i="30"/>
  <c r="AF700" i="30"/>
  <c r="AG700" i="30"/>
  <c r="AH700" i="30" s="1"/>
  <c r="C701" i="30"/>
  <c r="D701" i="30"/>
  <c r="F701" i="30"/>
  <c r="G701" i="30"/>
  <c r="K701" i="30"/>
  <c r="L701" i="30"/>
  <c r="M701" i="30"/>
  <c r="N701" i="30"/>
  <c r="AB701" i="30"/>
  <c r="AC701" i="30"/>
  <c r="AF701" i="30"/>
  <c r="AG701" i="30"/>
  <c r="AH701" i="30" s="1"/>
  <c r="C702" i="30"/>
  <c r="D702" i="30"/>
  <c r="F702" i="30"/>
  <c r="G702" i="30"/>
  <c r="K702" i="30"/>
  <c r="L702" i="30"/>
  <c r="M702" i="30"/>
  <c r="N702" i="30"/>
  <c r="AB702" i="30"/>
  <c r="AC702" i="30"/>
  <c r="C703" i="30"/>
  <c r="D703" i="30"/>
  <c r="F703" i="30"/>
  <c r="G703" i="30"/>
  <c r="K703" i="30"/>
  <c r="L703" i="30"/>
  <c r="M703" i="30"/>
  <c r="N703" i="30"/>
  <c r="AB703" i="30"/>
  <c r="AC703" i="30"/>
  <c r="C704" i="30"/>
  <c r="D704" i="30"/>
  <c r="F704" i="30"/>
  <c r="G704" i="30"/>
  <c r="K704" i="30"/>
  <c r="L704" i="30"/>
  <c r="M704" i="30"/>
  <c r="N704" i="30"/>
  <c r="AB704" i="30"/>
  <c r="AC704" i="30"/>
  <c r="C705" i="30"/>
  <c r="D705" i="30"/>
  <c r="F705" i="30"/>
  <c r="G705" i="30"/>
  <c r="K705" i="30"/>
  <c r="L705" i="30"/>
  <c r="M705" i="30"/>
  <c r="N705" i="30"/>
  <c r="AB705" i="30"/>
  <c r="AC705" i="30"/>
  <c r="C706" i="30"/>
  <c r="D706" i="30"/>
  <c r="F706" i="30"/>
  <c r="G706" i="30"/>
  <c r="K706" i="30"/>
  <c r="L706" i="30"/>
  <c r="M706" i="30"/>
  <c r="N706" i="30"/>
  <c r="AB706" i="30"/>
  <c r="AC706" i="30"/>
  <c r="C707" i="30"/>
  <c r="D707" i="30"/>
  <c r="F707" i="30"/>
  <c r="G707" i="30"/>
  <c r="K707" i="30"/>
  <c r="L707" i="30"/>
  <c r="M707" i="30"/>
  <c r="N707" i="30"/>
  <c r="AB707" i="30"/>
  <c r="AC707" i="30"/>
  <c r="C708" i="30"/>
  <c r="D708" i="30"/>
  <c r="F708" i="30"/>
  <c r="G708" i="30"/>
  <c r="K708" i="30"/>
  <c r="L708" i="30"/>
  <c r="M708" i="30"/>
  <c r="N708" i="30"/>
  <c r="AB708" i="30"/>
  <c r="AC708" i="30"/>
  <c r="C709" i="30"/>
  <c r="D709" i="30"/>
  <c r="F709" i="30"/>
  <c r="G709" i="30"/>
  <c r="K709" i="30"/>
  <c r="L709" i="30"/>
  <c r="M709" i="30"/>
  <c r="N709" i="30"/>
  <c r="AB709" i="30"/>
  <c r="AC709" i="30"/>
  <c r="C710" i="30"/>
  <c r="D710" i="30"/>
  <c r="F710" i="30"/>
  <c r="G710" i="30"/>
  <c r="K710" i="30"/>
  <c r="L710" i="30"/>
  <c r="M710" i="30"/>
  <c r="N710" i="30"/>
  <c r="AB710" i="30"/>
  <c r="AC710" i="30"/>
  <c r="C711" i="30"/>
  <c r="D711" i="30"/>
  <c r="F711" i="30"/>
  <c r="G711" i="30"/>
  <c r="K711" i="30"/>
  <c r="L711" i="30"/>
  <c r="M711" i="30"/>
  <c r="N711" i="30"/>
  <c r="AB711" i="30"/>
  <c r="AC711" i="30"/>
  <c r="C712" i="30"/>
  <c r="D712" i="30"/>
  <c r="F712" i="30"/>
  <c r="G712" i="30"/>
  <c r="K712" i="30"/>
  <c r="L712" i="30"/>
  <c r="M712" i="30"/>
  <c r="N712" i="30"/>
  <c r="AB712" i="30"/>
  <c r="AC712" i="30"/>
  <c r="C713" i="30"/>
  <c r="D713" i="30"/>
  <c r="F713" i="30"/>
  <c r="G713" i="30"/>
  <c r="K713" i="30"/>
  <c r="L713" i="30"/>
  <c r="M713" i="30"/>
  <c r="N713" i="30"/>
  <c r="AB713" i="30"/>
  <c r="AC713" i="30"/>
  <c r="C714" i="30"/>
  <c r="D714" i="30"/>
  <c r="F714" i="30"/>
  <c r="G714" i="30"/>
  <c r="K714" i="30"/>
  <c r="L714" i="30"/>
  <c r="M714" i="30"/>
  <c r="N714" i="30"/>
  <c r="AB714" i="30"/>
  <c r="AC714" i="30"/>
  <c r="C715" i="30"/>
  <c r="D715" i="30"/>
  <c r="F715" i="30"/>
  <c r="G715" i="30"/>
  <c r="K715" i="30"/>
  <c r="L715" i="30"/>
  <c r="M715" i="30"/>
  <c r="N715" i="30"/>
  <c r="AB715" i="30"/>
  <c r="AC715" i="30"/>
  <c r="C716" i="30"/>
  <c r="D716" i="30"/>
  <c r="F716" i="30"/>
  <c r="G716" i="30"/>
  <c r="K716" i="30"/>
  <c r="L716" i="30"/>
  <c r="M716" i="30"/>
  <c r="N716" i="30"/>
  <c r="AB716" i="30"/>
  <c r="AC716" i="30"/>
  <c r="K717" i="30"/>
  <c r="L717" i="30"/>
  <c r="M717" i="30"/>
  <c r="N717" i="30"/>
  <c r="K718" i="30"/>
  <c r="L718" i="30"/>
  <c r="M718" i="30"/>
  <c r="N718" i="30"/>
  <c r="K719" i="30"/>
  <c r="L719" i="30"/>
  <c r="M719" i="30"/>
  <c r="N719" i="30"/>
  <c r="K720" i="30"/>
  <c r="L720" i="30"/>
  <c r="M720" i="30"/>
  <c r="N720" i="30"/>
  <c r="AC22" i="30"/>
  <c r="AC20" i="30"/>
  <c r="AC24" i="30"/>
  <c r="AC23" i="30"/>
  <c r="AC21" i="30"/>
  <c r="AB21" i="30"/>
  <c r="AB23" i="30"/>
  <c r="AB20" i="30"/>
  <c r="AB22" i="30"/>
  <c r="AB24" i="30"/>
  <c r="F32" i="12"/>
  <c r="N542" i="7"/>
  <c r="F583" i="17"/>
  <c r="G582" i="17"/>
  <c r="G578" i="17"/>
  <c r="G574" i="17"/>
  <c r="G570" i="17"/>
  <c r="G566" i="17"/>
  <c r="F563" i="17"/>
  <c r="G562" i="17"/>
  <c r="F559" i="17"/>
  <c r="G558" i="17"/>
  <c r="F555" i="17"/>
  <c r="G554" i="17"/>
  <c r="F551" i="17"/>
  <c r="G550" i="17"/>
  <c r="F547" i="17"/>
  <c r="G546" i="17"/>
  <c r="F543" i="17"/>
  <c r="G542" i="17"/>
  <c r="F539" i="17"/>
  <c r="G538" i="17"/>
  <c r="F535" i="17"/>
  <c r="G534" i="17"/>
  <c r="G530" i="17"/>
  <c r="F527" i="17"/>
  <c r="G526" i="17"/>
  <c r="G522" i="17"/>
  <c r="G518" i="17"/>
  <c r="G514" i="17"/>
  <c r="G510" i="17"/>
  <c r="G506" i="17"/>
  <c r="G502" i="17"/>
  <c r="G498" i="17"/>
  <c r="G494" i="17"/>
  <c r="G490" i="17"/>
  <c r="G486" i="17"/>
  <c r="K461" i="17"/>
  <c r="K453" i="17"/>
  <c r="K449" i="17"/>
  <c r="G449" i="17"/>
  <c r="K445" i="17"/>
  <c r="H437" i="17"/>
  <c r="J433" i="17"/>
  <c r="J417" i="17"/>
  <c r="H416" i="17"/>
  <c r="K412" i="17"/>
  <c r="L410" i="17"/>
  <c r="G410" i="17"/>
  <c r="F401" i="17"/>
  <c r="J401" i="17"/>
  <c r="H400" i="17"/>
  <c r="K396" i="17"/>
  <c r="L394" i="17"/>
  <c r="G394" i="17"/>
  <c r="J390" i="17"/>
  <c r="I390" i="17"/>
  <c r="H386" i="17"/>
  <c r="K385" i="17"/>
  <c r="J385" i="17"/>
  <c r="I374" i="17"/>
  <c r="G369" i="17"/>
  <c r="K369" i="17"/>
  <c r="F369" i="17"/>
  <c r="I365" i="17"/>
  <c r="J358" i="17"/>
  <c r="I358" i="17"/>
  <c r="G353" i="17"/>
  <c r="K353" i="17"/>
  <c r="J353" i="17"/>
  <c r="J342" i="17"/>
  <c r="I342" i="17"/>
  <c r="G337" i="17"/>
  <c r="K337" i="17"/>
  <c r="J337" i="17"/>
  <c r="I333" i="17"/>
  <c r="J326" i="17"/>
  <c r="G326" i="17"/>
  <c r="I326" i="17"/>
  <c r="J316" i="17"/>
  <c r="L316" i="17"/>
  <c r="H316" i="17"/>
  <c r="K316" i="17"/>
  <c r="J284" i="17"/>
  <c r="G284" i="17"/>
  <c r="L284" i="17"/>
  <c r="H284" i="17"/>
  <c r="K284" i="17"/>
  <c r="H276" i="17"/>
  <c r="K247" i="17"/>
  <c r="L220" i="17"/>
  <c r="F582" i="17"/>
  <c r="F574" i="17"/>
  <c r="F566" i="17"/>
  <c r="F562" i="17"/>
  <c r="F558" i="17"/>
  <c r="F554" i="17"/>
  <c r="F550" i="17"/>
  <c r="F546" i="17"/>
  <c r="F542" i="17"/>
  <c r="F538" i="17"/>
  <c r="F534" i="17"/>
  <c r="F530" i="17"/>
  <c r="F526" i="17"/>
  <c r="F522" i="17"/>
  <c r="G521" i="17"/>
  <c r="G517" i="17"/>
  <c r="F514" i="17"/>
  <c r="G513" i="17"/>
  <c r="F510" i="17"/>
  <c r="G509" i="17"/>
  <c r="F506" i="17"/>
  <c r="G505" i="17"/>
  <c r="G501" i="17"/>
  <c r="G497" i="17"/>
  <c r="F494" i="17"/>
  <c r="G493" i="17"/>
  <c r="F490" i="17"/>
  <c r="G489" i="17"/>
  <c r="F486" i="17"/>
  <c r="J461" i="17"/>
  <c r="G460" i="17"/>
  <c r="J453" i="17"/>
  <c r="K452" i="17"/>
  <c r="G452" i="17"/>
  <c r="J449" i="17"/>
  <c r="K448" i="17"/>
  <c r="G448" i="17"/>
  <c r="J445" i="17"/>
  <c r="G444" i="17"/>
  <c r="K442" i="17"/>
  <c r="G438" i="17"/>
  <c r="L437" i="17"/>
  <c r="G437" i="17"/>
  <c r="L432" i="17"/>
  <c r="L422" i="17"/>
  <c r="L421" i="17"/>
  <c r="H417" i="17"/>
  <c r="L416" i="17"/>
  <c r="J413" i="17"/>
  <c r="H412" i="17"/>
  <c r="K410" i="17"/>
  <c r="G408" i="17"/>
  <c r="K408" i="17"/>
  <c r="L406" i="17"/>
  <c r="G405" i="17"/>
  <c r="H401" i="17"/>
  <c r="J398" i="17"/>
  <c r="H396" i="17"/>
  <c r="K394" i="17"/>
  <c r="H390" i="17"/>
  <c r="K389" i="17"/>
  <c r="J389" i="17"/>
  <c r="G386" i="17"/>
  <c r="J378" i="17"/>
  <c r="I378" i="17"/>
  <c r="G373" i="17"/>
  <c r="K373" i="17"/>
  <c r="G370" i="17"/>
  <c r="I369" i="17"/>
  <c r="I362" i="17"/>
  <c r="H358" i="17"/>
  <c r="G357" i="17"/>
  <c r="K357" i="17"/>
  <c r="J357" i="17"/>
  <c r="G354" i="17"/>
  <c r="I353" i="17"/>
  <c r="I346" i="17"/>
  <c r="H342" i="17"/>
  <c r="G341" i="17"/>
  <c r="K341" i="17"/>
  <c r="J341" i="17"/>
  <c r="G338" i="17"/>
  <c r="I337" i="17"/>
  <c r="J330" i="17"/>
  <c r="I330" i="17"/>
  <c r="L326" i="17"/>
  <c r="J322" i="17"/>
  <c r="G322" i="17"/>
  <c r="K322" i="17"/>
  <c r="G311" i="17"/>
  <c r="K311" i="17"/>
  <c r="L311" i="17"/>
  <c r="H311" i="17"/>
  <c r="J311" i="17"/>
  <c r="I305" i="17"/>
  <c r="K305" i="17"/>
  <c r="G305" i="17"/>
  <c r="L305" i="17"/>
  <c r="J305" i="17"/>
  <c r="H287" i="17"/>
  <c r="L279" i="17"/>
  <c r="H228" i="17"/>
  <c r="J452" i="17"/>
  <c r="J448" i="17"/>
  <c r="J442" i="17"/>
  <c r="J441" i="17"/>
  <c r="K438" i="17"/>
  <c r="G433" i="17"/>
  <c r="G420" i="17"/>
  <c r="K420" i="17"/>
  <c r="L417" i="17"/>
  <c r="L412" i="17"/>
  <c r="F412" i="17"/>
  <c r="J410" i="17"/>
  <c r="K406" i="17"/>
  <c r="F406" i="17"/>
  <c r="G404" i="17"/>
  <c r="L401" i="17"/>
  <c r="G401" i="17"/>
  <c r="L396" i="17"/>
  <c r="J394" i="17"/>
  <c r="J393" i="17"/>
  <c r="H385" i="17"/>
  <c r="F382" i="17"/>
  <c r="J382" i="17"/>
  <c r="G377" i="17"/>
  <c r="K377" i="17"/>
  <c r="G374" i="17"/>
  <c r="H369" i="17"/>
  <c r="I366" i="17"/>
  <c r="G361" i="17"/>
  <c r="K361" i="17"/>
  <c r="J361" i="17"/>
  <c r="G358" i="17"/>
  <c r="H353" i="17"/>
  <c r="I350" i="17"/>
  <c r="G345" i="17"/>
  <c r="K345" i="17"/>
  <c r="J345" i="17"/>
  <c r="G342" i="17"/>
  <c r="H337" i="17"/>
  <c r="J334" i="17"/>
  <c r="I334" i="17"/>
  <c r="G329" i="17"/>
  <c r="K329" i="17"/>
  <c r="J329" i="17"/>
  <c r="H326" i="17"/>
  <c r="L322" i="17"/>
  <c r="J318" i="17"/>
  <c r="G318" i="17"/>
  <c r="K318" i="17"/>
  <c r="I318" i="17"/>
  <c r="H308" i="17"/>
  <c r="J300" i="17"/>
  <c r="G300" i="17"/>
  <c r="L300" i="17"/>
  <c r="H300" i="17"/>
  <c r="K300" i="17"/>
  <c r="H234" i="17"/>
  <c r="J437" i="17"/>
  <c r="G416" i="17"/>
  <c r="K416" i="17"/>
  <c r="F405" i="17"/>
  <c r="G400" i="17"/>
  <c r="K400" i="17"/>
  <c r="I386" i="17"/>
  <c r="G381" i="17"/>
  <c r="K381" i="17"/>
  <c r="J381" i="17"/>
  <c r="F370" i="17"/>
  <c r="J370" i="17"/>
  <c r="G365" i="17"/>
  <c r="K365" i="17"/>
  <c r="J365" i="17"/>
  <c r="F354" i="17"/>
  <c r="J354" i="17"/>
  <c r="I354" i="17"/>
  <c r="G349" i="17"/>
  <c r="K349" i="17"/>
  <c r="F349" i="17"/>
  <c r="J349" i="17"/>
  <c r="F338" i="17"/>
  <c r="J338" i="17"/>
  <c r="I338" i="17"/>
  <c r="G333" i="17"/>
  <c r="K333" i="17"/>
  <c r="F333" i="17"/>
  <c r="J333" i="17"/>
  <c r="H305" i="17"/>
  <c r="H303" i="17"/>
  <c r="L295" i="17"/>
  <c r="F289" i="17"/>
  <c r="J289" i="17"/>
  <c r="J242" i="17"/>
  <c r="H200" i="17"/>
  <c r="L196" i="17"/>
  <c r="K388" i="17"/>
  <c r="K384" i="17"/>
  <c r="K380" i="17"/>
  <c r="K372" i="17"/>
  <c r="K368" i="17"/>
  <c r="K364" i="17"/>
  <c r="K360" i="17"/>
  <c r="K356" i="17"/>
  <c r="K352" i="17"/>
  <c r="K348" i="17"/>
  <c r="K344" i="17"/>
  <c r="K340" i="17"/>
  <c r="K336" i="17"/>
  <c r="K332" i="17"/>
  <c r="K328" i="17"/>
  <c r="J325" i="17"/>
  <c r="K324" i="17"/>
  <c r="J321" i="17"/>
  <c r="K320" i="17"/>
  <c r="J317" i="17"/>
  <c r="G315" i="17"/>
  <c r="K315" i="17"/>
  <c r="L313" i="17"/>
  <c r="G313" i="17"/>
  <c r="L312" i="17"/>
  <c r="L307" i="17"/>
  <c r="J304" i="17"/>
  <c r="G297" i="17"/>
  <c r="L296" i="17"/>
  <c r="F288" i="17"/>
  <c r="J288" i="17"/>
  <c r="K283" i="17"/>
  <c r="L280" i="17"/>
  <c r="K248" i="17"/>
  <c r="G246" i="17"/>
  <c r="K246" i="17"/>
  <c r="G244" i="17"/>
  <c r="L243" i="17"/>
  <c r="L238" i="17"/>
  <c r="I232" i="17"/>
  <c r="F227" i="17"/>
  <c r="J227" i="17"/>
  <c r="G227" i="17"/>
  <c r="I216" i="17"/>
  <c r="J216" i="17"/>
  <c r="G211" i="17"/>
  <c r="K211" i="17"/>
  <c r="G258" i="17"/>
  <c r="K258" i="17"/>
  <c r="G242" i="17"/>
  <c r="K242" i="17"/>
  <c r="K231" i="17"/>
  <c r="I220" i="17"/>
  <c r="J220" i="17"/>
  <c r="J215" i="17"/>
  <c r="G215" i="17"/>
  <c r="I204" i="17"/>
  <c r="J204" i="17"/>
  <c r="G204" i="17"/>
  <c r="K204" i="17"/>
  <c r="F199" i="17"/>
  <c r="J312" i="17"/>
  <c r="G307" i="17"/>
  <c r="K307" i="17"/>
  <c r="J296" i="17"/>
  <c r="G291" i="17"/>
  <c r="J280" i="17"/>
  <c r="G275" i="17"/>
  <c r="H258" i="17"/>
  <c r="G254" i="17"/>
  <c r="K254" i="17"/>
  <c r="G252" i="17"/>
  <c r="J243" i="17"/>
  <c r="H242" i="17"/>
  <c r="K238" i="17"/>
  <c r="L236" i="17"/>
  <c r="G236" i="17"/>
  <c r="I224" i="17"/>
  <c r="J224" i="17"/>
  <c r="H220" i="17"/>
  <c r="G219" i="17"/>
  <c r="K219" i="17"/>
  <c r="I215" i="17"/>
  <c r="I208" i="17"/>
  <c r="J208" i="17"/>
  <c r="L204" i="17"/>
  <c r="I200" i="17"/>
  <c r="J200" i="17"/>
  <c r="G200" i="17"/>
  <c r="K200" i="17"/>
  <c r="I184" i="17"/>
  <c r="K184" i="17"/>
  <c r="F179" i="17"/>
  <c r="F155" i="17"/>
  <c r="K325" i="17"/>
  <c r="K321" i="17"/>
  <c r="K317" i="17"/>
  <c r="H312" i="17"/>
  <c r="J308" i="17"/>
  <c r="H307" i="17"/>
  <c r="K303" i="17"/>
  <c r="H296" i="17"/>
  <c r="J292" i="17"/>
  <c r="K287" i="17"/>
  <c r="H280" i="17"/>
  <c r="J276" i="17"/>
  <c r="L258" i="17"/>
  <c r="H254" i="17"/>
  <c r="K252" i="17"/>
  <c r="G250" i="17"/>
  <c r="L248" i="17"/>
  <c r="G248" i="17"/>
  <c r="L247" i="17"/>
  <c r="J239" i="17"/>
  <c r="H238" i="17"/>
  <c r="K236" i="17"/>
  <c r="G234" i="17"/>
  <c r="K234" i="17"/>
  <c r="I228" i="17"/>
  <c r="J228" i="17"/>
  <c r="H224" i="17"/>
  <c r="G223" i="17"/>
  <c r="K223" i="17"/>
  <c r="G220" i="17"/>
  <c r="H215" i="17"/>
  <c r="I212" i="17"/>
  <c r="J212" i="17"/>
  <c r="J207" i="17"/>
  <c r="G207" i="17"/>
  <c r="I196" i="17"/>
  <c r="J196" i="17"/>
  <c r="G196" i="17"/>
  <c r="K196" i="17"/>
  <c r="F191" i="17"/>
  <c r="J180" i="17"/>
  <c r="J142" i="17"/>
  <c r="G137" i="17"/>
  <c r="J126" i="17"/>
  <c r="G121" i="17"/>
  <c r="J110" i="17"/>
  <c r="G172" i="17"/>
  <c r="G164" i="17"/>
  <c r="K160" i="17"/>
  <c r="G160" i="17"/>
  <c r="K156" i="17"/>
  <c r="G156" i="17"/>
  <c r="G149" i="17"/>
  <c r="K149" i="17"/>
  <c r="L147" i="17"/>
  <c r="G147" i="17"/>
  <c r="H142" i="17"/>
  <c r="J138" i="17"/>
  <c r="H137" i="17"/>
  <c r="G133" i="17"/>
  <c r="L131" i="17"/>
  <c r="G131" i="17"/>
  <c r="H126" i="17"/>
  <c r="J122" i="17"/>
  <c r="H121" i="17"/>
  <c r="G117" i="17"/>
  <c r="L115" i="17"/>
  <c r="G115" i="17"/>
  <c r="H110" i="17"/>
  <c r="I102" i="17"/>
  <c r="F102" i="17"/>
  <c r="J102" i="17"/>
  <c r="K203" i="17"/>
  <c r="K199" i="17"/>
  <c r="G199" i="17"/>
  <c r="K195" i="17"/>
  <c r="K191" i="17"/>
  <c r="G191" i="17"/>
  <c r="K187" i="17"/>
  <c r="K183" i="17"/>
  <c r="G183" i="17"/>
  <c r="K179" i="17"/>
  <c r="G179" i="17"/>
  <c r="K175" i="17"/>
  <c r="G175" i="17"/>
  <c r="K171" i="17"/>
  <c r="G171" i="17"/>
  <c r="K167" i="17"/>
  <c r="G167" i="17"/>
  <c r="F164" i="17"/>
  <c r="K163" i="17"/>
  <c r="G163" i="17"/>
  <c r="J160" i="17"/>
  <c r="K159" i="17"/>
  <c r="G159" i="17"/>
  <c r="J156" i="17"/>
  <c r="F156" i="17"/>
  <c r="K155" i="17"/>
  <c r="G155" i="17"/>
  <c r="F150" i="17"/>
  <c r="J150" i="17"/>
  <c r="H149" i="17"/>
  <c r="K147" i="17"/>
  <c r="F147" i="17"/>
  <c r="G145" i="17"/>
  <c r="L143" i="17"/>
  <c r="G143" i="17"/>
  <c r="L142" i="17"/>
  <c r="G142" i="17"/>
  <c r="H138" i="17"/>
  <c r="L137" i="17"/>
  <c r="F137" i="17"/>
  <c r="J134" i="17"/>
  <c r="H133" i="17"/>
  <c r="K131" i="17"/>
  <c r="G129" i="17"/>
  <c r="L127" i="17"/>
  <c r="G127" i="17"/>
  <c r="G126" i="17"/>
  <c r="H122" i="17"/>
  <c r="L121" i="17"/>
  <c r="F121" i="17"/>
  <c r="J118" i="17"/>
  <c r="H117" i="17"/>
  <c r="K115" i="17"/>
  <c r="F115" i="17"/>
  <c r="G113" i="17"/>
  <c r="L111" i="17"/>
  <c r="G111" i="17"/>
  <c r="L110" i="17"/>
  <c r="G110" i="17"/>
  <c r="I106" i="17"/>
  <c r="F106" i="17"/>
  <c r="J106" i="17"/>
  <c r="F101" i="17"/>
  <c r="J101" i="17"/>
  <c r="G101" i="17"/>
  <c r="K101" i="17"/>
  <c r="J97" i="17"/>
  <c r="G97" i="17"/>
  <c r="K97" i="17"/>
  <c r="I97" i="17"/>
  <c r="F81" i="17"/>
  <c r="J77" i="17"/>
  <c r="K230" i="17"/>
  <c r="K226" i="17"/>
  <c r="K222" i="17"/>
  <c r="K218" i="17"/>
  <c r="K210" i="17"/>
  <c r="J203" i="17"/>
  <c r="J199" i="17"/>
  <c r="J195" i="17"/>
  <c r="J187" i="17"/>
  <c r="J183" i="17"/>
  <c r="J179" i="17"/>
  <c r="J175" i="17"/>
  <c r="J171" i="17"/>
  <c r="J167" i="17"/>
  <c r="J163" i="17"/>
  <c r="J159" i="17"/>
  <c r="J155" i="17"/>
  <c r="H150" i="17"/>
  <c r="L149" i="17"/>
  <c r="J147" i="17"/>
  <c r="J146" i="17"/>
  <c r="H145" i="17"/>
  <c r="K143" i="17"/>
  <c r="K142" i="17"/>
  <c r="G141" i="17"/>
  <c r="L139" i="17"/>
  <c r="G139" i="17"/>
  <c r="G138" i="17"/>
  <c r="J137" i="17"/>
  <c r="H134" i="17"/>
  <c r="L133" i="17"/>
  <c r="F133" i="17"/>
  <c r="J131" i="17"/>
  <c r="F130" i="17"/>
  <c r="J130" i="17"/>
  <c r="H129" i="17"/>
  <c r="K127" i="17"/>
  <c r="K126" i="17"/>
  <c r="G125" i="17"/>
  <c r="K125" i="17"/>
  <c r="L123" i="17"/>
  <c r="G123" i="17"/>
  <c r="G122" i="17"/>
  <c r="J121" i="17"/>
  <c r="H118" i="17"/>
  <c r="L117" i="17"/>
  <c r="F117" i="17"/>
  <c r="J115" i="17"/>
  <c r="J114" i="17"/>
  <c r="H113" i="17"/>
  <c r="K111" i="17"/>
  <c r="K110" i="17"/>
  <c r="G109" i="17"/>
  <c r="H106" i="17"/>
  <c r="F105" i="17"/>
  <c r="J105" i="17"/>
  <c r="G105" i="17"/>
  <c r="G102" i="17"/>
  <c r="I101" i="17"/>
  <c r="L97" i="17"/>
  <c r="K74" i="17"/>
  <c r="H19" i="17"/>
  <c r="L15" i="17"/>
  <c r="I85" i="17"/>
  <c r="I81" i="17"/>
  <c r="J79" i="17"/>
  <c r="J78" i="17"/>
  <c r="G61" i="17"/>
  <c r="K61" i="17"/>
  <c r="J50" i="17"/>
  <c r="G45" i="17"/>
  <c r="K45" i="17"/>
  <c r="I39" i="17"/>
  <c r="F39" i="17"/>
  <c r="J34" i="17"/>
  <c r="G34" i="17"/>
  <c r="K34" i="17"/>
  <c r="I27" i="17"/>
  <c r="F27" i="17"/>
  <c r="G27" i="17"/>
  <c r="F74" i="17"/>
  <c r="J74" i="17"/>
  <c r="G57" i="17"/>
  <c r="K57" i="17"/>
  <c r="J46" i="17"/>
  <c r="J38" i="17"/>
  <c r="G38" i="17"/>
  <c r="K38" i="17"/>
  <c r="I23" i="17"/>
  <c r="F23" i="17"/>
  <c r="G23" i="17"/>
  <c r="K23" i="17"/>
  <c r="J98" i="17"/>
  <c r="J94" i="17"/>
  <c r="F94" i="17"/>
  <c r="J90" i="17"/>
  <c r="F90" i="17"/>
  <c r="J86" i="17"/>
  <c r="F86" i="17"/>
  <c r="G85" i="17"/>
  <c r="J82" i="17"/>
  <c r="G81" i="17"/>
  <c r="L79" i="17"/>
  <c r="G79" i="17"/>
  <c r="G78" i="17"/>
  <c r="H74" i="17"/>
  <c r="K55" i="17"/>
  <c r="G53" i="17"/>
  <c r="L51" i="17"/>
  <c r="G51" i="17"/>
  <c r="G50" i="17"/>
  <c r="H46" i="17"/>
  <c r="L45" i="17"/>
  <c r="J42" i="17"/>
  <c r="I38" i="17"/>
  <c r="H34" i="17"/>
  <c r="H27" i="17"/>
  <c r="L23" i="17"/>
  <c r="I19" i="17"/>
  <c r="F19" i="17"/>
  <c r="G19" i="17"/>
  <c r="F14" i="17"/>
  <c r="F6" i="17"/>
  <c r="J93" i="17"/>
  <c r="J85" i="17"/>
  <c r="J81" i="17"/>
  <c r="K79" i="17"/>
  <c r="K78" i="17"/>
  <c r="G77" i="17"/>
  <c r="K77" i="17"/>
  <c r="L75" i="17"/>
  <c r="G75" i="17"/>
  <c r="G74" i="17"/>
  <c r="J61" i="17"/>
  <c r="H58" i="17"/>
  <c r="L57" i="17"/>
  <c r="F57" i="17"/>
  <c r="J54" i="17"/>
  <c r="H53" i="17"/>
  <c r="K51" i="17"/>
  <c r="F51" i="17"/>
  <c r="K50" i="17"/>
  <c r="G49" i="17"/>
  <c r="K49" i="17"/>
  <c r="L47" i="17"/>
  <c r="G47" i="17"/>
  <c r="G46" i="17"/>
  <c r="J45" i="17"/>
  <c r="H42" i="17"/>
  <c r="L39" i="17"/>
  <c r="I35" i="17"/>
  <c r="J35" i="17"/>
  <c r="I31" i="17"/>
  <c r="F31" i="17"/>
  <c r="G31" i="17"/>
  <c r="K31" i="17"/>
  <c r="F26" i="17"/>
  <c r="H23" i="17"/>
  <c r="L19" i="17"/>
  <c r="I15" i="17"/>
  <c r="F15" i="17"/>
  <c r="G15" i="17"/>
  <c r="K11" i="17"/>
  <c r="G11" i="17"/>
  <c r="G7" i="17"/>
  <c r="K3" i="17"/>
  <c r="G3" i="17"/>
  <c r="AS22" i="21"/>
  <c r="AR22" i="21"/>
  <c r="DM20" i="21"/>
  <c r="DL20" i="21"/>
  <c r="CO20" i="21"/>
  <c r="CN20" i="21"/>
  <c r="K30" i="17"/>
  <c r="G30" i="17"/>
  <c r="G26" i="17"/>
  <c r="K22" i="17"/>
  <c r="G22" i="17"/>
  <c r="K18" i="17"/>
  <c r="G18" i="17"/>
  <c r="K14" i="17"/>
  <c r="G14" i="17"/>
  <c r="J11" i="17"/>
  <c r="K10" i="17"/>
  <c r="G10" i="17"/>
  <c r="J7" i="17"/>
  <c r="G6" i="17"/>
  <c r="J3" i="17"/>
  <c r="F3" i="17"/>
  <c r="K2" i="17"/>
  <c r="G2" i="17"/>
  <c r="K41" i="17"/>
  <c r="K33" i="17"/>
  <c r="J30" i="17"/>
  <c r="K29" i="17"/>
  <c r="J26" i="17"/>
  <c r="K25" i="17"/>
  <c r="J22" i="17"/>
  <c r="K17" i="17"/>
  <c r="K13" i="17"/>
  <c r="J10" i="17"/>
  <c r="K9" i="17"/>
  <c r="K5" i="17"/>
  <c r="J2" i="17"/>
  <c r="CX22" i="21"/>
  <c r="DA22" i="21" s="1"/>
  <c r="BZ22" i="21"/>
  <c r="CB22" i="21" s="1"/>
  <c r="BV22" i="21"/>
  <c r="BJ22" i="21"/>
  <c r="BB22" i="21"/>
  <c r="BE22" i="21" s="1"/>
  <c r="AX22" i="21"/>
  <c r="AD22" i="21"/>
  <c r="AF22" i="21" s="1"/>
  <c r="N22" i="21"/>
  <c r="F22" i="21"/>
  <c r="I22" i="21" s="1"/>
  <c r="DR21" i="21"/>
  <c r="CX21" i="21"/>
  <c r="CZ21" i="21" s="1"/>
  <c r="CT21" i="21"/>
  <c r="BZ21" i="21"/>
  <c r="CC21" i="21" s="1"/>
  <c r="BB21" i="21"/>
  <c r="BE21" i="21" s="1"/>
  <c r="AL21" i="21"/>
  <c r="AD21" i="21"/>
  <c r="AG21" i="21" s="1"/>
  <c r="F21" i="21"/>
  <c r="H21" i="21" s="1"/>
  <c r="DR20" i="21"/>
  <c r="DF20" i="21"/>
  <c r="CX20" i="21"/>
  <c r="CZ20" i="21" s="1"/>
  <c r="AE20" i="21"/>
  <c r="AD20" i="21"/>
  <c r="AF20" i="21" s="1"/>
  <c r="DP19" i="21"/>
  <c r="DS19" i="21" s="1"/>
  <c r="CF19" i="21"/>
  <c r="CH19" i="21" s="1"/>
  <c r="CG19" i="21"/>
  <c r="BC19" i="21"/>
  <c r="BB19" i="21"/>
  <c r="BE19" i="21" s="1"/>
  <c r="X19" i="21"/>
  <c r="AA19" i="21" s="1"/>
  <c r="F19" i="21"/>
  <c r="I19" i="21" s="1"/>
  <c r="G19" i="21"/>
  <c r="CS18" i="21"/>
  <c r="CR18" i="21"/>
  <c r="CU18" i="21" s="1"/>
  <c r="BZ18" i="21"/>
  <c r="CB18" i="21" s="1"/>
  <c r="CA18" i="21"/>
  <c r="AW18" i="21"/>
  <c r="AV18" i="21"/>
  <c r="AY18" i="21" s="1"/>
  <c r="AD18" i="21"/>
  <c r="AG18" i="21" s="1"/>
  <c r="AE18" i="21"/>
  <c r="T18" i="21"/>
  <c r="U18" i="21"/>
  <c r="DQ17" i="21"/>
  <c r="DP17" i="21"/>
  <c r="DR17" i="21" s="1"/>
  <c r="CX17" i="21"/>
  <c r="CY17" i="21"/>
  <c r="AW17" i="21"/>
  <c r="AV17" i="21"/>
  <c r="AX17" i="21" s="1"/>
  <c r="AD17" i="21"/>
  <c r="AG17" i="21" s="1"/>
  <c r="AE17" i="21"/>
  <c r="BU16" i="21"/>
  <c r="BT16" i="21"/>
  <c r="BW16" i="21" s="1"/>
  <c r="BB16" i="21"/>
  <c r="BE16" i="21" s="1"/>
  <c r="BC16" i="21"/>
  <c r="CT20" i="21"/>
  <c r="AX20" i="21"/>
  <c r="G20" i="21"/>
  <c r="F20" i="21"/>
  <c r="I20" i="21" s="1"/>
  <c r="CR19" i="21"/>
  <c r="BH19" i="21"/>
  <c r="BJ19" i="21" s="1"/>
  <c r="BI19" i="21"/>
  <c r="AE19" i="21"/>
  <c r="AD19" i="21"/>
  <c r="AF19" i="21" s="1"/>
  <c r="Y17" i="21"/>
  <c r="X17" i="21"/>
  <c r="F17" i="21"/>
  <c r="H17" i="21" s="1"/>
  <c r="G17" i="21"/>
  <c r="AW16" i="21"/>
  <c r="AV16" i="21"/>
  <c r="AX16" i="21" s="1"/>
  <c r="AD16" i="21"/>
  <c r="AF16" i="21" s="1"/>
  <c r="AE16" i="21"/>
  <c r="F16" i="21"/>
  <c r="I16" i="21" s="1"/>
  <c r="G16" i="21"/>
  <c r="CX15" i="21"/>
  <c r="CY15" i="21"/>
  <c r="BZ15" i="21"/>
  <c r="CA15" i="21"/>
  <c r="BB15" i="21"/>
  <c r="BC15" i="21"/>
  <c r="AR20" i="21"/>
  <c r="L20" i="21"/>
  <c r="O20" i="21" s="1"/>
  <c r="M20" i="21"/>
  <c r="CY19" i="21"/>
  <c r="CX19" i="21"/>
  <c r="CZ19" i="21" s="1"/>
  <c r="BT19" i="21"/>
  <c r="BV19" i="21" s="1"/>
  <c r="AJ19" i="21"/>
  <c r="AL19" i="21" s="1"/>
  <c r="AK19" i="21"/>
  <c r="T19" i="21"/>
  <c r="U19" i="21"/>
  <c r="DQ18" i="21"/>
  <c r="DP18" i="21"/>
  <c r="DR18" i="21" s="1"/>
  <c r="CX18" i="21"/>
  <c r="DA18" i="21" s="1"/>
  <c r="CY18" i="21"/>
  <c r="BU18" i="21"/>
  <c r="BT18" i="21"/>
  <c r="BB18" i="21"/>
  <c r="BE18" i="21" s="1"/>
  <c r="BC18" i="21"/>
  <c r="Y18" i="21"/>
  <c r="X18" i="21"/>
  <c r="Z18" i="21" s="1"/>
  <c r="N18" i="21"/>
  <c r="F18" i="21"/>
  <c r="I18" i="21" s="1"/>
  <c r="G18" i="21"/>
  <c r="CS17" i="21"/>
  <c r="CR17" i="21"/>
  <c r="CU17" i="21" s="1"/>
  <c r="BZ17" i="21"/>
  <c r="CB17" i="21" s="1"/>
  <c r="CA17" i="21"/>
  <c r="DQ16" i="21"/>
  <c r="DP16" i="21"/>
  <c r="DS16" i="21" s="1"/>
  <c r="CX16" i="21"/>
  <c r="CZ16" i="21" s="1"/>
  <c r="CY16" i="21"/>
  <c r="X20" i="21"/>
  <c r="DD19" i="21"/>
  <c r="DG19" i="21" s="1"/>
  <c r="DE19" i="21"/>
  <c r="CA19" i="21"/>
  <c r="BZ19" i="21"/>
  <c r="CC19" i="21" s="1"/>
  <c r="AV19" i="21"/>
  <c r="AY19" i="21" s="1"/>
  <c r="BU17" i="21"/>
  <c r="BT17" i="21"/>
  <c r="BB17" i="21"/>
  <c r="BE17" i="21" s="1"/>
  <c r="BC17" i="21"/>
  <c r="CS16" i="21"/>
  <c r="CR16" i="21"/>
  <c r="CU16" i="21" s="1"/>
  <c r="BZ16" i="21"/>
  <c r="CC16" i="21" s="1"/>
  <c r="CA16" i="21"/>
  <c r="Y16" i="21"/>
  <c r="DQ15" i="21"/>
  <c r="CS15" i="21"/>
  <c r="BU15" i="21"/>
  <c r="AW15" i="21"/>
  <c r="Y15" i="21"/>
  <c r="DQ14" i="21"/>
  <c r="CS14" i="21"/>
  <c r="BU14" i="21"/>
  <c r="AW14" i="21"/>
  <c r="Y14" i="21"/>
  <c r="DQ13" i="21"/>
  <c r="CS13" i="21"/>
  <c r="CT13" i="21"/>
  <c r="AD15" i="21"/>
  <c r="AG15" i="21" s="1"/>
  <c r="AE15" i="21"/>
  <c r="F15" i="21"/>
  <c r="H15" i="21" s="1"/>
  <c r="G15" i="21"/>
  <c r="CX14" i="21"/>
  <c r="DA14" i="21" s="1"/>
  <c r="CY14" i="21"/>
  <c r="BZ14" i="21"/>
  <c r="CC14" i="21" s="1"/>
  <c r="CA14" i="21"/>
  <c r="BB14" i="21"/>
  <c r="BE14" i="21" s="1"/>
  <c r="BC14" i="21"/>
  <c r="AD14" i="21"/>
  <c r="AG14" i="21" s="1"/>
  <c r="AE14" i="21"/>
  <c r="F14" i="21"/>
  <c r="H14" i="21" s="1"/>
  <c r="G14" i="21"/>
  <c r="CX13" i="21"/>
  <c r="DA13" i="21" s="1"/>
  <c r="CY13" i="21"/>
  <c r="BP17" i="21"/>
  <c r="BQ17" i="21"/>
  <c r="CN16" i="21"/>
  <c r="CO16" i="21"/>
  <c r="CN14" i="21"/>
  <c r="CO14" i="21"/>
  <c r="DL13" i="21"/>
  <c r="DM13" i="21"/>
  <c r="X16" i="21"/>
  <c r="DP15" i="21"/>
  <c r="DS15" i="21" s="1"/>
  <c r="CR15" i="21"/>
  <c r="BT15" i="21"/>
  <c r="BW15" i="21" s="1"/>
  <c r="AV15" i="21"/>
  <c r="AY15" i="21" s="1"/>
  <c r="X15" i="21"/>
  <c r="AA15" i="21" s="1"/>
  <c r="DP14" i="21"/>
  <c r="CR14" i="21"/>
  <c r="CU14" i="21" s="1"/>
  <c r="BT14" i="21"/>
  <c r="AV14" i="21"/>
  <c r="AY14" i="21" s="1"/>
  <c r="X14" i="21"/>
  <c r="DP13" i="21"/>
  <c r="DS13" i="21" s="1"/>
  <c r="BZ13" i="21"/>
  <c r="BI13" i="21"/>
  <c r="BB13" i="21"/>
  <c r="BD13" i="21" s="1"/>
  <c r="AK13" i="21"/>
  <c r="AD13" i="21"/>
  <c r="M13" i="21"/>
  <c r="F13" i="21"/>
  <c r="DE12" i="21"/>
  <c r="CX12" i="21"/>
  <c r="CZ12" i="21" s="1"/>
  <c r="CG12" i="21"/>
  <c r="BZ12" i="21"/>
  <c r="CB12" i="21" s="1"/>
  <c r="BI12" i="21"/>
  <c r="BB12" i="21"/>
  <c r="AK12" i="21"/>
  <c r="AD12" i="21"/>
  <c r="AG12" i="21" s="1"/>
  <c r="M12" i="21"/>
  <c r="F12" i="21"/>
  <c r="I12" i="21" s="1"/>
  <c r="DE11" i="21"/>
  <c r="CX11" i="21"/>
  <c r="CZ11" i="21" s="1"/>
  <c r="CG11" i="21"/>
  <c r="BZ11" i="21"/>
  <c r="CC11" i="21" s="1"/>
  <c r="BI11" i="21"/>
  <c r="BB11" i="21"/>
  <c r="BD11" i="21" s="1"/>
  <c r="BC11" i="21"/>
  <c r="AD11" i="21"/>
  <c r="AE11" i="21"/>
  <c r="F11" i="21"/>
  <c r="H11" i="21" s="1"/>
  <c r="G11" i="21"/>
  <c r="CX10" i="21"/>
  <c r="DA10" i="21" s="1"/>
  <c r="CY10" i="21"/>
  <c r="BZ10" i="21"/>
  <c r="CC10" i="21" s="1"/>
  <c r="CA10" i="21"/>
  <c r="BB10" i="21"/>
  <c r="BC10" i="21"/>
  <c r="AD10" i="21"/>
  <c r="AG10" i="21" s="1"/>
  <c r="AE10" i="21"/>
  <c r="F10" i="21"/>
  <c r="G10" i="21"/>
  <c r="CX9" i="21"/>
  <c r="CZ9" i="21" s="1"/>
  <c r="CY9" i="21"/>
  <c r="BZ9" i="21"/>
  <c r="CB9" i="21" s="1"/>
  <c r="CA9" i="21"/>
  <c r="BB9" i="21"/>
  <c r="BD9" i="21" s="1"/>
  <c r="BC9" i="21"/>
  <c r="AD9" i="21"/>
  <c r="AE9" i="21"/>
  <c r="F9" i="21"/>
  <c r="H9" i="21" s="1"/>
  <c r="G9" i="21"/>
  <c r="CX8" i="21"/>
  <c r="DA8" i="21" s="1"/>
  <c r="CY8" i="21"/>
  <c r="BZ8" i="21"/>
  <c r="CC8" i="21" s="1"/>
  <c r="CA8" i="21"/>
  <c r="BB8" i="21"/>
  <c r="BC8" i="21"/>
  <c r="AD8" i="21"/>
  <c r="AG8" i="21" s="1"/>
  <c r="AE8" i="21"/>
  <c r="F8" i="21"/>
  <c r="I8" i="21" s="1"/>
  <c r="G8" i="21"/>
  <c r="CX7" i="21"/>
  <c r="CZ7" i="21" s="1"/>
  <c r="CY7" i="21"/>
  <c r="BZ7" i="21"/>
  <c r="CC7" i="21" s="1"/>
  <c r="CA7" i="21"/>
  <c r="BB7" i="21"/>
  <c r="BC7" i="21"/>
  <c r="AX13" i="21"/>
  <c r="Z13" i="21"/>
  <c r="CT11" i="21"/>
  <c r="T11" i="21"/>
  <c r="U11" i="21"/>
  <c r="AR10" i="21"/>
  <c r="AS10" i="21"/>
  <c r="BP9" i="21"/>
  <c r="BQ9" i="21"/>
  <c r="AR9" i="21"/>
  <c r="AS9" i="21"/>
  <c r="CN8" i="21"/>
  <c r="CO8" i="21"/>
  <c r="X7" i="21"/>
  <c r="Z7" i="21" s="1"/>
  <c r="DP6" i="21"/>
  <c r="CR6" i="21"/>
  <c r="CT6" i="21" s="1"/>
  <c r="BT6" i="21"/>
  <c r="BW6" i="21" s="1"/>
  <c r="AV6" i="21"/>
  <c r="AX6" i="21" s="1"/>
  <c r="X6" i="21"/>
  <c r="DP5" i="21"/>
  <c r="DR5" i="21" s="1"/>
  <c r="CR5" i="21"/>
  <c r="CU5" i="21" s="1"/>
  <c r="BT5" i="21"/>
  <c r="BV5" i="21" s="1"/>
  <c r="AV5" i="21"/>
  <c r="X5" i="21"/>
  <c r="Z5" i="21" s="1"/>
  <c r="DP4" i="21"/>
  <c r="DS4" i="21" s="1"/>
  <c r="CR4" i="21"/>
  <c r="CT4" i="21" s="1"/>
  <c r="BT4" i="21"/>
  <c r="AV4" i="21"/>
  <c r="AX4" i="21" s="1"/>
  <c r="X4" i="21"/>
  <c r="AA4" i="21" s="1"/>
  <c r="DP3" i="21"/>
  <c r="DR3" i="21" s="1"/>
  <c r="CR3" i="21"/>
  <c r="BT3" i="21"/>
  <c r="BV3" i="21" s="1"/>
  <c r="AV3" i="21"/>
  <c r="AY3" i="21" s="1"/>
  <c r="X3" i="21"/>
  <c r="Z3" i="21" s="1"/>
  <c r="AW11" i="21"/>
  <c r="AX11" i="21"/>
  <c r="Y11" i="21"/>
  <c r="Z11" i="21"/>
  <c r="DQ10" i="21"/>
  <c r="DR10" i="21"/>
  <c r="CS10" i="21"/>
  <c r="CT10" i="21"/>
  <c r="BU10" i="21"/>
  <c r="BV10" i="21"/>
  <c r="AW10" i="21"/>
  <c r="AX10" i="21"/>
  <c r="Y10" i="21"/>
  <c r="Z10" i="21"/>
  <c r="DQ9" i="21"/>
  <c r="DR9" i="21"/>
  <c r="CS9" i="21"/>
  <c r="CT9" i="21"/>
  <c r="BU9" i="21"/>
  <c r="AW9" i="21"/>
  <c r="AX9" i="21"/>
  <c r="Y9" i="21"/>
  <c r="Z9" i="21"/>
  <c r="DQ8" i="21"/>
  <c r="DR8" i="21"/>
  <c r="CS8" i="21"/>
  <c r="CT8" i="21"/>
  <c r="BU8" i="21"/>
  <c r="BV8" i="21"/>
  <c r="AW8" i="21"/>
  <c r="AX8" i="21"/>
  <c r="Y8" i="21"/>
  <c r="Z8" i="21"/>
  <c r="DQ7" i="21"/>
  <c r="DR7" i="21"/>
  <c r="CS7" i="21"/>
  <c r="CT7" i="21"/>
  <c r="BU7" i="21"/>
  <c r="BV7" i="21"/>
  <c r="AW7" i="21"/>
  <c r="AX7" i="21"/>
  <c r="S7" i="21"/>
  <c r="R7" i="21"/>
  <c r="T7" i="21" s="1"/>
  <c r="I7" i="21"/>
  <c r="H7" i="21"/>
  <c r="DK6" i="21"/>
  <c r="DJ6" i="21"/>
  <c r="DM6" i="21" s="1"/>
  <c r="CM6" i="21"/>
  <c r="CL6" i="21"/>
  <c r="CO6" i="21" s="1"/>
  <c r="CC6" i="21"/>
  <c r="CB6" i="21"/>
  <c r="BO6" i="21"/>
  <c r="BN6" i="21"/>
  <c r="BP6" i="21" s="1"/>
  <c r="AQ6" i="21"/>
  <c r="AP6" i="21"/>
  <c r="AS6" i="21" s="1"/>
  <c r="AG6" i="21"/>
  <c r="AF6" i="21"/>
  <c r="S6" i="21"/>
  <c r="R6" i="21"/>
  <c r="DK5" i="21"/>
  <c r="DJ5" i="21"/>
  <c r="DM5" i="21" s="1"/>
  <c r="DA5" i="21"/>
  <c r="CZ5" i="21"/>
  <c r="CM5" i="21"/>
  <c r="CL5" i="21"/>
  <c r="CO5" i="21" s="1"/>
  <c r="BO5" i="21"/>
  <c r="BN5" i="21"/>
  <c r="BQ5" i="21" s="1"/>
  <c r="BE5" i="21"/>
  <c r="BD5" i="21"/>
  <c r="AQ5" i="21"/>
  <c r="AP5" i="21"/>
  <c r="AS5" i="21" s="1"/>
  <c r="S5" i="21"/>
  <c r="R5" i="21"/>
  <c r="I5" i="21"/>
  <c r="H5" i="21"/>
  <c r="DK4" i="21"/>
  <c r="DJ4" i="21"/>
  <c r="DL4" i="21" s="1"/>
  <c r="CM4" i="21"/>
  <c r="CL4" i="21"/>
  <c r="CO4" i="21" s="1"/>
  <c r="CC4" i="21"/>
  <c r="CB4" i="21"/>
  <c r="BO4" i="21"/>
  <c r="BN4" i="21"/>
  <c r="AQ4" i="21"/>
  <c r="AP4" i="21"/>
  <c r="AS4" i="21" s="1"/>
  <c r="AG4" i="21"/>
  <c r="AF4" i="21"/>
  <c r="S4" i="21"/>
  <c r="R4" i="21"/>
  <c r="T4" i="21" s="1"/>
  <c r="DK3" i="21"/>
  <c r="DJ3" i="21"/>
  <c r="DM3" i="21" s="1"/>
  <c r="DA3" i="21"/>
  <c r="CZ3" i="21"/>
  <c r="CM3" i="21"/>
  <c r="CL3" i="21"/>
  <c r="CO3" i="21" s="1"/>
  <c r="BO3" i="21"/>
  <c r="BN3" i="21"/>
  <c r="BQ3" i="21" s="1"/>
  <c r="BE3" i="21"/>
  <c r="BD3" i="21"/>
  <c r="AQ3" i="21"/>
  <c r="AP3" i="21"/>
  <c r="AR3" i="21" s="1"/>
  <c r="S3" i="21"/>
  <c r="R3" i="21"/>
  <c r="T3" i="21" s="1"/>
  <c r="I3" i="21"/>
  <c r="H3" i="21"/>
  <c r="DF6" i="21"/>
  <c r="CH6" i="21"/>
  <c r="N6" i="21"/>
  <c r="DF5" i="21"/>
  <c r="CH5" i="21"/>
  <c r="AL5" i="21"/>
  <c r="N5" i="21"/>
  <c r="BJ4" i="21"/>
  <c r="AL4" i="21"/>
  <c r="N4" i="21"/>
  <c r="CH3" i="21"/>
  <c r="BJ3" i="21"/>
  <c r="DA20" i="21"/>
  <c r="AG107" i="7"/>
  <c r="AD107" i="3" s="1"/>
  <c r="A87" i="4"/>
  <c r="A88" i="4" s="1"/>
  <c r="D88" i="4" s="1"/>
  <c r="G88" i="4" s="1"/>
  <c r="J88" i="4" s="1"/>
  <c r="M88" i="4" s="1"/>
  <c r="P88" i="4" s="1"/>
  <c r="S88" i="4" s="1"/>
  <c r="V88" i="4" s="1"/>
  <c r="Y88" i="4" s="1"/>
  <c r="AB88" i="4" s="1"/>
  <c r="AE88" i="4" s="1"/>
  <c r="AH88" i="4" s="1"/>
  <c r="AK88" i="4" s="1"/>
  <c r="N645" i="7"/>
  <c r="N543" i="7"/>
  <c r="N653" i="7"/>
  <c r="O653" i="7" s="1"/>
  <c r="N539" i="7"/>
  <c r="N317" i="7"/>
  <c r="N95" i="7"/>
  <c r="N91" i="7"/>
  <c r="N313" i="7"/>
  <c r="X9" i="6"/>
  <c r="X22" i="6"/>
  <c r="X35" i="6"/>
  <c r="P35" i="6"/>
  <c r="T22" i="6"/>
  <c r="T35" i="6"/>
  <c r="P22" i="6"/>
  <c r="Q44" i="7"/>
  <c r="N39" i="4"/>
  <c r="B39" i="4"/>
  <c r="Q39" i="4"/>
  <c r="W64" i="34" s="1"/>
  <c r="N35" i="6"/>
  <c r="AB51" i="4"/>
  <c r="AE51" i="4" s="1"/>
  <c r="AH51" i="4" s="1"/>
  <c r="Y18" i="4"/>
  <c r="AB18" i="4" s="1"/>
  <c r="AE18" i="4" s="1"/>
  <c r="AH18" i="4" s="1"/>
  <c r="Y14" i="4"/>
  <c r="AB14" i="4" s="1"/>
  <c r="AE14" i="4" s="1"/>
  <c r="AH14" i="4" s="1"/>
  <c r="AB47" i="4"/>
  <c r="AE47" i="4" s="1"/>
  <c r="AH47" i="4" s="1"/>
  <c r="Y32" i="4"/>
  <c r="AB32" i="4" s="1"/>
  <c r="AE32" i="4" s="1"/>
  <c r="AH32" i="4" s="1"/>
  <c r="Y21" i="4"/>
  <c r="AB21" i="4" s="1"/>
  <c r="AE21" i="4" s="1"/>
  <c r="AH21" i="4" s="1"/>
  <c r="Y35" i="4"/>
  <c r="AB35" i="4" s="1"/>
  <c r="AE35" i="4" s="1"/>
  <c r="AH35" i="4" s="1"/>
  <c r="Y36" i="4"/>
  <c r="AB36" i="4" s="1"/>
  <c r="AE36" i="4" s="1"/>
  <c r="AH36" i="4" s="1"/>
  <c r="V39" i="4"/>
  <c r="T39" i="4"/>
  <c r="W74" i="34" s="1"/>
  <c r="B32" i="6"/>
  <c r="N651" i="7" l="1"/>
  <c r="O651" i="7" s="1"/>
  <c r="O42" i="7"/>
  <c r="Q95" i="7"/>
  <c r="R95" i="7" s="1"/>
  <c r="O95" i="7"/>
  <c r="N548" i="7"/>
  <c r="Q548" i="7" s="1"/>
  <c r="O45" i="7"/>
  <c r="N59" i="7"/>
  <c r="O59" i="7" s="1"/>
  <c r="R44" i="7"/>
  <c r="N94" i="7"/>
  <c r="O94" i="7" s="1"/>
  <c r="O43" i="7"/>
  <c r="F304" i="17"/>
  <c r="F118" i="17"/>
  <c r="E100" i="28"/>
  <c r="F100" i="28" s="1"/>
  <c r="E175" i="28"/>
  <c r="F175" i="28" s="1"/>
  <c r="F361" i="17"/>
  <c r="E131" i="28"/>
  <c r="F131" i="28" s="1"/>
  <c r="E87" i="28"/>
  <c r="F87" i="28" s="1"/>
  <c r="F149" i="17"/>
  <c r="R9" i="6"/>
  <c r="F122" i="17"/>
  <c r="F82" i="17"/>
  <c r="F311" i="17"/>
  <c r="E562" i="28"/>
  <c r="F562" i="28" s="1"/>
  <c r="E129" i="28"/>
  <c r="F129" i="28" s="1"/>
  <c r="E193" i="28"/>
  <c r="F193" i="28" s="1"/>
  <c r="F329" i="17"/>
  <c r="F366" i="17"/>
  <c r="F126" i="17"/>
  <c r="E71" i="28"/>
  <c r="F71" i="28" s="1"/>
  <c r="E260" i="28"/>
  <c r="F260" i="28" s="1"/>
  <c r="E155" i="28"/>
  <c r="F155" i="28" s="1"/>
  <c r="E95" i="28"/>
  <c r="F95" i="28" s="1"/>
  <c r="E103" i="28"/>
  <c r="F103" i="28" s="1"/>
  <c r="E119" i="28"/>
  <c r="F119" i="28" s="1"/>
  <c r="E67" i="28"/>
  <c r="F67" i="28" s="1"/>
  <c r="E380" i="28"/>
  <c r="F380" i="28" s="1"/>
  <c r="E112" i="28"/>
  <c r="F112" i="28" s="1"/>
  <c r="E258" i="28"/>
  <c r="F258" i="28" s="1"/>
  <c r="E82" i="28"/>
  <c r="F82" i="28" s="1"/>
  <c r="E169" i="28"/>
  <c r="F169" i="28" s="1"/>
  <c r="E331" i="28"/>
  <c r="F331" i="28" s="1"/>
  <c r="E73" i="28"/>
  <c r="F73" i="28" s="1"/>
  <c r="F114" i="17"/>
  <c r="E90" i="28"/>
  <c r="F90" i="28" s="1"/>
  <c r="E81" i="28"/>
  <c r="F81" i="28" s="1"/>
  <c r="E105" i="28"/>
  <c r="F105" i="28" s="1"/>
  <c r="E102" i="28"/>
  <c r="F102" i="28" s="1"/>
  <c r="E126" i="28"/>
  <c r="F126" i="28" s="1"/>
  <c r="E76" i="28"/>
  <c r="F76" i="28" s="1"/>
  <c r="E194" i="28"/>
  <c r="F194" i="28" s="1"/>
  <c r="E241" i="28"/>
  <c r="F241" i="28" s="1"/>
  <c r="E173" i="28"/>
  <c r="F173" i="28" s="1"/>
  <c r="F341" i="17"/>
  <c r="F300" i="17"/>
  <c r="F280" i="17"/>
  <c r="F373" i="17"/>
  <c r="F292" i="17"/>
  <c r="F276" i="17"/>
  <c r="F97" i="17"/>
  <c r="F110" i="17"/>
  <c r="F142" i="17"/>
  <c r="F428" i="17"/>
  <c r="F429" i="17"/>
  <c r="F258" i="17"/>
  <c r="F183" i="17"/>
  <c r="F426" i="17"/>
  <c r="F262" i="17"/>
  <c r="F215" i="17"/>
  <c r="F263" i="17"/>
  <c r="F261" i="17"/>
  <c r="F427" i="17"/>
  <c r="F425" i="17"/>
  <c r="F430" i="17"/>
  <c r="F259" i="17"/>
  <c r="F260" i="17"/>
  <c r="AD51" i="7"/>
  <c r="AA51" i="3" s="1"/>
  <c r="F232" i="17"/>
  <c r="F308" i="17"/>
  <c r="AD77" i="7"/>
  <c r="AA77" i="3" s="1"/>
  <c r="F203" i="17"/>
  <c r="F251" i="17"/>
  <c r="E75" i="28"/>
  <c r="F75" i="28" s="1"/>
  <c r="E168" i="28"/>
  <c r="F168" i="28" s="1"/>
  <c r="E257" i="28"/>
  <c r="F257" i="28" s="1"/>
  <c r="E210" i="28"/>
  <c r="F210" i="28" s="1"/>
  <c r="E144" i="28"/>
  <c r="F144" i="28" s="1"/>
  <c r="E205" i="28"/>
  <c r="F205" i="28" s="1"/>
  <c r="E188" i="28"/>
  <c r="F188" i="28" s="1"/>
  <c r="E238" i="28"/>
  <c r="F238" i="28" s="1"/>
  <c r="E229" i="28"/>
  <c r="F229" i="28" s="1"/>
  <c r="E212" i="28"/>
  <c r="F212" i="28" s="1"/>
  <c r="E127" i="28"/>
  <c r="F127" i="28" s="1"/>
  <c r="E97" i="28"/>
  <c r="F97" i="28" s="1"/>
  <c r="E77" i="28"/>
  <c r="F77" i="28" s="1"/>
  <c r="E247" i="28"/>
  <c r="F247" i="28" s="1"/>
  <c r="E108" i="28"/>
  <c r="F108" i="28" s="1"/>
  <c r="E223" i="28"/>
  <c r="F223" i="28" s="1"/>
  <c r="E211" i="28"/>
  <c r="F211" i="28" s="1"/>
  <c r="E165" i="28"/>
  <c r="F165" i="28" s="1"/>
  <c r="E96" i="28"/>
  <c r="F96" i="28" s="1"/>
  <c r="E86" i="28"/>
  <c r="F86" i="28" s="1"/>
  <c r="E123" i="28"/>
  <c r="F123" i="28" s="1"/>
  <c r="E70" i="28"/>
  <c r="F70" i="28" s="1"/>
  <c r="E232" i="28"/>
  <c r="F232" i="28" s="1"/>
  <c r="E254" i="28"/>
  <c r="F254" i="28" s="1"/>
  <c r="E198" i="28"/>
  <c r="F198" i="28" s="1"/>
  <c r="E253" i="28"/>
  <c r="F253" i="28" s="1"/>
  <c r="E206" i="28"/>
  <c r="F206" i="28" s="1"/>
  <c r="E150" i="28"/>
  <c r="F150" i="28" s="1"/>
  <c r="E130" i="28"/>
  <c r="F130" i="28" s="1"/>
  <c r="E237" i="28"/>
  <c r="F237" i="28" s="1"/>
  <c r="E261" i="28"/>
  <c r="F261" i="28" s="1"/>
  <c r="X223" i="10"/>
  <c r="Y107" i="10"/>
  <c r="X108" i="10"/>
  <c r="Y108" i="10" s="1"/>
  <c r="Y112" i="10"/>
  <c r="X113" i="10"/>
  <c r="Y113" i="10" s="1"/>
  <c r="F171" i="17"/>
  <c r="F397" i="17"/>
  <c r="Y299" i="10"/>
  <c r="X300" i="10"/>
  <c r="Y164" i="10"/>
  <c r="X165" i="10"/>
  <c r="Y59" i="10"/>
  <c r="X60" i="10"/>
  <c r="X247" i="10"/>
  <c r="X438" i="10"/>
  <c r="X38" i="10"/>
  <c r="Y37" i="10"/>
  <c r="Y274" i="10"/>
  <c r="X275" i="10"/>
  <c r="X63" i="10"/>
  <c r="Y62" i="10"/>
  <c r="X116" i="10"/>
  <c r="Y115" i="10"/>
  <c r="Y91" i="10"/>
  <c r="X92" i="10"/>
  <c r="X144" i="10"/>
  <c r="Y143" i="10"/>
  <c r="Y387" i="10"/>
  <c r="X388" i="10"/>
  <c r="F231" i="17"/>
  <c r="F307" i="17"/>
  <c r="O39" i="4"/>
  <c r="W54" i="34"/>
  <c r="W14" i="34"/>
  <c r="F58" i="17"/>
  <c r="F393" i="17"/>
  <c r="F416" i="17"/>
  <c r="F437" i="17"/>
  <c r="F381" i="17"/>
  <c r="F305" i="17"/>
  <c r="F220" i="17"/>
  <c r="F195" i="17"/>
  <c r="F242" i="17"/>
  <c r="AD60" i="7"/>
  <c r="AA60" i="3" s="1"/>
  <c r="AH195" i="6"/>
  <c r="S195" i="10" s="1"/>
  <c r="R47" i="10"/>
  <c r="AF147" i="7"/>
  <c r="AI152" i="6"/>
  <c r="AF155" i="7" s="1"/>
  <c r="R64" i="10"/>
  <c r="R107" i="10"/>
  <c r="AD111" i="7"/>
  <c r="AA111" i="3" s="1"/>
  <c r="AC54" i="7"/>
  <c r="Z54" i="3" s="1"/>
  <c r="R80" i="10"/>
  <c r="T142" i="10"/>
  <c r="AG178" i="7"/>
  <c r="AF198" i="7"/>
  <c r="AH172" i="6"/>
  <c r="S172" i="10" s="1"/>
  <c r="AI148" i="6"/>
  <c r="AJ171" i="6"/>
  <c r="E118" i="28"/>
  <c r="F118" i="28" s="1"/>
  <c r="E74" i="28"/>
  <c r="F74" i="28" s="1"/>
  <c r="H275" i="17"/>
  <c r="F275" i="17"/>
  <c r="L275" i="17"/>
  <c r="K275" i="17"/>
  <c r="C32" i="6"/>
  <c r="AD41" i="7"/>
  <c r="AA41" i="3" s="1"/>
  <c r="M22" i="6"/>
  <c r="AF190" i="7"/>
  <c r="M9" i="6"/>
  <c r="F8" i="17"/>
  <c r="E106" i="28"/>
  <c r="F106" i="28" s="1"/>
  <c r="E91" i="28"/>
  <c r="F91" i="28" s="1"/>
  <c r="E120" i="28"/>
  <c r="F120" i="28" s="1"/>
  <c r="E98" i="28"/>
  <c r="F98" i="28" s="1"/>
  <c r="Q651" i="7"/>
  <c r="Q42" i="7"/>
  <c r="Q542" i="7"/>
  <c r="N557" i="7" s="1"/>
  <c r="Q557" i="7" s="1"/>
  <c r="N572" i="7" s="1"/>
  <c r="Q572" i="7" s="1"/>
  <c r="Q89" i="7"/>
  <c r="N104" i="7" s="1"/>
  <c r="Q104" i="7" s="1"/>
  <c r="N119" i="7" s="1"/>
  <c r="Q119" i="7" s="1"/>
  <c r="N134" i="7" s="1"/>
  <c r="Q134" i="7" s="1"/>
  <c r="N149" i="7" s="1"/>
  <c r="Q149" i="7" s="1"/>
  <c r="Q318" i="7"/>
  <c r="N333" i="7" s="1"/>
  <c r="Q333" i="7" s="1"/>
  <c r="N348" i="7" s="1"/>
  <c r="Q348" i="7" s="1"/>
  <c r="N363" i="7" s="1"/>
  <c r="Q363" i="7" s="1"/>
  <c r="N378" i="7" s="1"/>
  <c r="Q378" i="7" s="1"/>
  <c r="Q649" i="7"/>
  <c r="N664" i="7" s="1"/>
  <c r="Q664" i="7" s="1"/>
  <c r="N679" i="7" s="1"/>
  <c r="Q679" i="7" s="1"/>
  <c r="N694" i="7" s="1"/>
  <c r="Q694" i="7" s="1"/>
  <c r="O35" i="6"/>
  <c r="Q648" i="7"/>
  <c r="N663" i="7" s="1"/>
  <c r="Q663" i="7" s="1"/>
  <c r="N678" i="7" s="1"/>
  <c r="Q678" i="7" s="1"/>
  <c r="N693" i="7" s="1"/>
  <c r="Q693" i="7" s="1"/>
  <c r="N643" i="7"/>
  <c r="Q643" i="7" s="1"/>
  <c r="N658" i="7" s="1"/>
  <c r="Q658" i="7" s="1"/>
  <c r="N673" i="7" s="1"/>
  <c r="Q673" i="7" s="1"/>
  <c r="N688" i="7" s="1"/>
  <c r="Q688" i="7" s="1"/>
  <c r="N315" i="7"/>
  <c r="Q315" i="7" s="1"/>
  <c r="N330" i="7" s="1"/>
  <c r="Q330" i="7" s="1"/>
  <c r="N345" i="7" s="1"/>
  <c r="Q345" i="7" s="1"/>
  <c r="N360" i="7" s="1"/>
  <c r="Q360" i="7" s="1"/>
  <c r="N375" i="7" s="1"/>
  <c r="Q375" i="7" s="1"/>
  <c r="S22" i="6"/>
  <c r="Q94" i="7"/>
  <c r="Q36" i="7"/>
  <c r="N51" i="7" s="1"/>
  <c r="Q51" i="7" s="1"/>
  <c r="N537" i="7"/>
  <c r="Q537" i="7" s="1"/>
  <c r="N552" i="7" s="1"/>
  <c r="Q552" i="7" s="1"/>
  <c r="N567" i="7" s="1"/>
  <c r="Q567" i="7" s="1"/>
  <c r="N647" i="7"/>
  <c r="N319" i="7"/>
  <c r="Q43" i="7"/>
  <c r="N85" i="7"/>
  <c r="Q85" i="7" s="1"/>
  <c r="N100" i="7" s="1"/>
  <c r="Q100" i="7" s="1"/>
  <c r="N115" i="7" s="1"/>
  <c r="Q115" i="7" s="1"/>
  <c r="N130" i="7" s="1"/>
  <c r="Q130" i="7" s="1"/>
  <c r="N145" i="7" s="1"/>
  <c r="Q145" i="7" s="1"/>
  <c r="N541" i="7"/>
  <c r="Q541" i="7" s="1"/>
  <c r="N556" i="7" s="1"/>
  <c r="Q556" i="7" s="1"/>
  <c r="N571" i="7" s="1"/>
  <c r="Q571" i="7" s="1"/>
  <c r="N545" i="7"/>
  <c r="Q545" i="7" s="1"/>
  <c r="N560" i="7" s="1"/>
  <c r="Q560" i="7" s="1"/>
  <c r="N575" i="7" s="1"/>
  <c r="Q575" i="7" s="1"/>
  <c r="W22" i="6"/>
  <c r="Q40" i="7"/>
  <c r="N55" i="7" s="1"/>
  <c r="Q55" i="7" s="1"/>
  <c r="S9" i="6"/>
  <c r="Q39" i="7"/>
  <c r="N54" i="7" s="1"/>
  <c r="Q54" i="7" s="1"/>
  <c r="Q312" i="7"/>
  <c r="N327" i="7" s="1"/>
  <c r="Q327" i="7" s="1"/>
  <c r="N342" i="7" s="1"/>
  <c r="Q342" i="7" s="1"/>
  <c r="N357" i="7" s="1"/>
  <c r="Q357" i="7" s="1"/>
  <c r="N372" i="7" s="1"/>
  <c r="Q372" i="7" s="1"/>
  <c r="N311" i="7"/>
  <c r="Q311" i="7" s="1"/>
  <c r="N326" i="7" s="1"/>
  <c r="Q326" i="7" s="1"/>
  <c r="N341" i="7" s="1"/>
  <c r="Q341" i="7" s="1"/>
  <c r="N356" i="7" s="1"/>
  <c r="Q356" i="7" s="1"/>
  <c r="N371" i="7" s="1"/>
  <c r="Q371" i="7" s="1"/>
  <c r="N93" i="7"/>
  <c r="O22" i="6"/>
  <c r="AI173" i="6"/>
  <c r="AJ161" i="6"/>
  <c r="AI189" i="6"/>
  <c r="S157" i="10"/>
  <c r="AI157" i="6"/>
  <c r="AF160" i="7" s="1"/>
  <c r="B22" i="4"/>
  <c r="E177" i="28"/>
  <c r="F177" i="28" s="1"/>
  <c r="E68" i="28"/>
  <c r="F68" i="28" s="1"/>
  <c r="Y24" i="10"/>
  <c r="X25" i="10"/>
  <c r="Y25" i="10" s="1"/>
  <c r="X364" i="10"/>
  <c r="Y363" i="10"/>
  <c r="X196" i="10"/>
  <c r="Y195" i="10"/>
  <c r="E10" i="28"/>
  <c r="F10" i="28" s="1"/>
  <c r="E66" i="28"/>
  <c r="F66" i="28" s="1"/>
  <c r="F417" i="17"/>
  <c r="F378" i="17"/>
  <c r="F337" i="17"/>
  <c r="E48" i="28"/>
  <c r="F48" i="28" s="1"/>
  <c r="E9" i="28"/>
  <c r="F9" i="28" s="1"/>
  <c r="E94" i="28"/>
  <c r="F94" i="28" s="1"/>
  <c r="E201" i="28"/>
  <c r="F201" i="28" s="1"/>
  <c r="E14" i="28"/>
  <c r="F14" i="28" s="1"/>
  <c r="E16" i="28"/>
  <c r="F16" i="28" s="1"/>
  <c r="E25" i="28"/>
  <c r="F25" i="28" s="1"/>
  <c r="E64" i="28"/>
  <c r="F64" i="28" s="1"/>
  <c r="E62" i="28"/>
  <c r="F62" i="28" s="1"/>
  <c r="E42" i="28"/>
  <c r="F42" i="28" s="1"/>
  <c r="E21" i="28"/>
  <c r="F21" i="28" s="1"/>
  <c r="E32" i="28"/>
  <c r="F32" i="28" s="1"/>
  <c r="E22" i="28"/>
  <c r="F22" i="28" s="1"/>
  <c r="E59" i="28"/>
  <c r="F59" i="28" s="1"/>
  <c r="E5" i="28"/>
  <c r="F5" i="28" s="1"/>
  <c r="I17" i="21"/>
  <c r="AH168" i="6"/>
  <c r="AE171" i="7" s="1"/>
  <c r="AI168" i="6"/>
  <c r="R115" i="10"/>
  <c r="AH131" i="6"/>
  <c r="AE134" i="7" s="1"/>
  <c r="F55" i="17"/>
  <c r="O276" i="30"/>
  <c r="F322" i="17"/>
  <c r="G442" i="17"/>
  <c r="F342" i="17"/>
  <c r="F211" i="17"/>
  <c r="F239" i="17"/>
  <c r="F159" i="17"/>
  <c r="F247" i="17"/>
  <c r="F234" i="17"/>
  <c r="F212" i="17"/>
  <c r="F207" i="17"/>
  <c r="F32" i="17"/>
  <c r="G180" i="17"/>
  <c r="G422" i="17"/>
  <c r="L405" i="17"/>
  <c r="J374" i="17"/>
  <c r="F385" i="17"/>
  <c r="F374" i="17"/>
  <c r="F377" i="17"/>
  <c r="F400" i="17"/>
  <c r="F386" i="17"/>
  <c r="F362" i="17"/>
  <c r="F345" i="17"/>
  <c r="F365" i="17"/>
  <c r="F316" i="17"/>
  <c r="K444" i="17"/>
  <c r="K460" i="17"/>
  <c r="H432" i="17"/>
  <c r="F255" i="17"/>
  <c r="F175" i="17"/>
  <c r="F143" i="17"/>
  <c r="F160" i="17"/>
  <c r="F163" i="17"/>
  <c r="F134" i="17"/>
  <c r="F146" i="17"/>
  <c r="F131" i="17"/>
  <c r="F138" i="17"/>
  <c r="F127" i="17"/>
  <c r="F111" i="17"/>
  <c r="F188" i="17"/>
  <c r="F85" i="17"/>
  <c r="F78" i="17"/>
  <c r="F75" i="17"/>
  <c r="F18" i="17"/>
  <c r="F442" i="17"/>
  <c r="F410" i="17"/>
  <c r="I370" i="17"/>
  <c r="J386" i="17"/>
  <c r="J405" i="17"/>
  <c r="J421" i="17"/>
  <c r="F334" i="17"/>
  <c r="J366" i="17"/>
  <c r="J377" i="17"/>
  <c r="I382" i="17"/>
  <c r="G390" i="17"/>
  <c r="F396" i="17"/>
  <c r="K404" i="17"/>
  <c r="J409" i="17"/>
  <c r="G417" i="17"/>
  <c r="K422" i="17"/>
  <c r="L433" i="17"/>
  <c r="I322" i="17"/>
  <c r="J362" i="17"/>
  <c r="J373" i="17"/>
  <c r="H374" i="17"/>
  <c r="I385" i="17"/>
  <c r="G389" i="17"/>
  <c r="L400" i="17"/>
  <c r="G406" i="17"/>
  <c r="J414" i="17"/>
  <c r="G421" i="17"/>
  <c r="G424" i="17"/>
  <c r="H433" i="17"/>
  <c r="F445" i="17"/>
  <c r="F449" i="17"/>
  <c r="F453" i="17"/>
  <c r="F461" i="17"/>
  <c r="H292" i="17"/>
  <c r="G316" i="17"/>
  <c r="H370" i="17"/>
  <c r="I381" i="17"/>
  <c r="G385" i="17"/>
  <c r="F390" i="17"/>
  <c r="G396" i="17"/>
  <c r="H421" i="17"/>
  <c r="F433" i="17"/>
  <c r="G445" i="17"/>
  <c r="G453" i="17"/>
  <c r="G461" i="17"/>
  <c r="F253" i="17"/>
  <c r="F169" i="17"/>
  <c r="F221" i="17"/>
  <c r="G229" i="17"/>
  <c r="K229" i="17"/>
  <c r="I227" i="17"/>
  <c r="H227" i="17"/>
  <c r="I223" i="17"/>
  <c r="H223" i="17"/>
  <c r="G221" i="17"/>
  <c r="J221" i="17"/>
  <c r="G217" i="17"/>
  <c r="L217" i="17"/>
  <c r="G213" i="17"/>
  <c r="L213" i="17"/>
  <c r="I209" i="17"/>
  <c r="L209" i="17"/>
  <c r="G205" i="17"/>
  <c r="H205" i="17"/>
  <c r="I203" i="17"/>
  <c r="L203" i="17"/>
  <c r="I199" i="17"/>
  <c r="H199" i="17"/>
  <c r="I197" i="17"/>
  <c r="K197" i="17"/>
  <c r="I179" i="17"/>
  <c r="H179" i="17"/>
  <c r="G177" i="17"/>
  <c r="K177" i="17"/>
  <c r="I167" i="17"/>
  <c r="L167" i="17"/>
  <c r="I163" i="17"/>
  <c r="H163" i="17"/>
  <c r="I159" i="17"/>
  <c r="H159" i="17"/>
  <c r="I155" i="17"/>
  <c r="H155" i="17"/>
  <c r="G151" i="17"/>
  <c r="H151" i="17"/>
  <c r="I147" i="17"/>
  <c r="H147" i="17"/>
  <c r="I145" i="17"/>
  <c r="J145" i="17"/>
  <c r="I143" i="17"/>
  <c r="H143" i="17"/>
  <c r="I141" i="17"/>
  <c r="K141" i="17"/>
  <c r="I137" i="17"/>
  <c r="K137" i="17"/>
  <c r="I133" i="17"/>
  <c r="J133" i="17"/>
  <c r="I125" i="17"/>
  <c r="J125" i="17"/>
  <c r="I123" i="17"/>
  <c r="K123" i="17"/>
  <c r="G119" i="17"/>
  <c r="J119" i="17"/>
  <c r="I113" i="17"/>
  <c r="L113" i="17"/>
  <c r="I109" i="17"/>
  <c r="H109" i="17"/>
  <c r="I107" i="17"/>
  <c r="K107" i="17"/>
  <c r="I187" i="17"/>
  <c r="H187" i="17"/>
  <c r="J191" i="17"/>
  <c r="G187" i="17"/>
  <c r="G195" i="17"/>
  <c r="G203" i="17"/>
  <c r="K207" i="17"/>
  <c r="I219" i="17"/>
  <c r="F223" i="17"/>
  <c r="H231" i="17"/>
  <c r="G247" i="17"/>
  <c r="K250" i="17"/>
  <c r="J255" i="17"/>
  <c r="F219" i="17"/>
  <c r="I231" i="17"/>
  <c r="G238" i="17"/>
  <c r="L252" i="17"/>
  <c r="G231" i="17"/>
  <c r="J247" i="17"/>
  <c r="F187" i="17"/>
  <c r="J211" i="17"/>
  <c r="K227" i="17"/>
  <c r="J232" i="17"/>
  <c r="F235" i="17"/>
  <c r="L244" i="17"/>
  <c r="J251" i="17"/>
  <c r="H250" i="17"/>
  <c r="J258" i="17"/>
  <c r="H257" i="17"/>
  <c r="L256" i="17"/>
  <c r="F256" i="17"/>
  <c r="K255" i="17"/>
  <c r="J253" i="17"/>
  <c r="L250" i="17"/>
  <c r="H249" i="17"/>
  <c r="J248" i="17"/>
  <c r="H244" i="17"/>
  <c r="K243" i="17"/>
  <c r="K239" i="17"/>
  <c r="H237" i="17"/>
  <c r="J236" i="17"/>
  <c r="J234" i="17"/>
  <c r="L233" i="17"/>
  <c r="K232" i="17"/>
  <c r="J229" i="17"/>
  <c r="K225" i="17"/>
  <c r="L221" i="17"/>
  <c r="K217" i="17"/>
  <c r="L211" i="17"/>
  <c r="H209" i="17"/>
  <c r="L205" i="17"/>
  <c r="J201" i="17"/>
  <c r="J197" i="17"/>
  <c r="F192" i="17"/>
  <c r="H191" i="17"/>
  <c r="K189" i="17"/>
  <c r="L187" i="17"/>
  <c r="F257" i="17"/>
  <c r="H255" i="17"/>
  <c r="L249" i="17"/>
  <c r="H247" i="17"/>
  <c r="F243" i="17"/>
  <c r="L237" i="17"/>
  <c r="J231" i="17"/>
  <c r="H229" i="17"/>
  <c r="H225" i="17"/>
  <c r="K221" i="17"/>
  <c r="J217" i="17"/>
  <c r="K213" i="17"/>
  <c r="H211" i="17"/>
  <c r="L207" i="17"/>
  <c r="K205" i="17"/>
  <c r="H203" i="17"/>
  <c r="H201" i="17"/>
  <c r="L199" i="17"/>
  <c r="H197" i="17"/>
  <c r="L195" i="17"/>
  <c r="L193" i="17"/>
  <c r="J189" i="17"/>
  <c r="G222" i="17"/>
  <c r="L222" i="17"/>
  <c r="G218" i="17"/>
  <c r="H218" i="17"/>
  <c r="G216" i="17"/>
  <c r="K216" i="17"/>
  <c r="G214" i="17"/>
  <c r="H214" i="17"/>
  <c r="G212" i="17"/>
  <c r="K212" i="17"/>
  <c r="I210" i="17"/>
  <c r="H210" i="17"/>
  <c r="G208" i="17"/>
  <c r="K208" i="17"/>
  <c r="G206" i="17"/>
  <c r="J206" i="17"/>
  <c r="I168" i="17"/>
  <c r="H168" i="17"/>
  <c r="I162" i="17"/>
  <c r="L162" i="17"/>
  <c r="I158" i="17"/>
  <c r="L158" i="17"/>
  <c r="I154" i="17"/>
  <c r="L154" i="17"/>
  <c r="I138" i="17"/>
  <c r="K138" i="17"/>
  <c r="G116" i="17"/>
  <c r="K116" i="17"/>
  <c r="G114" i="17"/>
  <c r="H114" i="17"/>
  <c r="G108" i="17"/>
  <c r="L108" i="17"/>
  <c r="K105" i="17"/>
  <c r="H99" i="17"/>
  <c r="H95" i="17"/>
  <c r="E216" i="28"/>
  <c r="F216" i="28" s="1"/>
  <c r="E159" i="28"/>
  <c r="F159" i="28" s="1"/>
  <c r="E89" i="28"/>
  <c r="F89" i="28" s="1"/>
  <c r="F21" i="17"/>
  <c r="F61" i="17"/>
  <c r="AD96" i="7"/>
  <c r="AA96" i="3" s="1"/>
  <c r="AI172" i="6"/>
  <c r="AI199" i="6"/>
  <c r="AD123" i="7"/>
  <c r="AA123" i="3" s="1"/>
  <c r="R119" i="10"/>
  <c r="AE167" i="7"/>
  <c r="J435" i="17"/>
  <c r="O692" i="30"/>
  <c r="O718" i="30"/>
  <c r="O279" i="30"/>
  <c r="O308" i="30"/>
  <c r="O720" i="30"/>
  <c r="O643" i="30"/>
  <c r="O717" i="30"/>
  <c r="AI137" i="6"/>
  <c r="R65" i="10"/>
  <c r="R93" i="10"/>
  <c r="Q9" i="6"/>
  <c r="E43" i="12"/>
  <c r="H419" i="17"/>
  <c r="K417" i="17"/>
  <c r="F50" i="17"/>
  <c r="BD18" i="21"/>
  <c r="BE11" i="4"/>
  <c r="F241" i="17"/>
  <c r="F230" i="17"/>
  <c r="J462" i="17"/>
  <c r="J454" i="17"/>
  <c r="K447" i="17"/>
  <c r="G5" i="21"/>
  <c r="CG3" i="21"/>
  <c r="F252" i="17"/>
  <c r="F245" i="17"/>
  <c r="F119" i="17"/>
  <c r="K451" i="17"/>
  <c r="J450" i="17"/>
  <c r="K443" i="17"/>
  <c r="F116" i="17"/>
  <c r="F84" i="17"/>
  <c r="Q37" i="7"/>
  <c r="N52" i="7" s="1"/>
  <c r="Q52" i="7" s="1"/>
  <c r="Q38" i="7"/>
  <c r="N53" i="7" s="1"/>
  <c r="Q53" i="7" s="1"/>
  <c r="R22" i="6"/>
  <c r="Q41" i="7"/>
  <c r="N56" i="7" s="1"/>
  <c r="Q56" i="7" s="1"/>
  <c r="N96" i="7"/>
  <c r="Q313" i="7"/>
  <c r="N328" i="7" s="1"/>
  <c r="Q328" i="7" s="1"/>
  <c r="N343" i="7" s="1"/>
  <c r="Q343" i="7" s="1"/>
  <c r="N358" i="7" s="1"/>
  <c r="Q358" i="7" s="1"/>
  <c r="N373" i="7" s="1"/>
  <c r="Q373" i="7" s="1"/>
  <c r="Q543" i="7"/>
  <c r="N558" i="7" s="1"/>
  <c r="Q558" i="7" s="1"/>
  <c r="N573" i="7" s="1"/>
  <c r="Q573" i="7" s="1"/>
  <c r="N314" i="7"/>
  <c r="Q314" i="7" s="1"/>
  <c r="N329" i="7" s="1"/>
  <c r="Q329" i="7" s="1"/>
  <c r="N344" i="7" s="1"/>
  <c r="Q344" i="7" s="1"/>
  <c r="N359" i="7" s="1"/>
  <c r="Q359" i="7" s="1"/>
  <c r="N374" i="7" s="1"/>
  <c r="Q374" i="7" s="1"/>
  <c r="N563" i="7"/>
  <c r="Q563" i="7" s="1"/>
  <c r="Q317" i="7"/>
  <c r="N332" i="7" s="1"/>
  <c r="Q332" i="7" s="1"/>
  <c r="N347" i="7" s="1"/>
  <c r="Q347" i="7" s="1"/>
  <c r="N362" i="7" s="1"/>
  <c r="Q362" i="7" s="1"/>
  <c r="N377" i="7" s="1"/>
  <c r="Q377" i="7" s="1"/>
  <c r="N22" i="6"/>
  <c r="Q34" i="7"/>
  <c r="N49" i="7" s="1"/>
  <c r="Q49" i="7" s="1"/>
  <c r="Q35" i="7"/>
  <c r="N50" i="7" s="1"/>
  <c r="Q50" i="7" s="1"/>
  <c r="Q647" i="7"/>
  <c r="N662" i="7" s="1"/>
  <c r="Q662" i="7" s="1"/>
  <c r="N677" i="7" s="1"/>
  <c r="Q677" i="7" s="1"/>
  <c r="N692" i="7" s="1"/>
  <c r="Q692" i="7" s="1"/>
  <c r="Q87" i="7"/>
  <c r="N102" i="7" s="1"/>
  <c r="Q102" i="7" s="1"/>
  <c r="N117" i="7" s="1"/>
  <c r="Q117" i="7" s="1"/>
  <c r="N132" i="7" s="1"/>
  <c r="Q132" i="7" s="1"/>
  <c r="N147" i="7" s="1"/>
  <c r="Q147" i="7" s="1"/>
  <c r="N654" i="7"/>
  <c r="N322" i="7"/>
  <c r="Q539" i="7"/>
  <c r="N554" i="7" s="1"/>
  <c r="Q554" i="7" s="1"/>
  <c r="N569" i="7" s="1"/>
  <c r="Q569" i="7" s="1"/>
  <c r="Q645" i="7"/>
  <c r="N660" i="7" s="1"/>
  <c r="Q660" i="7" s="1"/>
  <c r="N675" i="7" s="1"/>
  <c r="Q675" i="7" s="1"/>
  <c r="N690" i="7" s="1"/>
  <c r="Q690" i="7" s="1"/>
  <c r="Q45" i="7"/>
  <c r="Q91" i="7"/>
  <c r="N106" i="7" s="1"/>
  <c r="Q106" i="7" s="1"/>
  <c r="N121" i="7" s="1"/>
  <c r="Q121" i="7" s="1"/>
  <c r="N136" i="7" s="1"/>
  <c r="Q136" i="7" s="1"/>
  <c r="N151" i="7" s="1"/>
  <c r="Q151" i="7" s="1"/>
  <c r="AI74" i="6"/>
  <c r="T74" i="10" s="1"/>
  <c r="BM73" i="4"/>
  <c r="T157" i="10"/>
  <c r="S177" i="10"/>
  <c r="H431" i="17"/>
  <c r="L423" i="17"/>
  <c r="DR15" i="21"/>
  <c r="DA19" i="21"/>
  <c r="T152" i="10"/>
  <c r="F578" i="17"/>
  <c r="AD61" i="7"/>
  <c r="AA61" i="3" s="1"/>
  <c r="R81" i="10"/>
  <c r="U9" i="6"/>
  <c r="B52" i="4"/>
  <c r="F48" i="17"/>
  <c r="L439" i="17"/>
  <c r="H409" i="17"/>
  <c r="H387" i="17"/>
  <c r="L383" i="17"/>
  <c r="F52" i="17"/>
  <c r="F41" i="17"/>
  <c r="F254" i="17"/>
  <c r="F250" i="17"/>
  <c r="F248" i="17"/>
  <c r="F238" i="17"/>
  <c r="F236" i="17"/>
  <c r="F205" i="17"/>
  <c r="F204" i="17"/>
  <c r="F202" i="17"/>
  <c r="F189" i="17"/>
  <c r="F168" i="17"/>
  <c r="F151" i="17"/>
  <c r="F148" i="17"/>
  <c r="F145" i="17"/>
  <c r="F109" i="17"/>
  <c r="F104" i="17"/>
  <c r="F99" i="17"/>
  <c r="F206" i="17"/>
  <c r="F173" i="17"/>
  <c r="F246" i="17"/>
  <c r="F240" i="17"/>
  <c r="F233" i="17"/>
  <c r="F229" i="17"/>
  <c r="F224" i="17"/>
  <c r="F222" i="17"/>
  <c r="F197" i="17"/>
  <c r="F176" i="17"/>
  <c r="F161" i="17"/>
  <c r="F153" i="17"/>
  <c r="F107" i="17"/>
  <c r="F321" i="17"/>
  <c r="F313" i="17"/>
  <c r="F353" i="17"/>
  <c r="H441" i="17"/>
  <c r="J439" i="17"/>
  <c r="J402" i="17"/>
  <c r="L391" i="17"/>
  <c r="L431" i="17"/>
  <c r="K421" i="17"/>
  <c r="L420" i="17"/>
  <c r="L419" i="17"/>
  <c r="J415" i="17"/>
  <c r="H407" i="17"/>
  <c r="O264" i="30"/>
  <c r="O351" i="30"/>
  <c r="I460" i="17"/>
  <c r="L460" i="17"/>
  <c r="I452" i="17"/>
  <c r="L452" i="17"/>
  <c r="I448" i="17"/>
  <c r="L448" i="17"/>
  <c r="I446" i="17"/>
  <c r="L446" i="17"/>
  <c r="I444" i="17"/>
  <c r="L444" i="17"/>
  <c r="I442" i="17"/>
  <c r="H442" i="17"/>
  <c r="I438" i="17"/>
  <c r="H438" i="17"/>
  <c r="I436" i="17"/>
  <c r="L436" i="17"/>
  <c r="I422" i="17"/>
  <c r="J422" i="17"/>
  <c r="G418" i="17"/>
  <c r="J418" i="17"/>
  <c r="I414" i="17"/>
  <c r="K414" i="17"/>
  <c r="I412" i="17"/>
  <c r="J412" i="17"/>
  <c r="I408" i="17"/>
  <c r="J408" i="17"/>
  <c r="I406" i="17"/>
  <c r="H406" i="17"/>
  <c r="I398" i="17"/>
  <c r="H398" i="17"/>
  <c r="J392" i="17"/>
  <c r="L392" i="17"/>
  <c r="J372" i="17"/>
  <c r="H372" i="17"/>
  <c r="K358" i="17"/>
  <c r="L358" i="17"/>
  <c r="J352" i="17"/>
  <c r="H352" i="17"/>
  <c r="J348" i="17"/>
  <c r="H348" i="17"/>
  <c r="L342" i="17"/>
  <c r="K342" i="17"/>
  <c r="L308" i="17"/>
  <c r="K308" i="17"/>
  <c r="CB10" i="21"/>
  <c r="U108" i="10"/>
  <c r="W35" i="6"/>
  <c r="AI141" i="6"/>
  <c r="R61" i="10"/>
  <c r="AD73" i="7"/>
  <c r="AA73" i="3" s="1"/>
  <c r="AI169" i="6"/>
  <c r="T169" i="10" s="1"/>
  <c r="AJ157" i="6"/>
  <c r="AG160" i="7" s="1"/>
  <c r="AD105" i="7"/>
  <c r="AA105" i="3" s="1"/>
  <c r="F9" i="17"/>
  <c r="F38" i="17"/>
  <c r="F216" i="17"/>
  <c r="H462" i="17"/>
  <c r="H460" i="17"/>
  <c r="H454" i="17"/>
  <c r="H452" i="17"/>
  <c r="L451" i="17"/>
  <c r="H450" i="17"/>
  <c r="H448" i="17"/>
  <c r="H446" i="17"/>
  <c r="H444" i="17"/>
  <c r="L443" i="17"/>
  <c r="F439" i="17"/>
  <c r="K435" i="17"/>
  <c r="F431" i="17"/>
  <c r="F422" i="17"/>
  <c r="J420" i="17"/>
  <c r="F419" i="17"/>
  <c r="K418" i="17"/>
  <c r="K415" i="17"/>
  <c r="K382" i="17"/>
  <c r="L379" i="17"/>
  <c r="K359" i="17"/>
  <c r="J347" i="17"/>
  <c r="F346" i="17"/>
  <c r="F319" i="17"/>
  <c r="J315" i="17"/>
  <c r="F24" i="17"/>
  <c r="F185" i="17"/>
  <c r="F177" i="17"/>
  <c r="F157" i="17"/>
  <c r="F141" i="17"/>
  <c r="F135" i="17"/>
  <c r="F460" i="17"/>
  <c r="F444" i="17"/>
  <c r="H440" i="17"/>
  <c r="H424" i="17"/>
  <c r="H420" i="17"/>
  <c r="H418" i="17"/>
  <c r="L408" i="17"/>
  <c r="H392" i="17"/>
  <c r="F379" i="17"/>
  <c r="I461" i="17"/>
  <c r="H461" i="17"/>
  <c r="I453" i="17"/>
  <c r="H453" i="17"/>
  <c r="I449" i="17"/>
  <c r="H449" i="17"/>
  <c r="G447" i="17"/>
  <c r="H447" i="17"/>
  <c r="I445" i="17"/>
  <c r="H445" i="17"/>
  <c r="I437" i="17"/>
  <c r="K437" i="17"/>
  <c r="I423" i="17"/>
  <c r="H423" i="17"/>
  <c r="K413" i="17"/>
  <c r="H413" i="17"/>
  <c r="L411" i="17"/>
  <c r="J411" i="17"/>
  <c r="I405" i="17"/>
  <c r="K405" i="17"/>
  <c r="H403" i="17"/>
  <c r="K403" i="17"/>
  <c r="I401" i="17"/>
  <c r="K401" i="17"/>
  <c r="J399" i="17"/>
  <c r="K399" i="17"/>
  <c r="K397" i="17"/>
  <c r="L397" i="17"/>
  <c r="H395" i="17"/>
  <c r="K395" i="17"/>
  <c r="L393" i="17"/>
  <c r="H393" i="17"/>
  <c r="K383" i="17"/>
  <c r="J383" i="17"/>
  <c r="J371" i="17"/>
  <c r="K371" i="17"/>
  <c r="K367" i="17"/>
  <c r="H367" i="17"/>
  <c r="L349" i="17"/>
  <c r="H349" i="17"/>
  <c r="L343" i="17"/>
  <c r="J343" i="17"/>
  <c r="L339" i="17"/>
  <c r="J339" i="17"/>
  <c r="L333" i="17"/>
  <c r="H333" i="17"/>
  <c r="L323" i="17"/>
  <c r="J323" i="17"/>
  <c r="G319" i="17"/>
  <c r="J319" i="17"/>
  <c r="I313" i="17"/>
  <c r="J313" i="17"/>
  <c r="G309" i="17"/>
  <c r="J309" i="17"/>
  <c r="G287" i="17"/>
  <c r="L287" i="17"/>
  <c r="I277" i="17"/>
  <c r="H277" i="17"/>
  <c r="I275" i="17"/>
  <c r="J275" i="17"/>
  <c r="DA16" i="21"/>
  <c r="AJ113" i="6"/>
  <c r="AD85" i="7"/>
  <c r="AA85" i="3" s="1"/>
  <c r="AI153" i="6"/>
  <c r="R77" i="10"/>
  <c r="R89" i="10"/>
  <c r="AD101" i="7"/>
  <c r="AA101" i="3" s="1"/>
  <c r="AE148" i="7"/>
  <c r="S169" i="10"/>
  <c r="F20" i="17"/>
  <c r="F244" i="17"/>
  <c r="F200" i="17"/>
  <c r="K462" i="17"/>
  <c r="K454" i="17"/>
  <c r="J451" i="17"/>
  <c r="K450" i="17"/>
  <c r="J447" i="17"/>
  <c r="K446" i="17"/>
  <c r="J443" i="17"/>
  <c r="F441" i="17"/>
  <c r="K439" i="17"/>
  <c r="H435" i="17"/>
  <c r="H434" i="17"/>
  <c r="K433" i="17"/>
  <c r="K431" i="17"/>
  <c r="K423" i="17"/>
  <c r="J419" i="17"/>
  <c r="F418" i="17"/>
  <c r="H415" i="17"/>
  <c r="L414" i="17"/>
  <c r="K411" i="17"/>
  <c r="H408" i="17"/>
  <c r="L407" i="17"/>
  <c r="H404" i="17"/>
  <c r="L403" i="17"/>
  <c r="H399" i="17"/>
  <c r="L398" i="17"/>
  <c r="H397" i="17"/>
  <c r="J396" i="17"/>
  <c r="L395" i="17"/>
  <c r="H391" i="17"/>
  <c r="H388" i="17"/>
  <c r="L387" i="17"/>
  <c r="H375" i="17"/>
  <c r="H327" i="17"/>
  <c r="L317" i="17"/>
  <c r="J283" i="17"/>
  <c r="I74" i="17"/>
  <c r="F462" i="17"/>
  <c r="F454" i="17"/>
  <c r="F450" i="17"/>
  <c r="F446" i="17"/>
  <c r="F435" i="17"/>
  <c r="F420" i="17"/>
  <c r="F415" i="17"/>
  <c r="F409" i="17"/>
  <c r="F407" i="17"/>
  <c r="F403" i="17"/>
  <c r="F391" i="17"/>
  <c r="F389" i="17"/>
  <c r="F360" i="17"/>
  <c r="F414" i="17"/>
  <c r="F404" i="17"/>
  <c r="F399" i="17"/>
  <c r="O706" i="30"/>
  <c r="O315" i="30"/>
  <c r="O715" i="30"/>
  <c r="O273" i="30"/>
  <c r="O270" i="30"/>
  <c r="O249" i="30"/>
  <c r="O334" i="30"/>
  <c r="O245" i="30"/>
  <c r="O272" i="30"/>
  <c r="O275" i="30"/>
  <c r="O705" i="30"/>
  <c r="O628" i="30"/>
  <c r="O709" i="30"/>
  <c r="O277" i="30"/>
  <c r="O711" i="30"/>
  <c r="O703" i="30"/>
  <c r="O271" i="30"/>
  <c r="O297" i="30"/>
  <c r="O328" i="30"/>
  <c r="O707" i="30"/>
  <c r="O585" i="30"/>
  <c r="O719" i="30"/>
  <c r="O606" i="30"/>
  <c r="O619" i="30"/>
  <c r="O713" i="30"/>
  <c r="O293" i="30"/>
  <c r="O283" i="30"/>
  <c r="O716" i="30"/>
  <c r="O714" i="30"/>
  <c r="O712" i="30"/>
  <c r="O710" i="30"/>
  <c r="O708" i="30"/>
  <c r="O704" i="30"/>
  <c r="O702" i="30"/>
  <c r="O701" i="30"/>
  <c r="O700" i="30"/>
  <c r="O699" i="30"/>
  <c r="O698" i="30"/>
  <c r="O697" i="30"/>
  <c r="O696" i="30"/>
  <c r="O695" i="30"/>
  <c r="O694" i="30"/>
  <c r="O693" i="30"/>
  <c r="O691" i="30"/>
  <c r="O690" i="30"/>
  <c r="O689" i="30"/>
  <c r="O688" i="30"/>
  <c r="O687" i="30"/>
  <c r="O686" i="30"/>
  <c r="O685" i="30"/>
  <c r="O684" i="30"/>
  <c r="O683" i="30"/>
  <c r="O682" i="30"/>
  <c r="O681" i="30"/>
  <c r="O680" i="30"/>
  <c r="O679" i="30"/>
  <c r="O678" i="30"/>
  <c r="O677" i="30"/>
  <c r="O676" i="30"/>
  <c r="O675" i="30"/>
  <c r="O674" i="30"/>
  <c r="O673" i="30"/>
  <c r="O672" i="30"/>
  <c r="O671" i="30"/>
  <c r="O670" i="30"/>
  <c r="O669" i="30"/>
  <c r="O668" i="30"/>
  <c r="O667" i="30"/>
  <c r="O666" i="30"/>
  <c r="O665" i="30"/>
  <c r="O664" i="30"/>
  <c r="O663" i="30"/>
  <c r="O662" i="30"/>
  <c r="O661" i="30"/>
  <c r="O660" i="30"/>
  <c r="O659" i="30"/>
  <c r="O658" i="30"/>
  <c r="O657" i="30"/>
  <c r="O656" i="30"/>
  <c r="O655" i="30"/>
  <c r="O654" i="30"/>
  <c r="O653" i="30"/>
  <c r="O652" i="30"/>
  <c r="O651" i="30"/>
  <c r="O650" i="30"/>
  <c r="O649" i="30"/>
  <c r="O648" i="30"/>
  <c r="O647" i="30"/>
  <c r="O646" i="30"/>
  <c r="O645" i="30"/>
  <c r="O644" i="30"/>
  <c r="O642" i="30"/>
  <c r="O641" i="30"/>
  <c r="O640" i="30"/>
  <c r="O639" i="30"/>
  <c r="O638" i="30"/>
  <c r="O637" i="30"/>
  <c r="O636" i="30"/>
  <c r="O635" i="30"/>
  <c r="O634" i="30"/>
  <c r="O633" i="30"/>
  <c r="O632" i="30"/>
  <c r="O631" i="30"/>
  <c r="O630" i="30"/>
  <c r="O629" i="30"/>
  <c r="O627" i="30"/>
  <c r="O626" i="30"/>
  <c r="O625" i="30"/>
  <c r="O624" i="30"/>
  <c r="O623" i="30"/>
  <c r="O622" i="30"/>
  <c r="O621" i="30"/>
  <c r="O620" i="30"/>
  <c r="O618" i="30"/>
  <c r="O617" i="30"/>
  <c r="O616" i="30"/>
  <c r="O615" i="30"/>
  <c r="O614" i="30"/>
  <c r="O613" i="30"/>
  <c r="O612" i="30"/>
  <c r="O611" i="30"/>
  <c r="O610" i="30"/>
  <c r="O609" i="30"/>
  <c r="O608" i="30"/>
  <c r="O607" i="30"/>
  <c r="O605" i="30"/>
  <c r="O604" i="30"/>
  <c r="O603" i="30"/>
  <c r="O602" i="30"/>
  <c r="O601" i="30"/>
  <c r="O600" i="30"/>
  <c r="O599" i="30"/>
  <c r="O598" i="30"/>
  <c r="O597" i="30"/>
  <c r="O596" i="30"/>
  <c r="O595" i="30"/>
  <c r="O594" i="30"/>
  <c r="O593" i="30"/>
  <c r="O592" i="30"/>
  <c r="O591" i="30"/>
  <c r="O590" i="30"/>
  <c r="O589" i="30"/>
  <c r="O588" i="30"/>
  <c r="O587" i="30"/>
  <c r="O586" i="30"/>
  <c r="O584" i="30"/>
  <c r="O583" i="30"/>
  <c r="O582" i="30"/>
  <c r="O581" i="30"/>
  <c r="O580" i="30"/>
  <c r="O579" i="30"/>
  <c r="O578" i="30"/>
  <c r="O577" i="30"/>
  <c r="O576" i="30"/>
  <c r="O575" i="30"/>
  <c r="O574" i="30"/>
  <c r="O573" i="30"/>
  <c r="O572" i="30"/>
  <c r="O571" i="30"/>
  <c r="O570" i="30"/>
  <c r="O569" i="30"/>
  <c r="O568" i="30"/>
  <c r="O567" i="30"/>
  <c r="O566" i="30"/>
  <c r="O565" i="30"/>
  <c r="O564" i="30"/>
  <c r="O563" i="30"/>
  <c r="O562" i="30"/>
  <c r="O561" i="30"/>
  <c r="O560" i="30"/>
  <c r="O559" i="30"/>
  <c r="O558" i="30"/>
  <c r="O557" i="30"/>
  <c r="O556" i="30"/>
  <c r="O555" i="30"/>
  <c r="O554" i="30"/>
  <c r="O553" i="30"/>
  <c r="O552" i="30"/>
  <c r="O551" i="30"/>
  <c r="O550" i="30"/>
  <c r="O549" i="30"/>
  <c r="O548" i="30"/>
  <c r="O547" i="30"/>
  <c r="O546" i="30"/>
  <c r="O545" i="30"/>
  <c r="O544" i="30"/>
  <c r="O543" i="30"/>
  <c r="O542" i="30"/>
  <c r="O541" i="30"/>
  <c r="O540" i="30"/>
  <c r="O539" i="30"/>
  <c r="O538" i="30"/>
  <c r="O537" i="30"/>
  <c r="O536" i="30"/>
  <c r="O535" i="30"/>
  <c r="O534" i="30"/>
  <c r="O533" i="30"/>
  <c r="O532" i="30"/>
  <c r="O531" i="30"/>
  <c r="O530" i="30"/>
  <c r="O529" i="30"/>
  <c r="O528" i="30"/>
  <c r="O527" i="30"/>
  <c r="O526" i="30"/>
  <c r="O525" i="30"/>
  <c r="O524" i="30"/>
  <c r="O523" i="30"/>
  <c r="O522" i="30"/>
  <c r="O521" i="30"/>
  <c r="O520" i="30"/>
  <c r="O519" i="30"/>
  <c r="O518" i="30"/>
  <c r="O517" i="30"/>
  <c r="O516" i="30"/>
  <c r="O515" i="30"/>
  <c r="O514" i="30"/>
  <c r="O513" i="30"/>
  <c r="O512" i="30"/>
  <c r="O511" i="30"/>
  <c r="O510" i="30"/>
  <c r="O509" i="30"/>
  <c r="O508" i="30"/>
  <c r="O507" i="30"/>
  <c r="O506" i="30"/>
  <c r="O505" i="30"/>
  <c r="O504" i="30"/>
  <c r="O503" i="30"/>
  <c r="O502" i="30"/>
  <c r="O501" i="30"/>
  <c r="O500" i="30"/>
  <c r="O499" i="30"/>
  <c r="O498" i="30"/>
  <c r="O497" i="30"/>
  <c r="O496" i="30"/>
  <c r="O495" i="30"/>
  <c r="O494" i="30"/>
  <c r="O493" i="30"/>
  <c r="O492" i="30"/>
  <c r="O491" i="30"/>
  <c r="O490" i="30"/>
  <c r="O489" i="30"/>
  <c r="O488" i="30"/>
  <c r="O487" i="30"/>
  <c r="O486" i="30"/>
  <c r="O485" i="30"/>
  <c r="O484" i="30"/>
  <c r="O483" i="30"/>
  <c r="O482" i="30"/>
  <c r="O481" i="30"/>
  <c r="O480" i="30"/>
  <c r="O479" i="30"/>
  <c r="O478" i="30"/>
  <c r="O477" i="30"/>
  <c r="O476" i="30"/>
  <c r="O475" i="30"/>
  <c r="O474" i="30"/>
  <c r="O473" i="30"/>
  <c r="O472" i="30"/>
  <c r="O471" i="30"/>
  <c r="O470" i="30"/>
  <c r="O469" i="30"/>
  <c r="O468" i="30"/>
  <c r="O467" i="30"/>
  <c r="O247" i="30"/>
  <c r="O243" i="30"/>
  <c r="O466" i="30"/>
  <c r="O465" i="30"/>
  <c r="O464" i="30"/>
  <c r="O463" i="30"/>
  <c r="O462" i="30"/>
  <c r="O461" i="30"/>
  <c r="O460" i="30"/>
  <c r="O459" i="30"/>
  <c r="O458" i="30"/>
  <c r="O457" i="30"/>
  <c r="O456" i="30"/>
  <c r="O455" i="30"/>
  <c r="O454" i="30"/>
  <c r="O453" i="30"/>
  <c r="O452" i="30"/>
  <c r="O451" i="30"/>
  <c r="O450" i="30"/>
  <c r="O449" i="30"/>
  <c r="O448" i="30"/>
  <c r="O447" i="30"/>
  <c r="O446" i="30"/>
  <c r="O445" i="30"/>
  <c r="O444" i="30"/>
  <c r="O443" i="30"/>
  <c r="O442" i="30"/>
  <c r="O441" i="30"/>
  <c r="O440" i="30"/>
  <c r="O439" i="30"/>
  <c r="O438" i="30"/>
  <c r="O437" i="30"/>
  <c r="O436" i="30"/>
  <c r="O435" i="30"/>
  <c r="O434" i="30"/>
  <c r="O433" i="30"/>
  <c r="O432" i="30"/>
  <c r="O431" i="30"/>
  <c r="O430" i="30"/>
  <c r="O429" i="30"/>
  <c r="O428" i="30"/>
  <c r="O427" i="30"/>
  <c r="O426" i="30"/>
  <c r="O425" i="30"/>
  <c r="O424" i="30"/>
  <c r="O423" i="30"/>
  <c r="O422" i="30"/>
  <c r="O421" i="30"/>
  <c r="O420" i="30"/>
  <c r="O419" i="30"/>
  <c r="O418" i="30"/>
  <c r="O417" i="30"/>
  <c r="O413" i="30"/>
  <c r="O405" i="30"/>
  <c r="O402" i="30"/>
  <c r="O396" i="30"/>
  <c r="O388" i="30"/>
  <c r="O384" i="30"/>
  <c r="O381" i="30"/>
  <c r="O378" i="30"/>
  <c r="O373" i="30"/>
  <c r="O372" i="30"/>
  <c r="O366" i="30"/>
  <c r="O364" i="30"/>
  <c r="O357" i="30"/>
  <c r="O355" i="30"/>
  <c r="O354" i="30"/>
  <c r="O350" i="30"/>
  <c r="O349" i="30"/>
  <c r="O348" i="30"/>
  <c r="O344" i="30"/>
  <c r="O335" i="30"/>
  <c r="O332" i="30"/>
  <c r="O327" i="30"/>
  <c r="O323" i="30"/>
  <c r="O322" i="30"/>
  <c r="O317" i="30"/>
  <c r="O316" i="30"/>
  <c r="O313" i="30"/>
  <c r="O311" i="30"/>
  <c r="O303" i="30"/>
  <c r="O298" i="30"/>
  <c r="O295" i="30"/>
  <c r="O288" i="30"/>
  <c r="O284" i="30"/>
  <c r="O281" i="30"/>
  <c r="O269" i="30"/>
  <c r="I160" i="17"/>
  <c r="I181" i="17"/>
  <c r="E162" i="28"/>
  <c r="F162" i="28" s="1"/>
  <c r="E138" i="28"/>
  <c r="F138" i="28" s="1"/>
  <c r="E8" i="28"/>
  <c r="F8" i="28" s="1"/>
  <c r="J384" i="17"/>
  <c r="H384" i="17"/>
  <c r="G193" i="17"/>
  <c r="K390" i="17"/>
  <c r="G585" i="17"/>
  <c r="G583" i="17"/>
  <c r="L581" i="17"/>
  <c r="G579" i="17"/>
  <c r="G577" i="17"/>
  <c r="I575" i="17"/>
  <c r="I573" i="17"/>
  <c r="G571" i="17"/>
  <c r="L569" i="17"/>
  <c r="I557" i="17"/>
  <c r="G553" i="17"/>
  <c r="L551" i="17"/>
  <c r="G545" i="17"/>
  <c r="G543" i="17"/>
  <c r="G537" i="17"/>
  <c r="I533" i="17"/>
  <c r="G527" i="17"/>
  <c r="I521" i="17"/>
  <c r="G519" i="17"/>
  <c r="I511" i="17"/>
  <c r="I505" i="17"/>
  <c r="I497" i="17"/>
  <c r="I495" i="17"/>
  <c r="I493" i="17"/>
  <c r="G491" i="17"/>
  <c r="I584" i="17"/>
  <c r="I582" i="17"/>
  <c r="I580" i="17"/>
  <c r="I574" i="17"/>
  <c r="G568" i="17"/>
  <c r="G564" i="17"/>
  <c r="I562" i="17"/>
  <c r="I558" i="17"/>
  <c r="I554" i="17"/>
  <c r="I552" i="17"/>
  <c r="G544" i="17"/>
  <c r="I542" i="17"/>
  <c r="G540" i="17"/>
  <c r="L538" i="17"/>
  <c r="G528" i="17"/>
  <c r="I526" i="17"/>
  <c r="I524" i="17"/>
  <c r="I518" i="17"/>
  <c r="G512" i="17"/>
  <c r="I510" i="17"/>
  <c r="G508" i="17"/>
  <c r="I502" i="17"/>
  <c r="I494" i="17"/>
  <c r="I486" i="17"/>
  <c r="F451" i="17"/>
  <c r="F447" i="17"/>
  <c r="F443" i="17"/>
  <c r="F423" i="17"/>
  <c r="F411" i="17"/>
  <c r="F383" i="17"/>
  <c r="F357" i="17"/>
  <c r="F351" i="17"/>
  <c r="F347" i="17"/>
  <c r="F323" i="17"/>
  <c r="F421" i="17"/>
  <c r="F395" i="17"/>
  <c r="F387" i="17"/>
  <c r="F335" i="17"/>
  <c r="F297" i="17"/>
  <c r="F413" i="17"/>
  <c r="F343" i="17"/>
  <c r="F330" i="17"/>
  <c r="F325" i="17"/>
  <c r="L321" i="17"/>
  <c r="F315" i="17"/>
  <c r="F278" i="17"/>
  <c r="F356" i="17"/>
  <c r="F350" i="17"/>
  <c r="F339" i="17"/>
  <c r="F331" i="17"/>
  <c r="F309" i="17"/>
  <c r="F226" i="17"/>
  <c r="F196" i="17"/>
  <c r="F128" i="17"/>
  <c r="F123" i="17"/>
  <c r="F120" i="17"/>
  <c r="F113" i="17"/>
  <c r="F77" i="17"/>
  <c r="F249" i="17"/>
  <c r="F237" i="17"/>
  <c r="F228" i="17"/>
  <c r="F217" i="17"/>
  <c r="F213" i="17"/>
  <c r="F209" i="17"/>
  <c r="F201" i="17"/>
  <c r="F198" i="17"/>
  <c r="F165" i="17"/>
  <c r="F162" i="17"/>
  <c r="F158" i="17"/>
  <c r="F154" i="17"/>
  <c r="F144" i="17"/>
  <c r="F139" i="17"/>
  <c r="F136" i="17"/>
  <c r="F132" i="17"/>
  <c r="F129" i="17"/>
  <c r="F108" i="17"/>
  <c r="F103" i="17"/>
  <c r="F87" i="17"/>
  <c r="F218" i="17"/>
  <c r="F214" i="17"/>
  <c r="F210" i="17"/>
  <c r="F124" i="17"/>
  <c r="F95" i="17"/>
  <c r="F92" i="17"/>
  <c r="F88" i="17"/>
  <c r="F80" i="17"/>
  <c r="F225" i="17"/>
  <c r="F208" i="17"/>
  <c r="F193" i="17"/>
  <c r="F172" i="17"/>
  <c r="F152" i="17"/>
  <c r="F140" i="17"/>
  <c r="F125" i="17"/>
  <c r="F112" i="17"/>
  <c r="F100" i="17"/>
  <c r="F96" i="17"/>
  <c r="F83" i="17"/>
  <c r="F76" i="17"/>
  <c r="G94" i="17"/>
  <c r="F29" i="17"/>
  <c r="F25" i="17"/>
  <c r="F11" i="17"/>
  <c r="F5" i="17"/>
  <c r="F17" i="17"/>
  <c r="F62" i="17"/>
  <c r="O416" i="30"/>
  <c r="O415" i="30"/>
  <c r="O414" i="30"/>
  <c r="O412" i="30"/>
  <c r="O411" i="30"/>
  <c r="O410" i="30"/>
  <c r="O409" i="30"/>
  <c r="O408" i="30"/>
  <c r="O407" i="30"/>
  <c r="O406" i="30"/>
  <c r="O404" i="30"/>
  <c r="O403" i="30"/>
  <c r="O401" i="30"/>
  <c r="O400" i="30"/>
  <c r="O399" i="30"/>
  <c r="O398" i="30"/>
  <c r="O397" i="30"/>
  <c r="O395" i="30"/>
  <c r="O394" i="30"/>
  <c r="O393" i="30"/>
  <c r="O392" i="30"/>
  <c r="O391" i="30"/>
  <c r="O390" i="30"/>
  <c r="O389" i="30"/>
  <c r="O387" i="30"/>
  <c r="O386" i="30"/>
  <c r="O385" i="30"/>
  <c r="O383" i="30"/>
  <c r="O382" i="30"/>
  <c r="O380" i="30"/>
  <c r="O379" i="30"/>
  <c r="O377" i="30"/>
  <c r="O376" i="30"/>
  <c r="O375" i="30"/>
  <c r="O374" i="30"/>
  <c r="O371" i="30"/>
  <c r="O370" i="30"/>
  <c r="O369" i="30"/>
  <c r="O368" i="30"/>
  <c r="O367" i="30"/>
  <c r="O365" i="30"/>
  <c r="O363" i="30"/>
  <c r="O362" i="30"/>
  <c r="O361" i="30"/>
  <c r="O360" i="30"/>
  <c r="O359" i="30"/>
  <c r="O358" i="30"/>
  <c r="O356" i="30"/>
  <c r="O353" i="30"/>
  <c r="O352" i="30"/>
  <c r="O347" i="30"/>
  <c r="O346" i="30"/>
  <c r="O345" i="30"/>
  <c r="O343" i="30"/>
  <c r="O342" i="30"/>
  <c r="O341" i="30"/>
  <c r="O340" i="30"/>
  <c r="O339" i="30"/>
  <c r="O338" i="30"/>
  <c r="O337" i="30"/>
  <c r="O336" i="30"/>
  <c r="O333" i="30"/>
  <c r="O331" i="30"/>
  <c r="O330" i="30"/>
  <c r="O329" i="30"/>
  <c r="O326" i="30"/>
  <c r="O325" i="30"/>
  <c r="O324" i="30"/>
  <c r="O321" i="30"/>
  <c r="I567" i="17"/>
  <c r="I565" i="17"/>
  <c r="L565" i="17"/>
  <c r="G549" i="17"/>
  <c r="L549" i="17"/>
  <c r="G507" i="17"/>
  <c r="I410" i="17"/>
  <c r="H410" i="17"/>
  <c r="I404" i="17"/>
  <c r="J404" i="17"/>
  <c r="G402" i="17"/>
  <c r="L402" i="17"/>
  <c r="I394" i="17"/>
  <c r="H394" i="17"/>
  <c r="G380" i="17"/>
  <c r="J380" i="17"/>
  <c r="G378" i="17"/>
  <c r="H378" i="17"/>
  <c r="L378" i="17"/>
  <c r="G366" i="17"/>
  <c r="K366" i="17"/>
  <c r="I364" i="17"/>
  <c r="J364" i="17"/>
  <c r="G362" i="17"/>
  <c r="K362" i="17"/>
  <c r="L360" i="17"/>
  <c r="H360" i="17"/>
  <c r="H356" i="17"/>
  <c r="L356" i="17"/>
  <c r="G350" i="17"/>
  <c r="L350" i="17"/>
  <c r="H350" i="17"/>
  <c r="G346" i="17"/>
  <c r="L346" i="17"/>
  <c r="H346" i="17"/>
  <c r="G344" i="17"/>
  <c r="H344" i="17"/>
  <c r="L344" i="17"/>
  <c r="G330" i="17"/>
  <c r="K330" i="17"/>
  <c r="G314" i="17"/>
  <c r="L314" i="17"/>
  <c r="G306" i="17"/>
  <c r="K306" i="17"/>
  <c r="H306" i="17"/>
  <c r="I302" i="17"/>
  <c r="H302" i="17"/>
  <c r="G298" i="17"/>
  <c r="L298" i="17"/>
  <c r="L294" i="17"/>
  <c r="J294" i="17"/>
  <c r="L290" i="17"/>
  <c r="J290" i="17"/>
  <c r="I286" i="17"/>
  <c r="K286" i="17"/>
  <c r="G278" i="17"/>
  <c r="H278" i="17"/>
  <c r="CZ18" i="21"/>
  <c r="AF10" i="21"/>
  <c r="Q35" i="6"/>
  <c r="O248" i="30"/>
  <c r="K402" i="17"/>
  <c r="K398" i="17"/>
  <c r="F394" i="17"/>
  <c r="J388" i="17"/>
  <c r="L380" i="17"/>
  <c r="H366" i="17"/>
  <c r="L364" i="17"/>
  <c r="F358" i="17"/>
  <c r="K350" i="17"/>
  <c r="L348" i="17"/>
  <c r="F326" i="17"/>
  <c r="L306" i="17"/>
  <c r="H304" i="17"/>
  <c r="K294" i="17"/>
  <c r="L557" i="17"/>
  <c r="F531" i="17"/>
  <c r="F16" i="17"/>
  <c r="F4" i="17"/>
  <c r="F59" i="17"/>
  <c r="L576" i="17"/>
  <c r="G536" i="17"/>
  <c r="I534" i="17"/>
  <c r="L534" i="17"/>
  <c r="L532" i="17"/>
  <c r="G411" i="17"/>
  <c r="H411" i="17"/>
  <c r="G407" i="17"/>
  <c r="K407" i="17"/>
  <c r="G391" i="17"/>
  <c r="K391" i="17"/>
  <c r="I389" i="17"/>
  <c r="H389" i="17"/>
  <c r="G387" i="17"/>
  <c r="J387" i="17"/>
  <c r="K379" i="17"/>
  <c r="H379" i="17"/>
  <c r="I377" i="17"/>
  <c r="L377" i="17"/>
  <c r="L375" i="17"/>
  <c r="J375" i="17"/>
  <c r="I373" i="17"/>
  <c r="L373" i="17"/>
  <c r="J363" i="17"/>
  <c r="L363" i="17"/>
  <c r="I361" i="17"/>
  <c r="H361" i="17"/>
  <c r="G359" i="17"/>
  <c r="J359" i="17"/>
  <c r="L359" i="17"/>
  <c r="I357" i="17"/>
  <c r="H357" i="17"/>
  <c r="I355" i="17"/>
  <c r="L355" i="17"/>
  <c r="J355" i="17"/>
  <c r="H351" i="17"/>
  <c r="K351" i="17"/>
  <c r="H347" i="17"/>
  <c r="K347" i="17"/>
  <c r="I345" i="17"/>
  <c r="H345" i="17"/>
  <c r="G343" i="17"/>
  <c r="K343" i="17"/>
  <c r="H343" i="17"/>
  <c r="I341" i="17"/>
  <c r="L341" i="17"/>
  <c r="H339" i="17"/>
  <c r="K339" i="17"/>
  <c r="H335" i="17"/>
  <c r="K335" i="17"/>
  <c r="G331" i="17"/>
  <c r="K331" i="17"/>
  <c r="H331" i="17"/>
  <c r="I329" i="17"/>
  <c r="L329" i="17"/>
  <c r="L327" i="17"/>
  <c r="J327" i="17"/>
  <c r="I325" i="17"/>
  <c r="H325" i="17"/>
  <c r="K323" i="17"/>
  <c r="H323" i="17"/>
  <c r="O254" i="30"/>
  <c r="O250" i="30"/>
  <c r="O242" i="30"/>
  <c r="F2" i="17"/>
  <c r="F40" i="17"/>
  <c r="F12" i="17"/>
  <c r="F45" i="17"/>
  <c r="F388" i="17"/>
  <c r="K378" i="17"/>
  <c r="L374" i="17"/>
  <c r="L372" i="17"/>
  <c r="L370" i="17"/>
  <c r="H368" i="17"/>
  <c r="H362" i="17"/>
  <c r="J360" i="17"/>
  <c r="J356" i="17"/>
  <c r="L352" i="17"/>
  <c r="K346" i="17"/>
  <c r="F344" i="17"/>
  <c r="L332" i="17"/>
  <c r="F314" i="17"/>
  <c r="F306" i="17"/>
  <c r="J302" i="17"/>
  <c r="H298" i="17"/>
  <c r="K290" i="17"/>
  <c r="H288" i="17"/>
  <c r="L278" i="17"/>
  <c r="L556" i="17"/>
  <c r="G162" i="17"/>
  <c r="F408" i="17"/>
  <c r="F402" i="17"/>
  <c r="F398" i="17"/>
  <c r="F392" i="17"/>
  <c r="F384" i="17"/>
  <c r="F368" i="17"/>
  <c r="F363" i="17"/>
  <c r="F359" i="17"/>
  <c r="F352" i="17"/>
  <c r="F348" i="17"/>
  <c r="H319" i="17"/>
  <c r="F318" i="17"/>
  <c r="H315" i="17"/>
  <c r="H313" i="17"/>
  <c r="F312" i="17"/>
  <c r="K309" i="17"/>
  <c r="F299" i="17"/>
  <c r="F298" i="17"/>
  <c r="H289" i="17"/>
  <c r="J277" i="17"/>
  <c r="BO17" i="21"/>
  <c r="F380" i="17"/>
  <c r="F372" i="17"/>
  <c r="F367" i="17"/>
  <c r="F364" i="17"/>
  <c r="F355" i="17"/>
  <c r="F332" i="17"/>
  <c r="F327" i="17"/>
  <c r="K319" i="17"/>
  <c r="L315" i="17"/>
  <c r="K313" i="17"/>
  <c r="H309" i="17"/>
  <c r="J307" i="17"/>
  <c r="J293" i="17"/>
  <c r="J281" i="17"/>
  <c r="L277" i="17"/>
  <c r="F277" i="17"/>
  <c r="F576" i="17"/>
  <c r="F503" i="17"/>
  <c r="M9" i="21"/>
  <c r="BD7" i="21"/>
  <c r="BE7" i="21"/>
  <c r="H13" i="21"/>
  <c r="I13" i="21"/>
  <c r="O319" i="30"/>
  <c r="O318" i="30"/>
  <c r="O314" i="30"/>
  <c r="O312" i="30"/>
  <c r="O310" i="30"/>
  <c r="O309" i="30"/>
  <c r="O307" i="30"/>
  <c r="O306" i="30"/>
  <c r="O305" i="30"/>
  <c r="O304" i="30"/>
  <c r="O302" i="30"/>
  <c r="O301" i="30"/>
  <c r="O300" i="30"/>
  <c r="O299" i="30"/>
  <c r="O296" i="30"/>
  <c r="O294" i="30"/>
  <c r="O292" i="30"/>
  <c r="O291" i="30"/>
  <c r="O290" i="30"/>
  <c r="O289" i="30"/>
  <c r="O287" i="30"/>
  <c r="O286" i="30"/>
  <c r="O285" i="30"/>
  <c r="O282" i="30"/>
  <c r="O280" i="30"/>
  <c r="O278" i="30"/>
  <c r="O274" i="30"/>
  <c r="O265" i="30"/>
  <c r="O261" i="30"/>
  <c r="O257" i="30"/>
  <c r="O253" i="30"/>
  <c r="O241" i="30"/>
  <c r="Q540" i="7"/>
  <c r="N555" i="7" s="1"/>
  <c r="Q555" i="7" s="1"/>
  <c r="N570" i="7" s="1"/>
  <c r="Q570" i="7" s="1"/>
  <c r="O268" i="30"/>
  <c r="O260" i="30"/>
  <c r="O256" i="30"/>
  <c r="O252" i="30"/>
  <c r="O244" i="30"/>
  <c r="O240" i="30"/>
  <c r="E48" i="6"/>
  <c r="F22" i="17"/>
  <c r="F37" i="17"/>
  <c r="F42" i="17"/>
  <c r="F46" i="17"/>
  <c r="F33" i="17"/>
  <c r="F560" i="17"/>
  <c r="L548" i="17"/>
  <c r="F536" i="17"/>
  <c r="L528" i="17"/>
  <c r="F518" i="17"/>
  <c r="F516" i="17"/>
  <c r="F502" i="17"/>
  <c r="F498" i="17"/>
  <c r="F496" i="17"/>
  <c r="O267" i="30"/>
  <c r="O263" i="30"/>
  <c r="O259" i="30"/>
  <c r="O255" i="30"/>
  <c r="O251" i="30"/>
  <c r="F7" i="17"/>
  <c r="F60" i="17"/>
  <c r="F49" i="17"/>
  <c r="F36" i="17"/>
  <c r="F28" i="17"/>
  <c r="F44" i="17"/>
  <c r="F43" i="17"/>
  <c r="F181" i="17"/>
  <c r="L304" i="17"/>
  <c r="L302" i="17"/>
  <c r="F302" i="17"/>
  <c r="K298" i="17"/>
  <c r="K296" i="17"/>
  <c r="H294" i="17"/>
  <c r="L292" i="17"/>
  <c r="H290" i="17"/>
  <c r="H286" i="17"/>
  <c r="K278" i="17"/>
  <c r="L276" i="17"/>
  <c r="L579" i="17"/>
  <c r="L573" i="17"/>
  <c r="F564" i="17"/>
  <c r="L562" i="17"/>
  <c r="L560" i="17"/>
  <c r="F540" i="17"/>
  <c r="L526" i="17"/>
  <c r="F508" i="17"/>
  <c r="I564" i="17"/>
  <c r="I304" i="17"/>
  <c r="BT12" i="21"/>
  <c r="CF8" i="21"/>
  <c r="N650" i="7"/>
  <c r="Q650" i="7" s="1"/>
  <c r="N665" i="7" s="1"/>
  <c r="Q665" i="7" s="1"/>
  <c r="N680" i="7" s="1"/>
  <c r="Q680" i="7" s="1"/>
  <c r="N695" i="7" s="1"/>
  <c r="Q695" i="7" s="1"/>
  <c r="N92" i="7"/>
  <c r="Q92" i="7" s="1"/>
  <c r="N107" i="7" s="1"/>
  <c r="Q107" i="7" s="1"/>
  <c r="N122" i="7" s="1"/>
  <c r="Q122" i="7" s="1"/>
  <c r="N137" i="7" s="1"/>
  <c r="Q137" i="7" s="1"/>
  <c r="N152" i="7" s="1"/>
  <c r="Q152" i="7" s="1"/>
  <c r="N88" i="7"/>
  <c r="Q88" i="7" s="1"/>
  <c r="N103" i="7" s="1"/>
  <c r="Q103" i="7" s="1"/>
  <c r="N118" i="7" s="1"/>
  <c r="Q118" i="7" s="1"/>
  <c r="N133" i="7" s="1"/>
  <c r="Q133" i="7" s="1"/>
  <c r="N148" i="7" s="1"/>
  <c r="Q148" i="7" s="1"/>
  <c r="F31" i="12"/>
  <c r="K2" i="16" s="1"/>
  <c r="K101" i="16" s="1"/>
  <c r="L101" i="16" s="1"/>
  <c r="O266" i="30"/>
  <c r="O262" i="30"/>
  <c r="O258" i="30"/>
  <c r="O246" i="30"/>
  <c r="F10" i="17"/>
  <c r="F53" i="17"/>
  <c r="F56" i="17"/>
  <c r="F13" i="17"/>
  <c r="F35" i="17"/>
  <c r="F34" i="17"/>
  <c r="F30" i="17"/>
  <c r="K304" i="17"/>
  <c r="K302" i="17"/>
  <c r="J298" i="17"/>
  <c r="F296" i="17"/>
  <c r="F294" i="17"/>
  <c r="F290" i="17"/>
  <c r="L286" i="17"/>
  <c r="F286" i="17"/>
  <c r="F284" i="17"/>
  <c r="J278" i="17"/>
  <c r="K276" i="17"/>
  <c r="L558" i="17"/>
  <c r="F548" i="17"/>
  <c r="L544" i="17"/>
  <c r="F532" i="17"/>
  <c r="F524" i="17"/>
  <c r="L508" i="17"/>
  <c r="L494" i="17"/>
  <c r="G423" i="17"/>
  <c r="DF12" i="21"/>
  <c r="AK7" i="21"/>
  <c r="F581" i="17"/>
  <c r="F557" i="17"/>
  <c r="F556" i="17"/>
  <c r="L524" i="17"/>
  <c r="F567" i="17"/>
  <c r="F571" i="17"/>
  <c r="F575" i="17"/>
  <c r="F579" i="17"/>
  <c r="F573" i="17"/>
  <c r="L571" i="17"/>
  <c r="L567" i="17"/>
  <c r="G303" i="17"/>
  <c r="F279" i="17"/>
  <c r="L438" i="17"/>
  <c r="F440" i="17"/>
  <c r="J436" i="17"/>
  <c r="L434" i="17"/>
  <c r="F434" i="17"/>
  <c r="F424" i="17"/>
  <c r="L303" i="17"/>
  <c r="J301" i="17"/>
  <c r="L299" i="17"/>
  <c r="K297" i="17"/>
  <c r="H293" i="17"/>
  <c r="J291" i="17"/>
  <c r="J287" i="17"/>
  <c r="J285" i="17"/>
  <c r="H283" i="17"/>
  <c r="H281" i="17"/>
  <c r="I278" i="17"/>
  <c r="G283" i="17"/>
  <c r="L297" i="17"/>
  <c r="K301" i="17"/>
  <c r="L289" i="17"/>
  <c r="I289" i="17"/>
  <c r="F295" i="17"/>
  <c r="K436" i="17"/>
  <c r="G285" i="17"/>
  <c r="H291" i="17"/>
  <c r="G301" i="17"/>
  <c r="G281" i="17"/>
  <c r="F285" i="17"/>
  <c r="L291" i="17"/>
  <c r="K299" i="17"/>
  <c r="G289" i="17"/>
  <c r="J295" i="17"/>
  <c r="K295" i="17"/>
  <c r="K432" i="17"/>
  <c r="G436" i="17"/>
  <c r="J279" i="17"/>
  <c r="K279" i="17"/>
  <c r="K440" i="17"/>
  <c r="L440" i="17"/>
  <c r="H436" i="17"/>
  <c r="K434" i="17"/>
  <c r="L424" i="17"/>
  <c r="J303" i="17"/>
  <c r="H301" i="17"/>
  <c r="J299" i="17"/>
  <c r="J297" i="17"/>
  <c r="L293" i="17"/>
  <c r="F293" i="17"/>
  <c r="H285" i="17"/>
  <c r="F283" i="17"/>
  <c r="F281" i="17"/>
  <c r="I440" i="17"/>
  <c r="L285" i="17"/>
  <c r="L301" i="17"/>
  <c r="K291" i="17"/>
  <c r="L281" i="17"/>
  <c r="K285" i="17"/>
  <c r="G299" i="17"/>
  <c r="H295" i="17"/>
  <c r="G295" i="17"/>
  <c r="G432" i="17"/>
  <c r="F438" i="17"/>
  <c r="H279" i="17"/>
  <c r="G279" i="17"/>
  <c r="K424" i="17"/>
  <c r="F432" i="17"/>
  <c r="G440" i="17"/>
  <c r="F291" i="17"/>
  <c r="J438" i="17"/>
  <c r="F436" i="17"/>
  <c r="J434" i="17"/>
  <c r="J424" i="17"/>
  <c r="F303" i="17"/>
  <c r="H299" i="17"/>
  <c r="H297" i="17"/>
  <c r="L283" i="17"/>
  <c r="K281" i="17"/>
  <c r="F184" i="17"/>
  <c r="G89" i="17"/>
  <c r="G93" i="17"/>
  <c r="K178" i="17"/>
  <c r="K194" i="17"/>
  <c r="F89" i="17"/>
  <c r="J164" i="17"/>
  <c r="J168" i="17"/>
  <c r="J172" i="17"/>
  <c r="J176" i="17"/>
  <c r="K164" i="17"/>
  <c r="K172" i="17"/>
  <c r="F180" i="17"/>
  <c r="G184" i="17"/>
  <c r="L188" i="17"/>
  <c r="K188" i="17"/>
  <c r="I188" i="17"/>
  <c r="K192" i="17"/>
  <c r="I192" i="17"/>
  <c r="L180" i="17"/>
  <c r="J194" i="17"/>
  <c r="L192" i="17"/>
  <c r="J190" i="17"/>
  <c r="J186" i="17"/>
  <c r="L184" i="17"/>
  <c r="J182" i="17"/>
  <c r="J178" i="17"/>
  <c r="L176" i="17"/>
  <c r="J174" i="17"/>
  <c r="L172" i="17"/>
  <c r="J170" i="17"/>
  <c r="L168" i="17"/>
  <c r="J166" i="17"/>
  <c r="L164" i="17"/>
  <c r="L91" i="17"/>
  <c r="F91" i="17"/>
  <c r="G88" i="17"/>
  <c r="K89" i="17"/>
  <c r="K93" i="17"/>
  <c r="I89" i="17"/>
  <c r="F93" i="17"/>
  <c r="G168" i="17"/>
  <c r="G176" i="17"/>
  <c r="K180" i="17"/>
  <c r="I180" i="17"/>
  <c r="J184" i="17"/>
  <c r="G188" i="17"/>
  <c r="G192" i="17"/>
  <c r="H184" i="17"/>
  <c r="H194" i="17"/>
  <c r="H190" i="17"/>
  <c r="H186" i="17"/>
  <c r="H182" i="17"/>
  <c r="L181" i="17"/>
  <c r="H178" i="17"/>
  <c r="H174" i="17"/>
  <c r="H170" i="17"/>
  <c r="H166" i="17"/>
  <c r="H93" i="17"/>
  <c r="K91" i="17"/>
  <c r="H89" i="17"/>
  <c r="I194" i="17"/>
  <c r="J89" i="17"/>
  <c r="K166" i="17"/>
  <c r="K168" i="17"/>
  <c r="K176" i="17"/>
  <c r="H188" i="17"/>
  <c r="L194" i="17"/>
  <c r="F194" i="17"/>
  <c r="L190" i="17"/>
  <c r="F190" i="17"/>
  <c r="L186" i="17"/>
  <c r="F186" i="17"/>
  <c r="L182" i="17"/>
  <c r="F182" i="17"/>
  <c r="L178" i="17"/>
  <c r="F178" i="17"/>
  <c r="L174" i="17"/>
  <c r="F174" i="17"/>
  <c r="L170" i="17"/>
  <c r="F170" i="17"/>
  <c r="L166" i="17"/>
  <c r="F166" i="17"/>
  <c r="L93" i="17"/>
  <c r="J91" i="17"/>
  <c r="L89" i="17"/>
  <c r="J40" i="17"/>
  <c r="F47" i="17"/>
  <c r="K43" i="17"/>
  <c r="H40" i="17"/>
  <c r="E44" i="12"/>
  <c r="C44" i="12"/>
  <c r="E50" i="12"/>
  <c r="C50" i="12"/>
  <c r="BW9" i="21"/>
  <c r="BV9" i="21"/>
  <c r="F324" i="17"/>
  <c r="L318" i="17"/>
  <c r="CI19" i="21"/>
  <c r="BP5" i="21"/>
  <c r="AF12" i="21"/>
  <c r="BE9" i="21"/>
  <c r="AF8" i="21"/>
  <c r="BD19" i="21"/>
  <c r="AD57" i="7"/>
  <c r="AA57" i="3" s="1"/>
  <c r="AJ117" i="6"/>
  <c r="AG117" i="7" s="1"/>
  <c r="AD117" i="3" s="1"/>
  <c r="AH144" i="6"/>
  <c r="S144" i="10" s="1"/>
  <c r="AH176" i="6"/>
  <c r="AD68" i="7"/>
  <c r="AA68" i="3" s="1"/>
  <c r="AD48" i="7"/>
  <c r="AA48" i="3" s="1"/>
  <c r="R58" i="10"/>
  <c r="AI156" i="6"/>
  <c r="AI180" i="6"/>
  <c r="Q53" i="10"/>
  <c r="R88" i="10"/>
  <c r="AI149" i="6"/>
  <c r="AF152" i="7" s="1"/>
  <c r="AD69" i="7"/>
  <c r="AA69" i="3" s="1"/>
  <c r="R73" i="10"/>
  <c r="AI165" i="6"/>
  <c r="R85" i="10"/>
  <c r="AJ153" i="6"/>
  <c r="AD97" i="7"/>
  <c r="AA97" i="3" s="1"/>
  <c r="R101" i="10"/>
  <c r="AE176" i="7"/>
  <c r="AI207" i="6"/>
  <c r="D85" i="4"/>
  <c r="G85" i="4" s="1"/>
  <c r="J85" i="4" s="1"/>
  <c r="M85" i="4" s="1"/>
  <c r="P85" i="4" s="1"/>
  <c r="S85" i="4" s="1"/>
  <c r="V85" i="4" s="1"/>
  <c r="Y85" i="4" s="1"/>
  <c r="AB85" i="4" s="1"/>
  <c r="AE85" i="4" s="1"/>
  <c r="AH85" i="4" s="1"/>
  <c r="AK85" i="4" s="1"/>
  <c r="AD119" i="7"/>
  <c r="AA119" i="3" s="1"/>
  <c r="AE210" i="7"/>
  <c r="N646" i="7"/>
  <c r="Q646" i="7" s="1"/>
  <c r="N661" i="7" s="1"/>
  <c r="Q661" i="7" s="1"/>
  <c r="N676" i="7" s="1"/>
  <c r="Q676" i="7" s="1"/>
  <c r="N691" i="7" s="1"/>
  <c r="Q691" i="7" s="1"/>
  <c r="AD47" i="7"/>
  <c r="AA47" i="3" s="1"/>
  <c r="AE151" i="7"/>
  <c r="R111" i="10"/>
  <c r="U167" i="10"/>
  <c r="S189" i="10"/>
  <c r="B23" i="4"/>
  <c r="L539" i="17"/>
  <c r="L537" i="17"/>
  <c r="L535" i="17"/>
  <c r="L523" i="17"/>
  <c r="I217" i="17"/>
  <c r="I83" i="17"/>
  <c r="BE11" i="21"/>
  <c r="I9" i="21"/>
  <c r="R100" i="10"/>
  <c r="N544" i="7"/>
  <c r="Q544" i="7" s="1"/>
  <c r="N559" i="7" s="1"/>
  <c r="Q559" i="7" s="1"/>
  <c r="N574" i="7" s="1"/>
  <c r="Q574" i="7" s="1"/>
  <c r="AH132" i="6"/>
  <c r="AH152" i="6"/>
  <c r="AH184" i="6"/>
  <c r="R48" i="10"/>
  <c r="AH135" i="6"/>
  <c r="AI164" i="6"/>
  <c r="AI184" i="6"/>
  <c r="Q57" i="10"/>
  <c r="AJ121" i="6"/>
  <c r="AD65" i="7"/>
  <c r="AA65" i="3" s="1"/>
  <c r="R69" i="10"/>
  <c r="AI161" i="6"/>
  <c r="AF164" i="7" s="1"/>
  <c r="AD81" i="7"/>
  <c r="AA81" i="3" s="1"/>
  <c r="AD89" i="7"/>
  <c r="AA89" i="3" s="1"/>
  <c r="AD93" i="7"/>
  <c r="AA93" i="3" s="1"/>
  <c r="R97" i="10"/>
  <c r="AD115" i="7"/>
  <c r="AA115" i="3" s="1"/>
  <c r="AD107" i="7"/>
  <c r="AA107" i="3" s="1"/>
  <c r="R123" i="10"/>
  <c r="AJ165" i="6"/>
  <c r="AI203" i="6"/>
  <c r="AE156" i="7"/>
  <c r="AI131" i="6"/>
  <c r="S149" i="10"/>
  <c r="B53" i="4"/>
  <c r="E22" i="4"/>
  <c r="L547" i="17"/>
  <c r="F545" i="17"/>
  <c r="L541" i="17"/>
  <c r="F541" i="17"/>
  <c r="L505" i="17"/>
  <c r="I380" i="17"/>
  <c r="DE20" i="21"/>
  <c r="CL18" i="21"/>
  <c r="BI17" i="21"/>
  <c r="CL15" i="21"/>
  <c r="AQ12" i="21"/>
  <c r="CM8" i="21"/>
  <c r="BE13" i="21"/>
  <c r="I11" i="21"/>
  <c r="CB8" i="21"/>
  <c r="CC12" i="21"/>
  <c r="DR19" i="21"/>
  <c r="F507" i="17"/>
  <c r="F499" i="17"/>
  <c r="G181" i="17"/>
  <c r="CY5" i="21"/>
  <c r="CG5" i="21"/>
  <c r="I515" i="17"/>
  <c r="G515" i="17"/>
  <c r="I439" i="17"/>
  <c r="G439" i="17"/>
  <c r="G376" i="17"/>
  <c r="I376" i="17"/>
  <c r="G340" i="17"/>
  <c r="I340" i="17"/>
  <c r="J93" i="15"/>
  <c r="J84" i="15"/>
  <c r="J170" i="15"/>
  <c r="BK19" i="21"/>
  <c r="Z15" i="21"/>
  <c r="N20" i="21"/>
  <c r="CN5" i="21"/>
  <c r="CT5" i="21"/>
  <c r="DR16" i="21"/>
  <c r="J376" i="17"/>
  <c r="K338" i="17"/>
  <c r="H336" i="17"/>
  <c r="L328" i="17"/>
  <c r="F328" i="17"/>
  <c r="J324" i="17"/>
  <c r="H322" i="17"/>
  <c r="H318" i="17"/>
  <c r="I280" i="17"/>
  <c r="G280" i="17"/>
  <c r="AG19" i="21"/>
  <c r="H376" i="17"/>
  <c r="L340" i="17"/>
  <c r="F340" i="17"/>
  <c r="J332" i="17"/>
  <c r="H320" i="17"/>
  <c r="K312" i="17"/>
  <c r="H310" i="17"/>
  <c r="L515" i="17"/>
  <c r="G488" i="17"/>
  <c r="I488" i="17"/>
  <c r="G375" i="17"/>
  <c r="I375" i="17"/>
  <c r="L376" i="17"/>
  <c r="F376" i="17"/>
  <c r="J328" i="17"/>
  <c r="L324" i="17"/>
  <c r="L572" i="17"/>
  <c r="G161" i="17"/>
  <c r="I161" i="17"/>
  <c r="F375" i="17"/>
  <c r="L371" i="17"/>
  <c r="F371" i="17"/>
  <c r="J367" i="17"/>
  <c r="L365" i="17"/>
  <c r="J51" i="15"/>
  <c r="J37" i="15"/>
  <c r="J144" i="15"/>
  <c r="H340" i="17"/>
  <c r="J336" i="17"/>
  <c r="J160" i="15"/>
  <c r="J75" i="15"/>
  <c r="H334" i="17"/>
  <c r="J85" i="15"/>
  <c r="H328" i="17"/>
  <c r="H324" i="17"/>
  <c r="L320" i="17"/>
  <c r="F320" i="17"/>
  <c r="K314" i="17"/>
  <c r="L310" i="17"/>
  <c r="F310" i="17"/>
  <c r="J66" i="15"/>
  <c r="J48" i="15"/>
  <c r="J5" i="15"/>
  <c r="J6" i="15"/>
  <c r="J24" i="15"/>
  <c r="K280" i="17"/>
  <c r="J18" i="15"/>
  <c r="F515" i="17"/>
  <c r="L513" i="17"/>
  <c r="G573" i="17"/>
  <c r="I508" i="17"/>
  <c r="F489" i="17"/>
  <c r="I218" i="17"/>
  <c r="DP22" i="21"/>
  <c r="S20" i="21"/>
  <c r="AK10" i="21"/>
  <c r="J314" i="17"/>
  <c r="J33" i="15"/>
  <c r="K310" i="17"/>
  <c r="E42" i="12"/>
  <c r="J19" i="15"/>
  <c r="J47" i="15"/>
  <c r="J40" i="15"/>
  <c r="J14" i="15"/>
  <c r="J8" i="15"/>
  <c r="J2" i="15"/>
  <c r="L585" i="17"/>
  <c r="L583" i="17"/>
  <c r="L514" i="17"/>
  <c r="G364" i="17"/>
  <c r="I309" i="17"/>
  <c r="G158" i="17"/>
  <c r="CG10" i="21"/>
  <c r="L336" i="17"/>
  <c r="F336" i="17"/>
  <c r="K334" i="17"/>
  <c r="H332" i="17"/>
  <c r="L330" i="17"/>
  <c r="H330" i="17"/>
  <c r="J320" i="17"/>
  <c r="J79" i="15"/>
  <c r="H314" i="17"/>
  <c r="J310" i="17"/>
  <c r="J63" i="15"/>
  <c r="J13" i="15"/>
  <c r="J67" i="15"/>
  <c r="J23" i="15"/>
  <c r="J12" i="15"/>
  <c r="J21" i="15"/>
  <c r="J3" i="15"/>
  <c r="L488" i="17"/>
  <c r="AQ10" i="21"/>
  <c r="DE7" i="21"/>
  <c r="Z19" i="21"/>
  <c r="CT14" i="21"/>
  <c r="DA11" i="21"/>
  <c r="DA7" i="21"/>
  <c r="H20" i="21"/>
  <c r="BP3" i="21"/>
  <c r="U3" i="21"/>
  <c r="CT16" i="21"/>
  <c r="AX19" i="21"/>
  <c r="AF14" i="21"/>
  <c r="N321" i="7"/>
  <c r="O321" i="7" s="1"/>
  <c r="AH208" i="6"/>
  <c r="S208" i="10" s="1"/>
  <c r="CB21" i="21"/>
  <c r="AM19" i="21"/>
  <c r="DL3" i="21"/>
  <c r="CZ13" i="21"/>
  <c r="DA9" i="21"/>
  <c r="H19" i="21"/>
  <c r="R122" i="10"/>
  <c r="U22" i="6"/>
  <c r="AD103" i="7"/>
  <c r="AA103" i="3" s="1"/>
  <c r="F6" i="6"/>
  <c r="AH128" i="6"/>
  <c r="S128" i="10" s="1"/>
  <c r="I14" i="21"/>
  <c r="O320" i="30"/>
  <c r="N547" i="7"/>
  <c r="L575" i="17"/>
  <c r="L552" i="17"/>
  <c r="F552" i="17"/>
  <c r="L533" i="17"/>
  <c r="F533" i="17"/>
  <c r="L531" i="17"/>
  <c r="L525" i="17"/>
  <c r="F525" i="17"/>
  <c r="G567" i="17"/>
  <c r="I549" i="17"/>
  <c r="G524" i="17"/>
  <c r="I221" i="17"/>
  <c r="I114" i="17"/>
  <c r="I91" i="17"/>
  <c r="I87" i="17"/>
  <c r="I86" i="17"/>
  <c r="M22" i="21"/>
  <c r="DJ21" i="21"/>
  <c r="CS21" i="21"/>
  <c r="BO19" i="21"/>
  <c r="AP17" i="21"/>
  <c r="BN15" i="21"/>
  <c r="L584" i="17"/>
  <c r="F584" i="17"/>
  <c r="L563" i="17"/>
  <c r="L561" i="17"/>
  <c r="L540" i="17"/>
  <c r="L519" i="17"/>
  <c r="L512" i="17"/>
  <c r="L493" i="17"/>
  <c r="L491" i="17"/>
  <c r="F491" i="17"/>
  <c r="G584" i="17"/>
  <c r="I583" i="17"/>
  <c r="I568" i="17"/>
  <c r="G552" i="17"/>
  <c r="I387" i="17"/>
  <c r="I343" i="17"/>
  <c r="I298" i="17"/>
  <c r="G245" i="17"/>
  <c r="I222" i="17"/>
  <c r="G134" i="17"/>
  <c r="G95" i="17"/>
  <c r="CM16" i="21"/>
  <c r="L568" i="17"/>
  <c r="F568" i="17"/>
  <c r="F561" i="17"/>
  <c r="L559" i="17"/>
  <c r="L510" i="17"/>
  <c r="G533" i="17"/>
  <c r="I193" i="17"/>
  <c r="I178" i="17"/>
  <c r="I96" i="17"/>
  <c r="DK20" i="21"/>
  <c r="BI20" i="21"/>
  <c r="AQ20" i="21"/>
  <c r="BJ17" i="21"/>
  <c r="BN14" i="21"/>
  <c r="BI9" i="21"/>
  <c r="AQ9" i="21"/>
  <c r="BI7" i="21"/>
  <c r="D87" i="4"/>
  <c r="G87" i="4" s="1"/>
  <c r="J87" i="4" s="1"/>
  <c r="M87" i="4" s="1"/>
  <c r="P87" i="4" s="1"/>
  <c r="S87" i="4" s="1"/>
  <c r="V87" i="4" s="1"/>
  <c r="Y87" i="4" s="1"/>
  <c r="AB87" i="4" s="1"/>
  <c r="AE87" i="4" s="1"/>
  <c r="AH87" i="4" s="1"/>
  <c r="AK87" i="4" s="1"/>
  <c r="AG185" i="7"/>
  <c r="AH127" i="6"/>
  <c r="F17" i="6"/>
  <c r="E39" i="4"/>
  <c r="F26" i="6"/>
  <c r="AJ127" i="6"/>
  <c r="AG130" i="7" s="1"/>
  <c r="F33" i="12"/>
  <c r="AI125" i="6"/>
  <c r="F13" i="6"/>
  <c r="F30" i="6"/>
  <c r="AI159" i="6"/>
  <c r="K39" i="4"/>
  <c r="H39" i="4"/>
  <c r="Q55" i="10"/>
  <c r="AJ111" i="6"/>
  <c r="AJ174" i="6"/>
  <c r="R118" i="10"/>
  <c r="AD46" i="7"/>
  <c r="AA46" i="3" s="1"/>
  <c r="AI145" i="6"/>
  <c r="AJ125" i="6"/>
  <c r="AJ129" i="6"/>
  <c r="AJ133" i="6"/>
  <c r="AJ137" i="6"/>
  <c r="AJ141" i="6"/>
  <c r="AJ145" i="6"/>
  <c r="AJ149" i="6"/>
  <c r="AI177" i="6"/>
  <c r="AI181" i="6"/>
  <c r="AI185" i="6"/>
  <c r="F37" i="6"/>
  <c r="F42" i="6"/>
  <c r="R105" i="10"/>
  <c r="B38" i="4"/>
  <c r="AH202" i="6"/>
  <c r="S202" i="10" s="1"/>
  <c r="AI132" i="6"/>
  <c r="AF135" i="7" s="1"/>
  <c r="AI201" i="6"/>
  <c r="T201" i="10" s="1"/>
  <c r="R117" i="10"/>
  <c r="AH193" i="6"/>
  <c r="AD109" i="7"/>
  <c r="AA109" i="3" s="1"/>
  <c r="AJ169" i="6"/>
  <c r="AD102" i="7"/>
  <c r="AA102" i="3" s="1"/>
  <c r="AH186" i="6"/>
  <c r="S186" i="10" s="1"/>
  <c r="R102" i="10"/>
  <c r="AJ162" i="6"/>
  <c r="AJ150" i="6"/>
  <c r="U150" i="10" s="1"/>
  <c r="AD90" i="7"/>
  <c r="AA90" i="3" s="1"/>
  <c r="AH166" i="6"/>
  <c r="R82" i="10"/>
  <c r="AD82" i="7"/>
  <c r="AA82" i="3" s="1"/>
  <c r="AI158" i="6"/>
  <c r="R74" i="10"/>
  <c r="AD74" i="7"/>
  <c r="AA74" i="3" s="1"/>
  <c r="R66" i="10"/>
  <c r="AH150" i="6"/>
  <c r="AD66" i="7"/>
  <c r="AA66" i="3" s="1"/>
  <c r="R52" i="10"/>
  <c r="AI136" i="6"/>
  <c r="AD52" i="7"/>
  <c r="AA52" i="3" s="1"/>
  <c r="AJ112" i="6"/>
  <c r="R121" i="10"/>
  <c r="AD121" i="7"/>
  <c r="AA121" i="3" s="1"/>
  <c r="AJ158" i="6"/>
  <c r="AG161" i="7" s="1"/>
  <c r="R98" i="10"/>
  <c r="AD98" i="7"/>
  <c r="AA98" i="3" s="1"/>
  <c r="AI182" i="6"/>
  <c r="T182" i="10" s="1"/>
  <c r="AC56" i="7"/>
  <c r="Z56" i="3" s="1"/>
  <c r="Q56" i="10"/>
  <c r="R56" i="10"/>
  <c r="AJ116" i="6"/>
  <c r="AH140" i="6"/>
  <c r="AI140" i="6"/>
  <c r="AD56" i="7"/>
  <c r="AA56" i="3" s="1"/>
  <c r="R49" i="10"/>
  <c r="AD49" i="7"/>
  <c r="AA49" i="3" s="1"/>
  <c r="AI133" i="6"/>
  <c r="AJ109" i="6"/>
  <c r="AH133" i="6"/>
  <c r="BE61" i="4"/>
  <c r="AI64" i="6"/>
  <c r="T64" i="10" s="1"/>
  <c r="R109" i="10"/>
  <c r="AH136" i="6"/>
  <c r="AH197" i="6"/>
  <c r="AJ173" i="6"/>
  <c r="R113" i="10"/>
  <c r="AD113" i="7"/>
  <c r="AA113" i="3" s="1"/>
  <c r="AD106" i="7"/>
  <c r="AA106" i="3" s="1"/>
  <c r="R106" i="10"/>
  <c r="AJ166" i="6"/>
  <c r="AJ154" i="6"/>
  <c r="AG157" i="7" s="1"/>
  <c r="AD94" i="7"/>
  <c r="AA94" i="3" s="1"/>
  <c r="AH170" i="6"/>
  <c r="AD86" i="7"/>
  <c r="AA86" i="3" s="1"/>
  <c r="AJ138" i="6"/>
  <c r="AD78" i="7"/>
  <c r="AA78" i="3" s="1"/>
  <c r="AH162" i="6"/>
  <c r="AE165" i="7" s="1"/>
  <c r="AH154" i="6"/>
  <c r="AJ130" i="6"/>
  <c r="U130" i="10" s="1"/>
  <c r="AD70" i="7"/>
  <c r="AA70" i="3" s="1"/>
  <c r="AH146" i="6"/>
  <c r="S146" i="10" s="1"/>
  <c r="AD62" i="7"/>
  <c r="AA62" i="3" s="1"/>
  <c r="Q52" i="10"/>
  <c r="AC52" i="7"/>
  <c r="Z52" i="3" s="1"/>
  <c r="AH129" i="6"/>
  <c r="AI129" i="6"/>
  <c r="R45" i="10"/>
  <c r="AJ105" i="6"/>
  <c r="AD45" i="7"/>
  <c r="AA45" i="3" s="1"/>
  <c r="S168" i="10"/>
  <c r="AI198" i="6"/>
  <c r="T198" i="10" s="1"/>
  <c r="D60" i="6"/>
  <c r="BM63" i="4"/>
  <c r="R39" i="4"/>
  <c r="T143" i="10"/>
  <c r="AF146" i="7"/>
  <c r="AJ101" i="6"/>
  <c r="R41" i="10"/>
  <c r="F39" i="6"/>
  <c r="F16" i="6"/>
  <c r="F12" i="6"/>
  <c r="AJ181" i="6"/>
  <c r="R103" i="10"/>
  <c r="AD117" i="7"/>
  <c r="AA117" i="3" s="1"/>
  <c r="F23" i="6"/>
  <c r="F27" i="6"/>
  <c r="F31" i="6"/>
  <c r="AH198" i="6"/>
  <c r="S198" i="10" s="1"/>
  <c r="AI179" i="6"/>
  <c r="AI163" i="6"/>
  <c r="AJ155" i="6"/>
  <c r="AJ136" i="6"/>
  <c r="R62" i="10"/>
  <c r="R70" i="10"/>
  <c r="R78" i="10"/>
  <c r="R86" i="10"/>
  <c r="R94" i="10"/>
  <c r="AJ103" i="6"/>
  <c r="AH160" i="6"/>
  <c r="AJ170" i="6"/>
  <c r="AJ178" i="6"/>
  <c r="R87" i="10"/>
  <c r="R110" i="10"/>
  <c r="AD76" i="7"/>
  <c r="AA76" i="3" s="1"/>
  <c r="AE154" i="7"/>
  <c r="AD58" i="7"/>
  <c r="AA58" i="3" s="1"/>
  <c r="AI160" i="6"/>
  <c r="AI176" i="6"/>
  <c r="U106" i="10"/>
  <c r="AG171" i="7"/>
  <c r="AI193" i="6"/>
  <c r="AJ163" i="6"/>
  <c r="F41" i="6"/>
  <c r="AI191" i="6"/>
  <c r="AI197" i="6"/>
  <c r="AH201" i="6"/>
  <c r="F19" i="6"/>
  <c r="F15" i="6"/>
  <c r="F11" i="6"/>
  <c r="AI205" i="6"/>
  <c r="AJ177" i="6"/>
  <c r="F4" i="6"/>
  <c r="F24" i="6"/>
  <c r="F28" i="6"/>
  <c r="F32" i="6"/>
  <c r="AH205" i="6"/>
  <c r="AI174" i="6"/>
  <c r="AI162" i="6"/>
  <c r="AI155" i="6"/>
  <c r="AJ134" i="6"/>
  <c r="AG137" i="7" s="1"/>
  <c r="AI130" i="6"/>
  <c r="Q51" i="10"/>
  <c r="R95" i="10"/>
  <c r="R114" i="10"/>
  <c r="AH187" i="6"/>
  <c r="F18" i="6"/>
  <c r="F14" i="6"/>
  <c r="F10" i="6"/>
  <c r="F5" i="6"/>
  <c r="F25" i="6"/>
  <c r="F29" i="6"/>
  <c r="AH171" i="6"/>
  <c r="AE174" i="7" s="1"/>
  <c r="N110" i="7"/>
  <c r="S185" i="10"/>
  <c r="AE188" i="7"/>
  <c r="S181" i="10"/>
  <c r="AE184" i="7"/>
  <c r="S165" i="10"/>
  <c r="AE168" i="7"/>
  <c r="S161" i="10"/>
  <c r="AE164" i="7"/>
  <c r="S126" i="10"/>
  <c r="AE129" i="7"/>
  <c r="S200" i="10"/>
  <c r="AE203" i="7"/>
  <c r="N578" i="7"/>
  <c r="S175" i="10"/>
  <c r="AE178" i="7"/>
  <c r="AE128" i="7"/>
  <c r="S125" i="10"/>
  <c r="AI204" i="6"/>
  <c r="AF207" i="7" s="1"/>
  <c r="AH141" i="6"/>
  <c r="Q653" i="7"/>
  <c r="R653" i="7" s="1"/>
  <c r="AG16" i="21"/>
  <c r="AR6" i="21"/>
  <c r="AG20" i="21"/>
  <c r="DA12" i="21"/>
  <c r="CC18" i="21"/>
  <c r="AF17" i="21"/>
  <c r="CB16" i="21"/>
  <c r="H12" i="21"/>
  <c r="CN3" i="21"/>
  <c r="AX3" i="21"/>
  <c r="BV6" i="21"/>
  <c r="CT17" i="21"/>
  <c r="BV16" i="21"/>
  <c r="CT18" i="21"/>
  <c r="AH203" i="6"/>
  <c r="AH155" i="6"/>
  <c r="S155" i="10" s="1"/>
  <c r="AJ148" i="6"/>
  <c r="AH130" i="6"/>
  <c r="S130" i="10" s="1"/>
  <c r="AJ104" i="6"/>
  <c r="CZ22" i="21"/>
  <c r="Z4" i="21"/>
  <c r="R124" i="10"/>
  <c r="H18" i="21"/>
  <c r="DR4" i="21"/>
  <c r="AI194" i="6"/>
  <c r="AI135" i="6"/>
  <c r="N316" i="7"/>
  <c r="Q316" i="7" s="1"/>
  <c r="N331" i="7" s="1"/>
  <c r="Q331" i="7" s="1"/>
  <c r="N346" i="7" s="1"/>
  <c r="Q346" i="7" s="1"/>
  <c r="N361" i="7" s="1"/>
  <c r="Q361" i="7" s="1"/>
  <c r="N376" i="7" s="1"/>
  <c r="Q376" i="7" s="1"/>
  <c r="N90" i="7"/>
  <c r="Q90" i="7" s="1"/>
  <c r="N105" i="7" s="1"/>
  <c r="Q105" i="7" s="1"/>
  <c r="N120" i="7" s="1"/>
  <c r="Q120" i="7" s="1"/>
  <c r="N135" i="7" s="1"/>
  <c r="Q135" i="7" s="1"/>
  <c r="N150" i="7" s="1"/>
  <c r="Q150" i="7" s="1"/>
  <c r="G576" i="17"/>
  <c r="I576" i="17"/>
  <c r="I560" i="17"/>
  <c r="G560" i="17"/>
  <c r="G548" i="17"/>
  <c r="I548" i="17"/>
  <c r="I368" i="17"/>
  <c r="G368" i="17"/>
  <c r="G169" i="17"/>
  <c r="I169" i="17"/>
  <c r="G128" i="17"/>
  <c r="I128" i="17"/>
  <c r="G16" i="17"/>
  <c r="I16" i="17"/>
  <c r="G4" i="17"/>
  <c r="I4" i="17"/>
  <c r="CG21" i="21"/>
  <c r="CF21" i="21"/>
  <c r="S16" i="21"/>
  <c r="R16" i="21"/>
  <c r="I581" i="17"/>
  <c r="G581" i="17"/>
  <c r="I579" i="17"/>
  <c r="L570" i="17"/>
  <c r="I532" i="17"/>
  <c r="G532" i="17"/>
  <c r="I504" i="17"/>
  <c r="I490" i="17"/>
  <c r="L490" i="17"/>
  <c r="G379" i="17"/>
  <c r="I379" i="17"/>
  <c r="G290" i="17"/>
  <c r="I290" i="17"/>
  <c r="I235" i="17"/>
  <c r="G235" i="17"/>
  <c r="I148" i="17"/>
  <c r="G148" i="17"/>
  <c r="DD22" i="21"/>
  <c r="DE22" i="21"/>
  <c r="I563" i="17"/>
  <c r="G563" i="17"/>
  <c r="G556" i="17"/>
  <c r="I556" i="17"/>
  <c r="I547" i="17"/>
  <c r="G547" i="17"/>
  <c r="I539" i="17"/>
  <c r="G539" i="17"/>
  <c r="I384" i="17"/>
  <c r="G384" i="17"/>
  <c r="G170" i="17"/>
  <c r="I170" i="17"/>
  <c r="I21" i="17"/>
  <c r="G21" i="17"/>
  <c r="G5" i="17"/>
  <c r="I5" i="17"/>
  <c r="R17" i="21"/>
  <c r="S17" i="21"/>
  <c r="I569" i="17"/>
  <c r="G569" i="17"/>
  <c r="G557" i="17"/>
  <c r="I525" i="17"/>
  <c r="G525" i="17"/>
  <c r="I462" i="17"/>
  <c r="G462" i="17"/>
  <c r="I351" i="17"/>
  <c r="G351" i="17"/>
  <c r="G257" i="17"/>
  <c r="I257" i="17"/>
  <c r="G251" i="17"/>
  <c r="I251" i="17"/>
  <c r="G173" i="17"/>
  <c r="I173" i="17"/>
  <c r="CR22" i="21"/>
  <c r="CS22" i="21"/>
  <c r="BN21" i="21"/>
  <c r="BO21" i="21"/>
  <c r="CF20" i="21"/>
  <c r="CI20" i="21" s="1"/>
  <c r="CG20" i="21"/>
  <c r="L489" i="17"/>
  <c r="I571" i="17"/>
  <c r="F501" i="17"/>
  <c r="F493" i="17"/>
  <c r="I489" i="17"/>
  <c r="G446" i="17"/>
  <c r="I344" i="17"/>
  <c r="G325" i="17"/>
  <c r="I319" i="17"/>
  <c r="G312" i="17"/>
  <c r="I276" i="17"/>
  <c r="G197" i="17"/>
  <c r="I116" i="17"/>
  <c r="I108" i="17"/>
  <c r="AR13" i="21"/>
  <c r="M11" i="21"/>
  <c r="L500" i="17"/>
  <c r="F500" i="17"/>
  <c r="L492" i="17"/>
  <c r="G328" i="17"/>
  <c r="I256" i="17"/>
  <c r="G154" i="17"/>
  <c r="I99" i="17"/>
  <c r="I80" i="17"/>
  <c r="G25" i="17"/>
  <c r="BI22" i="21"/>
  <c r="AQ22" i="21"/>
  <c r="BB20" i="21"/>
  <c r="BD20" i="21" s="1"/>
  <c r="S19" i="21"/>
  <c r="AK18" i="21"/>
  <c r="CM14" i="21"/>
  <c r="DF13" i="21"/>
  <c r="AQ13" i="21"/>
  <c r="CG9" i="21"/>
  <c r="AK9" i="21"/>
  <c r="M8" i="21"/>
  <c r="CG7" i="21"/>
  <c r="DE6" i="21"/>
  <c r="AK5" i="21"/>
  <c r="AE4" i="21"/>
  <c r="M4" i="21"/>
  <c r="BC3" i="21"/>
  <c r="T20" i="21"/>
  <c r="M18" i="21"/>
  <c r="BO13" i="21"/>
  <c r="AW13" i="21"/>
  <c r="S13" i="21"/>
  <c r="S11" i="21"/>
  <c r="C39" i="4"/>
  <c r="BM11" i="4"/>
  <c r="AI14" i="6"/>
  <c r="T14" i="10" s="1"/>
  <c r="M22" i="4"/>
  <c r="K22" i="4"/>
  <c r="V43" i="34" s="1"/>
  <c r="H22" i="4"/>
  <c r="Y39" i="4"/>
  <c r="W39" i="4"/>
  <c r="BE71" i="4"/>
  <c r="U39" i="4"/>
  <c r="Q59" i="7"/>
  <c r="R59" i="7" s="1"/>
  <c r="A89" i="4"/>
  <c r="BQ4" i="21"/>
  <c r="BP4" i="21"/>
  <c r="U6" i="21"/>
  <c r="T6" i="21"/>
  <c r="BD8" i="21"/>
  <c r="BE8" i="21"/>
  <c r="AF9" i="21"/>
  <c r="AG9" i="21"/>
  <c r="H10" i="21"/>
  <c r="I10" i="21"/>
  <c r="BD10" i="21"/>
  <c r="BE10" i="21"/>
  <c r="AF11" i="21"/>
  <c r="AG11" i="21"/>
  <c r="BD12" i="21"/>
  <c r="BE12" i="21"/>
  <c r="AF13" i="21"/>
  <c r="AG13" i="21"/>
  <c r="CC13" i="21"/>
  <c r="CB13" i="21"/>
  <c r="BW14" i="21"/>
  <c r="BV14" i="21"/>
  <c r="AA16" i="21"/>
  <c r="Z16" i="21"/>
  <c r="AA20" i="21"/>
  <c r="Z20" i="21"/>
  <c r="CU19" i="21"/>
  <c r="CT19" i="21"/>
  <c r="DA17" i="21"/>
  <c r="CZ17" i="21"/>
  <c r="CZ14" i="21"/>
  <c r="U5" i="21"/>
  <c r="T5" i="21"/>
  <c r="CC15" i="21"/>
  <c r="CB15" i="21"/>
  <c r="CU3" i="21"/>
  <c r="CT3" i="21"/>
  <c r="BW4" i="21"/>
  <c r="BV4" i="21"/>
  <c r="AY5" i="21"/>
  <c r="AX5" i="21"/>
  <c r="AA6" i="21"/>
  <c r="Z6" i="21"/>
  <c r="DS6" i="21"/>
  <c r="DR6" i="21"/>
  <c r="AA14" i="21"/>
  <c r="Z14" i="21"/>
  <c r="DS14" i="21"/>
  <c r="DR14" i="21"/>
  <c r="CU15" i="21"/>
  <c r="CT15" i="21"/>
  <c r="AA17" i="21"/>
  <c r="Z17" i="21"/>
  <c r="CC9" i="21"/>
  <c r="CZ8" i="21"/>
  <c r="AX15" i="21"/>
  <c r="CZ10" i="21"/>
  <c r="H8" i="21"/>
  <c r="BW17" i="21"/>
  <c r="BV17" i="21"/>
  <c r="BW18" i="21"/>
  <c r="BV18" i="21"/>
  <c r="BE15" i="21"/>
  <c r="BD15" i="21"/>
  <c r="DA15" i="21"/>
  <c r="CZ15" i="21"/>
  <c r="T183" i="10"/>
  <c r="AF186" i="7"/>
  <c r="AD99" i="7"/>
  <c r="AA99" i="3" s="1"/>
  <c r="AJ159" i="6"/>
  <c r="AH183" i="6"/>
  <c r="R99" i="10"/>
  <c r="AD91" i="7"/>
  <c r="AA91" i="3" s="1"/>
  <c r="AJ151" i="6"/>
  <c r="R91" i="10"/>
  <c r="AI175" i="6"/>
  <c r="R84" i="10"/>
  <c r="AJ144" i="6"/>
  <c r="R60" i="10"/>
  <c r="AJ120" i="6"/>
  <c r="R53" i="10"/>
  <c r="AH137" i="6"/>
  <c r="BV15" i="21"/>
  <c r="DR13" i="21"/>
  <c r="BD17" i="21"/>
  <c r="AF15" i="21"/>
  <c r="DL5" i="21"/>
  <c r="CC17" i="21"/>
  <c r="DS17" i="21"/>
  <c r="I21" i="21"/>
  <c r="DA21" i="21"/>
  <c r="AG22" i="21"/>
  <c r="CC22" i="21"/>
  <c r="AD122" i="7"/>
  <c r="AA122" i="3" s="1"/>
  <c r="AI206" i="6"/>
  <c r="AH206" i="6"/>
  <c r="AD104" i="7"/>
  <c r="AA104" i="3" s="1"/>
  <c r="AJ164" i="6"/>
  <c r="AH188" i="6"/>
  <c r="AI188" i="6"/>
  <c r="AJ123" i="6"/>
  <c r="AH147" i="6"/>
  <c r="R54" i="10"/>
  <c r="AJ114" i="6"/>
  <c r="AI138" i="6"/>
  <c r="AD54" i="7"/>
  <c r="AA54" i="3" s="1"/>
  <c r="R104" i="10"/>
  <c r="AI147" i="6"/>
  <c r="AJ135" i="6"/>
  <c r="AI166" i="6"/>
  <c r="AJ142" i="6"/>
  <c r="AD72" i="7"/>
  <c r="AA72" i="3" s="1"/>
  <c r="AH156" i="6"/>
  <c r="AJ132" i="6"/>
  <c r="F40" i="6"/>
  <c r="F38" i="6"/>
  <c r="F36" i="6"/>
  <c r="R108" i="10"/>
  <c r="AD108" i="7"/>
  <c r="AA108" i="3" s="1"/>
  <c r="AI192" i="6"/>
  <c r="AH192" i="6"/>
  <c r="AH180" i="6"/>
  <c r="AJ156" i="6"/>
  <c r="AD75" i="7"/>
  <c r="AA75" i="3" s="1"/>
  <c r="AH159" i="6"/>
  <c r="R43" i="10"/>
  <c r="AI127" i="6"/>
  <c r="V22" i="6"/>
  <c r="V35" i="6"/>
  <c r="AD63" i="7"/>
  <c r="AA63" i="3" s="1"/>
  <c r="AI202" i="6"/>
  <c r="AI200" i="6"/>
  <c r="AH196" i="6"/>
  <c r="AH194" i="6"/>
  <c r="AI186" i="6"/>
  <c r="AH178" i="6"/>
  <c r="AI171" i="6"/>
  <c r="AH167" i="6"/>
  <c r="AJ160" i="6"/>
  <c r="AJ152" i="6"/>
  <c r="AI139" i="6"/>
  <c r="AI134" i="6"/>
  <c r="AJ131" i="6"/>
  <c r="AJ128" i="6"/>
  <c r="AI126" i="6"/>
  <c r="AJ115" i="6"/>
  <c r="R92" i="10"/>
  <c r="R71" i="10"/>
  <c r="AD59" i="7"/>
  <c r="AA59" i="3" s="1"/>
  <c r="N652" i="7"/>
  <c r="R116" i="10"/>
  <c r="R42" i="10"/>
  <c r="A76" i="4"/>
  <c r="AF199" i="7"/>
  <c r="AH190" i="6"/>
  <c r="AJ147" i="6"/>
  <c r="AJ140" i="6"/>
  <c r="AD83" i="7"/>
  <c r="AA83" i="3" s="1"/>
  <c r="N644" i="7"/>
  <c r="Q644" i="7" s="1"/>
  <c r="N659" i="7" s="1"/>
  <c r="Q659" i="7" s="1"/>
  <c r="N674" i="7" s="1"/>
  <c r="Q674" i="7" s="1"/>
  <c r="N689" i="7" s="1"/>
  <c r="Q689" i="7" s="1"/>
  <c r="N538" i="7"/>
  <c r="Q538" i="7" s="1"/>
  <c r="N553" i="7" s="1"/>
  <c r="Q553" i="7" s="1"/>
  <c r="N568" i="7" s="1"/>
  <c r="Q568" i="7" s="1"/>
  <c r="G575" i="17"/>
  <c r="L554" i="17"/>
  <c r="I498" i="17"/>
  <c r="L498" i="17"/>
  <c r="I487" i="17"/>
  <c r="F487" i="17"/>
  <c r="G487" i="17"/>
  <c r="L487" i="17"/>
  <c r="F452" i="17"/>
  <c r="G415" i="17"/>
  <c r="I415" i="17"/>
  <c r="G392" i="17"/>
  <c r="I392" i="17"/>
  <c r="I287" i="17"/>
  <c r="F287" i="17"/>
  <c r="G201" i="17"/>
  <c r="I201" i="17"/>
  <c r="G190" i="17"/>
  <c r="I190" i="17"/>
  <c r="G186" i="17"/>
  <c r="I186" i="17"/>
  <c r="G118" i="17"/>
  <c r="I118" i="17"/>
  <c r="F585" i="17"/>
  <c r="I559" i="17"/>
  <c r="G559" i="17"/>
  <c r="I538" i="17"/>
  <c r="I522" i="17"/>
  <c r="L522" i="17"/>
  <c r="I506" i="17"/>
  <c r="G399" i="17"/>
  <c r="I399" i="17"/>
  <c r="I585" i="17"/>
  <c r="L582" i="17"/>
  <c r="I578" i="17"/>
  <c r="F577" i="17"/>
  <c r="L577" i="17"/>
  <c r="L553" i="17"/>
  <c r="I553" i="17"/>
  <c r="F553" i="17"/>
  <c r="I348" i="17"/>
  <c r="G348" i="17"/>
  <c r="I577" i="17"/>
  <c r="L574" i="17"/>
  <c r="I570" i="17"/>
  <c r="F569" i="17"/>
  <c r="G565" i="17"/>
  <c r="F565" i="17"/>
  <c r="I555" i="17"/>
  <c r="G555" i="17"/>
  <c r="I546" i="17"/>
  <c r="L546" i="17"/>
  <c r="I530" i="17"/>
  <c r="L530" i="17"/>
  <c r="I514" i="17"/>
  <c r="I492" i="17"/>
  <c r="G492" i="17"/>
  <c r="F492" i="17"/>
  <c r="G454" i="17"/>
  <c r="I454" i="17"/>
  <c r="G431" i="17"/>
  <c r="I431" i="17"/>
  <c r="G382" i="17"/>
  <c r="L382" i="17"/>
  <c r="DP11" i="21"/>
  <c r="DQ11" i="21"/>
  <c r="BU11" i="21"/>
  <c r="BT11" i="21"/>
  <c r="BJ11" i="21"/>
  <c r="BK11" i="21"/>
  <c r="CH10" i="21"/>
  <c r="CI10" i="21"/>
  <c r="N9" i="21"/>
  <c r="O9" i="21"/>
  <c r="AJ6" i="21"/>
  <c r="AK6" i="21"/>
  <c r="CF4" i="21"/>
  <c r="CG4" i="21"/>
  <c r="L3" i="21"/>
  <c r="M3" i="21"/>
  <c r="L545" i="17"/>
  <c r="L543" i="17"/>
  <c r="L536" i="17"/>
  <c r="L529" i="17"/>
  <c r="L527" i="17"/>
  <c r="L521" i="17"/>
  <c r="L520" i="17"/>
  <c r="L511" i="17"/>
  <c r="L504" i="17"/>
  <c r="L497" i="17"/>
  <c r="L496" i="17"/>
  <c r="L495" i="17"/>
  <c r="L486" i="17"/>
  <c r="I545" i="17"/>
  <c r="I544" i="17"/>
  <c r="I537" i="17"/>
  <c r="I536" i="17"/>
  <c r="I529" i="17"/>
  <c r="I528" i="17"/>
  <c r="I520" i="17"/>
  <c r="I513" i="17"/>
  <c r="I512" i="17"/>
  <c r="I507" i="17"/>
  <c r="L507" i="17"/>
  <c r="I501" i="17"/>
  <c r="L501" i="17"/>
  <c r="J432" i="17"/>
  <c r="J416" i="17"/>
  <c r="G414" i="17"/>
  <c r="J400" i="17"/>
  <c r="G398" i="17"/>
  <c r="I391" i="17"/>
  <c r="I335" i="17"/>
  <c r="G335" i="17"/>
  <c r="I317" i="17"/>
  <c r="G317" i="17"/>
  <c r="I308" i="17"/>
  <c r="G308" i="17"/>
  <c r="I293" i="17"/>
  <c r="G293" i="17"/>
  <c r="G253" i="17"/>
  <c r="I253" i="17"/>
  <c r="I233" i="17"/>
  <c r="G233" i="17"/>
  <c r="G174" i="17"/>
  <c r="I174" i="17"/>
  <c r="G130" i="17"/>
  <c r="I130" i="17"/>
  <c r="BJ20" i="21"/>
  <c r="BK20" i="21"/>
  <c r="DK19" i="21"/>
  <c r="DJ19" i="21"/>
  <c r="DM19" i="21" s="1"/>
  <c r="F549" i="17"/>
  <c r="F544" i="17"/>
  <c r="F537" i="17"/>
  <c r="F528" i="17"/>
  <c r="F519" i="17"/>
  <c r="F580" i="17"/>
  <c r="F572" i="17"/>
  <c r="I543" i="17"/>
  <c r="I535" i="17"/>
  <c r="I527" i="17"/>
  <c r="I519" i="17"/>
  <c r="K441" i="17"/>
  <c r="G441" i="17"/>
  <c r="I441" i="17"/>
  <c r="K409" i="17"/>
  <c r="G409" i="17"/>
  <c r="I409" i="17"/>
  <c r="K393" i="17"/>
  <c r="G393" i="17"/>
  <c r="I393" i="17"/>
  <c r="I383" i="17"/>
  <c r="G383" i="17"/>
  <c r="H381" i="17"/>
  <c r="L354" i="17"/>
  <c r="L338" i="17"/>
  <c r="G323" i="17"/>
  <c r="I323" i="17"/>
  <c r="I243" i="17"/>
  <c r="G243" i="17"/>
  <c r="I198" i="17"/>
  <c r="G198" i="17"/>
  <c r="G189" i="17"/>
  <c r="I189" i="17"/>
  <c r="G144" i="17"/>
  <c r="I144" i="17"/>
  <c r="G98" i="17"/>
  <c r="I98" i="17"/>
  <c r="I55" i="17"/>
  <c r="G55" i="17"/>
  <c r="G32" i="17"/>
  <c r="I32" i="17"/>
  <c r="F521" i="17"/>
  <c r="G511" i="17"/>
  <c r="F511" i="17"/>
  <c r="F505" i="17"/>
  <c r="G504" i="17"/>
  <c r="F504" i="17"/>
  <c r="G503" i="17"/>
  <c r="F497" i="17"/>
  <c r="G496" i="17"/>
  <c r="G495" i="17"/>
  <c r="F495" i="17"/>
  <c r="F448" i="17"/>
  <c r="I435" i="17"/>
  <c r="G435" i="17"/>
  <c r="I419" i="17"/>
  <c r="G419" i="17"/>
  <c r="I403" i="17"/>
  <c r="G403" i="17"/>
  <c r="L386" i="17"/>
  <c r="G372" i="17"/>
  <c r="I372" i="17"/>
  <c r="G367" i="17"/>
  <c r="I367" i="17"/>
  <c r="G294" i="17"/>
  <c r="I294" i="17"/>
  <c r="G239" i="17"/>
  <c r="I239" i="17"/>
  <c r="G225" i="17"/>
  <c r="I225" i="17"/>
  <c r="G165" i="17"/>
  <c r="I165" i="17"/>
  <c r="G103" i="17"/>
  <c r="I103" i="17"/>
  <c r="I119" i="17"/>
  <c r="G104" i="17"/>
  <c r="I104" i="17"/>
  <c r="G13" i="17"/>
  <c r="I13" i="17"/>
  <c r="AQ18" i="21"/>
  <c r="AP18" i="21"/>
  <c r="L15" i="21"/>
  <c r="O15" i="21" s="1"/>
  <c r="M15" i="21"/>
  <c r="DE14" i="21"/>
  <c r="DD14" i="21"/>
  <c r="CL12" i="21"/>
  <c r="CO12" i="21" s="1"/>
  <c r="CM12" i="21"/>
  <c r="I434" i="17"/>
  <c r="I418" i="17"/>
  <c r="I402" i="17"/>
  <c r="L334" i="17"/>
  <c r="I314" i="17"/>
  <c r="G296" i="17"/>
  <c r="I213" i="17"/>
  <c r="I205" i="17"/>
  <c r="G140" i="17"/>
  <c r="I140" i="17"/>
  <c r="G100" i="17"/>
  <c r="I100" i="17"/>
  <c r="G56" i="17"/>
  <c r="I56" i="17"/>
  <c r="G54" i="17"/>
  <c r="I54" i="17"/>
  <c r="G48" i="17"/>
  <c r="I48" i="17"/>
  <c r="G33" i="17"/>
  <c r="I33" i="17"/>
  <c r="I9" i="17"/>
  <c r="G9" i="17"/>
  <c r="BH18" i="21"/>
  <c r="BI18" i="21"/>
  <c r="CF16" i="21"/>
  <c r="CI16" i="21" s="1"/>
  <c r="CG16" i="21"/>
  <c r="BI16" i="21"/>
  <c r="BH16" i="21"/>
  <c r="G355" i="17"/>
  <c r="I331" i="17"/>
  <c r="I306" i="17"/>
  <c r="G302" i="17"/>
  <c r="I255" i="17"/>
  <c r="G249" i="17"/>
  <c r="I241" i="17"/>
  <c r="I214" i="17"/>
  <c r="G209" i="17"/>
  <c r="I206" i="17"/>
  <c r="G157" i="17"/>
  <c r="I157" i="17"/>
  <c r="G146" i="17"/>
  <c r="I146" i="17"/>
  <c r="G132" i="17"/>
  <c r="I132" i="17"/>
  <c r="G120" i="17"/>
  <c r="I120" i="17"/>
  <c r="G76" i="17"/>
  <c r="I76" i="17"/>
  <c r="G17" i="17"/>
  <c r="I17" i="17"/>
  <c r="G12" i="17"/>
  <c r="I12" i="17"/>
  <c r="CG17" i="21"/>
  <c r="CF17" i="21"/>
  <c r="CF11" i="21"/>
  <c r="DF7" i="21"/>
  <c r="DG7" i="21"/>
  <c r="I92" i="17"/>
  <c r="I84" i="17"/>
  <c r="I60" i="17"/>
  <c r="I58" i="17"/>
  <c r="I44" i="17"/>
  <c r="I42" i="17"/>
  <c r="I40" i="17"/>
  <c r="I28" i="17"/>
  <c r="G8" i="17"/>
  <c r="I8" i="17"/>
  <c r="CF22" i="21"/>
  <c r="DD21" i="21"/>
  <c r="L21" i="21"/>
  <c r="BT20" i="21"/>
  <c r="BQ19" i="21"/>
  <c r="DD18" i="21"/>
  <c r="BN18" i="21"/>
  <c r="BO18" i="21"/>
  <c r="DJ17" i="21"/>
  <c r="DK17" i="21"/>
  <c r="DK12" i="21"/>
  <c r="DJ12" i="21"/>
  <c r="DM12" i="21" s="1"/>
  <c r="DF9" i="21"/>
  <c r="DG9" i="21"/>
  <c r="AL8" i="21"/>
  <c r="AM8" i="21"/>
  <c r="DJ22" i="21"/>
  <c r="DK22" i="21"/>
  <c r="R22" i="21"/>
  <c r="S22" i="21"/>
  <c r="AP21" i="21"/>
  <c r="AQ21" i="21"/>
  <c r="BO16" i="21"/>
  <c r="BN16" i="21"/>
  <c r="DK14" i="21"/>
  <c r="DJ14" i="21"/>
  <c r="BJ13" i="21"/>
  <c r="BH12" i="21"/>
  <c r="BK12" i="21" s="1"/>
  <c r="S12" i="21"/>
  <c r="T12" i="21"/>
  <c r="AP11" i="21"/>
  <c r="AQ11" i="21"/>
  <c r="BN10" i="21"/>
  <c r="BO10" i="21"/>
  <c r="CL9" i="21"/>
  <c r="CM9" i="21"/>
  <c r="DJ8" i="21"/>
  <c r="DK8" i="21"/>
  <c r="R8" i="21"/>
  <c r="S8" i="21"/>
  <c r="BC6" i="21"/>
  <c r="BB6" i="21"/>
  <c r="CY4" i="21"/>
  <c r="CX4" i="21"/>
  <c r="AE3" i="21"/>
  <c r="AD3" i="21"/>
  <c r="DJ16" i="21"/>
  <c r="DD16" i="21"/>
  <c r="AL16" i="21"/>
  <c r="AP15" i="21"/>
  <c r="AJ15" i="21"/>
  <c r="CH14" i="21"/>
  <c r="CH13" i="21"/>
  <c r="X12" i="21"/>
  <c r="L12" i="21"/>
  <c r="O12" i="21" s="1"/>
  <c r="DJ11" i="21"/>
  <c r="DK11" i="21"/>
  <c r="BP11" i="21"/>
  <c r="BQ11" i="21"/>
  <c r="O10" i="21"/>
  <c r="AM9" i="21"/>
  <c r="BK8" i="21"/>
  <c r="CM7" i="21"/>
  <c r="CL7" i="21"/>
  <c r="CX6" i="21"/>
  <c r="CG6" i="21"/>
  <c r="AK16" i="21"/>
  <c r="CG14" i="21"/>
  <c r="CG13" i="21"/>
  <c r="BN12" i="21"/>
  <c r="BO12" i="21"/>
  <c r="CL11" i="21"/>
  <c r="CO11" i="21" s="1"/>
  <c r="CM11" i="21"/>
  <c r="AQ7" i="21"/>
  <c r="AP7" i="21"/>
  <c r="CH12" i="21"/>
  <c r="AS12" i="21"/>
  <c r="CI9" i="21"/>
  <c r="O8" i="21"/>
  <c r="CI7" i="21"/>
  <c r="AM7" i="21"/>
  <c r="F6" i="21"/>
  <c r="DE5" i="21"/>
  <c r="BB4" i="21"/>
  <c r="AK4" i="21"/>
  <c r="DF11" i="21"/>
  <c r="BM53" i="4"/>
  <c r="AI54" i="6"/>
  <c r="BE51" i="4"/>
  <c r="B43" i="6"/>
  <c r="B31" i="6"/>
  <c r="D32" i="6"/>
  <c r="B42" i="6"/>
  <c r="N58" i="7" l="1"/>
  <c r="R43" i="7"/>
  <c r="N666" i="7"/>
  <c r="R651" i="7"/>
  <c r="Q110" i="7"/>
  <c r="R110" i="7" s="1"/>
  <c r="O110" i="7"/>
  <c r="Q319" i="7"/>
  <c r="O319" i="7"/>
  <c r="N109" i="7"/>
  <c r="R94" i="7"/>
  <c r="Q322" i="7"/>
  <c r="O322" i="7"/>
  <c r="Q96" i="7"/>
  <c r="O96" i="7"/>
  <c r="Q93" i="7"/>
  <c r="O93" i="7"/>
  <c r="Q652" i="7"/>
  <c r="O652" i="7"/>
  <c r="N60" i="7"/>
  <c r="R45" i="7"/>
  <c r="Q654" i="7"/>
  <c r="O654" i="7"/>
  <c r="N57" i="7"/>
  <c r="R42" i="7"/>
  <c r="AE175" i="7"/>
  <c r="C42" i="12"/>
  <c r="K106" i="16"/>
  <c r="L106" i="16" s="1"/>
  <c r="D599" i="17"/>
  <c r="K35" i="16"/>
  <c r="L35" i="16" s="1"/>
  <c r="K95" i="16"/>
  <c r="L95" i="16" s="1"/>
  <c r="Y223" i="10"/>
  <c r="X224" i="10"/>
  <c r="Y247" i="10"/>
  <c r="X248" i="10"/>
  <c r="Y165" i="10"/>
  <c r="X166" i="10"/>
  <c r="Y60" i="10"/>
  <c r="X61" i="10"/>
  <c r="Y61" i="10" s="1"/>
  <c r="X301" i="10"/>
  <c r="Y300" i="10"/>
  <c r="Y438" i="10"/>
  <c r="X439" i="10"/>
  <c r="X98" i="10"/>
  <c r="X93" i="10"/>
  <c r="Y92" i="10"/>
  <c r="X276" i="10"/>
  <c r="Y275" i="10"/>
  <c r="X122" i="10"/>
  <c r="Y116" i="10"/>
  <c r="X117" i="10"/>
  <c r="Y63" i="10"/>
  <c r="X64" i="10"/>
  <c r="X39" i="10"/>
  <c r="Y38" i="10"/>
  <c r="Y144" i="10"/>
  <c r="X145" i="10"/>
  <c r="Y388" i="10"/>
  <c r="X389" i="10"/>
  <c r="K54" i="16"/>
  <c r="L54" i="16" s="1"/>
  <c r="K104" i="16"/>
  <c r="L104" i="16" s="1"/>
  <c r="AI44" i="6"/>
  <c r="AF44" i="7" s="1"/>
  <c r="AC44" i="3" s="1"/>
  <c r="W44" i="34"/>
  <c r="AI24" i="6"/>
  <c r="T24" i="10" s="1"/>
  <c r="W24" i="34"/>
  <c r="X12" i="34"/>
  <c r="AH33" i="6"/>
  <c r="AE33" i="7" s="1"/>
  <c r="AB33" i="3" s="1"/>
  <c r="V33" i="34"/>
  <c r="X11" i="34"/>
  <c r="BA10" i="4"/>
  <c r="V13" i="34"/>
  <c r="AI84" i="6"/>
  <c r="AF84" i="7" s="1"/>
  <c r="AC84" i="3" s="1"/>
  <c r="W84" i="34"/>
  <c r="W13" i="34"/>
  <c r="BM31" i="4"/>
  <c r="W34" i="34"/>
  <c r="AH23" i="6"/>
  <c r="S23" i="10" s="1"/>
  <c r="V23" i="34"/>
  <c r="AH14" i="6"/>
  <c r="S14" i="10" s="1"/>
  <c r="V14" i="34"/>
  <c r="AE198" i="7"/>
  <c r="S131" i="10"/>
  <c r="U171" i="10"/>
  <c r="AG174" i="7"/>
  <c r="AF151" i="7"/>
  <c r="T148" i="10"/>
  <c r="C43" i="6"/>
  <c r="C42" i="6"/>
  <c r="C22" i="4"/>
  <c r="C31" i="6"/>
  <c r="T132" i="10"/>
  <c r="AE147" i="7"/>
  <c r="U117" i="10"/>
  <c r="U154" i="10"/>
  <c r="AH13" i="6"/>
  <c r="S13" i="10" s="1"/>
  <c r="T189" i="10"/>
  <c r="AF192" i="7"/>
  <c r="AF172" i="7"/>
  <c r="AG164" i="7"/>
  <c r="U161" i="10"/>
  <c r="AF176" i="7"/>
  <c r="T173" i="10"/>
  <c r="U157" i="10"/>
  <c r="AE158" i="7"/>
  <c r="K3" i="14"/>
  <c r="Y364" i="10"/>
  <c r="X365" i="10"/>
  <c r="X493" i="10"/>
  <c r="X197" i="10"/>
  <c r="Y196" i="10"/>
  <c r="K102" i="16"/>
  <c r="L102" i="16" s="1"/>
  <c r="K105" i="16"/>
  <c r="L105" i="16" s="1"/>
  <c r="K65" i="16"/>
  <c r="L65" i="16" s="1"/>
  <c r="K97" i="16"/>
  <c r="L97" i="16" s="1"/>
  <c r="K79" i="16"/>
  <c r="L79" i="16" s="1"/>
  <c r="AE131" i="7"/>
  <c r="BE20" i="21"/>
  <c r="T149" i="10"/>
  <c r="AF171" i="7"/>
  <c r="T168" i="10"/>
  <c r="AF74" i="7"/>
  <c r="AC74" i="3" s="1"/>
  <c r="AE211" i="7"/>
  <c r="T199" i="10"/>
  <c r="AF202" i="7"/>
  <c r="T172" i="10"/>
  <c r="AF175" i="7"/>
  <c r="G32" i="6"/>
  <c r="U134" i="10"/>
  <c r="AF204" i="7"/>
  <c r="AF140" i="7"/>
  <c r="T137" i="10"/>
  <c r="C53" i="4"/>
  <c r="C52" i="4"/>
  <c r="BE10" i="4"/>
  <c r="AG153" i="7"/>
  <c r="U127" i="10"/>
  <c r="T161" i="10"/>
  <c r="AJ11" i="6"/>
  <c r="U11" i="10" s="1"/>
  <c r="BI8" i="4"/>
  <c r="T204" i="10"/>
  <c r="AG133" i="7"/>
  <c r="S162" i="10"/>
  <c r="S171" i="10"/>
  <c r="AF144" i="7"/>
  <c r="T141" i="10"/>
  <c r="U158" i="10"/>
  <c r="K61" i="16"/>
  <c r="L61" i="16" s="1"/>
  <c r="K84" i="16"/>
  <c r="L84" i="16" s="1"/>
  <c r="K10" i="16"/>
  <c r="L10" i="16" s="1"/>
  <c r="K23" i="16"/>
  <c r="L23" i="16" s="1"/>
  <c r="K5" i="16"/>
  <c r="L5" i="16" s="1"/>
  <c r="K8" i="16"/>
  <c r="L8" i="16" s="1"/>
  <c r="K107" i="16"/>
  <c r="L107" i="16" s="1"/>
  <c r="K36" i="16"/>
  <c r="L36" i="16" s="1"/>
  <c r="K73" i="16"/>
  <c r="L73" i="16" s="1"/>
  <c r="K27" i="16"/>
  <c r="L27" i="16" s="1"/>
  <c r="K88" i="16"/>
  <c r="L88" i="16" s="1"/>
  <c r="K51" i="16"/>
  <c r="L51" i="16" s="1"/>
  <c r="K44" i="16"/>
  <c r="L44" i="16" s="1"/>
  <c r="K15" i="16"/>
  <c r="L15" i="16" s="1"/>
  <c r="K94" i="16"/>
  <c r="L94" i="16" s="1"/>
  <c r="K47" i="16"/>
  <c r="L47" i="16" s="1"/>
  <c r="K103" i="16"/>
  <c r="L103" i="16" s="1"/>
  <c r="K3" i="16"/>
  <c r="L3" i="16" s="1"/>
  <c r="K56" i="16"/>
  <c r="L56" i="16" s="1"/>
  <c r="K109" i="16"/>
  <c r="L109" i="16" s="1"/>
  <c r="K98" i="16"/>
  <c r="L98" i="16" s="1"/>
  <c r="K76" i="16"/>
  <c r="L76" i="16" s="1"/>
  <c r="K4" i="16"/>
  <c r="L4" i="16" s="1"/>
  <c r="K22" i="16"/>
  <c r="L22" i="16" s="1"/>
  <c r="K34" i="16"/>
  <c r="L34" i="16" s="1"/>
  <c r="K48" i="16"/>
  <c r="L48" i="16" s="1"/>
  <c r="K82" i="16"/>
  <c r="L82" i="16" s="1"/>
  <c r="K6" i="16"/>
  <c r="L6" i="16" s="1"/>
  <c r="K96" i="16"/>
  <c r="L96" i="16" s="1"/>
  <c r="K86" i="16"/>
  <c r="L86" i="16" s="1"/>
  <c r="K92" i="16"/>
  <c r="L92" i="16" s="1"/>
  <c r="K59" i="16"/>
  <c r="L59" i="16" s="1"/>
  <c r="K38" i="16"/>
  <c r="L38" i="16" s="1"/>
  <c r="K108" i="16"/>
  <c r="L108" i="16" s="1"/>
  <c r="K75" i="16"/>
  <c r="L75" i="16" s="1"/>
  <c r="K70" i="16"/>
  <c r="L70" i="16" s="1"/>
  <c r="K93" i="16"/>
  <c r="L93" i="16" s="1"/>
  <c r="K29" i="16"/>
  <c r="L29" i="16" s="1"/>
  <c r="K85" i="16"/>
  <c r="L85" i="16" s="1"/>
  <c r="K46" i="16"/>
  <c r="L46" i="16" s="1"/>
  <c r="K12" i="16"/>
  <c r="L12" i="16" s="1"/>
  <c r="K33" i="16"/>
  <c r="L33" i="16" s="1"/>
  <c r="K55" i="16"/>
  <c r="L55" i="16" s="1"/>
  <c r="K7" i="16"/>
  <c r="L7" i="16" s="1"/>
  <c r="K26" i="16"/>
  <c r="L26" i="16" s="1"/>
  <c r="K49" i="16"/>
  <c r="L49" i="16" s="1"/>
  <c r="K90" i="16"/>
  <c r="L90" i="16" s="1"/>
  <c r="K62" i="16"/>
  <c r="L62" i="16" s="1"/>
  <c r="K89" i="16"/>
  <c r="L89" i="16" s="1"/>
  <c r="K60" i="16"/>
  <c r="L60" i="16" s="1"/>
  <c r="K66" i="16"/>
  <c r="L66" i="16" s="1"/>
  <c r="K9" i="16"/>
  <c r="L9" i="16" s="1"/>
  <c r="K18" i="16"/>
  <c r="L18" i="16" s="1"/>
  <c r="K53" i="16"/>
  <c r="L53" i="16" s="1"/>
  <c r="K91" i="16"/>
  <c r="L91" i="16" s="1"/>
  <c r="K45" i="16"/>
  <c r="L45" i="16" s="1"/>
  <c r="K63" i="16"/>
  <c r="L63" i="16" s="1"/>
  <c r="K11" i="16"/>
  <c r="L11" i="16" s="1"/>
  <c r="K14" i="16"/>
  <c r="L14" i="16" s="1"/>
  <c r="K68" i="16"/>
  <c r="L68" i="16" s="1"/>
  <c r="K28" i="16"/>
  <c r="L28" i="16" s="1"/>
  <c r="K80" i="16"/>
  <c r="L80" i="16" s="1"/>
  <c r="K20" i="16"/>
  <c r="L20" i="16" s="1"/>
  <c r="K72" i="16"/>
  <c r="L72" i="16" s="1"/>
  <c r="L2" i="16"/>
  <c r="K57" i="16"/>
  <c r="L57" i="16" s="1"/>
  <c r="K50" i="16"/>
  <c r="L50" i="16" s="1"/>
  <c r="K16" i="16"/>
  <c r="L16" i="16" s="1"/>
  <c r="K42" i="16"/>
  <c r="L42" i="16" s="1"/>
  <c r="K87" i="16"/>
  <c r="L87" i="16" s="1"/>
  <c r="K30" i="16"/>
  <c r="L30" i="16" s="1"/>
  <c r="K24" i="16"/>
  <c r="L24" i="16" s="1"/>
  <c r="K31" i="16"/>
  <c r="L31" i="16" s="1"/>
  <c r="K40" i="16"/>
  <c r="L40" i="16" s="1"/>
  <c r="K58" i="16"/>
  <c r="L58" i="16" s="1"/>
  <c r="K19" i="16"/>
  <c r="L19" i="16" s="1"/>
  <c r="K52" i="16"/>
  <c r="L52" i="16" s="1"/>
  <c r="K37" i="16"/>
  <c r="L37" i="16" s="1"/>
  <c r="K64" i="16"/>
  <c r="L64" i="16" s="1"/>
  <c r="K71" i="16"/>
  <c r="L71" i="16" s="1"/>
  <c r="K78" i="16"/>
  <c r="L78" i="16" s="1"/>
  <c r="K83" i="16"/>
  <c r="L83" i="16" s="1"/>
  <c r="K21" i="16"/>
  <c r="L21" i="16" s="1"/>
  <c r="K81" i="16"/>
  <c r="L81" i="16" s="1"/>
  <c r="K32" i="16"/>
  <c r="L32" i="16" s="1"/>
  <c r="K39" i="16"/>
  <c r="L39" i="16" s="1"/>
  <c r="K13" i="16"/>
  <c r="L13" i="16" s="1"/>
  <c r="K17" i="16"/>
  <c r="L17" i="16" s="1"/>
  <c r="K74" i="16"/>
  <c r="L74" i="16" s="1"/>
  <c r="K25" i="16"/>
  <c r="L25" i="16" s="1"/>
  <c r="K41" i="16"/>
  <c r="L41" i="16" s="1"/>
  <c r="K99" i="16"/>
  <c r="L99" i="16" s="1"/>
  <c r="K77" i="16"/>
  <c r="L77" i="16" s="1"/>
  <c r="K100" i="16"/>
  <c r="L100" i="16" s="1"/>
  <c r="K43" i="16"/>
  <c r="L43" i="16" s="1"/>
  <c r="K69" i="16"/>
  <c r="L69" i="16" s="1"/>
  <c r="AG113" i="7"/>
  <c r="AD113" i="3" s="1"/>
  <c r="U113" i="10"/>
  <c r="N125" i="7"/>
  <c r="AE189" i="7"/>
  <c r="T153" i="10"/>
  <c r="AF156" i="7"/>
  <c r="F7" i="6"/>
  <c r="AE205" i="7"/>
  <c r="E48" i="12"/>
  <c r="BW12" i="21"/>
  <c r="BV12" i="21"/>
  <c r="C41" i="12"/>
  <c r="AJ12" i="6"/>
  <c r="AG12" i="7" s="1"/>
  <c r="AD12" i="3" s="1"/>
  <c r="BI9" i="4"/>
  <c r="BA11" i="4"/>
  <c r="C23" i="4"/>
  <c r="F22" i="4"/>
  <c r="BA20" i="4"/>
  <c r="AG168" i="7"/>
  <c r="U165" i="10"/>
  <c r="AF159" i="7"/>
  <c r="T156" i="10"/>
  <c r="AE179" i="7"/>
  <c r="S176" i="10"/>
  <c r="AE201" i="7"/>
  <c r="AF185" i="7"/>
  <c r="CO15" i="21"/>
  <c r="CN15" i="21"/>
  <c r="T131" i="10"/>
  <c r="AF134" i="7"/>
  <c r="T184" i="10"/>
  <c r="AF187" i="7"/>
  <c r="AE187" i="7"/>
  <c r="S184" i="10"/>
  <c r="AF168" i="7"/>
  <c r="T165" i="10"/>
  <c r="AF167" i="7"/>
  <c r="T164" i="10"/>
  <c r="AE155" i="7"/>
  <c r="S152" i="10"/>
  <c r="CN18" i="21"/>
  <c r="CO18" i="21"/>
  <c r="AF206" i="7"/>
  <c r="T203" i="10"/>
  <c r="AG121" i="7"/>
  <c r="AD121" i="3" s="1"/>
  <c r="U121" i="10"/>
  <c r="S135" i="10"/>
  <c r="AE138" i="7"/>
  <c r="S132" i="10"/>
  <c r="AE135" i="7"/>
  <c r="AF210" i="7"/>
  <c r="T207" i="10"/>
  <c r="AG156" i="7"/>
  <c r="U153" i="10"/>
  <c r="T180" i="10"/>
  <c r="AF183" i="7"/>
  <c r="C38" i="4"/>
  <c r="BM10" i="4"/>
  <c r="AF64" i="7"/>
  <c r="AC64" i="3" s="1"/>
  <c r="BE41" i="4"/>
  <c r="K67" i="16"/>
  <c r="L67" i="16" s="1"/>
  <c r="C48" i="12"/>
  <c r="K2" i="15"/>
  <c r="DS22" i="21"/>
  <c r="DR22" i="21"/>
  <c r="L39" i="4"/>
  <c r="BM21" i="4"/>
  <c r="I39" i="4"/>
  <c r="BM41" i="4"/>
  <c r="E47" i="12"/>
  <c r="C47" i="12"/>
  <c r="Q547" i="7"/>
  <c r="CH20" i="21"/>
  <c r="BP15" i="21"/>
  <c r="BQ15" i="21"/>
  <c r="DL21" i="21"/>
  <c r="DM21" i="21"/>
  <c r="Q321" i="7"/>
  <c r="R321" i="7" s="1"/>
  <c r="BP14" i="21"/>
  <c r="BQ14" i="21"/>
  <c r="AR17" i="21"/>
  <c r="AS17" i="21"/>
  <c r="AI13" i="6"/>
  <c r="AF13" i="7" s="1"/>
  <c r="AC13" i="3" s="1"/>
  <c r="F39" i="4"/>
  <c r="BE21" i="4"/>
  <c r="AF188" i="7"/>
  <c r="T185" i="10"/>
  <c r="AG148" i="7"/>
  <c r="U145" i="10"/>
  <c r="AG132" i="7"/>
  <c r="U129" i="10"/>
  <c r="AF128" i="7"/>
  <c r="T125" i="10"/>
  <c r="T181" i="10"/>
  <c r="AF184" i="7"/>
  <c r="U141" i="10"/>
  <c r="AG144" i="7"/>
  <c r="U125" i="10"/>
  <c r="AG128" i="7"/>
  <c r="AG177" i="7"/>
  <c r="U174" i="10"/>
  <c r="T159" i="10"/>
  <c r="AF162" i="7"/>
  <c r="AF180" i="7"/>
  <c r="T177" i="10"/>
  <c r="AG140" i="7"/>
  <c r="U137" i="10"/>
  <c r="AF148" i="7"/>
  <c r="T145" i="10"/>
  <c r="AI34" i="6"/>
  <c r="BE31" i="4"/>
  <c r="AE130" i="7"/>
  <c r="S127" i="10"/>
  <c r="AG152" i="7"/>
  <c r="U149" i="10"/>
  <c r="U133" i="10"/>
  <c r="AG136" i="7"/>
  <c r="AG111" i="7"/>
  <c r="AD111" i="3" s="1"/>
  <c r="U111" i="10"/>
  <c r="AE132" i="7"/>
  <c r="S129" i="10"/>
  <c r="S170" i="10"/>
  <c r="AE173" i="7"/>
  <c r="AG176" i="7"/>
  <c r="U173" i="10"/>
  <c r="S136" i="10"/>
  <c r="AE139" i="7"/>
  <c r="T133" i="10"/>
  <c r="AF136" i="7"/>
  <c r="T140" i="10"/>
  <c r="AF143" i="7"/>
  <c r="AG112" i="7"/>
  <c r="AD112" i="3" s="1"/>
  <c r="U112" i="10"/>
  <c r="AE149" i="7"/>
  <c r="U105" i="10"/>
  <c r="AG105" i="7"/>
  <c r="AD105" i="3" s="1"/>
  <c r="S197" i="10"/>
  <c r="AE200" i="7"/>
  <c r="S140" i="10"/>
  <c r="AE143" i="7"/>
  <c r="AE153" i="7"/>
  <c r="S150" i="10"/>
  <c r="T158" i="10"/>
  <c r="AF161" i="7"/>
  <c r="S193" i="10"/>
  <c r="AE196" i="7"/>
  <c r="U138" i="10"/>
  <c r="AG141" i="7"/>
  <c r="S133" i="10"/>
  <c r="AE136" i="7"/>
  <c r="AG116" i="7"/>
  <c r="AD116" i="3" s="1"/>
  <c r="U116" i="10"/>
  <c r="AF139" i="7"/>
  <c r="T136" i="10"/>
  <c r="T129" i="10"/>
  <c r="AF132" i="7"/>
  <c r="AE157" i="7"/>
  <c r="S154" i="10"/>
  <c r="U166" i="10"/>
  <c r="AG169" i="7"/>
  <c r="U109" i="10"/>
  <c r="AG109" i="7"/>
  <c r="AD109" i="3" s="1"/>
  <c r="U162" i="10"/>
  <c r="AG165" i="7"/>
  <c r="U169" i="10"/>
  <c r="AG172" i="7"/>
  <c r="F20" i="6"/>
  <c r="S205" i="10"/>
  <c r="AE208" i="7"/>
  <c r="AF194" i="7"/>
  <c r="T191" i="10"/>
  <c r="S160" i="10"/>
  <c r="AE163" i="7"/>
  <c r="U136" i="10"/>
  <c r="AG139" i="7"/>
  <c r="U101" i="10"/>
  <c r="AG101" i="7"/>
  <c r="AD101" i="3" s="1"/>
  <c r="T155" i="10"/>
  <c r="AF158" i="7"/>
  <c r="AG180" i="7"/>
  <c r="U177" i="10"/>
  <c r="U103" i="10"/>
  <c r="AG103" i="7"/>
  <c r="AD103" i="3" s="1"/>
  <c r="U155" i="10"/>
  <c r="AG158" i="7"/>
  <c r="T162" i="10"/>
  <c r="AF165" i="7"/>
  <c r="AF208" i="7"/>
  <c r="T205" i="10"/>
  <c r="S201" i="10"/>
  <c r="AE204" i="7"/>
  <c r="U163" i="10"/>
  <c r="AG166" i="7"/>
  <c r="T176" i="10"/>
  <c r="AF179" i="7"/>
  <c r="AG181" i="7"/>
  <c r="U178" i="10"/>
  <c r="T163" i="10"/>
  <c r="AF166" i="7"/>
  <c r="U181" i="10"/>
  <c r="AG184" i="7"/>
  <c r="S187" i="10"/>
  <c r="AE190" i="7"/>
  <c r="AF133" i="7"/>
  <c r="T130" i="10"/>
  <c r="T174" i="10"/>
  <c r="AF177" i="7"/>
  <c r="AF200" i="7"/>
  <c r="T197" i="10"/>
  <c r="T193" i="10"/>
  <c r="AF196" i="7"/>
  <c r="T160" i="10"/>
  <c r="AF163" i="7"/>
  <c r="U170" i="10"/>
  <c r="AG173" i="7"/>
  <c r="T179" i="10"/>
  <c r="AF182" i="7"/>
  <c r="N15" i="21"/>
  <c r="G53" i="4"/>
  <c r="E53" i="4"/>
  <c r="X20" i="34" s="1"/>
  <c r="G38" i="4"/>
  <c r="E38" i="4"/>
  <c r="W23" i="34" s="1"/>
  <c r="S138" i="10"/>
  <c r="AE141" i="7"/>
  <c r="G52" i="4"/>
  <c r="E52" i="4"/>
  <c r="X19" i="34" s="1"/>
  <c r="G23" i="4"/>
  <c r="E23" i="4"/>
  <c r="V24" i="34" s="1"/>
  <c r="S166" i="10"/>
  <c r="AE169" i="7"/>
  <c r="AF211" i="7"/>
  <c r="T208" i="10"/>
  <c r="BD22" i="21"/>
  <c r="H16" i="21"/>
  <c r="AR4" i="21"/>
  <c r="AS3" i="21"/>
  <c r="U4" i="21"/>
  <c r="BQ6" i="21"/>
  <c r="U7" i="21"/>
  <c r="BW3" i="21"/>
  <c r="AY4" i="21"/>
  <c r="AA5" i="21"/>
  <c r="DS5" i="21"/>
  <c r="CU6" i="21"/>
  <c r="I15" i="21"/>
  <c r="AA18" i="21"/>
  <c r="DS18" i="21"/>
  <c r="BW19" i="21"/>
  <c r="AY16" i="21"/>
  <c r="AY17" i="21"/>
  <c r="AD50" i="7"/>
  <c r="AA50" i="3" s="1"/>
  <c r="AJ110" i="6"/>
  <c r="AD64" i="7"/>
  <c r="AA64" i="3" s="1"/>
  <c r="R50" i="10"/>
  <c r="AH204" i="6"/>
  <c r="AH199" i="6"/>
  <c r="AH182" i="6"/>
  <c r="AH179" i="6"/>
  <c r="AH174" i="6"/>
  <c r="AI167" i="6"/>
  <c r="AH163" i="6"/>
  <c r="AJ143" i="6"/>
  <c r="AJ139" i="6"/>
  <c r="AI128" i="6"/>
  <c r="U179" i="10"/>
  <c r="AG182" i="7"/>
  <c r="AD116" i="7"/>
  <c r="AA116" i="3" s="1"/>
  <c r="AJ176" i="6"/>
  <c r="R67" i="10"/>
  <c r="AD67" i="7"/>
  <c r="AA67" i="3" s="1"/>
  <c r="AI151" i="6"/>
  <c r="R59" i="10"/>
  <c r="AJ119" i="6"/>
  <c r="AH143" i="6"/>
  <c r="R55" i="10"/>
  <c r="AH139" i="6"/>
  <c r="AE133" i="7"/>
  <c r="N86" i="7"/>
  <c r="Q86" i="7" s="1"/>
  <c r="N101" i="7" s="1"/>
  <c r="Q101" i="7" s="1"/>
  <c r="N116" i="7" s="1"/>
  <c r="Q116" i="7" s="1"/>
  <c r="N131" i="7" s="1"/>
  <c r="Q131" i="7" s="1"/>
  <c r="N146" i="7" s="1"/>
  <c r="Q146" i="7" s="1"/>
  <c r="N546" i="7"/>
  <c r="Q546" i="7" s="1"/>
  <c r="N561" i="7" s="1"/>
  <c r="Q561" i="7" s="1"/>
  <c r="N576" i="7" s="1"/>
  <c r="Q576" i="7" s="1"/>
  <c r="N320" i="7"/>
  <c r="AF18" i="21"/>
  <c r="AX14" i="21"/>
  <c r="CN4" i="21"/>
  <c r="DF19" i="21"/>
  <c r="H22" i="21"/>
  <c r="CB7" i="21"/>
  <c r="BD16" i="21"/>
  <c r="DM4" i="21"/>
  <c r="F33" i="6"/>
  <c r="AH191" i="6"/>
  <c r="AJ183" i="6"/>
  <c r="AI178" i="6"/>
  <c r="AJ124" i="6"/>
  <c r="AJ118" i="6"/>
  <c r="R112" i="10"/>
  <c r="AJ172" i="6"/>
  <c r="AI150" i="6"/>
  <c r="AJ126" i="6"/>
  <c r="AJ122" i="6"/>
  <c r="AI146" i="6"/>
  <c r="AD112" i="7"/>
  <c r="AA112" i="3" s="1"/>
  <c r="AD80" i="7"/>
  <c r="AA80" i="3" s="1"/>
  <c r="CB19" i="21"/>
  <c r="CB14" i="21"/>
  <c r="CB11" i="21"/>
  <c r="AF21" i="21"/>
  <c r="AX18" i="21"/>
  <c r="BD14" i="21"/>
  <c r="CN6" i="21"/>
  <c r="AR5" i="21"/>
  <c r="DL6" i="21"/>
  <c r="AA3" i="21"/>
  <c r="DS3" i="21"/>
  <c r="CU4" i="21"/>
  <c r="BW5" i="21"/>
  <c r="AY6" i="21"/>
  <c r="AA7" i="21"/>
  <c r="BD21" i="21"/>
  <c r="AI190" i="6"/>
  <c r="AJ180" i="6"/>
  <c r="AI170" i="6"/>
  <c r="AH158" i="6"/>
  <c r="AI154" i="6"/>
  <c r="AJ146" i="6"/>
  <c r="AH142" i="6"/>
  <c r="AH134" i="6"/>
  <c r="AD124" i="7"/>
  <c r="AA124" i="3" s="1"/>
  <c r="AJ184" i="6"/>
  <c r="R79" i="10"/>
  <c r="AD42" i="7"/>
  <c r="AA42" i="3" s="1"/>
  <c r="AJ102" i="6"/>
  <c r="AF201" i="7"/>
  <c r="AD44" i="7"/>
  <c r="AA44" i="3" s="1"/>
  <c r="R120" i="10"/>
  <c r="I566" i="17"/>
  <c r="L566" i="17"/>
  <c r="I550" i="17"/>
  <c r="L550" i="17"/>
  <c r="I509" i="17"/>
  <c r="F509" i="17"/>
  <c r="I499" i="17"/>
  <c r="G499" i="17"/>
  <c r="G451" i="17"/>
  <c r="I451" i="17"/>
  <c r="I347" i="17"/>
  <c r="G347" i="17"/>
  <c r="G339" i="17"/>
  <c r="I339" i="17"/>
  <c r="I324" i="17"/>
  <c r="G324" i="17"/>
  <c r="G320" i="17"/>
  <c r="I320" i="17"/>
  <c r="G288" i="17"/>
  <c r="I288" i="17"/>
  <c r="I282" i="17"/>
  <c r="G282" i="17"/>
  <c r="K288" i="17"/>
  <c r="L282" i="17"/>
  <c r="H282" i="17"/>
  <c r="L555" i="17"/>
  <c r="L542" i="17"/>
  <c r="L578" i="17"/>
  <c r="G535" i="17"/>
  <c r="I523" i="17"/>
  <c r="G523" i="17"/>
  <c r="F523" i="17"/>
  <c r="L516" i="17"/>
  <c r="G516" i="17"/>
  <c r="I491" i="17"/>
  <c r="G371" i="17"/>
  <c r="I371" i="17"/>
  <c r="I352" i="17"/>
  <c r="G352" i="17"/>
  <c r="G327" i="17"/>
  <c r="I327" i="17"/>
  <c r="G292" i="17"/>
  <c r="I292" i="17"/>
  <c r="K282" i="17"/>
  <c r="F282" i="17"/>
  <c r="L506" i="17"/>
  <c r="L499" i="17"/>
  <c r="G580" i="17"/>
  <c r="G561" i="17"/>
  <c r="I561" i="17"/>
  <c r="I551" i="17"/>
  <c r="G551" i="17"/>
  <c r="I541" i="17"/>
  <c r="G541" i="17"/>
  <c r="I517" i="17"/>
  <c r="F517" i="17"/>
  <c r="L517" i="17"/>
  <c r="G500" i="17"/>
  <c r="I500" i="17"/>
  <c r="I496" i="17"/>
  <c r="G443" i="17"/>
  <c r="I443" i="17"/>
  <c r="G388" i="17"/>
  <c r="I388" i="17"/>
  <c r="G321" i="17"/>
  <c r="I321" i="17"/>
  <c r="I310" i="17"/>
  <c r="G310" i="17"/>
  <c r="L369" i="17"/>
  <c r="L580" i="17"/>
  <c r="L518" i="17"/>
  <c r="G572" i="17"/>
  <c r="I572" i="17"/>
  <c r="I540" i="17"/>
  <c r="I531" i="17"/>
  <c r="G531" i="17"/>
  <c r="G529" i="17"/>
  <c r="F529" i="17"/>
  <c r="G520" i="17"/>
  <c r="F520" i="17"/>
  <c r="I516" i="17"/>
  <c r="I503" i="17"/>
  <c r="L503" i="17"/>
  <c r="G395" i="17"/>
  <c r="I395" i="17"/>
  <c r="I363" i="17"/>
  <c r="G363" i="17"/>
  <c r="I226" i="17"/>
  <c r="G226" i="17"/>
  <c r="I182" i="17"/>
  <c r="G182" i="17"/>
  <c r="G124" i="17"/>
  <c r="I124" i="17"/>
  <c r="G90" i="17"/>
  <c r="I90" i="17"/>
  <c r="G20" i="17"/>
  <c r="I20" i="17"/>
  <c r="CL17" i="21"/>
  <c r="CM17" i="21"/>
  <c r="AJ13" i="21"/>
  <c r="AM13" i="21" s="1"/>
  <c r="T13" i="21"/>
  <c r="U13" i="21"/>
  <c r="BH6" i="21"/>
  <c r="BI6" i="21"/>
  <c r="G4" i="21"/>
  <c r="F4" i="21"/>
  <c r="G397" i="17"/>
  <c r="I397" i="17"/>
  <c r="G240" i="17"/>
  <c r="I240" i="17"/>
  <c r="I202" i="17"/>
  <c r="G202" i="17"/>
  <c r="G152" i="17"/>
  <c r="I152" i="17"/>
  <c r="G135" i="17"/>
  <c r="I135" i="17"/>
  <c r="I112" i="17"/>
  <c r="G112" i="17"/>
  <c r="G59" i="17"/>
  <c r="I59" i="17"/>
  <c r="I36" i="17"/>
  <c r="G36" i="17"/>
  <c r="AW21" i="21"/>
  <c r="AV21" i="21"/>
  <c r="CL19" i="21"/>
  <c r="CM19" i="21"/>
  <c r="BJ7" i="21"/>
  <c r="BK7" i="21"/>
  <c r="DD4" i="21"/>
  <c r="DE4" i="21"/>
  <c r="I450" i="17"/>
  <c r="G450" i="17"/>
  <c r="G413" i="17"/>
  <c r="I413" i="17"/>
  <c r="I411" i="17"/>
  <c r="I407" i="17"/>
  <c r="G360" i="17"/>
  <c r="I360" i="17"/>
  <c r="I336" i="17"/>
  <c r="G336" i="17"/>
  <c r="G332" i="17"/>
  <c r="I237" i="17"/>
  <c r="I229" i="17"/>
  <c r="G185" i="17"/>
  <c r="I185" i="17"/>
  <c r="G150" i="17"/>
  <c r="I150" i="17"/>
  <c r="I41" i="17"/>
  <c r="G41" i="17"/>
  <c r="G37" i="17"/>
  <c r="AP19" i="21"/>
  <c r="AS19" i="21" s="1"/>
  <c r="AQ19" i="21"/>
  <c r="CF18" i="21"/>
  <c r="CG18" i="21"/>
  <c r="AP16" i="21"/>
  <c r="AQ16" i="21"/>
  <c r="DD15" i="21"/>
  <c r="DG15" i="21" s="1"/>
  <c r="DE15" i="21"/>
  <c r="AL12" i="21"/>
  <c r="AM12" i="21"/>
  <c r="N11" i="21"/>
  <c r="O11" i="21"/>
  <c r="BH10" i="21"/>
  <c r="BI10" i="21"/>
  <c r="DD8" i="21"/>
  <c r="DE8" i="21"/>
  <c r="F512" i="17"/>
  <c r="L509" i="17"/>
  <c r="L502" i="17"/>
  <c r="F488" i="17"/>
  <c r="F513" i="17"/>
  <c r="I447" i="17"/>
  <c r="I359" i="17"/>
  <c r="I356" i="17"/>
  <c r="G356" i="17"/>
  <c r="G286" i="17"/>
  <c r="G277" i="17"/>
  <c r="I230" i="17"/>
  <c r="I177" i="17"/>
  <c r="G153" i="17"/>
  <c r="I153" i="17"/>
  <c r="I151" i="17"/>
  <c r="I136" i="17"/>
  <c r="G136" i="17"/>
  <c r="G107" i="17"/>
  <c r="G82" i="17"/>
  <c r="I82" i="17"/>
  <c r="G52" i="17"/>
  <c r="I52" i="17"/>
  <c r="I24" i="17"/>
  <c r="G24" i="17"/>
  <c r="BN22" i="21"/>
  <c r="BO22" i="21"/>
  <c r="CS20" i="21"/>
  <c r="BO20" i="21"/>
  <c r="BN20" i="21"/>
  <c r="AK17" i="21"/>
  <c r="AJ17" i="21"/>
  <c r="AJ14" i="21"/>
  <c r="AM14" i="21" s="1"/>
  <c r="AK14" i="21"/>
  <c r="BQ13" i="21"/>
  <c r="DJ10" i="21"/>
  <c r="DK10" i="21"/>
  <c r="G210" i="17"/>
  <c r="G166" i="17"/>
  <c r="I43" i="17"/>
  <c r="G29" i="17"/>
  <c r="CL22" i="21"/>
  <c r="BU22" i="21"/>
  <c r="DQ21" i="21"/>
  <c r="CL21" i="21"/>
  <c r="X21" i="21"/>
  <c r="DK18" i="21"/>
  <c r="DJ18" i="21"/>
  <c r="AM18" i="21"/>
  <c r="DJ15" i="21"/>
  <c r="CG15" i="21"/>
  <c r="CF15" i="21"/>
  <c r="R15" i="21"/>
  <c r="AP14" i="21"/>
  <c r="AQ14" i="21"/>
  <c r="CL13" i="21"/>
  <c r="CM13" i="21"/>
  <c r="CR12" i="21"/>
  <c r="CS12" i="21"/>
  <c r="AJ11" i="21"/>
  <c r="AK11" i="21"/>
  <c r="DD10" i="21"/>
  <c r="DE10" i="21"/>
  <c r="AL10" i="21"/>
  <c r="AM10" i="21"/>
  <c r="CH8" i="21"/>
  <c r="CI8" i="21"/>
  <c r="L7" i="21"/>
  <c r="M7" i="21"/>
  <c r="BH5" i="21"/>
  <c r="BI5" i="21"/>
  <c r="AJ3" i="21"/>
  <c r="AK3" i="21"/>
  <c r="AJ22" i="21"/>
  <c r="AK22" i="21"/>
  <c r="BT21" i="21"/>
  <c r="BU21" i="21"/>
  <c r="BH21" i="21"/>
  <c r="BI21" i="21"/>
  <c r="BZ20" i="21"/>
  <c r="CC20" i="21" s="1"/>
  <c r="AJ20" i="21"/>
  <c r="AM20" i="21" s="1"/>
  <c r="L19" i="21"/>
  <c r="O19" i="21" s="1"/>
  <c r="M19" i="21"/>
  <c r="L17" i="21"/>
  <c r="O17" i="21" s="1"/>
  <c r="M16" i="21"/>
  <c r="L16" i="21"/>
  <c r="BH15" i="21"/>
  <c r="BK15" i="21" s="1"/>
  <c r="BI15" i="21"/>
  <c r="R10" i="21"/>
  <c r="S10" i="21"/>
  <c r="DK9" i="21"/>
  <c r="DJ9" i="21"/>
  <c r="BJ9" i="21"/>
  <c r="BK9" i="21"/>
  <c r="BN8" i="21"/>
  <c r="BO8" i="21"/>
  <c r="AQ8" i="21"/>
  <c r="AP8" i="21"/>
  <c r="AE7" i="21"/>
  <c r="AD7" i="21"/>
  <c r="CA5" i="21"/>
  <c r="BZ5" i="21"/>
  <c r="DD3" i="21"/>
  <c r="DE3" i="21"/>
  <c r="AW22" i="21"/>
  <c r="X22" i="21"/>
  <c r="AK21" i="21"/>
  <c r="R21" i="21"/>
  <c r="DQ20" i="21"/>
  <c r="CM20" i="21"/>
  <c r="AW20" i="21"/>
  <c r="S18" i="21"/>
  <c r="DD17" i="21"/>
  <c r="BH14" i="21"/>
  <c r="L14" i="21"/>
  <c r="DK13" i="21"/>
  <c r="DE13" i="21"/>
  <c r="BT13" i="21"/>
  <c r="N13" i="21"/>
  <c r="DP12" i="21"/>
  <c r="AV12" i="21"/>
  <c r="CS11" i="21"/>
  <c r="BO11" i="21"/>
  <c r="CL10" i="21"/>
  <c r="M10" i="21"/>
  <c r="DE9" i="21"/>
  <c r="R9" i="21"/>
  <c r="BI8" i="21"/>
  <c r="AK8" i="21"/>
  <c r="BN7" i="21"/>
  <c r="G7" i="21"/>
  <c r="AE6" i="21"/>
  <c r="M6" i="21"/>
  <c r="BC5" i="21"/>
  <c r="CA4" i="21"/>
  <c r="BI4" i="21"/>
  <c r="CY3" i="21"/>
  <c r="G3" i="21"/>
  <c r="R14" i="21"/>
  <c r="Y13" i="21"/>
  <c r="BO9" i="21"/>
  <c r="DJ7" i="21"/>
  <c r="CA6" i="21"/>
  <c r="AD5" i="21"/>
  <c r="M5" i="21"/>
  <c r="BZ3" i="21"/>
  <c r="BI3" i="21"/>
  <c r="AH43" i="6"/>
  <c r="AE43" i="7" s="1"/>
  <c r="AB43" i="3" s="1"/>
  <c r="L22" i="4"/>
  <c r="AF14" i="7"/>
  <c r="AC14" i="3" s="1"/>
  <c r="BA40" i="4"/>
  <c r="X39" i="4"/>
  <c r="BE81" i="4"/>
  <c r="BM83" i="4"/>
  <c r="P22" i="4"/>
  <c r="N22" i="4"/>
  <c r="V53" i="34" s="1"/>
  <c r="BA30" i="4"/>
  <c r="I22" i="4"/>
  <c r="BE4" i="21"/>
  <c r="BD4" i="21"/>
  <c r="AR7" i="21"/>
  <c r="AS7" i="21"/>
  <c r="CN7" i="21"/>
  <c r="CO7" i="21"/>
  <c r="DM11" i="21"/>
  <c r="DL11" i="21"/>
  <c r="AR15" i="21"/>
  <c r="AS15" i="21"/>
  <c r="DL16" i="21"/>
  <c r="DM16" i="21"/>
  <c r="T8" i="21"/>
  <c r="U8" i="21"/>
  <c r="CN9" i="21"/>
  <c r="CO9" i="21"/>
  <c r="AR11" i="21"/>
  <c r="AS11" i="21"/>
  <c r="BP16" i="21"/>
  <c r="BQ16" i="21"/>
  <c r="DL17" i="21"/>
  <c r="DM17" i="21"/>
  <c r="DG18" i="21"/>
  <c r="DF18" i="21"/>
  <c r="BW20" i="21"/>
  <c r="BV20" i="21"/>
  <c r="AR18" i="21"/>
  <c r="AS18" i="21"/>
  <c r="BW11" i="21"/>
  <c r="BV11" i="21"/>
  <c r="AG115" i="7"/>
  <c r="AD115" i="3" s="1"/>
  <c r="U115" i="10"/>
  <c r="T134" i="10"/>
  <c r="AF137" i="7"/>
  <c r="T186" i="10"/>
  <c r="AF189" i="7"/>
  <c r="AF205" i="7"/>
  <c r="T202" i="10"/>
  <c r="T192" i="10"/>
  <c r="AF195" i="7"/>
  <c r="T147" i="10"/>
  <c r="AF150" i="7"/>
  <c r="AG114" i="7"/>
  <c r="AD114" i="3" s="1"/>
  <c r="U114" i="10"/>
  <c r="U164" i="10"/>
  <c r="AG167" i="7"/>
  <c r="AE209" i="7"/>
  <c r="S206" i="10"/>
  <c r="AE186" i="7"/>
  <c r="S183" i="10"/>
  <c r="A90" i="4"/>
  <c r="D89" i="4"/>
  <c r="Z39" i="4"/>
  <c r="W94" i="34" s="1"/>
  <c r="AB39" i="4"/>
  <c r="AF3" i="21"/>
  <c r="AG3" i="21"/>
  <c r="BD6" i="21"/>
  <c r="BE6" i="21"/>
  <c r="U22" i="21"/>
  <c r="T22" i="21"/>
  <c r="O21" i="21"/>
  <c r="N21" i="21"/>
  <c r="O3" i="21"/>
  <c r="N3" i="21"/>
  <c r="AM6" i="21"/>
  <c r="AL6" i="21"/>
  <c r="AG143" i="7"/>
  <c r="U140" i="10"/>
  <c r="AE193" i="7"/>
  <c r="S190" i="10"/>
  <c r="T126" i="10"/>
  <c r="AF129" i="7"/>
  <c r="T139" i="10"/>
  <c r="AF142" i="7"/>
  <c r="S167" i="10"/>
  <c r="AE170" i="7"/>
  <c r="S194" i="10"/>
  <c r="AE197" i="7"/>
  <c r="AF130" i="7"/>
  <c r="T127" i="10"/>
  <c r="AG159" i="7"/>
  <c r="U156" i="10"/>
  <c r="U142" i="10"/>
  <c r="AG145" i="7"/>
  <c r="T206" i="10"/>
  <c r="AF209" i="7"/>
  <c r="S137" i="10"/>
  <c r="AE140" i="7"/>
  <c r="AG147" i="7"/>
  <c r="U144" i="10"/>
  <c r="U151" i="10"/>
  <c r="AG154" i="7"/>
  <c r="AG162" i="7"/>
  <c r="U159" i="10"/>
  <c r="I6" i="21"/>
  <c r="H6" i="21"/>
  <c r="CN11" i="21"/>
  <c r="BQ12" i="21"/>
  <c r="BP12" i="21"/>
  <c r="DL8" i="21"/>
  <c r="DM8" i="21"/>
  <c r="BP10" i="21"/>
  <c r="BQ10" i="21"/>
  <c r="DL14" i="21"/>
  <c r="DM14" i="21"/>
  <c r="BP18" i="21"/>
  <c r="BQ18" i="21"/>
  <c r="DG21" i="21"/>
  <c r="DF21" i="21"/>
  <c r="CI17" i="21"/>
  <c r="CH17" i="21"/>
  <c r="DL19" i="21"/>
  <c r="U147" i="10"/>
  <c r="AG150" i="7"/>
  <c r="AG131" i="7"/>
  <c r="U128" i="10"/>
  <c r="U152" i="10"/>
  <c r="AG155" i="7"/>
  <c r="AF174" i="7"/>
  <c r="T171" i="10"/>
  <c r="AE199" i="7"/>
  <c r="S196" i="10"/>
  <c r="S180" i="10"/>
  <c r="AE183" i="7"/>
  <c r="U132" i="10"/>
  <c r="AG135" i="7"/>
  <c r="AF169" i="7"/>
  <c r="T166" i="10"/>
  <c r="AE150" i="7"/>
  <c r="S147" i="10"/>
  <c r="AF191" i="7"/>
  <c r="T188" i="10"/>
  <c r="DA6" i="21"/>
  <c r="CZ6" i="21"/>
  <c r="AA12" i="21"/>
  <c r="Z12" i="21"/>
  <c r="AM15" i="21"/>
  <c r="AL15" i="21"/>
  <c r="DG16" i="21"/>
  <c r="DF16" i="21"/>
  <c r="CZ4" i="21"/>
  <c r="DA4" i="21"/>
  <c r="BJ12" i="21"/>
  <c r="AS21" i="21"/>
  <c r="AR21" i="21"/>
  <c r="DM22" i="21"/>
  <c r="DL22" i="21"/>
  <c r="CI22" i="21"/>
  <c r="CH22" i="21"/>
  <c r="CH16" i="21"/>
  <c r="BK18" i="21"/>
  <c r="BJ18" i="21"/>
  <c r="CN12" i="21"/>
  <c r="CI4" i="21"/>
  <c r="CH4" i="21"/>
  <c r="DS11" i="21"/>
  <c r="DR11" i="21"/>
  <c r="D76" i="4"/>
  <c r="A77" i="4"/>
  <c r="AG134" i="7"/>
  <c r="U131" i="10"/>
  <c r="U160" i="10"/>
  <c r="AG163" i="7"/>
  <c r="AE181" i="7"/>
  <c r="S178" i="10"/>
  <c r="T200" i="10"/>
  <c r="AF203" i="7"/>
  <c r="S159" i="10"/>
  <c r="AE162" i="7"/>
  <c r="S192" i="10"/>
  <c r="AE195" i="7"/>
  <c r="F44" i="6"/>
  <c r="S156" i="10"/>
  <c r="AE159" i="7"/>
  <c r="U135" i="10"/>
  <c r="AG138" i="7"/>
  <c r="AF141" i="7"/>
  <c r="T138" i="10"/>
  <c r="AG123" i="7"/>
  <c r="AD123" i="3" s="1"/>
  <c r="U123" i="10"/>
  <c r="S188" i="10"/>
  <c r="AE191" i="7"/>
  <c r="U120" i="10"/>
  <c r="AG120" i="7"/>
  <c r="AD120" i="3" s="1"/>
  <c r="T175" i="10"/>
  <c r="AF178" i="7"/>
  <c r="AF54" i="7"/>
  <c r="AC54" i="3" s="1"/>
  <c r="T54" i="10"/>
  <c r="D43" i="6"/>
  <c r="D42" i="6"/>
  <c r="D31" i="6"/>
  <c r="D18" i="6"/>
  <c r="D19" i="6"/>
  <c r="Q125" i="7" l="1"/>
  <c r="R125" i="7" s="1"/>
  <c r="O125" i="7"/>
  <c r="Q57" i="7"/>
  <c r="R57" i="7" s="1"/>
  <c r="O57" i="7"/>
  <c r="O60" i="7"/>
  <c r="Q60" i="7"/>
  <c r="R60" i="7" s="1"/>
  <c r="N108" i="7"/>
  <c r="R93" i="7"/>
  <c r="R322" i="7"/>
  <c r="N337" i="7"/>
  <c r="N334" i="7"/>
  <c r="R319" i="7"/>
  <c r="Q666" i="7"/>
  <c r="O666" i="7"/>
  <c r="Q320" i="7"/>
  <c r="O320" i="7"/>
  <c r="N669" i="7"/>
  <c r="R654" i="7"/>
  <c r="N667" i="7"/>
  <c r="R652" i="7"/>
  <c r="N111" i="7"/>
  <c r="O111" i="7" s="1"/>
  <c r="R96" i="7"/>
  <c r="Q109" i="7"/>
  <c r="O109" i="7"/>
  <c r="Q58" i="7"/>
  <c r="R58" i="7" s="1"/>
  <c r="O58" i="7"/>
  <c r="D493" i="17"/>
  <c r="L3" i="14"/>
  <c r="K138" i="14"/>
  <c r="L138" i="14" s="1"/>
  <c r="D264" i="17" s="1"/>
  <c r="K162" i="14"/>
  <c r="L162" i="14" s="1"/>
  <c r="K167" i="14"/>
  <c r="L167" i="14" s="1"/>
  <c r="K188" i="14"/>
  <c r="L188" i="14" s="1"/>
  <c r="K185" i="14"/>
  <c r="L185" i="14" s="1"/>
  <c r="K190" i="14"/>
  <c r="L190" i="14" s="1"/>
  <c r="K187" i="14"/>
  <c r="L187" i="14" s="1"/>
  <c r="D263" i="17" s="1"/>
  <c r="K189" i="14"/>
  <c r="L189" i="14" s="1"/>
  <c r="K98" i="14"/>
  <c r="L98" i="14" s="1"/>
  <c r="K15" i="14"/>
  <c r="L15" i="14" s="1"/>
  <c r="K112" i="14"/>
  <c r="L112" i="14" s="1"/>
  <c r="K111" i="14"/>
  <c r="L111" i="14" s="1"/>
  <c r="K84" i="14"/>
  <c r="L84" i="14" s="1"/>
  <c r="K119" i="14"/>
  <c r="L119" i="14" s="1"/>
  <c r="K42" i="14"/>
  <c r="L42" i="14" s="1"/>
  <c r="K125" i="14"/>
  <c r="L125" i="14" s="1"/>
  <c r="K142" i="14"/>
  <c r="L142" i="14" s="1"/>
  <c r="K86" i="14"/>
  <c r="L86" i="14" s="1"/>
  <c r="K130" i="14"/>
  <c r="L130" i="14" s="1"/>
  <c r="K44" i="14"/>
  <c r="L44" i="14" s="1"/>
  <c r="K127" i="14"/>
  <c r="L127" i="14" s="1"/>
  <c r="K23" i="14"/>
  <c r="L23" i="14" s="1"/>
  <c r="K96" i="14"/>
  <c r="L96" i="14" s="1"/>
  <c r="K182" i="14"/>
  <c r="L182" i="14" s="1"/>
  <c r="K70" i="14"/>
  <c r="L70" i="14" s="1"/>
  <c r="K135" i="14"/>
  <c r="L135" i="14" s="1"/>
  <c r="K5" i="14"/>
  <c r="L5" i="14" s="1"/>
  <c r="K128" i="14"/>
  <c r="L128" i="14" s="1"/>
  <c r="K65" i="14"/>
  <c r="L65" i="14" s="1"/>
  <c r="K63" i="14"/>
  <c r="L63" i="14" s="1"/>
  <c r="K36" i="14"/>
  <c r="L36" i="14" s="1"/>
  <c r="K122" i="14"/>
  <c r="L122" i="14" s="1"/>
  <c r="K17" i="14"/>
  <c r="L17" i="14" s="1"/>
  <c r="K74" i="14"/>
  <c r="L74" i="14" s="1"/>
  <c r="K115" i="14"/>
  <c r="L115" i="14" s="1"/>
  <c r="K68" i="14"/>
  <c r="L68" i="14" s="1"/>
  <c r="K53" i="14"/>
  <c r="L53" i="14" s="1"/>
  <c r="K118" i="14"/>
  <c r="L118" i="14" s="1"/>
  <c r="K92" i="14"/>
  <c r="L92" i="14" s="1"/>
  <c r="K165" i="14"/>
  <c r="L165" i="14" s="1"/>
  <c r="K7" i="14"/>
  <c r="L7" i="14" s="1"/>
  <c r="D79" i="17" s="1"/>
  <c r="K105" i="14"/>
  <c r="L105" i="14" s="1"/>
  <c r="K108" i="14"/>
  <c r="L108" i="14" s="1"/>
  <c r="K172" i="14"/>
  <c r="L172" i="14" s="1"/>
  <c r="K90" i="14"/>
  <c r="L90" i="14" s="1"/>
  <c r="K154" i="14"/>
  <c r="L154" i="14" s="1"/>
  <c r="K67" i="14"/>
  <c r="L67" i="14" s="1"/>
  <c r="K38" i="14"/>
  <c r="L38" i="14" s="1"/>
  <c r="K78" i="14"/>
  <c r="L78" i="14" s="1"/>
  <c r="K184" i="14"/>
  <c r="L184" i="14" s="1"/>
  <c r="K124" i="14"/>
  <c r="L124" i="14" s="1"/>
  <c r="K11" i="14"/>
  <c r="L11" i="14" s="1"/>
  <c r="K2" i="14"/>
  <c r="L2" i="14" s="1"/>
  <c r="K10" i="14"/>
  <c r="L10" i="14" s="1"/>
  <c r="K12" i="14"/>
  <c r="L12" i="14" s="1"/>
  <c r="K144" i="14"/>
  <c r="L144" i="14" s="1"/>
  <c r="K4" i="14"/>
  <c r="L4" i="14" s="1"/>
  <c r="K56" i="14"/>
  <c r="L56" i="14" s="1"/>
  <c r="K69" i="14"/>
  <c r="L69" i="14" s="1"/>
  <c r="K43" i="14"/>
  <c r="L43" i="14" s="1"/>
  <c r="K6" i="14"/>
  <c r="L6" i="14" s="1"/>
  <c r="K66" i="14"/>
  <c r="L66" i="14" s="1"/>
  <c r="K146" i="14"/>
  <c r="L146" i="14" s="1"/>
  <c r="K158" i="14"/>
  <c r="L158" i="14" s="1"/>
  <c r="K13" i="14"/>
  <c r="L13" i="14" s="1"/>
  <c r="K27" i="14"/>
  <c r="L27" i="14" s="1"/>
  <c r="K49" i="14"/>
  <c r="L49" i="14" s="1"/>
  <c r="K9" i="14"/>
  <c r="L9" i="14" s="1"/>
  <c r="K81" i="14"/>
  <c r="L81" i="14" s="1"/>
  <c r="K139" i="14"/>
  <c r="L139" i="14" s="1"/>
  <c r="K33" i="14"/>
  <c r="L33" i="14" s="1"/>
  <c r="K120" i="14"/>
  <c r="L120" i="14" s="1"/>
  <c r="K151" i="14"/>
  <c r="L151" i="14" s="1"/>
  <c r="K31" i="14"/>
  <c r="L31" i="14" s="1"/>
  <c r="K117" i="14"/>
  <c r="L117" i="14" s="1"/>
  <c r="K152" i="14"/>
  <c r="L152" i="14" s="1"/>
  <c r="K14" i="14"/>
  <c r="L14" i="14" s="1"/>
  <c r="K46" i="14"/>
  <c r="L46" i="14" s="1"/>
  <c r="K174" i="14"/>
  <c r="L174" i="14" s="1"/>
  <c r="K107" i="14"/>
  <c r="L107" i="14" s="1"/>
  <c r="K179" i="14"/>
  <c r="L179" i="14" s="1"/>
  <c r="K48" i="14"/>
  <c r="L48" i="14" s="1"/>
  <c r="K171" i="14"/>
  <c r="L171" i="14" s="1"/>
  <c r="K163" i="14"/>
  <c r="L163" i="14" s="1"/>
  <c r="K45" i="14"/>
  <c r="L45" i="14" s="1"/>
  <c r="K73" i="14"/>
  <c r="L73" i="14" s="1"/>
  <c r="K123" i="14"/>
  <c r="L123" i="14" s="1"/>
  <c r="K99" i="14"/>
  <c r="L99" i="14" s="1"/>
  <c r="K18" i="14"/>
  <c r="L18" i="14" s="1"/>
  <c r="K64" i="14"/>
  <c r="L64" i="14" s="1"/>
  <c r="K186" i="14"/>
  <c r="L186" i="14" s="1"/>
  <c r="K39" i="14"/>
  <c r="L39" i="14" s="1"/>
  <c r="K170" i="14"/>
  <c r="L170" i="14" s="1"/>
  <c r="K131" i="14"/>
  <c r="L131" i="14" s="1"/>
  <c r="K59" i="14"/>
  <c r="L59" i="14" s="1"/>
  <c r="K169" i="14"/>
  <c r="L169" i="14" s="1"/>
  <c r="K37" i="14"/>
  <c r="L37" i="14" s="1"/>
  <c r="K134" i="14"/>
  <c r="L134" i="14" s="1"/>
  <c r="K153" i="14"/>
  <c r="L153" i="14" s="1"/>
  <c r="K157" i="14"/>
  <c r="L157" i="14" s="1"/>
  <c r="K50" i="14"/>
  <c r="L50" i="14" s="1"/>
  <c r="K95" i="14"/>
  <c r="L95" i="14" s="1"/>
  <c r="K93" i="14"/>
  <c r="L93" i="14" s="1"/>
  <c r="K121" i="14"/>
  <c r="L121" i="14" s="1"/>
  <c r="K32" i="14"/>
  <c r="L32" i="14" s="1"/>
  <c r="K133" i="14"/>
  <c r="L133" i="14" s="1"/>
  <c r="K87" i="14"/>
  <c r="L87" i="14" s="1"/>
  <c r="K100" i="14"/>
  <c r="L100" i="14" s="1"/>
  <c r="K16" i="14"/>
  <c r="L16" i="14" s="1"/>
  <c r="K161" i="14"/>
  <c r="L161" i="14" s="1"/>
  <c r="K176" i="14"/>
  <c r="L176" i="14" s="1"/>
  <c r="K183" i="14"/>
  <c r="L183" i="14" s="1"/>
  <c r="K40" i="14"/>
  <c r="L40" i="14" s="1"/>
  <c r="K113" i="14"/>
  <c r="L113" i="14" s="1"/>
  <c r="K126" i="14"/>
  <c r="L126" i="14" s="1"/>
  <c r="K104" i="14"/>
  <c r="L104" i="14" s="1"/>
  <c r="K148" i="14"/>
  <c r="L148" i="14" s="1"/>
  <c r="K166" i="14"/>
  <c r="L166" i="14" s="1"/>
  <c r="K181" i="14"/>
  <c r="L181" i="14" s="1"/>
  <c r="K145" i="14"/>
  <c r="L145" i="14" s="1"/>
  <c r="K155" i="14"/>
  <c r="L155" i="14" s="1"/>
  <c r="K97" i="14"/>
  <c r="L97" i="14" s="1"/>
  <c r="K175" i="14"/>
  <c r="L175" i="14" s="1"/>
  <c r="K71" i="14"/>
  <c r="L71" i="14" s="1"/>
  <c r="K91" i="14"/>
  <c r="L91" i="14" s="1"/>
  <c r="K82" i="14"/>
  <c r="L82" i="14" s="1"/>
  <c r="K173" i="14"/>
  <c r="L173" i="14" s="1"/>
  <c r="K177" i="14"/>
  <c r="L177" i="14" s="1"/>
  <c r="K28" i="14"/>
  <c r="L28" i="14" s="1"/>
  <c r="K136" i="14"/>
  <c r="L136" i="14" s="1"/>
  <c r="K72" i="14"/>
  <c r="L72" i="14" s="1"/>
  <c r="K52" i="14"/>
  <c r="L52" i="14" s="1"/>
  <c r="K102" i="14"/>
  <c r="L102" i="14" s="1"/>
  <c r="K116" i="14"/>
  <c r="L116" i="14" s="1"/>
  <c r="K180" i="14"/>
  <c r="L180" i="14" s="1"/>
  <c r="K110" i="14"/>
  <c r="L110" i="14" s="1"/>
  <c r="K80" i="14"/>
  <c r="L80" i="14" s="1"/>
  <c r="K35" i="14"/>
  <c r="L35" i="14" s="1"/>
  <c r="K103" i="14"/>
  <c r="L103" i="14" s="1"/>
  <c r="K94" i="14"/>
  <c r="L94" i="14" s="1"/>
  <c r="K143" i="14"/>
  <c r="L143" i="14" s="1"/>
  <c r="K156" i="14"/>
  <c r="L156" i="14" s="1"/>
  <c r="K51" i="14"/>
  <c r="L51" i="14" s="1"/>
  <c r="K168" i="14"/>
  <c r="L168" i="14" s="1"/>
  <c r="K150" i="14"/>
  <c r="L150" i="14" s="1"/>
  <c r="K75" i="14"/>
  <c r="L75" i="14" s="1"/>
  <c r="K106" i="14"/>
  <c r="L106" i="14" s="1"/>
  <c r="K21" i="14"/>
  <c r="L21" i="14" s="1"/>
  <c r="K26" i="14"/>
  <c r="L26" i="14" s="1"/>
  <c r="K20" i="14"/>
  <c r="L20" i="14" s="1"/>
  <c r="K85" i="14"/>
  <c r="L85" i="14" s="1"/>
  <c r="K109" i="14"/>
  <c r="L109" i="14" s="1"/>
  <c r="K132" i="14"/>
  <c r="L132" i="14" s="1"/>
  <c r="K114" i="14"/>
  <c r="L114" i="14" s="1"/>
  <c r="K159" i="14"/>
  <c r="L159" i="14" s="1"/>
  <c r="K60" i="14"/>
  <c r="L60" i="14" s="1"/>
  <c r="K160" i="14"/>
  <c r="L160" i="14" s="1"/>
  <c r="K8" i="14"/>
  <c r="L8" i="14" s="1"/>
  <c r="K24" i="14"/>
  <c r="L24" i="14" s="1"/>
  <c r="K149" i="14"/>
  <c r="L149" i="14" s="1"/>
  <c r="K164" i="14"/>
  <c r="L164" i="14" s="1"/>
  <c r="K25" i="14"/>
  <c r="L25" i="14" s="1"/>
  <c r="K34" i="14"/>
  <c r="L34" i="14" s="1"/>
  <c r="K19" i="14"/>
  <c r="L19" i="14" s="1"/>
  <c r="K47" i="14"/>
  <c r="L47" i="14" s="1"/>
  <c r="K61" i="14"/>
  <c r="L61" i="14" s="1"/>
  <c r="K58" i="14"/>
  <c r="L58" i="14" s="1"/>
  <c r="K79" i="14"/>
  <c r="L79" i="14" s="1"/>
  <c r="K147" i="14"/>
  <c r="L147" i="14" s="1"/>
  <c r="K178" i="14"/>
  <c r="L178" i="14" s="1"/>
  <c r="K57" i="14"/>
  <c r="L57" i="14" s="1"/>
  <c r="K22" i="14"/>
  <c r="L22" i="14" s="1"/>
  <c r="K101" i="14"/>
  <c r="L101" i="14" s="1"/>
  <c r="D272" i="17"/>
  <c r="D270" i="17"/>
  <c r="D271" i="17"/>
  <c r="D273" i="17"/>
  <c r="K176" i="15"/>
  <c r="L176" i="15" s="1"/>
  <c r="D455" i="17"/>
  <c r="K125" i="15"/>
  <c r="L125" i="15" s="1"/>
  <c r="K177" i="15"/>
  <c r="L177" i="15" s="1"/>
  <c r="D456" i="17"/>
  <c r="K104" i="15"/>
  <c r="L104" i="15" s="1"/>
  <c r="Y224" i="10"/>
  <c r="X225" i="10"/>
  <c r="Y248" i="10"/>
  <c r="X249" i="10"/>
  <c r="Y301" i="10"/>
  <c r="X302" i="10"/>
  <c r="T44" i="10"/>
  <c r="Y439" i="10"/>
  <c r="X440" i="10"/>
  <c r="X167" i="10"/>
  <c r="Y166" i="10"/>
  <c r="Y39" i="10"/>
  <c r="X40" i="10"/>
  <c r="X277" i="10"/>
  <c r="Y276" i="10"/>
  <c r="AF24" i="7"/>
  <c r="AC24" i="3" s="1"/>
  <c r="X216" i="10"/>
  <c r="Y64" i="10"/>
  <c r="X65" i="10"/>
  <c r="Y117" i="10"/>
  <c r="X118" i="10"/>
  <c r="X123" i="10"/>
  <c r="Y122" i="10"/>
  <c r="X99" i="10"/>
  <c r="Y98" i="10"/>
  <c r="X94" i="10"/>
  <c r="Y93" i="10"/>
  <c r="X390" i="10"/>
  <c r="Y389" i="10"/>
  <c r="X44" i="10"/>
  <c r="Y145" i="10"/>
  <c r="X146" i="10"/>
  <c r="AE14" i="7"/>
  <c r="AB14" i="3" s="1"/>
  <c r="AE23" i="7"/>
  <c r="AB23" i="3" s="1"/>
  <c r="T84" i="10"/>
  <c r="S33" i="10"/>
  <c r="K168" i="15"/>
  <c r="L168" i="15" s="1"/>
  <c r="K30" i="14"/>
  <c r="L30" i="14" s="1"/>
  <c r="D586" i="17"/>
  <c r="G18" i="6"/>
  <c r="AE13" i="7"/>
  <c r="AB13" i="3" s="1"/>
  <c r="N3" i="14"/>
  <c r="Y197" i="10"/>
  <c r="X198" i="10"/>
  <c r="X494" i="10"/>
  <c r="Y493" i="10"/>
  <c r="X366" i="10"/>
  <c r="Y365" i="10"/>
  <c r="K69" i="15"/>
  <c r="L69" i="15" s="1"/>
  <c r="K143" i="15"/>
  <c r="L143" i="15" s="1"/>
  <c r="K30" i="15"/>
  <c r="L30" i="15" s="1"/>
  <c r="K122" i="15"/>
  <c r="L122" i="15" s="1"/>
  <c r="K64" i="15"/>
  <c r="L64" i="15" s="1"/>
  <c r="K153" i="15"/>
  <c r="L153" i="15" s="1"/>
  <c r="K42" i="15"/>
  <c r="L42" i="15" s="1"/>
  <c r="D521" i="17"/>
  <c r="D531" i="17"/>
  <c r="D508" i="17"/>
  <c r="D576" i="17"/>
  <c r="D497" i="17"/>
  <c r="D546" i="17"/>
  <c r="D525" i="17"/>
  <c r="D502" i="17"/>
  <c r="D496" i="17"/>
  <c r="D522" i="17"/>
  <c r="D509" i="17"/>
  <c r="D487" i="17"/>
  <c r="D550" i="17"/>
  <c r="D537" i="17"/>
  <c r="D528" i="17"/>
  <c r="D515" i="17"/>
  <c r="D567" i="17"/>
  <c r="D571" i="17"/>
  <c r="D543" i="17"/>
  <c r="D553" i="17"/>
  <c r="D514" i="17"/>
  <c r="D542" i="17"/>
  <c r="D568" i="17"/>
  <c r="K55" i="14"/>
  <c r="L55" i="14" s="1"/>
  <c r="K76" i="14"/>
  <c r="L76" i="14" s="1"/>
  <c r="K88" i="14"/>
  <c r="L88" i="14" s="1"/>
  <c r="K62" i="14"/>
  <c r="L62" i="14" s="1"/>
  <c r="K141" i="14"/>
  <c r="L141" i="14" s="1"/>
  <c r="D595" i="17"/>
  <c r="G42" i="6"/>
  <c r="G43" i="6"/>
  <c r="G31" i="6"/>
  <c r="G19" i="6"/>
  <c r="D486" i="17"/>
  <c r="AG11" i="7"/>
  <c r="AD11" i="3" s="1"/>
  <c r="K77" i="14"/>
  <c r="L77" i="14" s="1"/>
  <c r="CB20" i="21"/>
  <c r="D573" i="17"/>
  <c r="K89" i="14"/>
  <c r="L89" i="14" s="1"/>
  <c r="K41" i="14"/>
  <c r="L41" i="14" s="1"/>
  <c r="K83" i="14"/>
  <c r="L83" i="14" s="1"/>
  <c r="K54" i="14"/>
  <c r="L54" i="14" s="1"/>
  <c r="K129" i="14"/>
  <c r="L129" i="14" s="1"/>
  <c r="K137" i="14"/>
  <c r="L137" i="14" s="1"/>
  <c r="K29" i="14"/>
  <c r="L29" i="14" s="1"/>
  <c r="K140" i="14"/>
  <c r="L140" i="14" s="1"/>
  <c r="K130" i="15"/>
  <c r="L130" i="15" s="1"/>
  <c r="D534" i="17"/>
  <c r="D499" i="17"/>
  <c r="D519" i="17"/>
  <c r="D533" i="17"/>
  <c r="D506" i="17"/>
  <c r="D552" i="17"/>
  <c r="D535" i="17"/>
  <c r="D532" i="17"/>
  <c r="D520" i="17"/>
  <c r="D561" i="17"/>
  <c r="D492" i="17"/>
  <c r="D548" i="17"/>
  <c r="D510" i="17"/>
  <c r="D545" i="17"/>
  <c r="D490" i="17"/>
  <c r="N2" i="15"/>
  <c r="D523" i="17"/>
  <c r="D503" i="17"/>
  <c r="D551" i="17"/>
  <c r="D488" i="17"/>
  <c r="D580" i="17"/>
  <c r="D585" i="17"/>
  <c r="D559" i="17"/>
  <c r="D495" i="17"/>
  <c r="D581" i="17"/>
  <c r="D536" i="17"/>
  <c r="D593" i="17"/>
  <c r="D556" i="17"/>
  <c r="D538" i="17"/>
  <c r="D572" i="17"/>
  <c r="D589" i="17"/>
  <c r="D544" i="17"/>
  <c r="D524" i="17"/>
  <c r="D489" i="17"/>
  <c r="D500" i="17"/>
  <c r="D560" i="17"/>
  <c r="D592" i="17"/>
  <c r="D554" i="17"/>
  <c r="D498" i="17"/>
  <c r="D557" i="17"/>
  <c r="D504" i="17"/>
  <c r="D590" i="17"/>
  <c r="D541" i="17"/>
  <c r="D549" i="17"/>
  <c r="D501" i="17"/>
  <c r="D587" i="17"/>
  <c r="D562" i="17"/>
  <c r="D507" i="17"/>
  <c r="D588" i="17"/>
  <c r="D530" i="17"/>
  <c r="D555" i="17"/>
  <c r="D596" i="17"/>
  <c r="D527" i="17"/>
  <c r="D505" i="17"/>
  <c r="D575" i="17"/>
  <c r="D558" i="17"/>
  <c r="D570" i="17"/>
  <c r="D547" i="17"/>
  <c r="D598" i="17"/>
  <c r="D518" i="17"/>
  <c r="D511" i="17"/>
  <c r="D591" i="17"/>
  <c r="D577" i="17"/>
  <c r="D574" i="17"/>
  <c r="D594" i="17"/>
  <c r="D516" i="17"/>
  <c r="D517" i="17"/>
  <c r="D539" i="17"/>
  <c r="D563" i="17"/>
  <c r="D584" i="17"/>
  <c r="D513" i="17"/>
  <c r="D597" i="17"/>
  <c r="D494" i="17"/>
  <c r="D569" i="17"/>
  <c r="D491" i="17"/>
  <c r="D512" i="17"/>
  <c r="D582" i="17"/>
  <c r="D583" i="17"/>
  <c r="D564" i="17"/>
  <c r="D579" i="17"/>
  <c r="D529" i="17"/>
  <c r="D578" i="17"/>
  <c r="D540" i="17"/>
  <c r="D565" i="17"/>
  <c r="D566" i="17"/>
  <c r="D526" i="17"/>
  <c r="N17" i="21"/>
  <c r="AL20" i="21"/>
  <c r="U12" i="10"/>
  <c r="K174" i="15"/>
  <c r="L174" i="15" s="1"/>
  <c r="K137" i="15"/>
  <c r="L137" i="15" s="1"/>
  <c r="K110" i="15"/>
  <c r="L110" i="15" s="1"/>
  <c r="K91" i="15"/>
  <c r="L91" i="15" s="1"/>
  <c r="K50" i="15"/>
  <c r="L50" i="15" s="1"/>
  <c r="K133" i="15"/>
  <c r="L133" i="15" s="1"/>
  <c r="K87" i="15"/>
  <c r="L87" i="15" s="1"/>
  <c r="K51" i="15"/>
  <c r="L51" i="15" s="1"/>
  <c r="K89" i="15"/>
  <c r="L89" i="15" s="1"/>
  <c r="K113" i="15"/>
  <c r="L113" i="15" s="1"/>
  <c r="K98" i="15"/>
  <c r="L98" i="15" s="1"/>
  <c r="K28" i="15"/>
  <c r="L28" i="15" s="1"/>
  <c r="K140" i="15"/>
  <c r="L140" i="15" s="1"/>
  <c r="K39" i="15"/>
  <c r="L39" i="15" s="1"/>
  <c r="K29" i="15"/>
  <c r="L29" i="15" s="1"/>
  <c r="K84" i="15"/>
  <c r="L84" i="15" s="1"/>
  <c r="K144" i="15"/>
  <c r="L144" i="15" s="1"/>
  <c r="K164" i="15"/>
  <c r="L164" i="15" s="1"/>
  <c r="K128" i="15"/>
  <c r="L128" i="15" s="1"/>
  <c r="K160" i="15"/>
  <c r="L160" i="15" s="1"/>
  <c r="K109" i="15"/>
  <c r="L109" i="15" s="1"/>
  <c r="K115" i="15"/>
  <c r="L115" i="15" s="1"/>
  <c r="K74" i="15"/>
  <c r="L74" i="15" s="1"/>
  <c r="K120" i="15"/>
  <c r="L120" i="15" s="1"/>
  <c r="K136" i="15"/>
  <c r="L136" i="15" s="1"/>
  <c r="K170" i="15"/>
  <c r="L170" i="15" s="1"/>
  <c r="K112" i="15"/>
  <c r="L112" i="15" s="1"/>
  <c r="K127" i="15"/>
  <c r="L127" i="15" s="1"/>
  <c r="K142" i="15"/>
  <c r="L142" i="15" s="1"/>
  <c r="K157" i="15"/>
  <c r="L157" i="15" s="1"/>
  <c r="K75" i="15"/>
  <c r="L75" i="15" s="1"/>
  <c r="K118" i="15"/>
  <c r="L118" i="15" s="1"/>
  <c r="K79" i="15"/>
  <c r="L79" i="15" s="1"/>
  <c r="K135" i="15"/>
  <c r="L135" i="15" s="1"/>
  <c r="K12" i="15"/>
  <c r="L12" i="15" s="1"/>
  <c r="K158" i="15"/>
  <c r="L158" i="15" s="1"/>
  <c r="K134" i="15"/>
  <c r="L134" i="15" s="1"/>
  <c r="K85" i="15"/>
  <c r="L85" i="15" s="1"/>
  <c r="K26" i="15"/>
  <c r="L26" i="15" s="1"/>
  <c r="K44" i="15"/>
  <c r="L44" i="15" s="1"/>
  <c r="K7" i="15"/>
  <c r="L7" i="15" s="1"/>
  <c r="K162" i="15"/>
  <c r="L162" i="15" s="1"/>
  <c r="K167" i="15"/>
  <c r="L167" i="15" s="1"/>
  <c r="K9" i="15"/>
  <c r="L9" i="15" s="1"/>
  <c r="K45" i="15"/>
  <c r="L45" i="15" s="1"/>
  <c r="L2" i="15"/>
  <c r="K171" i="15"/>
  <c r="L171" i="15" s="1"/>
  <c r="K180" i="15"/>
  <c r="L180" i="15" s="1"/>
  <c r="K58" i="15"/>
  <c r="L58" i="15" s="1"/>
  <c r="K105" i="15"/>
  <c r="L105" i="15" s="1"/>
  <c r="K3" i="15"/>
  <c r="L3" i="15" s="1"/>
  <c r="K71" i="15"/>
  <c r="L71" i="15" s="1"/>
  <c r="K152" i="15"/>
  <c r="L152" i="15" s="1"/>
  <c r="K19" i="15"/>
  <c r="L19" i="15" s="1"/>
  <c r="K59" i="15"/>
  <c r="L59" i="15" s="1"/>
  <c r="K78" i="15"/>
  <c r="L78" i="15" s="1"/>
  <c r="K38" i="15"/>
  <c r="L38" i="15" s="1"/>
  <c r="K139" i="15"/>
  <c r="L139" i="15" s="1"/>
  <c r="K103" i="15"/>
  <c r="L103" i="15" s="1"/>
  <c r="K121" i="15"/>
  <c r="L121" i="15" s="1"/>
  <c r="K119" i="15"/>
  <c r="L119" i="15" s="1"/>
  <c r="K41" i="15"/>
  <c r="L41" i="15" s="1"/>
  <c r="K13" i="15"/>
  <c r="L13" i="15" s="1"/>
  <c r="K102" i="15"/>
  <c r="L102" i="15" s="1"/>
  <c r="K32" i="15"/>
  <c r="L32" i="15" s="1"/>
  <c r="K6" i="15"/>
  <c r="L6" i="15" s="1"/>
  <c r="K80" i="15"/>
  <c r="L80" i="15" s="1"/>
  <c r="K25" i="15"/>
  <c r="L25" i="15" s="1"/>
  <c r="K161" i="15"/>
  <c r="L161" i="15" s="1"/>
  <c r="K61" i="15"/>
  <c r="L61" i="15" s="1"/>
  <c r="K151" i="15"/>
  <c r="L151" i="15" s="1"/>
  <c r="K70" i="15"/>
  <c r="L70" i="15" s="1"/>
  <c r="K141" i="15"/>
  <c r="L141" i="15" s="1"/>
  <c r="K60" i="15"/>
  <c r="L60" i="15" s="1"/>
  <c r="K106" i="15"/>
  <c r="L106" i="15" s="1"/>
  <c r="K22" i="15"/>
  <c r="L22" i="15" s="1"/>
  <c r="K154" i="15"/>
  <c r="L154" i="15" s="1"/>
  <c r="K37" i="15"/>
  <c r="L37" i="15" s="1"/>
  <c r="K35" i="15"/>
  <c r="L35" i="15" s="1"/>
  <c r="K34" i="15"/>
  <c r="L34" i="15" s="1"/>
  <c r="K54" i="15"/>
  <c r="L54" i="15" s="1"/>
  <c r="K146" i="15"/>
  <c r="L146" i="15" s="1"/>
  <c r="K178" i="15"/>
  <c r="L178" i="15" s="1"/>
  <c r="K169" i="15"/>
  <c r="L169" i="15" s="1"/>
  <c r="K52" i="15"/>
  <c r="L52" i="15" s="1"/>
  <c r="K117" i="15"/>
  <c r="L117" i="15" s="1"/>
  <c r="K138" i="15"/>
  <c r="L138" i="15" s="1"/>
  <c r="K126" i="15"/>
  <c r="L126" i="15" s="1"/>
  <c r="K166" i="15"/>
  <c r="L166" i="15" s="1"/>
  <c r="K150" i="15"/>
  <c r="L150" i="15" s="1"/>
  <c r="K145" i="15"/>
  <c r="L145" i="15" s="1"/>
  <c r="K18" i="15"/>
  <c r="L18" i="15" s="1"/>
  <c r="K14" i="15"/>
  <c r="L14" i="15" s="1"/>
  <c r="K48" i="15"/>
  <c r="L48" i="15" s="1"/>
  <c r="K147" i="15"/>
  <c r="L147" i="15" s="1"/>
  <c r="K15" i="15"/>
  <c r="L15" i="15" s="1"/>
  <c r="K16" i="15"/>
  <c r="L16" i="15" s="1"/>
  <c r="K172" i="15"/>
  <c r="L172" i="15" s="1"/>
  <c r="K123" i="15"/>
  <c r="L123" i="15" s="1"/>
  <c r="K55" i="15"/>
  <c r="L55" i="15" s="1"/>
  <c r="K99" i="15"/>
  <c r="L99" i="15" s="1"/>
  <c r="K21" i="15"/>
  <c r="L21" i="15" s="1"/>
  <c r="K40" i="15"/>
  <c r="L40" i="15" s="1"/>
  <c r="K116" i="15"/>
  <c r="L116" i="15" s="1"/>
  <c r="K17" i="15"/>
  <c r="L17" i="15" s="1"/>
  <c r="K92" i="15"/>
  <c r="L92" i="15" s="1"/>
  <c r="K156" i="15"/>
  <c r="L156" i="15" s="1"/>
  <c r="K67" i="15"/>
  <c r="L67" i="15" s="1"/>
  <c r="K20" i="15"/>
  <c r="L20" i="15" s="1"/>
  <c r="K62" i="15"/>
  <c r="L62" i="15" s="1"/>
  <c r="K27" i="15"/>
  <c r="L27" i="15" s="1"/>
  <c r="K83" i="15"/>
  <c r="L83" i="15" s="1"/>
  <c r="K179" i="15"/>
  <c r="L179" i="15" s="1"/>
  <c r="K31" i="15"/>
  <c r="L31" i="15" s="1"/>
  <c r="K82" i="15"/>
  <c r="L82" i="15" s="1"/>
  <c r="K114" i="15"/>
  <c r="L114" i="15" s="1"/>
  <c r="K66" i="15"/>
  <c r="L66" i="15" s="1"/>
  <c r="K33" i="15"/>
  <c r="L33" i="15" s="1"/>
  <c r="K101" i="15"/>
  <c r="L101" i="15" s="1"/>
  <c r="K57" i="15"/>
  <c r="L57" i="15" s="1"/>
  <c r="K94" i="15"/>
  <c r="L94" i="15" s="1"/>
  <c r="K96" i="15"/>
  <c r="L96" i="15" s="1"/>
  <c r="K11" i="15"/>
  <c r="L11" i="15" s="1"/>
  <c r="K132" i="15"/>
  <c r="L132" i="15" s="1"/>
  <c r="K97" i="15"/>
  <c r="L97" i="15" s="1"/>
  <c r="K108" i="15"/>
  <c r="L108" i="15" s="1"/>
  <c r="K76" i="15"/>
  <c r="L76" i="15" s="1"/>
  <c r="K148" i="15"/>
  <c r="L148" i="15" s="1"/>
  <c r="K81" i="15"/>
  <c r="L81" i="15" s="1"/>
  <c r="K4" i="15"/>
  <c r="L4" i="15" s="1"/>
  <c r="K56" i="15"/>
  <c r="L56" i="15" s="1"/>
  <c r="K149" i="15"/>
  <c r="L149" i="15" s="1"/>
  <c r="K175" i="15"/>
  <c r="L175" i="15" s="1"/>
  <c r="K100" i="15"/>
  <c r="L100" i="15" s="1"/>
  <c r="K159" i="15"/>
  <c r="L159" i="15" s="1"/>
  <c r="K93" i="15"/>
  <c r="L93" i="15" s="1"/>
  <c r="K24" i="15"/>
  <c r="L24" i="15" s="1"/>
  <c r="K163" i="15"/>
  <c r="L163" i="15" s="1"/>
  <c r="K36" i="15"/>
  <c r="L36" i="15" s="1"/>
  <c r="K46" i="15"/>
  <c r="L46" i="15" s="1"/>
  <c r="K90" i="15"/>
  <c r="L90" i="15" s="1"/>
  <c r="K65" i="15"/>
  <c r="L65" i="15" s="1"/>
  <c r="K111" i="15"/>
  <c r="L111" i="15" s="1"/>
  <c r="K43" i="15"/>
  <c r="L43" i="15" s="1"/>
  <c r="K68" i="15"/>
  <c r="L68" i="15" s="1"/>
  <c r="K8" i="15"/>
  <c r="L8" i="15" s="1"/>
  <c r="K73" i="15"/>
  <c r="L73" i="15" s="1"/>
  <c r="K95" i="15"/>
  <c r="L95" i="15" s="1"/>
  <c r="K131" i="15"/>
  <c r="L131" i="15" s="1"/>
  <c r="K63" i="15"/>
  <c r="L63" i="15" s="1"/>
  <c r="K49" i="15"/>
  <c r="L49" i="15" s="1"/>
  <c r="K77" i="15"/>
  <c r="L77" i="15" s="1"/>
  <c r="K72" i="15"/>
  <c r="L72" i="15" s="1"/>
  <c r="K10" i="15"/>
  <c r="L10" i="15" s="1"/>
  <c r="K173" i="15"/>
  <c r="L173" i="15" s="1"/>
  <c r="K155" i="15"/>
  <c r="L155" i="15" s="1"/>
  <c r="K5" i="15"/>
  <c r="L5" i="15" s="1"/>
  <c r="K86" i="15"/>
  <c r="L86" i="15" s="1"/>
  <c r="K47" i="15"/>
  <c r="L47" i="15" s="1"/>
  <c r="K88" i="15"/>
  <c r="L88" i="15" s="1"/>
  <c r="K129" i="15"/>
  <c r="L129" i="15" s="1"/>
  <c r="K53" i="15"/>
  <c r="L53" i="15" s="1"/>
  <c r="K107" i="15"/>
  <c r="L107" i="15" s="1"/>
  <c r="K124" i="15"/>
  <c r="L124" i="15" s="1"/>
  <c r="K23" i="15"/>
  <c r="L23" i="15" s="1"/>
  <c r="K165" i="15"/>
  <c r="L165" i="15" s="1"/>
  <c r="T13" i="10"/>
  <c r="T34" i="10"/>
  <c r="AF34" i="7"/>
  <c r="AC34" i="3" s="1"/>
  <c r="BJ15" i="21"/>
  <c r="DG14" i="21"/>
  <c r="DF14" i="21"/>
  <c r="DG22" i="21"/>
  <c r="DF22" i="21"/>
  <c r="T194" i="10"/>
  <c r="AF197" i="7"/>
  <c r="BK16" i="21"/>
  <c r="BJ16" i="21"/>
  <c r="CI11" i="21"/>
  <c r="CH11" i="21"/>
  <c r="N12" i="21"/>
  <c r="DL12" i="21"/>
  <c r="CU22" i="21"/>
  <c r="CT22" i="21"/>
  <c r="T16" i="21"/>
  <c r="U16" i="21"/>
  <c r="AG151" i="7"/>
  <c r="U148" i="10"/>
  <c r="S141" i="10"/>
  <c r="AE144" i="7"/>
  <c r="T17" i="21"/>
  <c r="U17" i="21"/>
  <c r="BQ21" i="21"/>
  <c r="BP21" i="21"/>
  <c r="CI21" i="21"/>
  <c r="CH21" i="21"/>
  <c r="AF138" i="7"/>
  <c r="T135" i="10"/>
  <c r="AG104" i="7"/>
  <c r="AD104" i="3" s="1"/>
  <c r="U104" i="10"/>
  <c r="S203" i="10"/>
  <c r="AE206" i="7"/>
  <c r="N668" i="7"/>
  <c r="O668" i="7" s="1"/>
  <c r="Q578" i="7"/>
  <c r="T15" i="21"/>
  <c r="U15" i="21"/>
  <c r="CO21" i="21"/>
  <c r="CN21" i="21"/>
  <c r="AG5" i="21"/>
  <c r="AF5" i="21"/>
  <c r="CO10" i="21"/>
  <c r="CN10" i="21"/>
  <c r="DS12" i="21"/>
  <c r="DR12" i="21"/>
  <c r="U21" i="21"/>
  <c r="T21" i="21"/>
  <c r="AF7" i="21"/>
  <c r="AG7" i="21"/>
  <c r="DL9" i="21"/>
  <c r="DM9" i="21"/>
  <c r="J53" i="4"/>
  <c r="H53" i="4"/>
  <c r="X28" i="34" s="1"/>
  <c r="AY21" i="21"/>
  <c r="AX21" i="21"/>
  <c r="AF153" i="7"/>
  <c r="T150" i="10"/>
  <c r="U124" i="10"/>
  <c r="AG124" i="7"/>
  <c r="AD124" i="3" s="1"/>
  <c r="J52" i="4"/>
  <c r="H52" i="4"/>
  <c r="X27" i="34" s="1"/>
  <c r="S142" i="10"/>
  <c r="AE145" i="7"/>
  <c r="T170" i="10"/>
  <c r="AF173" i="7"/>
  <c r="U119" i="10"/>
  <c r="AG119" i="7"/>
  <c r="AD119" i="3" s="1"/>
  <c r="S163" i="10"/>
  <c r="AE166" i="7"/>
  <c r="S182" i="10"/>
  <c r="AE185" i="7"/>
  <c r="BQ20" i="21"/>
  <c r="BP20" i="21"/>
  <c r="BQ22" i="21"/>
  <c r="BP22" i="21"/>
  <c r="AS16" i="21"/>
  <c r="AR16" i="21"/>
  <c r="T14" i="21"/>
  <c r="U14" i="21"/>
  <c r="U9" i="21"/>
  <c r="T9" i="21"/>
  <c r="N14" i="21"/>
  <c r="O14" i="21"/>
  <c r="DG3" i="21"/>
  <c r="DF3" i="21"/>
  <c r="BQ8" i="21"/>
  <c r="BP8" i="21"/>
  <c r="BW21" i="21"/>
  <c r="BV21" i="21"/>
  <c r="AM3" i="21"/>
  <c r="AL3" i="21"/>
  <c r="O7" i="21"/>
  <c r="N7" i="21"/>
  <c r="AL11" i="21"/>
  <c r="AM11" i="21"/>
  <c r="CN13" i="21"/>
  <c r="CO13" i="21"/>
  <c r="CH15" i="21"/>
  <c r="CI15" i="21"/>
  <c r="DL18" i="21"/>
  <c r="DM18" i="21"/>
  <c r="DL10" i="21"/>
  <c r="DM10" i="21"/>
  <c r="DF8" i="21"/>
  <c r="DG8" i="21"/>
  <c r="BK6" i="21"/>
  <c r="BJ6" i="21"/>
  <c r="AG187" i="7"/>
  <c r="U184" i="10"/>
  <c r="AG149" i="7"/>
  <c r="U146" i="10"/>
  <c r="U180" i="10"/>
  <c r="AG183" i="7"/>
  <c r="T146" i="10"/>
  <c r="AF149" i="7"/>
  <c r="U172" i="10"/>
  <c r="AG175" i="7"/>
  <c r="T178" i="10"/>
  <c r="AF181" i="7"/>
  <c r="AE142" i="7"/>
  <c r="S139" i="10"/>
  <c r="U176" i="10"/>
  <c r="AG179" i="7"/>
  <c r="T128" i="10"/>
  <c r="AF131" i="7"/>
  <c r="AF170" i="7"/>
  <c r="T167" i="10"/>
  <c r="AE202" i="7"/>
  <c r="S199" i="10"/>
  <c r="AG110" i="7"/>
  <c r="AD110" i="3" s="1"/>
  <c r="U110" i="10"/>
  <c r="AH24" i="6"/>
  <c r="BA21" i="4"/>
  <c r="F23" i="4"/>
  <c r="BE20" i="4"/>
  <c r="AI23" i="6"/>
  <c r="F38" i="4"/>
  <c r="BM20" i="4"/>
  <c r="CB3" i="21"/>
  <c r="CC3" i="21"/>
  <c r="DM7" i="21"/>
  <c r="DL7" i="21"/>
  <c r="BP7" i="21"/>
  <c r="BQ7" i="21"/>
  <c r="BW13" i="21"/>
  <c r="BV13" i="21"/>
  <c r="BK14" i="21"/>
  <c r="BJ14" i="21"/>
  <c r="AA22" i="21"/>
  <c r="Z22" i="21"/>
  <c r="CB5" i="21"/>
  <c r="CC5" i="21"/>
  <c r="AR8" i="21"/>
  <c r="AS8" i="21"/>
  <c r="AL17" i="21"/>
  <c r="AM17" i="21"/>
  <c r="CH18" i="21"/>
  <c r="CI18" i="21"/>
  <c r="I4" i="21"/>
  <c r="H4" i="21"/>
  <c r="AG102" i="7"/>
  <c r="AD102" i="3" s="1"/>
  <c r="U102" i="10"/>
  <c r="T154" i="10"/>
  <c r="AF157" i="7"/>
  <c r="T190" i="10"/>
  <c r="AF193" i="7"/>
  <c r="AG122" i="7"/>
  <c r="AD122" i="3" s="1"/>
  <c r="U122" i="10"/>
  <c r="AG186" i="7"/>
  <c r="U183" i="10"/>
  <c r="T151" i="10"/>
  <c r="AF154" i="7"/>
  <c r="U139" i="10"/>
  <c r="AG142" i="7"/>
  <c r="S174" i="10"/>
  <c r="AE177" i="7"/>
  <c r="AE207" i="7"/>
  <c r="S204" i="10"/>
  <c r="J23" i="4"/>
  <c r="H23" i="4"/>
  <c r="V34" i="34" s="1"/>
  <c r="J38" i="4"/>
  <c r="H38" i="4"/>
  <c r="W33" i="34" s="1"/>
  <c r="AY12" i="21"/>
  <c r="AX12" i="21"/>
  <c r="DG17" i="21"/>
  <c r="DF17" i="21"/>
  <c r="U10" i="21"/>
  <c r="T10" i="21"/>
  <c r="O16" i="21"/>
  <c r="N16" i="21"/>
  <c r="N19" i="21"/>
  <c r="BK21" i="21"/>
  <c r="BJ21" i="21"/>
  <c r="AM22" i="21"/>
  <c r="AL22" i="21"/>
  <c r="BK5" i="21"/>
  <c r="BJ5" i="21"/>
  <c r="DF10" i="21"/>
  <c r="DG10" i="21"/>
  <c r="CU12" i="21"/>
  <c r="CT12" i="21"/>
  <c r="AS14" i="21"/>
  <c r="AR14" i="21"/>
  <c r="DM15" i="21"/>
  <c r="DL15" i="21"/>
  <c r="AA21" i="21"/>
  <c r="Z21" i="21"/>
  <c r="CO22" i="21"/>
  <c r="CN22" i="21"/>
  <c r="AL14" i="21"/>
  <c r="BJ10" i="21"/>
  <c r="BK10" i="21"/>
  <c r="AR19" i="21"/>
  <c r="DG4" i="21"/>
  <c r="DF4" i="21"/>
  <c r="CN19" i="21"/>
  <c r="CO19" i="21"/>
  <c r="CO17" i="21"/>
  <c r="CN17" i="21"/>
  <c r="S134" i="10"/>
  <c r="AE137" i="7"/>
  <c r="S158" i="10"/>
  <c r="AE161" i="7"/>
  <c r="AG129" i="7"/>
  <c r="U126" i="10"/>
  <c r="AG118" i="7"/>
  <c r="AD118" i="3" s="1"/>
  <c r="U118" i="10"/>
  <c r="S191" i="10"/>
  <c r="AE194" i="7"/>
  <c r="AE146" i="7"/>
  <c r="S143" i="10"/>
  <c r="U143" i="10"/>
  <c r="AG146" i="7"/>
  <c r="S179" i="10"/>
  <c r="AE182" i="7"/>
  <c r="BI16" i="4"/>
  <c r="F52" i="4"/>
  <c r="AJ19" i="6"/>
  <c r="AJ20" i="6"/>
  <c r="BI17" i="4"/>
  <c r="F53" i="4"/>
  <c r="S43" i="10"/>
  <c r="O22" i="4"/>
  <c r="BA50" i="4"/>
  <c r="AH53" i="6"/>
  <c r="S22" i="4"/>
  <c r="Q22" i="4"/>
  <c r="V63" i="34" s="1"/>
  <c r="AE39" i="4"/>
  <c r="AC39" i="4"/>
  <c r="W104" i="34" s="1"/>
  <c r="G89" i="4"/>
  <c r="AA39" i="4"/>
  <c r="AI94" i="6"/>
  <c r="BM93" i="4"/>
  <c r="BE91" i="4"/>
  <c r="D90" i="4"/>
  <c r="A91" i="4"/>
  <c r="D77" i="4"/>
  <c r="A78" i="4"/>
  <c r="G76" i="4"/>
  <c r="N140" i="7"/>
  <c r="O140" i="7" s="1"/>
  <c r="N681" i="7" l="1"/>
  <c r="R666" i="7"/>
  <c r="O669" i="7"/>
  <c r="Q669" i="7"/>
  <c r="Q111" i="7"/>
  <c r="R111" i="7" s="1"/>
  <c r="N124" i="7"/>
  <c r="R109" i="7"/>
  <c r="Q667" i="7"/>
  <c r="O667" i="7"/>
  <c r="N335" i="7"/>
  <c r="R320" i="7"/>
  <c r="Q334" i="7"/>
  <c r="O334" i="7"/>
  <c r="Q108" i="7"/>
  <c r="O108" i="7"/>
  <c r="O337" i="7"/>
  <c r="Q337" i="7"/>
  <c r="D189" i="17"/>
  <c r="D105" i="17"/>
  <c r="D259" i="17"/>
  <c r="D207" i="17"/>
  <c r="D93" i="17"/>
  <c r="D262" i="17"/>
  <c r="D427" i="17"/>
  <c r="D425" i="17"/>
  <c r="D429" i="17"/>
  <c r="D426" i="17"/>
  <c r="D428" i="17"/>
  <c r="D430" i="17"/>
  <c r="D197" i="17"/>
  <c r="D220" i="17"/>
  <c r="D185" i="17"/>
  <c r="N175" i="14"/>
  <c r="O175" i="14" s="1"/>
  <c r="N138" i="14"/>
  <c r="O138" i="14" s="1"/>
  <c r="E264" i="17" s="1"/>
  <c r="N162" i="14"/>
  <c r="O162" i="14" s="1"/>
  <c r="N167" i="14"/>
  <c r="O167" i="14" s="1"/>
  <c r="N188" i="14"/>
  <c r="O188" i="14" s="1"/>
  <c r="N185" i="14"/>
  <c r="O185" i="14" s="1"/>
  <c r="N187" i="14"/>
  <c r="O187" i="14" s="1"/>
  <c r="E263" i="17" s="1"/>
  <c r="N189" i="14"/>
  <c r="O189" i="14" s="1"/>
  <c r="N98" i="14"/>
  <c r="O98" i="14" s="1"/>
  <c r="N15" i="14"/>
  <c r="O15" i="14" s="1"/>
  <c r="N190" i="14"/>
  <c r="O190" i="14" s="1"/>
  <c r="D260" i="17"/>
  <c r="D218" i="17"/>
  <c r="D224" i="17"/>
  <c r="N37" i="14"/>
  <c r="O37" i="14" s="1"/>
  <c r="N111" i="14"/>
  <c r="O111" i="14" s="1"/>
  <c r="N165" i="14"/>
  <c r="O165" i="14" s="1"/>
  <c r="N59" i="14"/>
  <c r="O59" i="14" s="1"/>
  <c r="N53" i="14"/>
  <c r="O53" i="14" s="1"/>
  <c r="N52" i="14"/>
  <c r="O52" i="14" s="1"/>
  <c r="N118" i="14"/>
  <c r="O118" i="14" s="1"/>
  <c r="N182" i="14"/>
  <c r="O182" i="14" s="1"/>
  <c r="N86" i="14"/>
  <c r="O86" i="14" s="1"/>
  <c r="N18" i="14"/>
  <c r="O18" i="14" s="1"/>
  <c r="N100" i="14"/>
  <c r="O100" i="14" s="1"/>
  <c r="N75" i="14"/>
  <c r="O75" i="14" s="1"/>
  <c r="N26" i="14"/>
  <c r="O26" i="14" s="1"/>
  <c r="N38" i="14"/>
  <c r="O38" i="14" s="1"/>
  <c r="N5" i="14"/>
  <c r="O5" i="14" s="1"/>
  <c r="N114" i="14"/>
  <c r="O114" i="14" s="1"/>
  <c r="N87" i="14"/>
  <c r="O87" i="14" s="1"/>
  <c r="N184" i="14"/>
  <c r="O184" i="14" s="1"/>
  <c r="N123" i="14"/>
  <c r="O123" i="14" s="1"/>
  <c r="N133" i="14"/>
  <c r="O133" i="14" s="1"/>
  <c r="N124" i="14"/>
  <c r="O124" i="14" s="1"/>
  <c r="N176" i="14"/>
  <c r="O176" i="14" s="1"/>
  <c r="N8" i="14"/>
  <c r="O8" i="14" s="1"/>
  <c r="N49" i="14"/>
  <c r="O49" i="14" s="1"/>
  <c r="N16" i="14"/>
  <c r="O16" i="14" s="1"/>
  <c r="N107" i="14"/>
  <c r="O107" i="14" s="1"/>
  <c r="N181" i="14"/>
  <c r="O181" i="14" s="1"/>
  <c r="N67" i="14"/>
  <c r="O67" i="14" s="1"/>
  <c r="N110" i="14"/>
  <c r="O110" i="14" s="1"/>
  <c r="N14" i="14"/>
  <c r="O14" i="14" s="1"/>
  <c r="N63" i="14"/>
  <c r="O63" i="14" s="1"/>
  <c r="N159" i="14"/>
  <c r="O159" i="14" s="1"/>
  <c r="N82" i="14"/>
  <c r="O82" i="14" s="1"/>
  <c r="N4" i="14"/>
  <c r="O4" i="14" s="1"/>
  <c r="N21" i="14"/>
  <c r="O21" i="14" s="1"/>
  <c r="N134" i="14"/>
  <c r="O134" i="14" s="1"/>
  <c r="N186" i="14"/>
  <c r="O186" i="14" s="1"/>
  <c r="N80" i="14"/>
  <c r="O80" i="14" s="1"/>
  <c r="N39" i="14"/>
  <c r="O39" i="14" s="1"/>
  <c r="N156" i="14"/>
  <c r="O156" i="14" s="1"/>
  <c r="N146" i="14"/>
  <c r="O146" i="14" s="1"/>
  <c r="N28" i="14"/>
  <c r="O28" i="14" s="1"/>
  <c r="N48" i="14"/>
  <c r="O48" i="14" s="1"/>
  <c r="N97" i="14"/>
  <c r="O97" i="14" s="1"/>
  <c r="N168" i="14"/>
  <c r="O168" i="14" s="1"/>
  <c r="N150" i="14"/>
  <c r="O150" i="14" s="1"/>
  <c r="N96" i="14"/>
  <c r="O96" i="14" s="1"/>
  <c r="N169" i="14"/>
  <c r="O169" i="14" s="1"/>
  <c r="N127" i="14"/>
  <c r="O127" i="14" s="1"/>
  <c r="N170" i="14"/>
  <c r="O170" i="14" s="1"/>
  <c r="N180" i="14"/>
  <c r="O180" i="14" s="1"/>
  <c r="N20" i="14"/>
  <c r="O20" i="14" s="1"/>
  <c r="N108" i="14"/>
  <c r="O108" i="14" s="1"/>
  <c r="N23" i="14"/>
  <c r="O23" i="14" s="1"/>
  <c r="N68" i="14"/>
  <c r="O68" i="14" s="1"/>
  <c r="N142" i="14"/>
  <c r="O142" i="14" s="1"/>
  <c r="N40" i="14"/>
  <c r="O40" i="14" s="1"/>
  <c r="N17" i="14"/>
  <c r="O17" i="14" s="1"/>
  <c r="N79" i="14"/>
  <c r="O79" i="14" s="1"/>
  <c r="O3" i="14"/>
  <c r="N101" i="14"/>
  <c r="O101" i="14" s="1"/>
  <c r="N157" i="14"/>
  <c r="O157" i="14" s="1"/>
  <c r="N7" i="14"/>
  <c r="O7" i="14" s="1"/>
  <c r="N160" i="14"/>
  <c r="O160" i="14" s="1"/>
  <c r="N36" i="14"/>
  <c r="O36" i="14" s="1"/>
  <c r="N113" i="14"/>
  <c r="O113" i="14" s="1"/>
  <c r="N9" i="14"/>
  <c r="O9" i="14" s="1"/>
  <c r="N122" i="14"/>
  <c r="O122" i="14" s="1"/>
  <c r="N81" i="14"/>
  <c r="O81" i="14" s="1"/>
  <c r="N139" i="14"/>
  <c r="O139" i="14" s="1"/>
  <c r="N174" i="14"/>
  <c r="O174" i="14" s="1"/>
  <c r="N30" i="14"/>
  <c r="O30" i="14" s="1"/>
  <c r="N74" i="14"/>
  <c r="O74" i="14" s="1"/>
  <c r="N151" i="14"/>
  <c r="O151" i="14" s="1"/>
  <c r="N179" i="14"/>
  <c r="O179" i="14" s="1"/>
  <c r="N171" i="14"/>
  <c r="O171" i="14" s="1"/>
  <c r="N57" i="14"/>
  <c r="O57" i="14" s="1"/>
  <c r="N22" i="14"/>
  <c r="O22" i="14" s="1"/>
  <c r="N102" i="14"/>
  <c r="O102" i="14" s="1"/>
  <c r="N51" i="14"/>
  <c r="O51" i="14" s="1"/>
  <c r="N85" i="14"/>
  <c r="O85" i="14" s="1"/>
  <c r="N10" i="14"/>
  <c r="O10" i="14" s="1"/>
  <c r="N144" i="14"/>
  <c r="O144" i="14" s="1"/>
  <c r="N92" i="14"/>
  <c r="O92" i="14" s="1"/>
  <c r="N50" i="14"/>
  <c r="O50" i="14" s="1"/>
  <c r="N32" i="14"/>
  <c r="O32" i="14" s="1"/>
  <c r="N99" i="14"/>
  <c r="O99" i="14" s="1"/>
  <c r="N106" i="14"/>
  <c r="O106" i="14" s="1"/>
  <c r="N125" i="14"/>
  <c r="O125" i="14" s="1"/>
  <c r="N93" i="14"/>
  <c r="O93" i="14" s="1"/>
  <c r="N154" i="14"/>
  <c r="O154" i="14" s="1"/>
  <c r="N35" i="14"/>
  <c r="O35" i="14" s="1"/>
  <c r="N115" i="14"/>
  <c r="O115" i="14" s="1"/>
  <c r="N105" i="14"/>
  <c r="O105" i="14" s="1"/>
  <c r="N6" i="14"/>
  <c r="O6" i="14" s="1"/>
  <c r="N84" i="14"/>
  <c r="O84" i="14" s="1"/>
  <c r="N132" i="14"/>
  <c r="O132" i="14" s="1"/>
  <c r="N121" i="14"/>
  <c r="O121" i="14" s="1"/>
  <c r="N135" i="14"/>
  <c r="O135" i="14" s="1"/>
  <c r="N153" i="14"/>
  <c r="O153" i="14" s="1"/>
  <c r="N109" i="14"/>
  <c r="O109" i="14" s="1"/>
  <c r="N60" i="14"/>
  <c r="O60" i="14" s="1"/>
  <c r="N173" i="14"/>
  <c r="O173" i="14" s="1"/>
  <c r="N66" i="14"/>
  <c r="O66" i="14" s="1"/>
  <c r="N126" i="14"/>
  <c r="O126" i="14" s="1"/>
  <c r="N104" i="14"/>
  <c r="O104" i="14" s="1"/>
  <c r="N27" i="14"/>
  <c r="O27" i="14" s="1"/>
  <c r="N148" i="14"/>
  <c r="O148" i="14" s="1"/>
  <c r="N166" i="14"/>
  <c r="O166" i="14" s="1"/>
  <c r="N177" i="14"/>
  <c r="O177" i="14" s="1"/>
  <c r="N136" i="14"/>
  <c r="O136" i="14" s="1"/>
  <c r="N120" i="14"/>
  <c r="O120" i="14" s="1"/>
  <c r="N34" i="14"/>
  <c r="O34" i="14" s="1"/>
  <c r="N145" i="14"/>
  <c r="O145" i="14" s="1"/>
  <c r="N58" i="14"/>
  <c r="O58" i="14" s="1"/>
  <c r="N31" i="14"/>
  <c r="O31" i="14" s="1"/>
  <c r="N72" i="14"/>
  <c r="O72" i="14" s="1"/>
  <c r="N178" i="14"/>
  <c r="O178" i="14" s="1"/>
  <c r="N45" i="14"/>
  <c r="O45" i="14" s="1"/>
  <c r="N73" i="14"/>
  <c r="O73" i="14" s="1"/>
  <c r="D242" i="17"/>
  <c r="N12" i="14"/>
  <c r="O12" i="14" s="1"/>
  <c r="N69" i="14"/>
  <c r="O69" i="14" s="1"/>
  <c r="N172" i="14"/>
  <c r="O172" i="14" s="1"/>
  <c r="N91" i="14"/>
  <c r="O91" i="14" s="1"/>
  <c r="N56" i="14"/>
  <c r="O56" i="14" s="1"/>
  <c r="N103" i="14"/>
  <c r="O103" i="14" s="1"/>
  <c r="N65" i="14"/>
  <c r="O65" i="14" s="1"/>
  <c r="N128" i="14"/>
  <c r="O128" i="14" s="1"/>
  <c r="N112" i="14"/>
  <c r="O112" i="14" s="1"/>
  <c r="N116" i="14"/>
  <c r="O116" i="14" s="1"/>
  <c r="N130" i="14"/>
  <c r="O130" i="14" s="1"/>
  <c r="N2" i="14"/>
  <c r="O2" i="14" s="1"/>
  <c r="N71" i="14"/>
  <c r="O71" i="14" s="1"/>
  <c r="N11" i="14"/>
  <c r="O11" i="14" s="1"/>
  <c r="N44" i="14"/>
  <c r="O44" i="14" s="1"/>
  <c r="N43" i="14"/>
  <c r="O43" i="14" s="1"/>
  <c r="N131" i="14"/>
  <c r="O131" i="14" s="1"/>
  <c r="N78" i="14"/>
  <c r="O78" i="14" s="1"/>
  <c r="N90" i="14"/>
  <c r="O90" i="14" s="1"/>
  <c r="N70" i="14"/>
  <c r="O70" i="14" s="1"/>
  <c r="N42" i="14"/>
  <c r="O42" i="14" s="1"/>
  <c r="N143" i="14"/>
  <c r="O143" i="14" s="1"/>
  <c r="N119" i="14"/>
  <c r="O119" i="14" s="1"/>
  <c r="N95" i="14"/>
  <c r="O95" i="14" s="1"/>
  <c r="N64" i="14"/>
  <c r="O64" i="14" s="1"/>
  <c r="N94" i="14"/>
  <c r="O94" i="14" s="1"/>
  <c r="N46" i="14"/>
  <c r="O46" i="14" s="1"/>
  <c r="N161" i="14"/>
  <c r="O161" i="14" s="1"/>
  <c r="N158" i="14"/>
  <c r="O158" i="14" s="1"/>
  <c r="N149" i="14"/>
  <c r="O149" i="14" s="1"/>
  <c r="N164" i="14"/>
  <c r="O164" i="14" s="1"/>
  <c r="N24" i="14"/>
  <c r="O24" i="14" s="1"/>
  <c r="N25" i="14"/>
  <c r="O25" i="14" s="1"/>
  <c r="N183" i="14"/>
  <c r="O183" i="14" s="1"/>
  <c r="N13" i="14"/>
  <c r="O13" i="14" s="1"/>
  <c r="N19" i="14"/>
  <c r="O19" i="14" s="1"/>
  <c r="N61" i="14"/>
  <c r="O61" i="14" s="1"/>
  <c r="N33" i="14"/>
  <c r="O33" i="14" s="1"/>
  <c r="N47" i="14"/>
  <c r="O47" i="14" s="1"/>
  <c r="N155" i="14"/>
  <c r="O155" i="14" s="1"/>
  <c r="N147" i="14"/>
  <c r="O147" i="14" s="1"/>
  <c r="N117" i="14"/>
  <c r="O117" i="14" s="1"/>
  <c r="E188" i="17" s="1"/>
  <c r="N163" i="14"/>
  <c r="O163" i="14" s="1"/>
  <c r="N152" i="14"/>
  <c r="O152" i="14" s="1"/>
  <c r="E272" i="17"/>
  <c r="E270" i="17"/>
  <c r="D232" i="17"/>
  <c r="E271" i="17"/>
  <c r="E273" i="17"/>
  <c r="N125" i="15"/>
  <c r="O125" i="15" s="1"/>
  <c r="N177" i="15"/>
  <c r="O177" i="15" s="1"/>
  <c r="N176" i="15"/>
  <c r="O176" i="15" s="1"/>
  <c r="E455" i="17"/>
  <c r="Y225" i="10"/>
  <c r="X226" i="10"/>
  <c r="X250" i="10"/>
  <c r="Y249" i="10"/>
  <c r="X303" i="10"/>
  <c r="Y302" i="10"/>
  <c r="Y216" i="10"/>
  <c r="X217" i="10"/>
  <c r="X441" i="10"/>
  <c r="Y440" i="10"/>
  <c r="Y40" i="10"/>
  <c r="X41" i="10"/>
  <c r="X168" i="10"/>
  <c r="Y167" i="10"/>
  <c r="Y65" i="10"/>
  <c r="X66" i="10"/>
  <c r="X335" i="10"/>
  <c r="Y390" i="10"/>
  <c r="X391" i="10"/>
  <c r="X95" i="10"/>
  <c r="Y94" i="10"/>
  <c r="Y99" i="10"/>
  <c r="X100" i="10"/>
  <c r="X124" i="10"/>
  <c r="Y123" i="10"/>
  <c r="Y118" i="10"/>
  <c r="X119" i="10"/>
  <c r="X278" i="10"/>
  <c r="Y277" i="10"/>
  <c r="X147" i="10"/>
  <c r="Y146" i="10"/>
  <c r="Y44" i="10"/>
  <c r="X45" i="10"/>
  <c r="D206" i="17"/>
  <c r="N168" i="15"/>
  <c r="O168" i="15" s="1"/>
  <c r="N104" i="15"/>
  <c r="O104" i="15" s="1"/>
  <c r="D261" i="17"/>
  <c r="X199" i="10"/>
  <c r="Y198" i="10"/>
  <c r="X367" i="10"/>
  <c r="Y366" i="10"/>
  <c r="X495" i="10"/>
  <c r="Y494" i="10"/>
  <c r="D250" i="17"/>
  <c r="D195" i="17"/>
  <c r="N81" i="15"/>
  <c r="O81" i="15" s="1"/>
  <c r="N143" i="15"/>
  <c r="O143" i="15" s="1"/>
  <c r="N30" i="15"/>
  <c r="O30" i="15" s="1"/>
  <c r="N122" i="15"/>
  <c r="O122" i="15" s="1"/>
  <c r="N64" i="15"/>
  <c r="O64" i="15" s="1"/>
  <c r="N153" i="15"/>
  <c r="O153" i="15" s="1"/>
  <c r="N42" i="15"/>
  <c r="O42" i="15" s="1"/>
  <c r="N69" i="15"/>
  <c r="O69" i="15" s="1"/>
  <c r="D253" i="17"/>
  <c r="D219" i="17"/>
  <c r="D380" i="17"/>
  <c r="N140" i="14"/>
  <c r="O140" i="14" s="1"/>
  <c r="N29" i="14"/>
  <c r="O29" i="14" s="1"/>
  <c r="N77" i="14"/>
  <c r="O77" i="14" s="1"/>
  <c r="E158" i="17" s="1"/>
  <c r="D171" i="17"/>
  <c r="D225" i="17"/>
  <c r="D119" i="17"/>
  <c r="D193" i="17"/>
  <c r="D179" i="17"/>
  <c r="D110" i="17"/>
  <c r="D118" i="17"/>
  <c r="D127" i="17"/>
  <c r="D161" i="17"/>
  <c r="D223" i="17"/>
  <c r="D176" i="17"/>
  <c r="D90" i="17"/>
  <c r="D149" i="17"/>
  <c r="D420" i="17"/>
  <c r="D246" i="17"/>
  <c r="D209" i="17"/>
  <c r="D233" i="17"/>
  <c r="D255" i="17"/>
  <c r="D121" i="17"/>
  <c r="D202" i="17"/>
  <c r="D123" i="17"/>
  <c r="D114" i="17"/>
  <c r="D92" i="17"/>
  <c r="D177" i="17"/>
  <c r="D80" i="17"/>
  <c r="D116" i="17"/>
  <c r="D87" i="17"/>
  <c r="D137" i="17"/>
  <c r="D229" i="17"/>
  <c r="D146" i="17"/>
  <c r="D133" i="17"/>
  <c r="D251" i="17"/>
  <c r="D147" i="17"/>
  <c r="D167" i="17"/>
  <c r="D173" i="17"/>
  <c r="D148" i="17"/>
  <c r="D204" i="17"/>
  <c r="D234" i="17"/>
  <c r="D134" i="17"/>
  <c r="D201" i="17"/>
  <c r="D145" i="17"/>
  <c r="D131" i="17"/>
  <c r="D182" i="17"/>
  <c r="D169" i="17"/>
  <c r="D99" i="17"/>
  <c r="D106" i="17"/>
  <c r="D205" i="17"/>
  <c r="D228" i="17"/>
  <c r="N129" i="15"/>
  <c r="O129" i="15" s="1"/>
  <c r="D184" i="17"/>
  <c r="D129" i="17"/>
  <c r="D191" i="17"/>
  <c r="D96" i="17"/>
  <c r="D91" i="17"/>
  <c r="N78" i="15"/>
  <c r="O78" i="15" s="1"/>
  <c r="N126" i="15"/>
  <c r="O126" i="15" s="1"/>
  <c r="N175" i="15"/>
  <c r="O175" i="15" s="1"/>
  <c r="N44" i="15"/>
  <c r="O44" i="15" s="1"/>
  <c r="D172" i="17"/>
  <c r="N121" i="15"/>
  <c r="O121" i="15" s="1"/>
  <c r="D135" i="17"/>
  <c r="D199" i="17"/>
  <c r="D77" i="17"/>
  <c r="D181" i="17"/>
  <c r="D128" i="17"/>
  <c r="D156" i="17"/>
  <c r="D231" i="17"/>
  <c r="D88" i="17"/>
  <c r="D150" i="17"/>
  <c r="D165" i="17"/>
  <c r="D252" i="17"/>
  <c r="D113" i="17"/>
  <c r="N169" i="15"/>
  <c r="O169" i="15" s="1"/>
  <c r="D237" i="17"/>
  <c r="D78" i="17"/>
  <c r="D208" i="17"/>
  <c r="D186" i="17"/>
  <c r="D370" i="17"/>
  <c r="D102" i="17"/>
  <c r="D84" i="17"/>
  <c r="D136" i="17"/>
  <c r="D190" i="17"/>
  <c r="D164" i="17"/>
  <c r="D100" i="17"/>
  <c r="D125" i="17"/>
  <c r="D157" i="17"/>
  <c r="D216" i="17"/>
  <c r="D142" i="17"/>
  <c r="D82" i="17"/>
  <c r="D241" i="17"/>
  <c r="D256" i="17"/>
  <c r="D257" i="17"/>
  <c r="D203" i="17"/>
  <c r="D240" i="17"/>
  <c r="D188" i="17"/>
  <c r="D158" i="17"/>
  <c r="D235" i="17"/>
  <c r="D196" i="17"/>
  <c r="D222" i="17"/>
  <c r="D249" i="17"/>
  <c r="D153" i="17"/>
  <c r="D166" i="17"/>
  <c r="D227" i="17"/>
  <c r="D175" i="17"/>
  <c r="D117" i="17"/>
  <c r="D239" i="17"/>
  <c r="D141" i="17"/>
  <c r="D86" i="17"/>
  <c r="D89" i="17"/>
  <c r="D192" i="17"/>
  <c r="D162" i="17"/>
  <c r="N39" i="15"/>
  <c r="O39" i="15" s="1"/>
  <c r="N123" i="15"/>
  <c r="O123" i="15" s="1"/>
  <c r="N114" i="15"/>
  <c r="O114" i="15" s="1"/>
  <c r="N118" i="15"/>
  <c r="O118" i="15" s="1"/>
  <c r="N110" i="15"/>
  <c r="O110" i="15" s="1"/>
  <c r="N3" i="15"/>
  <c r="O3" i="15" s="1"/>
  <c r="N15" i="15"/>
  <c r="O15" i="15" s="1"/>
  <c r="N75" i="15"/>
  <c r="O75" i="15" s="1"/>
  <c r="D103" i="17"/>
  <c r="N105" i="15"/>
  <c r="O105" i="15" s="1"/>
  <c r="N101" i="15"/>
  <c r="O101" i="15" s="1"/>
  <c r="N33" i="15"/>
  <c r="O33" i="15" s="1"/>
  <c r="N58" i="15"/>
  <c r="O58" i="15" s="1"/>
  <c r="N171" i="15"/>
  <c r="O171" i="15" s="1"/>
  <c r="N9" i="15"/>
  <c r="O9" i="15" s="1"/>
  <c r="N147" i="15"/>
  <c r="O147" i="15" s="1"/>
  <c r="N107" i="15"/>
  <c r="O107" i="15" s="1"/>
  <c r="N152" i="15"/>
  <c r="O152" i="15" s="1"/>
  <c r="D104" i="17"/>
  <c r="D144" i="17"/>
  <c r="D230" i="17"/>
  <c r="D140" i="17"/>
  <c r="D168" i="17"/>
  <c r="D389" i="17"/>
  <c r="N89" i="15"/>
  <c r="O89" i="15" s="1"/>
  <c r="N141" i="15"/>
  <c r="O141" i="15" s="1"/>
  <c r="N36" i="15"/>
  <c r="O36" i="15" s="1"/>
  <c r="N146" i="15"/>
  <c r="O146" i="15" s="1"/>
  <c r="N74" i="15"/>
  <c r="O74" i="15" s="1"/>
  <c r="N109" i="15"/>
  <c r="O109" i="15" s="1"/>
  <c r="N120" i="15"/>
  <c r="O120" i="15" s="1"/>
  <c r="N10" i="15"/>
  <c r="O10" i="15" s="1"/>
  <c r="D238" i="17"/>
  <c r="D211" i="17"/>
  <c r="D283" i="17"/>
  <c r="D337" i="17"/>
  <c r="D334" i="17"/>
  <c r="D226" i="17"/>
  <c r="D245" i="17"/>
  <c r="D76" i="17"/>
  <c r="D151" i="17"/>
  <c r="D74" i="17"/>
  <c r="D132" i="17"/>
  <c r="D243" i="17"/>
  <c r="D236" i="17"/>
  <c r="D94" i="17"/>
  <c r="D200" i="17"/>
  <c r="D95" i="17"/>
  <c r="D178" i="17"/>
  <c r="D247" i="17"/>
  <c r="D111" i="17"/>
  <c r="D126" i="17"/>
  <c r="D421" i="17"/>
  <c r="D282" i="17"/>
  <c r="D323" i="17"/>
  <c r="D442" i="17"/>
  <c r="D112" i="17"/>
  <c r="D170" i="17"/>
  <c r="D396" i="17"/>
  <c r="D391" i="17"/>
  <c r="D143" i="17"/>
  <c r="D130" i="17"/>
  <c r="D85" i="17"/>
  <c r="D221" i="17"/>
  <c r="D107" i="17"/>
  <c r="D138" i="17"/>
  <c r="D212" i="17"/>
  <c r="D198" i="17"/>
  <c r="D215" i="17"/>
  <c r="D124" i="17"/>
  <c r="D152" i="17"/>
  <c r="D109" i="17"/>
  <c r="D108" i="17"/>
  <c r="D254" i="17"/>
  <c r="D244" i="17"/>
  <c r="D180" i="17"/>
  <c r="D174" i="17"/>
  <c r="D187" i="17"/>
  <c r="D183" i="17"/>
  <c r="D139" i="17"/>
  <c r="D97" i="17"/>
  <c r="D122" i="17"/>
  <c r="D194" i="17"/>
  <c r="D98" i="17"/>
  <c r="D210" i="17"/>
  <c r="D81" i="17"/>
  <c r="D217" i="17"/>
  <c r="D160" i="17"/>
  <c r="D363" i="17"/>
  <c r="D437" i="17"/>
  <c r="D367" i="17"/>
  <c r="D445" i="17"/>
  <c r="N70" i="15"/>
  <c r="O70" i="15" s="1"/>
  <c r="N12" i="15"/>
  <c r="O12" i="15" s="1"/>
  <c r="N51" i="15"/>
  <c r="O51" i="15" s="1"/>
  <c r="N157" i="15"/>
  <c r="O157" i="15" s="1"/>
  <c r="N106" i="15"/>
  <c r="O106" i="15" s="1"/>
  <c r="N20" i="15"/>
  <c r="O20" i="15" s="1"/>
  <c r="N80" i="15"/>
  <c r="O80" i="15" s="1"/>
  <c r="N150" i="15"/>
  <c r="O150" i="15" s="1"/>
  <c r="N95" i="15"/>
  <c r="O95" i="15" s="1"/>
  <c r="N163" i="15"/>
  <c r="O163" i="15" s="1"/>
  <c r="D339" i="17"/>
  <c r="D322" i="17"/>
  <c r="D248" i="17"/>
  <c r="N113" i="15"/>
  <c r="O113" i="15" s="1"/>
  <c r="N4" i="15"/>
  <c r="O4" i="15" s="1"/>
  <c r="N127" i="15"/>
  <c r="O127" i="15" s="1"/>
  <c r="N111" i="15"/>
  <c r="O111" i="15" s="1"/>
  <c r="N159" i="15"/>
  <c r="O159" i="15" s="1"/>
  <c r="N38" i="15"/>
  <c r="O38" i="15" s="1"/>
  <c r="N32" i="15"/>
  <c r="O32" i="15" s="1"/>
  <c r="N124" i="15"/>
  <c r="O124" i="15" s="1"/>
  <c r="N50" i="15"/>
  <c r="O50" i="15" s="1"/>
  <c r="N103" i="15"/>
  <c r="O103" i="15" s="1"/>
  <c r="N149" i="15"/>
  <c r="O149" i="15" s="1"/>
  <c r="N57" i="15"/>
  <c r="O57" i="15" s="1"/>
  <c r="N98" i="15"/>
  <c r="O98" i="15" s="1"/>
  <c r="N72" i="15"/>
  <c r="O72" i="15" s="1"/>
  <c r="N67" i="15"/>
  <c r="O67" i="15" s="1"/>
  <c r="N28" i="15"/>
  <c r="O28" i="15" s="1"/>
  <c r="N131" i="15"/>
  <c r="O131" i="15" s="1"/>
  <c r="N65" i="15"/>
  <c r="O65" i="15" s="1"/>
  <c r="N82" i="15"/>
  <c r="O82" i="15" s="1"/>
  <c r="N37" i="15"/>
  <c r="O37" i="15" s="1"/>
  <c r="D115" i="17"/>
  <c r="D101" i="17"/>
  <c r="D332" i="17"/>
  <c r="D310" i="17"/>
  <c r="D284" i="17"/>
  <c r="D441" i="17"/>
  <c r="D301" i="17"/>
  <c r="D414" i="17"/>
  <c r="N62" i="15"/>
  <c r="O62" i="15" s="1"/>
  <c r="N108" i="15"/>
  <c r="O108" i="15" s="1"/>
  <c r="N165" i="15"/>
  <c r="O165" i="15" s="1"/>
  <c r="N173" i="15"/>
  <c r="O173" i="15" s="1"/>
  <c r="N156" i="15"/>
  <c r="O156" i="15" s="1"/>
  <c r="N25" i="15"/>
  <c r="O25" i="15" s="1"/>
  <c r="N179" i="15"/>
  <c r="O179" i="15" s="1"/>
  <c r="N14" i="15"/>
  <c r="O14" i="15" s="1"/>
  <c r="N35" i="15"/>
  <c r="O35" i="15" s="1"/>
  <c r="N53" i="15"/>
  <c r="O53" i="15" s="1"/>
  <c r="N180" i="15"/>
  <c r="O180" i="15" s="1"/>
  <c r="N43" i="15"/>
  <c r="O43" i="15" s="1"/>
  <c r="N174" i="15"/>
  <c r="O174" i="15" s="1"/>
  <c r="N90" i="15"/>
  <c r="O90" i="15" s="1"/>
  <c r="N161" i="15"/>
  <c r="O161" i="15" s="1"/>
  <c r="N52" i="15"/>
  <c r="O52" i="15" s="1"/>
  <c r="N6" i="15"/>
  <c r="O6" i="15" s="1"/>
  <c r="N112" i="15"/>
  <c r="O112" i="15" s="1"/>
  <c r="N34" i="15"/>
  <c r="O34" i="15" s="1"/>
  <c r="N77" i="15"/>
  <c r="O77" i="15" s="1"/>
  <c r="N73" i="15"/>
  <c r="O73" i="15" s="1"/>
  <c r="N170" i="15"/>
  <c r="O170" i="15" s="1"/>
  <c r="N100" i="15"/>
  <c r="O100" i="15" s="1"/>
  <c r="N97" i="15"/>
  <c r="O97" i="15" s="1"/>
  <c r="D159" i="17"/>
  <c r="D359" i="17"/>
  <c r="D213" i="17"/>
  <c r="D83" i="17"/>
  <c r="D154" i="17"/>
  <c r="D300" i="17"/>
  <c r="D453" i="17"/>
  <c r="D440" i="17"/>
  <c r="D433" i="17"/>
  <c r="D357" i="17"/>
  <c r="D398" i="17"/>
  <c r="D341" i="17"/>
  <c r="N135" i="15"/>
  <c r="O135" i="15" s="1"/>
  <c r="N40" i="15"/>
  <c r="O40" i="15" s="1"/>
  <c r="N71" i="15"/>
  <c r="O71" i="15" s="1"/>
  <c r="N31" i="15"/>
  <c r="O31" i="15" s="1"/>
  <c r="N45" i="15"/>
  <c r="O45" i="15" s="1"/>
  <c r="N88" i="15"/>
  <c r="O88" i="15" s="1"/>
  <c r="N96" i="15"/>
  <c r="O96" i="15" s="1"/>
  <c r="N48" i="15"/>
  <c r="O48" i="15" s="1"/>
  <c r="N99" i="15"/>
  <c r="O99" i="15" s="1"/>
  <c r="N59" i="15"/>
  <c r="O59" i="15" s="1"/>
  <c r="N151" i="15"/>
  <c r="O151" i="15" s="1"/>
  <c r="N162" i="15"/>
  <c r="O162" i="15" s="1"/>
  <c r="N145" i="15"/>
  <c r="O145" i="15" s="1"/>
  <c r="N136" i="15"/>
  <c r="O136" i="15" s="1"/>
  <c r="N46" i="15"/>
  <c r="O46" i="15" s="1"/>
  <c r="N56" i="15"/>
  <c r="O56" i="15" s="1"/>
  <c r="N26" i="15"/>
  <c r="O26" i="15" s="1"/>
  <c r="N158" i="15"/>
  <c r="O158" i="15" s="1"/>
  <c r="N155" i="15"/>
  <c r="O155" i="15" s="1"/>
  <c r="N16" i="15"/>
  <c r="O16" i="15" s="1"/>
  <c r="N133" i="15"/>
  <c r="O133" i="15" s="1"/>
  <c r="N134" i="15"/>
  <c r="O134" i="15" s="1"/>
  <c r="N87" i="15"/>
  <c r="O87" i="15" s="1"/>
  <c r="N66" i="15"/>
  <c r="O66" i="15" s="1"/>
  <c r="N55" i="15"/>
  <c r="O55" i="15" s="1"/>
  <c r="N137" i="15"/>
  <c r="O137" i="15" s="1"/>
  <c r="N29" i="15"/>
  <c r="O29" i="15" s="1"/>
  <c r="N18" i="15"/>
  <c r="O18" i="15" s="1"/>
  <c r="N83" i="15"/>
  <c r="O83" i="15" s="1"/>
  <c r="N5" i="15"/>
  <c r="O5" i="15" s="1"/>
  <c r="N23" i="15"/>
  <c r="O23" i="15" s="1"/>
  <c r="N41" i="15"/>
  <c r="O41" i="15" s="1"/>
  <c r="N138" i="15"/>
  <c r="O138" i="15" s="1"/>
  <c r="N115" i="15"/>
  <c r="O115" i="15" s="1"/>
  <c r="N154" i="15"/>
  <c r="O154" i="15" s="1"/>
  <c r="N47" i="15"/>
  <c r="O47" i="15" s="1"/>
  <c r="N116" i="15"/>
  <c r="O116" i="15" s="1"/>
  <c r="N139" i="15"/>
  <c r="O139" i="15" s="1"/>
  <c r="N22" i="15"/>
  <c r="O22" i="15" s="1"/>
  <c r="N49" i="15"/>
  <c r="O49" i="15" s="1"/>
  <c r="N61" i="15"/>
  <c r="O61" i="15" s="1"/>
  <c r="D326" i="17"/>
  <c r="D344" i="17"/>
  <c r="D293" i="17"/>
  <c r="D405" i="17"/>
  <c r="D313" i="17"/>
  <c r="D288" i="17"/>
  <c r="D402" i="17"/>
  <c r="D278" i="17"/>
  <c r="N27" i="15"/>
  <c r="O27" i="15" s="1"/>
  <c r="N128" i="15"/>
  <c r="O128" i="15" s="1"/>
  <c r="N172" i="15"/>
  <c r="O172" i="15" s="1"/>
  <c r="N130" i="15"/>
  <c r="O130" i="15" s="1"/>
  <c r="N160" i="15"/>
  <c r="O160" i="15" s="1"/>
  <c r="N84" i="15"/>
  <c r="O84" i="15" s="1"/>
  <c r="N132" i="15"/>
  <c r="O132" i="15" s="1"/>
  <c r="N93" i="15"/>
  <c r="O93" i="15" s="1"/>
  <c r="N24" i="15"/>
  <c r="O24" i="15" s="1"/>
  <c r="N117" i="15"/>
  <c r="O117" i="15" s="1"/>
  <c r="N11" i="15"/>
  <c r="O11" i="15" s="1"/>
  <c r="N19" i="15"/>
  <c r="O19" i="15" s="1"/>
  <c r="N142" i="15"/>
  <c r="O142" i="15" s="1"/>
  <c r="N21" i="15"/>
  <c r="O21" i="15" s="1"/>
  <c r="N166" i="15"/>
  <c r="O166" i="15" s="1"/>
  <c r="N119" i="15"/>
  <c r="O119" i="15" s="1"/>
  <c r="N76" i="15"/>
  <c r="O76" i="15" s="1"/>
  <c r="N148" i="15"/>
  <c r="O148" i="15" s="1"/>
  <c r="N164" i="15"/>
  <c r="O164" i="15" s="1"/>
  <c r="N17" i="15"/>
  <c r="O17" i="15" s="1"/>
  <c r="N178" i="15"/>
  <c r="O178" i="15" s="1"/>
  <c r="N91" i="15"/>
  <c r="O91" i="15" s="1"/>
  <c r="N94" i="15"/>
  <c r="O94" i="15" s="1"/>
  <c r="N102" i="15"/>
  <c r="O102" i="15" s="1"/>
  <c r="N92" i="15"/>
  <c r="O92" i="15" s="1"/>
  <c r="N85" i="15"/>
  <c r="O85" i="15" s="1"/>
  <c r="O2" i="15"/>
  <c r="N79" i="15"/>
  <c r="O79" i="15" s="1"/>
  <c r="N86" i="15"/>
  <c r="O86" i="15" s="1"/>
  <c r="N54" i="15"/>
  <c r="O54" i="15" s="1"/>
  <c r="N7" i="15"/>
  <c r="O7" i="15" s="1"/>
  <c r="N167" i="15"/>
  <c r="O167" i="15" s="1"/>
  <c r="N8" i="15"/>
  <c r="O8" i="15" s="1"/>
  <c r="N144" i="15"/>
  <c r="O144" i="15" s="1"/>
  <c r="N63" i="15"/>
  <c r="O63" i="15" s="1"/>
  <c r="N68" i="15"/>
  <c r="O68" i="15" s="1"/>
  <c r="N140" i="15"/>
  <c r="O140" i="15" s="1"/>
  <c r="N60" i="15"/>
  <c r="O60" i="15" s="1"/>
  <c r="N13" i="15"/>
  <c r="O13" i="15" s="1"/>
  <c r="N89" i="14"/>
  <c r="O89" i="14" s="1"/>
  <c r="N54" i="14"/>
  <c r="O54" i="14" s="1"/>
  <c r="N88" i="14"/>
  <c r="O88" i="14" s="1"/>
  <c r="N41" i="14"/>
  <c r="O41" i="14" s="1"/>
  <c r="N129" i="14"/>
  <c r="O129" i="14" s="1"/>
  <c r="N55" i="14"/>
  <c r="O55" i="14" s="1"/>
  <c r="N141" i="14"/>
  <c r="O141" i="14" s="1"/>
  <c r="N62" i="14"/>
  <c r="O62" i="14" s="1"/>
  <c r="N137" i="14"/>
  <c r="O137" i="14" s="1"/>
  <c r="N76" i="14"/>
  <c r="O76" i="14" s="1"/>
  <c r="E156" i="17" s="1"/>
  <c r="N83" i="14"/>
  <c r="O83" i="14" s="1"/>
  <c r="D120" i="17"/>
  <c r="D214" i="17"/>
  <c r="D75" i="17"/>
  <c r="D155" i="17"/>
  <c r="D311" i="17"/>
  <c r="D392" i="17"/>
  <c r="D279" i="17"/>
  <c r="D163" i="17"/>
  <c r="D302" i="17"/>
  <c r="D452" i="17"/>
  <c r="D318" i="17"/>
  <c r="D422" i="17"/>
  <c r="D324" i="17"/>
  <c r="D447" i="17"/>
  <c r="D432" i="17"/>
  <c r="D338" i="17"/>
  <c r="D325" i="17"/>
  <c r="D316" i="17"/>
  <c r="D394" i="17"/>
  <c r="D298" i="17"/>
  <c r="D435" i="17"/>
  <c r="D450" i="17"/>
  <c r="D393" i="17"/>
  <c r="D383" i="17"/>
  <c r="D387" i="17"/>
  <c r="D291" i="17"/>
  <c r="D333" i="17"/>
  <c r="D281" i="17"/>
  <c r="D406" i="17"/>
  <c r="D400" i="17"/>
  <c r="D340" i="17"/>
  <c r="D424" i="17"/>
  <c r="D438" i="17"/>
  <c r="D277" i="17"/>
  <c r="D409" i="17"/>
  <c r="D321" i="17"/>
  <c r="D382" i="17"/>
  <c r="D350" i="17"/>
  <c r="D308" i="17"/>
  <c r="D412" i="17"/>
  <c r="D299" i="17"/>
  <c r="D410" i="17"/>
  <c r="D368" i="17"/>
  <c r="D352" i="17"/>
  <c r="D306" i="17"/>
  <c r="D285" i="17"/>
  <c r="D353" i="17"/>
  <c r="D395" i="17"/>
  <c r="D330" i="17"/>
  <c r="D366" i="17"/>
  <c r="D461" i="17"/>
  <c r="D349" i="17"/>
  <c r="D347" i="17"/>
  <c r="D365" i="17"/>
  <c r="D416" i="17"/>
  <c r="D381" i="17"/>
  <c r="D362" i="17"/>
  <c r="D449" i="17"/>
  <c r="D386" i="17"/>
  <c r="D314" i="17"/>
  <c r="D348" i="17"/>
  <c r="D295" i="17"/>
  <c r="D390" i="17"/>
  <c r="D451" i="17"/>
  <c r="D360" i="17"/>
  <c r="D431" i="17"/>
  <c r="D309" i="17"/>
  <c r="D439" i="17"/>
  <c r="D305" i="17"/>
  <c r="D275" i="17"/>
  <c r="D286" i="17"/>
  <c r="D335" i="17"/>
  <c r="D379" i="17"/>
  <c r="D356" i="17"/>
  <c r="D336" i="17"/>
  <c r="D372" i="17"/>
  <c r="D444" i="17"/>
  <c r="D327" i="17"/>
  <c r="D294" i="17"/>
  <c r="D280" i="17"/>
  <c r="D373" i="17"/>
  <c r="D388" i="17"/>
  <c r="D304" i="17"/>
  <c r="D331" i="17"/>
  <c r="D346" i="17"/>
  <c r="D354" i="17"/>
  <c r="D343" i="17"/>
  <c r="D419" i="17"/>
  <c r="D358" i="17"/>
  <c r="D317" i="17"/>
  <c r="D460" i="17"/>
  <c r="D329" i="17"/>
  <c r="D403" i="17"/>
  <c r="D454" i="17"/>
  <c r="D369" i="17"/>
  <c r="D418" i="17"/>
  <c r="D292" i="17"/>
  <c r="E461" i="17"/>
  <c r="D411" i="17"/>
  <c r="D448" i="17"/>
  <c r="D364" i="17"/>
  <c r="D290" i="17"/>
  <c r="D361" i="17"/>
  <c r="D462" i="17"/>
  <c r="D374" i="17"/>
  <c r="D397" i="17"/>
  <c r="D384" i="17"/>
  <c r="D446" i="17"/>
  <c r="D296" i="17"/>
  <c r="D377" i="17"/>
  <c r="D320" i="17"/>
  <c r="D287" i="17"/>
  <c r="D415" i="17"/>
  <c r="D371" i="17"/>
  <c r="D342" i="17"/>
  <c r="E462" i="17"/>
  <c r="D303" i="17"/>
  <c r="D423" i="17"/>
  <c r="D376" i="17"/>
  <c r="D401" i="17"/>
  <c r="D355" i="17"/>
  <c r="D375" i="17"/>
  <c r="D404" i="17"/>
  <c r="D407" i="17"/>
  <c r="D315" i="17"/>
  <c r="D408" i="17"/>
  <c r="D417" i="17"/>
  <c r="D312" i="17"/>
  <c r="D289" i="17"/>
  <c r="D307" i="17"/>
  <c r="D276" i="17"/>
  <c r="D436" i="17"/>
  <c r="D443" i="17"/>
  <c r="D345" i="17"/>
  <c r="D351" i="17"/>
  <c r="D319" i="17"/>
  <c r="D399" i="17"/>
  <c r="D297" i="17"/>
  <c r="D378" i="17"/>
  <c r="D413" i="17"/>
  <c r="D385" i="17"/>
  <c r="D328" i="17"/>
  <c r="D434" i="17"/>
  <c r="N562" i="7"/>
  <c r="D258" i="17"/>
  <c r="AL13" i="21"/>
  <c r="DF15" i="21"/>
  <c r="N336" i="7"/>
  <c r="O336" i="7" s="1"/>
  <c r="Q668" i="7"/>
  <c r="R668" i="7" s="1"/>
  <c r="N126" i="7"/>
  <c r="O126" i="7" s="1"/>
  <c r="BA31" i="4"/>
  <c r="I23" i="4"/>
  <c r="AH34" i="6"/>
  <c r="I52" i="4"/>
  <c r="BI24" i="4"/>
  <c r="AJ27" i="6"/>
  <c r="AJ28" i="6"/>
  <c r="BI25" i="4"/>
  <c r="I53" i="4"/>
  <c r="M23" i="4"/>
  <c r="K23" i="4"/>
  <c r="V44" i="34" s="1"/>
  <c r="AF23" i="7"/>
  <c r="AC23" i="3" s="1"/>
  <c r="T23" i="10"/>
  <c r="S24" i="10"/>
  <c r="AE24" i="7"/>
  <c r="AB24" i="3" s="1"/>
  <c r="M52" i="4"/>
  <c r="K52" i="4"/>
  <c r="X35" i="34" s="1"/>
  <c r="M53" i="4"/>
  <c r="K53" i="4"/>
  <c r="X36" i="34" s="1"/>
  <c r="AG20" i="7"/>
  <c r="AD20" i="3" s="1"/>
  <c r="U20" i="10"/>
  <c r="BM30" i="4"/>
  <c r="I38" i="4"/>
  <c r="AI33" i="6"/>
  <c r="BE30" i="4"/>
  <c r="U19" i="10"/>
  <c r="AG19" i="7"/>
  <c r="AD19" i="3" s="1"/>
  <c r="M38" i="4"/>
  <c r="K38" i="4"/>
  <c r="W43" i="34" s="1"/>
  <c r="V22" i="4"/>
  <c r="T22" i="4"/>
  <c r="V73" i="34" s="1"/>
  <c r="AE53" i="7"/>
  <c r="AB53" i="3" s="1"/>
  <c r="S53" i="10"/>
  <c r="BA60" i="4"/>
  <c r="R22" i="4"/>
  <c r="AH63" i="6"/>
  <c r="D91" i="4"/>
  <c r="A92" i="4"/>
  <c r="BE100" i="4"/>
  <c r="BM102" i="4"/>
  <c r="AI104" i="6"/>
  <c r="AD39" i="4"/>
  <c r="J76" i="4"/>
  <c r="D78" i="4"/>
  <c r="A79" i="4"/>
  <c r="G90" i="4"/>
  <c r="AH39" i="4"/>
  <c r="AI39" i="4" s="1"/>
  <c r="W124" i="34" s="1"/>
  <c r="AF39" i="4"/>
  <c r="W114" i="34" s="1"/>
  <c r="Q140" i="7"/>
  <c r="R140" i="7" s="1"/>
  <c r="J89" i="4"/>
  <c r="G77" i="4"/>
  <c r="T94" i="10"/>
  <c r="AF94" i="7"/>
  <c r="AC94" i="3" s="1"/>
  <c r="N349" i="7" l="1"/>
  <c r="R334" i="7"/>
  <c r="N682" i="7"/>
  <c r="R667" i="7"/>
  <c r="N684" i="7"/>
  <c r="R669" i="7"/>
  <c r="N123" i="7"/>
  <c r="R108" i="7"/>
  <c r="Q335" i="7"/>
  <c r="O335" i="7"/>
  <c r="Q124" i="7"/>
  <c r="O124" i="7"/>
  <c r="R337" i="7"/>
  <c r="N352" i="7"/>
  <c r="Q681" i="7"/>
  <c r="O681" i="7"/>
  <c r="E430" i="17"/>
  <c r="E87" i="17"/>
  <c r="E427" i="17"/>
  <c r="E252" i="17"/>
  <c r="E260" i="17"/>
  <c r="E215" i="17"/>
  <c r="E168" i="17"/>
  <c r="E91" i="17"/>
  <c r="E181" i="17"/>
  <c r="E75" i="17"/>
  <c r="E163" i="17"/>
  <c r="E118" i="17"/>
  <c r="E161" i="17"/>
  <c r="E107" i="17"/>
  <c r="E172" i="17"/>
  <c r="E119" i="17"/>
  <c r="E167" i="17"/>
  <c r="E425" i="17"/>
  <c r="E429" i="17"/>
  <c r="E428" i="17"/>
  <c r="E426" i="17"/>
  <c r="E247" i="17"/>
  <c r="E203" i="17"/>
  <c r="E259" i="17"/>
  <c r="E201" i="17"/>
  <c r="E210" i="17"/>
  <c r="E185" i="17"/>
  <c r="E262" i="17"/>
  <c r="E176" i="17"/>
  <c r="E74" i="17"/>
  <c r="E236" i="17"/>
  <c r="E456" i="17"/>
  <c r="E164" i="17"/>
  <c r="E239" i="17"/>
  <c r="E244" i="17"/>
  <c r="E256" i="17"/>
  <c r="E160" i="17"/>
  <c r="E123" i="17"/>
  <c r="E162" i="17"/>
  <c r="E227" i="17"/>
  <c r="Y250" i="10"/>
  <c r="X251" i="10"/>
  <c r="X227" i="10"/>
  <c r="Y226" i="10"/>
  <c r="Y303" i="10"/>
  <c r="X304" i="10"/>
  <c r="E406" i="17"/>
  <c r="X169" i="10"/>
  <c r="Y168" i="10"/>
  <c r="X442" i="10"/>
  <c r="Y441" i="10"/>
  <c r="Y41" i="10"/>
  <c r="X42" i="10"/>
  <c r="X218" i="10"/>
  <c r="Y217" i="10"/>
  <c r="X308" i="10"/>
  <c r="Y147" i="10"/>
  <c r="X148" i="10"/>
  <c r="X125" i="10"/>
  <c r="Y124" i="10"/>
  <c r="Y95" i="10"/>
  <c r="X96" i="10"/>
  <c r="Y119" i="10"/>
  <c r="X120" i="10"/>
  <c r="X101" i="10"/>
  <c r="Y100" i="10"/>
  <c r="X392" i="10"/>
  <c r="Y391" i="10"/>
  <c r="Y66" i="10"/>
  <c r="X67" i="10"/>
  <c r="X279" i="10"/>
  <c r="Y278" i="10"/>
  <c r="X336" i="10"/>
  <c r="Y335" i="10"/>
  <c r="X46" i="10"/>
  <c r="Y45" i="10"/>
  <c r="E231" i="17"/>
  <c r="E408" i="17"/>
  <c r="E380" i="17"/>
  <c r="E438" i="17"/>
  <c r="E346" i="17"/>
  <c r="E414" i="17"/>
  <c r="E391" i="17"/>
  <c r="E407" i="17"/>
  <c r="E344" i="17"/>
  <c r="E377" i="17"/>
  <c r="E383" i="17"/>
  <c r="E334" i="17"/>
  <c r="E217" i="17"/>
  <c r="E245" i="17"/>
  <c r="E261" i="17"/>
  <c r="E282" i="17"/>
  <c r="Y495" i="10"/>
  <c r="X496" i="10"/>
  <c r="X200" i="10"/>
  <c r="Y199" i="10"/>
  <c r="X368" i="10"/>
  <c r="Y367" i="10"/>
  <c r="E392" i="17"/>
  <c r="E446" i="17"/>
  <c r="E444" i="17"/>
  <c r="E443" i="17"/>
  <c r="E246" i="17"/>
  <c r="E146" i="17"/>
  <c r="E151" i="17"/>
  <c r="E441" i="17"/>
  <c r="E238" i="17"/>
  <c r="E76" i="17"/>
  <c r="E106" i="17"/>
  <c r="E98" i="17"/>
  <c r="E78" i="17"/>
  <c r="E325" i="17"/>
  <c r="E305" i="17"/>
  <c r="E337" i="17"/>
  <c r="E285" i="17"/>
  <c r="E336" i="17"/>
  <c r="E308" i="17"/>
  <c r="E358" i="17"/>
  <c r="E155" i="17"/>
  <c r="E360" i="17"/>
  <c r="E375" i="17"/>
  <c r="E439" i="17"/>
  <c r="E214" i="17"/>
  <c r="E318" i="17"/>
  <c r="E312" i="17"/>
  <c r="E134" i="17"/>
  <c r="E362" i="17"/>
  <c r="E368" i="17"/>
  <c r="E411" i="17"/>
  <c r="E286" i="17"/>
  <c r="E284" i="17"/>
  <c r="E306" i="17"/>
  <c r="E339" i="17"/>
  <c r="E403" i="17"/>
  <c r="E402" i="17"/>
  <c r="E292" i="17"/>
  <c r="E435" i="17"/>
  <c r="E288" i="17"/>
  <c r="E327" i="17"/>
  <c r="E301" i="17"/>
  <c r="E364" i="17"/>
  <c r="E281" i="17"/>
  <c r="E393" i="17"/>
  <c r="E335" i="17"/>
  <c r="E436" i="17"/>
  <c r="E378" i="17"/>
  <c r="E421" i="17"/>
  <c r="E424" i="17"/>
  <c r="E313" i="17"/>
  <c r="E289" i="17"/>
  <c r="E412" i="17"/>
  <c r="E387" i="17"/>
  <c r="E400" i="17"/>
  <c r="E388" i="17"/>
  <c r="E333" i="17"/>
  <c r="E279" i="17"/>
  <c r="E314" i="17"/>
  <c r="E110" i="17"/>
  <c r="E94" i="17"/>
  <c r="E101" i="17"/>
  <c r="E207" i="17"/>
  <c r="E135" i="17"/>
  <c r="E117" i="17"/>
  <c r="E115" i="17"/>
  <c r="E183" i="17"/>
  <c r="E356" i="17"/>
  <c r="E437" i="17"/>
  <c r="E445" i="17"/>
  <c r="E349" i="17"/>
  <c r="E372" i="17"/>
  <c r="E404" i="17"/>
  <c r="E415" i="17"/>
  <c r="E287" i="17"/>
  <c r="E322" i="17"/>
  <c r="E454" i="17"/>
  <c r="E319" i="17"/>
  <c r="E386" i="17"/>
  <c r="E320" i="17"/>
  <c r="E310" i="17"/>
  <c r="E116" i="17"/>
  <c r="E159" i="17"/>
  <c r="E255" i="17"/>
  <c r="E144" i="17"/>
  <c r="E81" i="17"/>
  <c r="E165" i="17"/>
  <c r="E440" i="17"/>
  <c r="E361" i="17"/>
  <c r="E418" i="17"/>
  <c r="E370" i="17"/>
  <c r="E357" i="17"/>
  <c r="E129" i="17"/>
  <c r="E397" i="17"/>
  <c r="E398" i="17"/>
  <c r="E283" i="17"/>
  <c r="E431" i="17"/>
  <c r="E345" i="17"/>
  <c r="E276" i="17"/>
  <c r="E330" i="17"/>
  <c r="E343" i="17"/>
  <c r="E257" i="17"/>
  <c r="E369" i="17"/>
  <c r="E432" i="17"/>
  <c r="E248" i="17"/>
  <c r="E298" i="17"/>
  <c r="E350" i="17"/>
  <c r="E177" i="17"/>
  <c r="E353" i="17"/>
  <c r="E309" i="17"/>
  <c r="E450" i="17"/>
  <c r="E338" i="17"/>
  <c r="E331" i="17"/>
  <c r="E395" i="17"/>
  <c r="E204" i="17"/>
  <c r="E416" i="17"/>
  <c r="E410" i="17"/>
  <c r="E352" i="17"/>
  <c r="E299" i="17"/>
  <c r="E315" i="17"/>
  <c r="E278" i="17"/>
  <c r="E442" i="17"/>
  <c r="E205" i="17"/>
  <c r="E125" i="17"/>
  <c r="E229" i="17"/>
  <c r="E145" i="17"/>
  <c r="E218" i="17"/>
  <c r="E147" i="17"/>
  <c r="E230" i="17"/>
  <c r="E86" i="17"/>
  <c r="E140" i="17"/>
  <c r="E190" i="17"/>
  <c r="E133" i="17"/>
  <c r="E166" i="17"/>
  <c r="E112" i="17"/>
  <c r="E240" i="17"/>
  <c r="E84" i="17"/>
  <c r="E179" i="17"/>
  <c r="E157" i="17"/>
  <c r="E85" i="17"/>
  <c r="E422" i="17"/>
  <c r="E142" i="17"/>
  <c r="E186" i="17"/>
  <c r="E303" i="17"/>
  <c r="E321" i="17"/>
  <c r="E171" i="17"/>
  <c r="E95" i="17"/>
  <c r="E195" i="17"/>
  <c r="E136" i="17"/>
  <c r="E208" i="17"/>
  <c r="E434" i="17"/>
  <c r="E275" i="17"/>
  <c r="E401" i="17"/>
  <c r="E293" i="17"/>
  <c r="E390" i="17"/>
  <c r="E302" i="17"/>
  <c r="E367" i="17"/>
  <c r="E212" i="17"/>
  <c r="E113" i="17"/>
  <c r="E405" i="17"/>
  <c r="E148" i="17"/>
  <c r="E290" i="17"/>
  <c r="E152" i="17"/>
  <c r="E182" i="17"/>
  <c r="E382" i="17"/>
  <c r="E291" i="17"/>
  <c r="E340" i="17"/>
  <c r="E366" i="17"/>
  <c r="E351" i="17"/>
  <c r="E447" i="17"/>
  <c r="E363" i="17"/>
  <c r="E317" i="17"/>
  <c r="E452" i="17"/>
  <c r="E329" i="17"/>
  <c r="E90" i="17"/>
  <c r="E423" i="17"/>
  <c r="E304" i="17"/>
  <c r="E417" i="17"/>
  <c r="E294" i="17"/>
  <c r="E347" i="17"/>
  <c r="E451" i="17"/>
  <c r="E307" i="17"/>
  <c r="E359" i="17"/>
  <c r="E209" i="17"/>
  <c r="E143" i="17"/>
  <c r="E194" i="17"/>
  <c r="E126" i="17"/>
  <c r="E235" i="17"/>
  <c r="E96" i="17"/>
  <c r="E120" i="17"/>
  <c r="E233" i="17"/>
  <c r="E82" i="17"/>
  <c r="E128" i="17"/>
  <c r="E197" i="17"/>
  <c r="E250" i="17"/>
  <c r="E189" i="17"/>
  <c r="E99" i="17"/>
  <c r="E219" i="17"/>
  <c r="E170" i="17"/>
  <c r="E193" i="17"/>
  <c r="E103" i="17"/>
  <c r="E202" i="17"/>
  <c r="E249" i="17"/>
  <c r="E111" i="17"/>
  <c r="E316" i="17"/>
  <c r="E124" i="17"/>
  <c r="E376" i="17"/>
  <c r="E323" i="17"/>
  <c r="E341" i="17"/>
  <c r="E104" i="17"/>
  <c r="E92" i="17"/>
  <c r="E389" i="17"/>
  <c r="E381" i="17"/>
  <c r="E180" i="17"/>
  <c r="E196" i="17"/>
  <c r="E419" i="17"/>
  <c r="E379" i="17"/>
  <c r="E109" i="17"/>
  <c r="E184" i="17"/>
  <c r="E206" i="17"/>
  <c r="E137" i="17"/>
  <c r="E228" i="17"/>
  <c r="E198" i="17"/>
  <c r="E141" i="17"/>
  <c r="E234" i="17"/>
  <c r="E200" i="17"/>
  <c r="E241" i="17"/>
  <c r="E174" i="17"/>
  <c r="E396" i="17"/>
  <c r="E223" i="17"/>
  <c r="E222" i="17"/>
  <c r="E409" i="17"/>
  <c r="E114" i="17"/>
  <c r="E213" i="17"/>
  <c r="E300" i="17"/>
  <c r="E324" i="17"/>
  <c r="E311" i="17"/>
  <c r="E449" i="17"/>
  <c r="E169" i="17"/>
  <c r="E130" i="17"/>
  <c r="E199" i="17"/>
  <c r="E225" i="17"/>
  <c r="E187" i="17"/>
  <c r="E131" i="17"/>
  <c r="E191" i="17"/>
  <c r="E97" i="17"/>
  <c r="E211" i="17"/>
  <c r="E127" i="17"/>
  <c r="E139" i="17"/>
  <c r="E254" i="17"/>
  <c r="E220" i="17"/>
  <c r="E79" i="17"/>
  <c r="E89" i="17"/>
  <c r="E132" i="17"/>
  <c r="E108" i="17"/>
  <c r="E100" i="17"/>
  <c r="E93" i="17"/>
  <c r="E216" i="17"/>
  <c r="E102" i="17"/>
  <c r="E122" i="17"/>
  <c r="E175" i="17"/>
  <c r="E277" i="17"/>
  <c r="E384" i="17"/>
  <c r="E385" i="17"/>
  <c r="E374" i="17"/>
  <c r="E354" i="17"/>
  <c r="E413" i="17"/>
  <c r="E460" i="17"/>
  <c r="E348" i="17"/>
  <c r="E297" i="17"/>
  <c r="E373" i="17"/>
  <c r="E420" i="17"/>
  <c r="E394" i="17"/>
  <c r="E280" i="17"/>
  <c r="E153" i="17"/>
  <c r="E328" i="17"/>
  <c r="E342" i="17"/>
  <c r="E453" i="17"/>
  <c r="E296" i="17"/>
  <c r="E332" i="17"/>
  <c r="E326" i="17"/>
  <c r="E433" i="17"/>
  <c r="E105" i="17"/>
  <c r="E371" i="17"/>
  <c r="E355" i="17"/>
  <c r="E399" i="17"/>
  <c r="E295" i="17"/>
  <c r="E448" i="17"/>
  <c r="E365" i="17"/>
  <c r="E237" i="17"/>
  <c r="E149" i="17"/>
  <c r="E243" i="17"/>
  <c r="E178" i="17"/>
  <c r="E173" i="17"/>
  <c r="E150" i="17"/>
  <c r="E80" i="17"/>
  <c r="E121" i="17"/>
  <c r="E221" i="17"/>
  <c r="E224" i="17"/>
  <c r="E154" i="17"/>
  <c r="E242" i="17"/>
  <c r="E138" i="17"/>
  <c r="E192" i="17"/>
  <c r="E253" i="17"/>
  <c r="E232" i="17"/>
  <c r="E88" i="17"/>
  <c r="E226" i="17"/>
  <c r="E77" i="17"/>
  <c r="E251" i="17"/>
  <c r="E83" i="17"/>
  <c r="E258" i="17"/>
  <c r="Q336" i="7"/>
  <c r="R336" i="7" s="1"/>
  <c r="Q562" i="7"/>
  <c r="Q126" i="7"/>
  <c r="R126" i="7" s="1"/>
  <c r="N683" i="7"/>
  <c r="O683" i="7" s="1"/>
  <c r="P38" i="4"/>
  <c r="N38" i="4"/>
  <c r="W53" i="34" s="1"/>
  <c r="T33" i="10"/>
  <c r="AF33" i="7"/>
  <c r="AC33" i="3" s="1"/>
  <c r="BI33" i="4"/>
  <c r="AJ36" i="6"/>
  <c r="L53" i="4"/>
  <c r="AH44" i="6"/>
  <c r="L23" i="4"/>
  <c r="BA41" i="4"/>
  <c r="AG28" i="7"/>
  <c r="AD28" i="3" s="1"/>
  <c r="U28" i="10"/>
  <c r="AE34" i="7"/>
  <c r="AB34" i="3" s="1"/>
  <c r="S34" i="10"/>
  <c r="P53" i="4"/>
  <c r="N53" i="4"/>
  <c r="X44" i="34" s="1"/>
  <c r="P23" i="4"/>
  <c r="N23" i="4"/>
  <c r="V54" i="34" s="1"/>
  <c r="AG27" i="7"/>
  <c r="AD27" i="3" s="1"/>
  <c r="U27" i="10"/>
  <c r="L52" i="4"/>
  <c r="AJ35" i="6"/>
  <c r="BI32" i="4"/>
  <c r="BE40" i="4"/>
  <c r="AI43" i="6"/>
  <c r="L38" i="4"/>
  <c r="BM40" i="4"/>
  <c r="P52" i="4"/>
  <c r="N52" i="4"/>
  <c r="X43" i="34" s="1"/>
  <c r="AE63" i="7"/>
  <c r="AB63" i="3" s="1"/>
  <c r="S63" i="10"/>
  <c r="AH73" i="6"/>
  <c r="BA70" i="4"/>
  <c r="U22" i="4"/>
  <c r="Y22" i="4"/>
  <c r="W22" i="4"/>
  <c r="V83" i="34" s="1"/>
  <c r="J77" i="4"/>
  <c r="N155" i="7"/>
  <c r="O155" i="7" s="1"/>
  <c r="G78" i="4"/>
  <c r="M76" i="4"/>
  <c r="M89" i="4"/>
  <c r="J90" i="4"/>
  <c r="AF104" i="7"/>
  <c r="AC104" i="3" s="1"/>
  <c r="T104" i="10"/>
  <c r="D92" i="4"/>
  <c r="A93" i="4"/>
  <c r="AG39" i="4"/>
  <c r="BM112" i="4"/>
  <c r="BE110" i="4"/>
  <c r="AI114" i="6"/>
  <c r="G91" i="4"/>
  <c r="BE120" i="4"/>
  <c r="AJ39" i="4"/>
  <c r="BM122" i="4"/>
  <c r="AI124" i="6"/>
  <c r="A80" i="4"/>
  <c r="D79" i="4"/>
  <c r="N696" i="7" l="1"/>
  <c r="R681" i="7"/>
  <c r="N139" i="7"/>
  <c r="R124" i="7"/>
  <c r="Q123" i="7"/>
  <c r="O123" i="7"/>
  <c r="Q682" i="7"/>
  <c r="O682" i="7"/>
  <c r="O352" i="7"/>
  <c r="Q352" i="7"/>
  <c r="N350" i="7"/>
  <c r="R335" i="7"/>
  <c r="O684" i="7"/>
  <c r="Q684" i="7"/>
  <c r="Q349" i="7"/>
  <c r="O349" i="7"/>
  <c r="Y227" i="10"/>
  <c r="X228" i="10"/>
  <c r="Y304" i="10"/>
  <c r="X305" i="10"/>
  <c r="X252" i="10"/>
  <c r="Y251" i="10"/>
  <c r="Y42" i="10"/>
  <c r="X43" i="10"/>
  <c r="Y43" i="10" s="1"/>
  <c r="Y218" i="10"/>
  <c r="X219" i="10"/>
  <c r="X231" i="10"/>
  <c r="Y120" i="10"/>
  <c r="X121" i="10"/>
  <c r="Y121" i="10" s="1"/>
  <c r="X309" i="10"/>
  <c r="Y308" i="10"/>
  <c r="Y336" i="10"/>
  <c r="X337" i="10"/>
  <c r="X443" i="10"/>
  <c r="Y442" i="10"/>
  <c r="Y96" i="10"/>
  <c r="X97" i="10"/>
  <c r="Y97" i="10" s="1"/>
  <c r="Y148" i="10"/>
  <c r="X149" i="10"/>
  <c r="X170" i="10"/>
  <c r="Y169" i="10"/>
  <c r="X421" i="10"/>
  <c r="X344" i="10"/>
  <c r="X126" i="10"/>
  <c r="Y125" i="10"/>
  <c r="X68" i="10"/>
  <c r="Y67" i="10"/>
  <c r="X73" i="10"/>
  <c r="X280" i="10"/>
  <c r="Y279" i="10"/>
  <c r="X393" i="10"/>
  <c r="Y392" i="10"/>
  <c r="X102" i="10"/>
  <c r="Y101" i="10"/>
  <c r="X47" i="10"/>
  <c r="Y46" i="10"/>
  <c r="Y368" i="10"/>
  <c r="X369" i="10"/>
  <c r="X497" i="10"/>
  <c r="Y496" i="10"/>
  <c r="Y200" i="10"/>
  <c r="X201" i="10"/>
  <c r="K2" i="13"/>
  <c r="N577" i="7"/>
  <c r="N351" i="7"/>
  <c r="O351" i="7" s="1"/>
  <c r="Q683" i="7"/>
  <c r="R683" i="7" s="1"/>
  <c r="N141" i="7"/>
  <c r="O141" i="7" s="1"/>
  <c r="AG35" i="7"/>
  <c r="AD35" i="3" s="1"/>
  <c r="U35" i="10"/>
  <c r="S23" i="4"/>
  <c r="Q23" i="4"/>
  <c r="V64" i="34" s="1"/>
  <c r="AG36" i="7"/>
  <c r="AD36" i="3" s="1"/>
  <c r="U36" i="10"/>
  <c r="BI41" i="4"/>
  <c r="O53" i="4"/>
  <c r="AJ44" i="6"/>
  <c r="BI40" i="4"/>
  <c r="AJ43" i="6"/>
  <c r="O52" i="4"/>
  <c r="AF43" i="7"/>
  <c r="AC43" i="3" s="1"/>
  <c r="T43" i="10"/>
  <c r="Q53" i="4"/>
  <c r="X52" i="34" s="1"/>
  <c r="S53" i="4"/>
  <c r="S44" i="10"/>
  <c r="AE44" i="7"/>
  <c r="AB44" i="3" s="1"/>
  <c r="AI53" i="6"/>
  <c r="BM52" i="4"/>
  <c r="O38" i="4"/>
  <c r="BE50" i="4"/>
  <c r="S52" i="4"/>
  <c r="Q52" i="4"/>
  <c r="X51" i="34" s="1"/>
  <c r="O23" i="4"/>
  <c r="AH54" i="6"/>
  <c r="BA51" i="4"/>
  <c r="S38" i="4"/>
  <c r="Q38" i="4"/>
  <c r="W63" i="34" s="1"/>
  <c r="AE73" i="7"/>
  <c r="AB73" i="3" s="1"/>
  <c r="S73" i="10"/>
  <c r="AH83" i="6"/>
  <c r="X22" i="4"/>
  <c r="BA80" i="4"/>
  <c r="Z22" i="4"/>
  <c r="V93" i="34" s="1"/>
  <c r="AB22" i="4"/>
  <c r="D80" i="4"/>
  <c r="A81" i="4"/>
  <c r="J91" i="4"/>
  <c r="T114" i="10"/>
  <c r="AF114" i="7"/>
  <c r="AC114" i="3" s="1"/>
  <c r="G92" i="4"/>
  <c r="P89" i="4"/>
  <c r="P76" i="4"/>
  <c r="AF124" i="7"/>
  <c r="AC124" i="3" s="1"/>
  <c r="T124" i="10"/>
  <c r="M90" i="4"/>
  <c r="J78" i="4"/>
  <c r="M77" i="4"/>
  <c r="G79" i="4"/>
  <c r="D93" i="4"/>
  <c r="Q155" i="7"/>
  <c r="R155" i="7" s="1"/>
  <c r="N364" i="7" l="1"/>
  <c r="R349" i="7"/>
  <c r="Q350" i="7"/>
  <c r="O350" i="7"/>
  <c r="N697" i="7"/>
  <c r="R682" i="7"/>
  <c r="Q139" i="7"/>
  <c r="O139" i="7"/>
  <c r="R684" i="7"/>
  <c r="N699" i="7"/>
  <c r="R352" i="7"/>
  <c r="N367" i="7"/>
  <c r="N138" i="7"/>
  <c r="R123" i="7"/>
  <c r="Q696" i="7"/>
  <c r="R696" i="7" s="1"/>
  <c r="O696" i="7"/>
  <c r="X306" i="10"/>
  <c r="Y305" i="10"/>
  <c r="Y219" i="10"/>
  <c r="X220" i="10"/>
  <c r="X229" i="10"/>
  <c r="Y228" i="10"/>
  <c r="X253" i="10"/>
  <c r="Y252" i="10"/>
  <c r="Y231" i="10"/>
  <c r="X232" i="10"/>
  <c r="X256" i="10"/>
  <c r="X310" i="10"/>
  <c r="Y309" i="10"/>
  <c r="Y149" i="10"/>
  <c r="X150" i="10"/>
  <c r="Y337" i="10"/>
  <c r="X338" i="10"/>
  <c r="X171" i="10"/>
  <c r="Y170" i="10"/>
  <c r="Y443" i="10"/>
  <c r="X444" i="10"/>
  <c r="Y393" i="10"/>
  <c r="X394" i="10"/>
  <c r="Y73" i="10"/>
  <c r="X74" i="10"/>
  <c r="X127" i="10"/>
  <c r="Y126" i="10"/>
  <c r="Y421" i="10"/>
  <c r="X422" i="10"/>
  <c r="Y102" i="10"/>
  <c r="X103" i="10"/>
  <c r="X281" i="10"/>
  <c r="Y280" i="10"/>
  <c r="X448" i="10"/>
  <c r="Y68" i="10"/>
  <c r="X69" i="10"/>
  <c r="X345" i="10"/>
  <c r="Y344" i="10"/>
  <c r="Y497" i="10"/>
  <c r="X498" i="10"/>
  <c r="Y47" i="10"/>
  <c r="X48" i="10"/>
  <c r="X202" i="10"/>
  <c r="Y201" i="10"/>
  <c r="Y369" i="10"/>
  <c r="X370" i="10"/>
  <c r="K43" i="13"/>
  <c r="L43" i="13" s="1"/>
  <c r="K44" i="13"/>
  <c r="L44" i="13" s="1"/>
  <c r="K48" i="13"/>
  <c r="L48" i="13" s="1"/>
  <c r="K50" i="13"/>
  <c r="L50" i="13" s="1"/>
  <c r="K45" i="13"/>
  <c r="L45" i="13" s="1"/>
  <c r="K51" i="13"/>
  <c r="L51" i="13" s="1"/>
  <c r="K52" i="13"/>
  <c r="L52" i="13" s="1"/>
  <c r="K63" i="13"/>
  <c r="L63" i="13" s="1"/>
  <c r="K42" i="13"/>
  <c r="L42" i="13" s="1"/>
  <c r="K30" i="13"/>
  <c r="L30" i="13" s="1"/>
  <c r="K46" i="13"/>
  <c r="L46" i="13" s="1"/>
  <c r="K62" i="13"/>
  <c r="L62" i="13" s="1"/>
  <c r="K65" i="13"/>
  <c r="L65" i="13" s="1"/>
  <c r="K25" i="13"/>
  <c r="L25" i="13" s="1"/>
  <c r="K49" i="13"/>
  <c r="L49" i="13" s="1"/>
  <c r="K47" i="13"/>
  <c r="L47" i="13" s="1"/>
  <c r="K19" i="13"/>
  <c r="L19" i="13" s="1"/>
  <c r="K58" i="13"/>
  <c r="L58" i="13" s="1"/>
  <c r="K60" i="13"/>
  <c r="L60" i="13" s="1"/>
  <c r="K54" i="13"/>
  <c r="L54" i="13" s="1"/>
  <c r="K9" i="13"/>
  <c r="L9" i="13" s="1"/>
  <c r="K56" i="13"/>
  <c r="L56" i="13" s="1"/>
  <c r="K40" i="13"/>
  <c r="L40" i="13" s="1"/>
  <c r="K31" i="13"/>
  <c r="L31" i="13" s="1"/>
  <c r="K7" i="13"/>
  <c r="L7" i="13" s="1"/>
  <c r="K32" i="13"/>
  <c r="L32" i="13" s="1"/>
  <c r="K16" i="13"/>
  <c r="L16" i="13" s="1"/>
  <c r="K55" i="13"/>
  <c r="L55" i="13" s="1"/>
  <c r="K8" i="13"/>
  <c r="L8" i="13" s="1"/>
  <c r="D8" i="17" s="1"/>
  <c r="K33" i="13"/>
  <c r="L33" i="13" s="1"/>
  <c r="K13" i="13"/>
  <c r="L13" i="13" s="1"/>
  <c r="K27" i="13"/>
  <c r="L27" i="13" s="1"/>
  <c r="K37" i="13"/>
  <c r="L37" i="13" s="1"/>
  <c r="K12" i="13"/>
  <c r="L12" i="13" s="1"/>
  <c r="D12" i="17" s="1"/>
  <c r="K41" i="13"/>
  <c r="L41" i="13" s="1"/>
  <c r="K34" i="13"/>
  <c r="L34" i="13" s="1"/>
  <c r="K38" i="13"/>
  <c r="L38" i="13" s="1"/>
  <c r="K26" i="13"/>
  <c r="L26" i="13" s="1"/>
  <c r="K59" i="13"/>
  <c r="L59" i="13" s="1"/>
  <c r="D59" i="17" s="1"/>
  <c r="K66" i="13"/>
  <c r="L66" i="13" s="1"/>
  <c r="K23" i="13"/>
  <c r="L23" i="13" s="1"/>
  <c r="K4" i="13"/>
  <c r="L4" i="13" s="1"/>
  <c r="K5" i="13"/>
  <c r="L5" i="13" s="1"/>
  <c r="K22" i="13"/>
  <c r="L22" i="13" s="1"/>
  <c r="K18" i="13"/>
  <c r="L18" i="13" s="1"/>
  <c r="K29" i="13"/>
  <c r="L29" i="13" s="1"/>
  <c r="K3" i="13"/>
  <c r="L3" i="13" s="1"/>
  <c r="K39" i="13"/>
  <c r="L39" i="13" s="1"/>
  <c r="K53" i="13"/>
  <c r="L53" i="13" s="1"/>
  <c r="K61" i="13"/>
  <c r="L61" i="13" s="1"/>
  <c r="K57" i="13"/>
  <c r="L57" i="13" s="1"/>
  <c r="K36" i="13"/>
  <c r="L36" i="13" s="1"/>
  <c r="K64" i="13"/>
  <c r="L64" i="13" s="1"/>
  <c r="K11" i="13"/>
  <c r="L11" i="13" s="1"/>
  <c r="D11" i="17" s="1"/>
  <c r="K14" i="13"/>
  <c r="L14" i="13" s="1"/>
  <c r="K21" i="13"/>
  <c r="L21" i="13" s="1"/>
  <c r="K35" i="13"/>
  <c r="L35" i="13" s="1"/>
  <c r="K10" i="13"/>
  <c r="L10" i="13" s="1"/>
  <c r="K6" i="13"/>
  <c r="L6" i="13" s="1"/>
  <c r="K24" i="13"/>
  <c r="L24" i="13" s="1"/>
  <c r="K15" i="13"/>
  <c r="L15" i="13" s="1"/>
  <c r="K17" i="13"/>
  <c r="L17" i="13" s="1"/>
  <c r="K20" i="13"/>
  <c r="L20" i="13" s="1"/>
  <c r="K28" i="13"/>
  <c r="L28" i="13" s="1"/>
  <c r="L2" i="13"/>
  <c r="Q351" i="7"/>
  <c r="R351" i="7" s="1"/>
  <c r="Q577" i="7"/>
  <c r="N698" i="7"/>
  <c r="O698" i="7" s="1"/>
  <c r="Q141" i="7"/>
  <c r="R141" i="7" s="1"/>
  <c r="BE60" i="4"/>
  <c r="BM62" i="4"/>
  <c r="R38" i="4"/>
  <c r="AI63" i="6"/>
  <c r="AH64" i="6"/>
  <c r="R23" i="4"/>
  <c r="BA61" i="4"/>
  <c r="V38" i="4"/>
  <c r="T38" i="4"/>
  <c r="W73" i="34" s="1"/>
  <c r="BI48" i="4"/>
  <c r="R52" i="4"/>
  <c r="AJ51" i="6"/>
  <c r="U44" i="10"/>
  <c r="AG44" i="7"/>
  <c r="AD44" i="3" s="1"/>
  <c r="T23" i="4"/>
  <c r="V74" i="34" s="1"/>
  <c r="V23" i="4"/>
  <c r="V52" i="4"/>
  <c r="T52" i="4"/>
  <c r="X59" i="34" s="1"/>
  <c r="T53" i="4"/>
  <c r="X60" i="34" s="1"/>
  <c r="V53" i="4"/>
  <c r="S54" i="10"/>
  <c r="AE54" i="7"/>
  <c r="AB54" i="3" s="1"/>
  <c r="T53" i="10"/>
  <c r="AF53" i="7"/>
  <c r="AC53" i="3" s="1"/>
  <c r="BI49" i="4"/>
  <c r="AJ52" i="6"/>
  <c r="R53" i="4"/>
  <c r="AG43" i="7"/>
  <c r="AD43" i="3" s="1"/>
  <c r="U43" i="10"/>
  <c r="AE22" i="4"/>
  <c r="AC22" i="4"/>
  <c r="V103" i="34" s="1"/>
  <c r="AA22" i="4"/>
  <c r="BA90" i="4"/>
  <c r="AH93" i="6"/>
  <c r="S83" i="10"/>
  <c r="AE83" i="7"/>
  <c r="AB83" i="3" s="1"/>
  <c r="P77" i="4"/>
  <c r="P90" i="4"/>
  <c r="G80" i="4"/>
  <c r="S89" i="4"/>
  <c r="J92" i="4"/>
  <c r="M91" i="4"/>
  <c r="G93" i="4"/>
  <c r="J79" i="4"/>
  <c r="M78" i="4"/>
  <c r="S76" i="4"/>
  <c r="A82" i="4"/>
  <c r="D81" i="4"/>
  <c r="O367" i="7" l="1"/>
  <c r="Q367" i="7"/>
  <c r="N154" i="7"/>
  <c r="R139" i="7"/>
  <c r="N365" i="7"/>
  <c r="R350" i="7"/>
  <c r="O699" i="7"/>
  <c r="Q699" i="7"/>
  <c r="R699" i="7" s="1"/>
  <c r="Q138" i="7"/>
  <c r="O138" i="7"/>
  <c r="Q697" i="7"/>
  <c r="R697" i="7" s="1"/>
  <c r="O697" i="7"/>
  <c r="Q364" i="7"/>
  <c r="O364" i="7"/>
  <c r="Y220" i="10"/>
  <c r="X221" i="10"/>
  <c r="X254" i="10"/>
  <c r="Y253" i="10"/>
  <c r="Y229" i="10"/>
  <c r="X230" i="10"/>
  <c r="Y230" i="10" s="1"/>
  <c r="Y306" i="10"/>
  <c r="X307" i="10"/>
  <c r="Y307" i="10" s="1"/>
  <c r="Y310" i="10"/>
  <c r="X311" i="10"/>
  <c r="Y256" i="10"/>
  <c r="X257" i="10"/>
  <c r="X233" i="10"/>
  <c r="Y232" i="10"/>
  <c r="X339" i="10"/>
  <c r="Y338" i="10"/>
  <c r="X445" i="10"/>
  <c r="Y444" i="10"/>
  <c r="X151" i="10"/>
  <c r="Y150" i="10"/>
  <c r="Y103" i="10"/>
  <c r="X104" i="10"/>
  <c r="Y281" i="10"/>
  <c r="X282" i="10"/>
  <c r="Y171" i="10"/>
  <c r="X172" i="10"/>
  <c r="X404" i="10"/>
  <c r="X449" i="10"/>
  <c r="Y448" i="10"/>
  <c r="Y74" i="10"/>
  <c r="X75" i="10"/>
  <c r="Y69" i="10"/>
  <c r="X70" i="10"/>
  <c r="Y394" i="10"/>
  <c r="X395" i="10"/>
  <c r="X423" i="10"/>
  <c r="Y422" i="10"/>
  <c r="X346" i="10"/>
  <c r="Y345" i="10"/>
  <c r="Y127" i="10"/>
  <c r="X128" i="10"/>
  <c r="Y370" i="10"/>
  <c r="X371" i="10"/>
  <c r="Y48" i="10"/>
  <c r="X49" i="10"/>
  <c r="Y498" i="10"/>
  <c r="X499" i="10"/>
  <c r="D14" i="17"/>
  <c r="D62" i="17"/>
  <c r="X290" i="10"/>
  <c r="X203" i="10"/>
  <c r="Y202" i="10"/>
  <c r="D22" i="17"/>
  <c r="D65" i="17"/>
  <c r="D64" i="17"/>
  <c r="D5" i="17"/>
  <c r="D58" i="17"/>
  <c r="D24" i="17"/>
  <c r="D9" i="17"/>
  <c r="D61" i="17"/>
  <c r="D3" i="17"/>
  <c r="D50" i="17"/>
  <c r="D33" i="17"/>
  <c r="D54" i="17"/>
  <c r="D20" i="17"/>
  <c r="D7" i="17"/>
  <c r="D52" i="17"/>
  <c r="D51" i="17"/>
  <c r="D39" i="17"/>
  <c r="D31" i="17"/>
  <c r="D21" i="17"/>
  <c r="D6" i="17"/>
  <c r="D42" i="17"/>
  <c r="D30" i="17"/>
  <c r="D37" i="17"/>
  <c r="D4" i="17"/>
  <c r="D2" i="17"/>
  <c r="D49" i="17"/>
  <c r="D57" i="17"/>
  <c r="D27" i="17"/>
  <c r="D44" i="17"/>
  <c r="D17" i="17"/>
  <c r="D15" i="17"/>
  <c r="D26" i="17"/>
  <c r="D36" i="17"/>
  <c r="D43" i="17"/>
  <c r="D41" i="17"/>
  <c r="D16" i="17"/>
  <c r="D29" i="17"/>
  <c r="D35" i="17"/>
  <c r="D25" i="17"/>
  <c r="D63" i="17"/>
  <c r="D38" i="17"/>
  <c r="D46" i="17"/>
  <c r="D10" i="17"/>
  <c r="D48" i="17"/>
  <c r="D32" i="17"/>
  <c r="D45" i="17"/>
  <c r="D56" i="17"/>
  <c r="D18" i="17"/>
  <c r="D53" i="17"/>
  <c r="D47" i="17"/>
  <c r="D13" i="17"/>
  <c r="D19" i="17"/>
  <c r="D40" i="17"/>
  <c r="D60" i="17"/>
  <c r="D55" i="17"/>
  <c r="D28" i="17"/>
  <c r="D34" i="17"/>
  <c r="D23" i="17"/>
  <c r="N366" i="7"/>
  <c r="O366" i="7" s="1"/>
  <c r="Q698" i="7"/>
  <c r="R698" i="7" s="1"/>
  <c r="N156" i="7"/>
  <c r="O156" i="7" s="1"/>
  <c r="BI56" i="4"/>
  <c r="AJ59" i="6"/>
  <c r="U52" i="4"/>
  <c r="Y52" i="4"/>
  <c r="W52" i="4"/>
  <c r="X67" i="34" s="1"/>
  <c r="W53" i="4"/>
  <c r="X68" i="34" s="1"/>
  <c r="Y53" i="4"/>
  <c r="W23" i="4"/>
  <c r="V84" i="34" s="1"/>
  <c r="Y23" i="4"/>
  <c r="U38" i="4"/>
  <c r="AI73" i="6"/>
  <c r="BM72" i="4"/>
  <c r="BE70" i="4"/>
  <c r="AE64" i="7"/>
  <c r="AB64" i="3" s="1"/>
  <c r="S64" i="10"/>
  <c r="AG52" i="7"/>
  <c r="AD52" i="3" s="1"/>
  <c r="U52" i="10"/>
  <c r="AJ60" i="6"/>
  <c r="U53" i="4"/>
  <c r="BI57" i="4"/>
  <c r="BA71" i="4"/>
  <c r="AH74" i="6"/>
  <c r="U23" i="4"/>
  <c r="U51" i="10"/>
  <c r="AG51" i="7"/>
  <c r="AD51" i="3" s="1"/>
  <c r="W38" i="4"/>
  <c r="W83" i="34" s="1"/>
  <c r="Y38" i="4"/>
  <c r="T63" i="10"/>
  <c r="AF63" i="7"/>
  <c r="AC63" i="3" s="1"/>
  <c r="AE93" i="7"/>
  <c r="AB93" i="3" s="1"/>
  <c r="S93" i="10"/>
  <c r="BA99" i="4"/>
  <c r="AD22" i="4"/>
  <c r="AH103" i="6"/>
  <c r="AF22" i="4"/>
  <c r="V113" i="34" s="1"/>
  <c r="AH22" i="4"/>
  <c r="AI22" i="4" s="1"/>
  <c r="V123" i="34" s="1"/>
  <c r="G81" i="4"/>
  <c r="M79" i="4"/>
  <c r="P91" i="4"/>
  <c r="V89" i="4"/>
  <c r="S90" i="4"/>
  <c r="A83" i="4"/>
  <c r="D82" i="4"/>
  <c r="V76" i="4"/>
  <c r="P78" i="4"/>
  <c r="J93" i="4"/>
  <c r="M92" i="4"/>
  <c r="J80" i="4"/>
  <c r="S77" i="4"/>
  <c r="Q154" i="7" l="1"/>
  <c r="R154" i="7" s="1"/>
  <c r="O154" i="7"/>
  <c r="R367" i="7"/>
  <c r="N382" i="7"/>
  <c r="N379" i="7"/>
  <c r="R364" i="7"/>
  <c r="N153" i="7"/>
  <c r="R138" i="7"/>
  <c r="Q365" i="7"/>
  <c r="O365" i="7"/>
  <c r="Y254" i="10"/>
  <c r="X255" i="10"/>
  <c r="Y255" i="10" s="1"/>
  <c r="X222" i="10"/>
  <c r="Y222" i="10" s="1"/>
  <c r="Y221" i="10"/>
  <c r="Y445" i="10"/>
  <c r="X446" i="10"/>
  <c r="Y104" i="10"/>
  <c r="X105" i="10"/>
  <c r="Y105" i="10" s="1"/>
  <c r="X234" i="10"/>
  <c r="Y233" i="10"/>
  <c r="Y172" i="10"/>
  <c r="X173" i="10"/>
  <c r="Y257" i="10"/>
  <c r="X258" i="10"/>
  <c r="Y311" i="10"/>
  <c r="X312" i="10"/>
  <c r="Y339" i="10"/>
  <c r="X340" i="10"/>
  <c r="Y70" i="10"/>
  <c r="X71" i="10"/>
  <c r="X152" i="10"/>
  <c r="Y151" i="10"/>
  <c r="Y282" i="10"/>
  <c r="X283" i="10"/>
  <c r="Y346" i="10"/>
  <c r="X347" i="10"/>
  <c r="X129" i="10"/>
  <c r="Y128" i="10"/>
  <c r="X396" i="10"/>
  <c r="Y395" i="10"/>
  <c r="Y404" i="10"/>
  <c r="X405" i="10"/>
  <c r="Y75" i="10"/>
  <c r="X76" i="10"/>
  <c r="X424" i="10"/>
  <c r="Y423" i="10"/>
  <c r="X450" i="10"/>
  <c r="Y449" i="10"/>
  <c r="X500" i="10"/>
  <c r="Y499" i="10"/>
  <c r="X527" i="10"/>
  <c r="Y49" i="10"/>
  <c r="X50" i="10"/>
  <c r="Y371" i="10"/>
  <c r="X372" i="10"/>
  <c r="Y290" i="10"/>
  <c r="X291" i="10"/>
  <c r="X204" i="10"/>
  <c r="Y203" i="10"/>
  <c r="K21" i="30"/>
  <c r="O21" i="30" s="1"/>
  <c r="K20" i="30"/>
  <c r="Q366" i="7"/>
  <c r="R366" i="7" s="1"/>
  <c r="Q156" i="7"/>
  <c r="R156" i="7" s="1"/>
  <c r="BE80" i="4"/>
  <c r="X38" i="4"/>
  <c r="BM82" i="4"/>
  <c r="AI83" i="6"/>
  <c r="S74" i="10"/>
  <c r="AE74" i="7"/>
  <c r="AB74" i="3" s="1"/>
  <c r="AG60" i="7"/>
  <c r="AD60" i="3" s="1"/>
  <c r="U60" i="10"/>
  <c r="BI65" i="4"/>
  <c r="AJ68" i="6"/>
  <c r="X53" i="4"/>
  <c r="Z23" i="4"/>
  <c r="V94" i="34" s="1"/>
  <c r="AB23" i="4"/>
  <c r="AH84" i="6"/>
  <c r="BA81" i="4"/>
  <c r="X23" i="4"/>
  <c r="BI64" i="4"/>
  <c r="AJ67" i="6"/>
  <c r="X52" i="4"/>
  <c r="AB38" i="4"/>
  <c r="Z38" i="4"/>
  <c r="W93" i="34" s="1"/>
  <c r="T73" i="10"/>
  <c r="AF73" i="7"/>
  <c r="AC73" i="3" s="1"/>
  <c r="AB53" i="4"/>
  <c r="Z53" i="4"/>
  <c r="Z52" i="4"/>
  <c r="X75" i="34" s="1"/>
  <c r="AB52" i="4"/>
  <c r="AG59" i="7"/>
  <c r="AD59" i="3" s="1"/>
  <c r="U59" i="10"/>
  <c r="BA119" i="4"/>
  <c r="AJ22" i="4"/>
  <c r="AH123" i="6"/>
  <c r="S103" i="10"/>
  <c r="AE103" i="7"/>
  <c r="AB103" i="3" s="1"/>
  <c r="AH113" i="6"/>
  <c r="BA110" i="4"/>
  <c r="AG22" i="4"/>
  <c r="D83" i="4"/>
  <c r="Y89" i="4"/>
  <c r="P79" i="4"/>
  <c r="J81" i="4"/>
  <c r="M80" i="4"/>
  <c r="M93" i="4"/>
  <c r="V90" i="4"/>
  <c r="S91" i="4"/>
  <c r="V77" i="4"/>
  <c r="P92" i="4"/>
  <c r="S78" i="4"/>
  <c r="Y76" i="4"/>
  <c r="G82" i="4"/>
  <c r="O382" i="7" l="1"/>
  <c r="Q382" i="7"/>
  <c r="R382" i="7" s="1"/>
  <c r="Q153" i="7"/>
  <c r="R153" i="7" s="1"/>
  <c r="O153" i="7"/>
  <c r="N380" i="7"/>
  <c r="R365" i="7"/>
  <c r="Q379" i="7"/>
  <c r="R379" i="7" s="1"/>
  <c r="O379" i="7"/>
  <c r="X447" i="10"/>
  <c r="Y447" i="10" s="1"/>
  <c r="Y446" i="10"/>
  <c r="X240" i="10"/>
  <c r="Y340" i="10"/>
  <c r="X341" i="10"/>
  <c r="Y258" i="10"/>
  <c r="X259" i="10"/>
  <c r="Y283" i="10"/>
  <c r="X284" i="10"/>
  <c r="Y71" i="10"/>
  <c r="X72" i="10"/>
  <c r="Y72" i="10" s="1"/>
  <c r="X313" i="10"/>
  <c r="Y312" i="10"/>
  <c r="X174" i="10"/>
  <c r="Y173" i="10"/>
  <c r="Y204" i="10"/>
  <c r="X205" i="10"/>
  <c r="X235" i="10"/>
  <c r="Y234" i="10"/>
  <c r="Y450" i="10"/>
  <c r="X451" i="10"/>
  <c r="Y396" i="10"/>
  <c r="X397" i="10"/>
  <c r="X153" i="10"/>
  <c r="Y152" i="10"/>
  <c r="X348" i="10"/>
  <c r="Y347" i="10"/>
  <c r="Y424" i="10"/>
  <c r="X425" i="10"/>
  <c r="Y291" i="10"/>
  <c r="X292" i="10"/>
  <c r="Y76" i="10"/>
  <c r="X77" i="10"/>
  <c r="X406" i="10"/>
  <c r="Y405" i="10"/>
  <c r="Y129" i="10"/>
  <c r="X130" i="10"/>
  <c r="Y372" i="10"/>
  <c r="X373" i="10"/>
  <c r="X51" i="10"/>
  <c r="Y50" i="10"/>
  <c r="Y527" i="10"/>
  <c r="X528" i="10"/>
  <c r="Y500" i="10"/>
  <c r="X501" i="10"/>
  <c r="BI73" i="4"/>
  <c r="X76" i="34"/>
  <c r="O20" i="30"/>
  <c r="K22" i="30"/>
  <c r="O22" i="30" s="1"/>
  <c r="N381" i="7"/>
  <c r="O381" i="7" s="1"/>
  <c r="AJ76" i="6"/>
  <c r="AA53" i="4"/>
  <c r="AC53" i="4"/>
  <c r="X84" i="34" s="1"/>
  <c r="AE53" i="4"/>
  <c r="BE90" i="4"/>
  <c r="AI93" i="6"/>
  <c r="BM92" i="4"/>
  <c r="AA38" i="4"/>
  <c r="AC23" i="4"/>
  <c r="V104" i="34" s="1"/>
  <c r="AE23" i="4"/>
  <c r="T83" i="10"/>
  <c r="AF83" i="7"/>
  <c r="AC83" i="3" s="1"/>
  <c r="AE52" i="4"/>
  <c r="AC52" i="4"/>
  <c r="X83" i="34" s="1"/>
  <c r="AC38" i="4"/>
  <c r="W103" i="34" s="1"/>
  <c r="AE38" i="4"/>
  <c r="BA91" i="4"/>
  <c r="AH94" i="6"/>
  <c r="AA23" i="4"/>
  <c r="AA52" i="4"/>
  <c r="BI72" i="4"/>
  <c r="AJ75" i="6"/>
  <c r="U67" i="10"/>
  <c r="AG67" i="7"/>
  <c r="AD67" i="3" s="1"/>
  <c r="S84" i="10"/>
  <c r="AE84" i="7"/>
  <c r="AB84" i="3" s="1"/>
  <c r="AG68" i="7"/>
  <c r="AD68" i="3" s="1"/>
  <c r="U68" i="10"/>
  <c r="AE113" i="7"/>
  <c r="AB113" i="3" s="1"/>
  <c r="S113" i="10"/>
  <c r="S123" i="10"/>
  <c r="AE123" i="7"/>
  <c r="AB123" i="3" s="1"/>
  <c r="J82" i="4"/>
  <c r="V78" i="4"/>
  <c r="Y77" i="4"/>
  <c r="Y90" i="4"/>
  <c r="P80" i="4"/>
  <c r="S79" i="4"/>
  <c r="G83" i="4"/>
  <c r="AB76" i="4"/>
  <c r="S92" i="4"/>
  <c r="V91" i="4"/>
  <c r="P93" i="4"/>
  <c r="M81" i="4"/>
  <c r="AB89" i="4"/>
  <c r="Q380" i="7" l="1"/>
  <c r="R380" i="7" s="1"/>
  <c r="O380" i="7"/>
  <c r="Y313" i="10"/>
  <c r="X314" i="10"/>
  <c r="Y153" i="10"/>
  <c r="X154" i="10"/>
  <c r="Y205" i="10"/>
  <c r="X206" i="10"/>
  <c r="X342" i="10"/>
  <c r="Y341" i="10"/>
  <c r="Y130" i="10"/>
  <c r="X131" i="10"/>
  <c r="Y131" i="10" s="1"/>
  <c r="X260" i="10"/>
  <c r="Y259" i="10"/>
  <c r="Y240" i="10"/>
  <c r="X241" i="10"/>
  <c r="Y284" i="10"/>
  <c r="X285" i="10"/>
  <c r="Y235" i="10"/>
  <c r="X236" i="10"/>
  <c r="Y174" i="10"/>
  <c r="X175" i="10"/>
  <c r="Y397" i="10"/>
  <c r="X398" i="10"/>
  <c r="X349" i="10"/>
  <c r="Y348" i="10"/>
  <c r="X265" i="10"/>
  <c r="Y451" i="10"/>
  <c r="X452" i="10"/>
  <c r="X426" i="10"/>
  <c r="Y425" i="10"/>
  <c r="Y406" i="10"/>
  <c r="X407" i="10"/>
  <c r="Y51" i="10"/>
  <c r="X52" i="10"/>
  <c r="Y528" i="10"/>
  <c r="X529" i="10"/>
  <c r="Y77" i="10"/>
  <c r="X78" i="10"/>
  <c r="Y292" i="10"/>
  <c r="X293" i="10"/>
  <c r="X459" i="10"/>
  <c r="X502" i="10"/>
  <c r="Y501" i="10"/>
  <c r="Y373" i="10"/>
  <c r="X374" i="10"/>
  <c r="Q41" i="10"/>
  <c r="AC41" i="7"/>
  <c r="Z41" i="3" s="1"/>
  <c r="AC30" i="7"/>
  <c r="Z30" i="3" s="1"/>
  <c r="Q30" i="10"/>
  <c r="Q40" i="10"/>
  <c r="AC40" i="7"/>
  <c r="Z40" i="3" s="1"/>
  <c r="AC31" i="7"/>
  <c r="Z31" i="3" s="1"/>
  <c r="Q31" i="10"/>
  <c r="K23" i="30"/>
  <c r="Q381" i="7"/>
  <c r="R381" i="7" s="1"/>
  <c r="AG75" i="7"/>
  <c r="AD75" i="3" s="1"/>
  <c r="U75" i="10"/>
  <c r="S94" i="10"/>
  <c r="AE94" i="7"/>
  <c r="AB94" i="3" s="1"/>
  <c r="AD38" i="4"/>
  <c r="AI103" i="6"/>
  <c r="BM101" i="4"/>
  <c r="BE99" i="4"/>
  <c r="AF53" i="4"/>
  <c r="X92" i="34" s="1"/>
  <c r="AH53" i="4"/>
  <c r="AI53" i="4" s="1"/>
  <c r="X100" i="34" s="1"/>
  <c r="AJ83" i="6"/>
  <c r="AD52" i="4"/>
  <c r="BI80" i="4"/>
  <c r="AD53" i="4"/>
  <c r="BI81" i="4"/>
  <c r="AJ84" i="6"/>
  <c r="AG76" i="7"/>
  <c r="AD76" i="3" s="1"/>
  <c r="U76" i="10"/>
  <c r="AF52" i="4"/>
  <c r="X91" i="34" s="1"/>
  <c r="AH52" i="4"/>
  <c r="AI52" i="4" s="1"/>
  <c r="X99" i="34" s="1"/>
  <c r="AH23" i="4"/>
  <c r="AI23" i="4" s="1"/>
  <c r="V124" i="34" s="1"/>
  <c r="AF23" i="4"/>
  <c r="V114" i="34" s="1"/>
  <c r="AF93" i="7"/>
  <c r="AC93" i="3" s="1"/>
  <c r="T93" i="10"/>
  <c r="AF38" i="4"/>
  <c r="W113" i="34" s="1"/>
  <c r="AH38" i="4"/>
  <c r="AI38" i="4" s="1"/>
  <c r="W123" i="34" s="1"/>
  <c r="AD23" i="4"/>
  <c r="BA100" i="4"/>
  <c r="AH104" i="6"/>
  <c r="P81" i="4"/>
  <c r="Y91" i="4"/>
  <c r="AE76" i="4"/>
  <c r="V79" i="4"/>
  <c r="AB90" i="4"/>
  <c r="Y78" i="4"/>
  <c r="AE89" i="4"/>
  <c r="S93" i="4"/>
  <c r="V92" i="4"/>
  <c r="J83" i="4"/>
  <c r="S80" i="4"/>
  <c r="AB77" i="4"/>
  <c r="M82" i="4"/>
  <c r="Y342" i="10" l="1"/>
  <c r="X343" i="10"/>
  <c r="Y343" i="10" s="1"/>
  <c r="Y236" i="10"/>
  <c r="X237" i="10"/>
  <c r="X315" i="10"/>
  <c r="Y314" i="10"/>
  <c r="Y265" i="10"/>
  <c r="X266" i="10"/>
  <c r="Y241" i="10"/>
  <c r="X242" i="10"/>
  <c r="Y260" i="10"/>
  <c r="X261" i="10"/>
  <c r="X176" i="10"/>
  <c r="Y175" i="10"/>
  <c r="X286" i="10"/>
  <c r="Y285" i="10"/>
  <c r="X207" i="10"/>
  <c r="Y206" i="10"/>
  <c r="Y154" i="10"/>
  <c r="X155" i="10"/>
  <c r="Y349" i="10"/>
  <c r="X350" i="10"/>
  <c r="X328" i="10"/>
  <c r="Y452" i="10"/>
  <c r="X453" i="10"/>
  <c r="Y407" i="10"/>
  <c r="X408" i="10"/>
  <c r="Y398" i="10"/>
  <c r="X399" i="10"/>
  <c r="X319" i="10"/>
  <c r="Y426" i="10"/>
  <c r="X427" i="10"/>
  <c r="X294" i="10"/>
  <c r="Y293" i="10"/>
  <c r="Y502" i="10"/>
  <c r="X503" i="10"/>
  <c r="X530" i="10"/>
  <c r="Y529" i="10"/>
  <c r="Y459" i="10"/>
  <c r="X460" i="10"/>
  <c r="X79" i="10"/>
  <c r="Y78" i="10"/>
  <c r="Y52" i="10"/>
  <c r="X53" i="10"/>
  <c r="X475" i="10"/>
  <c r="X375" i="10"/>
  <c r="Y374" i="10"/>
  <c r="O23" i="30"/>
  <c r="K24" i="30"/>
  <c r="O24" i="30" s="1"/>
  <c r="AJ23" i="4"/>
  <c r="BA120" i="4"/>
  <c r="AH124" i="6"/>
  <c r="AI123" i="6"/>
  <c r="BE119" i="4"/>
  <c r="BM121" i="4"/>
  <c r="AJ38" i="4"/>
  <c r="AJ52" i="4"/>
  <c r="AJ99" i="6"/>
  <c r="BI95" i="4"/>
  <c r="AG84" i="7"/>
  <c r="AD84" i="3" s="1"/>
  <c r="U84" i="10"/>
  <c r="BI96" i="4"/>
  <c r="AJ100" i="6"/>
  <c r="AJ53" i="4"/>
  <c r="AF103" i="7"/>
  <c r="AC103" i="3" s="1"/>
  <c r="T103" i="10"/>
  <c r="AE104" i="7"/>
  <c r="AB104" i="3" s="1"/>
  <c r="S104" i="10"/>
  <c r="BE109" i="4"/>
  <c r="AG38" i="4"/>
  <c r="AI113" i="6"/>
  <c r="BM111" i="4"/>
  <c r="BI88" i="4"/>
  <c r="AJ91" i="6"/>
  <c r="AG52" i="4"/>
  <c r="AG83" i="7"/>
  <c r="AD83" i="3" s="1"/>
  <c r="U83" i="10"/>
  <c r="AJ92" i="6"/>
  <c r="AG53" i="4"/>
  <c r="BI89" i="4"/>
  <c r="AH114" i="6"/>
  <c r="AG23" i="4"/>
  <c r="AE77" i="4"/>
  <c r="M83" i="4"/>
  <c r="V93" i="4"/>
  <c r="AB78" i="4"/>
  <c r="Y79" i="4"/>
  <c r="AB91" i="4"/>
  <c r="P82" i="4"/>
  <c r="V80" i="4"/>
  <c r="Y92" i="4"/>
  <c r="AH89" i="4"/>
  <c r="AK89" i="4" s="1"/>
  <c r="AE90" i="4"/>
  <c r="AH76" i="4"/>
  <c r="S81" i="4"/>
  <c r="Y261" i="10" l="1"/>
  <c r="X262" i="10"/>
  <c r="Y328" i="10"/>
  <c r="X329" i="10"/>
  <c r="Y237" i="10"/>
  <c r="X238" i="10"/>
  <c r="Y315" i="10"/>
  <c r="X316" i="10"/>
  <c r="X351" i="10"/>
  <c r="Y350" i="10"/>
  <c r="Y242" i="10"/>
  <c r="X243" i="10"/>
  <c r="X287" i="10"/>
  <c r="Y286" i="10"/>
  <c r="X156" i="10"/>
  <c r="Y155" i="10"/>
  <c r="X267" i="10"/>
  <c r="Y266" i="10"/>
  <c r="Y79" i="10"/>
  <c r="X80" i="10"/>
  <c r="X208" i="10"/>
  <c r="Y207" i="10"/>
  <c r="Y176" i="10"/>
  <c r="X177" i="10"/>
  <c r="X409" i="10"/>
  <c r="Y408" i="10"/>
  <c r="Y294" i="10"/>
  <c r="X295" i="10"/>
  <c r="X159" i="10"/>
  <c r="Y460" i="10"/>
  <c r="X461" i="10"/>
  <c r="X428" i="10"/>
  <c r="Y427" i="10"/>
  <c r="X400" i="10"/>
  <c r="Y399" i="10"/>
  <c r="X454" i="10"/>
  <c r="Y453" i="10"/>
  <c r="Y53" i="10"/>
  <c r="X54" i="10"/>
  <c r="X320" i="10"/>
  <c r="Y319" i="10"/>
  <c r="X476" i="10"/>
  <c r="Y475" i="10"/>
  <c r="Y503" i="10"/>
  <c r="X504" i="10"/>
  <c r="Y375" i="10"/>
  <c r="X376" i="10"/>
  <c r="Y530" i="10"/>
  <c r="X531" i="10"/>
  <c r="K25" i="30"/>
  <c r="U99" i="10"/>
  <c r="AG99" i="7"/>
  <c r="AD99" i="3" s="1"/>
  <c r="AF123" i="7"/>
  <c r="AC123" i="3" s="1"/>
  <c r="T123" i="10"/>
  <c r="AF113" i="7"/>
  <c r="AC113" i="3" s="1"/>
  <c r="T113" i="10"/>
  <c r="U100" i="10"/>
  <c r="AG100" i="7"/>
  <c r="AD100" i="3" s="1"/>
  <c r="AE114" i="7"/>
  <c r="AB114" i="3" s="1"/>
  <c r="S114" i="10"/>
  <c r="AG92" i="7"/>
  <c r="AD92" i="3" s="1"/>
  <c r="U92" i="10"/>
  <c r="AG91" i="7"/>
  <c r="AD91" i="3" s="1"/>
  <c r="U91" i="10"/>
  <c r="AE124" i="7"/>
  <c r="AB124" i="3" s="1"/>
  <c r="S124" i="10"/>
  <c r="AK76" i="4"/>
  <c r="Y80" i="4"/>
  <c r="AE91" i="4"/>
  <c r="AE78" i="4"/>
  <c r="P83" i="4"/>
  <c r="V81" i="4"/>
  <c r="AH90" i="4"/>
  <c r="AK90" i="4" s="1"/>
  <c r="AB92" i="4"/>
  <c r="S82" i="4"/>
  <c r="AB79" i="4"/>
  <c r="Y93" i="4"/>
  <c r="AH77" i="4"/>
  <c r="Y295" i="10" l="1"/>
  <c r="X296" i="10"/>
  <c r="X330" i="10"/>
  <c r="Y329" i="10"/>
  <c r="Y238" i="10"/>
  <c r="X239" i="10"/>
  <c r="Y239" i="10" s="1"/>
  <c r="Y262" i="10"/>
  <c r="X263" i="10"/>
  <c r="Y316" i="10"/>
  <c r="X317" i="10"/>
  <c r="Y351" i="10"/>
  <c r="X352" i="10"/>
  <c r="Y80" i="10"/>
  <c r="X81" i="10"/>
  <c r="Y81" i="10" s="1"/>
  <c r="X288" i="10"/>
  <c r="Y287" i="10"/>
  <c r="Y159" i="10"/>
  <c r="X160" i="10"/>
  <c r="X244" i="10"/>
  <c r="Y243" i="10"/>
  <c r="Y177" i="10"/>
  <c r="X178" i="10"/>
  <c r="Y208" i="10"/>
  <c r="X209" i="10"/>
  <c r="X268" i="10"/>
  <c r="Y267" i="10"/>
  <c r="Y156" i="10"/>
  <c r="X157" i="10"/>
  <c r="Y54" i="10"/>
  <c r="X55" i="10"/>
  <c r="X462" i="10"/>
  <c r="Y461" i="10"/>
  <c r="Y400" i="10"/>
  <c r="X401" i="10"/>
  <c r="Y531" i="10"/>
  <c r="X532" i="10"/>
  <c r="X321" i="10"/>
  <c r="Y320" i="10"/>
  <c r="X455" i="10"/>
  <c r="Y454" i="10"/>
  <c r="X429" i="10"/>
  <c r="Y428" i="10"/>
  <c r="Y409" i="10"/>
  <c r="X410" i="10"/>
  <c r="Y504" i="10"/>
  <c r="X505" i="10"/>
  <c r="X377" i="10"/>
  <c r="Y376" i="10"/>
  <c r="X477" i="10"/>
  <c r="Y476" i="10"/>
  <c r="O25" i="30"/>
  <c r="K26" i="30"/>
  <c r="AB93" i="4"/>
  <c r="V82" i="4"/>
  <c r="S83" i="4"/>
  <c r="AH91" i="4"/>
  <c r="AK91" i="4" s="1"/>
  <c r="AK77" i="4"/>
  <c r="AE79" i="4"/>
  <c r="AE92" i="4"/>
  <c r="Y81" i="4"/>
  <c r="AH78" i="4"/>
  <c r="AB80" i="4"/>
  <c r="Y352" i="10" l="1"/>
  <c r="X353" i="10"/>
  <c r="Y288" i="10"/>
  <c r="X289" i="10"/>
  <c r="Y289" i="10" s="1"/>
  <c r="X331" i="10"/>
  <c r="Y330" i="10"/>
  <c r="Y263" i="10"/>
  <c r="X264" i="10"/>
  <c r="Y264" i="10" s="1"/>
  <c r="Y209" i="10"/>
  <c r="X210" i="10"/>
  <c r="X318" i="10"/>
  <c r="Y318" i="10" s="1"/>
  <c r="Y317" i="10"/>
  <c r="Y296" i="10"/>
  <c r="X297" i="10"/>
  <c r="Y297" i="10" s="1"/>
  <c r="Y455" i="10"/>
  <c r="X456" i="10"/>
  <c r="Y429" i="10"/>
  <c r="X430" i="10"/>
  <c r="Y321" i="10"/>
  <c r="X322" i="10"/>
  <c r="X269" i="10"/>
  <c r="Y268" i="10"/>
  <c r="X245" i="10"/>
  <c r="Y244" i="10"/>
  <c r="Y401" i="10"/>
  <c r="X402" i="10"/>
  <c r="Y55" i="10"/>
  <c r="X56" i="10"/>
  <c r="X158" i="10"/>
  <c r="Y158" i="10" s="1"/>
  <c r="Y157" i="10"/>
  <c r="X179" i="10"/>
  <c r="Y178" i="10"/>
  <c r="Y160" i="10"/>
  <c r="X161" i="10"/>
  <c r="Y161" i="10" s="1"/>
  <c r="Y532" i="10"/>
  <c r="X533" i="10"/>
  <c r="Y462" i="10"/>
  <c r="X463" i="10"/>
  <c r="X411" i="10"/>
  <c r="Y410" i="10"/>
  <c r="Y377" i="10"/>
  <c r="X378" i="10"/>
  <c r="X506" i="10"/>
  <c r="Y505" i="10"/>
  <c r="X478" i="10"/>
  <c r="Y477" i="10"/>
  <c r="O26" i="30"/>
  <c r="K27" i="30"/>
  <c r="O27" i="30" s="1"/>
  <c r="AK78" i="4"/>
  <c r="AH92" i="4"/>
  <c r="AK92" i="4" s="1"/>
  <c r="AE93" i="4"/>
  <c r="AE80" i="4"/>
  <c r="AB81" i="4"/>
  <c r="AH79" i="4"/>
  <c r="V83" i="4"/>
  <c r="Y82" i="4"/>
  <c r="X457" i="10" l="1"/>
  <c r="Y456" i="10"/>
  <c r="Y210" i="10"/>
  <c r="X211" i="10"/>
  <c r="Y353" i="10"/>
  <c r="X354" i="10"/>
  <c r="Y411" i="10"/>
  <c r="X412" i="10"/>
  <c r="Y179" i="10"/>
  <c r="X180" i="10"/>
  <c r="Y245" i="10"/>
  <c r="X246" i="10"/>
  <c r="Y246" i="10" s="1"/>
  <c r="X332" i="10"/>
  <c r="Y331" i="10"/>
  <c r="Y378" i="10"/>
  <c r="X379" i="10"/>
  <c r="X403" i="10"/>
  <c r="Y403" i="10" s="1"/>
  <c r="Y402" i="10"/>
  <c r="X57" i="10"/>
  <c r="Y57" i="10" s="1"/>
  <c r="Y56" i="10"/>
  <c r="Y430" i="10"/>
  <c r="X431" i="10"/>
  <c r="X323" i="10"/>
  <c r="Y322" i="10"/>
  <c r="Y269" i="10"/>
  <c r="X270" i="10"/>
  <c r="Y463" i="10"/>
  <c r="X464" i="10"/>
  <c r="Y478" i="10"/>
  <c r="X479" i="10"/>
  <c r="Y533" i="10"/>
  <c r="X534" i="10"/>
  <c r="Y534" i="10" s="1"/>
  <c r="Y506" i="10"/>
  <c r="X507" i="10"/>
  <c r="K28" i="30"/>
  <c r="O28" i="30" s="1"/>
  <c r="Y83" i="4"/>
  <c r="AK79" i="4"/>
  <c r="AH80" i="4"/>
  <c r="AH93" i="4"/>
  <c r="AK93" i="4" s="1"/>
  <c r="AB82" i="4"/>
  <c r="AE81" i="4"/>
  <c r="X212" i="10" l="1"/>
  <c r="Y211" i="10"/>
  <c r="Y379" i="10"/>
  <c r="X380" i="10"/>
  <c r="X413" i="10"/>
  <c r="Y412" i="10"/>
  <c r="X181" i="10"/>
  <c r="Y180" i="10"/>
  <c r="Y354" i="10"/>
  <c r="X355" i="10"/>
  <c r="Y270" i="10"/>
  <c r="X271" i="10"/>
  <c r="X333" i="10"/>
  <c r="Y332" i="10"/>
  <c r="X458" i="10"/>
  <c r="Y458" i="10" s="1"/>
  <c r="Y457" i="10"/>
  <c r="Y323" i="10"/>
  <c r="X324" i="10"/>
  <c r="Y431" i="10"/>
  <c r="X432" i="10"/>
  <c r="Y479" i="10"/>
  <c r="X480" i="10"/>
  <c r="Y464" i="10"/>
  <c r="X465" i="10"/>
  <c r="X508" i="10"/>
  <c r="Y507" i="10"/>
  <c r="K29" i="30"/>
  <c r="O29" i="30" s="1"/>
  <c r="AE82" i="4"/>
  <c r="AK80" i="4"/>
  <c r="AB83" i="4"/>
  <c r="AH81" i="4"/>
  <c r="Y432" i="10" l="1"/>
  <c r="X433" i="10"/>
  <c r="X272" i="10"/>
  <c r="Y272" i="10" s="1"/>
  <c r="Y271" i="10"/>
  <c r="Y181" i="10"/>
  <c r="X182" i="10"/>
  <c r="X381" i="10"/>
  <c r="Y380" i="10"/>
  <c r="Y324" i="10"/>
  <c r="X325" i="10"/>
  <c r="X356" i="10"/>
  <c r="Y355" i="10"/>
  <c r="Y333" i="10"/>
  <c r="X334" i="10"/>
  <c r="Y334" i="10" s="1"/>
  <c r="Y413" i="10"/>
  <c r="X414" i="10"/>
  <c r="Y212" i="10"/>
  <c r="X213" i="10"/>
  <c r="Y465" i="10"/>
  <c r="X466" i="10"/>
  <c r="Y480" i="10"/>
  <c r="X481" i="10"/>
  <c r="Y508" i="10"/>
  <c r="X509" i="10"/>
  <c r="K30" i="30"/>
  <c r="O30" i="30" s="1"/>
  <c r="AK81" i="4"/>
  <c r="AE83" i="4"/>
  <c r="AH82" i="4"/>
  <c r="Y356" i="10" l="1"/>
  <c r="X357" i="10"/>
  <c r="Y381" i="10"/>
  <c r="X382" i="10"/>
  <c r="Y466" i="10"/>
  <c r="X467" i="10"/>
  <c r="Y213" i="10"/>
  <c r="X214" i="10"/>
  <c r="X326" i="10"/>
  <c r="Y325" i="10"/>
  <c r="X183" i="10"/>
  <c r="Y182" i="10"/>
  <c r="Y433" i="10"/>
  <c r="X434" i="10"/>
  <c r="Y414" i="10"/>
  <c r="X415" i="10"/>
  <c r="Y481" i="10"/>
  <c r="X482" i="10"/>
  <c r="X510" i="10"/>
  <c r="Y509" i="10"/>
  <c r="K31" i="30"/>
  <c r="O31" i="30" s="1"/>
  <c r="AK82" i="4"/>
  <c r="AH83" i="4"/>
  <c r="X383" i="10" l="1"/>
  <c r="Y382" i="10"/>
  <c r="X184" i="10"/>
  <c r="Y183" i="10"/>
  <c r="Y415" i="10"/>
  <c r="X416" i="10"/>
  <c r="X215" i="10"/>
  <c r="Y215" i="10" s="1"/>
  <c r="Y214" i="10"/>
  <c r="X435" i="10"/>
  <c r="Y434" i="10"/>
  <c r="X468" i="10"/>
  <c r="Y467" i="10"/>
  <c r="Y357" i="10"/>
  <c r="X358" i="10"/>
  <c r="Y326" i="10"/>
  <c r="X327" i="10"/>
  <c r="Y327" i="10" s="1"/>
  <c r="X187" i="10"/>
  <c r="X483" i="10"/>
  <c r="Y482" i="10"/>
  <c r="Y510" i="10"/>
  <c r="X511" i="10"/>
  <c r="K32" i="30"/>
  <c r="O32" i="30" s="1"/>
  <c r="AK83" i="4"/>
  <c r="X469" i="10" l="1"/>
  <c r="Y468" i="10"/>
  <c r="Y184" i="10"/>
  <c r="X185" i="10"/>
  <c r="Y358" i="10"/>
  <c r="X359" i="10"/>
  <c r="Y359" i="10" s="1"/>
  <c r="X417" i="10"/>
  <c r="Y416" i="10"/>
  <c r="Y435" i="10"/>
  <c r="X436" i="10"/>
  <c r="Y383" i="10"/>
  <c r="X384" i="10"/>
  <c r="Y384" i="10" s="1"/>
  <c r="Y483" i="10"/>
  <c r="X484" i="10"/>
  <c r="X188" i="10"/>
  <c r="Y187" i="10"/>
  <c r="Y511" i="10"/>
  <c r="X512" i="10"/>
  <c r="K33" i="30"/>
  <c r="O33" i="30" s="1"/>
  <c r="Y185" i="10" l="1"/>
  <c r="X186" i="10"/>
  <c r="Y186" i="10" s="1"/>
  <c r="Y188" i="10"/>
  <c r="X189" i="10"/>
  <c r="Y189" i="10" s="1"/>
  <c r="Y417" i="10"/>
  <c r="X418" i="10"/>
  <c r="Y436" i="10"/>
  <c r="X437" i="10"/>
  <c r="Y437" i="10" s="1"/>
  <c r="X470" i="10"/>
  <c r="Y469" i="10"/>
  <c r="Y512" i="10"/>
  <c r="X513" i="10"/>
  <c r="Y484" i="10"/>
  <c r="X485" i="10"/>
  <c r="K34" i="30"/>
  <c r="O34" i="30" s="1"/>
  <c r="Y485" i="10" l="1"/>
  <c r="X486" i="10"/>
  <c r="Y418" i="10"/>
  <c r="X419" i="10"/>
  <c r="Y470" i="10"/>
  <c r="X471" i="10"/>
  <c r="X514" i="10"/>
  <c r="Y513" i="10"/>
  <c r="K35" i="30"/>
  <c r="O35" i="30" s="1"/>
  <c r="X420" i="10" l="1"/>
  <c r="Y420" i="10" s="1"/>
  <c r="Y419" i="10"/>
  <c r="Y471" i="10"/>
  <c r="X472" i="10"/>
  <c r="Y486" i="10"/>
  <c r="X487" i="10"/>
  <c r="Y514" i="10"/>
  <c r="X515" i="10"/>
  <c r="K36" i="30"/>
  <c r="O36" i="30" s="1"/>
  <c r="Y472" i="10" l="1"/>
  <c r="X473" i="10"/>
  <c r="X488" i="10"/>
  <c r="Y487" i="10"/>
  <c r="Y515" i="10"/>
  <c r="X516" i="10"/>
  <c r="K37" i="30"/>
  <c r="O37" i="30" s="1"/>
  <c r="X489" i="10" l="1"/>
  <c r="Y488" i="10"/>
  <c r="X474" i="10"/>
  <c r="Y474" i="10" s="1"/>
  <c r="Y473" i="10"/>
  <c r="X517" i="10"/>
  <c r="Y516" i="10"/>
  <c r="K38" i="30"/>
  <c r="O38" i="30" s="1"/>
  <c r="Y517" i="10" l="1"/>
  <c r="X518" i="10"/>
  <c r="Y489" i="10"/>
  <c r="X490" i="10"/>
  <c r="K39" i="30"/>
  <c r="O39" i="30" s="1"/>
  <c r="Y490" i="10" l="1"/>
  <c r="X491" i="10"/>
  <c r="Y518" i="10"/>
  <c r="X519" i="10"/>
  <c r="K40" i="30"/>
  <c r="O40" i="30" s="1"/>
  <c r="Y519" i="10" l="1"/>
  <c r="X520" i="10"/>
  <c r="Y491" i="10"/>
  <c r="X492" i="10"/>
  <c r="Y492" i="10" s="1"/>
  <c r="K41" i="30"/>
  <c r="O41" i="30" s="1"/>
  <c r="Y520" i="10" l="1"/>
  <c r="X521" i="10"/>
  <c r="K42" i="30"/>
  <c r="O42" i="30" s="1"/>
  <c r="Y521" i="10" l="1"/>
  <c r="X522" i="10"/>
  <c r="K43" i="30"/>
  <c r="O43" i="30" s="1"/>
  <c r="Y522" i="10" l="1"/>
  <c r="X523" i="10"/>
  <c r="K44" i="30"/>
  <c r="O44" i="30" s="1"/>
  <c r="X524" i="10" l="1"/>
  <c r="Y523" i="10"/>
  <c r="K45" i="30"/>
  <c r="O45" i="30" s="1"/>
  <c r="X525" i="10" l="1"/>
  <c r="Y524" i="10"/>
  <c r="K46" i="30"/>
  <c r="O46" i="30" s="1"/>
  <c r="Y525" i="10" l="1"/>
  <c r="X526" i="10"/>
  <c r="Y526" i="10" s="1"/>
  <c r="K47" i="30"/>
  <c r="O47" i="30" s="1"/>
  <c r="K48" i="30" l="1"/>
  <c r="O48" i="30" s="1"/>
  <c r="K49" i="30" l="1"/>
  <c r="O49" i="30" s="1"/>
  <c r="K50" i="30" l="1"/>
  <c r="O50" i="30" s="1"/>
  <c r="K51" i="30" l="1"/>
  <c r="O51" i="30" s="1"/>
  <c r="K52" i="30" l="1"/>
  <c r="O52" i="30" s="1"/>
  <c r="K53" i="30" l="1"/>
  <c r="O53" i="30" s="1"/>
  <c r="K54" i="30" l="1"/>
  <c r="O54" i="30" s="1"/>
  <c r="K55" i="30" l="1"/>
  <c r="O55" i="30" s="1"/>
  <c r="K56" i="30" l="1"/>
  <c r="O56" i="30" s="1"/>
  <c r="K57" i="30" l="1"/>
  <c r="O57" i="30" s="1"/>
  <c r="K58" i="30" l="1"/>
  <c r="O58" i="30" s="1"/>
  <c r="K59" i="30" l="1"/>
  <c r="O59" i="30" s="1"/>
  <c r="AI190" i="30"/>
  <c r="J536" i="30"/>
  <c r="AJ533" i="30"/>
  <c r="N18" i="9"/>
  <c r="AJ329" i="30"/>
  <c r="J408" i="30"/>
  <c r="J670" i="30"/>
  <c r="J680" i="30"/>
  <c r="AI270" i="30"/>
  <c r="N37" i="9"/>
  <c r="AJ186" i="30"/>
  <c r="J122" i="30"/>
  <c r="M33" i="9"/>
  <c r="K16" i="9"/>
  <c r="N27" i="9"/>
  <c r="AI355" i="30"/>
  <c r="I22" i="9"/>
  <c r="E86" i="21"/>
  <c r="J78" i="30"/>
  <c r="Q32" i="9"/>
  <c r="O62" i="21"/>
  <c r="J76" i="30"/>
  <c r="M41" i="9"/>
  <c r="H78" i="21"/>
  <c r="J345" i="30"/>
  <c r="J276" i="30"/>
  <c r="J342" i="30"/>
  <c r="O60" i="9"/>
  <c r="J285" i="30"/>
  <c r="AI142" i="30"/>
  <c r="AI543" i="30"/>
  <c r="J318" i="30"/>
  <c r="AI535" i="30"/>
  <c r="E64" i="21"/>
  <c r="D17" i="9"/>
  <c r="N43" i="21"/>
  <c r="T9" i="9"/>
  <c r="J468" i="30"/>
  <c r="J518" i="30"/>
  <c r="O31" i="21"/>
  <c r="AJ86" i="30"/>
  <c r="AJ114" i="30"/>
  <c r="J478" i="30"/>
  <c r="J104" i="30"/>
  <c r="J637" i="30"/>
  <c r="J351" i="30"/>
  <c r="N10" i="9"/>
  <c r="K51" i="9"/>
  <c r="AI389" i="30"/>
  <c r="AI385" i="30"/>
  <c r="AI98" i="30"/>
  <c r="J652" i="30"/>
  <c r="AI206" i="30"/>
  <c r="J150" i="30"/>
  <c r="H30" i="21"/>
  <c r="N56" i="9"/>
  <c r="AJ346" i="30"/>
  <c r="J56" i="9"/>
  <c r="AI372" i="30"/>
  <c r="M53" i="9"/>
  <c r="J484" i="30"/>
  <c r="AJ352" i="30"/>
  <c r="AJ465" i="30"/>
  <c r="J53" i="21"/>
  <c r="T32" i="9"/>
  <c r="AJ470" i="30"/>
  <c r="AI621" i="30"/>
  <c r="J525" i="30"/>
  <c r="G44" i="21"/>
  <c r="A2" i="10"/>
  <c r="AJ189" i="30"/>
  <c r="P65" i="21"/>
  <c r="J624" i="30"/>
  <c r="J656" i="30"/>
  <c r="AJ589" i="30"/>
  <c r="O37" i="21"/>
  <c r="J37" i="30"/>
  <c r="AI30" i="30"/>
  <c r="AJ417" i="30"/>
  <c r="AI21" i="30"/>
  <c r="AI391" i="30"/>
  <c r="Q64" i="21"/>
  <c r="AI360" i="30"/>
  <c r="AJ620" i="30"/>
  <c r="J172" i="30"/>
  <c r="C41" i="9"/>
  <c r="J320" i="30"/>
  <c r="J23" i="9"/>
  <c r="M32" i="9"/>
  <c r="O47" i="9"/>
  <c r="J661" i="30"/>
  <c r="Q29" i="21"/>
  <c r="K37" i="9"/>
  <c r="AJ219" i="30"/>
  <c r="AJ233" i="30"/>
  <c r="AI155" i="30"/>
  <c r="P19" i="9"/>
  <c r="AJ430" i="30"/>
  <c r="AJ301" i="30"/>
  <c r="AI345" i="30"/>
  <c r="H31" i="9"/>
  <c r="R58" i="9"/>
  <c r="AJ632" i="30"/>
  <c r="W81" i="21"/>
  <c r="AJ618" i="30"/>
  <c r="AJ253" i="30"/>
  <c r="J515" i="30"/>
  <c r="AJ275" i="30"/>
  <c r="AJ390" i="30"/>
  <c r="L38" i="21"/>
  <c r="O27" i="21"/>
  <c r="P20" i="9"/>
  <c r="AI532" i="30"/>
  <c r="L17" i="9"/>
  <c r="AI35" i="30"/>
  <c r="R63" i="9"/>
  <c r="AJ462" i="30"/>
  <c r="AI84" i="30"/>
  <c r="S83" i="21"/>
  <c r="J194" i="30"/>
  <c r="J644" i="30"/>
  <c r="AI146" i="30"/>
  <c r="E23" i="9"/>
  <c r="AJ176" i="30"/>
  <c r="AJ558" i="30"/>
  <c r="P17" i="9"/>
  <c r="AI575" i="30"/>
  <c r="AJ232" i="30"/>
  <c r="AJ63" i="30"/>
  <c r="AI233" i="30"/>
  <c r="H81" i="21"/>
  <c r="AI556" i="30"/>
  <c r="AI309" i="30"/>
  <c r="F86" i="21"/>
  <c r="AJ623" i="30"/>
  <c r="AI625" i="30"/>
  <c r="M37" i="9"/>
  <c r="R10" i="9"/>
  <c r="AJ135" i="30"/>
  <c r="J584" i="30"/>
  <c r="I50" i="9"/>
  <c r="T16" i="9"/>
  <c r="AJ616" i="30"/>
  <c r="R38" i="21"/>
  <c r="AJ648" i="30"/>
  <c r="J257" i="30"/>
  <c r="AI519" i="30"/>
  <c r="J246" i="30"/>
  <c r="AI211" i="30"/>
  <c r="G42" i="9"/>
  <c r="B52" i="9"/>
  <c r="J471" i="30"/>
  <c r="AI542" i="30"/>
  <c r="AJ220" i="30"/>
  <c r="I41" i="9"/>
  <c r="J716" i="30"/>
  <c r="AI263" i="30"/>
  <c r="T40" i="21"/>
  <c r="Q33" i="9"/>
  <c r="J425" i="30"/>
  <c r="J611" i="30"/>
  <c r="J259" i="30"/>
  <c r="AJ667" i="30"/>
  <c r="O37" i="9"/>
  <c r="G29" i="9"/>
  <c r="AJ148" i="30"/>
  <c r="D63" i="9"/>
  <c r="AJ36" i="30"/>
  <c r="D62" i="21"/>
  <c r="F38" i="9"/>
  <c r="I15" i="9"/>
  <c r="AJ59" i="30"/>
  <c r="AJ361" i="30"/>
  <c r="AI571" i="30"/>
  <c r="AI432" i="30"/>
  <c r="N57" i="9"/>
  <c r="F39" i="21"/>
  <c r="AJ307" i="30"/>
  <c r="D74" i="21"/>
  <c r="J573" i="30"/>
  <c r="AI538" i="30"/>
  <c r="AJ579" i="30"/>
  <c r="J380" i="30"/>
  <c r="D59" i="9"/>
  <c r="J594" i="30"/>
  <c r="AJ247" i="30"/>
  <c r="A6" i="10"/>
  <c r="J322" i="30"/>
  <c r="J84" i="30"/>
  <c r="L42" i="21"/>
  <c r="AJ112" i="30"/>
  <c r="AI123" i="30"/>
  <c r="J87" i="30"/>
  <c r="J39" i="30"/>
  <c r="J599" i="30"/>
  <c r="AJ118" i="30"/>
  <c r="W34" i="21"/>
  <c r="J218" i="30"/>
  <c r="I7" i="9"/>
  <c r="S13" i="9"/>
  <c r="I40" i="21"/>
  <c r="AJ428" i="30"/>
  <c r="K63" i="9"/>
  <c r="J571" i="30"/>
  <c r="J128" i="30"/>
  <c r="J61" i="9"/>
  <c r="AJ576" i="30"/>
  <c r="J219" i="30"/>
  <c r="AI204" i="30"/>
  <c r="H10" i="9"/>
  <c r="AI161" i="30"/>
  <c r="AI356" i="30"/>
  <c r="AJ194" i="30"/>
  <c r="AJ516" i="30"/>
  <c r="J593" i="30"/>
  <c r="AI132" i="30"/>
  <c r="J83" i="30"/>
  <c r="J649" i="30"/>
  <c r="J179" i="30"/>
  <c r="H38" i="21"/>
  <c r="AJ550" i="30"/>
  <c r="T7" i="9"/>
  <c r="AI462" i="30"/>
  <c r="J77" i="30"/>
  <c r="J270" i="30"/>
  <c r="F21" i="9"/>
  <c r="Q77" i="21"/>
  <c r="W38" i="21"/>
  <c r="J157" i="30"/>
  <c r="AI529" i="30"/>
  <c r="AJ629" i="30"/>
  <c r="I41" i="21"/>
  <c r="AJ161" i="30"/>
  <c r="AJ402" i="30"/>
  <c r="P51" i="21"/>
  <c r="AJ22" i="30"/>
  <c r="AI93" i="30"/>
  <c r="P29" i="9"/>
  <c r="AI327" i="30"/>
  <c r="AI242" i="30"/>
  <c r="AI79" i="30"/>
  <c r="P7" i="9"/>
  <c r="J182" i="30"/>
  <c r="AI620" i="30"/>
  <c r="AJ656" i="30"/>
  <c r="J381" i="30"/>
  <c r="J448" i="30"/>
  <c r="J703" i="30"/>
  <c r="AI77" i="30"/>
  <c r="AJ546" i="30"/>
  <c r="AI243" i="30"/>
  <c r="S9" i="9"/>
  <c r="W87" i="21"/>
  <c r="AJ519" i="30"/>
  <c r="S64" i="21"/>
  <c r="J51" i="9"/>
  <c r="AI70" i="30"/>
  <c r="J141" i="30"/>
  <c r="J675" i="30"/>
  <c r="J215" i="30"/>
  <c r="I27" i="21"/>
  <c r="E15" i="9"/>
  <c r="J687" i="30"/>
  <c r="R43" i="9"/>
  <c r="AJ545" i="30"/>
  <c r="O74" i="21"/>
  <c r="Q53" i="21"/>
  <c r="AI408" i="30"/>
  <c r="AI273" i="30"/>
  <c r="AJ570" i="30"/>
  <c r="AJ379" i="30"/>
  <c r="J414" i="30"/>
  <c r="J40" i="30"/>
  <c r="H11" i="9"/>
  <c r="AI426" i="30"/>
  <c r="AI276" i="30"/>
  <c r="AI490" i="30"/>
  <c r="AJ431" i="30"/>
  <c r="J634" i="30"/>
  <c r="J653" i="30"/>
  <c r="B16" i="9"/>
  <c r="AJ671" i="30"/>
  <c r="J62" i="9"/>
  <c r="AI528" i="30"/>
  <c r="G63" i="9"/>
  <c r="I14" i="9"/>
  <c r="AJ188" i="30"/>
  <c r="AJ485" i="30"/>
  <c r="AI507" i="30"/>
  <c r="V25" i="21"/>
  <c r="AI411" i="30"/>
  <c r="AJ46" i="30"/>
  <c r="J159" i="30"/>
  <c r="F37" i="21"/>
  <c r="AI590" i="30"/>
  <c r="AI518" i="30"/>
  <c r="J286" i="30"/>
  <c r="S73" i="21"/>
  <c r="J669" i="30"/>
  <c r="I85" i="21"/>
  <c r="J456" i="30"/>
  <c r="K50" i="9"/>
  <c r="J290" i="30"/>
  <c r="T57" i="21"/>
  <c r="J699" i="30"/>
  <c r="AI236" i="30"/>
  <c r="AI119" i="30"/>
  <c r="AJ111" i="30"/>
  <c r="AJ130" i="30"/>
  <c r="H40" i="21"/>
  <c r="AI229" i="30"/>
  <c r="AI659" i="30"/>
  <c r="I16" i="9"/>
  <c r="D83" i="21"/>
  <c r="L58" i="9"/>
  <c r="N61" i="21"/>
  <c r="AI104" i="30"/>
  <c r="AI306" i="30"/>
  <c r="O58" i="9"/>
  <c r="L63" i="9"/>
  <c r="J160" i="30"/>
  <c r="AI466" i="30"/>
  <c r="AI413" i="30"/>
  <c r="R33" i="9"/>
  <c r="AI652" i="30"/>
  <c r="AJ20" i="30"/>
  <c r="AI564" i="30"/>
  <c r="R21" i="9"/>
  <c r="J339" i="30"/>
  <c r="AI296" i="30"/>
  <c r="S32" i="21"/>
  <c r="J491" i="30"/>
  <c r="AJ206" i="30"/>
  <c r="B9" i="9"/>
  <c r="T73" i="21"/>
  <c r="R62" i="9"/>
  <c r="F5" i="9"/>
  <c r="M21" i="9"/>
  <c r="AJ524" i="30"/>
  <c r="AI116" i="30"/>
  <c r="J82" i="30"/>
  <c r="J348" i="30"/>
  <c r="AI124" i="30"/>
  <c r="Q80" i="21"/>
  <c r="J589" i="30"/>
  <c r="J398" i="30"/>
  <c r="AI440" i="30"/>
  <c r="AH25" i="21"/>
  <c r="AJ615" i="30"/>
  <c r="J112" i="30"/>
  <c r="AI367" i="30"/>
  <c r="AJ258" i="30"/>
  <c r="J390" i="30"/>
  <c r="J239" i="30"/>
  <c r="S32" i="9"/>
  <c r="D52" i="9"/>
  <c r="J664" i="30"/>
  <c r="AI313" i="30"/>
  <c r="AJ254" i="30"/>
  <c r="AJ437" i="30"/>
  <c r="J565" i="30"/>
  <c r="AI344" i="30"/>
  <c r="G42" i="21"/>
  <c r="D33" i="9"/>
  <c r="B27" i="9"/>
  <c r="J330" i="30"/>
  <c r="D49" i="21"/>
  <c r="AJ102" i="30"/>
  <c r="T63" i="21"/>
  <c r="J355" i="30"/>
  <c r="J151" i="30"/>
  <c r="T62" i="21"/>
  <c r="H41" i="9"/>
  <c r="T6" i="9"/>
  <c r="AJ613" i="30"/>
  <c r="AJ455" i="30"/>
  <c r="N36" i="9"/>
  <c r="AI43" i="30"/>
  <c r="O39" i="9"/>
  <c r="AI82" i="30"/>
  <c r="L44" i="21"/>
  <c r="AJ83" i="30"/>
  <c r="R37" i="21"/>
  <c r="P12" i="9"/>
  <c r="J206" i="30"/>
  <c r="K50" i="21"/>
  <c r="J432" i="30"/>
  <c r="J646" i="30"/>
  <c r="H43" i="21"/>
  <c r="N26" i="21"/>
  <c r="M83" i="21"/>
  <c r="AJ96" i="30"/>
  <c r="J11" i="9"/>
  <c r="I84" i="21"/>
  <c r="O52" i="9"/>
  <c r="K35" i="21"/>
  <c r="AJ216" i="30"/>
  <c r="C13" i="9"/>
  <c r="J526" i="30"/>
  <c r="J682" i="30"/>
  <c r="AI570" i="30"/>
  <c r="AJ78" i="30"/>
  <c r="AJ50" i="30"/>
  <c r="O50" i="9"/>
  <c r="J212" i="30"/>
  <c r="AI253" i="30"/>
  <c r="S43" i="9"/>
  <c r="E40" i="9"/>
  <c r="L29" i="21"/>
  <c r="A26" i="10"/>
  <c r="AI677" i="30"/>
  <c r="AJ277" i="30"/>
  <c r="M57" i="9"/>
  <c r="K53" i="21"/>
  <c r="Q59" i="9"/>
  <c r="AJ29" i="30"/>
  <c r="J601" i="30"/>
  <c r="S38" i="21"/>
  <c r="AJ39" i="30"/>
  <c r="M8" i="9"/>
  <c r="AI683" i="30"/>
  <c r="AJ124" i="30"/>
  <c r="AI457" i="30"/>
  <c r="J181" i="30"/>
  <c r="AJ142" i="30"/>
  <c r="G79" i="21"/>
  <c r="AI401" i="30"/>
  <c r="AJ26" i="30"/>
  <c r="AI482" i="30"/>
  <c r="H62" i="9"/>
  <c r="J144" i="30"/>
  <c r="AJ696" i="30"/>
  <c r="AJ77" i="30"/>
  <c r="R36" i="21"/>
  <c r="J632" i="30"/>
  <c r="AJ551" i="30"/>
  <c r="J69" i="30"/>
  <c r="J544" i="30"/>
  <c r="G41" i="21"/>
  <c r="AI330" i="30"/>
  <c r="J45" i="30"/>
  <c r="J31" i="9"/>
  <c r="I62" i="9"/>
  <c r="J221" i="30"/>
  <c r="AJ636" i="30"/>
  <c r="J651" i="30"/>
  <c r="J497" i="30"/>
  <c r="T59" i="9"/>
  <c r="J50" i="30"/>
  <c r="AJ217" i="30"/>
  <c r="J267" i="30"/>
  <c r="AJ87" i="30"/>
  <c r="H56" i="9"/>
  <c r="S49" i="9"/>
  <c r="D42" i="21"/>
  <c r="AJ318" i="30"/>
  <c r="AI159" i="30"/>
  <c r="J211" i="30"/>
  <c r="J503" i="30"/>
  <c r="J242" i="30"/>
  <c r="AJ260" i="30"/>
  <c r="AI114" i="30"/>
  <c r="J263" i="30"/>
  <c r="J513" i="30"/>
  <c r="AJ398" i="30"/>
  <c r="J37" i="9"/>
  <c r="D43" i="9"/>
  <c r="AI280" i="30"/>
  <c r="AI645" i="30"/>
  <c r="J95" i="30"/>
  <c r="J532" i="30"/>
  <c r="J336" i="30"/>
  <c r="H9" i="9"/>
  <c r="J86" i="30"/>
  <c r="C30" i="9"/>
  <c r="AI109" i="30"/>
  <c r="AI171" i="30"/>
  <c r="AJ376" i="30"/>
  <c r="J534" i="30"/>
  <c r="J168" i="30"/>
  <c r="J294" i="30"/>
  <c r="P37" i="9"/>
  <c r="AI141" i="30"/>
  <c r="K54" i="21"/>
  <c r="N50" i="21"/>
  <c r="AJ654" i="30"/>
  <c r="J371" i="30"/>
  <c r="H5" i="9"/>
  <c r="O78" i="21"/>
  <c r="AJ586" i="30"/>
  <c r="J295" i="30"/>
  <c r="K39" i="9"/>
  <c r="AI222" i="30"/>
  <c r="J133" i="30"/>
  <c r="S16" i="9"/>
  <c r="J223" i="30"/>
  <c r="M4" i="9"/>
  <c r="AI246" i="30"/>
  <c r="AI363" i="30"/>
  <c r="B10" i="9"/>
  <c r="K28" i="9"/>
  <c r="AI422" i="30"/>
  <c r="AJ434" i="30"/>
  <c r="H22" i="9"/>
  <c r="AJ79" i="30"/>
  <c r="E60" i="9"/>
  <c r="J149" i="30"/>
  <c r="J648" i="30"/>
  <c r="J79" i="21"/>
  <c r="F26" i="9"/>
  <c r="J531" i="30"/>
  <c r="T41" i="9"/>
  <c r="J450" i="30"/>
  <c r="AJ229" i="30"/>
  <c r="J284" i="30"/>
  <c r="J335" i="30"/>
  <c r="J65" i="30"/>
  <c r="O48" i="9"/>
  <c r="N58" i="9"/>
  <c r="J563" i="30"/>
  <c r="AI602" i="30"/>
  <c r="AJ66" i="30"/>
  <c r="D41" i="9"/>
  <c r="AI671" i="30"/>
  <c r="J309" i="30"/>
  <c r="AJ687" i="30"/>
  <c r="E21" i="9"/>
  <c r="AI402" i="30"/>
  <c r="J180" i="30"/>
  <c r="J31" i="30"/>
  <c r="AJ72" i="30"/>
  <c r="AI168" i="30"/>
  <c r="O10" i="9"/>
  <c r="J187" i="30"/>
  <c r="U81" i="21"/>
  <c r="J496" i="30"/>
  <c r="AJ311" i="30"/>
  <c r="E48" i="9"/>
  <c r="AI534" i="30"/>
  <c r="T51" i="9"/>
  <c r="AI562" i="30"/>
  <c r="AI297" i="30"/>
  <c r="F6" i="9"/>
  <c r="J389" i="30"/>
  <c r="J272" i="30"/>
  <c r="AI622" i="30"/>
  <c r="F52" i="9"/>
  <c r="Q8" i="9"/>
  <c r="J138" i="30"/>
  <c r="AJ370" i="30"/>
  <c r="V43" i="21"/>
  <c r="K34" i="21"/>
  <c r="C26" i="9"/>
  <c r="P56" i="9"/>
  <c r="H47" i="9"/>
  <c r="J582" i="30"/>
  <c r="AJ38" i="30"/>
  <c r="AI320" i="30"/>
  <c r="T65" i="21"/>
  <c r="C9" i="9"/>
  <c r="J679" i="30"/>
  <c r="AI377" i="30"/>
  <c r="J606" i="30"/>
  <c r="AI68" i="30"/>
  <c r="AI48" i="30"/>
  <c r="AJ392" i="30"/>
  <c r="J23" i="30"/>
  <c r="AJ151" i="30"/>
  <c r="T56" i="9"/>
  <c r="AI282" i="30"/>
  <c r="AI335" i="30"/>
  <c r="B59" i="9"/>
  <c r="AI368" i="30"/>
  <c r="AJ661" i="30"/>
  <c r="AI484" i="30"/>
  <c r="J27" i="30"/>
  <c r="J383" i="30"/>
  <c r="J59" i="30"/>
  <c r="AJ665" i="30"/>
  <c r="AI481" i="30"/>
  <c r="AI64" i="30"/>
  <c r="E56" i="9"/>
  <c r="J256" i="30"/>
  <c r="J143" i="30"/>
  <c r="AI339" i="30"/>
  <c r="AI245" i="30"/>
  <c r="AJ637" i="30"/>
  <c r="L61" i="9"/>
  <c r="O30" i="21"/>
  <c r="F49" i="9"/>
  <c r="J71" i="30"/>
  <c r="L11" i="9"/>
  <c r="J249" i="30"/>
  <c r="AJ685" i="30"/>
  <c r="AJ200" i="30"/>
  <c r="AI136" i="30"/>
  <c r="N69" i="21"/>
  <c r="J562" i="30"/>
  <c r="AI154" i="30"/>
  <c r="F35" i="21"/>
  <c r="U50" i="21"/>
  <c r="H72" i="21"/>
  <c r="O49" i="9"/>
  <c r="AJ319" i="30"/>
  <c r="Q61" i="9"/>
  <c r="O82" i="21"/>
  <c r="AI603" i="30"/>
  <c r="AJ54" i="30"/>
  <c r="J455" i="30"/>
  <c r="AI664" i="30"/>
  <c r="G13" i="9"/>
  <c r="T52" i="21"/>
  <c r="AJ336" i="30"/>
  <c r="J205" i="30"/>
  <c r="J356" i="30"/>
  <c r="J165" i="30"/>
  <c r="AI321" i="30"/>
  <c r="G30" i="9"/>
  <c r="AJ657" i="30"/>
  <c r="D53" i="21"/>
  <c r="J693" i="30"/>
  <c r="J34" i="21"/>
  <c r="J268" i="30"/>
  <c r="B57" i="9"/>
  <c r="M28" i="9"/>
  <c r="J231" i="30"/>
  <c r="J199" i="30"/>
  <c r="J663" i="30"/>
  <c r="AJ514" i="30"/>
  <c r="AJ630" i="30"/>
  <c r="J615" i="30"/>
  <c r="T10" i="9"/>
  <c r="J288" i="30"/>
  <c r="AI501" i="30"/>
  <c r="J163" i="30"/>
  <c r="AI485" i="30"/>
  <c r="J303" i="30"/>
  <c r="J201" i="30"/>
  <c r="J442" i="30"/>
  <c r="AJ429" i="30"/>
  <c r="J467" i="30"/>
  <c r="J714" i="30"/>
  <c r="AI627" i="30"/>
  <c r="AI230" i="30"/>
  <c r="V35" i="21"/>
  <c r="AI394" i="30"/>
  <c r="E14" i="9"/>
  <c r="AI465" i="30"/>
  <c r="AI285" i="30"/>
  <c r="J400" i="30"/>
  <c r="C7" i="9"/>
  <c r="F48" i="9"/>
  <c r="AI135" i="30"/>
  <c r="D40" i="9"/>
  <c r="AI559" i="30"/>
  <c r="K26" i="21"/>
  <c r="J586" i="30"/>
  <c r="AJ122" i="30"/>
  <c r="AJ701" i="30"/>
  <c r="AI690" i="30"/>
  <c r="M69" i="21"/>
  <c r="AJ651" i="30"/>
  <c r="AI517" i="30"/>
  <c r="J135" i="30"/>
  <c r="AI165" i="30"/>
  <c r="AJ155" i="30"/>
  <c r="P85" i="21"/>
  <c r="J265" i="30"/>
  <c r="AI700" i="30"/>
  <c r="E84" i="21"/>
  <c r="J70" i="30"/>
  <c r="AI295" i="30"/>
  <c r="AJ228" i="30"/>
  <c r="AI130" i="30"/>
  <c r="J273" i="30"/>
  <c r="J241" i="30"/>
  <c r="D72" i="21"/>
  <c r="Q78" i="21"/>
  <c r="J44" i="21"/>
  <c r="J493" i="30"/>
  <c r="J271" i="30"/>
  <c r="K30" i="21"/>
  <c r="J140" i="30"/>
  <c r="P35" i="21"/>
  <c r="AI348" i="30"/>
  <c r="J184" i="30"/>
  <c r="AJ691" i="30"/>
  <c r="I35" i="21"/>
  <c r="K55" i="21"/>
  <c r="J252" i="30"/>
  <c r="AJ24" i="30"/>
  <c r="J220" i="30"/>
  <c r="AI67" i="30"/>
  <c r="AI403" i="30"/>
  <c r="J509" i="30"/>
  <c r="H23" i="9"/>
  <c r="AI682" i="30"/>
  <c r="Q30" i="9"/>
  <c r="J487" i="30"/>
  <c r="J132" i="30"/>
  <c r="K28" i="21"/>
  <c r="P78" i="21"/>
  <c r="AI552" i="30"/>
  <c r="AI358" i="30"/>
  <c r="AJ158" i="30"/>
  <c r="J462" i="30"/>
  <c r="J602" i="30"/>
  <c r="AJ333" i="30"/>
  <c r="AJ305" i="30"/>
  <c r="N21" i="9"/>
  <c r="B29" i="9"/>
  <c r="J108" i="30"/>
  <c r="J42" i="30"/>
  <c r="J413" i="30"/>
  <c r="AJ178" i="30"/>
  <c r="AJ505" i="30"/>
  <c r="AJ236" i="30"/>
  <c r="H74" i="21"/>
  <c r="AI616" i="30"/>
  <c r="AJ627" i="30"/>
  <c r="B36" i="9"/>
  <c r="AI56" i="30"/>
  <c r="O34" i="21"/>
  <c r="S57" i="9"/>
  <c r="J62" i="30"/>
  <c r="J492" i="30"/>
  <c r="AJ387" i="30"/>
  <c r="AI217" i="30"/>
  <c r="J44" i="30"/>
  <c r="AI62" i="30"/>
  <c r="AI458" i="30"/>
  <c r="AJ499" i="30"/>
  <c r="J691" i="30"/>
  <c r="E44" i="21"/>
  <c r="J712" i="30"/>
  <c r="AJ384" i="30"/>
  <c r="AI266" i="30"/>
  <c r="R69" i="21"/>
  <c r="H26" i="9"/>
  <c r="D30" i="9"/>
  <c r="AI521" i="30"/>
  <c r="J575" i="30"/>
  <c r="O75" i="21"/>
  <c r="K17" i="9"/>
  <c r="AJ442" i="30"/>
  <c r="J105" i="30"/>
  <c r="AJ244" i="30"/>
  <c r="Q25" i="21"/>
  <c r="K4" i="9"/>
  <c r="AI152" i="30"/>
  <c r="P70" i="21"/>
  <c r="J54" i="30"/>
  <c r="AI131" i="30"/>
  <c r="L49" i="9"/>
  <c r="AJ226" i="30"/>
  <c r="J463" i="30"/>
  <c r="G29" i="21"/>
  <c r="W79" i="21"/>
  <c r="W62" i="21"/>
  <c r="AI643" i="30"/>
  <c r="J715" i="30"/>
  <c r="J659" i="30"/>
  <c r="AJ621" i="30"/>
  <c r="J16" i="9"/>
  <c r="G26" i="9"/>
  <c r="L52" i="9"/>
  <c r="H59" i="9"/>
  <c r="AI199" i="30"/>
  <c r="J483" i="30"/>
  <c r="J338" i="30"/>
  <c r="P53" i="21"/>
  <c r="AI293" i="30"/>
  <c r="AJ133" i="30"/>
  <c r="I8" i="9"/>
  <c r="J170" i="30"/>
  <c r="AJ378" i="30"/>
  <c r="J269" i="30"/>
  <c r="T61" i="9"/>
  <c r="AI696" i="30"/>
  <c r="N15" i="9"/>
  <c r="J73" i="30"/>
  <c r="J707" i="30"/>
  <c r="AI699" i="30"/>
  <c r="J158" i="30"/>
  <c r="AI61" i="30"/>
  <c r="H61" i="9"/>
  <c r="AJ647" i="30"/>
  <c r="N42" i="9"/>
  <c r="AI73" i="30"/>
  <c r="AI516" i="30"/>
  <c r="AJ655" i="30"/>
  <c r="AI623" i="30"/>
  <c r="AJ312" i="30"/>
  <c r="AI586" i="30"/>
  <c r="AI387" i="30"/>
  <c r="K48" i="21"/>
  <c r="AI390" i="30"/>
  <c r="M56" i="9"/>
  <c r="AJ597" i="30"/>
  <c r="AJ418" i="30"/>
  <c r="AI33" i="30"/>
  <c r="S48" i="9"/>
  <c r="AI395" i="30"/>
  <c r="J549" i="30"/>
  <c r="G43" i="21"/>
  <c r="P53" i="9"/>
  <c r="C19" i="9"/>
  <c r="R37" i="9"/>
  <c r="J500" i="30"/>
  <c r="S53" i="9"/>
  <c r="AI126" i="30"/>
  <c r="AJ263" i="30"/>
  <c r="J49" i="30"/>
  <c r="E6" i="9"/>
  <c r="J277" i="30"/>
  <c r="AI53" i="30"/>
  <c r="J307" i="30"/>
  <c r="O83" i="21"/>
  <c r="AJ342" i="30"/>
  <c r="J91" i="30"/>
  <c r="Q19" i="9"/>
  <c r="AJ608" i="30"/>
  <c r="Q49" i="21"/>
  <c r="AI209" i="30"/>
  <c r="AJ446" i="30"/>
  <c r="AJ548" i="30"/>
  <c r="W61" i="21"/>
  <c r="J662" i="30"/>
  <c r="J279" i="30"/>
  <c r="AJ274" i="30"/>
  <c r="J76" i="21"/>
  <c r="G5" i="9"/>
  <c r="H80" i="21"/>
  <c r="AI474" i="30"/>
  <c r="AJ134" i="30"/>
  <c r="F48" i="21"/>
  <c r="AI430" i="30"/>
  <c r="P48" i="21"/>
  <c r="AI400" i="30"/>
  <c r="J40" i="21"/>
  <c r="O66" i="21"/>
  <c r="H63" i="9"/>
  <c r="H42" i="9"/>
  <c r="AI681" i="30"/>
  <c r="M42" i="21"/>
  <c r="L63" i="21"/>
  <c r="J174" i="30"/>
  <c r="J568" i="30"/>
  <c r="J311" i="30"/>
  <c r="J552" i="30"/>
  <c r="AI687" i="30"/>
  <c r="AJ56" i="30"/>
  <c r="AJ183" i="30"/>
  <c r="E43" i="9"/>
  <c r="Q11" i="9"/>
  <c r="T28" i="9"/>
  <c r="E31" i="21"/>
  <c r="AJ138" i="30"/>
  <c r="J374" i="30"/>
  <c r="J619" i="30"/>
  <c r="M49" i="9"/>
  <c r="AI598" i="30"/>
  <c r="K29" i="21"/>
  <c r="AJ502" i="30"/>
  <c r="AJ568" i="30"/>
  <c r="J99" i="30"/>
  <c r="Q49" i="9"/>
  <c r="L51" i="21"/>
  <c r="AJ628" i="30"/>
  <c r="J102" i="30"/>
  <c r="AI145" i="30"/>
  <c r="T79" i="21"/>
  <c r="J306" i="30"/>
  <c r="AI568" i="30"/>
  <c r="J384" i="30"/>
  <c r="H37" i="21"/>
  <c r="J517" i="30"/>
  <c r="J301" i="30"/>
  <c r="J56" i="21"/>
  <c r="AI234" i="30"/>
  <c r="AI178" i="30"/>
  <c r="AI526" i="30"/>
  <c r="C32" i="9"/>
  <c r="J50" i="21"/>
  <c r="C58" i="9"/>
  <c r="J121" i="30"/>
  <c r="I55" i="21"/>
  <c r="V66" i="21"/>
  <c r="AI371" i="30"/>
  <c r="J118" i="30"/>
  <c r="J81" i="30"/>
  <c r="J431" i="30"/>
  <c r="J539" i="30"/>
  <c r="E75" i="21"/>
  <c r="I17" i="9"/>
  <c r="J56" i="30"/>
  <c r="AJ547" i="30"/>
  <c r="T50" i="9"/>
  <c r="D15" i="9"/>
  <c r="AJ375" i="30"/>
  <c r="D32" i="21"/>
  <c r="J103" i="30"/>
  <c r="D20" i="9"/>
  <c r="AI63" i="30"/>
  <c r="AI369" i="30"/>
  <c r="J8" i="9"/>
  <c r="C48" i="9"/>
  <c r="H37" i="9"/>
  <c r="J203" i="30"/>
  <c r="L27" i="9"/>
  <c r="N29" i="9"/>
  <c r="AI591" i="30"/>
  <c r="AI419" i="30"/>
  <c r="AC25" i="21"/>
  <c r="R26" i="9"/>
  <c r="AJ267" i="30"/>
  <c r="J529" i="30"/>
  <c r="AJ41" i="30"/>
  <c r="AI420" i="30"/>
  <c r="J125" i="30"/>
  <c r="G48" i="9"/>
  <c r="AJ55" i="30"/>
  <c r="AJ328" i="30"/>
  <c r="I21" i="9"/>
  <c r="R41" i="21"/>
  <c r="AI582" i="30"/>
  <c r="H18" i="9"/>
  <c r="AJ557" i="30"/>
  <c r="E30" i="9"/>
  <c r="AI86" i="30"/>
  <c r="AI289" i="30"/>
  <c r="L19" i="9"/>
  <c r="AJ574" i="30"/>
  <c r="E27" i="9"/>
  <c r="AI147" i="30"/>
  <c r="AJ602" i="30"/>
  <c r="AI547" i="30"/>
  <c r="H63" i="21"/>
  <c r="O22" i="9"/>
  <c r="P36" i="21"/>
  <c r="AJ262" i="30"/>
  <c r="AJ163" i="30"/>
  <c r="K29" i="9"/>
  <c r="AI414" i="30"/>
  <c r="AJ160" i="30"/>
  <c r="J153" i="30"/>
  <c r="U55" i="21"/>
  <c r="I31" i="9"/>
  <c r="AI346" i="30"/>
  <c r="AJ386" i="30"/>
  <c r="AJ587" i="30"/>
  <c r="AJ117" i="30"/>
  <c r="N16" i="9"/>
  <c r="AJ577" i="30"/>
  <c r="J21" i="30"/>
  <c r="L50" i="9"/>
  <c r="J645" i="30"/>
  <c r="AJ366" i="30"/>
  <c r="AI641" i="30"/>
  <c r="J364" i="30"/>
  <c r="AJ156" i="30"/>
  <c r="AI196" i="30"/>
  <c r="S7" i="9"/>
  <c r="E79" i="21"/>
  <c r="A40" i="10"/>
  <c r="J232" i="30"/>
  <c r="L22" i="9"/>
  <c r="J581" i="30"/>
  <c r="AI160" i="30"/>
  <c r="AJ626" i="30"/>
  <c r="AI614" i="30"/>
  <c r="J20" i="9"/>
  <c r="F42" i="21"/>
  <c r="AJ664" i="30"/>
  <c r="D62" i="9"/>
  <c r="J33" i="9"/>
  <c r="S14" i="9"/>
  <c r="AJ204" i="30"/>
  <c r="AI308" i="30"/>
  <c r="Q74" i="21"/>
  <c r="J207" i="30"/>
  <c r="AP50" i="10"/>
  <c r="T37" i="9"/>
  <c r="O41" i="21"/>
  <c r="N20" i="9"/>
  <c r="J598" i="30"/>
  <c r="J489" i="30"/>
  <c r="R58" i="21"/>
  <c r="L51" i="9"/>
  <c r="J454" i="30"/>
  <c r="AI144" i="30"/>
  <c r="S27" i="21"/>
  <c r="AJ650" i="30"/>
  <c r="J393" i="30"/>
  <c r="J557" i="30"/>
  <c r="J127" i="30"/>
  <c r="C49" i="9"/>
  <c r="J236" i="30"/>
  <c r="J353" i="30"/>
  <c r="AJ399" i="30"/>
  <c r="AJ466" i="30"/>
  <c r="AJ128" i="30"/>
  <c r="AJ472" i="30"/>
  <c r="R29" i="9"/>
  <c r="U59" i="21"/>
  <c r="N19" i="9"/>
  <c r="AJ521" i="30"/>
  <c r="M9" i="9"/>
  <c r="AJ680" i="30"/>
  <c r="AI220" i="30"/>
  <c r="J522" i="30"/>
  <c r="P50" i="9"/>
  <c r="I42" i="21"/>
  <c r="AJ538" i="30"/>
  <c r="H71" i="21"/>
  <c r="T39" i="21"/>
  <c r="AI107" i="30"/>
  <c r="AJ592" i="30"/>
  <c r="E82" i="21"/>
  <c r="M85" i="21"/>
  <c r="T4" i="9"/>
  <c r="N33" i="9"/>
  <c r="AI203" i="30"/>
  <c r="J227" i="30"/>
  <c r="AJ225" i="30"/>
  <c r="W75" i="21"/>
  <c r="E88" i="21"/>
  <c r="N47" i="21"/>
  <c r="AI488" i="30"/>
  <c r="B12" i="9"/>
  <c r="AJ202" i="30"/>
  <c r="J362" i="30"/>
  <c r="J6" i="9"/>
  <c r="J49" i="9"/>
  <c r="AI631" i="30"/>
  <c r="J396" i="30"/>
  <c r="J197" i="30"/>
  <c r="J161" i="30"/>
  <c r="AJ101" i="30"/>
  <c r="AI417" i="30"/>
  <c r="T20" i="9"/>
  <c r="H86" i="21"/>
  <c r="J30" i="30"/>
  <c r="AJ673" i="30"/>
  <c r="T11" i="9"/>
  <c r="AJ513" i="30"/>
  <c r="AI472" i="30"/>
  <c r="J528" i="30"/>
  <c r="I80" i="21"/>
  <c r="AI46" i="30"/>
  <c r="AI323" i="30"/>
  <c r="O13" i="9"/>
  <c r="J477" i="30"/>
  <c r="J42" i="9"/>
  <c r="L18" i="9"/>
  <c r="F18" i="9"/>
  <c r="AJ146" i="30"/>
  <c r="D30" i="21"/>
  <c r="G37" i="9"/>
  <c r="AI349" i="30"/>
  <c r="S20" i="9"/>
  <c r="AI448" i="30"/>
  <c r="AI701" i="30"/>
  <c r="M47" i="21"/>
  <c r="AI489" i="30"/>
  <c r="O23" i="9"/>
  <c r="R16" i="9"/>
  <c r="E62" i="21"/>
  <c r="J63" i="21"/>
  <c r="O59" i="9"/>
  <c r="AJ491" i="30"/>
  <c r="AJ172" i="30"/>
  <c r="G85" i="21"/>
  <c r="J37" i="21"/>
  <c r="G75" i="21"/>
  <c r="J344" i="30"/>
  <c r="AI676" i="30"/>
  <c r="J36" i="9"/>
  <c r="E22" i="9"/>
  <c r="O63" i="9"/>
  <c r="N30" i="9"/>
  <c r="J29" i="30"/>
  <c r="N63" i="9"/>
  <c r="Q57" i="9"/>
  <c r="AI326" i="30"/>
  <c r="AJ272" i="30"/>
  <c r="J171" i="30"/>
  <c r="AJ170" i="30"/>
  <c r="AI580" i="30"/>
  <c r="F19" i="9"/>
  <c r="J617" i="30"/>
  <c r="AJ700" i="30"/>
  <c r="J258" i="30"/>
  <c r="J538" i="30"/>
  <c r="Q5" i="9"/>
  <c r="AJ213" i="30"/>
  <c r="AJ144" i="30"/>
  <c r="B49" i="9"/>
  <c r="J28" i="21"/>
  <c r="AJ60" i="30"/>
  <c r="G40" i="21"/>
  <c r="AI544" i="30"/>
  <c r="F61" i="9"/>
  <c r="D82" i="21"/>
  <c r="AJ286" i="30"/>
  <c r="AI173" i="30"/>
  <c r="F22" i="9"/>
  <c r="K33" i="21"/>
  <c r="Q61" i="21"/>
  <c r="AJ313" i="30"/>
  <c r="N23" i="9"/>
  <c r="J524" i="30"/>
  <c r="AJ191" i="30"/>
  <c r="P58" i="21"/>
  <c r="AJ73" i="30"/>
  <c r="J464" i="30"/>
  <c r="AI267" i="30"/>
  <c r="O26" i="9"/>
  <c r="AJ339" i="30"/>
  <c r="F57" i="21"/>
  <c r="N25" i="21"/>
  <c r="AJ193" i="30"/>
  <c r="AI658" i="30"/>
  <c r="Q71" i="21"/>
  <c r="T29" i="9"/>
  <c r="M7" i="9"/>
  <c r="B17" i="9"/>
  <c r="Q34" i="21"/>
  <c r="J445" i="30"/>
  <c r="J540" i="30"/>
  <c r="K39" i="21"/>
  <c r="AJ256" i="30"/>
  <c r="W82" i="21"/>
  <c r="AF25" i="21"/>
  <c r="U76" i="21"/>
  <c r="J155" i="30"/>
  <c r="L46" i="9"/>
  <c r="AI32" i="30"/>
  <c r="AI613" i="30"/>
  <c r="J245" i="30"/>
  <c r="J193" i="30"/>
  <c r="AI331" i="30"/>
  <c r="U33" i="21"/>
  <c r="AJ248" i="30"/>
  <c r="AJ681" i="30"/>
  <c r="E49" i="9"/>
  <c r="J530" i="30"/>
  <c r="AI40" i="30"/>
  <c r="B32" i="9"/>
  <c r="J209" i="30"/>
  <c r="AJ65" i="30"/>
  <c r="J281" i="30"/>
  <c r="J29" i="9"/>
  <c r="J350" i="30"/>
  <c r="J79" i="30"/>
  <c r="AI486" i="30"/>
  <c r="AI156" i="30"/>
  <c r="AJ222" i="30"/>
  <c r="AJ503" i="30"/>
  <c r="AI410" i="30"/>
  <c r="D86" i="21"/>
  <c r="K12" i="9"/>
  <c r="AI459" i="30"/>
  <c r="AJ635" i="30"/>
  <c r="L36" i="9"/>
  <c r="N5" i="9"/>
  <c r="G55" i="21"/>
  <c r="AJ33" i="30"/>
  <c r="K22" i="9"/>
  <c r="N46" i="9"/>
  <c r="D49" i="9"/>
  <c r="W74" i="21"/>
  <c r="J361" i="30"/>
  <c r="J631" i="30"/>
  <c r="J282" i="30"/>
  <c r="L65" i="21"/>
  <c r="H64" i="21"/>
  <c r="AI278" i="30"/>
  <c r="G83" i="21"/>
  <c r="J572" i="30"/>
  <c r="AJ422" i="30"/>
  <c r="AI324" i="30"/>
  <c r="C10" i="9"/>
  <c r="AJ91" i="30"/>
  <c r="U40" i="21"/>
  <c r="J507" i="30"/>
  <c r="L34" i="21"/>
  <c r="P52" i="9"/>
  <c r="I29" i="9"/>
  <c r="J326" i="30"/>
  <c r="G53" i="21"/>
  <c r="AJ405" i="30"/>
  <c r="AI609" i="30"/>
  <c r="J498" i="30"/>
  <c r="AI127" i="30"/>
  <c r="AI310" i="30"/>
  <c r="V41" i="21"/>
  <c r="O61" i="21"/>
  <c r="AI223" i="30"/>
  <c r="J694" i="30"/>
  <c r="Q31" i="21"/>
  <c r="D6" i="9"/>
  <c r="D29" i="9"/>
  <c r="J123" i="30"/>
  <c r="Q79" i="21"/>
  <c r="I54" i="21"/>
  <c r="S25" i="21"/>
  <c r="G32" i="9"/>
  <c r="AI108" i="30"/>
  <c r="AI473" i="30"/>
  <c r="F60" i="9"/>
  <c r="Q4" i="9"/>
  <c r="AI179" i="30"/>
  <c r="T41" i="21"/>
  <c r="P11" i="9"/>
  <c r="AI172" i="30"/>
  <c r="AI514" i="30"/>
  <c r="Q63" i="21"/>
  <c r="J60" i="9"/>
  <c r="C57" i="9"/>
  <c r="E20" i="9"/>
  <c r="AI269" i="30"/>
  <c r="B18" i="6"/>
  <c r="J377" i="30"/>
  <c r="J192" i="30"/>
  <c r="AI375" i="30"/>
  <c r="A20" i="10"/>
  <c r="S75" i="21"/>
  <c r="AJ201" i="30"/>
  <c r="AI288" i="30"/>
  <c r="J705" i="30"/>
  <c r="AI666" i="30"/>
  <c r="G50" i="9"/>
  <c r="AJ181" i="30"/>
  <c r="J505" i="30"/>
  <c r="I46" i="9"/>
  <c r="J30" i="9"/>
  <c r="AJ412" i="30"/>
  <c r="J296" i="30"/>
  <c r="F13" i="9"/>
  <c r="E9" i="9"/>
  <c r="J101" i="30"/>
  <c r="AJ175" i="30"/>
  <c r="AJ223" i="30"/>
  <c r="AJ251" i="30"/>
  <c r="V52" i="21"/>
  <c r="J457" i="30"/>
  <c r="J100" i="30"/>
  <c r="AI366" i="30"/>
  <c r="AI624" i="30"/>
  <c r="J39" i="9"/>
  <c r="I75" i="21"/>
  <c r="J328" i="30"/>
  <c r="S23" i="9"/>
  <c r="AJ150" i="30"/>
  <c r="AJ481" i="30"/>
  <c r="O56" i="21"/>
  <c r="K31" i="9"/>
  <c r="AI477" i="30"/>
  <c r="AJ644" i="30"/>
  <c r="M88" i="21"/>
  <c r="M23" i="9"/>
  <c r="AJ184" i="30"/>
  <c r="O46" i="9"/>
  <c r="AJ371" i="30"/>
  <c r="J372" i="30"/>
  <c r="M41" i="21"/>
  <c r="B6" i="9"/>
  <c r="AI433" i="30"/>
  <c r="H30" i="9"/>
  <c r="J433" i="30"/>
  <c r="F85" i="21"/>
  <c r="J671" i="30"/>
  <c r="J527" i="30"/>
  <c r="R43" i="21"/>
  <c r="S26" i="21"/>
  <c r="A4" i="10"/>
  <c r="AJ264" i="30"/>
  <c r="AJ237" i="30"/>
  <c r="AI312" i="30"/>
  <c r="J331" i="30"/>
  <c r="J4" i="9"/>
  <c r="W33" i="21"/>
  <c r="AJ372" i="30"/>
  <c r="R53" i="9"/>
  <c r="AI166" i="30"/>
  <c r="AI449" i="30"/>
  <c r="J418" i="30"/>
  <c r="L21" i="9"/>
  <c r="D56" i="9"/>
  <c r="J94" i="30"/>
  <c r="D55" i="21"/>
  <c r="AJ215" i="30"/>
  <c r="AI28" i="30"/>
  <c r="K81" i="21"/>
  <c r="T40" i="9"/>
  <c r="P74" i="21"/>
  <c r="AJ47" i="30"/>
  <c r="AJ396" i="30"/>
  <c r="S50" i="9"/>
  <c r="AJ443" i="30"/>
  <c r="R87" i="21"/>
  <c r="J253" i="30"/>
  <c r="J33" i="30"/>
  <c r="W37" i="21"/>
  <c r="J321" i="30"/>
  <c r="AJ397" i="30"/>
  <c r="J299" i="30"/>
  <c r="E42" i="21"/>
  <c r="K40" i="21"/>
  <c r="AI654" i="30"/>
  <c r="AI576" i="30"/>
  <c r="AI370" i="30"/>
  <c r="G28" i="9"/>
  <c r="J262" i="30"/>
  <c r="AI545" i="30"/>
  <c r="W48" i="21"/>
  <c r="J87" i="21"/>
  <c r="N57" i="21"/>
  <c r="O72" i="21"/>
  <c r="AJ684" i="30"/>
  <c r="J354" i="30"/>
  <c r="AI691" i="30"/>
  <c r="E29" i="21"/>
  <c r="I59" i="9"/>
  <c r="AJ498" i="30"/>
  <c r="Q42" i="21"/>
  <c r="I63" i="21"/>
  <c r="G54" i="21"/>
  <c r="S36" i="9"/>
  <c r="A32" i="10"/>
  <c r="AJ540" i="30"/>
  <c r="B39" i="9"/>
  <c r="AI637" i="30"/>
  <c r="J472" i="30"/>
  <c r="L62" i="9"/>
  <c r="P43" i="21"/>
  <c r="AJ199" i="30"/>
  <c r="J46" i="30"/>
  <c r="D88" i="21"/>
  <c r="O32" i="21"/>
  <c r="J55" i="21"/>
  <c r="L58" i="21"/>
  <c r="AJ80" i="30"/>
  <c r="I64" i="21"/>
  <c r="AI506" i="30"/>
  <c r="H59" i="21"/>
  <c r="AI115" i="30"/>
  <c r="D50" i="9"/>
  <c r="J202" i="30"/>
  <c r="K53" i="9"/>
  <c r="M51" i="9"/>
  <c r="J535" i="30"/>
  <c r="AI588" i="30"/>
  <c r="C11" i="9"/>
  <c r="AJ344" i="30"/>
  <c r="J628" i="30"/>
  <c r="AJ489" i="30"/>
  <c r="J67" i="30"/>
  <c r="J298" i="30"/>
  <c r="O12" i="9"/>
  <c r="F41" i="21"/>
  <c r="S11" i="9"/>
  <c r="J19" i="9"/>
  <c r="AI504" i="30"/>
  <c r="J304" i="30"/>
  <c r="AJ571" i="30"/>
  <c r="F27" i="9"/>
  <c r="J114" i="30"/>
  <c r="L66" i="21"/>
  <c r="J630" i="30"/>
  <c r="F34" i="21"/>
  <c r="U72" i="21"/>
  <c r="AI561" i="30"/>
  <c r="J359" i="30"/>
  <c r="J453" i="30"/>
  <c r="D57" i="21"/>
  <c r="AI574" i="30"/>
  <c r="I20" i="9"/>
  <c r="J686" i="30"/>
  <c r="O38" i="21"/>
  <c r="R80" i="21"/>
  <c r="B47" i="9"/>
  <c r="AI498" i="30"/>
  <c r="AI94" i="30"/>
  <c r="AI583" i="30"/>
  <c r="AI125" i="30"/>
  <c r="J162" i="30"/>
  <c r="AJ171" i="30"/>
  <c r="AJ323" i="30"/>
  <c r="AJ508" i="30"/>
  <c r="J650" i="30"/>
  <c r="AJ357" i="30"/>
  <c r="J81" i="21"/>
  <c r="L43" i="21"/>
  <c r="AI661" i="30"/>
  <c r="P34" i="30"/>
  <c r="AI437" i="30"/>
  <c r="Q27" i="9"/>
  <c r="I65" i="21"/>
  <c r="D70" i="21"/>
  <c r="L4" i="9"/>
  <c r="J608" i="30"/>
  <c r="J706" i="30"/>
  <c r="AI89" i="30"/>
  <c r="AJ601" i="30"/>
  <c r="E47" i="9"/>
  <c r="AJ70" i="30"/>
  <c r="AI397" i="30"/>
  <c r="N75" i="21"/>
  <c r="H34" i="21"/>
  <c r="D60" i="9"/>
  <c r="AI638" i="30"/>
  <c r="J545" i="30"/>
  <c r="E53" i="9"/>
  <c r="AJ238" i="30"/>
  <c r="A30" i="10"/>
  <c r="AJ173" i="30"/>
  <c r="J17" i="9"/>
  <c r="AJ347" i="30"/>
  <c r="AJ127" i="30"/>
  <c r="J146" i="30"/>
  <c r="AI150" i="30"/>
  <c r="L29" i="9"/>
  <c r="AI632" i="30"/>
  <c r="C51" i="9"/>
  <c r="AI118" i="30"/>
  <c r="L61" i="21"/>
  <c r="J439" i="30"/>
  <c r="M57" i="21"/>
  <c r="J392" i="30"/>
  <c r="U53" i="21"/>
  <c r="AI23" i="30"/>
  <c r="S6" i="9"/>
  <c r="G14" i="9"/>
  <c r="L52" i="21"/>
  <c r="AJ478" i="30"/>
  <c r="AI378" i="30"/>
  <c r="G10" i="9"/>
  <c r="J107" i="30"/>
  <c r="D31" i="9"/>
  <c r="S35" i="21"/>
  <c r="AI541" i="30"/>
  <c r="AJ588" i="30"/>
  <c r="M52" i="9"/>
  <c r="T22" i="9"/>
  <c r="J60" i="30"/>
  <c r="S56" i="21"/>
  <c r="AJ230" i="30"/>
  <c r="AI379" i="30"/>
  <c r="AI678" i="30"/>
  <c r="W64" i="21"/>
  <c r="B50" i="9"/>
  <c r="J555" i="30"/>
  <c r="U78" i="21"/>
  <c r="D14" i="9"/>
  <c r="D56" i="21"/>
  <c r="P52" i="21"/>
  <c r="AI660" i="30"/>
  <c r="AI325" i="30"/>
  <c r="H58" i="21"/>
  <c r="J40" i="9"/>
  <c r="J657" i="30"/>
  <c r="N26" i="9"/>
  <c r="J402" i="30"/>
  <c r="AI254" i="30"/>
  <c r="AI283" i="30"/>
  <c r="R52" i="9"/>
  <c r="AJ649" i="30"/>
  <c r="P37" i="21"/>
  <c r="Q17" i="9"/>
  <c r="G77" i="21"/>
  <c r="G34" i="21"/>
  <c r="AJ224" i="30"/>
  <c r="O60" i="21"/>
  <c r="AJ221" i="30"/>
  <c r="R50" i="21"/>
  <c r="M62" i="9"/>
  <c r="AJ302" i="30"/>
  <c r="K20" i="9"/>
  <c r="AI138" i="30"/>
  <c r="AJ126" i="30"/>
  <c r="J224" i="30"/>
  <c r="J700" i="30"/>
  <c r="K13" i="9"/>
  <c r="V59" i="21"/>
  <c r="J701" i="30"/>
  <c r="I77" i="21"/>
  <c r="T12" i="9"/>
  <c r="AI455" i="30"/>
  <c r="D34" i="21"/>
  <c r="AI673" i="30"/>
  <c r="G25" i="21"/>
  <c r="M48" i="9"/>
  <c r="E32" i="9"/>
  <c r="W36" i="21"/>
  <c r="J470" i="30"/>
  <c r="K32" i="21"/>
  <c r="R9" i="9"/>
  <c r="U41" i="21"/>
  <c r="J43" i="30"/>
  <c r="AI563" i="30"/>
  <c r="AI57" i="30"/>
  <c r="AI684" i="30"/>
  <c r="J347" i="30"/>
  <c r="AI113" i="30"/>
  <c r="AI618" i="30"/>
  <c r="J375" i="30"/>
  <c r="AI238" i="30"/>
  <c r="AI112" i="30"/>
  <c r="AJ212" i="30"/>
  <c r="AI653" i="30"/>
  <c r="J21" i="9"/>
  <c r="D28" i="21"/>
  <c r="B28" i="9"/>
  <c r="AI189" i="30"/>
  <c r="E36" i="9"/>
  <c r="F32" i="9"/>
  <c r="AJ287" i="30"/>
  <c r="AJ501" i="30"/>
  <c r="P27" i="30"/>
  <c r="O53" i="21"/>
  <c r="AI511" i="30"/>
  <c r="AJ488" i="30"/>
  <c r="J423" i="30"/>
  <c r="J51" i="30"/>
  <c r="AI120" i="30"/>
  <c r="N49" i="21"/>
  <c r="G36" i="9"/>
  <c r="P82" i="21"/>
  <c r="J363" i="30"/>
  <c r="AI656" i="30"/>
  <c r="H50" i="21"/>
  <c r="AI692" i="30"/>
  <c r="S60" i="21"/>
  <c r="Q87" i="21"/>
  <c r="AJ646" i="30"/>
  <c r="J75" i="30"/>
  <c r="C43" i="9"/>
  <c r="AI456" i="30"/>
  <c r="AI208" i="30"/>
  <c r="H32" i="21"/>
  <c r="F14" i="9"/>
  <c r="J674" i="30"/>
  <c r="J416" i="30"/>
  <c r="P56" i="21"/>
  <c r="J480" i="30"/>
  <c r="O76" i="21"/>
  <c r="C39" i="9"/>
  <c r="J13" i="9"/>
  <c r="AI55" i="30"/>
  <c r="R27" i="21"/>
  <c r="M42" i="9"/>
  <c r="L30" i="9"/>
  <c r="O15" i="9"/>
  <c r="L31" i="21"/>
  <c r="E83" i="21"/>
  <c r="J300" i="30"/>
  <c r="B30" i="9"/>
  <c r="AJ316" i="30"/>
  <c r="N9" i="9"/>
  <c r="J596" i="30"/>
  <c r="R47" i="21"/>
  <c r="Q37" i="9"/>
  <c r="R57" i="9"/>
  <c r="AJ510" i="30"/>
  <c r="W29" i="21"/>
  <c r="AI205" i="30"/>
  <c r="J48" i="30"/>
  <c r="C36" i="9"/>
  <c r="AI453" i="30"/>
  <c r="AJ572" i="30"/>
  <c r="W69" i="21"/>
  <c r="E34" i="21"/>
  <c r="J30" i="21"/>
  <c r="J395" i="30"/>
  <c r="T38" i="9"/>
  <c r="U58" i="21"/>
  <c r="L33" i="21"/>
  <c r="AJ353" i="30"/>
  <c r="J230" i="30"/>
  <c r="C21" i="9"/>
  <c r="S57" i="21"/>
  <c r="AJ421" i="30"/>
  <c r="E38" i="9"/>
  <c r="Q6" i="9"/>
  <c r="Q86" i="21"/>
  <c r="AI376" i="30"/>
  <c r="AJ105" i="30"/>
  <c r="AJ330" i="30"/>
  <c r="O30" i="9"/>
  <c r="E17" i="9"/>
  <c r="F53" i="21"/>
  <c r="AJ697" i="30"/>
  <c r="W39" i="21"/>
  <c r="S61" i="21"/>
  <c r="J29" i="21"/>
  <c r="F54" i="21"/>
  <c r="AI646" i="30"/>
  <c r="AJ477" i="30"/>
  <c r="AJ208" i="30"/>
  <c r="AJ23" i="30"/>
  <c r="F38" i="21"/>
  <c r="J427" i="30"/>
  <c r="AI105" i="30"/>
  <c r="AI606" i="30"/>
  <c r="AJ682" i="30"/>
  <c r="AJ240" i="30"/>
  <c r="F17" i="9"/>
  <c r="J537" i="30"/>
  <c r="AJ380" i="30"/>
  <c r="H51" i="9"/>
  <c r="X25" i="21"/>
  <c r="O8" i="9"/>
  <c r="J585" i="30"/>
  <c r="AJ555" i="30"/>
  <c r="H82" i="21"/>
  <c r="AI612" i="30"/>
  <c r="O9" i="9"/>
  <c r="L59" i="9"/>
  <c r="J684" i="30"/>
  <c r="AI520" i="30"/>
  <c r="AJ103" i="30"/>
  <c r="J385" i="30"/>
  <c r="F47" i="21"/>
  <c r="AJ531" i="30"/>
  <c r="AJ93" i="30"/>
  <c r="D75" i="21"/>
  <c r="J337" i="30"/>
  <c r="C14" i="9"/>
  <c r="AJ500" i="30"/>
  <c r="F15" i="9"/>
  <c r="P32" i="21"/>
  <c r="AG25" i="21"/>
  <c r="N40" i="9"/>
  <c r="U85" i="21"/>
  <c r="AJ688" i="30"/>
  <c r="R18" i="9"/>
  <c r="R48" i="21"/>
  <c r="AI163" i="30"/>
  <c r="J386" i="30"/>
  <c r="AJ686" i="30"/>
  <c r="AJ90" i="30"/>
  <c r="K62" i="9"/>
  <c r="J443" i="30"/>
  <c r="J9" i="9"/>
  <c r="AJ293" i="30"/>
  <c r="AJ633" i="30"/>
  <c r="G58" i="21"/>
  <c r="AI298" i="30"/>
  <c r="J469" i="30"/>
  <c r="AI287" i="30"/>
  <c r="AJ408" i="30"/>
  <c r="AD25" i="21"/>
  <c r="G37" i="21"/>
  <c r="AI140" i="30"/>
  <c r="AJ58" i="30"/>
  <c r="AJ692" i="30"/>
  <c r="Z25" i="21"/>
  <c r="O57" i="9"/>
  <c r="C16" i="9"/>
  <c r="T59" i="21"/>
  <c r="AJ403" i="30"/>
  <c r="E58" i="9"/>
  <c r="N37" i="21"/>
  <c r="O58" i="21"/>
  <c r="AJ285" i="30"/>
  <c r="J185" i="30"/>
  <c r="G52" i="9"/>
  <c r="AJ459" i="30"/>
  <c r="N54" i="21"/>
  <c r="J96" i="30"/>
  <c r="P4" i="9"/>
  <c r="AJ31" i="30"/>
  <c r="S42" i="9"/>
  <c r="AJ410" i="30"/>
  <c r="T42" i="9"/>
  <c r="D40" i="21"/>
  <c r="P21" i="9"/>
  <c r="Q12" i="9"/>
  <c r="W53" i="21"/>
  <c r="AI167" i="30"/>
  <c r="J441" i="30"/>
  <c r="I39" i="9"/>
  <c r="C56" i="9"/>
  <c r="L53" i="9"/>
  <c r="J59" i="9"/>
  <c r="AJ674" i="30"/>
  <c r="AJ53" i="30"/>
  <c r="AJ605" i="30"/>
  <c r="J373" i="30"/>
  <c r="G70" i="21"/>
  <c r="AJ239" i="30"/>
  <c r="J403" i="30"/>
  <c r="K73" i="21"/>
  <c r="T46" i="9"/>
  <c r="AI336" i="30"/>
  <c r="AI644" i="30"/>
  <c r="AJ451" i="30"/>
  <c r="J519" i="30"/>
  <c r="AJ658" i="30"/>
  <c r="AI399" i="30"/>
  <c r="J167" i="30"/>
  <c r="J592" i="30"/>
  <c r="AJ566" i="30"/>
  <c r="O48" i="21"/>
  <c r="AJ388" i="30"/>
  <c r="J129" i="30"/>
  <c r="G23" i="9"/>
  <c r="AI554" i="30"/>
  <c r="Q51" i="21"/>
  <c r="J411" i="30"/>
  <c r="AI471" i="30"/>
  <c r="D5" i="9"/>
  <c r="AI221" i="30"/>
  <c r="F42" i="9"/>
  <c r="Q59" i="21"/>
  <c r="O32" i="9"/>
  <c r="M38" i="9"/>
  <c r="J315" i="30"/>
  <c r="AJ458" i="30"/>
  <c r="AI148" i="30"/>
  <c r="V29" i="21"/>
  <c r="U29" i="21"/>
  <c r="AI415" i="30"/>
  <c r="AJ364" i="30"/>
  <c r="J213" i="30"/>
  <c r="J704" i="30"/>
  <c r="AJ452" i="30"/>
  <c r="T47" i="9"/>
  <c r="H52" i="21"/>
  <c r="AJ416" i="30"/>
  <c r="AJ614" i="30"/>
  <c r="AJ348" i="30"/>
  <c r="AI404" i="30"/>
  <c r="J147" i="30"/>
  <c r="H77" i="21"/>
  <c r="AI121" i="30"/>
  <c r="D84" i="21"/>
  <c r="G62" i="21"/>
  <c r="R49" i="21"/>
  <c r="N14" i="9"/>
  <c r="J436" i="30"/>
  <c r="G53" i="9"/>
  <c r="E63" i="9"/>
  <c r="D77" i="21"/>
  <c r="L70" i="21"/>
  <c r="L75" i="21"/>
  <c r="AI460" i="30"/>
  <c r="AI241" i="30"/>
  <c r="AI90" i="30"/>
  <c r="W56" i="21"/>
  <c r="T71" i="21"/>
  <c r="B40" i="9"/>
  <c r="AJ125" i="30"/>
  <c r="J35" i="21"/>
  <c r="J152" i="30"/>
  <c r="S80" i="21"/>
  <c r="AI58" i="30"/>
  <c r="T85" i="21"/>
  <c r="S47" i="21"/>
  <c r="J25" i="30"/>
  <c r="AI65" i="30"/>
  <c r="W32" i="21"/>
  <c r="J195" i="30"/>
  <c r="AI577" i="30"/>
  <c r="AJ288" i="30"/>
  <c r="J647" i="30"/>
  <c r="C53" i="9"/>
  <c r="AJ690" i="30"/>
  <c r="AJ211" i="30"/>
  <c r="AI530" i="30"/>
  <c r="L47" i="9"/>
  <c r="I48" i="9"/>
  <c r="S37" i="9"/>
  <c r="AJ154" i="30"/>
  <c r="AI250" i="30"/>
  <c r="K61" i="21"/>
  <c r="O61" i="9"/>
  <c r="AI41" i="30"/>
  <c r="Q16" i="9"/>
  <c r="AI693" i="30"/>
  <c r="E31" i="9"/>
  <c r="U52" i="21"/>
  <c r="J333" i="30"/>
  <c r="J70" i="21"/>
  <c r="J53" i="30"/>
  <c r="AI560" i="30"/>
  <c r="M63" i="21"/>
  <c r="J217" i="30"/>
  <c r="P81" i="21"/>
  <c r="J588" i="30"/>
  <c r="J22" i="9"/>
  <c r="M29" i="21"/>
  <c r="H84" i="21"/>
  <c r="U65" i="21"/>
  <c r="AI353" i="30"/>
  <c r="AI133" i="30"/>
  <c r="G26" i="21"/>
  <c r="G33" i="9"/>
  <c r="T60" i="9"/>
  <c r="G60" i="21"/>
  <c r="K78" i="21"/>
  <c r="O87" i="21"/>
  <c r="M70" i="21"/>
  <c r="G39" i="21"/>
  <c r="S4" i="9"/>
  <c r="A12" i="10"/>
  <c r="D47" i="21"/>
  <c r="AI533" i="30"/>
  <c r="AI88" i="30"/>
  <c r="J583" i="30"/>
  <c r="S29" i="9"/>
  <c r="AI129" i="30"/>
  <c r="AI337" i="30"/>
  <c r="K66" i="21"/>
  <c r="J216" i="30"/>
  <c r="S52" i="9"/>
  <c r="D12" i="9"/>
  <c r="R11" i="9"/>
  <c r="O16" i="9"/>
  <c r="F63" i="9"/>
  <c r="AI158" i="30"/>
  <c r="U73" i="21"/>
  <c r="AJ523" i="30"/>
  <c r="U48" i="21"/>
  <c r="J291" i="30"/>
  <c r="J404" i="30"/>
  <c r="AJ593" i="30"/>
  <c r="P75" i="21"/>
  <c r="P25" i="21"/>
  <c r="K75" i="21"/>
  <c r="F50" i="21"/>
  <c r="AI469" i="30"/>
  <c r="K87" i="21"/>
  <c r="F46" i="9"/>
  <c r="F79" i="21"/>
  <c r="S51" i="9"/>
  <c r="V60" i="21"/>
  <c r="O33" i="9"/>
  <c r="C20" i="9"/>
  <c r="AI59" i="30"/>
  <c r="P23" i="30"/>
  <c r="F31" i="9"/>
  <c r="J186" i="30"/>
  <c r="Q65" i="21"/>
  <c r="K69" i="21"/>
  <c r="F43" i="21"/>
  <c r="E50" i="21"/>
  <c r="J52" i="9"/>
  <c r="J31" i="21"/>
  <c r="F33" i="9"/>
  <c r="AI66" i="30"/>
  <c r="J196" i="30"/>
  <c r="AI264" i="30"/>
  <c r="D60" i="21"/>
  <c r="AJ167" i="30"/>
  <c r="J466" i="30"/>
  <c r="AJ624" i="30"/>
  <c r="Q29" i="9"/>
  <c r="O26" i="21"/>
  <c r="K6" i="9"/>
  <c r="AI81" i="30"/>
  <c r="H15" i="9"/>
  <c r="J587" i="30"/>
  <c r="I28" i="9"/>
  <c r="AI103" i="30"/>
  <c r="AJ544" i="30"/>
  <c r="R42" i="9"/>
  <c r="AI262" i="30"/>
  <c r="AI91" i="30"/>
  <c r="R77" i="21"/>
  <c r="M12" i="9"/>
  <c r="D11" i="9"/>
  <c r="G80" i="21"/>
  <c r="AI151" i="30"/>
  <c r="R19" i="9"/>
  <c r="J367" i="30"/>
  <c r="E39" i="21"/>
  <c r="AJ28" i="30"/>
  <c r="J63" i="9"/>
  <c r="Q36" i="9"/>
  <c r="AI215" i="30"/>
  <c r="AI454" i="30"/>
  <c r="AJ179" i="30"/>
  <c r="S85" i="21"/>
  <c r="J709" i="30"/>
  <c r="H43" i="9"/>
  <c r="D71" i="21"/>
  <c r="O56" i="9"/>
  <c r="F25" i="21"/>
  <c r="G19" i="9"/>
  <c r="J677" i="30"/>
  <c r="J397" i="30"/>
  <c r="F74" i="21"/>
  <c r="L72" i="21"/>
  <c r="N83" i="21"/>
  <c r="AJ243" i="30"/>
  <c r="Q14" i="9"/>
  <c r="R46" i="9"/>
  <c r="T84" i="21"/>
  <c r="AJ507" i="30"/>
  <c r="D26" i="9"/>
  <c r="AI476" i="30"/>
  <c r="AJ115" i="30"/>
  <c r="J310" i="30"/>
  <c r="F50" i="9"/>
  <c r="D61" i="9"/>
  <c r="I5" i="9"/>
  <c r="T63" i="9"/>
  <c r="G15" i="9"/>
  <c r="B51" i="9"/>
  <c r="AJ152" i="30"/>
  <c r="AI60" i="30"/>
  <c r="AI183" i="30"/>
  <c r="AJ116" i="30"/>
  <c r="Q28" i="9"/>
  <c r="AI261" i="30"/>
  <c r="I28" i="21"/>
  <c r="K41" i="9"/>
  <c r="J266" i="30"/>
  <c r="J689" i="30"/>
  <c r="I31" i="21"/>
  <c r="I33" i="9"/>
  <c r="AI392" i="30"/>
  <c r="U69" i="21"/>
  <c r="E7" i="9"/>
  <c r="J401" i="30"/>
  <c r="AI143" i="30"/>
  <c r="AJ145" i="30"/>
  <c r="V80" i="21"/>
  <c r="J126" i="30"/>
  <c r="AJ324" i="30"/>
  <c r="AI497" i="30"/>
  <c r="AI555" i="30"/>
  <c r="A10" i="10"/>
  <c r="N13" i="9"/>
  <c r="P28" i="9"/>
  <c r="O69" i="21"/>
  <c r="AJ591" i="30"/>
  <c r="N61" i="9"/>
  <c r="AJ169" i="30"/>
  <c r="AJ600" i="30"/>
  <c r="E51" i="21"/>
  <c r="AI667" i="30"/>
  <c r="G39" i="9"/>
  <c r="J164" i="30"/>
  <c r="AI259" i="30"/>
  <c r="AI601" i="30"/>
  <c r="AI231" i="30"/>
  <c r="S8" i="9"/>
  <c r="AJ74" i="30"/>
  <c r="J261" i="30"/>
  <c r="T87" i="21"/>
  <c r="I42" i="9"/>
  <c r="H69" i="21"/>
  <c r="N32" i="9"/>
  <c r="N27" i="21"/>
  <c r="E60" i="21"/>
  <c r="N81" i="21"/>
  <c r="K59" i="9"/>
  <c r="AI271" i="30"/>
  <c r="U51" i="21"/>
  <c r="F23" i="9"/>
  <c r="G11" i="9"/>
  <c r="S28" i="21"/>
  <c r="AI80" i="30"/>
  <c r="T17" i="9"/>
  <c r="W58" i="21"/>
  <c r="L6" i="9"/>
  <c r="O14" i="9"/>
  <c r="AI537" i="30"/>
  <c r="J567" i="30"/>
  <c r="AJ468" i="30"/>
  <c r="J409" i="30"/>
  <c r="I43" i="21"/>
  <c r="G50" i="21"/>
  <c r="AI418" i="30"/>
  <c r="P40" i="9"/>
  <c r="L32" i="9"/>
  <c r="O40" i="9"/>
  <c r="B41" i="9"/>
  <c r="AI265" i="30"/>
  <c r="T56" i="21"/>
  <c r="J52" i="30"/>
  <c r="AI689" i="30"/>
  <c r="AI244" i="30"/>
  <c r="O28" i="21"/>
  <c r="H47" i="21"/>
  <c r="AI674" i="30"/>
  <c r="AI464" i="30"/>
  <c r="AI425" i="30"/>
  <c r="P26" i="30"/>
  <c r="F28" i="9"/>
  <c r="AJ205" i="30"/>
  <c r="J64" i="21"/>
  <c r="H31" i="21"/>
  <c r="J426" i="30"/>
  <c r="D87" i="21"/>
  <c r="Q72" i="21"/>
  <c r="V69" i="21"/>
  <c r="P15" i="9"/>
  <c r="U86" i="21"/>
  <c r="E39" i="9"/>
  <c r="I36" i="21"/>
  <c r="U56" i="21"/>
  <c r="AJ218" i="30"/>
  <c r="J561" i="30"/>
  <c r="AI268" i="30"/>
  <c r="W42" i="21"/>
  <c r="AJ203" i="30"/>
  <c r="S31" i="21"/>
  <c r="D32" i="9"/>
  <c r="L7" i="9"/>
  <c r="T28" i="21"/>
  <c r="W41" i="21"/>
  <c r="AJ678" i="30"/>
  <c r="AJ360" i="30"/>
  <c r="O53" i="9"/>
  <c r="J98" i="30"/>
  <c r="AI600" i="30"/>
  <c r="W51" i="21"/>
  <c r="I53" i="9"/>
  <c r="I36" i="9"/>
  <c r="AJ64" i="30"/>
  <c r="F51" i="9"/>
  <c r="J57" i="9"/>
  <c r="AI169" i="30"/>
  <c r="L80" i="21"/>
  <c r="D35" i="21"/>
  <c r="J61" i="21"/>
  <c r="AI675" i="30"/>
  <c r="P61" i="21"/>
  <c r="AI212" i="30"/>
  <c r="AC9" i="29"/>
  <c r="Q20" i="9"/>
  <c r="H79" i="21"/>
  <c r="AJ337" i="30"/>
  <c r="AJ279" i="30"/>
  <c r="T36" i="9"/>
  <c r="AI76" i="30"/>
  <c r="K40" i="9"/>
  <c r="J607" i="30"/>
  <c r="G51" i="9"/>
  <c r="P50" i="21"/>
  <c r="O31" i="9"/>
  <c r="V84" i="21"/>
  <c r="AJ106" i="30"/>
  <c r="C38" i="9"/>
  <c r="Q56" i="9"/>
  <c r="F40" i="21"/>
  <c r="K77" i="21"/>
  <c r="AJ457" i="30"/>
  <c r="J444" i="30"/>
  <c r="AJ67" i="30"/>
  <c r="V64" i="21"/>
  <c r="T49" i="21"/>
  <c r="AJ71" i="30"/>
  <c r="V85" i="21"/>
  <c r="AI102" i="30"/>
  <c r="S37" i="21"/>
  <c r="AI195" i="30"/>
  <c r="J620" i="30"/>
  <c r="S63" i="21"/>
  <c r="AI509" i="30"/>
  <c r="I56" i="9"/>
  <c r="I6" i="9"/>
  <c r="AJ284" i="30"/>
  <c r="J343" i="30"/>
  <c r="AJ699" i="30"/>
  <c r="AJ292" i="30"/>
  <c r="Q35" i="21"/>
  <c r="F87" i="21"/>
  <c r="H14" i="9"/>
  <c r="K60" i="9"/>
  <c r="H29" i="21"/>
  <c r="T77" i="21"/>
  <c r="E19" i="9"/>
  <c r="Q62" i="9"/>
  <c r="Q18" i="9"/>
  <c r="J465" i="30"/>
  <c r="J86" i="21"/>
  <c r="AI128" i="30"/>
  <c r="T26" i="21"/>
  <c r="J429" i="30"/>
  <c r="J50" i="9"/>
  <c r="J324" i="30"/>
  <c r="AI615" i="30"/>
  <c r="O29" i="9"/>
  <c r="AI361" i="30"/>
  <c r="D58" i="21"/>
  <c r="AJ341" i="30"/>
  <c r="S81" i="21"/>
  <c r="AJ261" i="30"/>
  <c r="AI292" i="30"/>
  <c r="H42" i="21"/>
  <c r="L41" i="9"/>
  <c r="M22" i="9"/>
  <c r="T27" i="21"/>
  <c r="AJ435" i="30"/>
  <c r="K57" i="9"/>
  <c r="H13" i="9"/>
  <c r="AJ291" i="30"/>
  <c r="P29" i="30"/>
  <c r="AI657" i="30"/>
  <c r="U79" i="21"/>
  <c r="U34" i="21"/>
  <c r="J177" i="30"/>
  <c r="O51" i="21"/>
  <c r="L78" i="21"/>
  <c r="U77" i="21"/>
  <c r="K49" i="9"/>
  <c r="J460" i="30"/>
  <c r="N76" i="21"/>
  <c r="R12" i="9"/>
  <c r="W25" i="21"/>
  <c r="I59" i="21"/>
  <c r="I26" i="9"/>
  <c r="N43" i="9"/>
  <c r="AI427" i="30"/>
  <c r="AJ480" i="30"/>
  <c r="J319" i="30"/>
  <c r="F27" i="21"/>
  <c r="B21" i="9"/>
  <c r="AI579" i="30"/>
  <c r="R31" i="9"/>
  <c r="AI304" i="30"/>
  <c r="J234" i="30"/>
  <c r="E5" i="9"/>
  <c r="AI338" i="30"/>
  <c r="AI557" i="30"/>
  <c r="AJ420" i="30"/>
  <c r="AI463" i="30"/>
  <c r="J420" i="30"/>
  <c r="AJ383" i="30"/>
  <c r="L16" i="9"/>
  <c r="E29" i="9"/>
  <c r="B11" i="9"/>
  <c r="R61" i="21"/>
  <c r="AI100" i="30"/>
  <c r="C52" i="9"/>
  <c r="M87" i="21"/>
  <c r="T58" i="21"/>
  <c r="J365" i="30"/>
  <c r="G18" i="9"/>
  <c r="AJ594" i="30"/>
  <c r="AI279" i="30"/>
  <c r="J382" i="30"/>
  <c r="AJ358" i="30"/>
  <c r="AI495" i="30"/>
  <c r="AI610" i="30"/>
  <c r="AI256" i="30"/>
  <c r="AI314" i="30"/>
  <c r="G74" i="21"/>
  <c r="J358" i="30"/>
  <c r="O55" i="21"/>
  <c r="AJ310" i="30"/>
  <c r="E57" i="21"/>
  <c r="R15" i="9"/>
  <c r="AJ165" i="30"/>
  <c r="T78" i="21"/>
  <c r="G88" i="21"/>
  <c r="M36" i="21"/>
  <c r="T31" i="21"/>
  <c r="AI515" i="30"/>
  <c r="Q47" i="21"/>
  <c r="W43" i="21"/>
  <c r="J191" i="30"/>
  <c r="I72" i="21"/>
  <c r="J440" i="30"/>
  <c r="U47" i="21"/>
  <c r="M28" i="21"/>
  <c r="J47" i="21"/>
  <c r="J547" i="30"/>
  <c r="E18" i="9"/>
  <c r="F64" i="21"/>
  <c r="W54" i="21"/>
  <c r="D44" i="21"/>
  <c r="AI436" i="30"/>
  <c r="R40" i="21"/>
  <c r="L73" i="21"/>
  <c r="AJ604" i="30"/>
  <c r="N72" i="21"/>
  <c r="I38" i="21"/>
  <c r="F76" i="21"/>
  <c r="AI523" i="30"/>
  <c r="AI185" i="30"/>
  <c r="Q75" i="21"/>
  <c r="D58" i="9"/>
  <c r="AJ444" i="30"/>
  <c r="J556" i="30"/>
  <c r="O64" i="21"/>
  <c r="O54" i="21"/>
  <c r="I26" i="21"/>
  <c r="R49" i="9"/>
  <c r="AI117" i="30"/>
  <c r="J614" i="30"/>
  <c r="AJ143" i="30"/>
  <c r="AJ638" i="30"/>
  <c r="I11" i="9"/>
  <c r="J495" i="30"/>
  <c r="Q76" i="21"/>
  <c r="O62" i="9"/>
  <c r="S29" i="21"/>
  <c r="J488" i="30"/>
  <c r="J357" i="30"/>
  <c r="E26" i="21"/>
  <c r="AJ439" i="30"/>
  <c r="F43" i="9"/>
  <c r="J639" i="30"/>
  <c r="J137" i="30"/>
  <c r="AI655" i="30"/>
  <c r="AI494" i="30"/>
  <c r="J38" i="30"/>
  <c r="E52" i="9"/>
  <c r="AJ494" i="30"/>
  <c r="AI31" i="30"/>
  <c r="AJ283" i="30"/>
  <c r="D66" i="21"/>
  <c r="I19" i="9"/>
  <c r="E46" i="9"/>
  <c r="I39" i="21"/>
  <c r="J229" i="30"/>
  <c r="M73" i="21"/>
  <c r="J117" i="30"/>
  <c r="I81" i="21"/>
  <c r="L53" i="21"/>
  <c r="T9" i="29"/>
  <c r="AJ641" i="30"/>
  <c r="AI225" i="30"/>
  <c r="AJ653" i="30"/>
  <c r="H48" i="21"/>
  <c r="N41" i="21"/>
  <c r="AI191" i="30"/>
  <c r="J681" i="30"/>
  <c r="V44" i="21"/>
  <c r="AI524" i="30"/>
  <c r="AJ250" i="30"/>
  <c r="T57" i="9"/>
  <c r="AJ670" i="30"/>
  <c r="J222" i="30"/>
  <c r="U64" i="21"/>
  <c r="AJ129" i="30"/>
  <c r="M59" i="9"/>
  <c r="J190" i="30"/>
  <c r="T8" i="9"/>
  <c r="AJ482" i="30"/>
  <c r="AJ584" i="30"/>
  <c r="M14" i="9"/>
  <c r="AI347" i="30"/>
  <c r="H8" i="9"/>
  <c r="V37" i="21"/>
  <c r="AI597" i="30"/>
  <c r="K5" i="9"/>
  <c r="J12" i="9"/>
  <c r="P39" i="30"/>
  <c r="AJ529" i="30"/>
  <c r="J80" i="30"/>
  <c r="A8" i="10"/>
  <c r="P48" i="9"/>
  <c r="K27" i="9"/>
  <c r="AJ61" i="30"/>
  <c r="V36" i="21"/>
  <c r="AJ677" i="30"/>
  <c r="L62" i="21"/>
  <c r="J58" i="21"/>
  <c r="I56" i="21"/>
  <c r="I86" i="21"/>
  <c r="J685" i="30"/>
  <c r="AJ140" i="30"/>
  <c r="H87" i="21"/>
  <c r="S50" i="21"/>
  <c r="V38" i="21"/>
  <c r="W44" i="21"/>
  <c r="R57" i="21"/>
  <c r="J574" i="30"/>
  <c r="AJ270" i="30"/>
  <c r="AJ21" i="30"/>
  <c r="H19" i="9"/>
  <c r="AI24" i="30"/>
  <c r="N51" i="21"/>
  <c r="L54" i="21"/>
  <c r="AJ294" i="30"/>
  <c r="J41" i="30"/>
  <c r="J275" i="30"/>
  <c r="J415" i="30"/>
  <c r="P57" i="9"/>
  <c r="L5" i="9"/>
  <c r="AJ343" i="30"/>
  <c r="E26" i="9"/>
  <c r="AI294" i="30"/>
  <c r="J479" i="30"/>
  <c r="AI315" i="30"/>
  <c r="J228" i="30"/>
  <c r="I83" i="21"/>
  <c r="T43" i="9"/>
  <c r="U44" i="21"/>
  <c r="AI467" i="30"/>
  <c r="O51" i="9"/>
  <c r="AJ527" i="30"/>
  <c r="J54" i="21"/>
  <c r="Q28" i="21"/>
  <c r="AJ595" i="30"/>
  <c r="L15" i="9"/>
  <c r="S78" i="21"/>
  <c r="K63" i="21"/>
  <c r="E87" i="21"/>
  <c r="AI386" i="30"/>
  <c r="L27" i="21"/>
  <c r="P26" i="9"/>
  <c r="AJ427" i="30"/>
  <c r="O86" i="21"/>
  <c r="J41" i="21"/>
  <c r="P42" i="30"/>
  <c r="J175" i="30"/>
  <c r="F56" i="9"/>
  <c r="Q69" i="21"/>
  <c r="B20" i="9"/>
  <c r="AJ249" i="30"/>
  <c r="AI640" i="30"/>
  <c r="AJ391" i="30"/>
  <c r="T26" i="9"/>
  <c r="U61" i="21"/>
  <c r="AI589" i="30"/>
  <c r="AJ433" i="30"/>
  <c r="AJ345" i="30"/>
  <c r="J189" i="30"/>
  <c r="S62" i="21"/>
  <c r="F39" i="9"/>
  <c r="D36" i="9"/>
  <c r="J226" i="30"/>
  <c r="J516" i="30"/>
  <c r="T15" i="9"/>
  <c r="AI373" i="30"/>
  <c r="AI39" i="30"/>
  <c r="J41" i="9"/>
  <c r="AJ460" i="30"/>
  <c r="T47" i="21"/>
  <c r="M59" i="21"/>
  <c r="AI359" i="30"/>
  <c r="AI85" i="30"/>
  <c r="AI405" i="30"/>
  <c r="P49" i="21"/>
  <c r="J621" i="30"/>
  <c r="AI487" i="30"/>
  <c r="J136" i="30"/>
  <c r="J341" i="30"/>
  <c r="K65" i="21"/>
  <c r="K43" i="9"/>
  <c r="G28" i="21"/>
  <c r="L20" i="9"/>
  <c r="AJ660" i="30"/>
  <c r="H36" i="21"/>
  <c r="J130" i="30"/>
  <c r="J622" i="30"/>
  <c r="AJ82" i="30"/>
  <c r="AJ309" i="30"/>
  <c r="E41" i="9"/>
  <c r="T30" i="9"/>
  <c r="N87" i="21"/>
  <c r="I25" i="21"/>
  <c r="O50" i="21"/>
  <c r="AJ467" i="30"/>
  <c r="J297" i="30"/>
  <c r="Q21" i="9"/>
  <c r="P79" i="21"/>
  <c r="H54" i="21"/>
  <c r="H25" i="21"/>
  <c r="F30" i="21"/>
  <c r="AI277" i="30"/>
  <c r="AI423" i="30"/>
  <c r="J148" i="30"/>
  <c r="H41" i="21"/>
  <c r="M80" i="21"/>
  <c r="K88" i="21"/>
  <c r="AJ49" i="30"/>
  <c r="R26" i="21"/>
  <c r="F84" i="21"/>
  <c r="F26" i="21"/>
  <c r="K33" i="9"/>
  <c r="I37" i="21"/>
  <c r="V58" i="21"/>
  <c r="L56" i="21"/>
  <c r="AI651" i="30"/>
  <c r="U39" i="21"/>
  <c r="L79" i="21"/>
  <c r="AJ585" i="30"/>
  <c r="Q50" i="9"/>
  <c r="T72" i="21"/>
  <c r="AI581" i="30"/>
  <c r="J334" i="30"/>
  <c r="O41" i="9"/>
  <c r="AI248" i="30"/>
  <c r="I53" i="21"/>
  <c r="J678" i="30"/>
  <c r="G46" i="9"/>
  <c r="AJ526" i="30"/>
  <c r="N8" i="9"/>
  <c r="AI503" i="30"/>
  <c r="L31" i="9"/>
  <c r="AI216" i="30"/>
  <c r="Q58" i="21"/>
  <c r="AI247" i="30"/>
  <c r="T44" i="21"/>
  <c r="N77" i="21"/>
  <c r="J317" i="30"/>
  <c r="O57" i="21"/>
  <c r="J82" i="21"/>
  <c r="O42" i="9"/>
  <c r="P73" i="21"/>
  <c r="G66" i="21"/>
  <c r="N17" i="9"/>
  <c r="J25" i="21"/>
  <c r="V77" i="21"/>
  <c r="J514" i="30"/>
  <c r="AJ363" i="30"/>
  <c r="T49" i="9"/>
  <c r="P14" i="9"/>
  <c r="S10" i="9"/>
  <c r="T83" i="21"/>
  <c r="U83" i="21"/>
  <c r="J72" i="21"/>
  <c r="U71" i="21"/>
  <c r="V53" i="21"/>
  <c r="AI87" i="30"/>
  <c r="AI272" i="30"/>
  <c r="A16" i="10"/>
  <c r="AI106" i="30"/>
  <c r="S28" i="9"/>
  <c r="AI232" i="30"/>
  <c r="AJ210" i="30"/>
  <c r="Y25" i="21"/>
  <c r="R52" i="21"/>
  <c r="J251" i="30"/>
  <c r="M6" i="9"/>
  <c r="F60" i="21"/>
  <c r="J430" i="30"/>
  <c r="AJ663" i="30"/>
  <c r="U63" i="21"/>
  <c r="T69" i="21"/>
  <c r="F63" i="21"/>
  <c r="I52" i="9"/>
  <c r="B8" i="9"/>
  <c r="AJ185" i="30"/>
  <c r="K32" i="9"/>
  <c r="J36" i="30"/>
  <c r="I18" i="9"/>
  <c r="AI72" i="30"/>
  <c r="AI180" i="30"/>
  <c r="J28" i="30"/>
  <c r="S70" i="21"/>
  <c r="J494" i="30"/>
  <c r="AJ668" i="30"/>
  <c r="AJ693" i="30"/>
  <c r="H39" i="21"/>
  <c r="AJ197" i="30"/>
  <c r="J316" i="30"/>
  <c r="J458" i="30"/>
  <c r="J417" i="30"/>
  <c r="Q73" i="21"/>
  <c r="D37" i="9"/>
  <c r="J305" i="30"/>
  <c r="H46" i="9"/>
  <c r="N12" i="9"/>
  <c r="G17" i="9"/>
  <c r="D63" i="21"/>
  <c r="F32" i="21"/>
  <c r="AJ512" i="30"/>
  <c r="N48" i="21"/>
  <c r="R59" i="21"/>
  <c r="U32" i="21"/>
  <c r="D31" i="21"/>
  <c r="K19" i="9"/>
  <c r="T53" i="9"/>
  <c r="E41" i="21"/>
  <c r="AJ214" i="30"/>
  <c r="R23" i="9"/>
  <c r="J666" i="30"/>
  <c r="AI407" i="30"/>
  <c r="C47" i="9"/>
  <c r="P34" i="21"/>
  <c r="N52" i="9"/>
  <c r="J173" i="30"/>
  <c r="AJ88" i="30"/>
  <c r="J543" i="30"/>
  <c r="R60" i="9"/>
  <c r="AJ350" i="30"/>
  <c r="AI290" i="30"/>
  <c r="AJ227" i="30"/>
  <c r="J106" i="30"/>
  <c r="J533" i="30"/>
  <c r="U28" i="21"/>
  <c r="AI71" i="30"/>
  <c r="AJ109" i="30"/>
  <c r="J616" i="30"/>
  <c r="Q58" i="9"/>
  <c r="D46" i="9"/>
  <c r="J683" i="30"/>
  <c r="AI319" i="30"/>
  <c r="AJ561" i="30"/>
  <c r="M72" i="21"/>
  <c r="J349" i="30"/>
  <c r="T42" i="21"/>
  <c r="H40" i="9"/>
  <c r="AJ642" i="30"/>
  <c r="L81" i="21"/>
  <c r="T21" i="9"/>
  <c r="P5" i="9"/>
  <c r="AJ583" i="30"/>
  <c r="I32" i="21"/>
  <c r="J523" i="30"/>
  <c r="J74" i="21"/>
  <c r="O7" i="9"/>
  <c r="C5" i="9"/>
  <c r="AH50" i="10"/>
  <c r="AJ369" i="30"/>
  <c r="J58" i="30"/>
  <c r="S39" i="21"/>
  <c r="N58" i="21"/>
  <c r="F77" i="21"/>
  <c r="J642" i="30"/>
  <c r="Q60" i="21"/>
  <c r="AI83" i="30"/>
  <c r="Q66" i="21"/>
  <c r="P80" i="21"/>
  <c r="AI639" i="30"/>
  <c r="AJ331" i="30"/>
  <c r="AJ265" i="30"/>
  <c r="AI137" i="30"/>
  <c r="E61" i="9"/>
  <c r="J93" i="30"/>
  <c r="D80" i="21"/>
  <c r="E70" i="21"/>
  <c r="J32" i="30"/>
  <c r="AF50" i="10"/>
  <c r="P60" i="9"/>
  <c r="Q43" i="21"/>
  <c r="S17" i="9"/>
  <c r="AJ34" i="30"/>
  <c r="AJ45" i="30"/>
  <c r="J280" i="30"/>
  <c r="AJ153" i="30"/>
  <c r="S69" i="21"/>
  <c r="R81" i="21"/>
  <c r="G38" i="9"/>
  <c r="S18" i="9"/>
  <c r="AI207" i="30"/>
  <c r="I23" i="9"/>
  <c r="AJ542" i="30"/>
  <c r="AI54" i="30"/>
  <c r="V62" i="21"/>
  <c r="AJ136" i="30"/>
  <c r="P51" i="9"/>
  <c r="AJ198" i="30"/>
  <c r="AI429" i="30"/>
  <c r="J27" i="21"/>
  <c r="N59" i="21"/>
  <c r="J97" i="30"/>
  <c r="AJ394" i="30"/>
  <c r="J323" i="30"/>
  <c r="E43" i="21"/>
  <c r="I82" i="21"/>
  <c r="D28" i="9"/>
  <c r="M60" i="21"/>
  <c r="AI239" i="30"/>
  <c r="W70" i="21"/>
  <c r="J692" i="30"/>
  <c r="AJ530" i="30"/>
  <c r="J521" i="30"/>
  <c r="AJ164" i="30"/>
  <c r="AJ679" i="30"/>
  <c r="F55" i="21"/>
  <c r="J64" i="30"/>
  <c r="K41" i="21"/>
  <c r="AI409" i="30"/>
  <c r="M27" i="9"/>
  <c r="R8" i="9"/>
  <c r="E47" i="21"/>
  <c r="AJ461" i="30"/>
  <c r="G33" i="21"/>
  <c r="Q56" i="21"/>
  <c r="H32" i="9"/>
  <c r="AI342" i="30"/>
  <c r="AJ168" i="30"/>
  <c r="AI275" i="30"/>
  <c r="P21" i="30"/>
  <c r="AI300" i="30"/>
  <c r="AI44" i="30"/>
  <c r="P87" i="21"/>
  <c r="R14" i="9"/>
  <c r="AJ195" i="30"/>
  <c r="AJ94" i="30"/>
  <c r="AI50" i="30"/>
  <c r="AJ162" i="30"/>
  <c r="M84" i="21"/>
  <c r="K36" i="21"/>
  <c r="R83" i="21"/>
  <c r="H38" i="9"/>
  <c r="L56" i="9"/>
  <c r="P44" i="21"/>
  <c r="D48" i="9"/>
  <c r="AJ192" i="30"/>
  <c r="AJ289" i="30"/>
  <c r="Q50" i="21"/>
  <c r="H26" i="21"/>
  <c r="W52" i="21"/>
  <c r="U66" i="21"/>
  <c r="R28" i="9"/>
  <c r="J459" i="30"/>
  <c r="V50" i="21"/>
  <c r="AI406" i="30"/>
  <c r="AI29" i="30"/>
  <c r="K71" i="21"/>
  <c r="J485" i="30"/>
  <c r="L40" i="21"/>
  <c r="H60" i="9"/>
  <c r="G49" i="9"/>
  <c r="J405" i="30"/>
  <c r="AJ166" i="30"/>
  <c r="AI96" i="30"/>
  <c r="Q48" i="21"/>
  <c r="O33" i="21"/>
  <c r="P52" i="30"/>
  <c r="AJ556" i="30"/>
  <c r="G8" i="9"/>
  <c r="J188" i="30"/>
  <c r="J378" i="30"/>
  <c r="J85" i="30"/>
  <c r="AI27" i="30"/>
  <c r="AJ474" i="30"/>
  <c r="U26" i="21"/>
  <c r="AJ35" i="30"/>
  <c r="E30" i="21"/>
  <c r="I43" i="9"/>
  <c r="V34" i="21"/>
  <c r="H57" i="9"/>
  <c r="AI36" i="30"/>
  <c r="Q46" i="9"/>
  <c r="J289" i="30"/>
  <c r="V75" i="21"/>
  <c r="S88" i="21"/>
  <c r="AJ327" i="30"/>
  <c r="N41" i="9"/>
  <c r="J237" i="30"/>
  <c r="E27" i="21"/>
  <c r="J22" i="30"/>
  <c r="M81" i="21"/>
  <c r="P33" i="9"/>
  <c r="P39" i="21"/>
  <c r="L28" i="9"/>
  <c r="J139" i="30"/>
  <c r="F80" i="21"/>
  <c r="S48" i="21"/>
  <c r="D43" i="21"/>
  <c r="M78" i="21"/>
  <c r="AJ269" i="30"/>
  <c r="V30" i="21"/>
  <c r="E13" i="9"/>
  <c r="AJ643" i="30"/>
  <c r="AI139" i="30"/>
  <c r="J623" i="30"/>
  <c r="J116" i="30"/>
  <c r="AI510" i="30"/>
  <c r="J627" i="30"/>
  <c r="U43" i="21"/>
  <c r="J508" i="30"/>
  <c r="H27" i="21"/>
  <c r="AJ424" i="30"/>
  <c r="F47" i="9"/>
  <c r="AJ662" i="30"/>
  <c r="V76" i="21"/>
  <c r="D57" i="9"/>
  <c r="N11" i="9"/>
  <c r="AJ255" i="30"/>
  <c r="J695" i="30"/>
  <c r="N38" i="9"/>
  <c r="P53" i="30"/>
  <c r="J292" i="30"/>
  <c r="J65" i="21"/>
  <c r="AJ326" i="30"/>
  <c r="J198" i="30"/>
  <c r="W59" i="21"/>
  <c r="J399" i="30"/>
  <c r="R72" i="21"/>
  <c r="F33" i="21"/>
  <c r="Q41" i="9"/>
  <c r="T48" i="9"/>
  <c r="J600" i="30"/>
  <c r="D48" i="21"/>
  <c r="L8" i="9"/>
  <c r="D39" i="21"/>
  <c r="N52" i="21"/>
  <c r="AI97" i="30"/>
  <c r="AJ622" i="30"/>
  <c r="AJ393" i="30"/>
  <c r="AJ123" i="30"/>
  <c r="M30" i="9"/>
  <c r="F51" i="21"/>
  <c r="AI38" i="30"/>
  <c r="AJ349" i="30"/>
  <c r="J48" i="21"/>
  <c r="S59" i="21"/>
  <c r="AJ475" i="30"/>
  <c r="L83" i="21"/>
  <c r="AJ85" i="30"/>
  <c r="I60" i="9"/>
  <c r="J434" i="30"/>
  <c r="J90" i="30"/>
  <c r="R44" i="21"/>
  <c r="I47" i="21"/>
  <c r="T52" i="9"/>
  <c r="L47" i="21"/>
  <c r="N60" i="21"/>
  <c r="AJ25" i="30"/>
  <c r="W65" i="21"/>
  <c r="Q62" i="21"/>
  <c r="H17" i="9"/>
  <c r="H12" i="9"/>
  <c r="AI328" i="30"/>
  <c r="M39" i="9"/>
  <c r="AI447" i="30"/>
  <c r="D47" i="9"/>
  <c r="J580" i="30"/>
  <c r="L50" i="21"/>
  <c r="AI539" i="30"/>
  <c r="F29" i="21"/>
  <c r="AJ104" i="30"/>
  <c r="P42" i="9"/>
  <c r="W60" i="21"/>
  <c r="F28" i="21"/>
  <c r="N22" i="9"/>
  <c r="AJ62" i="30"/>
  <c r="AI648" i="30"/>
  <c r="E8" i="9"/>
  <c r="O11" i="9"/>
  <c r="P41" i="9"/>
  <c r="J407" i="30"/>
  <c r="O70" i="21"/>
  <c r="K58" i="9"/>
  <c r="AI153" i="30"/>
  <c r="M44" i="21"/>
  <c r="V28" i="21"/>
  <c r="P47" i="21"/>
  <c r="AJ76" i="30"/>
  <c r="AI642" i="30"/>
  <c r="AJ495" i="30"/>
  <c r="AI170" i="30"/>
  <c r="AI194" i="30"/>
  <c r="E52" i="21"/>
  <c r="AI550" i="30"/>
  <c r="N44" i="21"/>
  <c r="AJ432" i="30"/>
  <c r="U57" i="21"/>
  <c r="K38" i="21"/>
  <c r="L39" i="21"/>
  <c r="AJ177" i="30"/>
  <c r="AI502" i="30"/>
  <c r="K83" i="21"/>
  <c r="AI546" i="30"/>
  <c r="G61" i="9"/>
  <c r="J208" i="30"/>
  <c r="J412" i="30"/>
  <c r="Q40" i="21"/>
  <c r="E57" i="9"/>
  <c r="M63" i="9"/>
  <c r="B37" i="9"/>
  <c r="AI49" i="30"/>
  <c r="AB25" i="21"/>
  <c r="F16" i="9"/>
  <c r="AJ522" i="30"/>
  <c r="R28" i="21"/>
  <c r="AJ419" i="30"/>
  <c r="C17" i="9"/>
  <c r="S58" i="9"/>
  <c r="F58" i="9"/>
  <c r="I30" i="21"/>
  <c r="T66" i="21"/>
  <c r="J641" i="30"/>
  <c r="AJ496" i="30"/>
  <c r="G43" i="9"/>
  <c r="P13" i="9"/>
  <c r="P43" i="30"/>
  <c r="J576" i="30"/>
  <c r="T30" i="21"/>
  <c r="J618" i="30"/>
  <c r="B15" i="9"/>
  <c r="D51" i="21"/>
  <c r="P41" i="21"/>
  <c r="D54" i="21"/>
  <c r="AJ469" i="30"/>
  <c r="N62" i="9"/>
  <c r="AI200" i="30"/>
  <c r="Q38" i="21"/>
  <c r="J120" i="30"/>
  <c r="K48" i="9"/>
  <c r="AJ27" i="30"/>
  <c r="AJ598" i="30"/>
  <c r="J612" i="30"/>
  <c r="AJ563" i="30"/>
  <c r="AI42" i="30"/>
  <c r="AR50" i="10"/>
  <c r="AI668" i="30"/>
  <c r="G58" i="9"/>
  <c r="J605" i="30"/>
  <c r="V63" i="21"/>
  <c r="M27" i="21"/>
  <c r="K27" i="21"/>
  <c r="AI531" i="30"/>
  <c r="AI558" i="30"/>
  <c r="AI619" i="30"/>
  <c r="I37" i="9"/>
  <c r="AI446" i="30"/>
  <c r="P8" i="9"/>
  <c r="J314" i="30"/>
  <c r="AJ407" i="30"/>
  <c r="J474" i="30"/>
  <c r="M50" i="21"/>
  <c r="K62" i="21"/>
  <c r="P77" i="21"/>
  <c r="AI26" i="30"/>
  <c r="AJ235" i="30"/>
  <c r="J579" i="30"/>
  <c r="J287" i="30"/>
  <c r="P30" i="21"/>
  <c r="Q63" i="9"/>
  <c r="S12" i="9"/>
  <c r="M66" i="21"/>
  <c r="H76" i="21"/>
  <c r="AI237" i="30"/>
  <c r="P60" i="21"/>
  <c r="AI451" i="30"/>
  <c r="H16" i="9"/>
  <c r="J635" i="30"/>
  <c r="F9" i="9"/>
  <c r="AI374" i="30"/>
  <c r="AJ631" i="30"/>
  <c r="J74" i="30"/>
  <c r="AJ445" i="30"/>
  <c r="L32" i="21"/>
  <c r="J510" i="30"/>
  <c r="F66" i="21"/>
  <c r="A28" i="10"/>
  <c r="AI478" i="30"/>
  <c r="B46" i="9"/>
  <c r="E51" i="9"/>
  <c r="H50" i="9"/>
  <c r="AI110" i="30"/>
  <c r="J131" i="30"/>
  <c r="AI340" i="30"/>
  <c r="U30" i="21"/>
  <c r="J542" i="30"/>
  <c r="R38" i="9"/>
  <c r="AI438" i="30"/>
  <c r="AI299" i="30"/>
  <c r="A34" i="10"/>
  <c r="E42" i="9"/>
  <c r="C29" i="9"/>
  <c r="P22" i="30"/>
  <c r="J473" i="30"/>
  <c r="T23" i="9"/>
  <c r="AJ578" i="30"/>
  <c r="V32" i="21"/>
  <c r="AI695" i="30"/>
  <c r="S36" i="21"/>
  <c r="J710" i="30"/>
  <c r="V82" i="21"/>
  <c r="J604" i="30"/>
  <c r="P9" i="9"/>
  <c r="AJ278" i="30"/>
  <c r="H57" i="21"/>
  <c r="S5" i="9"/>
  <c r="J51" i="21"/>
  <c r="P26" i="21"/>
  <c r="B56" i="9"/>
  <c r="M51" i="21"/>
  <c r="P55" i="21"/>
  <c r="J33" i="21"/>
  <c r="S42" i="21"/>
  <c r="AJ493" i="30"/>
  <c r="AD50" i="10"/>
  <c r="S72" i="21"/>
  <c r="N74" i="21"/>
  <c r="E50" i="9"/>
  <c r="J66" i="30"/>
  <c r="AJ52" i="30"/>
  <c r="C40" i="9"/>
  <c r="N79" i="21"/>
  <c r="G69" i="21"/>
  <c r="G65" i="21"/>
  <c r="K44" i="21"/>
  <c r="B63" i="9"/>
  <c r="M19" i="9"/>
  <c r="B48" i="9"/>
  <c r="Q37" i="21"/>
  <c r="F59" i="9"/>
  <c r="J119" i="30"/>
  <c r="R54" i="21"/>
  <c r="S87" i="21"/>
  <c r="J655" i="30"/>
  <c r="J629" i="30"/>
  <c r="J48" i="9"/>
  <c r="L28" i="21"/>
  <c r="P42" i="21"/>
  <c r="J134" i="30"/>
  <c r="AJ567" i="30"/>
  <c r="AI479" i="30"/>
  <c r="O63" i="21"/>
  <c r="U25" i="21"/>
  <c r="A14" i="10"/>
  <c r="J428" i="30"/>
  <c r="W40" i="21"/>
  <c r="AJ159" i="30"/>
  <c r="J210" i="30"/>
  <c r="J504" i="30"/>
  <c r="J449" i="30"/>
  <c r="AI540" i="30"/>
  <c r="AJ504" i="30"/>
  <c r="Q55" i="21"/>
  <c r="R42" i="21"/>
  <c r="H48" i="9"/>
  <c r="N48" i="9"/>
  <c r="J71" i="21"/>
  <c r="F82" i="21"/>
  <c r="V57" i="21"/>
  <c r="AJ645" i="30"/>
  <c r="E81" i="21"/>
  <c r="AJ303" i="30"/>
  <c r="AJ438" i="30"/>
  <c r="AJ381" i="30"/>
  <c r="O85" i="21"/>
  <c r="S15" i="9"/>
  <c r="J438" i="30"/>
  <c r="AI505" i="30"/>
  <c r="F53" i="9"/>
  <c r="K7" i="9"/>
  <c r="AI443" i="30"/>
  <c r="S49" i="21"/>
  <c r="F81" i="21"/>
  <c r="J240" i="30"/>
  <c r="N32" i="21"/>
  <c r="D36" i="21"/>
  <c r="G41" i="9"/>
  <c r="J603" i="30"/>
  <c r="D18" i="9"/>
  <c r="N40" i="21"/>
  <c r="AJ69" i="30"/>
  <c r="V33" i="21"/>
  <c r="F36" i="9"/>
  <c r="AS50" i="10"/>
  <c r="J698" i="30"/>
  <c r="J610" i="30"/>
  <c r="AJ190" i="30"/>
  <c r="AI522" i="30"/>
  <c r="AJ266" i="30"/>
  <c r="J553" i="30"/>
  <c r="J665" i="30"/>
  <c r="J564" i="30"/>
  <c r="AI491" i="30"/>
  <c r="N4" i="9"/>
  <c r="R5" i="9"/>
  <c r="H61" i="21"/>
  <c r="AJ320" i="30"/>
  <c r="U35" i="21"/>
  <c r="AJ382" i="30"/>
  <c r="E63" i="21"/>
  <c r="O25" i="21"/>
  <c r="AI551" i="30"/>
  <c r="K70" i="21"/>
  <c r="Q81" i="21"/>
  <c r="J609" i="30"/>
  <c r="AJ325" i="30"/>
  <c r="J142" i="30"/>
  <c r="AJ141" i="30"/>
  <c r="J72" i="30"/>
  <c r="P59" i="21"/>
  <c r="O20" i="9"/>
  <c r="AI74" i="30"/>
  <c r="AJ385" i="30"/>
  <c r="M34" i="21"/>
  <c r="L86" i="21"/>
  <c r="AJ281" i="30"/>
  <c r="C15" i="9"/>
  <c r="D25" i="21"/>
  <c r="N28" i="9"/>
  <c r="A42" i="10"/>
  <c r="AJ528" i="30"/>
  <c r="W88" i="21"/>
  <c r="AJ450" i="30"/>
  <c r="Q84" i="21"/>
  <c r="T33" i="21"/>
  <c r="F30" i="9"/>
  <c r="J176" i="30"/>
  <c r="P58" i="9"/>
  <c r="P31" i="9"/>
  <c r="AI669" i="30"/>
  <c r="AJ368" i="30"/>
  <c r="J166" i="30"/>
  <c r="I88" i="21"/>
  <c r="B14" i="9"/>
  <c r="L48" i="21"/>
  <c r="AI301" i="30"/>
  <c r="AI461" i="30"/>
  <c r="AI354" i="30"/>
  <c r="P76" i="21"/>
  <c r="AI393" i="30"/>
  <c r="J340" i="30"/>
  <c r="J481" i="30"/>
  <c r="AI202" i="30"/>
  <c r="H7" i="9"/>
  <c r="AJ541" i="30"/>
  <c r="Q27" i="21"/>
  <c r="D65" i="21"/>
  <c r="E25" i="21"/>
  <c r="J225" i="30"/>
  <c r="E76" i="21"/>
  <c r="AJ625" i="30"/>
  <c r="L42" i="9"/>
  <c r="AJ296" i="30"/>
  <c r="E66" i="21"/>
  <c r="B13" i="9"/>
  <c r="AJ119" i="30"/>
  <c r="K23" i="9"/>
  <c r="AI334" i="30"/>
  <c r="AI193" i="30"/>
  <c r="K15" i="9"/>
  <c r="G87" i="21"/>
  <c r="AI680" i="30"/>
  <c r="AI182" i="30"/>
  <c r="R34" i="21"/>
  <c r="AM50" i="10"/>
  <c r="Q22" i="9"/>
  <c r="P38" i="21"/>
  <c r="G30" i="21"/>
  <c r="G52" i="21"/>
  <c r="F41" i="9"/>
  <c r="AI47" i="30"/>
  <c r="K85" i="21"/>
  <c r="J633" i="30"/>
  <c r="V55" i="21"/>
  <c r="K10" i="9"/>
  <c r="O49" i="21"/>
  <c r="T70" i="21"/>
  <c r="J34" i="30"/>
  <c r="W85" i="21"/>
  <c r="AI249" i="30"/>
  <c r="J78" i="21"/>
  <c r="AI445" i="30"/>
  <c r="C63" i="9"/>
  <c r="AI329" i="30"/>
  <c r="K38" i="9"/>
  <c r="M17" i="9"/>
  <c r="R36" i="9"/>
  <c r="O36" i="9"/>
  <c r="Q10" i="9"/>
  <c r="AI213" i="30"/>
  <c r="AI274" i="30"/>
  <c r="J560" i="30"/>
  <c r="H35" i="21"/>
  <c r="U74" i="21"/>
  <c r="T33" i="9"/>
  <c r="L41" i="21"/>
  <c r="M25" i="21"/>
  <c r="J58" i="9"/>
  <c r="G64" i="21"/>
  <c r="K43" i="21"/>
  <c r="AJ32" i="30"/>
  <c r="M29" i="9"/>
  <c r="J548" i="30"/>
  <c r="G27" i="21"/>
  <c r="AE50" i="10"/>
  <c r="AI69" i="30"/>
  <c r="M31" i="9"/>
  <c r="G84" i="21"/>
  <c r="J68" i="30"/>
  <c r="F12" i="9"/>
  <c r="O27" i="9"/>
  <c r="AI383" i="30"/>
  <c r="J501" i="30"/>
  <c r="AJ231" i="30"/>
  <c r="AI228" i="30"/>
  <c r="M26" i="21"/>
  <c r="H75" i="21"/>
  <c r="J690" i="30"/>
  <c r="H20" i="9"/>
  <c r="J447" i="30"/>
  <c r="E62" i="9"/>
  <c r="G6" i="9"/>
  <c r="J558" i="30"/>
  <c r="AI350" i="30"/>
  <c r="J391" i="30"/>
  <c r="L36" i="21"/>
  <c r="P41" i="30"/>
  <c r="T5" i="9"/>
  <c r="AI686" i="30"/>
  <c r="G76" i="21"/>
  <c r="J274" i="30"/>
  <c r="L39" i="9"/>
  <c r="AJ332" i="30"/>
  <c r="N73" i="21"/>
  <c r="E49" i="21"/>
  <c r="M60" i="9"/>
  <c r="M26" i="9"/>
  <c r="F20" i="9"/>
  <c r="I58" i="21"/>
  <c r="J366" i="30"/>
  <c r="J57" i="21"/>
  <c r="G49" i="21"/>
  <c r="W86" i="21"/>
  <c r="AJ543" i="30"/>
  <c r="P54" i="21"/>
  <c r="K25" i="21"/>
  <c r="AJ355" i="30"/>
  <c r="S41" i="21"/>
  <c r="Q44" i="21"/>
  <c r="AI608" i="30"/>
  <c r="J570" i="30"/>
  <c r="AI22" i="30"/>
  <c r="I69" i="21"/>
  <c r="J520" i="30"/>
  <c r="M86" i="21"/>
  <c r="AJ246" i="30"/>
  <c r="I32" i="9"/>
  <c r="J506" i="30"/>
  <c r="R48" i="9"/>
  <c r="AJ304" i="30"/>
  <c r="AI670" i="30"/>
  <c r="AG50" i="10"/>
  <c r="AJ603" i="30"/>
  <c r="L71" i="21"/>
  <c r="N39" i="21"/>
  <c r="N56" i="21"/>
  <c r="S59" i="9"/>
  <c r="T36" i="21"/>
  <c r="J452" i="30"/>
  <c r="P61" i="9"/>
  <c r="V71" i="21"/>
  <c r="C42" i="9"/>
  <c r="G63" i="21"/>
  <c r="M74" i="21"/>
  <c r="N64" i="21"/>
  <c r="A38" i="10"/>
  <c r="AI382" i="30"/>
  <c r="U87" i="21"/>
  <c r="S38" i="9"/>
  <c r="AJ463" i="30"/>
  <c r="AI628" i="30"/>
  <c r="AJ321" i="30"/>
  <c r="J89" i="30"/>
  <c r="W49" i="21"/>
  <c r="P31" i="21"/>
  <c r="M50" i="9"/>
  <c r="J5" i="9"/>
  <c r="T18" i="9"/>
  <c r="Q26" i="21"/>
  <c r="AJ268" i="30"/>
  <c r="M20" i="9"/>
  <c r="D79" i="21"/>
  <c r="D8" i="9"/>
  <c r="A46" i="10"/>
  <c r="J636" i="30"/>
  <c r="AJ652" i="30"/>
  <c r="J115" i="30"/>
  <c r="N85" i="21"/>
  <c r="AI636" i="30"/>
  <c r="AJ441" i="30"/>
  <c r="K46" i="9"/>
  <c r="S44" i="21"/>
  <c r="P84" i="21"/>
  <c r="AI174" i="30"/>
  <c r="AI380" i="30"/>
  <c r="L14" i="9"/>
  <c r="J49" i="21"/>
  <c r="F7" i="9"/>
  <c r="AI101" i="30"/>
  <c r="G32" i="21"/>
  <c r="J387" i="30"/>
  <c r="S40" i="21"/>
  <c r="O77" i="21"/>
  <c r="H33" i="21"/>
  <c r="AJ582" i="30"/>
  <c r="AJ182" i="30"/>
  <c r="AJ449" i="30"/>
  <c r="E72" i="21"/>
  <c r="V87" i="21"/>
  <c r="J214" i="30"/>
  <c r="AJ174" i="30"/>
  <c r="J424" i="30"/>
  <c r="C22" i="9"/>
  <c r="A22" i="10"/>
  <c r="J39" i="21"/>
  <c r="J512" i="30"/>
  <c r="AJ51" i="30"/>
  <c r="N60" i="9"/>
  <c r="F72" i="21"/>
  <c r="AI441" i="30"/>
  <c r="C23" i="9"/>
  <c r="AJ534" i="30"/>
  <c r="AI333" i="30"/>
  <c r="AI162" i="30"/>
  <c r="AI698" i="30"/>
  <c r="J658" i="30"/>
  <c r="L10" i="9"/>
  <c r="AJ486" i="30"/>
  <c r="J696" i="30"/>
  <c r="G9" i="9"/>
  <c r="T38" i="21"/>
  <c r="M16" i="9"/>
  <c r="AJ298" i="30"/>
  <c r="S62" i="9"/>
  <c r="H60" i="21"/>
  <c r="N66" i="21"/>
  <c r="O38" i="9"/>
  <c r="P16" i="9"/>
  <c r="S21" i="9"/>
  <c r="AI435" i="30"/>
  <c r="G22" i="9"/>
  <c r="AJ280" i="30"/>
  <c r="AJ322" i="30"/>
  <c r="AI187" i="30"/>
  <c r="K30" i="9"/>
  <c r="L82" i="21"/>
  <c r="W83" i="21"/>
  <c r="AJ447" i="30"/>
  <c r="S27" i="9"/>
  <c r="J550" i="30"/>
  <c r="R50" i="9"/>
  <c r="I29" i="21"/>
  <c r="W31" i="21"/>
  <c r="G59" i="9"/>
  <c r="V39" i="21"/>
  <c r="AJ389" i="30"/>
  <c r="AJ92" i="30"/>
  <c r="J370" i="30"/>
  <c r="M82" i="21"/>
  <c r="M13" i="9"/>
  <c r="AI434" i="30"/>
  <c r="R55" i="21"/>
  <c r="P25" i="30"/>
  <c r="V27" i="21"/>
  <c r="E33" i="21"/>
  <c r="AJ436" i="30"/>
  <c r="J595" i="30"/>
  <c r="AI357" i="30"/>
  <c r="L76" i="21"/>
  <c r="K76" i="21"/>
  <c r="T86" i="21"/>
  <c r="Q33" i="21"/>
  <c r="Q30" i="21"/>
  <c r="G51" i="21"/>
  <c r="S56" i="9"/>
  <c r="J668" i="30"/>
  <c r="AI587" i="30"/>
  <c r="J697" i="30"/>
  <c r="AI316" i="30"/>
  <c r="B19" i="9"/>
  <c r="L43" i="9"/>
  <c r="Q47" i="9"/>
  <c r="AJ57" i="30"/>
  <c r="D38" i="9"/>
  <c r="Q32" i="21"/>
  <c r="J625" i="30"/>
  <c r="AJ634" i="30"/>
  <c r="N84" i="21"/>
  <c r="AI626" i="30"/>
  <c r="AJ423" i="30"/>
  <c r="AJ487" i="30"/>
  <c r="AI424" i="30"/>
  <c r="AJ137" i="30"/>
  <c r="AJ252" i="30"/>
  <c r="AI513" i="30"/>
  <c r="K37" i="21"/>
  <c r="J264" i="30"/>
  <c r="Q39" i="9"/>
  <c r="S46" i="9"/>
  <c r="M77" i="21"/>
  <c r="K52" i="21"/>
  <c r="J62" i="21"/>
  <c r="H53" i="9"/>
  <c r="J368" i="30"/>
  <c r="G48" i="21"/>
  <c r="J672" i="30"/>
  <c r="F83" i="21"/>
  <c r="AI512" i="30"/>
  <c r="Q88" i="21"/>
  <c r="I58" i="9"/>
  <c r="C61" i="9"/>
  <c r="N29" i="21"/>
  <c r="H62" i="21"/>
  <c r="J499" i="30"/>
  <c r="G47" i="21"/>
  <c r="AI322" i="30"/>
  <c r="AA25" i="21"/>
  <c r="J66" i="21"/>
  <c r="J313" i="30"/>
  <c r="R40" i="9"/>
  <c r="J83" i="21"/>
  <c r="G20" i="9"/>
  <c r="J20" i="30"/>
  <c r="Q51" i="9"/>
  <c r="L25" i="21"/>
  <c r="R30" i="21"/>
  <c r="AJ490" i="30"/>
  <c r="S54" i="21"/>
  <c r="V40" i="21"/>
  <c r="J421" i="30"/>
  <c r="AJ139" i="30"/>
  <c r="J55" i="30"/>
  <c r="AI633" i="30"/>
  <c r="AJ575" i="30"/>
  <c r="A48" i="10"/>
  <c r="G56" i="21"/>
  <c r="AI198" i="30"/>
  <c r="O81" i="21"/>
  <c r="D38" i="21"/>
  <c r="R56" i="9"/>
  <c r="E37" i="9"/>
  <c r="O80" i="21"/>
  <c r="J410" i="30"/>
  <c r="L88" i="21"/>
  <c r="D39" i="9"/>
  <c r="AJ672" i="30"/>
  <c r="R30" i="9"/>
  <c r="D27" i="21"/>
  <c r="E10" i="9"/>
  <c r="AJ157" i="30"/>
  <c r="AJ689" i="30"/>
  <c r="K56" i="9"/>
  <c r="V74" i="21"/>
  <c r="O28" i="9"/>
  <c r="P63" i="21"/>
  <c r="AJ351" i="30"/>
  <c r="T14" i="9"/>
  <c r="T34" i="21"/>
  <c r="AJ414" i="30"/>
  <c r="AJ695" i="30"/>
  <c r="G56" i="9"/>
  <c r="AI164" i="30"/>
  <c r="D7" i="9"/>
  <c r="AJ580" i="30"/>
  <c r="L60" i="9"/>
  <c r="M61" i="21"/>
  <c r="AI685" i="30"/>
  <c r="T53" i="21"/>
  <c r="V48" i="21"/>
  <c r="T35" i="21"/>
  <c r="K79" i="21"/>
  <c r="P46" i="30"/>
  <c r="J204" i="30"/>
  <c r="K9" i="9"/>
  <c r="P47" i="30"/>
  <c r="J713" i="30"/>
  <c r="J124" i="30"/>
  <c r="W71" i="21"/>
  <c r="J169" i="30"/>
  <c r="U80" i="21"/>
  <c r="AJ44" i="30"/>
  <c r="S71" i="21"/>
  <c r="I52" i="21"/>
  <c r="U27" i="21"/>
  <c r="AJ132" i="30"/>
  <c r="J597" i="30"/>
  <c r="J10" i="9"/>
  <c r="AI235" i="30"/>
  <c r="I38" i="9"/>
  <c r="AJ180" i="30"/>
  <c r="AJ525" i="30"/>
  <c r="J569" i="30"/>
  <c r="A18" i="10"/>
  <c r="J85" i="21"/>
  <c r="K11" i="9"/>
  <c r="J613" i="30"/>
  <c r="T74" i="21"/>
  <c r="E35" i="21"/>
  <c r="R51" i="9"/>
  <c r="I73" i="21"/>
  <c r="AJ84" i="30"/>
  <c r="G47" i="9"/>
  <c r="AJ259" i="30"/>
  <c r="J369" i="30"/>
  <c r="M36" i="9"/>
  <c r="E58" i="21"/>
  <c r="AJ406" i="30"/>
  <c r="AI672" i="30"/>
  <c r="O59" i="21"/>
  <c r="AJ108" i="30"/>
  <c r="J88" i="30"/>
  <c r="D78" i="21"/>
  <c r="B53" i="9"/>
  <c r="K56" i="21"/>
  <c r="AJ413" i="30"/>
  <c r="R22" i="9"/>
  <c r="K82" i="21"/>
  <c r="G81" i="21"/>
  <c r="T76" i="21"/>
  <c r="AJ640" i="30"/>
  <c r="AI281" i="30"/>
  <c r="I44" i="21"/>
  <c r="J667" i="30"/>
  <c r="K84" i="21"/>
  <c r="G12" i="9"/>
  <c r="B43" i="9"/>
  <c r="I57" i="9"/>
  <c r="V70" i="21"/>
  <c r="H56" i="21"/>
  <c r="H39" i="9"/>
  <c r="J109" i="30"/>
  <c r="F36" i="21"/>
  <c r="AI500" i="30"/>
  <c r="AJ257" i="30"/>
  <c r="S82" i="21"/>
  <c r="AJ565" i="30"/>
  <c r="AJ271" i="30"/>
  <c r="P88" i="21"/>
  <c r="D53" i="9"/>
  <c r="V42" i="21"/>
  <c r="E28" i="9"/>
  <c r="AI442" i="30"/>
  <c r="L40" i="9"/>
  <c r="J183" i="30"/>
  <c r="AI307" i="30"/>
  <c r="L13" i="9"/>
  <c r="J113" i="30"/>
  <c r="AJ100" i="30"/>
  <c r="K74" i="21"/>
  <c r="M33" i="21"/>
  <c r="Q52" i="9"/>
  <c r="AI688" i="30"/>
  <c r="J394" i="30"/>
  <c r="AI388" i="30"/>
  <c r="J88" i="21"/>
  <c r="E69" i="21"/>
  <c r="AI240" i="30"/>
  <c r="P31" i="30"/>
  <c r="P27" i="21"/>
  <c r="N6" i="9"/>
  <c r="AJ581" i="30"/>
  <c r="AJ425" i="30"/>
  <c r="J77" i="21"/>
  <c r="H66" i="21"/>
  <c r="K58" i="21"/>
  <c r="J688" i="30"/>
  <c r="J35" i="30"/>
  <c r="J53" i="9"/>
  <c r="P50" i="30"/>
  <c r="J551" i="30"/>
  <c r="J475" i="30"/>
  <c r="Q82" i="21"/>
  <c r="L9" i="9"/>
  <c r="P51" i="30"/>
  <c r="H27" i="9"/>
  <c r="U60" i="21"/>
  <c r="J60" i="21"/>
  <c r="J84" i="21"/>
  <c r="N65" i="21"/>
  <c r="I79" i="21"/>
  <c r="K72" i="21"/>
  <c r="AI611" i="30"/>
  <c r="N62" i="21"/>
  <c r="O5" i="9"/>
  <c r="AI258" i="30"/>
  <c r="G57" i="9"/>
  <c r="J541" i="30"/>
  <c r="J247" i="30"/>
  <c r="P23" i="9"/>
  <c r="K26" i="9"/>
  <c r="I57" i="21"/>
  <c r="R31" i="21"/>
  <c r="G31" i="9"/>
  <c r="AJ411" i="30"/>
  <c r="T62" i="9"/>
  <c r="R60" i="21"/>
  <c r="AI157" i="30"/>
  <c r="AI468" i="30"/>
  <c r="V88" i="21"/>
  <c r="M11" i="9"/>
  <c r="P30" i="30"/>
  <c r="AE25" i="21"/>
  <c r="J346" i="30"/>
  <c r="P33" i="30"/>
  <c r="P32" i="30"/>
  <c r="O4" i="9"/>
  <c r="AJ560" i="30"/>
  <c r="V72" i="21"/>
  <c r="AI25" i="30"/>
  <c r="F11" i="9"/>
  <c r="C18" i="9"/>
  <c r="AI566" i="30"/>
  <c r="AI439" i="30"/>
  <c r="AJ131" i="30"/>
  <c r="Q40" i="9"/>
  <c r="AI572" i="30"/>
  <c r="AI396" i="30"/>
  <c r="AI525" i="30"/>
  <c r="J15" i="9"/>
  <c r="J61" i="30"/>
  <c r="R88" i="21"/>
  <c r="S33" i="21"/>
  <c r="AI384" i="30"/>
  <c r="D16" i="9"/>
  <c r="I61" i="21"/>
  <c r="O42" i="21"/>
  <c r="J376" i="30"/>
  <c r="AJ241" i="30"/>
  <c r="AJ147" i="30"/>
  <c r="Q23" i="9"/>
  <c r="Q42" i="9"/>
  <c r="L49" i="21"/>
  <c r="F62" i="21"/>
  <c r="AI573" i="30"/>
  <c r="V86" i="21"/>
  <c r="I30" i="9"/>
  <c r="AI318" i="30"/>
  <c r="AI665" i="30"/>
  <c r="T48" i="21"/>
  <c r="Q13" i="9"/>
  <c r="P38" i="9"/>
  <c r="AI286" i="30"/>
  <c r="I63" i="9"/>
  <c r="H29" i="9"/>
  <c r="L48" i="9"/>
  <c r="W66" i="21"/>
  <c r="AI599" i="30"/>
  <c r="AI567" i="30"/>
  <c r="D13" i="9"/>
  <c r="P48" i="30"/>
  <c r="Q70" i="21"/>
  <c r="O43" i="9"/>
  <c r="I87" i="21"/>
  <c r="Q52" i="21"/>
  <c r="N31" i="21"/>
  <c r="L84" i="21"/>
  <c r="AI78" i="30"/>
  <c r="AI607" i="30"/>
  <c r="F73" i="21"/>
  <c r="I62" i="21"/>
  <c r="AI111" i="30"/>
  <c r="G57" i="21"/>
  <c r="J7" i="9"/>
  <c r="AJ669" i="30"/>
  <c r="N30" i="21"/>
  <c r="R61" i="9"/>
  <c r="AJ559" i="30"/>
  <c r="L30" i="21"/>
  <c r="AI311" i="30"/>
  <c r="W73" i="21"/>
  <c r="AI630" i="30"/>
  <c r="H85" i="21"/>
  <c r="AI20" i="30"/>
  <c r="T27" i="9"/>
  <c r="C31" i="9"/>
  <c r="P66" i="21"/>
  <c r="W26" i="21"/>
  <c r="G16" i="9"/>
  <c r="M76" i="21"/>
  <c r="J250" i="30"/>
  <c r="AI450" i="30"/>
  <c r="J26" i="9"/>
  <c r="J47" i="30"/>
  <c r="AJ456" i="30"/>
  <c r="B26" i="9"/>
  <c r="D50" i="21"/>
  <c r="S84" i="21"/>
  <c r="J38" i="9"/>
  <c r="AJ282" i="30"/>
  <c r="AJ562" i="30"/>
  <c r="U84" i="21"/>
  <c r="AI549" i="30"/>
  <c r="AI697" i="30"/>
  <c r="B23" i="9"/>
  <c r="D29" i="21"/>
  <c r="AJ415" i="30"/>
  <c r="N49" i="9"/>
  <c r="U37" i="21"/>
  <c r="R51" i="21"/>
  <c r="T81" i="21"/>
  <c r="E61" i="21"/>
  <c r="M54" i="21"/>
  <c r="J156" i="30"/>
  <c r="J260" i="30"/>
  <c r="D51" i="9"/>
  <c r="AJ308" i="30"/>
  <c r="L57" i="9"/>
  <c r="J278" i="30"/>
  <c r="AI255" i="30"/>
  <c r="J566" i="30"/>
  <c r="G72" i="21"/>
  <c r="W80" i="21"/>
  <c r="R47" i="9"/>
  <c r="N34" i="21"/>
  <c r="Q39" i="21"/>
  <c r="E28" i="21"/>
  <c r="Q36" i="21"/>
  <c r="AJ617" i="30"/>
  <c r="S58" i="21"/>
  <c r="E55" i="21"/>
  <c r="J69" i="21"/>
  <c r="J52" i="21"/>
  <c r="S30" i="9"/>
  <c r="M48" i="21"/>
  <c r="W57" i="21"/>
  <c r="P45" i="30"/>
  <c r="AJ619" i="30"/>
  <c r="R4" i="9"/>
  <c r="AI650" i="30"/>
  <c r="L57" i="21"/>
  <c r="AI226" i="30"/>
  <c r="C12" i="9"/>
  <c r="E78" i="21"/>
  <c r="H65" i="21"/>
  <c r="L55" i="21"/>
  <c r="J233" i="30"/>
  <c r="S51" i="21"/>
  <c r="J178" i="30"/>
  <c r="AI381" i="30"/>
  <c r="I61" i="9"/>
  <c r="P83" i="21"/>
  <c r="M31" i="21"/>
  <c r="T58" i="9"/>
  <c r="J437" i="30"/>
  <c r="J578" i="30"/>
  <c r="I49" i="9"/>
  <c r="C62" i="9"/>
  <c r="D10" i="9"/>
  <c r="Q54" i="21"/>
  <c r="D73" i="21"/>
  <c r="L74" i="21"/>
  <c r="E80" i="21"/>
  <c r="AI317" i="30"/>
  <c r="K51" i="21"/>
  <c r="S40" i="9"/>
  <c r="AJ299" i="30"/>
  <c r="W72" i="21"/>
  <c r="AI332" i="30"/>
  <c r="AJ367" i="30"/>
  <c r="J47" i="9"/>
  <c r="M79" i="21"/>
  <c r="N53" i="21"/>
  <c r="AI197" i="30"/>
  <c r="AI428" i="30"/>
  <c r="AJ373" i="30"/>
  <c r="J27" i="9"/>
  <c r="AJ110" i="30"/>
  <c r="AI553" i="30"/>
  <c r="E37" i="21"/>
  <c r="AJ492" i="30"/>
  <c r="N39" i="9"/>
  <c r="T29" i="21"/>
  <c r="AJ334" i="30"/>
  <c r="R74" i="21"/>
  <c r="P64" i="21"/>
  <c r="AI362" i="30"/>
  <c r="L60" i="21"/>
  <c r="AI177" i="30"/>
  <c r="N47" i="9"/>
  <c r="D41" i="21"/>
  <c r="T43" i="21"/>
  <c r="S60" i="9"/>
  <c r="Q83" i="21"/>
  <c r="AV50" i="10"/>
  <c r="T50" i="21"/>
  <c r="W27" i="21"/>
  <c r="J238" i="30"/>
  <c r="E56" i="21"/>
  <c r="Z9" i="29"/>
  <c r="AI218" i="30"/>
  <c r="AI508" i="30"/>
  <c r="V47" i="21"/>
  <c r="I66" i="21"/>
  <c r="AI214" i="30"/>
  <c r="L35" i="21"/>
  <c r="AI444" i="30"/>
  <c r="AJ42" i="30"/>
  <c r="Q26" i="9"/>
  <c r="V73" i="21"/>
  <c r="R70" i="21"/>
  <c r="AI594" i="30"/>
  <c r="AJ121" i="30"/>
  <c r="M56" i="21"/>
  <c r="M37" i="21"/>
  <c r="Q85" i="21"/>
  <c r="U82" i="21"/>
  <c r="J200" i="30"/>
  <c r="N53" i="9"/>
  <c r="G82" i="21"/>
  <c r="N38" i="21"/>
  <c r="AJ401" i="30"/>
  <c r="C46" i="9"/>
  <c r="S34" i="21"/>
  <c r="J435" i="30"/>
  <c r="D59" i="21"/>
  <c r="AI431" i="30"/>
  <c r="M30" i="21"/>
  <c r="M32" i="21"/>
  <c r="V81" i="21"/>
  <c r="J640" i="30"/>
  <c r="O40" i="21"/>
  <c r="F69" i="21"/>
  <c r="R35" i="21"/>
  <c r="A24" i="10"/>
  <c r="N70" i="21"/>
  <c r="J254" i="30"/>
  <c r="R29" i="21"/>
  <c r="J92" i="30"/>
  <c r="AJ273" i="30"/>
  <c r="AJ99" i="30"/>
  <c r="AI548" i="30"/>
  <c r="P59" i="9"/>
  <c r="J26" i="30"/>
  <c r="W47" i="21"/>
  <c r="E11" i="9"/>
  <c r="P49" i="9"/>
  <c r="AI305" i="30"/>
  <c r="G60" i="9"/>
  <c r="AI99" i="30"/>
  <c r="AJ532" i="30"/>
  <c r="B42" i="9"/>
  <c r="P36" i="30"/>
  <c r="J482" i="30"/>
  <c r="D21" i="9"/>
  <c r="D69" i="21"/>
  <c r="M58" i="21"/>
  <c r="P33" i="21"/>
  <c r="N28" i="21"/>
  <c r="W9" i="29"/>
  <c r="E40" i="21"/>
  <c r="T37" i="21"/>
  <c r="C6" i="9"/>
  <c r="P57" i="21"/>
  <c r="AJ549" i="30"/>
  <c r="G35" i="21"/>
  <c r="AI284" i="30"/>
  <c r="J255" i="30"/>
  <c r="AJ520" i="30"/>
  <c r="M43" i="9"/>
  <c r="F57" i="9"/>
  <c r="AJ196" i="30"/>
  <c r="AJ48" i="30"/>
  <c r="AJ590" i="30"/>
  <c r="F31" i="21"/>
  <c r="B31" i="9"/>
  <c r="U49" i="21"/>
  <c r="P38" i="30"/>
  <c r="S77" i="21"/>
  <c r="H28" i="9"/>
  <c r="B61" i="9"/>
  <c r="W30" i="21"/>
  <c r="AJ149" i="30"/>
  <c r="AJ306" i="30"/>
  <c r="P62" i="21"/>
  <c r="S65" i="21"/>
  <c r="G38" i="21"/>
  <c r="T39" i="9"/>
  <c r="H52" i="9"/>
  <c r="AJ400" i="30"/>
  <c r="AJ89" i="30"/>
  <c r="P62" i="9"/>
  <c r="S86" i="21"/>
  <c r="AJ479" i="30"/>
  <c r="J711" i="30"/>
  <c r="C37" i="9"/>
  <c r="R84" i="21"/>
  <c r="I33" i="21"/>
  <c r="AJ276" i="30"/>
  <c r="J325" i="30"/>
  <c r="J332" i="30"/>
  <c r="H33" i="9"/>
  <c r="H88" i="21"/>
  <c r="J577" i="30"/>
  <c r="R39" i="21"/>
  <c r="H6" i="9"/>
  <c r="AJ675" i="30"/>
  <c r="N59" i="9"/>
  <c r="AO50" i="10"/>
  <c r="K36" i="9"/>
  <c r="O79" i="21"/>
  <c r="AJ314" i="30"/>
  <c r="O6" i="9"/>
  <c r="R75" i="21"/>
  <c r="AJ666" i="30"/>
  <c r="AI37" i="30"/>
  <c r="F59" i="21"/>
  <c r="U42" i="21"/>
  <c r="F10" i="9"/>
  <c r="AJ554" i="30"/>
  <c r="AI493" i="30"/>
  <c r="S33" i="9"/>
  <c r="AI122" i="30"/>
  <c r="N82" i="21"/>
  <c r="J461" i="30"/>
  <c r="L59" i="21"/>
  <c r="AI95" i="30"/>
  <c r="AI483" i="30"/>
  <c r="J419" i="30"/>
  <c r="AI569" i="30"/>
  <c r="J302" i="30"/>
  <c r="I27" i="9"/>
  <c r="AJ476" i="30"/>
  <c r="I49" i="21"/>
  <c r="K21" i="9"/>
  <c r="J490" i="30"/>
  <c r="T82" i="21"/>
  <c r="T51" i="21"/>
  <c r="J75" i="21"/>
  <c r="AI452" i="30"/>
  <c r="J283" i="30"/>
  <c r="F29" i="9"/>
  <c r="AJ564" i="30"/>
  <c r="O35" i="21"/>
  <c r="M40" i="21"/>
  <c r="AI470" i="30"/>
  <c r="O18" i="9"/>
  <c r="J235" i="30"/>
  <c r="AI352" i="30"/>
  <c r="AJ453" i="30"/>
  <c r="D23" i="9"/>
  <c r="AJ113" i="30"/>
  <c r="J379" i="30"/>
  <c r="AJ242" i="30"/>
  <c r="P57" i="30"/>
  <c r="AJ359" i="30"/>
  <c r="I70" i="21"/>
  <c r="V56" i="21"/>
  <c r="J559" i="30"/>
  <c r="S39" i="9"/>
  <c r="B19" i="6"/>
  <c r="O43" i="21"/>
  <c r="AN50" i="10"/>
  <c r="J591" i="30"/>
  <c r="AJ234" i="30"/>
  <c r="I78" i="21"/>
  <c r="O19" i="9"/>
  <c r="M61" i="9"/>
  <c r="O21" i="9"/>
  <c r="AJ374" i="30"/>
  <c r="J46" i="9"/>
  <c r="B33" i="9"/>
  <c r="J63" i="30"/>
  <c r="R33" i="21"/>
  <c r="R56" i="21"/>
  <c r="M5" i="9"/>
  <c r="AJ81" i="30"/>
  <c r="AJ454" i="30"/>
  <c r="P18" i="9"/>
  <c r="AJ98" i="30"/>
  <c r="S43" i="21"/>
  <c r="T31" i="9"/>
  <c r="E59" i="21"/>
  <c r="AJ30" i="30"/>
  <c r="K42" i="9"/>
  <c r="F49" i="21"/>
  <c r="L37" i="21"/>
  <c r="P32" i="9"/>
  <c r="J248" i="30"/>
  <c r="H49" i="9"/>
  <c r="J643" i="30"/>
  <c r="AI192" i="30"/>
  <c r="G27" i="9"/>
  <c r="N36" i="21"/>
  <c r="AI251" i="30"/>
  <c r="K31" i="21"/>
  <c r="M47" i="9"/>
  <c r="J18" i="9"/>
  <c r="P47" i="9"/>
  <c r="U75" i="21"/>
  <c r="A44" i="10"/>
  <c r="AI584" i="30"/>
  <c r="V54" i="21"/>
  <c r="S22" i="9"/>
  <c r="D52" i="21"/>
  <c r="W84" i="21"/>
  <c r="AJ440" i="30"/>
  <c r="P6" i="9"/>
  <c r="R13" i="9"/>
  <c r="K64" i="21"/>
  <c r="G61" i="21"/>
  <c r="J244" i="30"/>
  <c r="D76" i="21"/>
  <c r="E74" i="21"/>
  <c r="I74" i="21"/>
  <c r="M64" i="21"/>
  <c r="AI492" i="30"/>
  <c r="E36" i="21"/>
  <c r="T60" i="21"/>
  <c r="AJ464" i="30"/>
  <c r="AJ300" i="30"/>
  <c r="C33" i="9"/>
  <c r="AI496" i="30"/>
  <c r="AI647" i="30"/>
  <c r="J360" i="30"/>
  <c r="D81" i="21"/>
  <c r="K80" i="21"/>
  <c r="E71" i="21"/>
  <c r="AJ694" i="30"/>
  <c r="AJ377" i="30"/>
  <c r="O36" i="21"/>
  <c r="AJ317" i="30"/>
  <c r="N35" i="21"/>
  <c r="AI412" i="30"/>
  <c r="B22" i="9"/>
  <c r="P63" i="9"/>
  <c r="AI499" i="30"/>
  <c r="L26" i="9"/>
  <c r="AJ95" i="30"/>
  <c r="N50" i="9"/>
  <c r="J243" i="30"/>
  <c r="P69" i="21"/>
  <c r="F62" i="9"/>
  <c r="R71" i="21"/>
  <c r="AI593" i="30"/>
  <c r="J43" i="21"/>
  <c r="P30" i="9"/>
  <c r="AJ426" i="30"/>
  <c r="M75" i="21"/>
  <c r="L77" i="21"/>
  <c r="P28" i="21"/>
  <c r="AJ340" i="30"/>
  <c r="D37" i="21"/>
  <c r="F56" i="21"/>
  <c r="J57" i="30"/>
  <c r="R20" i="9"/>
  <c r="I51" i="9"/>
  <c r="J80" i="21"/>
  <c r="AI201" i="30"/>
  <c r="B38" i="9"/>
  <c r="C8" i="9"/>
  <c r="S66" i="21"/>
  <c r="J590" i="30"/>
  <c r="AJ569" i="30"/>
  <c r="AJ536" i="30"/>
  <c r="N31" i="9"/>
  <c r="AJ497" i="30"/>
  <c r="R7" i="9"/>
  <c r="R63" i="21"/>
  <c r="P35" i="30"/>
  <c r="K18" i="9"/>
  <c r="Q57" i="21"/>
  <c r="N80" i="21"/>
  <c r="S76" i="21"/>
  <c r="H55" i="21"/>
  <c r="AI75" i="30"/>
  <c r="F44" i="21"/>
  <c r="E32" i="21"/>
  <c r="K59" i="21"/>
  <c r="D22" i="9"/>
  <c r="AI303" i="30"/>
  <c r="S47" i="9"/>
  <c r="F88" i="21"/>
  <c r="J24" i="30"/>
  <c r="J476" i="30"/>
  <c r="AJ187" i="30"/>
  <c r="P54" i="30"/>
  <c r="R39" i="9"/>
  <c r="T80" i="21"/>
  <c r="G62" i="9"/>
  <c r="J38" i="21"/>
  <c r="I10" i="9"/>
  <c r="Q31" i="9"/>
  <c r="AI302" i="30"/>
  <c r="J708" i="30"/>
  <c r="T32" i="21"/>
  <c r="S30" i="21"/>
  <c r="AI634" i="30"/>
  <c r="G21" i="9"/>
  <c r="AI592" i="30"/>
  <c r="N86" i="21"/>
  <c r="AJ483" i="30"/>
  <c r="AJ354" i="30"/>
  <c r="M71" i="21"/>
  <c r="AI364" i="30"/>
  <c r="P56" i="30"/>
  <c r="U62" i="21"/>
  <c r="L23" i="9"/>
  <c r="U70" i="21"/>
  <c r="AW50" i="10"/>
  <c r="AJ356" i="30"/>
  <c r="I4" i="9"/>
  <c r="I71" i="21"/>
  <c r="AJ698" i="30"/>
  <c r="P40" i="30"/>
  <c r="AL50" i="10"/>
  <c r="M65" i="21"/>
  <c r="T19" i="9"/>
  <c r="I40" i="9"/>
  <c r="AJ335" i="30"/>
  <c r="N71" i="21"/>
  <c r="G31" i="21"/>
  <c r="M40" i="9"/>
  <c r="AJ120" i="30"/>
  <c r="AJ315" i="30"/>
  <c r="AI184" i="30"/>
  <c r="AF9" i="29"/>
  <c r="B7" i="9"/>
  <c r="R79" i="21"/>
  <c r="AI52" i="30"/>
  <c r="Q38" i="9"/>
  <c r="B18" i="9"/>
  <c r="M15" i="9"/>
  <c r="AJ107" i="30"/>
  <c r="N51" i="9"/>
  <c r="H36" i="9"/>
  <c r="AI679" i="30"/>
  <c r="AJ506" i="30"/>
  <c r="R66" i="21"/>
  <c r="U31" i="21"/>
  <c r="D19" i="9"/>
  <c r="J293" i="30"/>
  <c r="H51" i="21"/>
  <c r="Q7" i="9"/>
  <c r="AI210" i="30"/>
  <c r="K49" i="21"/>
  <c r="AJ511" i="30"/>
  <c r="G40" i="9"/>
  <c r="P44" i="30"/>
  <c r="J327" i="30"/>
  <c r="D61" i="21"/>
  <c r="F52" i="21"/>
  <c r="J702" i="30"/>
  <c r="J73" i="21"/>
  <c r="M35" i="21"/>
  <c r="J388" i="30"/>
  <c r="AJ484" i="30"/>
  <c r="J673" i="30"/>
  <c r="J352" i="30"/>
  <c r="U54" i="21"/>
  <c r="Q48" i="9"/>
  <c r="AJ606" i="30"/>
  <c r="P71" i="21"/>
  <c r="AJ245" i="30"/>
  <c r="L38" i="9"/>
  <c r="R86" i="21"/>
  <c r="N63" i="21"/>
  <c r="E53" i="21"/>
  <c r="M55" i="21"/>
  <c r="V78" i="21"/>
  <c r="G71" i="21"/>
  <c r="F71" i="21"/>
  <c r="AJ395" i="30"/>
  <c r="F8" i="9"/>
  <c r="AI50" i="10"/>
  <c r="P28" i="30"/>
  <c r="S19" i="9"/>
  <c r="J511" i="30"/>
  <c r="AI617" i="30"/>
  <c r="F58" i="21"/>
  <c r="AI260" i="30"/>
  <c r="AI694" i="30"/>
  <c r="AJ683" i="30"/>
  <c r="H21" i="9"/>
  <c r="F61" i="21"/>
  <c r="AI604" i="30"/>
  <c r="K57" i="21"/>
  <c r="I60" i="21"/>
  <c r="AI92" i="30"/>
  <c r="H28" i="21"/>
  <c r="I12" i="9"/>
  <c r="AI51" i="30"/>
  <c r="C27" i="9"/>
  <c r="R32" i="9"/>
  <c r="W55" i="21"/>
  <c r="J26" i="21"/>
  <c r="R59" i="9"/>
  <c r="O73" i="21"/>
  <c r="AJ68" i="30"/>
  <c r="I51" i="21"/>
  <c r="G78" i="21"/>
  <c r="AI565" i="30"/>
  <c r="M52" i="21"/>
  <c r="C59" i="9"/>
  <c r="E85" i="21"/>
  <c r="AJ97" i="30"/>
  <c r="W78" i="21"/>
  <c r="AI663" i="30"/>
  <c r="H70" i="21"/>
  <c r="V79" i="21"/>
  <c r="AJ639" i="30"/>
  <c r="P86" i="21"/>
  <c r="S52" i="21"/>
  <c r="K52" i="9"/>
  <c r="AJ297" i="30"/>
  <c r="J626" i="30"/>
  <c r="J486" i="30"/>
  <c r="D64" i="21"/>
  <c r="I47" i="9"/>
  <c r="AK50" i="10"/>
  <c r="J446" i="30"/>
  <c r="G36" i="21"/>
  <c r="V51" i="21"/>
  <c r="P58" i="30"/>
  <c r="J406" i="30"/>
  <c r="AI365" i="30"/>
  <c r="J451" i="30"/>
  <c r="D9" i="9"/>
  <c r="H49" i="21"/>
  <c r="P24" i="30"/>
  <c r="S41" i="9"/>
  <c r="B5" i="9"/>
  <c r="AI635" i="30"/>
  <c r="J654" i="30"/>
  <c r="E65" i="21"/>
  <c r="AI188" i="30"/>
  <c r="B60" i="9"/>
  <c r="AJ553" i="30"/>
  <c r="T25" i="21"/>
  <c r="AI595" i="30"/>
  <c r="K14" i="9"/>
  <c r="T55" i="21"/>
  <c r="Q60" i="9"/>
  <c r="R6" i="9"/>
  <c r="J111" i="30"/>
  <c r="AI175" i="30"/>
  <c r="F75" i="21"/>
  <c r="M62" i="21"/>
  <c r="K61" i="9"/>
  <c r="K47" i="9"/>
  <c r="W76" i="21"/>
  <c r="AI527" i="30"/>
  <c r="M53" i="21"/>
  <c r="AI176" i="30"/>
  <c r="AI291" i="30"/>
  <c r="C60" i="9"/>
  <c r="L12" i="9"/>
  <c r="AI257" i="30"/>
  <c r="AI343" i="30"/>
  <c r="I9" i="9"/>
  <c r="D42" i="9"/>
  <c r="T75" i="21"/>
  <c r="AJ607" i="30"/>
  <c r="M58" i="9"/>
  <c r="AQ50" i="10"/>
  <c r="E33" i="9"/>
  <c r="V83" i="21"/>
  <c r="J312" i="30"/>
  <c r="AJ537" i="30"/>
  <c r="E16" i="9"/>
  <c r="AI416" i="30"/>
  <c r="J110" i="30"/>
  <c r="N55" i="21"/>
  <c r="AI149" i="30"/>
  <c r="P29" i="21"/>
  <c r="V61" i="21"/>
  <c r="J32" i="9"/>
  <c r="AI398" i="30"/>
  <c r="J308" i="30"/>
  <c r="AI45" i="30"/>
  <c r="F70" i="21"/>
  <c r="O71" i="21"/>
  <c r="AJ362" i="30"/>
  <c r="H58" i="9"/>
  <c r="S55" i="21"/>
  <c r="P36" i="9"/>
  <c r="AJ539" i="30"/>
  <c r="AI662" i="30"/>
  <c r="O44" i="21"/>
  <c r="R73" i="21"/>
  <c r="H53" i="21"/>
  <c r="AJ676" i="30"/>
  <c r="S79" i="21"/>
  <c r="AJ609" i="30"/>
  <c r="Q15" i="9"/>
  <c r="F40" i="9"/>
  <c r="AJ611" i="30"/>
  <c r="K8" i="9"/>
  <c r="E59" i="9"/>
  <c r="Q9" i="9"/>
  <c r="J502" i="30"/>
  <c r="F78" i="21"/>
  <c r="G59" i="21"/>
  <c r="R82" i="21"/>
  <c r="R53" i="21"/>
  <c r="P10" i="9"/>
  <c r="U36" i="21"/>
  <c r="M46" i="9"/>
  <c r="R78" i="21"/>
  <c r="AJ409" i="30"/>
  <c r="AJ612" i="30"/>
  <c r="J43" i="9"/>
  <c r="I48" i="21"/>
  <c r="T54" i="21"/>
  <c r="B58" i="9"/>
  <c r="M38" i="21"/>
  <c r="AJ610" i="30"/>
  <c r="W50" i="21"/>
  <c r="O39" i="21"/>
  <c r="P20" i="30"/>
  <c r="AI34" i="30"/>
  <c r="AJ75" i="30"/>
  <c r="S31" i="9"/>
  <c r="E73" i="21"/>
  <c r="J59" i="21"/>
  <c r="AJ515" i="30"/>
  <c r="AI480" i="30"/>
  <c r="D85" i="21"/>
  <c r="AJ290" i="30"/>
  <c r="J638" i="30"/>
  <c r="AI351" i="30"/>
  <c r="U88" i="21"/>
  <c r="L37" i="9"/>
  <c r="AJ473" i="30"/>
  <c r="R27" i="9"/>
  <c r="J660" i="30"/>
  <c r="L87" i="21"/>
  <c r="O65" i="21"/>
  <c r="I13" i="9"/>
  <c r="AJ596" i="30"/>
  <c r="O84" i="21"/>
  <c r="AI227" i="30"/>
  <c r="P39" i="9"/>
  <c r="J154" i="30"/>
  <c r="R62" i="21"/>
  <c r="D33" i="21"/>
  <c r="O17" i="9"/>
  <c r="R76" i="21"/>
  <c r="P46" i="9"/>
  <c r="O88" i="21"/>
  <c r="C28" i="9"/>
  <c r="S26" i="9"/>
  <c r="I76" i="21"/>
  <c r="V65" i="21"/>
  <c r="AI585" i="30"/>
  <c r="N7" i="9"/>
  <c r="D26" i="21"/>
  <c r="N88" i="21"/>
  <c r="AI219" i="30"/>
  <c r="AI421" i="30"/>
  <c r="AJ509" i="30"/>
  <c r="L64" i="21"/>
  <c r="R17" i="9"/>
  <c r="M49" i="21"/>
  <c r="AI649" i="30"/>
  <c r="G86" i="21"/>
  <c r="D27" i="9"/>
  <c r="P37" i="30"/>
  <c r="AJ552" i="30"/>
  <c r="H44" i="21"/>
  <c r="Q53" i="9"/>
  <c r="W28" i="21"/>
  <c r="I50" i="21"/>
  <c r="K60" i="21"/>
  <c r="P40" i="21"/>
  <c r="AI578" i="30"/>
  <c r="O29" i="21"/>
  <c r="H73" i="21"/>
  <c r="J14" i="9"/>
  <c r="AJ573" i="30"/>
  <c r="E12" i="9"/>
  <c r="G7" i="9"/>
  <c r="AJ404" i="30"/>
  <c r="Q41" i="21"/>
  <c r="W77" i="21"/>
  <c r="S61" i="9"/>
  <c r="AJ518" i="30"/>
  <c r="E77" i="21"/>
  <c r="AJ43" i="30"/>
  <c r="AJ295" i="30"/>
  <c r="AJ448" i="30"/>
  <c r="V31" i="21"/>
  <c r="H83" i="21"/>
  <c r="AJ599" i="30"/>
  <c r="AI224" i="30"/>
  <c r="P43" i="9"/>
  <c r="AJ659" i="30"/>
  <c r="N42" i="21"/>
  <c r="E54" i="21"/>
  <c r="M10" i="9"/>
  <c r="J676" i="30"/>
  <c r="L26" i="21"/>
  <c r="K47" i="21"/>
  <c r="J554" i="30"/>
  <c r="L33" i="9"/>
  <c r="E48" i="21"/>
  <c r="AJ338" i="30"/>
  <c r="J42" i="21"/>
  <c r="L85" i="21"/>
  <c r="F65" i="21"/>
  <c r="AI536" i="30"/>
  <c r="T88" i="21"/>
  <c r="T13" i="9"/>
  <c r="AJ365" i="30"/>
  <c r="AI596" i="30"/>
  <c r="AJ517" i="30"/>
  <c r="AJ207" i="30"/>
  <c r="V49" i="21"/>
  <c r="AI134" i="30"/>
  <c r="U38" i="21"/>
  <c r="T61" i="21"/>
  <c r="P49" i="30"/>
  <c r="P22" i="9"/>
  <c r="E38" i="21"/>
  <c r="A36" i="10"/>
  <c r="L69" i="21"/>
  <c r="R85" i="21"/>
  <c r="G73" i="21"/>
  <c r="K42" i="21"/>
  <c r="O47" i="21"/>
  <c r="R41" i="9"/>
  <c r="AJ471" i="30"/>
  <c r="W35" i="21"/>
  <c r="M39" i="21"/>
  <c r="AI341" i="30"/>
  <c r="O52" i="21"/>
  <c r="R25" i="21"/>
  <c r="AJ209" i="30"/>
  <c r="S53" i="21"/>
  <c r="S63" i="9"/>
  <c r="AJ37" i="30"/>
  <c r="C50" i="9"/>
  <c r="J28" i="9"/>
  <c r="AI252" i="30"/>
  <c r="AI475" i="30"/>
  <c r="S74" i="21"/>
  <c r="R32" i="21"/>
  <c r="I34" i="21"/>
  <c r="J329" i="30"/>
  <c r="J32" i="21"/>
  <c r="J145" i="30"/>
  <c r="R65" i="21"/>
  <c r="J546" i="30"/>
  <c r="M43" i="21"/>
  <c r="B62" i="9"/>
  <c r="J36" i="21"/>
  <c r="W63" i="21"/>
  <c r="R64" i="21"/>
  <c r="Q43" i="9"/>
  <c r="M18" i="9"/>
  <c r="AJ535" i="30"/>
  <c r="AI629" i="30"/>
  <c r="P72" i="21"/>
  <c r="J422" i="30"/>
  <c r="K86" i="21"/>
  <c r="AI181" i="30"/>
  <c r="AI605" i="30"/>
  <c r="N33" i="21"/>
  <c r="P27" i="9"/>
  <c r="N78" i="21"/>
  <c r="V26" i="21"/>
  <c r="AT50" i="10"/>
  <c r="AI186" i="30"/>
  <c r="AU50" i="10"/>
  <c r="P55" i="30"/>
  <c r="T64" i="21"/>
  <c r="AJ40" i="30"/>
  <c r="F37" i="9"/>
  <c r="P59" i="30"/>
  <c r="AU5" i="10" l="1"/>
  <c r="AU12" i="10"/>
  <c r="AU24" i="10"/>
  <c r="AU13" i="10"/>
  <c r="AU19" i="10"/>
  <c r="AU37" i="10"/>
  <c r="AU40" i="10"/>
  <c r="AU16" i="10"/>
  <c r="AU18" i="10"/>
  <c r="AU11" i="10"/>
  <c r="AU41" i="10"/>
  <c r="AU17" i="10"/>
  <c r="AU10" i="10"/>
  <c r="AU38" i="10"/>
  <c r="AU33" i="10"/>
  <c r="AU3" i="10"/>
  <c r="AU32" i="10"/>
  <c r="AU14" i="10"/>
  <c r="AU29" i="10"/>
  <c r="AU36" i="10"/>
  <c r="AU22" i="10"/>
  <c r="AU26" i="10"/>
  <c r="AU39" i="10"/>
  <c r="AU31" i="10"/>
  <c r="AU30" i="10"/>
  <c r="AU4" i="10"/>
  <c r="AU28" i="10"/>
  <c r="AU23" i="10"/>
  <c r="AU25" i="10"/>
  <c r="AU8" i="10"/>
  <c r="AU9" i="10"/>
  <c r="AU27" i="10"/>
  <c r="AU15" i="10"/>
  <c r="AT23" i="10"/>
  <c r="AT25" i="10"/>
  <c r="AT22" i="10"/>
  <c r="AT10" i="10"/>
  <c r="AT37" i="10"/>
  <c r="AT8" i="10"/>
  <c r="AT39" i="10"/>
  <c r="AT19" i="10"/>
  <c r="AT41" i="10"/>
  <c r="AT24" i="10"/>
  <c r="AT26" i="10"/>
  <c r="AT31" i="10"/>
  <c r="AT33" i="10"/>
  <c r="AT40" i="10"/>
  <c r="AT29" i="10"/>
  <c r="AT12" i="10"/>
  <c r="AT4" i="10"/>
  <c r="AT36" i="10"/>
  <c r="AT38" i="10"/>
  <c r="AT32" i="10"/>
  <c r="AT28" i="10"/>
  <c r="AT3" i="10"/>
  <c r="AT17" i="10"/>
  <c r="AT27" i="10"/>
  <c r="AT18" i="10"/>
  <c r="AT14" i="10"/>
  <c r="AT5" i="10"/>
  <c r="AT30" i="10"/>
  <c r="AT16" i="10"/>
  <c r="AT9" i="10"/>
  <c r="AT13" i="10"/>
  <c r="AT15" i="10"/>
  <c r="AT11" i="10"/>
  <c r="AQ38" i="10"/>
  <c r="AQ40" i="10"/>
  <c r="AQ27" i="10"/>
  <c r="AQ18" i="10"/>
  <c r="AQ32" i="10"/>
  <c r="AQ26" i="10"/>
  <c r="AQ25" i="10"/>
  <c r="AQ39" i="10"/>
  <c r="AQ9" i="10"/>
  <c r="AQ16" i="10"/>
  <c r="AQ3" i="10"/>
  <c r="AQ24" i="10"/>
  <c r="AQ11" i="10"/>
  <c r="AQ13" i="10"/>
  <c r="AQ36" i="10"/>
  <c r="AQ41" i="10"/>
  <c r="AQ14" i="10"/>
  <c r="AQ28" i="10"/>
  <c r="AQ15" i="10"/>
  <c r="AQ31" i="10"/>
  <c r="AQ33" i="10"/>
  <c r="AQ17" i="10"/>
  <c r="AQ8" i="10"/>
  <c r="AQ12" i="10"/>
  <c r="AQ5" i="10"/>
  <c r="AQ4" i="10"/>
  <c r="AQ29" i="10"/>
  <c r="AQ10" i="10"/>
  <c r="AQ37" i="10"/>
  <c r="AQ23" i="10"/>
  <c r="AQ30" i="10"/>
  <c r="AQ19" i="10"/>
  <c r="AQ22" i="10"/>
  <c r="AK36" i="10"/>
  <c r="AK29" i="10"/>
  <c r="AK8" i="10"/>
  <c r="AK32" i="10"/>
  <c r="AK18" i="10"/>
  <c r="AK5" i="10"/>
  <c r="AK15" i="10"/>
  <c r="AK38" i="10"/>
  <c r="AK24" i="10"/>
  <c r="AK16" i="10"/>
  <c r="AK33" i="10"/>
  <c r="AK23" i="10"/>
  <c r="AK27" i="10"/>
  <c r="AK12" i="10"/>
  <c r="AK22" i="10"/>
  <c r="AK25" i="10"/>
  <c r="AK19" i="10"/>
  <c r="AK40" i="10"/>
  <c r="AK17" i="10"/>
  <c r="AK39" i="10"/>
  <c r="AK9" i="10"/>
  <c r="AK26" i="10"/>
  <c r="AK11" i="10"/>
  <c r="AK13" i="10"/>
  <c r="AK14" i="10"/>
  <c r="AK31" i="10"/>
  <c r="AK30" i="10"/>
  <c r="AK10" i="10"/>
  <c r="AK28" i="10"/>
  <c r="AK37" i="10"/>
  <c r="AK3" i="10"/>
  <c r="AK41" i="10"/>
  <c r="AK4" i="10"/>
  <c r="AI15" i="10"/>
  <c r="AI17" i="10"/>
  <c r="AI16" i="10"/>
  <c r="AI37" i="10"/>
  <c r="AI40" i="10"/>
  <c r="AI38" i="10"/>
  <c r="AI25" i="10"/>
  <c r="AI27" i="10"/>
  <c r="AI24" i="10"/>
  <c r="AI36" i="10"/>
  <c r="AI10" i="10"/>
  <c r="AI14" i="10"/>
  <c r="AI32" i="10"/>
  <c r="AI5" i="10"/>
  <c r="AI29" i="10"/>
  <c r="AI33" i="10"/>
  <c r="AI4" i="10"/>
  <c r="AI19" i="10"/>
  <c r="AI23" i="10"/>
  <c r="AI22" i="10"/>
  <c r="AI8" i="10"/>
  <c r="AI31" i="10"/>
  <c r="AI12" i="10"/>
  <c r="AI13" i="10"/>
  <c r="AI28" i="10"/>
  <c r="AI41" i="10"/>
  <c r="AI18" i="10"/>
  <c r="AI11" i="10"/>
  <c r="AI30" i="10"/>
  <c r="AI26" i="10"/>
  <c r="AI39" i="10"/>
  <c r="AI3" i="10"/>
  <c r="AI9" i="10"/>
  <c r="AG9" i="29"/>
  <c r="P9" i="29"/>
  <c r="AL40" i="10"/>
  <c r="AL18" i="10"/>
  <c r="AL27" i="10"/>
  <c r="AL12" i="10"/>
  <c r="AL39" i="10"/>
  <c r="AL9" i="10"/>
  <c r="AL19" i="10"/>
  <c r="AL5" i="10"/>
  <c r="AL15" i="10"/>
  <c r="AL25" i="10"/>
  <c r="AL22" i="10"/>
  <c r="AL32" i="10"/>
  <c r="AL38" i="10"/>
  <c r="AL17" i="10"/>
  <c r="AL8" i="10"/>
  <c r="AL30" i="10"/>
  <c r="AL11" i="10"/>
  <c r="AL16" i="10"/>
  <c r="AL10" i="10"/>
  <c r="AL31" i="10"/>
  <c r="AL13" i="10"/>
  <c r="AL29" i="10"/>
  <c r="AL36" i="10"/>
  <c r="AL28" i="10"/>
  <c r="AL4" i="10"/>
  <c r="AL23" i="10"/>
  <c r="AL37" i="10"/>
  <c r="AL3" i="10"/>
  <c r="AL33" i="10"/>
  <c r="AL24" i="10"/>
  <c r="AL41" i="10"/>
  <c r="AL26" i="10"/>
  <c r="AL14" i="10"/>
  <c r="AW37" i="10"/>
  <c r="AW29" i="10"/>
  <c r="AW41" i="10"/>
  <c r="AW22" i="10"/>
  <c r="AW25" i="10"/>
  <c r="AW31" i="10"/>
  <c r="AW11" i="10"/>
  <c r="AW27" i="10"/>
  <c r="AW19" i="10"/>
  <c r="AW36" i="10"/>
  <c r="AW32" i="10"/>
  <c r="AW26" i="10"/>
  <c r="AW33" i="10"/>
  <c r="AW12" i="10"/>
  <c r="AW23" i="10"/>
  <c r="AW9" i="10"/>
  <c r="AW4" i="10"/>
  <c r="AW14" i="10"/>
  <c r="AW18" i="10"/>
  <c r="AW38" i="10"/>
  <c r="AW13" i="10"/>
  <c r="AW16" i="10"/>
  <c r="AW24" i="10"/>
  <c r="AW8" i="10"/>
  <c r="AW30" i="10"/>
  <c r="AW5" i="10"/>
  <c r="AW10" i="10"/>
  <c r="AW39" i="10"/>
  <c r="AW17" i="10"/>
  <c r="AW40" i="10"/>
  <c r="AW15" i="10"/>
  <c r="AW3" i="10"/>
  <c r="AW28" i="10"/>
  <c r="AN4" i="10"/>
  <c r="AN12" i="10"/>
  <c r="AN37" i="10"/>
  <c r="AN3" i="10"/>
  <c r="AN30" i="10"/>
  <c r="AN5" i="10"/>
  <c r="AN16" i="10"/>
  <c r="AN10" i="10"/>
  <c r="AN19" i="10"/>
  <c r="AN18" i="10"/>
  <c r="AN17" i="10"/>
  <c r="AN32" i="10"/>
  <c r="AN40" i="10"/>
  <c r="AN26" i="10"/>
  <c r="AN33" i="10"/>
  <c r="AN11" i="10"/>
  <c r="AN9" i="10"/>
  <c r="AN15" i="10"/>
  <c r="AN39" i="10"/>
  <c r="AN22" i="10"/>
  <c r="AN8" i="10"/>
  <c r="AN38" i="10"/>
  <c r="AN31" i="10"/>
  <c r="AN41" i="10"/>
  <c r="AN36" i="10"/>
  <c r="AN29" i="10"/>
  <c r="AN24" i="10"/>
  <c r="AN23" i="10"/>
  <c r="AN25" i="10"/>
  <c r="AN14" i="10"/>
  <c r="AN13" i="10"/>
  <c r="AN27" i="10"/>
  <c r="AN28" i="10"/>
  <c r="AC19" i="7"/>
  <c r="Z19" i="3" s="1"/>
  <c r="C19" i="6"/>
  <c r="Q19" i="10"/>
  <c r="AO4" i="10"/>
  <c r="AO37" i="10"/>
  <c r="AO11" i="10"/>
  <c r="AO26" i="10"/>
  <c r="AO24" i="10"/>
  <c r="AO12" i="10"/>
  <c r="AO10" i="10"/>
  <c r="AO15" i="10"/>
  <c r="AO30" i="10"/>
  <c r="AO3" i="10"/>
  <c r="AO41" i="10"/>
  <c r="AO8" i="10"/>
  <c r="AO5" i="10"/>
  <c r="AO40" i="10"/>
  <c r="AO32" i="10"/>
  <c r="AO22" i="10"/>
  <c r="AO33" i="10"/>
  <c r="AO17" i="10"/>
  <c r="AO29" i="10"/>
  <c r="AO38" i="10"/>
  <c r="AO18" i="10"/>
  <c r="AO14" i="10"/>
  <c r="AO16" i="10"/>
  <c r="AO31" i="10"/>
  <c r="AO39" i="10"/>
  <c r="AO9" i="10"/>
  <c r="AO25" i="10"/>
  <c r="AO23" i="10"/>
  <c r="AO19" i="10"/>
  <c r="AO27" i="10"/>
  <c r="AO36" i="10"/>
  <c r="AO28" i="10"/>
  <c r="AO13" i="10"/>
  <c r="X9" i="29"/>
  <c r="Y9" i="29" s="1"/>
  <c r="AA9" i="29"/>
  <c r="AV28" i="10"/>
  <c r="AV11" i="10"/>
  <c r="AV36" i="10"/>
  <c r="AV26" i="10"/>
  <c r="AV16" i="10"/>
  <c r="AV32" i="10"/>
  <c r="AV33" i="10"/>
  <c r="AV22" i="10"/>
  <c r="AV37" i="10"/>
  <c r="AV23" i="10"/>
  <c r="AV38" i="10"/>
  <c r="AV24" i="10"/>
  <c r="AV30" i="10"/>
  <c r="AV17" i="10"/>
  <c r="AV39" i="10"/>
  <c r="AV40" i="10"/>
  <c r="AV18" i="10"/>
  <c r="AV14" i="10"/>
  <c r="AV15" i="10"/>
  <c r="AV4" i="10"/>
  <c r="AV8" i="10"/>
  <c r="AV41" i="10"/>
  <c r="AV27" i="10"/>
  <c r="AV10" i="10"/>
  <c r="AV3" i="10"/>
  <c r="AV9" i="10"/>
  <c r="AV13" i="10"/>
  <c r="AV31" i="10"/>
  <c r="AV12" i="10"/>
  <c r="AV29" i="10"/>
  <c r="AV19" i="10"/>
  <c r="AV25" i="10"/>
  <c r="AV5" i="10"/>
  <c r="J57" i="33"/>
  <c r="K57" i="33" s="1"/>
  <c r="Q78" i="4"/>
  <c r="R78" i="4" s="1"/>
  <c r="AI75" i="4"/>
  <c r="AJ75" i="4" s="1"/>
  <c r="AD59" i="33"/>
  <c r="AE59" i="33" s="1"/>
  <c r="V57" i="33"/>
  <c r="W57" i="33" s="1"/>
  <c r="T80" i="4"/>
  <c r="U80" i="4" s="1"/>
  <c r="AP52" i="33"/>
  <c r="AQ52" i="33" s="1"/>
  <c r="J55" i="33"/>
  <c r="K55" i="33" s="1"/>
  <c r="F56" i="33"/>
  <c r="G56" i="33" s="1"/>
  <c r="W82" i="4"/>
  <c r="X82" i="4" s="1"/>
  <c r="AD50" i="33"/>
  <c r="AE50" i="33" s="1"/>
  <c r="N57" i="33"/>
  <c r="O57" i="33" s="1"/>
  <c r="N55" i="33"/>
  <c r="O55" i="33" s="1"/>
  <c r="Z55" i="33"/>
  <c r="AA55" i="33" s="1"/>
  <c r="AP57" i="33"/>
  <c r="AQ57" i="33" s="1"/>
  <c r="B53" i="33"/>
  <c r="C53" i="33" s="1"/>
  <c r="AC81" i="4"/>
  <c r="AD81" i="4" s="1"/>
  <c r="Z54" i="33"/>
  <c r="AA54" i="33" s="1"/>
  <c r="H82" i="4"/>
  <c r="I82" i="4" s="1"/>
  <c r="B57" i="33"/>
  <c r="C57" i="33" s="1"/>
  <c r="N79" i="4"/>
  <c r="O79" i="4" s="1"/>
  <c r="R59" i="33"/>
  <c r="S59" i="33" s="1"/>
  <c r="AL53" i="33"/>
  <c r="AM53" i="33" s="1"/>
  <c r="B58" i="33"/>
  <c r="C58" i="33" s="1"/>
  <c r="V56" i="33"/>
  <c r="W56" i="33" s="1"/>
  <c r="N76" i="4"/>
  <c r="O76" i="4" s="1"/>
  <c r="F53" i="33"/>
  <c r="G53" i="33" s="1"/>
  <c r="Z74" i="4"/>
  <c r="AA74" i="4" s="1"/>
  <c r="AL55" i="33"/>
  <c r="AM55" i="33" s="1"/>
  <c r="AT53" i="33"/>
  <c r="AU53" i="33" s="1"/>
  <c r="Q75" i="4"/>
  <c r="R75" i="4" s="1"/>
  <c r="AC80" i="4"/>
  <c r="AD80" i="4" s="1"/>
  <c r="Z51" i="33"/>
  <c r="AA51" i="33" s="1"/>
  <c r="B77" i="4"/>
  <c r="C77" i="4" s="1"/>
  <c r="Q77" i="4"/>
  <c r="R77" i="4" s="1"/>
  <c r="T82" i="4"/>
  <c r="U82" i="4" s="1"/>
  <c r="AF82" i="4"/>
  <c r="AG82" i="4" s="1"/>
  <c r="W74" i="4"/>
  <c r="X74" i="4" s="1"/>
  <c r="N80" i="4"/>
  <c r="O80" i="4" s="1"/>
  <c r="E74" i="4"/>
  <c r="F74" i="4" s="1"/>
  <c r="AH52" i="33"/>
  <c r="AI52" i="33" s="1"/>
  <c r="W79" i="4"/>
  <c r="X79" i="4" s="1"/>
  <c r="AP55" i="33"/>
  <c r="AQ55" i="33" s="1"/>
  <c r="AC74" i="4"/>
  <c r="AD74" i="4" s="1"/>
  <c r="J54" i="33"/>
  <c r="K54" i="33" s="1"/>
  <c r="T76" i="4"/>
  <c r="U76" i="4" s="1"/>
  <c r="F59" i="33"/>
  <c r="G59" i="33" s="1"/>
  <c r="V52" i="33"/>
  <c r="W52" i="33" s="1"/>
  <c r="AI74" i="4"/>
  <c r="AJ74" i="4" s="1"/>
  <c r="AL57" i="33"/>
  <c r="AM57" i="33" s="1"/>
  <c r="B79" i="4"/>
  <c r="C79" i="4" s="1"/>
  <c r="F54" i="33"/>
  <c r="G54" i="33" s="1"/>
  <c r="AF81" i="4"/>
  <c r="AG81" i="4" s="1"/>
  <c r="Q76" i="4"/>
  <c r="R76" i="4" s="1"/>
  <c r="N75" i="4"/>
  <c r="O75" i="4" s="1"/>
  <c r="B52" i="33"/>
  <c r="C52" i="33" s="1"/>
  <c r="N50" i="33"/>
  <c r="O50" i="33" s="1"/>
  <c r="AL56" i="33"/>
  <c r="AM56" i="33" s="1"/>
  <c r="AF80" i="4"/>
  <c r="AG80" i="4" s="1"/>
  <c r="R52" i="33"/>
  <c r="S52" i="33" s="1"/>
  <c r="V50" i="33"/>
  <c r="W50" i="33" s="1"/>
  <c r="K81" i="4"/>
  <c r="L81" i="4" s="1"/>
  <c r="AI79" i="4"/>
  <c r="AJ79" i="4" s="1"/>
  <c r="AC75" i="4"/>
  <c r="AD75" i="4" s="1"/>
  <c r="N74" i="4"/>
  <c r="O74" i="4" s="1"/>
  <c r="E81" i="4"/>
  <c r="F81" i="4" s="1"/>
  <c r="Z52" i="33"/>
  <c r="AA52" i="33" s="1"/>
  <c r="V54" i="33"/>
  <c r="W54" i="33" s="1"/>
  <c r="J53" i="33"/>
  <c r="K53" i="33" s="1"/>
  <c r="K80" i="4"/>
  <c r="L80" i="4" s="1"/>
  <c r="AH58" i="33"/>
  <c r="AI58" i="33" s="1"/>
  <c r="AL51" i="33"/>
  <c r="AM51" i="33" s="1"/>
  <c r="E77" i="4"/>
  <c r="F77" i="4" s="1"/>
  <c r="K82" i="4"/>
  <c r="L82" i="4" s="1"/>
  <c r="AP53" i="33"/>
  <c r="AQ53" i="33" s="1"/>
  <c r="N58" i="33"/>
  <c r="O58" i="33" s="1"/>
  <c r="W78" i="4"/>
  <c r="X78" i="4" s="1"/>
  <c r="Q81" i="4"/>
  <c r="R81" i="4" s="1"/>
  <c r="B55" i="33"/>
  <c r="C55" i="33" s="1"/>
  <c r="N51" i="33"/>
  <c r="O51" i="33" s="1"/>
  <c r="AD57" i="33"/>
  <c r="AE57" i="33" s="1"/>
  <c r="AP58" i="33"/>
  <c r="AQ58" i="33" s="1"/>
  <c r="B59" i="33"/>
  <c r="C59" i="33" s="1"/>
  <c r="J59" i="33"/>
  <c r="K59" i="33" s="1"/>
  <c r="AH50" i="33"/>
  <c r="AI50" i="33" s="1"/>
  <c r="Z53" i="33"/>
  <c r="AA53" i="33" s="1"/>
  <c r="H79" i="4"/>
  <c r="I79" i="4" s="1"/>
  <c r="E83" i="4"/>
  <c r="F83" i="4" s="1"/>
  <c r="K76" i="4"/>
  <c r="L76" i="4" s="1"/>
  <c r="AT59" i="33"/>
  <c r="AU59" i="33" s="1"/>
  <c r="B76" i="4"/>
  <c r="C76" i="4" s="1"/>
  <c r="AD54" i="33"/>
  <c r="AE54" i="33" s="1"/>
  <c r="Z77" i="4"/>
  <c r="AA77" i="4" s="1"/>
  <c r="AI80" i="4"/>
  <c r="AJ80" i="4" s="1"/>
  <c r="AH59" i="33"/>
  <c r="AI59" i="33" s="1"/>
  <c r="B56" i="33"/>
  <c r="C56" i="33" s="1"/>
  <c r="N56" i="33"/>
  <c r="O56" i="33" s="1"/>
  <c r="Q74" i="4"/>
  <c r="R74" i="4" s="1"/>
  <c r="H83" i="4"/>
  <c r="I83" i="4" s="1"/>
  <c r="J51" i="33"/>
  <c r="K51" i="33" s="1"/>
  <c r="AD52" i="33"/>
  <c r="AE52" i="33" s="1"/>
  <c r="AI77" i="4"/>
  <c r="AJ77" i="4" s="1"/>
  <c r="AC78" i="4"/>
  <c r="AD78" i="4" s="1"/>
  <c r="E76" i="4"/>
  <c r="F76" i="4" s="1"/>
  <c r="Q80" i="4"/>
  <c r="R80" i="4" s="1"/>
  <c r="AI82" i="4"/>
  <c r="AJ82" i="4" s="1"/>
  <c r="AP54" i="33"/>
  <c r="AQ54" i="33" s="1"/>
  <c r="B75" i="4"/>
  <c r="C75" i="4" s="1"/>
  <c r="AH53" i="33"/>
  <c r="AI53" i="33" s="1"/>
  <c r="AD56" i="33"/>
  <c r="AE56" i="33" s="1"/>
  <c r="R55" i="33"/>
  <c r="S55" i="33" s="1"/>
  <c r="B74" i="4"/>
  <c r="C74" i="4" s="1"/>
  <c r="AF74" i="4"/>
  <c r="AG74" i="4" s="1"/>
  <c r="AI78" i="4"/>
  <c r="AJ78" i="4" s="1"/>
  <c r="N77" i="4"/>
  <c r="O77" i="4" s="1"/>
  <c r="E79" i="4"/>
  <c r="F79" i="4" s="1"/>
  <c r="F50" i="33"/>
  <c r="G50" i="33" s="1"/>
  <c r="AL54" i="33"/>
  <c r="AM54" i="33" s="1"/>
  <c r="AC79" i="4"/>
  <c r="AD79" i="4" s="1"/>
  <c r="N54" i="33"/>
  <c r="O54" i="33" s="1"/>
  <c r="F55" i="33"/>
  <c r="G55" i="33" s="1"/>
  <c r="T79" i="4"/>
  <c r="U79" i="4" s="1"/>
  <c r="F58" i="33"/>
  <c r="G58" i="33" s="1"/>
  <c r="V58" i="33"/>
  <c r="W58" i="33" s="1"/>
  <c r="H74" i="4"/>
  <c r="I74" i="4" s="1"/>
  <c r="R57" i="33"/>
  <c r="S57" i="33" s="1"/>
  <c r="H81" i="4"/>
  <c r="I81" i="4" s="1"/>
  <c r="N78" i="4"/>
  <c r="O78" i="4" s="1"/>
  <c r="B54" i="33"/>
  <c r="C54" i="33" s="1"/>
  <c r="AF75" i="4"/>
  <c r="AG75" i="4" s="1"/>
  <c r="B51" i="33"/>
  <c r="C51" i="33" s="1"/>
  <c r="K83" i="4"/>
  <c r="L83" i="4" s="1"/>
  <c r="Z50" i="33"/>
  <c r="AA50" i="33" s="1"/>
  <c r="B78" i="4"/>
  <c r="C78" i="4" s="1"/>
  <c r="E82" i="4"/>
  <c r="F82" i="4" s="1"/>
  <c r="Z80" i="4"/>
  <c r="AA80" i="4" s="1"/>
  <c r="B83" i="4"/>
  <c r="C83" i="4" s="1"/>
  <c r="H75" i="4"/>
  <c r="I75" i="4" s="1"/>
  <c r="W81" i="4"/>
  <c r="X81" i="4" s="1"/>
  <c r="AP59" i="33"/>
  <c r="AQ59" i="33" s="1"/>
  <c r="AT54" i="33"/>
  <c r="AU54" i="33" s="1"/>
  <c r="AH55" i="33"/>
  <c r="AI55" i="33" s="1"/>
  <c r="V55" i="33"/>
  <c r="W55" i="33" s="1"/>
  <c r="N52" i="33"/>
  <c r="O52" i="33" s="1"/>
  <c r="AF76" i="4"/>
  <c r="AG76" i="4" s="1"/>
  <c r="B82" i="4"/>
  <c r="C82" i="4" s="1"/>
  <c r="AH57" i="33"/>
  <c r="AI57" i="33" s="1"/>
  <c r="R54" i="33"/>
  <c r="S54" i="33" s="1"/>
  <c r="H78" i="4"/>
  <c r="I78" i="4" s="1"/>
  <c r="W75" i="4"/>
  <c r="X75" i="4" s="1"/>
  <c r="AT56" i="33"/>
  <c r="AU56" i="33" s="1"/>
  <c r="AC76" i="4"/>
  <c r="AD76" i="4" s="1"/>
  <c r="AI81" i="4"/>
  <c r="AJ81" i="4" s="1"/>
  <c r="AD55" i="33"/>
  <c r="AE55" i="33" s="1"/>
  <c r="N81" i="4"/>
  <c r="O81" i="4" s="1"/>
  <c r="N83" i="4"/>
  <c r="O83" i="4" s="1"/>
  <c r="AL50" i="33"/>
  <c r="AM50" i="33" s="1"/>
  <c r="AC82" i="4"/>
  <c r="AD82" i="4" s="1"/>
  <c r="B50" i="33"/>
  <c r="C50" i="33" s="1"/>
  <c r="K79" i="4"/>
  <c r="L79" i="4" s="1"/>
  <c r="Q79" i="4"/>
  <c r="R79" i="4" s="1"/>
  <c r="K74" i="4"/>
  <c r="L74" i="4" s="1"/>
  <c r="AT57" i="33"/>
  <c r="AU57" i="33" s="1"/>
  <c r="B80" i="4"/>
  <c r="C80" i="4" s="1"/>
  <c r="AH56" i="33"/>
  <c r="AI56" i="33" s="1"/>
  <c r="AF78" i="4"/>
  <c r="AG78" i="4" s="1"/>
  <c r="AT58" i="33"/>
  <c r="AU58" i="33" s="1"/>
  <c r="H77" i="4"/>
  <c r="I77" i="4" s="1"/>
  <c r="Z59" i="33"/>
  <c r="AA59" i="33" s="1"/>
  <c r="Z78" i="4"/>
  <c r="AA78" i="4" s="1"/>
  <c r="AF83" i="4"/>
  <c r="AG83" i="4" s="1"/>
  <c r="AP50" i="33"/>
  <c r="AQ50" i="33" s="1"/>
  <c r="R51" i="33"/>
  <c r="S51" i="33" s="1"/>
  <c r="AH51" i="33"/>
  <c r="AI51" i="33" s="1"/>
  <c r="R58" i="33"/>
  <c r="S58" i="33" s="1"/>
  <c r="F51" i="33"/>
  <c r="G51" i="33" s="1"/>
  <c r="T81" i="4"/>
  <c r="U81" i="4" s="1"/>
  <c r="AP51" i="33"/>
  <c r="AQ51" i="33" s="1"/>
  <c r="J58" i="33"/>
  <c r="K58" i="33" s="1"/>
  <c r="AT55" i="33"/>
  <c r="AU55" i="33" s="1"/>
  <c r="V59" i="33"/>
  <c r="W59" i="33" s="1"/>
  <c r="AC83" i="4"/>
  <c r="AD83" i="4" s="1"/>
  <c r="AP56" i="33"/>
  <c r="AQ56" i="33" s="1"/>
  <c r="Q82" i="4"/>
  <c r="R82" i="4" s="1"/>
  <c r="W77" i="4"/>
  <c r="X77" i="4" s="1"/>
  <c r="Z75" i="4"/>
  <c r="AA75" i="4" s="1"/>
  <c r="E80" i="4"/>
  <c r="F80" i="4" s="1"/>
  <c r="T83" i="4"/>
  <c r="U83" i="4" s="1"/>
  <c r="K78" i="4"/>
  <c r="L78" i="4" s="1"/>
  <c r="R56" i="33"/>
  <c r="S56" i="33" s="1"/>
  <c r="H76" i="4"/>
  <c r="I76" i="4" s="1"/>
  <c r="V51" i="33"/>
  <c r="W51" i="33" s="1"/>
  <c r="N59" i="33"/>
  <c r="O59" i="33" s="1"/>
  <c r="T75" i="4"/>
  <c r="U75" i="4" s="1"/>
  <c r="J52" i="33"/>
  <c r="K52" i="33" s="1"/>
  <c r="T78" i="4"/>
  <c r="U78" i="4" s="1"/>
  <c r="Z79" i="4"/>
  <c r="AA79" i="4" s="1"/>
  <c r="Z76" i="4"/>
  <c r="AA76" i="4" s="1"/>
  <c r="B81" i="4"/>
  <c r="C81" i="4" s="1"/>
  <c r="W76" i="4"/>
  <c r="X76" i="4" s="1"/>
  <c r="Z58" i="33"/>
  <c r="AA58" i="33" s="1"/>
  <c r="AT52" i="33"/>
  <c r="AU52" i="33" s="1"/>
  <c r="AL58" i="33"/>
  <c r="AM58" i="33" s="1"/>
  <c r="AC77" i="4"/>
  <c r="AD77" i="4" s="1"/>
  <c r="AT51" i="33"/>
  <c r="AU51" i="33" s="1"/>
  <c r="F57" i="33"/>
  <c r="G57" i="33" s="1"/>
  <c r="Z82" i="4"/>
  <c r="AA82" i="4" s="1"/>
  <c r="R50" i="33"/>
  <c r="S50" i="33" s="1"/>
  <c r="AI83" i="4"/>
  <c r="AJ83" i="4" s="1"/>
  <c r="H80" i="4"/>
  <c r="I80" i="4" s="1"/>
  <c r="AD58" i="33"/>
  <c r="AE58" i="33" s="1"/>
  <c r="AL52" i="33"/>
  <c r="AM52" i="33" s="1"/>
  <c r="Z56" i="33"/>
  <c r="AA56" i="33" s="1"/>
  <c r="J50" i="33"/>
  <c r="K50" i="33" s="1"/>
  <c r="E75" i="4"/>
  <c r="F75" i="4" s="1"/>
  <c r="T77" i="4"/>
  <c r="U77" i="4" s="1"/>
  <c r="AF79" i="4"/>
  <c r="AG79" i="4" s="1"/>
  <c r="Q83" i="4"/>
  <c r="R83" i="4" s="1"/>
  <c r="W83" i="4"/>
  <c r="X83" i="4" s="1"/>
  <c r="AD53" i="33"/>
  <c r="AE53" i="33" s="1"/>
  <c r="Z57" i="33"/>
  <c r="AA57" i="33" s="1"/>
  <c r="AI76" i="4"/>
  <c r="AJ76" i="4" s="1"/>
  <c r="E78" i="4"/>
  <c r="F78" i="4" s="1"/>
  <c r="J56" i="33"/>
  <c r="K56" i="33" s="1"/>
  <c r="T74" i="4"/>
  <c r="U74" i="4" s="1"/>
  <c r="K75" i="4"/>
  <c r="L75" i="4" s="1"/>
  <c r="V53" i="33"/>
  <c r="W53" i="33" s="1"/>
  <c r="AT50" i="33"/>
  <c r="AU50" i="33" s="1"/>
  <c r="Z81" i="4"/>
  <c r="AA81" i="4" s="1"/>
  <c r="N53" i="33"/>
  <c r="O53" i="33" s="1"/>
  <c r="F52" i="33"/>
  <c r="G52" i="33" s="1"/>
  <c r="W80" i="4"/>
  <c r="X80" i="4" s="1"/>
  <c r="K77" i="4"/>
  <c r="L77" i="4" s="1"/>
  <c r="AH54" i="33"/>
  <c r="AI54" i="33" s="1"/>
  <c r="AL59" i="33"/>
  <c r="AM59" i="33" s="1"/>
  <c r="Z83" i="4"/>
  <c r="AA83" i="4" s="1"/>
  <c r="AD51" i="33"/>
  <c r="AE51" i="33" s="1"/>
  <c r="AF77" i="4"/>
  <c r="AG77" i="4" s="1"/>
  <c r="N82" i="4"/>
  <c r="O82" i="4" s="1"/>
  <c r="R53" i="33"/>
  <c r="S53" i="33" s="1"/>
  <c r="AU34" i="30"/>
  <c r="AR34" i="30"/>
  <c r="AU31" i="30"/>
  <c r="AO38" i="30"/>
  <c r="AW39" i="30"/>
  <c r="AX23" i="30"/>
  <c r="AW22" i="30"/>
  <c r="AM26" i="30"/>
  <c r="AR48" i="30"/>
  <c r="AS36" i="30"/>
  <c r="AU39" i="30"/>
  <c r="AX47" i="30"/>
  <c r="AR27" i="30"/>
  <c r="AO39" i="30"/>
  <c r="AT20" i="30"/>
  <c r="AM36" i="30"/>
  <c r="AV49" i="30"/>
  <c r="AQ23" i="30"/>
  <c r="AP29" i="30"/>
  <c r="AO25" i="30"/>
  <c r="AU50" i="30"/>
  <c r="AX50" i="30"/>
  <c r="AX49" i="30"/>
  <c r="AV34" i="30"/>
  <c r="AT23" i="30"/>
  <c r="AU49" i="30"/>
  <c r="AN29" i="30"/>
  <c r="AW38" i="30"/>
  <c r="AM39" i="30"/>
  <c r="AP23" i="30"/>
  <c r="AP48" i="30"/>
  <c r="AO35" i="30"/>
  <c r="AW43" i="30"/>
  <c r="AV22" i="30"/>
  <c r="AR30" i="30"/>
  <c r="AV26" i="30"/>
  <c r="AW50" i="30"/>
  <c r="AU25" i="30"/>
  <c r="AW21" i="30"/>
  <c r="AX34" i="30"/>
  <c r="AV32" i="30"/>
  <c r="AP40" i="30"/>
  <c r="AR24" i="30"/>
  <c r="AP20" i="30"/>
  <c r="AQ32" i="30"/>
  <c r="AV36" i="30"/>
  <c r="AU47" i="30"/>
  <c r="AX48" i="30"/>
  <c r="AV41" i="30"/>
  <c r="AU46" i="30"/>
  <c r="AW41" i="30"/>
  <c r="AV20" i="30"/>
  <c r="AX26" i="30"/>
  <c r="AN38" i="30"/>
  <c r="AS40" i="30"/>
  <c r="AT43" i="30"/>
  <c r="AV50" i="30"/>
  <c r="AO40" i="30"/>
  <c r="AM40" i="30"/>
  <c r="AW34" i="30"/>
  <c r="AR50" i="30"/>
  <c r="AS34" i="30"/>
  <c r="AT47" i="30"/>
  <c r="AT36" i="30"/>
  <c r="AQ30" i="30"/>
  <c r="AX45" i="30"/>
  <c r="AM27" i="30"/>
  <c r="AR42" i="30"/>
  <c r="AR22" i="30"/>
  <c r="AO27" i="30"/>
  <c r="AW25" i="30"/>
  <c r="AN45" i="30"/>
  <c r="AP37" i="30"/>
  <c r="AQ39" i="30"/>
  <c r="AM46" i="30"/>
  <c r="AO46" i="30"/>
  <c r="AW24" i="30"/>
  <c r="AQ45" i="30"/>
  <c r="AR40" i="30"/>
  <c r="AN40" i="30"/>
  <c r="AO49" i="30"/>
  <c r="AQ26" i="30"/>
  <c r="AT22" i="30"/>
  <c r="AP38" i="30"/>
  <c r="AM44" i="30"/>
  <c r="AP39" i="30"/>
  <c r="AS22" i="30"/>
  <c r="AN32" i="30"/>
  <c r="AT48" i="30"/>
  <c r="AS32" i="30"/>
  <c r="AQ46" i="30"/>
  <c r="AQ31" i="30"/>
  <c r="AQ33" i="30"/>
  <c r="AQ44" i="30"/>
  <c r="AP25" i="30"/>
  <c r="AM28" i="30"/>
  <c r="AV30" i="30"/>
  <c r="AS35" i="30"/>
  <c r="AM30" i="30"/>
  <c r="AO26" i="30"/>
  <c r="AU38" i="30"/>
  <c r="AO33" i="30"/>
  <c r="AP21" i="30"/>
  <c r="AP34" i="30"/>
  <c r="AR23" i="30"/>
  <c r="AX21" i="30"/>
  <c r="AN31" i="30"/>
  <c r="AW20" i="30"/>
  <c r="AT46" i="30"/>
  <c r="AW47" i="30"/>
  <c r="AS29" i="30"/>
  <c r="AT44" i="30"/>
  <c r="AO44" i="30"/>
  <c r="AX37" i="30"/>
  <c r="AQ29" i="30"/>
  <c r="AP43" i="30"/>
  <c r="AT40" i="30"/>
  <c r="AP36" i="30"/>
  <c r="AR21" i="30"/>
  <c r="AS21" i="30"/>
  <c r="AR36" i="30"/>
  <c r="AP24" i="30"/>
  <c r="AN43" i="30"/>
  <c r="AS48" i="30"/>
  <c r="AU26" i="30"/>
  <c r="AX24" i="30"/>
  <c r="AT50" i="30"/>
  <c r="AT33" i="30"/>
  <c r="AW33" i="30"/>
  <c r="AN44" i="30"/>
  <c r="AV45" i="30"/>
  <c r="AW29" i="30"/>
  <c r="AQ41" i="30"/>
  <c r="AX43" i="30"/>
  <c r="AV23" i="30"/>
  <c r="AS49" i="30"/>
  <c r="AM41" i="30"/>
  <c r="AU37" i="30"/>
  <c r="AT38" i="30"/>
  <c r="AR43" i="30"/>
  <c r="AX28" i="30"/>
  <c r="AO20" i="30"/>
  <c r="AQ36" i="30"/>
  <c r="AM42" i="30"/>
  <c r="AW30" i="30"/>
  <c r="AV35" i="30"/>
  <c r="AS43" i="30"/>
  <c r="AT34" i="30"/>
  <c r="AN34" i="30"/>
  <c r="AM34" i="30"/>
  <c r="AW49" i="30"/>
  <c r="AQ40" i="30"/>
  <c r="AM23" i="30"/>
  <c r="AM20" i="30"/>
  <c r="AU43" i="30"/>
  <c r="AN46" i="30"/>
  <c r="AT21" i="30"/>
  <c r="AW26" i="30"/>
  <c r="AV40" i="30"/>
  <c r="AS46" i="30"/>
  <c r="AM21" i="30"/>
  <c r="AN26" i="30"/>
  <c r="AO48" i="30"/>
  <c r="AN37" i="30"/>
  <c r="AS30" i="30"/>
  <c r="AV47" i="30"/>
  <c r="AN23" i="30"/>
  <c r="AQ34" i="30"/>
  <c r="AR32" i="30"/>
  <c r="AN20" i="30"/>
  <c r="AS42" i="30"/>
  <c r="AO23" i="30"/>
  <c r="AN27" i="30"/>
  <c r="AU42" i="30"/>
  <c r="AN25" i="30"/>
  <c r="AN50" i="30"/>
  <c r="AO31" i="30"/>
  <c r="AX38" i="30"/>
  <c r="AX29" i="30"/>
  <c r="AM49" i="30"/>
  <c r="AT26" i="30"/>
  <c r="AQ49" i="30"/>
  <c r="AT28" i="30"/>
  <c r="AR44" i="30"/>
  <c r="AR45" i="30"/>
  <c r="AP35" i="30"/>
  <c r="AW40" i="30"/>
  <c r="AV37" i="30"/>
  <c r="AU30" i="30"/>
  <c r="AV48" i="30"/>
  <c r="AV46" i="30"/>
  <c r="AT37" i="30"/>
  <c r="AT42" i="30"/>
  <c r="AQ28" i="30"/>
  <c r="AW36" i="30"/>
  <c r="AN28" i="30"/>
  <c r="AS27" i="30"/>
  <c r="AO30" i="30"/>
  <c r="AU44" i="30"/>
  <c r="AO47" i="30"/>
  <c r="AU35" i="30"/>
  <c r="AU22" i="30"/>
  <c r="AP22" i="30"/>
  <c r="AO21" i="30"/>
  <c r="AM33" i="30"/>
  <c r="AO28" i="30"/>
  <c r="AO43" i="30"/>
  <c r="AN21" i="30"/>
  <c r="AT41" i="30"/>
  <c r="AX40" i="30"/>
  <c r="AS44" i="30"/>
  <c r="AQ47" i="30"/>
  <c r="AU41" i="30"/>
  <c r="AU21" i="30"/>
  <c r="AO50" i="30"/>
  <c r="AS26" i="30"/>
  <c r="AN49" i="30"/>
  <c r="AQ42" i="30"/>
  <c r="AX20" i="30"/>
  <c r="AV25" i="30"/>
  <c r="AM29" i="30"/>
  <c r="AQ22" i="30"/>
  <c r="AT27" i="30"/>
  <c r="AO37" i="30"/>
  <c r="AW44" i="30"/>
  <c r="AT31" i="30"/>
  <c r="AS24" i="30"/>
  <c r="AU23" i="30"/>
  <c r="AM22" i="30"/>
  <c r="AP50" i="30"/>
  <c r="AX32" i="30"/>
  <c r="AS50" i="30"/>
  <c r="AW32" i="30"/>
  <c r="AP47" i="30"/>
  <c r="AQ24" i="30"/>
  <c r="AS28" i="30"/>
  <c r="AX35" i="30"/>
  <c r="AU45" i="30"/>
  <c r="AP46" i="30"/>
  <c r="AV38" i="30"/>
  <c r="AW48" i="30"/>
  <c r="AT45" i="30"/>
  <c r="AP44" i="30"/>
  <c r="AS25" i="30"/>
  <c r="AW46" i="30"/>
  <c r="AU20" i="30"/>
  <c r="AQ21" i="30"/>
  <c r="AV43" i="30"/>
  <c r="AX30" i="30"/>
  <c r="AM47" i="30"/>
  <c r="AS31" i="30"/>
  <c r="AM48" i="30"/>
  <c r="AV33" i="30"/>
  <c r="AP31" i="30"/>
  <c r="AR39" i="30"/>
  <c r="AR28" i="30"/>
  <c r="AR31" i="30"/>
  <c r="AM37" i="30"/>
  <c r="AW27" i="30"/>
  <c r="AV21" i="30"/>
  <c r="AN22" i="30"/>
  <c r="AV28" i="30"/>
  <c r="AX33" i="30"/>
  <c r="AX42" i="30"/>
  <c r="AP42" i="30"/>
  <c r="AR29" i="30"/>
  <c r="AU33" i="30"/>
  <c r="AM50" i="30"/>
  <c r="AR41" i="30"/>
  <c r="AX39" i="30"/>
  <c r="AQ50" i="30"/>
  <c r="AO34" i="30"/>
  <c r="AU36" i="30"/>
  <c r="AU32" i="30"/>
  <c r="AN42" i="30"/>
  <c r="AO45" i="30"/>
  <c r="AN47" i="30"/>
  <c r="AX36" i="30"/>
  <c r="AW37" i="30"/>
  <c r="AM43" i="30"/>
  <c r="AW31" i="30"/>
  <c r="AM24" i="30"/>
  <c r="AR47" i="30"/>
  <c r="AR25" i="30"/>
  <c r="AO41" i="30"/>
  <c r="AQ27" i="30"/>
  <c r="AU48" i="30"/>
  <c r="AQ48" i="30"/>
  <c r="AU29" i="30"/>
  <c r="AV27" i="30"/>
  <c r="AS33" i="30"/>
  <c r="AN41" i="30"/>
  <c r="AM38" i="30"/>
  <c r="AT49" i="30"/>
  <c r="AT30" i="30"/>
  <c r="AU27" i="30"/>
  <c r="AN30" i="30"/>
  <c r="AP33" i="30"/>
  <c r="AV42" i="30"/>
  <c r="AO32" i="30"/>
  <c r="AP28" i="30"/>
  <c r="AN48" i="30"/>
  <c r="AR49" i="30"/>
  <c r="AT24" i="30"/>
  <c r="AQ37" i="30"/>
  <c r="AX25" i="30"/>
  <c r="AR46" i="30"/>
  <c r="AX27" i="30"/>
  <c r="AR38" i="30"/>
  <c r="AQ38" i="30"/>
  <c r="AR35" i="30"/>
  <c r="AN24" i="30"/>
  <c r="AX44" i="30"/>
  <c r="AW42" i="30"/>
  <c r="AR37" i="30"/>
  <c r="AU40" i="30"/>
  <c r="AT39" i="30"/>
  <c r="AN35" i="30"/>
  <c r="AP49" i="30"/>
  <c r="AS38" i="30"/>
  <c r="AS37" i="30"/>
  <c r="AS20" i="30"/>
  <c r="AV31" i="30"/>
  <c r="AS41" i="30"/>
  <c r="AM35" i="30"/>
  <c r="AN33" i="30"/>
  <c r="AN39" i="30"/>
  <c r="AR33" i="30"/>
  <c r="AT29" i="30"/>
  <c r="AW35" i="30"/>
  <c r="AS47" i="30"/>
  <c r="AR26" i="30"/>
  <c r="AS45" i="30"/>
  <c r="AM31" i="30"/>
  <c r="AP27" i="30"/>
  <c r="AO24" i="30"/>
  <c r="AP41" i="30"/>
  <c r="AO36" i="30"/>
  <c r="AT32" i="30"/>
  <c r="AT25" i="30"/>
  <c r="AX46" i="30"/>
  <c r="AW23" i="30"/>
  <c r="AN36" i="30"/>
  <c r="AP32" i="30"/>
  <c r="AW28" i="30"/>
  <c r="AV24" i="30"/>
  <c r="AQ43" i="30"/>
  <c r="AV44" i="30"/>
  <c r="AP30" i="30"/>
  <c r="AQ20" i="30"/>
  <c r="AS23" i="30"/>
  <c r="AR20" i="30"/>
  <c r="AV39" i="30"/>
  <c r="AO42" i="30"/>
  <c r="AU28" i="30"/>
  <c r="AU24" i="30"/>
  <c r="AT35" i="30"/>
  <c r="AQ35" i="30"/>
  <c r="AO22" i="30"/>
  <c r="AQ25" i="30"/>
  <c r="AM32" i="30"/>
  <c r="AM45" i="30"/>
  <c r="AV29" i="30"/>
  <c r="AM25" i="30"/>
  <c r="AS39" i="30"/>
  <c r="AX31" i="30"/>
  <c r="AW45" i="30"/>
  <c r="AX22" i="30"/>
  <c r="AP26" i="30"/>
  <c r="AP45" i="30"/>
  <c r="AX41" i="30"/>
  <c r="AO29" i="30"/>
  <c r="AG39" i="10"/>
  <c r="AG5" i="10"/>
  <c r="AG19" i="10"/>
  <c r="AG3" i="10"/>
  <c r="AG31" i="10"/>
  <c r="AG30" i="10"/>
  <c r="AG12" i="10"/>
  <c r="AG38" i="10"/>
  <c r="AG28" i="10"/>
  <c r="AG24" i="10"/>
  <c r="AG22" i="10"/>
  <c r="AG9" i="10"/>
  <c r="AG32" i="10"/>
  <c r="AG40" i="10"/>
  <c r="AG16" i="10"/>
  <c r="AG26" i="10"/>
  <c r="AG17" i="10"/>
  <c r="AG14" i="10"/>
  <c r="AG10" i="10"/>
  <c r="AG27" i="10"/>
  <c r="AG23" i="10"/>
  <c r="AG11" i="10"/>
  <c r="AG25" i="10"/>
  <c r="AG36" i="10"/>
  <c r="AG29" i="10"/>
  <c r="AG37" i="10"/>
  <c r="AG13" i="10"/>
  <c r="AG4" i="10"/>
  <c r="AG33" i="10"/>
  <c r="AG8" i="10"/>
  <c r="AG15" i="10"/>
  <c r="AG41" i="10"/>
  <c r="AG18" i="10"/>
  <c r="AE3" i="10"/>
  <c r="AE38" i="10"/>
  <c r="AE29" i="10"/>
  <c r="AE31" i="10"/>
  <c r="AE33" i="10"/>
  <c r="AE41" i="10"/>
  <c r="AE40" i="10"/>
  <c r="AE18" i="10"/>
  <c r="AE25" i="10"/>
  <c r="AE16" i="10"/>
  <c r="AE15" i="10"/>
  <c r="AE24" i="10"/>
  <c r="AE26" i="10"/>
  <c r="AE5" i="10"/>
  <c r="AE27" i="10"/>
  <c r="AE4" i="10"/>
  <c r="AE12" i="10"/>
  <c r="AE22" i="10"/>
  <c r="AE14" i="10"/>
  <c r="AE8" i="10"/>
  <c r="AE30" i="10"/>
  <c r="AE13" i="10"/>
  <c r="AE32" i="10"/>
  <c r="AE9" i="10"/>
  <c r="AE37" i="10"/>
  <c r="AE11" i="10"/>
  <c r="AE17" i="10"/>
  <c r="AE10" i="10"/>
  <c r="AE23" i="10"/>
  <c r="AE19" i="10"/>
  <c r="AE39" i="10"/>
  <c r="AE28" i="10"/>
  <c r="AE36" i="10"/>
  <c r="AM19" i="10"/>
  <c r="AM24" i="10"/>
  <c r="AM8" i="10"/>
  <c r="AM41" i="10"/>
  <c r="AM36" i="10"/>
  <c r="AM31" i="10"/>
  <c r="AM22" i="10"/>
  <c r="AM33" i="10"/>
  <c r="AM32" i="10"/>
  <c r="AM40" i="10"/>
  <c r="AM27" i="10"/>
  <c r="AM5" i="10"/>
  <c r="AM30" i="10"/>
  <c r="AM14" i="10"/>
  <c r="AM26" i="10"/>
  <c r="AM9" i="10"/>
  <c r="AM18" i="10"/>
  <c r="AM23" i="10"/>
  <c r="AM37" i="10"/>
  <c r="AM38" i="10"/>
  <c r="AM3" i="10"/>
  <c r="AM11" i="10"/>
  <c r="AM13" i="10"/>
  <c r="AM4" i="10"/>
  <c r="AM29" i="10"/>
  <c r="AM15" i="10"/>
  <c r="AM17" i="10"/>
  <c r="AM39" i="10"/>
  <c r="AM12" i="10"/>
  <c r="AM16" i="10"/>
  <c r="AM25" i="10"/>
  <c r="AM28" i="10"/>
  <c r="AM10" i="10"/>
  <c r="AS11" i="10"/>
  <c r="AS41" i="10"/>
  <c r="AS26" i="10"/>
  <c r="AS4" i="10"/>
  <c r="AS13" i="10"/>
  <c r="AS29" i="10"/>
  <c r="AS17" i="10"/>
  <c r="AS14" i="10"/>
  <c r="AS16" i="10"/>
  <c r="AS38" i="10"/>
  <c r="AS28" i="10"/>
  <c r="AS25" i="10"/>
  <c r="AS36" i="10"/>
  <c r="AS18" i="10"/>
  <c r="AS3" i="10"/>
  <c r="AS40" i="10"/>
  <c r="AS27" i="10"/>
  <c r="AS33" i="10"/>
  <c r="AS37" i="10"/>
  <c r="AS31" i="10"/>
  <c r="AS30" i="10"/>
  <c r="AS15" i="10"/>
  <c r="AS9" i="10"/>
  <c r="AS10" i="10"/>
  <c r="AS8" i="10"/>
  <c r="AS32" i="10"/>
  <c r="AS19" i="10"/>
  <c r="AS12" i="10"/>
  <c r="AS24" i="10"/>
  <c r="AS23" i="10"/>
  <c r="AS39" i="10"/>
  <c r="AS22" i="10"/>
  <c r="AS5" i="10"/>
  <c r="AD5" i="10"/>
  <c r="AD25" i="10"/>
  <c r="AD41" i="10"/>
  <c r="AD18" i="10"/>
  <c r="AD38" i="10"/>
  <c r="AD27" i="10"/>
  <c r="AD39" i="10"/>
  <c r="AD36" i="10"/>
  <c r="AD3" i="10"/>
  <c r="AD15" i="10"/>
  <c r="AD19" i="10"/>
  <c r="AD37" i="10"/>
  <c r="AD30" i="10"/>
  <c r="AD8" i="10"/>
  <c r="AD32" i="10"/>
  <c r="AD12" i="10"/>
  <c r="AD13" i="10"/>
  <c r="AD22" i="10"/>
  <c r="AD9" i="10"/>
  <c r="AD26" i="10"/>
  <c r="AD33" i="10"/>
  <c r="AD4" i="10"/>
  <c r="AD40" i="10"/>
  <c r="AD29" i="10"/>
  <c r="AD23" i="10"/>
  <c r="AD31" i="10"/>
  <c r="AD14" i="10"/>
  <c r="AD17" i="10"/>
  <c r="AD24" i="10"/>
  <c r="AD28" i="10"/>
  <c r="AD16" i="10"/>
  <c r="AD11" i="10"/>
  <c r="AD10" i="10"/>
  <c r="AR31" i="10"/>
  <c r="AR15" i="10"/>
  <c r="AR37" i="10"/>
  <c r="AR32" i="10"/>
  <c r="AR10" i="10"/>
  <c r="AR18" i="10"/>
  <c r="AR29" i="10"/>
  <c r="AR13" i="10"/>
  <c r="AR9" i="10"/>
  <c r="AR5" i="10"/>
  <c r="AR26" i="10"/>
  <c r="AR33" i="10"/>
  <c r="AR28" i="10"/>
  <c r="AR39" i="10"/>
  <c r="AR8" i="10"/>
  <c r="AR17" i="10"/>
  <c r="AR11" i="10"/>
  <c r="AR25" i="10"/>
  <c r="AR22" i="10"/>
  <c r="AR14" i="10"/>
  <c r="AR4" i="10"/>
  <c r="AR38" i="10"/>
  <c r="AR3" i="10"/>
  <c r="AR19" i="10"/>
  <c r="AR30" i="10"/>
  <c r="AR27" i="10"/>
  <c r="AR36" i="10"/>
  <c r="AR41" i="10"/>
  <c r="AR24" i="10"/>
  <c r="AR40" i="10"/>
  <c r="AR16" i="10"/>
  <c r="AR12" i="10"/>
  <c r="AR23" i="10"/>
  <c r="AF29" i="10"/>
  <c r="AF28" i="10"/>
  <c r="AF32" i="10"/>
  <c r="AF5" i="10"/>
  <c r="AF9" i="10"/>
  <c r="AF25" i="10"/>
  <c r="AF3" i="10"/>
  <c r="AF8" i="10"/>
  <c r="AF10" i="10"/>
  <c r="AF33" i="10"/>
  <c r="AF31" i="10"/>
  <c r="AF38" i="10"/>
  <c r="AF16" i="10"/>
  <c r="AF26" i="10"/>
  <c r="AF11" i="10"/>
  <c r="AF13" i="10"/>
  <c r="AF12" i="10"/>
  <c r="AF22" i="10"/>
  <c r="AF37" i="10"/>
  <c r="AF14" i="10"/>
  <c r="AF39" i="10"/>
  <c r="AF17" i="10"/>
  <c r="AF41" i="10"/>
  <c r="AF4" i="10"/>
  <c r="AF27" i="10"/>
  <c r="AF23" i="10"/>
  <c r="AF40" i="10"/>
  <c r="AF18" i="10"/>
  <c r="AF15" i="10"/>
  <c r="AF19" i="10"/>
  <c r="AF36" i="10"/>
  <c r="AF24" i="10"/>
  <c r="AF30" i="10"/>
  <c r="AH10" i="10"/>
  <c r="AH19" i="10"/>
  <c r="AH39" i="10"/>
  <c r="AH28" i="10"/>
  <c r="AH40" i="10"/>
  <c r="AH13" i="10"/>
  <c r="AH11" i="10"/>
  <c r="AH41" i="10"/>
  <c r="AH8" i="10"/>
  <c r="AH17" i="10"/>
  <c r="AH32" i="10"/>
  <c r="AH5" i="10"/>
  <c r="AH37" i="10"/>
  <c r="AH14" i="10"/>
  <c r="AH31" i="10"/>
  <c r="AH24" i="10"/>
  <c r="AH15" i="10"/>
  <c r="AH33" i="10"/>
  <c r="AH18" i="10"/>
  <c r="AH23" i="10"/>
  <c r="AH9" i="10"/>
  <c r="AH27" i="10"/>
  <c r="AH26" i="10"/>
  <c r="AH3" i="10"/>
  <c r="AH16" i="10"/>
  <c r="AH36" i="10"/>
  <c r="AH12" i="10"/>
  <c r="AH30" i="10"/>
  <c r="AH4" i="10"/>
  <c r="AH22" i="10"/>
  <c r="AH29" i="10"/>
  <c r="AH38" i="10"/>
  <c r="AH25" i="10"/>
  <c r="U9" i="29"/>
  <c r="AD9" i="29"/>
  <c r="AE9" i="29" s="1"/>
  <c r="Q18" i="10"/>
  <c r="AC18" i="7"/>
  <c r="Z18" i="3" s="1"/>
  <c r="C18" i="6"/>
  <c r="AP12" i="10"/>
  <c r="AP15" i="10"/>
  <c r="AP13" i="10"/>
  <c r="AP17" i="10"/>
  <c r="AP3" i="10"/>
  <c r="AP30" i="10"/>
  <c r="AP14" i="10"/>
  <c r="AP10" i="10"/>
  <c r="AP4" i="10"/>
  <c r="AP16" i="10"/>
  <c r="AP27" i="10"/>
  <c r="AP38" i="10"/>
  <c r="AP8" i="10"/>
  <c r="AP19" i="10"/>
  <c r="AP5" i="10"/>
  <c r="AP36" i="10"/>
  <c r="AP31" i="10"/>
  <c r="AP9" i="10"/>
  <c r="AP24" i="10"/>
  <c r="AP23" i="10"/>
  <c r="AP26" i="10"/>
  <c r="AP40" i="10"/>
  <c r="AP28" i="10"/>
  <c r="AP33" i="10"/>
  <c r="AP25" i="10"/>
  <c r="AP32" i="10"/>
  <c r="AP29" i="10"/>
  <c r="AP18" i="10"/>
  <c r="AP37" i="10"/>
  <c r="AP39" i="10"/>
  <c r="AP41" i="10"/>
  <c r="AP22" i="10"/>
  <c r="AP11" i="10"/>
  <c r="T89" i="4"/>
  <c r="U89" i="4" s="1"/>
  <c r="N87" i="4"/>
  <c r="O87" i="4" s="1"/>
  <c r="AL68" i="33"/>
  <c r="AM68" i="33" s="1"/>
  <c r="H93" i="4"/>
  <c r="I93" i="4" s="1"/>
  <c r="R65" i="33"/>
  <c r="S65" i="33" s="1"/>
  <c r="Q87" i="4"/>
  <c r="R87" i="4" s="1"/>
  <c r="AT68" i="33"/>
  <c r="AU68" i="33" s="1"/>
  <c r="Q85" i="4"/>
  <c r="R85" i="4" s="1"/>
  <c r="Q84" i="4"/>
  <c r="R84" i="4" s="1"/>
  <c r="W92" i="4"/>
  <c r="X92" i="4" s="1"/>
  <c r="J64" i="33"/>
  <c r="K64" i="33" s="1"/>
  <c r="AT65" i="33"/>
  <c r="AU65" i="33" s="1"/>
  <c r="AT60" i="33"/>
  <c r="AU60" i="33" s="1"/>
  <c r="B63" i="33"/>
  <c r="C63" i="33" s="1"/>
  <c r="AL63" i="33"/>
  <c r="AM63" i="33" s="1"/>
  <c r="R63" i="33"/>
  <c r="S63" i="33" s="1"/>
  <c r="N88" i="4"/>
  <c r="O88" i="4" s="1"/>
  <c r="H86" i="4"/>
  <c r="I86" i="4" s="1"/>
  <c r="AI86" i="4"/>
  <c r="AJ86" i="4" s="1"/>
  <c r="F69" i="33"/>
  <c r="G69" i="33" s="1"/>
  <c r="AH63" i="33"/>
  <c r="AI63" i="33" s="1"/>
  <c r="AP64" i="33"/>
  <c r="AQ64" i="33" s="1"/>
  <c r="Z88" i="4"/>
  <c r="AA88" i="4" s="1"/>
  <c r="J63" i="33"/>
  <c r="K63" i="33" s="1"/>
  <c r="AL69" i="33"/>
  <c r="AM69" i="33" s="1"/>
  <c r="R68" i="33"/>
  <c r="S68" i="33" s="1"/>
  <c r="AI85" i="4"/>
  <c r="AJ85" i="4" s="1"/>
  <c r="V62" i="33"/>
  <c r="W62" i="33" s="1"/>
  <c r="E89" i="4"/>
  <c r="F89" i="4" s="1"/>
  <c r="Q92" i="4"/>
  <c r="R92" i="4" s="1"/>
  <c r="AD65" i="33"/>
  <c r="AE65" i="33" s="1"/>
  <c r="E87" i="4"/>
  <c r="F87" i="4" s="1"/>
  <c r="E90" i="4"/>
  <c r="F90" i="4" s="1"/>
  <c r="V60" i="33"/>
  <c r="W60" i="33" s="1"/>
  <c r="W90" i="4"/>
  <c r="X90" i="4" s="1"/>
  <c r="B67" i="33"/>
  <c r="C67" i="33" s="1"/>
  <c r="AP65" i="33"/>
  <c r="AQ65" i="33" s="1"/>
  <c r="AI92" i="4"/>
  <c r="AJ92" i="4" s="1"/>
  <c r="K93" i="4"/>
  <c r="L93" i="4" s="1"/>
  <c r="AC89" i="4"/>
  <c r="AD89" i="4" s="1"/>
  <c r="AL61" i="33"/>
  <c r="AM61" i="33" s="1"/>
  <c r="AC92" i="4"/>
  <c r="AD92" i="4" s="1"/>
  <c r="F64" i="33"/>
  <c r="G64" i="33" s="1"/>
  <c r="K91" i="4"/>
  <c r="L91" i="4" s="1"/>
  <c r="B84" i="4"/>
  <c r="C84" i="4" s="1"/>
  <c r="T84" i="4"/>
  <c r="U84" i="4" s="1"/>
  <c r="Z63" i="33"/>
  <c r="AA63" i="33" s="1"/>
  <c r="Z86" i="4"/>
  <c r="AA86" i="4" s="1"/>
  <c r="N67" i="33"/>
  <c r="O67" i="33" s="1"/>
  <c r="Q93" i="4"/>
  <c r="R93" i="4" s="1"/>
  <c r="N63" i="33"/>
  <c r="O63" i="33" s="1"/>
  <c r="K88" i="4"/>
  <c r="L88" i="4" s="1"/>
  <c r="Q86" i="4"/>
  <c r="R86" i="4" s="1"/>
  <c r="H89" i="4"/>
  <c r="I89" i="4" s="1"/>
  <c r="AP68" i="33"/>
  <c r="AQ68" i="33" s="1"/>
  <c r="W93" i="4"/>
  <c r="X93" i="4" s="1"/>
  <c r="N62" i="33"/>
  <c r="O62" i="33" s="1"/>
  <c r="B87" i="4"/>
  <c r="C87" i="4" s="1"/>
  <c r="W85" i="4"/>
  <c r="X85" i="4" s="1"/>
  <c r="AT62" i="33"/>
  <c r="AU62" i="33" s="1"/>
  <c r="B68" i="33"/>
  <c r="C68" i="33" s="1"/>
  <c r="N65" i="33"/>
  <c r="O65" i="33" s="1"/>
  <c r="AH60" i="33"/>
  <c r="AI60" i="33" s="1"/>
  <c r="H90" i="4"/>
  <c r="I90" i="4" s="1"/>
  <c r="F60" i="33"/>
  <c r="G60" i="33" s="1"/>
  <c r="AC91" i="4"/>
  <c r="AD91" i="4" s="1"/>
  <c r="R67" i="33"/>
  <c r="S67" i="33" s="1"/>
  <c r="AF85" i="4"/>
  <c r="AG85" i="4" s="1"/>
  <c r="AH69" i="33"/>
  <c r="AI69" i="33" s="1"/>
  <c r="E85" i="4"/>
  <c r="F85" i="4" s="1"/>
  <c r="Z89" i="4"/>
  <c r="AA89" i="4" s="1"/>
  <c r="AP66" i="33"/>
  <c r="AQ66" i="33" s="1"/>
  <c r="V63" i="33"/>
  <c r="W63" i="33" s="1"/>
  <c r="AT69" i="33"/>
  <c r="AU69" i="33" s="1"/>
  <c r="AH66" i="33"/>
  <c r="AI66" i="33" s="1"/>
  <c r="T92" i="4"/>
  <c r="U92" i="4" s="1"/>
  <c r="N86" i="4"/>
  <c r="O86" i="4" s="1"/>
  <c r="AP60" i="33"/>
  <c r="AQ60" i="33" s="1"/>
  <c r="Z92" i="4"/>
  <c r="AA92" i="4" s="1"/>
  <c r="F68" i="33"/>
  <c r="G68" i="33" s="1"/>
  <c r="K84" i="4"/>
  <c r="L84" i="4" s="1"/>
  <c r="W89" i="4"/>
  <c r="X89" i="4" s="1"/>
  <c r="AL67" i="33"/>
  <c r="AM67" i="33" s="1"/>
  <c r="AC87" i="4"/>
  <c r="AD87" i="4" s="1"/>
  <c r="T90" i="4"/>
  <c r="U90" i="4" s="1"/>
  <c r="V69" i="33"/>
  <c r="W69" i="33" s="1"/>
  <c r="AF87" i="4"/>
  <c r="AG87" i="4" s="1"/>
  <c r="AD60" i="33"/>
  <c r="AE60" i="33" s="1"/>
  <c r="B69" i="33"/>
  <c r="C69" i="33" s="1"/>
  <c r="N89" i="4"/>
  <c r="O89" i="4" s="1"/>
  <c r="AF91" i="4"/>
  <c r="AG91" i="4" s="1"/>
  <c r="N66" i="33"/>
  <c r="O66" i="33" s="1"/>
  <c r="AI91" i="4"/>
  <c r="AJ91" i="4" s="1"/>
  <c r="N64" i="33"/>
  <c r="O64" i="33" s="1"/>
  <c r="AI93" i="4"/>
  <c r="AJ93" i="4" s="1"/>
  <c r="B90" i="4"/>
  <c r="C90" i="4" s="1"/>
  <c r="AT67" i="33"/>
  <c r="AU67" i="33" s="1"/>
  <c r="AF86" i="4"/>
  <c r="AG86" i="4" s="1"/>
  <c r="AD69" i="33"/>
  <c r="AE69" i="33" s="1"/>
  <c r="J61" i="33"/>
  <c r="K61" i="33" s="1"/>
  <c r="V67" i="33"/>
  <c r="W67" i="33" s="1"/>
  <c r="AC86" i="4"/>
  <c r="AD86" i="4" s="1"/>
  <c r="AT61" i="33"/>
  <c r="AU61" i="33" s="1"/>
  <c r="AD67" i="33"/>
  <c r="AE67" i="33" s="1"/>
  <c r="Z90" i="4"/>
  <c r="AA90" i="4" s="1"/>
  <c r="AL62" i="33"/>
  <c r="AM62" i="33" s="1"/>
  <c r="T86" i="4"/>
  <c r="U86" i="4" s="1"/>
  <c r="Q88" i="4"/>
  <c r="R88" i="4" s="1"/>
  <c r="B61" i="33"/>
  <c r="C61" i="33" s="1"/>
  <c r="N61" i="33"/>
  <c r="O61" i="33" s="1"/>
  <c r="N68" i="33"/>
  <c r="O68" i="33" s="1"/>
  <c r="Q91" i="4"/>
  <c r="R91" i="4" s="1"/>
  <c r="N92" i="4"/>
  <c r="O92" i="4" s="1"/>
  <c r="AF93" i="4"/>
  <c r="AG93" i="4" s="1"/>
  <c r="W88" i="4"/>
  <c r="X88" i="4" s="1"/>
  <c r="AH65" i="33"/>
  <c r="AI65" i="33" s="1"/>
  <c r="V64" i="33"/>
  <c r="W64" i="33" s="1"/>
  <c r="E86" i="4"/>
  <c r="F86" i="4" s="1"/>
  <c r="E93" i="4"/>
  <c r="F93" i="4" s="1"/>
  <c r="W84" i="4"/>
  <c r="X84" i="4" s="1"/>
  <c r="V68" i="33"/>
  <c r="W68" i="33" s="1"/>
  <c r="J65" i="33"/>
  <c r="K65" i="33" s="1"/>
  <c r="N93" i="4"/>
  <c r="O93" i="4" s="1"/>
  <c r="B91" i="4"/>
  <c r="C91" i="4" s="1"/>
  <c r="H92" i="4"/>
  <c r="I92" i="4" s="1"/>
  <c r="AH61" i="33"/>
  <c r="AI61" i="33" s="1"/>
  <c r="AL60" i="33"/>
  <c r="AM60" i="33" s="1"/>
  <c r="N91" i="4"/>
  <c r="O91" i="4" s="1"/>
  <c r="AC84" i="4"/>
  <c r="AD84" i="4" s="1"/>
  <c r="AC88" i="4"/>
  <c r="AD88" i="4" s="1"/>
  <c r="AI90" i="4"/>
  <c r="AJ90" i="4" s="1"/>
  <c r="AH68" i="33"/>
  <c r="AI68" i="33" s="1"/>
  <c r="K89" i="4"/>
  <c r="L89" i="4" s="1"/>
  <c r="Z61" i="33"/>
  <c r="AA61" i="33" s="1"/>
  <c r="AC85" i="4"/>
  <c r="AD85" i="4" s="1"/>
  <c r="AH64" i="33"/>
  <c r="AI64" i="33" s="1"/>
  <c r="R60" i="33"/>
  <c r="S60" i="33" s="1"/>
  <c r="E88" i="4"/>
  <c r="F88" i="4" s="1"/>
  <c r="AI88" i="4"/>
  <c r="AJ88" i="4" s="1"/>
  <c r="Z62" i="33"/>
  <c r="AA62" i="33" s="1"/>
  <c r="B62" i="33"/>
  <c r="C62" i="33" s="1"/>
  <c r="R62" i="33"/>
  <c r="S62" i="33" s="1"/>
  <c r="T91" i="4"/>
  <c r="U91" i="4" s="1"/>
  <c r="Z60" i="33"/>
  <c r="AA60" i="33" s="1"/>
  <c r="B65" i="33"/>
  <c r="C65" i="33" s="1"/>
  <c r="H85" i="4"/>
  <c r="I85" i="4" s="1"/>
  <c r="T87" i="4"/>
  <c r="U87" i="4" s="1"/>
  <c r="Z67" i="33"/>
  <c r="AA67" i="33" s="1"/>
  <c r="AD68" i="33"/>
  <c r="AE68" i="33" s="1"/>
  <c r="AD61" i="33"/>
  <c r="AE61" i="33" s="1"/>
  <c r="AC90" i="4"/>
  <c r="AD90" i="4" s="1"/>
  <c r="F61" i="33"/>
  <c r="G61" i="33" s="1"/>
  <c r="K87" i="4"/>
  <c r="L87" i="4" s="1"/>
  <c r="F62" i="33"/>
  <c r="G62" i="33" s="1"/>
  <c r="AI89" i="4"/>
  <c r="AJ89" i="4" s="1"/>
  <c r="B85" i="4"/>
  <c r="C85" i="4" s="1"/>
  <c r="Q90" i="4"/>
  <c r="R90" i="4" s="1"/>
  <c r="B86" i="4"/>
  <c r="C86" i="4" s="1"/>
  <c r="AP69" i="33"/>
  <c r="AQ69" i="33" s="1"/>
  <c r="B93" i="4"/>
  <c r="C93" i="4" s="1"/>
  <c r="V65" i="33"/>
  <c r="W65" i="33" s="1"/>
  <c r="AP63" i="33"/>
  <c r="AQ63" i="33" s="1"/>
  <c r="Q89" i="4"/>
  <c r="R89" i="4" s="1"/>
  <c r="Z66" i="33"/>
  <c r="AA66" i="33" s="1"/>
  <c r="H84" i="4"/>
  <c r="I84" i="4" s="1"/>
  <c r="AP67" i="33"/>
  <c r="AQ67" i="33" s="1"/>
  <c r="AL64" i="33"/>
  <c r="AM64" i="33" s="1"/>
  <c r="AH62" i="33"/>
  <c r="AI62" i="33" s="1"/>
  <c r="B66" i="33"/>
  <c r="C66" i="33" s="1"/>
  <c r="B60" i="33"/>
  <c r="C60" i="33" s="1"/>
  <c r="W91" i="4"/>
  <c r="X91" i="4" s="1"/>
  <c r="AF90" i="4"/>
  <c r="AG90" i="4" s="1"/>
  <c r="K85" i="4"/>
  <c r="L85" i="4" s="1"/>
  <c r="Z93" i="4"/>
  <c r="AA93" i="4" s="1"/>
  <c r="H88" i="4"/>
  <c r="I88" i="4" s="1"/>
  <c r="AI84" i="4"/>
  <c r="AJ84" i="4" s="1"/>
  <c r="AL66" i="33"/>
  <c r="AM66" i="33" s="1"/>
  <c r="V66" i="33"/>
  <c r="W66" i="33" s="1"/>
  <c r="B88" i="4"/>
  <c r="C88" i="4" s="1"/>
  <c r="F65" i="33"/>
  <c r="G65" i="33" s="1"/>
  <c r="V61" i="33"/>
  <c r="W61" i="33" s="1"/>
  <c r="W86" i="4"/>
  <c r="X86" i="4" s="1"/>
  <c r="B89" i="4"/>
  <c r="C89" i="4" s="1"/>
  <c r="AD62" i="33"/>
  <c r="AE62" i="33" s="1"/>
  <c r="E84" i="4"/>
  <c r="F84" i="4" s="1"/>
  <c r="AD63" i="33"/>
  <c r="AE63" i="33" s="1"/>
  <c r="H91" i="4"/>
  <c r="I91" i="4" s="1"/>
  <c r="AI87" i="4"/>
  <c r="AJ87" i="4" s="1"/>
  <c r="N84" i="4"/>
  <c r="O84" i="4" s="1"/>
  <c r="AF88" i="4"/>
  <c r="AG88" i="4" s="1"/>
  <c r="AC93" i="4"/>
  <c r="AD93" i="4" s="1"/>
  <c r="R69" i="33"/>
  <c r="S69" i="33" s="1"/>
  <c r="J60" i="33"/>
  <c r="K60" i="33" s="1"/>
  <c r="T88" i="4"/>
  <c r="U88" i="4" s="1"/>
  <c r="AT63" i="33"/>
  <c r="AU63" i="33" s="1"/>
  <c r="Z68" i="33"/>
  <c r="AA68" i="33" s="1"/>
  <c r="AH67" i="33"/>
  <c r="AI67" i="33" s="1"/>
  <c r="W87" i="4"/>
  <c r="X87" i="4" s="1"/>
  <c r="Z87" i="4"/>
  <c r="AA87" i="4" s="1"/>
  <c r="K92" i="4"/>
  <c r="L92" i="4" s="1"/>
  <c r="J66" i="33"/>
  <c r="K66" i="33" s="1"/>
  <c r="AT66" i="33"/>
  <c r="AU66" i="33" s="1"/>
  <c r="Z84" i="4"/>
  <c r="AA84" i="4" s="1"/>
  <c r="AP61" i="33"/>
  <c r="AQ61" i="33" s="1"/>
  <c r="N90" i="4"/>
  <c r="O90" i="4" s="1"/>
  <c r="Z69" i="33"/>
  <c r="AA69" i="33" s="1"/>
  <c r="R61" i="33"/>
  <c r="S61" i="33" s="1"/>
  <c r="Z91" i="4"/>
  <c r="AA91" i="4" s="1"/>
  <c r="T93" i="4"/>
  <c r="U93" i="4" s="1"/>
  <c r="Z85" i="4"/>
  <c r="AA85" i="4" s="1"/>
  <c r="AL65" i="33"/>
  <c r="AM65" i="33" s="1"/>
  <c r="H87" i="4"/>
  <c r="I87" i="4" s="1"/>
  <c r="AT64" i="33"/>
  <c r="AU64" i="33" s="1"/>
  <c r="J67" i="33"/>
  <c r="K67" i="33" s="1"/>
  <c r="N69" i="33"/>
  <c r="O69" i="33" s="1"/>
  <c r="N85" i="4"/>
  <c r="O85" i="4" s="1"/>
  <c r="B92" i="4"/>
  <c r="C92" i="4" s="1"/>
  <c r="Z64" i="33"/>
  <c r="AA64" i="33" s="1"/>
  <c r="F67" i="33"/>
  <c r="G67" i="33" s="1"/>
  <c r="J68" i="33"/>
  <c r="K68" i="33" s="1"/>
  <c r="J62" i="33"/>
  <c r="K62" i="33" s="1"/>
  <c r="E91" i="4"/>
  <c r="F91" i="4" s="1"/>
  <c r="AF92" i="4"/>
  <c r="AG92" i="4" s="1"/>
  <c r="R64" i="33"/>
  <c r="S64" i="33" s="1"/>
  <c r="AF89" i="4"/>
  <c r="AG89" i="4" s="1"/>
  <c r="AD66" i="33"/>
  <c r="AE66" i="33" s="1"/>
  <c r="T85" i="4"/>
  <c r="U85" i="4" s="1"/>
  <c r="J69" i="33"/>
  <c r="K69" i="33" s="1"/>
  <c r="E92" i="4"/>
  <c r="F92" i="4" s="1"/>
  <c r="Z65" i="33"/>
  <c r="AA65" i="33" s="1"/>
  <c r="R66" i="33"/>
  <c r="S66" i="33" s="1"/>
  <c r="F66" i="33"/>
  <c r="G66" i="33" s="1"/>
  <c r="B64" i="33"/>
  <c r="C64" i="33" s="1"/>
  <c r="AD64" i="33"/>
  <c r="AE64" i="33" s="1"/>
  <c r="K90" i="4"/>
  <c r="L90" i="4" s="1"/>
  <c r="K86" i="4"/>
  <c r="L86" i="4" s="1"/>
  <c r="F63" i="33"/>
  <c r="G63" i="33" s="1"/>
  <c r="AP62" i="33"/>
  <c r="AQ62" i="33" s="1"/>
  <c r="N60" i="33"/>
  <c r="O60" i="33" s="1"/>
  <c r="AF84" i="4"/>
  <c r="AG84" i="4" s="1"/>
  <c r="K60" i="30"/>
  <c r="O60" i="30" s="1"/>
  <c r="W10" i="29"/>
  <c r="J9" i="29"/>
  <c r="D9" i="29"/>
  <c r="M9" i="29"/>
  <c r="G9" i="29"/>
  <c r="AJ50" i="10"/>
  <c r="AC10" i="29"/>
  <c r="N9" i="29"/>
  <c r="P60" i="30"/>
  <c r="AF10" i="29"/>
  <c r="I9" i="29"/>
  <c r="Z10" i="29"/>
  <c r="T10" i="29"/>
  <c r="O9" i="29"/>
  <c r="AU70" i="33" l="1"/>
  <c r="G70" i="33"/>
  <c r="O94" i="4"/>
  <c r="O70" i="33"/>
  <c r="S70" i="33"/>
  <c r="I94" i="4"/>
  <c r="AA94" i="4"/>
  <c r="U10" i="29"/>
  <c r="V10" i="29" s="1"/>
  <c r="AA10" i="29"/>
  <c r="C85" i="7"/>
  <c r="E3" i="3"/>
  <c r="AG10" i="29"/>
  <c r="P10" i="29"/>
  <c r="AD10" i="29"/>
  <c r="AJ18" i="10"/>
  <c r="AJ32" i="10"/>
  <c r="AJ26" i="10"/>
  <c r="AJ19" i="10"/>
  <c r="AJ29" i="10"/>
  <c r="AJ4" i="10"/>
  <c r="AJ33" i="10"/>
  <c r="AJ28" i="10"/>
  <c r="AJ15" i="10"/>
  <c r="AJ23" i="10"/>
  <c r="AJ14" i="10"/>
  <c r="AJ5" i="10"/>
  <c r="AJ9" i="10"/>
  <c r="AJ36" i="10"/>
  <c r="AJ22" i="10"/>
  <c r="AJ37" i="10"/>
  <c r="AJ30" i="10"/>
  <c r="AJ40" i="10"/>
  <c r="AJ11" i="10"/>
  <c r="AJ41" i="10"/>
  <c r="AJ12" i="10"/>
  <c r="AJ27" i="10"/>
  <c r="AJ31" i="10"/>
  <c r="AJ38" i="10"/>
  <c r="AJ13" i="10"/>
  <c r="AJ39" i="10"/>
  <c r="AJ8" i="10"/>
  <c r="AJ16" i="10"/>
  <c r="AJ3" i="10"/>
  <c r="AJ24" i="10"/>
  <c r="AJ25" i="10"/>
  <c r="AJ17" i="10"/>
  <c r="AJ10" i="10"/>
  <c r="F3" i="3"/>
  <c r="A85" i="7"/>
  <c r="A643" i="7"/>
  <c r="O3" i="3"/>
  <c r="C3" i="3"/>
  <c r="A7" i="7"/>
  <c r="I3" i="3"/>
  <c r="A401" i="7"/>
  <c r="X10" i="29"/>
  <c r="Y10" i="29" s="1"/>
  <c r="AM70" i="33"/>
  <c r="AI70" i="33"/>
  <c r="X94" i="4"/>
  <c r="L94" i="4"/>
  <c r="R94" i="4"/>
  <c r="U94" i="4"/>
  <c r="AA70" i="33"/>
  <c r="AG94" i="4"/>
  <c r="AJ94" i="4"/>
  <c r="AB9" i="29"/>
  <c r="A537" i="7"/>
  <c r="L3" i="3"/>
  <c r="K70" i="33"/>
  <c r="W70" i="33"/>
  <c r="V9" i="29"/>
  <c r="C94" i="4"/>
  <c r="AD94" i="4"/>
  <c r="F94" i="4"/>
  <c r="AH9" i="29"/>
  <c r="R9" i="29" s="1"/>
  <c r="Q9" i="29"/>
  <c r="AQ70" i="33"/>
  <c r="C70" i="33"/>
  <c r="AE70" i="33"/>
  <c r="B643" i="7"/>
  <c r="L643" i="7" s="1"/>
  <c r="AT2" i="4"/>
  <c r="M3" i="3"/>
  <c r="C643" i="7"/>
  <c r="N3" i="3"/>
  <c r="AB10" i="29"/>
  <c r="AE10" i="29"/>
  <c r="K61" i="30"/>
  <c r="O61" i="30" s="1"/>
  <c r="Z11" i="29"/>
  <c r="M10" i="29"/>
  <c r="I10" i="29"/>
  <c r="K9" i="29"/>
  <c r="P61" i="30"/>
  <c r="L10" i="29"/>
  <c r="D10" i="29"/>
  <c r="AF11" i="29"/>
  <c r="G10" i="29"/>
  <c r="F9" i="29"/>
  <c r="E10" i="29"/>
  <c r="O10" i="29"/>
  <c r="T11" i="29"/>
  <c r="E9" i="29"/>
  <c r="K10" i="29"/>
  <c r="J10" i="29"/>
  <c r="AC11" i="29"/>
  <c r="W11" i="29"/>
  <c r="L9" i="29"/>
  <c r="N10" i="29"/>
  <c r="F10" i="29"/>
  <c r="A86" i="7" l="1"/>
  <c r="C401" i="7"/>
  <c r="H3" i="3"/>
  <c r="X11" i="29"/>
  <c r="Y11" i="29" s="1"/>
  <c r="AD11" i="29"/>
  <c r="I4" i="3"/>
  <c r="A348" i="7"/>
  <c r="AN2" i="4"/>
  <c r="A3" i="3"/>
  <c r="B7" i="7"/>
  <c r="U11" i="29"/>
  <c r="C7" i="7"/>
  <c r="B3" i="3"/>
  <c r="F4" i="3"/>
  <c r="P11" i="29"/>
  <c r="AG11" i="29"/>
  <c r="A8" i="7"/>
  <c r="C4" i="3"/>
  <c r="G3" i="3"/>
  <c r="AR2" i="4"/>
  <c r="B401" i="7"/>
  <c r="L401" i="7" s="1"/>
  <c r="C86" i="7"/>
  <c r="E4" i="3"/>
  <c r="O4" i="3"/>
  <c r="A644" i="7"/>
  <c r="AA11" i="29"/>
  <c r="K3" i="3"/>
  <c r="C537" i="7"/>
  <c r="A538" i="7"/>
  <c r="L4" i="3"/>
  <c r="J3" i="3"/>
  <c r="B537" i="7"/>
  <c r="AV2" i="4"/>
  <c r="AH10" i="29"/>
  <c r="R10" i="29" s="1"/>
  <c r="Q10" i="29"/>
  <c r="AT3" i="4"/>
  <c r="B644" i="7"/>
  <c r="L644" i="7" s="1"/>
  <c r="M4" i="3"/>
  <c r="AR3" i="4"/>
  <c r="G4" i="3"/>
  <c r="B348" i="7"/>
  <c r="L348" i="7" s="1"/>
  <c r="N4" i="3"/>
  <c r="C644" i="7"/>
  <c r="H4" i="3"/>
  <c r="C348" i="7"/>
  <c r="A4" i="3"/>
  <c r="B8" i="7"/>
  <c r="AN3" i="4"/>
  <c r="C8" i="7"/>
  <c r="B4" i="3"/>
  <c r="K62" i="30"/>
  <c r="O62" i="30" s="1"/>
  <c r="I11" i="29"/>
  <c r="M11" i="29"/>
  <c r="AF12" i="29"/>
  <c r="Z12" i="29"/>
  <c r="P62" i="30"/>
  <c r="W12" i="29"/>
  <c r="AC12" i="29"/>
  <c r="T12" i="29"/>
  <c r="J11" i="29"/>
  <c r="G11" i="29"/>
  <c r="D11" i="29"/>
  <c r="A9" i="7" l="1"/>
  <c r="C5" i="3"/>
  <c r="A87" i="7"/>
  <c r="F5" i="3"/>
  <c r="A417" i="7"/>
  <c r="I5" i="3"/>
  <c r="U12" i="29"/>
  <c r="V12" i="29" s="1"/>
  <c r="AD12" i="29"/>
  <c r="X12" i="29"/>
  <c r="Y12" i="29" s="1"/>
  <c r="AA12" i="29"/>
  <c r="AG12" i="29"/>
  <c r="P12" i="29"/>
  <c r="A540" i="7" s="1"/>
  <c r="A645" i="7"/>
  <c r="O5" i="3"/>
  <c r="E5" i="3"/>
  <c r="C87" i="7"/>
  <c r="J4" i="3"/>
  <c r="AV3" i="4"/>
  <c r="B538" i="7"/>
  <c r="AE11" i="29"/>
  <c r="C538" i="7"/>
  <c r="K4" i="3"/>
  <c r="AH11" i="29"/>
  <c r="R11" i="29" s="1"/>
  <c r="Q11" i="29"/>
  <c r="V11" i="29"/>
  <c r="AB11" i="29"/>
  <c r="A539" i="7"/>
  <c r="L5" i="3"/>
  <c r="H7" i="7"/>
  <c r="E7" i="7"/>
  <c r="D7" i="7"/>
  <c r="I7" i="7"/>
  <c r="L7" i="7"/>
  <c r="G7" i="7"/>
  <c r="J7" i="7"/>
  <c r="L6" i="3"/>
  <c r="J8" i="7"/>
  <c r="G8" i="7"/>
  <c r="H8" i="7"/>
  <c r="I8" i="7"/>
  <c r="D8" i="7"/>
  <c r="L8" i="7"/>
  <c r="E8" i="7"/>
  <c r="AB12" i="29"/>
  <c r="K63" i="30"/>
  <c r="O63" i="30" s="1"/>
  <c r="T13" i="29"/>
  <c r="G12" i="29"/>
  <c r="Z13" i="29"/>
  <c r="AF13" i="29"/>
  <c r="N11" i="29"/>
  <c r="L11" i="29"/>
  <c r="F12" i="29"/>
  <c r="M12" i="29"/>
  <c r="W13" i="29"/>
  <c r="O11" i="29"/>
  <c r="K11" i="29"/>
  <c r="E12" i="29"/>
  <c r="D12" i="29"/>
  <c r="I12" i="29"/>
  <c r="F11" i="29"/>
  <c r="P63" i="30"/>
  <c r="K12" i="29"/>
  <c r="L12" i="29"/>
  <c r="AC13" i="29"/>
  <c r="J12" i="29"/>
  <c r="E11" i="29"/>
  <c r="F8" i="7" l="1"/>
  <c r="F7" i="7"/>
  <c r="B9" i="7"/>
  <c r="A5" i="3"/>
  <c r="AN4" i="4"/>
  <c r="A376" i="7"/>
  <c r="I6" i="3"/>
  <c r="AD13" i="29"/>
  <c r="C9" i="7"/>
  <c r="B5" i="3"/>
  <c r="E6" i="3"/>
  <c r="C88" i="7"/>
  <c r="A10" i="7"/>
  <c r="C6" i="3"/>
  <c r="AR4" i="4"/>
  <c r="G5" i="3"/>
  <c r="B417" i="7"/>
  <c r="L417" i="7" s="1"/>
  <c r="C645" i="7"/>
  <c r="N5" i="3"/>
  <c r="X13" i="29"/>
  <c r="Y13" i="29" s="1"/>
  <c r="O6" i="3"/>
  <c r="A646" i="7"/>
  <c r="H5" i="3"/>
  <c r="C417" i="7"/>
  <c r="AT4" i="4"/>
  <c r="M5" i="3"/>
  <c r="B645" i="7"/>
  <c r="L645" i="7" s="1"/>
  <c r="AG13" i="29"/>
  <c r="P13" i="29"/>
  <c r="AA13" i="29"/>
  <c r="AB13" i="29" s="1"/>
  <c r="F6" i="3"/>
  <c r="A88" i="7"/>
  <c r="U13" i="29"/>
  <c r="AH12" i="29"/>
  <c r="R12" i="29" s="1"/>
  <c r="Q12" i="29"/>
  <c r="AE12" i="29"/>
  <c r="J5" i="3"/>
  <c r="B539" i="7"/>
  <c r="AV4" i="4"/>
  <c r="C539" i="7"/>
  <c r="K5" i="3"/>
  <c r="B10" i="7"/>
  <c r="A6" i="3"/>
  <c r="AN5" i="4"/>
  <c r="G6" i="3"/>
  <c r="AR5" i="4"/>
  <c r="B376" i="7"/>
  <c r="L376" i="7" s="1"/>
  <c r="C10" i="7"/>
  <c r="B6" i="3"/>
  <c r="C376" i="7"/>
  <c r="H6" i="3"/>
  <c r="K64" i="30"/>
  <c r="O64" i="30" s="1"/>
  <c r="G13" i="29"/>
  <c r="Z14" i="29"/>
  <c r="P64" i="30"/>
  <c r="AC14" i="29"/>
  <c r="W14" i="29"/>
  <c r="J13" i="29"/>
  <c r="T14" i="29"/>
  <c r="K13" i="29"/>
  <c r="M13" i="29"/>
  <c r="AF14" i="29"/>
  <c r="N12" i="29"/>
  <c r="L13" i="29"/>
  <c r="I13" i="29"/>
  <c r="D13" i="29"/>
  <c r="O12" i="29"/>
  <c r="C646" i="7" l="1"/>
  <c r="N6" i="3"/>
  <c r="C7" i="3"/>
  <c r="A11" i="7"/>
  <c r="E7" i="3"/>
  <c r="C89" i="7"/>
  <c r="B646" i="7"/>
  <c r="L646" i="7" s="1"/>
  <c r="M6" i="3"/>
  <c r="AT5" i="4"/>
  <c r="AG14" i="29"/>
  <c r="P14" i="29"/>
  <c r="A647" i="7"/>
  <c r="O7" i="3"/>
  <c r="U14" i="29"/>
  <c r="A470" i="7"/>
  <c r="I7" i="3"/>
  <c r="X14" i="29"/>
  <c r="Y14" i="29" s="1"/>
  <c r="AD14" i="29"/>
  <c r="AE14" i="29" s="1"/>
  <c r="AA14" i="29"/>
  <c r="AB14" i="29" s="1"/>
  <c r="F7" i="3"/>
  <c r="A89" i="7"/>
  <c r="A541" i="7"/>
  <c r="L7" i="3"/>
  <c r="AE13" i="29"/>
  <c r="V13" i="29"/>
  <c r="AV5" i="4"/>
  <c r="J6" i="3"/>
  <c r="B540" i="7"/>
  <c r="Q13" i="29"/>
  <c r="AH13" i="29"/>
  <c r="R13" i="29" s="1"/>
  <c r="K6" i="3"/>
  <c r="C540" i="7"/>
  <c r="I9" i="7"/>
  <c r="J9" i="7"/>
  <c r="H9" i="7"/>
  <c r="E9" i="7"/>
  <c r="D9" i="7"/>
  <c r="L9" i="7"/>
  <c r="G9" i="7"/>
  <c r="B470" i="7"/>
  <c r="L470" i="7" s="1"/>
  <c r="AR6" i="4"/>
  <c r="G7" i="3"/>
  <c r="C470" i="7"/>
  <c r="H7" i="3"/>
  <c r="L10" i="7"/>
  <c r="I10" i="7"/>
  <c r="G10" i="7"/>
  <c r="J10" i="7"/>
  <c r="E10" i="7"/>
  <c r="D10" i="7"/>
  <c r="H10" i="7"/>
  <c r="K65" i="30"/>
  <c r="O65" i="30" s="1"/>
  <c r="G14" i="29"/>
  <c r="N13" i="29"/>
  <c r="P65" i="30"/>
  <c r="L14" i="29"/>
  <c r="N14" i="29"/>
  <c r="K14" i="29"/>
  <c r="I14" i="29"/>
  <c r="O13" i="29"/>
  <c r="O14" i="29"/>
  <c r="AF15" i="29"/>
  <c r="D14" i="29"/>
  <c r="AC15" i="29"/>
  <c r="J14" i="29"/>
  <c r="F13" i="29"/>
  <c r="T15" i="29"/>
  <c r="W15" i="29"/>
  <c r="M14" i="29"/>
  <c r="Z15" i="29"/>
  <c r="E13" i="29"/>
  <c r="F10" i="7" l="1"/>
  <c r="F9" i="7"/>
  <c r="B11" i="7"/>
  <c r="AN6" i="4"/>
  <c r="A7" i="3"/>
  <c r="AA15" i="29"/>
  <c r="O8" i="3"/>
  <c r="A648" i="7"/>
  <c r="X15" i="29"/>
  <c r="Y15" i="29" s="1"/>
  <c r="U15" i="29"/>
  <c r="V15" i="29" s="1"/>
  <c r="B7" i="3"/>
  <c r="C11" i="7"/>
  <c r="I8" i="3"/>
  <c r="A465" i="7"/>
  <c r="AD15" i="29"/>
  <c r="AE15" i="29" s="1"/>
  <c r="A12" i="7"/>
  <c r="C8" i="3"/>
  <c r="P15" i="29"/>
  <c r="A543" i="7" s="1"/>
  <c r="AG15" i="29"/>
  <c r="N7" i="3"/>
  <c r="C647" i="7"/>
  <c r="C90" i="7"/>
  <c r="E8" i="3"/>
  <c r="M7" i="3"/>
  <c r="B647" i="7"/>
  <c r="L647" i="7" s="1"/>
  <c r="AT6" i="4"/>
  <c r="F8" i="3"/>
  <c r="A90" i="7"/>
  <c r="B541" i="7"/>
  <c r="J7" i="3"/>
  <c r="AV6" i="4"/>
  <c r="L8" i="3"/>
  <c r="A542" i="7"/>
  <c r="Q14" i="29"/>
  <c r="AH14" i="29"/>
  <c r="R14" i="29" s="1"/>
  <c r="K7" i="3"/>
  <c r="C541" i="7"/>
  <c r="V14" i="29"/>
  <c r="B465" i="7"/>
  <c r="L465" i="7" s="1"/>
  <c r="AR7" i="4"/>
  <c r="G8" i="3"/>
  <c r="C465" i="7"/>
  <c r="H8" i="3"/>
  <c r="B648" i="7"/>
  <c r="L648" i="7" s="1"/>
  <c r="AT7" i="4"/>
  <c r="M8" i="3"/>
  <c r="C648" i="7"/>
  <c r="N8" i="3"/>
  <c r="AB15" i="29"/>
  <c r="K66" i="30"/>
  <c r="O66" i="30" s="1"/>
  <c r="J15" i="29"/>
  <c r="W16" i="29"/>
  <c r="D15" i="29"/>
  <c r="AC16" i="29"/>
  <c r="E14" i="29"/>
  <c r="Z16" i="29"/>
  <c r="G15" i="29"/>
  <c r="F14" i="29"/>
  <c r="K15" i="29"/>
  <c r="E15" i="29"/>
  <c r="I15" i="29"/>
  <c r="M15" i="29"/>
  <c r="N15" i="29"/>
  <c r="F15" i="29"/>
  <c r="L15" i="29"/>
  <c r="O15" i="29"/>
  <c r="T16" i="29"/>
  <c r="AF16" i="29"/>
  <c r="P66" i="30"/>
  <c r="L9" i="3" l="1"/>
  <c r="P16" i="29"/>
  <c r="AG16" i="29"/>
  <c r="Q16" i="29" s="1"/>
  <c r="U16" i="29"/>
  <c r="O9" i="3"/>
  <c r="A649" i="7"/>
  <c r="C91" i="7"/>
  <c r="E9" i="3"/>
  <c r="B8" i="3"/>
  <c r="C12" i="7"/>
  <c r="A91" i="7"/>
  <c r="F9" i="3"/>
  <c r="AA16" i="29"/>
  <c r="AB16" i="29" s="1"/>
  <c r="A8" i="3"/>
  <c r="B12" i="7"/>
  <c r="AN7" i="4"/>
  <c r="AD16" i="29"/>
  <c r="AE16" i="29" s="1"/>
  <c r="A13" i="7"/>
  <c r="C9" i="3"/>
  <c r="X16" i="29"/>
  <c r="Y16" i="29" s="1"/>
  <c r="I9" i="3"/>
  <c r="A372" i="7"/>
  <c r="K8" i="3"/>
  <c r="C542" i="7"/>
  <c r="Q15" i="29"/>
  <c r="AH15" i="29"/>
  <c r="R15" i="29" s="1"/>
  <c r="B542" i="7"/>
  <c r="AV7" i="4"/>
  <c r="J8" i="3"/>
  <c r="H11" i="7"/>
  <c r="J11" i="7"/>
  <c r="L11" i="7"/>
  <c r="G11" i="7"/>
  <c r="E11" i="7"/>
  <c r="I11" i="7"/>
  <c r="D11" i="7"/>
  <c r="N9" i="3"/>
  <c r="C649" i="7"/>
  <c r="H9" i="3"/>
  <c r="C372" i="7"/>
  <c r="B13" i="7"/>
  <c r="A9" i="3"/>
  <c r="AN8" i="4"/>
  <c r="B9" i="3"/>
  <c r="C13" i="7"/>
  <c r="M9" i="3"/>
  <c r="AT8" i="4"/>
  <c r="B649" i="7"/>
  <c r="L649" i="7" s="1"/>
  <c r="AR8" i="4"/>
  <c r="B372" i="7"/>
  <c r="L372" i="7" s="1"/>
  <c r="G9" i="3"/>
  <c r="A544" i="7"/>
  <c r="L10" i="3"/>
  <c r="K67" i="30"/>
  <c r="O67" i="30" s="1"/>
  <c r="J16" i="29"/>
  <c r="AF17" i="29"/>
  <c r="D16" i="29"/>
  <c r="AC17" i="29"/>
  <c r="G16" i="29"/>
  <c r="K16" i="29"/>
  <c r="Z17" i="29"/>
  <c r="M16" i="29"/>
  <c r="I16" i="29"/>
  <c r="N16" i="29"/>
  <c r="T17" i="29"/>
  <c r="W17" i="29"/>
  <c r="P67" i="30"/>
  <c r="O16" i="29"/>
  <c r="L16" i="29"/>
  <c r="AH16" i="29" l="1"/>
  <c r="R16" i="29" s="1"/>
  <c r="C544" i="7" s="1"/>
  <c r="X17" i="29"/>
  <c r="Y17" i="29" s="1"/>
  <c r="U17" i="29"/>
  <c r="V17" i="29" s="1"/>
  <c r="C92" i="7"/>
  <c r="E10" i="3"/>
  <c r="O10" i="3"/>
  <c r="A650" i="7"/>
  <c r="AA17" i="29"/>
  <c r="AB17" i="29" s="1"/>
  <c r="F10" i="3"/>
  <c r="A92" i="7"/>
  <c r="AD17" i="29"/>
  <c r="C10" i="3"/>
  <c r="A14" i="7"/>
  <c r="AG17" i="29"/>
  <c r="P17" i="29"/>
  <c r="L11" i="3" s="1"/>
  <c r="A377" i="7"/>
  <c r="I10" i="3"/>
  <c r="F11" i="7"/>
  <c r="H12" i="7"/>
  <c r="I12" i="7"/>
  <c r="E12" i="7"/>
  <c r="L12" i="7"/>
  <c r="G12" i="7"/>
  <c r="J12" i="7"/>
  <c r="D12" i="7"/>
  <c r="AV9" i="4"/>
  <c r="B544" i="7"/>
  <c r="J10" i="3"/>
  <c r="K9" i="3"/>
  <c r="C543" i="7"/>
  <c r="AV8" i="4"/>
  <c r="B543" i="7"/>
  <c r="J9" i="3"/>
  <c r="V16" i="29"/>
  <c r="K10" i="3"/>
  <c r="B650" i="7"/>
  <c r="L650" i="7" s="1"/>
  <c r="M10" i="3"/>
  <c r="AT9" i="4"/>
  <c r="AR9" i="4"/>
  <c r="G10" i="3"/>
  <c r="B377" i="7"/>
  <c r="L377" i="7" s="1"/>
  <c r="C650" i="7"/>
  <c r="N10" i="3"/>
  <c r="C377" i="7"/>
  <c r="H10" i="3"/>
  <c r="L13" i="7"/>
  <c r="J13" i="7"/>
  <c r="H13" i="7"/>
  <c r="D13" i="7"/>
  <c r="G13" i="7"/>
  <c r="E13" i="7"/>
  <c r="I13" i="7"/>
  <c r="A545" i="7"/>
  <c r="AE17" i="29"/>
  <c r="K68" i="30"/>
  <c r="O68" i="30" s="1"/>
  <c r="I17" i="29"/>
  <c r="D17" i="29"/>
  <c r="J17" i="29"/>
  <c r="AC18" i="29"/>
  <c r="N17" i="29"/>
  <c r="L17" i="29"/>
  <c r="P68" i="30"/>
  <c r="F17" i="29"/>
  <c r="W18" i="29"/>
  <c r="T18" i="29"/>
  <c r="M17" i="29"/>
  <c r="F16" i="29"/>
  <c r="K17" i="29"/>
  <c r="E17" i="29"/>
  <c r="O17" i="29"/>
  <c r="G17" i="29"/>
  <c r="Z18" i="29"/>
  <c r="AF18" i="29"/>
  <c r="E16" i="29"/>
  <c r="F12" i="7" l="1"/>
  <c r="A10" i="3"/>
  <c r="B14" i="7"/>
  <c r="AN9" i="4"/>
  <c r="P18" i="29"/>
  <c r="AG18" i="29"/>
  <c r="AA18" i="29"/>
  <c r="AB18" i="29" s="1"/>
  <c r="A93" i="7"/>
  <c r="F11" i="3"/>
  <c r="B10" i="3"/>
  <c r="C14" i="7"/>
  <c r="O11" i="3"/>
  <c r="A651" i="7"/>
  <c r="U18" i="29"/>
  <c r="X18" i="29"/>
  <c r="Y18" i="29" s="1"/>
  <c r="AD18" i="29"/>
  <c r="AE18" i="29" s="1"/>
  <c r="A381" i="7"/>
  <c r="I11" i="3"/>
  <c r="A15" i="7"/>
  <c r="C11" i="3"/>
  <c r="C93" i="7"/>
  <c r="E11" i="3"/>
  <c r="F13" i="7"/>
  <c r="AH17" i="29"/>
  <c r="R17" i="29" s="1"/>
  <c r="Q17" i="29"/>
  <c r="C381" i="7"/>
  <c r="H11" i="3"/>
  <c r="B15" i="7"/>
  <c r="AN10" i="4"/>
  <c r="A11" i="3"/>
  <c r="M11" i="3"/>
  <c r="AT10" i="4"/>
  <c r="B651" i="7"/>
  <c r="L651" i="7" s="1"/>
  <c r="C15" i="7"/>
  <c r="B11" i="3"/>
  <c r="N11" i="3"/>
  <c r="C651" i="7"/>
  <c r="B381" i="7"/>
  <c r="L381" i="7" s="1"/>
  <c r="AR10" i="4"/>
  <c r="G11" i="3"/>
  <c r="K69" i="30"/>
  <c r="O69" i="30" s="1"/>
  <c r="I18" i="29"/>
  <c r="T19" i="29"/>
  <c r="Z19" i="29"/>
  <c r="G18" i="29"/>
  <c r="AC19" i="29"/>
  <c r="N18" i="29"/>
  <c r="P69" i="30"/>
  <c r="AF19" i="29"/>
  <c r="J18" i="29"/>
  <c r="D18" i="29"/>
  <c r="W19" i="29"/>
  <c r="M18" i="29"/>
  <c r="K18" i="29"/>
  <c r="O18" i="29"/>
  <c r="L18" i="29"/>
  <c r="A652" i="7" l="1"/>
  <c r="O12" i="3"/>
  <c r="X19" i="29"/>
  <c r="Y19" i="29" s="1"/>
  <c r="C12" i="3"/>
  <c r="A16" i="7"/>
  <c r="A343" i="7"/>
  <c r="I12" i="3"/>
  <c r="AG19" i="29"/>
  <c r="Q19" i="29" s="1"/>
  <c r="P19" i="29"/>
  <c r="AD19" i="29"/>
  <c r="AE19" i="29" s="1"/>
  <c r="A94" i="7"/>
  <c r="F12" i="3"/>
  <c r="AA19" i="29"/>
  <c r="AB19" i="29" s="1"/>
  <c r="U19" i="29"/>
  <c r="E12" i="3"/>
  <c r="C94" i="7"/>
  <c r="K11" i="3"/>
  <c r="C545" i="7"/>
  <c r="Q18" i="29"/>
  <c r="AH18" i="29"/>
  <c r="R18" i="29" s="1"/>
  <c r="H14" i="7"/>
  <c r="J14" i="7"/>
  <c r="E14" i="7"/>
  <c r="L14" i="7"/>
  <c r="G14" i="7"/>
  <c r="I14" i="7"/>
  <c r="D14" i="7"/>
  <c r="F14" i="7" s="1"/>
  <c r="B545" i="7"/>
  <c r="J11" i="3"/>
  <c r="AV10" i="4"/>
  <c r="V18" i="29"/>
  <c r="A546" i="7"/>
  <c r="L12" i="3"/>
  <c r="B652" i="7"/>
  <c r="L652" i="7" s="1"/>
  <c r="M12" i="3"/>
  <c r="AT11" i="4"/>
  <c r="H12" i="3"/>
  <c r="C343" i="7"/>
  <c r="C652" i="7"/>
  <c r="N12" i="3"/>
  <c r="G12" i="3"/>
  <c r="AR11" i="4"/>
  <c r="B343" i="7"/>
  <c r="L343" i="7" s="1"/>
  <c r="H15" i="7"/>
  <c r="L15" i="7"/>
  <c r="G15" i="7"/>
  <c r="D15" i="7"/>
  <c r="E15" i="7"/>
  <c r="I15" i="7"/>
  <c r="J15" i="7"/>
  <c r="V19" i="29"/>
  <c r="K70" i="30"/>
  <c r="O70" i="30" s="1"/>
  <c r="W20" i="29"/>
  <c r="E18" i="29"/>
  <c r="AC20" i="29"/>
  <c r="Z20" i="29"/>
  <c r="T20" i="29"/>
  <c r="I19" i="29"/>
  <c r="M19" i="29"/>
  <c r="J19" i="29"/>
  <c r="D19" i="29"/>
  <c r="P70" i="30"/>
  <c r="F19" i="29"/>
  <c r="E19" i="29"/>
  <c r="O19" i="29"/>
  <c r="N19" i="29"/>
  <c r="G19" i="29"/>
  <c r="AF20" i="29"/>
  <c r="F18" i="29"/>
  <c r="L19" i="29"/>
  <c r="K19" i="29"/>
  <c r="AH19" i="29" l="1"/>
  <c r="R19" i="29" s="1"/>
  <c r="K13" i="3" s="1"/>
  <c r="C16" i="7"/>
  <c r="B12" i="3"/>
  <c r="AG20" i="29"/>
  <c r="P20" i="29"/>
  <c r="F13" i="3"/>
  <c r="A95" i="7"/>
  <c r="C13" i="3"/>
  <c r="A17" i="7"/>
  <c r="A418" i="7"/>
  <c r="I13" i="3"/>
  <c r="A653" i="7"/>
  <c r="O13" i="3"/>
  <c r="C95" i="7"/>
  <c r="E13" i="3"/>
  <c r="U20" i="29"/>
  <c r="AA20" i="29"/>
  <c r="AB20" i="29" s="1"/>
  <c r="AD20" i="29"/>
  <c r="AE20" i="29" s="1"/>
  <c r="A12" i="3"/>
  <c r="AN11" i="4"/>
  <c r="B16" i="7"/>
  <c r="X20" i="29"/>
  <c r="Y20" i="29" s="1"/>
  <c r="J12" i="3"/>
  <c r="B546" i="7"/>
  <c r="AV11" i="4"/>
  <c r="L13" i="3"/>
  <c r="A547" i="7"/>
  <c r="AV12" i="4"/>
  <c r="J13" i="3"/>
  <c r="B547" i="7"/>
  <c r="C546" i="7"/>
  <c r="K12" i="3"/>
  <c r="AT12" i="4"/>
  <c r="M13" i="3"/>
  <c r="B653" i="7"/>
  <c r="L653" i="7" s="1"/>
  <c r="B418" i="7"/>
  <c r="L418" i="7" s="1"/>
  <c r="G13" i="3"/>
  <c r="AR12" i="4"/>
  <c r="N13" i="3"/>
  <c r="C653" i="7"/>
  <c r="A13" i="3"/>
  <c r="B17" i="7"/>
  <c r="AN12" i="4"/>
  <c r="B13" i="3"/>
  <c r="C17" i="7"/>
  <c r="C418" i="7"/>
  <c r="H13" i="3"/>
  <c r="F15" i="7"/>
  <c r="K71" i="30"/>
  <c r="O71" i="30" s="1"/>
  <c r="AF21" i="29"/>
  <c r="T21" i="29"/>
  <c r="J20" i="29"/>
  <c r="W21" i="29"/>
  <c r="D20" i="29"/>
  <c r="G20" i="29"/>
  <c r="M20" i="29"/>
  <c r="N20" i="29"/>
  <c r="K20" i="29"/>
  <c r="Z21" i="29"/>
  <c r="AC21" i="29"/>
  <c r="I20" i="29"/>
  <c r="P71" i="30"/>
  <c r="L20" i="29"/>
  <c r="O20" i="29"/>
  <c r="C547" i="7" l="1"/>
  <c r="E14" i="3"/>
  <c r="C96" i="7"/>
  <c r="AD21" i="29"/>
  <c r="AE21" i="29" s="1"/>
  <c r="AA21" i="29"/>
  <c r="AB21" i="29" s="1"/>
  <c r="A654" i="7"/>
  <c r="O14" i="3"/>
  <c r="A96" i="7"/>
  <c r="F14" i="3"/>
  <c r="A18" i="7"/>
  <c r="C14" i="3"/>
  <c r="X21" i="29"/>
  <c r="Y21" i="29" s="1"/>
  <c r="A430" i="7"/>
  <c r="I14" i="3"/>
  <c r="U21" i="29"/>
  <c r="AG21" i="29"/>
  <c r="P21" i="29"/>
  <c r="V20" i="29"/>
  <c r="A548" i="7"/>
  <c r="L14" i="3"/>
  <c r="G16" i="7"/>
  <c r="E16" i="7"/>
  <c r="D16" i="7"/>
  <c r="H16" i="7"/>
  <c r="J16" i="7"/>
  <c r="I16" i="7"/>
  <c r="L16" i="7"/>
  <c r="Q20" i="29"/>
  <c r="AH20" i="29"/>
  <c r="R20" i="29" s="1"/>
  <c r="G14" i="3"/>
  <c r="B430" i="7"/>
  <c r="L430" i="7" s="1"/>
  <c r="AR13" i="4"/>
  <c r="C430" i="7"/>
  <c r="H14" i="3"/>
  <c r="B654" i="7"/>
  <c r="L654" i="7" s="1"/>
  <c r="AT13" i="4"/>
  <c r="M14" i="3"/>
  <c r="C654" i="7"/>
  <c r="N14" i="3"/>
  <c r="J17" i="7"/>
  <c r="H17" i="7"/>
  <c r="D17" i="7"/>
  <c r="L17" i="7"/>
  <c r="G17" i="7"/>
  <c r="E17" i="7"/>
  <c r="I17" i="7"/>
  <c r="V21" i="29"/>
  <c r="K72" i="30"/>
  <c r="O72" i="30" s="1"/>
  <c r="M21" i="29"/>
  <c r="I21" i="29"/>
  <c r="Z22" i="29"/>
  <c r="T22" i="29"/>
  <c r="E20" i="29"/>
  <c r="F21" i="29"/>
  <c r="O21" i="29"/>
  <c r="E21" i="29"/>
  <c r="J21" i="29"/>
  <c r="W22" i="29"/>
  <c r="AF22" i="29"/>
  <c r="F20" i="29"/>
  <c r="AC22" i="29"/>
  <c r="G21" i="29"/>
  <c r="D21" i="29"/>
  <c r="P72" i="30"/>
  <c r="N21" i="29"/>
  <c r="L21" i="29"/>
  <c r="K21" i="29"/>
  <c r="A19" i="7" l="1"/>
  <c r="C15" i="3"/>
  <c r="A97" i="7"/>
  <c r="F15" i="3"/>
  <c r="AD22" i="29"/>
  <c r="AE22" i="29" s="1"/>
  <c r="C18" i="7"/>
  <c r="B14" i="3"/>
  <c r="P22" i="29"/>
  <c r="AG22" i="29"/>
  <c r="X22" i="29"/>
  <c r="Y22" i="29" s="1"/>
  <c r="I15" i="3"/>
  <c r="A364" i="7"/>
  <c r="A14" i="3"/>
  <c r="B18" i="7"/>
  <c r="AN13" i="4"/>
  <c r="U22" i="29"/>
  <c r="AA22" i="29"/>
  <c r="AB22" i="29" s="1"/>
  <c r="C97" i="7"/>
  <c r="E15" i="3"/>
  <c r="O15" i="3"/>
  <c r="A655" i="7"/>
  <c r="F16" i="7"/>
  <c r="AH21" i="29"/>
  <c r="R21" i="29" s="1"/>
  <c r="Q21" i="29"/>
  <c r="K14" i="3"/>
  <c r="C548" i="7"/>
  <c r="J14" i="3"/>
  <c r="B548" i="7"/>
  <c r="AV13" i="4"/>
  <c r="A549" i="7"/>
  <c r="L15" i="3"/>
  <c r="AR14" i="4"/>
  <c r="G15" i="3"/>
  <c r="B364" i="7"/>
  <c r="L364" i="7" s="1"/>
  <c r="H15" i="3"/>
  <c r="C364" i="7"/>
  <c r="AN14" i="4"/>
  <c r="A15" i="3"/>
  <c r="B19" i="7"/>
  <c r="M15" i="3"/>
  <c r="AT14" i="4"/>
  <c r="B655" i="7"/>
  <c r="L655" i="7" s="1"/>
  <c r="B15" i="3"/>
  <c r="C19" i="7"/>
  <c r="C655" i="7"/>
  <c r="N15" i="3"/>
  <c r="F17" i="7"/>
  <c r="K73" i="30"/>
  <c r="O73" i="30" s="1"/>
  <c r="M22" i="29"/>
  <c r="W23" i="29"/>
  <c r="O22" i="29"/>
  <c r="N22" i="29"/>
  <c r="AC23" i="29"/>
  <c r="I22" i="29"/>
  <c r="D22" i="29"/>
  <c r="Z23" i="29"/>
  <c r="K22" i="29"/>
  <c r="P73" i="30"/>
  <c r="AF23" i="29"/>
  <c r="G22" i="29"/>
  <c r="T23" i="29"/>
  <c r="J22" i="29"/>
  <c r="L22" i="29"/>
  <c r="I16" i="3" l="1"/>
  <c r="A402" i="7"/>
  <c r="U23" i="29"/>
  <c r="V23" i="29" s="1"/>
  <c r="F16" i="3"/>
  <c r="A98" i="7"/>
  <c r="AG23" i="29"/>
  <c r="P23" i="29"/>
  <c r="AA23" i="29"/>
  <c r="A20" i="7"/>
  <c r="C16" i="3"/>
  <c r="C98" i="7"/>
  <c r="E16" i="3"/>
  <c r="AD23" i="29"/>
  <c r="AE23" i="29" s="1"/>
  <c r="X23" i="29"/>
  <c r="Y23" i="29" s="1"/>
  <c r="O16" i="3"/>
  <c r="A656" i="7"/>
  <c r="C549" i="7"/>
  <c r="K15" i="3"/>
  <c r="AH22" i="29"/>
  <c r="R22" i="29" s="1"/>
  <c r="Q22" i="29"/>
  <c r="D18" i="7"/>
  <c r="G18" i="7"/>
  <c r="I18" i="7"/>
  <c r="H18" i="7"/>
  <c r="J18" i="7"/>
  <c r="L18" i="7"/>
  <c r="E18" i="7"/>
  <c r="A550" i="7"/>
  <c r="L16" i="3"/>
  <c r="AV14" i="4"/>
  <c r="J15" i="3"/>
  <c r="B549" i="7"/>
  <c r="V22" i="29"/>
  <c r="B402" i="7"/>
  <c r="L402" i="7" s="1"/>
  <c r="AR15" i="4"/>
  <c r="G16" i="3"/>
  <c r="AT15" i="4"/>
  <c r="B656" i="7"/>
  <c r="L656" i="7" s="1"/>
  <c r="M16" i="3"/>
  <c r="C402" i="7"/>
  <c r="H16" i="3"/>
  <c r="N16" i="3"/>
  <c r="C656" i="7"/>
  <c r="AB23" i="29"/>
  <c r="J19" i="7"/>
  <c r="I19" i="7"/>
  <c r="E19" i="7"/>
  <c r="L19" i="7"/>
  <c r="G19" i="7"/>
  <c r="H19" i="7"/>
  <c r="D19" i="7"/>
  <c r="K74" i="30"/>
  <c r="O74" i="30" s="1"/>
  <c r="T24" i="29"/>
  <c r="J23" i="29"/>
  <c r="G23" i="29"/>
  <c r="AF24" i="29"/>
  <c r="I23" i="29"/>
  <c r="F22" i="29"/>
  <c r="F23" i="29"/>
  <c r="N23" i="29"/>
  <c r="E23" i="29"/>
  <c r="D23" i="29"/>
  <c r="M23" i="29"/>
  <c r="W24" i="29"/>
  <c r="E22" i="29"/>
  <c r="K23" i="29"/>
  <c r="O23" i="29"/>
  <c r="Z24" i="29"/>
  <c r="AC24" i="29"/>
  <c r="P74" i="30"/>
  <c r="L23" i="29"/>
  <c r="F19" i="7" l="1"/>
  <c r="AD24" i="29"/>
  <c r="AE24" i="29" s="1"/>
  <c r="AA24" i="29"/>
  <c r="A16" i="3"/>
  <c r="AN15" i="4"/>
  <c r="B20" i="7"/>
  <c r="X24" i="29"/>
  <c r="Y24" i="29" s="1"/>
  <c r="O17" i="3"/>
  <c r="A657" i="7"/>
  <c r="A21" i="7"/>
  <c r="C17" i="3"/>
  <c r="B16" i="3"/>
  <c r="C20" i="7"/>
  <c r="C99" i="7"/>
  <c r="E17" i="3"/>
  <c r="AG24" i="29"/>
  <c r="P24" i="29"/>
  <c r="A99" i="7"/>
  <c r="F17" i="3"/>
  <c r="I17" i="3"/>
  <c r="A356" i="7"/>
  <c r="U24" i="29"/>
  <c r="K16" i="3"/>
  <c r="C550" i="7"/>
  <c r="Q23" i="29"/>
  <c r="AH23" i="29"/>
  <c r="R23" i="29" s="1"/>
  <c r="F18" i="7"/>
  <c r="J16" i="3"/>
  <c r="B550" i="7"/>
  <c r="AV15" i="4"/>
  <c r="A551" i="7"/>
  <c r="L17" i="3"/>
  <c r="C356" i="7"/>
  <c r="H17" i="3"/>
  <c r="C657" i="7"/>
  <c r="N17" i="3"/>
  <c r="AT16" i="4"/>
  <c r="B657" i="7"/>
  <c r="L657" i="7" s="1"/>
  <c r="M17" i="3"/>
  <c r="A17" i="3"/>
  <c r="AN16" i="4"/>
  <c r="B21" i="7"/>
  <c r="C21" i="7"/>
  <c r="B17" i="3"/>
  <c r="B356" i="7"/>
  <c r="L356" i="7" s="1"/>
  <c r="G17" i="3"/>
  <c r="AR16" i="4"/>
  <c r="K75" i="30"/>
  <c r="O75" i="30" s="1"/>
  <c r="J24" i="29"/>
  <c r="D24" i="29"/>
  <c r="P75" i="30"/>
  <c r="O24" i="29"/>
  <c r="AC25" i="29"/>
  <c r="Z25" i="29"/>
  <c r="W25" i="29"/>
  <c r="AF25" i="29"/>
  <c r="N24" i="29"/>
  <c r="M24" i="29"/>
  <c r="I24" i="29"/>
  <c r="G24" i="29"/>
  <c r="T25" i="29"/>
  <c r="U25" i="29" l="1"/>
  <c r="A100" i="7"/>
  <c r="F18" i="3"/>
  <c r="C100" i="7"/>
  <c r="E18" i="3"/>
  <c r="O18" i="3"/>
  <c r="A658" i="7"/>
  <c r="P25" i="29"/>
  <c r="AG25" i="29"/>
  <c r="X25" i="29"/>
  <c r="Y25" i="29" s="1"/>
  <c r="AA25" i="29"/>
  <c r="AD25" i="29"/>
  <c r="AE25" i="29" s="1"/>
  <c r="C18" i="3"/>
  <c r="A22" i="7"/>
  <c r="A329" i="7"/>
  <c r="I18" i="3"/>
  <c r="AB24" i="29"/>
  <c r="L18" i="3"/>
  <c r="A552" i="7"/>
  <c r="K17" i="3"/>
  <c r="C551" i="7"/>
  <c r="V24" i="29"/>
  <c r="J17" i="3"/>
  <c r="AV16" i="4"/>
  <c r="B551" i="7"/>
  <c r="Q24" i="29"/>
  <c r="AH24" i="29"/>
  <c r="R24" i="29" s="1"/>
  <c r="I20" i="7"/>
  <c r="E20" i="7"/>
  <c r="H20" i="7"/>
  <c r="D20" i="7"/>
  <c r="L20" i="7"/>
  <c r="G20" i="7"/>
  <c r="J20" i="7"/>
  <c r="M18" i="3"/>
  <c r="AT17" i="4"/>
  <c r="B658" i="7"/>
  <c r="L658" i="7" s="1"/>
  <c r="N18" i="3"/>
  <c r="C658" i="7"/>
  <c r="AB25" i="29"/>
  <c r="V25" i="29"/>
  <c r="I21" i="7"/>
  <c r="D21" i="7"/>
  <c r="H21" i="7"/>
  <c r="L21" i="7"/>
  <c r="G21" i="7"/>
  <c r="J21" i="7"/>
  <c r="E21" i="7"/>
  <c r="K76" i="30"/>
  <c r="O76" i="30" s="1"/>
  <c r="T26" i="29"/>
  <c r="W26" i="29"/>
  <c r="M25" i="29"/>
  <c r="F24" i="29"/>
  <c r="F25" i="29"/>
  <c r="N25" i="29"/>
  <c r="D25" i="29"/>
  <c r="I25" i="29"/>
  <c r="J25" i="29"/>
  <c r="K24" i="29"/>
  <c r="G25" i="29"/>
  <c r="L24" i="29"/>
  <c r="E25" i="29"/>
  <c r="K25" i="29"/>
  <c r="AF26" i="29"/>
  <c r="Z26" i="29"/>
  <c r="AC26" i="29"/>
  <c r="E24" i="29"/>
  <c r="O25" i="29"/>
  <c r="L25" i="29"/>
  <c r="P76" i="30"/>
  <c r="F20" i="7" l="1"/>
  <c r="A18" i="3"/>
  <c r="AN17" i="4"/>
  <c r="B22" i="7"/>
  <c r="AD26" i="29"/>
  <c r="AA26" i="29"/>
  <c r="AG26" i="29"/>
  <c r="P26" i="29"/>
  <c r="H18" i="3"/>
  <c r="C329" i="7"/>
  <c r="A101" i="7"/>
  <c r="F19" i="3"/>
  <c r="AR17" i="4"/>
  <c r="G18" i="3"/>
  <c r="B329" i="7"/>
  <c r="L329" i="7" s="1"/>
  <c r="I19" i="3"/>
  <c r="A353" i="7"/>
  <c r="C101" i="7"/>
  <c r="E19" i="3"/>
  <c r="A23" i="7"/>
  <c r="C19" i="3"/>
  <c r="B18" i="3"/>
  <c r="C22" i="7"/>
  <c r="O19" i="3"/>
  <c r="A659" i="7"/>
  <c r="X26" i="29"/>
  <c r="Y26" i="29" s="1"/>
  <c r="U26" i="29"/>
  <c r="AH25" i="29"/>
  <c r="R25" i="29" s="1"/>
  <c r="Q25" i="29"/>
  <c r="C552" i="7"/>
  <c r="K18" i="3"/>
  <c r="L19" i="3"/>
  <c r="A553" i="7"/>
  <c r="B552" i="7"/>
  <c r="AV17" i="4"/>
  <c r="J18" i="3"/>
  <c r="G19" i="3"/>
  <c r="B353" i="7"/>
  <c r="L353" i="7" s="1"/>
  <c r="AR18" i="4"/>
  <c r="H19" i="3"/>
  <c r="C353" i="7"/>
  <c r="C659" i="7"/>
  <c r="N19" i="3"/>
  <c r="AN18" i="4"/>
  <c r="B23" i="7"/>
  <c r="A19" i="3"/>
  <c r="AT18" i="4"/>
  <c r="M19" i="3"/>
  <c r="B659" i="7"/>
  <c r="L659" i="7" s="1"/>
  <c r="B19" i="3"/>
  <c r="C23" i="7"/>
  <c r="F21" i="7"/>
  <c r="AE26" i="29"/>
  <c r="AB26" i="29"/>
  <c r="K77" i="30"/>
  <c r="O77" i="30" s="1"/>
  <c r="M26" i="29"/>
  <c r="J26" i="29"/>
  <c r="D26" i="29"/>
  <c r="AC27" i="29"/>
  <c r="I26" i="29"/>
  <c r="G26" i="29"/>
  <c r="T27" i="29"/>
  <c r="Z27" i="29"/>
  <c r="AF27" i="29"/>
  <c r="W27" i="29"/>
  <c r="O26" i="29"/>
  <c r="K26" i="29"/>
  <c r="P77" i="30"/>
  <c r="N26" i="29"/>
  <c r="L26" i="29"/>
  <c r="X27" i="29" l="1"/>
  <c r="Y27" i="29" s="1"/>
  <c r="P27" i="29"/>
  <c r="A555" i="7" s="1"/>
  <c r="AG27" i="29"/>
  <c r="AA27" i="29"/>
  <c r="AB27" i="29" s="1"/>
  <c r="U27" i="29"/>
  <c r="V27" i="29" s="1"/>
  <c r="A102" i="7"/>
  <c r="F20" i="3"/>
  <c r="E20" i="3"/>
  <c r="C102" i="7"/>
  <c r="AD27" i="29"/>
  <c r="C20" i="3"/>
  <c r="A24" i="7"/>
  <c r="I20" i="3"/>
  <c r="A362" i="7"/>
  <c r="A660" i="7"/>
  <c r="O20" i="3"/>
  <c r="C553" i="7"/>
  <c r="K19" i="3"/>
  <c r="A554" i="7"/>
  <c r="L20" i="3"/>
  <c r="D22" i="7"/>
  <c r="E22" i="7"/>
  <c r="G22" i="7"/>
  <c r="J22" i="7"/>
  <c r="H22" i="7"/>
  <c r="I22" i="7"/>
  <c r="L22" i="7"/>
  <c r="V26" i="29"/>
  <c r="Q26" i="29"/>
  <c r="AH26" i="29"/>
  <c r="R26" i="29" s="1"/>
  <c r="AV18" i="4"/>
  <c r="B553" i="7"/>
  <c r="J19" i="3"/>
  <c r="AR19" i="4"/>
  <c r="B362" i="7"/>
  <c r="L362" i="7" s="1"/>
  <c r="G20" i="3"/>
  <c r="H20" i="3"/>
  <c r="C362" i="7"/>
  <c r="AT19" i="4"/>
  <c r="M20" i="3"/>
  <c r="B660" i="7"/>
  <c r="L660" i="7" s="1"/>
  <c r="C660" i="7"/>
  <c r="N20" i="3"/>
  <c r="J23" i="7"/>
  <c r="L23" i="7"/>
  <c r="E23" i="7"/>
  <c r="I23" i="7"/>
  <c r="D23" i="7"/>
  <c r="G23" i="7"/>
  <c r="H23" i="7"/>
  <c r="L21" i="3"/>
  <c r="K78" i="30"/>
  <c r="O78" i="30" s="1"/>
  <c r="I27" i="29"/>
  <c r="AF28" i="29"/>
  <c r="Z28" i="29"/>
  <c r="F26" i="29"/>
  <c r="H9" i="29"/>
  <c r="W28" i="29"/>
  <c r="M27" i="29"/>
  <c r="E26" i="29"/>
  <c r="P78" i="30"/>
  <c r="E27" i="29"/>
  <c r="F27" i="29"/>
  <c r="G27" i="29"/>
  <c r="D27" i="29"/>
  <c r="AC28" i="29"/>
  <c r="J27" i="29"/>
  <c r="T28" i="29"/>
  <c r="L27" i="29"/>
  <c r="K27" i="29"/>
  <c r="F23" i="7" l="1"/>
  <c r="U28" i="29"/>
  <c r="V28" i="29" s="1"/>
  <c r="I21" i="3"/>
  <c r="A358" i="7"/>
  <c r="AD28" i="29"/>
  <c r="AE28" i="29" s="1"/>
  <c r="C21" i="3"/>
  <c r="A25" i="7"/>
  <c r="F21" i="3"/>
  <c r="A103" i="7"/>
  <c r="AN19" i="4"/>
  <c r="A20" i="3"/>
  <c r="B24" i="7"/>
  <c r="A661" i="7"/>
  <c r="O21" i="3"/>
  <c r="X28" i="29"/>
  <c r="Y28" i="29" s="1"/>
  <c r="B20" i="3"/>
  <c r="C24" i="7"/>
  <c r="AA28" i="29"/>
  <c r="AB28" i="29" s="1"/>
  <c r="P28" i="29"/>
  <c r="AG28" i="29"/>
  <c r="E21" i="3"/>
  <c r="C103" i="7"/>
  <c r="K20" i="3"/>
  <c r="C554" i="7"/>
  <c r="J20" i="3"/>
  <c r="AV19" i="4"/>
  <c r="B554" i="7"/>
  <c r="F22" i="7"/>
  <c r="Q27" i="29"/>
  <c r="AH27" i="29"/>
  <c r="R27" i="29" s="1"/>
  <c r="AE27" i="29"/>
  <c r="C25" i="7"/>
  <c r="B21" i="3"/>
  <c r="AR20" i="4"/>
  <c r="G21" i="3"/>
  <c r="B358" i="7"/>
  <c r="L358" i="7" s="1"/>
  <c r="C358" i="7"/>
  <c r="H21" i="3"/>
  <c r="B25" i="7"/>
  <c r="A21" i="3"/>
  <c r="AN20" i="4"/>
  <c r="B85" i="7"/>
  <c r="L85" i="7" s="1"/>
  <c r="AP2" i="4"/>
  <c r="D3" i="3"/>
  <c r="K79" i="30"/>
  <c r="O79" i="30" s="1"/>
  <c r="D28" i="29"/>
  <c r="Z29" i="29"/>
  <c r="H10" i="29"/>
  <c r="T29" i="29"/>
  <c r="M28" i="29"/>
  <c r="I28" i="29"/>
  <c r="P79" i="30"/>
  <c r="L28" i="29"/>
  <c r="AC29" i="29"/>
  <c r="G28" i="29"/>
  <c r="O27" i="29"/>
  <c r="E28" i="29"/>
  <c r="N28" i="29"/>
  <c r="K28" i="29"/>
  <c r="F28" i="29"/>
  <c r="W29" i="29"/>
  <c r="J28" i="29"/>
  <c r="AF29" i="29"/>
  <c r="N27" i="29"/>
  <c r="O28" i="29"/>
  <c r="AT20" i="4" l="1"/>
  <c r="M21" i="3"/>
  <c r="B661" i="7"/>
  <c r="L661" i="7" s="1"/>
  <c r="AG29" i="29"/>
  <c r="P29" i="29"/>
  <c r="I22" i="3"/>
  <c r="A459" i="7"/>
  <c r="X29" i="29"/>
  <c r="Y29" i="29" s="1"/>
  <c r="N21" i="3"/>
  <c r="C661" i="7"/>
  <c r="F22" i="3"/>
  <c r="A104" i="7"/>
  <c r="AD29" i="29"/>
  <c r="AE29" i="29" s="1"/>
  <c r="E22" i="3"/>
  <c r="C104" i="7"/>
  <c r="A662" i="7"/>
  <c r="O22" i="3"/>
  <c r="U29" i="29"/>
  <c r="AA29" i="29"/>
  <c r="C22" i="3"/>
  <c r="A26" i="7"/>
  <c r="AH28" i="29"/>
  <c r="R28" i="29" s="1"/>
  <c r="Q28" i="29"/>
  <c r="D24" i="7"/>
  <c r="E24" i="7"/>
  <c r="H24" i="7"/>
  <c r="J24" i="7"/>
  <c r="L24" i="7"/>
  <c r="I24" i="7"/>
  <c r="G24" i="7"/>
  <c r="K21" i="3"/>
  <c r="C555" i="7"/>
  <c r="A556" i="7"/>
  <c r="L22" i="3"/>
  <c r="B555" i="7"/>
  <c r="J21" i="3"/>
  <c r="AV20" i="4"/>
  <c r="N22" i="3"/>
  <c r="C662" i="7"/>
  <c r="B22" i="3"/>
  <c r="C26" i="7"/>
  <c r="B459" i="7"/>
  <c r="L459" i="7" s="1"/>
  <c r="G22" i="3"/>
  <c r="AR21" i="4"/>
  <c r="H22" i="3"/>
  <c r="C459" i="7"/>
  <c r="M22" i="3"/>
  <c r="B662" i="7"/>
  <c r="L662" i="7" s="1"/>
  <c r="AT21" i="4"/>
  <c r="B26" i="7"/>
  <c r="AN21" i="4"/>
  <c r="A22" i="3"/>
  <c r="H25" i="7"/>
  <c r="E25" i="7"/>
  <c r="D25" i="7"/>
  <c r="I25" i="7"/>
  <c r="G25" i="7"/>
  <c r="J25" i="7"/>
  <c r="L25" i="7"/>
  <c r="AB29" i="29"/>
  <c r="D4" i="3"/>
  <c r="AP3" i="4"/>
  <c r="B86" i="7"/>
  <c r="L86" i="7" s="1"/>
  <c r="K85" i="7"/>
  <c r="I85" i="7"/>
  <c r="E85" i="7"/>
  <c r="D85" i="7"/>
  <c r="H85" i="7"/>
  <c r="J85" i="7"/>
  <c r="G85" i="7"/>
  <c r="K80" i="30"/>
  <c r="O80" i="30" s="1"/>
  <c r="AF30" i="29"/>
  <c r="G29" i="29"/>
  <c r="M29" i="29"/>
  <c r="D29" i="29"/>
  <c r="P80" i="30"/>
  <c r="I29" i="29"/>
  <c r="AC30" i="29"/>
  <c r="N29" i="29"/>
  <c r="L29" i="29"/>
  <c r="K29" i="29"/>
  <c r="H11" i="29"/>
  <c r="O29" i="29"/>
  <c r="W30" i="29"/>
  <c r="J29" i="29"/>
  <c r="T30" i="29"/>
  <c r="Z30" i="29"/>
  <c r="AA30" i="29" l="1"/>
  <c r="AB30" i="29" s="1"/>
  <c r="U30" i="29"/>
  <c r="A317" i="7"/>
  <c r="I23" i="3"/>
  <c r="X30" i="29"/>
  <c r="Y30" i="29" s="1"/>
  <c r="AD30" i="29"/>
  <c r="E23" i="3"/>
  <c r="C105" i="7"/>
  <c r="C23" i="3"/>
  <c r="A27" i="7"/>
  <c r="A663" i="7"/>
  <c r="O23" i="3"/>
  <c r="A105" i="7"/>
  <c r="F23" i="3"/>
  <c r="P30" i="29"/>
  <c r="AG30" i="29"/>
  <c r="AV21" i="4"/>
  <c r="J22" i="3"/>
  <c r="B556" i="7"/>
  <c r="AH29" i="29"/>
  <c r="R29" i="29" s="1"/>
  <c r="Q29" i="29"/>
  <c r="K22" i="3"/>
  <c r="C556" i="7"/>
  <c r="V29" i="29"/>
  <c r="L23" i="3"/>
  <c r="A557" i="7"/>
  <c r="F24" i="7"/>
  <c r="F25" i="7"/>
  <c r="C317" i="7"/>
  <c r="H23" i="3"/>
  <c r="M23" i="3"/>
  <c r="B663" i="7"/>
  <c r="L663" i="7" s="1"/>
  <c r="AT22" i="4"/>
  <c r="C663" i="7"/>
  <c r="N23" i="3"/>
  <c r="AR22" i="4"/>
  <c r="G23" i="3"/>
  <c r="B317" i="7"/>
  <c r="L317" i="7" s="1"/>
  <c r="H26" i="7"/>
  <c r="E26" i="7"/>
  <c r="G26" i="7"/>
  <c r="J26" i="7"/>
  <c r="D26" i="7"/>
  <c r="I26" i="7"/>
  <c r="L26" i="7"/>
  <c r="AE30" i="29"/>
  <c r="F85" i="7"/>
  <c r="B87" i="7"/>
  <c r="L87" i="7" s="1"/>
  <c r="AP4" i="4"/>
  <c r="D5" i="3"/>
  <c r="J86" i="7"/>
  <c r="E86" i="7"/>
  <c r="G86" i="7"/>
  <c r="I86" i="7"/>
  <c r="H86" i="7"/>
  <c r="K86" i="7"/>
  <c r="D86" i="7"/>
  <c r="K81" i="30"/>
  <c r="O81" i="30" s="1"/>
  <c r="Z31" i="29"/>
  <c r="T31" i="29"/>
  <c r="I30" i="29"/>
  <c r="M30" i="29"/>
  <c r="E29" i="29"/>
  <c r="L30" i="29"/>
  <c r="N30" i="29"/>
  <c r="J30" i="29"/>
  <c r="G30" i="29"/>
  <c r="F29" i="29"/>
  <c r="H12" i="29"/>
  <c r="P81" i="30"/>
  <c r="K30" i="29"/>
  <c r="O30" i="29"/>
  <c r="W31" i="29"/>
  <c r="D30" i="29"/>
  <c r="AC31" i="29"/>
  <c r="AF31" i="29"/>
  <c r="P31" i="29" l="1"/>
  <c r="AG31" i="29"/>
  <c r="AD31" i="29"/>
  <c r="A28" i="7"/>
  <c r="C24" i="3"/>
  <c r="X31" i="29"/>
  <c r="Y31" i="29" s="1"/>
  <c r="B23" i="3"/>
  <c r="C27" i="7"/>
  <c r="F24" i="3"/>
  <c r="A106" i="7"/>
  <c r="I24" i="3"/>
  <c r="A331" i="7"/>
  <c r="B27" i="7"/>
  <c r="A23" i="3"/>
  <c r="AN22" i="4"/>
  <c r="O24" i="3"/>
  <c r="A664" i="7"/>
  <c r="E24" i="3"/>
  <c r="C106" i="7"/>
  <c r="U31" i="29"/>
  <c r="AA31" i="29"/>
  <c r="L24" i="3"/>
  <c r="A558" i="7"/>
  <c r="B557" i="7"/>
  <c r="AV22" i="4"/>
  <c r="J23" i="3"/>
  <c r="V30" i="29"/>
  <c r="C557" i="7"/>
  <c r="K23" i="3"/>
  <c r="AH30" i="29"/>
  <c r="R30" i="29" s="1"/>
  <c r="Q30" i="29"/>
  <c r="B664" i="7"/>
  <c r="L664" i="7" s="1"/>
  <c r="AT23" i="4"/>
  <c r="M24" i="3"/>
  <c r="C664" i="7"/>
  <c r="N24" i="3"/>
  <c r="C331" i="7"/>
  <c r="H24" i="3"/>
  <c r="G24" i="3"/>
  <c r="B331" i="7"/>
  <c r="L331" i="7" s="1"/>
  <c r="AR23" i="4"/>
  <c r="F26" i="7"/>
  <c r="AE31" i="29"/>
  <c r="F86" i="7"/>
  <c r="D6" i="3"/>
  <c r="B88" i="7"/>
  <c r="L88" i="7" s="1"/>
  <c r="AP5" i="4"/>
  <c r="K82" i="30"/>
  <c r="O82" i="30" s="1"/>
  <c r="AF32" i="29"/>
  <c r="AC32" i="29"/>
  <c r="I31" i="29"/>
  <c r="T32" i="29"/>
  <c r="Z32" i="29"/>
  <c r="F30" i="29"/>
  <c r="P82" i="30"/>
  <c r="G31" i="29"/>
  <c r="J31" i="29"/>
  <c r="W32" i="29"/>
  <c r="D31" i="29"/>
  <c r="N31" i="29"/>
  <c r="O31" i="29"/>
  <c r="H13" i="29"/>
  <c r="M31" i="29"/>
  <c r="E30" i="29"/>
  <c r="AN23" i="4" l="1"/>
  <c r="B28" i="7"/>
  <c r="A24" i="3"/>
  <c r="O25" i="3"/>
  <c r="A665" i="7"/>
  <c r="A29" i="7"/>
  <c r="C25" i="3"/>
  <c r="X32" i="29"/>
  <c r="Y32" i="29" s="1"/>
  <c r="I25" i="3"/>
  <c r="A340" i="7"/>
  <c r="A107" i="7"/>
  <c r="F25" i="3"/>
  <c r="C28" i="7"/>
  <c r="B24" i="3"/>
  <c r="AA32" i="29"/>
  <c r="AB32" i="29" s="1"/>
  <c r="U32" i="29"/>
  <c r="V32" i="29" s="1"/>
  <c r="E25" i="3"/>
  <c r="C107" i="7"/>
  <c r="AD32" i="29"/>
  <c r="AE32" i="29" s="1"/>
  <c r="P32" i="29"/>
  <c r="AG32" i="29"/>
  <c r="K24" i="3"/>
  <c r="C558" i="7"/>
  <c r="AB31" i="29"/>
  <c r="AH31" i="29"/>
  <c r="R31" i="29" s="1"/>
  <c r="Q31" i="29"/>
  <c r="V31" i="29"/>
  <c r="H27" i="7"/>
  <c r="I27" i="7"/>
  <c r="G27" i="7"/>
  <c r="E27" i="7"/>
  <c r="L27" i="7"/>
  <c r="J27" i="7"/>
  <c r="D27" i="7"/>
  <c r="L25" i="3"/>
  <c r="A559" i="7"/>
  <c r="AV23" i="4"/>
  <c r="B558" i="7"/>
  <c r="J24" i="3"/>
  <c r="B665" i="7"/>
  <c r="L665" i="7" s="1"/>
  <c r="AT24" i="4"/>
  <c r="M25" i="3"/>
  <c r="C665" i="7"/>
  <c r="N25" i="3"/>
  <c r="B89" i="7"/>
  <c r="L89" i="7" s="1"/>
  <c r="D7" i="3"/>
  <c r="AP6" i="4"/>
  <c r="H88" i="7"/>
  <c r="I88" i="7"/>
  <c r="J88" i="7"/>
  <c r="E88" i="7"/>
  <c r="G88" i="7"/>
  <c r="K88" i="7"/>
  <c r="D88" i="7"/>
  <c r="K83" i="30"/>
  <c r="O83" i="30" s="1"/>
  <c r="G32" i="29"/>
  <c r="D32" i="29"/>
  <c r="AF33" i="29"/>
  <c r="K31" i="29"/>
  <c r="E31" i="29"/>
  <c r="H14" i="29"/>
  <c r="E32" i="29"/>
  <c r="L32" i="29"/>
  <c r="K32" i="29"/>
  <c r="W33" i="29"/>
  <c r="Z33" i="29"/>
  <c r="T33" i="29"/>
  <c r="AC33" i="29"/>
  <c r="L31" i="29"/>
  <c r="F31" i="29"/>
  <c r="P83" i="30"/>
  <c r="F32" i="29"/>
  <c r="O32" i="29"/>
  <c r="N32" i="29"/>
  <c r="J32" i="29"/>
  <c r="M32" i="29"/>
  <c r="I32" i="29"/>
  <c r="F27" i="7" l="1"/>
  <c r="E26" i="3"/>
  <c r="C108" i="7"/>
  <c r="O26" i="3"/>
  <c r="A666" i="7"/>
  <c r="A404" i="7"/>
  <c r="I26" i="3"/>
  <c r="C29" i="7"/>
  <c r="B25" i="3"/>
  <c r="H25" i="3"/>
  <c r="C340" i="7"/>
  <c r="AD33" i="29"/>
  <c r="AE33" i="29" s="1"/>
  <c r="U33" i="29"/>
  <c r="V33" i="29" s="1"/>
  <c r="AA33" i="29"/>
  <c r="AB33" i="29" s="1"/>
  <c r="X33" i="29"/>
  <c r="Y33" i="29" s="1"/>
  <c r="AN24" i="4"/>
  <c r="B29" i="7"/>
  <c r="A25" i="3"/>
  <c r="B340" i="7"/>
  <c r="L340" i="7" s="1"/>
  <c r="G25" i="3"/>
  <c r="AR24" i="4"/>
  <c r="AG33" i="29"/>
  <c r="P33" i="29"/>
  <c r="A561" i="7" s="1"/>
  <c r="C26" i="3"/>
  <c r="A30" i="7"/>
  <c r="F26" i="3"/>
  <c r="A108" i="7"/>
  <c r="B559" i="7"/>
  <c r="AV24" i="4"/>
  <c r="J25" i="3"/>
  <c r="A560" i="7"/>
  <c r="L26" i="3"/>
  <c r="K25" i="3"/>
  <c r="C559" i="7"/>
  <c r="AH32" i="29"/>
  <c r="R32" i="29" s="1"/>
  <c r="Q32" i="29"/>
  <c r="E28" i="7"/>
  <c r="D28" i="7"/>
  <c r="H28" i="7"/>
  <c r="J28" i="7"/>
  <c r="L28" i="7"/>
  <c r="I28" i="7"/>
  <c r="G28" i="7"/>
  <c r="M26" i="3"/>
  <c r="B666" i="7"/>
  <c r="L666" i="7" s="1"/>
  <c r="AT25" i="4"/>
  <c r="G26" i="3"/>
  <c r="B404" i="7"/>
  <c r="L404" i="7" s="1"/>
  <c r="AR25" i="4"/>
  <c r="N26" i="3"/>
  <c r="C666" i="7"/>
  <c r="C404" i="7"/>
  <c r="H26" i="3"/>
  <c r="B26" i="3"/>
  <c r="C30" i="7"/>
  <c r="B30" i="7"/>
  <c r="AN25" i="4"/>
  <c r="A26" i="3"/>
  <c r="L27" i="3"/>
  <c r="F88" i="7"/>
  <c r="B90" i="7"/>
  <c r="L90" i="7" s="1"/>
  <c r="AP7" i="4"/>
  <c r="D8" i="3"/>
  <c r="E89" i="7"/>
  <c r="I89" i="7"/>
  <c r="G89" i="7"/>
  <c r="J89" i="7"/>
  <c r="H89" i="7"/>
  <c r="D89" i="7"/>
  <c r="K89" i="7"/>
  <c r="K84" i="30"/>
  <c r="O84" i="30" s="1"/>
  <c r="Z34" i="29"/>
  <c r="W34" i="29"/>
  <c r="N33" i="29"/>
  <c r="L33" i="29"/>
  <c r="J33" i="29"/>
  <c r="I33" i="29"/>
  <c r="AF34" i="29"/>
  <c r="AC34" i="29"/>
  <c r="T34" i="29"/>
  <c r="M33" i="29"/>
  <c r="D33" i="29"/>
  <c r="G33" i="29"/>
  <c r="K33" i="29"/>
  <c r="O33" i="29"/>
  <c r="E33" i="29"/>
  <c r="P84" i="30"/>
  <c r="F33" i="29"/>
  <c r="H15" i="29"/>
  <c r="F28" i="7" l="1"/>
  <c r="F27" i="3"/>
  <c r="A109" i="7"/>
  <c r="A31" i="7"/>
  <c r="C27" i="3"/>
  <c r="O27" i="3"/>
  <c r="A667" i="7"/>
  <c r="U34" i="29"/>
  <c r="AD34" i="29"/>
  <c r="AE34" i="29" s="1"/>
  <c r="P34" i="29"/>
  <c r="AG34" i="29"/>
  <c r="Q34" i="29" s="1"/>
  <c r="C109" i="7"/>
  <c r="E27" i="3"/>
  <c r="A361" i="7"/>
  <c r="I27" i="3"/>
  <c r="X34" i="29"/>
  <c r="Y34" i="29" s="1"/>
  <c r="AA34" i="29"/>
  <c r="AB34" i="29" s="1"/>
  <c r="B560" i="7"/>
  <c r="J26" i="3"/>
  <c r="AV25" i="4"/>
  <c r="L29" i="7"/>
  <c r="I29" i="7"/>
  <c r="D29" i="7"/>
  <c r="E29" i="7"/>
  <c r="H29" i="7"/>
  <c r="G29" i="7"/>
  <c r="J29" i="7"/>
  <c r="C560" i="7"/>
  <c r="K26" i="3"/>
  <c r="AH33" i="29"/>
  <c r="R33" i="29" s="1"/>
  <c r="Q33" i="29"/>
  <c r="G27" i="3"/>
  <c r="B361" i="7"/>
  <c r="L361" i="7" s="1"/>
  <c r="AR26" i="4"/>
  <c r="H27" i="3"/>
  <c r="C361" i="7"/>
  <c r="B31" i="7"/>
  <c r="AN26" i="4"/>
  <c r="A27" i="3"/>
  <c r="AT26" i="4"/>
  <c r="M27" i="3"/>
  <c r="B667" i="7"/>
  <c r="L667" i="7" s="1"/>
  <c r="C31" i="7"/>
  <c r="B27" i="3"/>
  <c r="N27" i="3"/>
  <c r="C667" i="7"/>
  <c r="J28" i="3"/>
  <c r="H30" i="7"/>
  <c r="G30" i="7"/>
  <c r="J30" i="7"/>
  <c r="I30" i="7"/>
  <c r="E30" i="7"/>
  <c r="D30" i="7"/>
  <c r="L30" i="7"/>
  <c r="F89" i="7"/>
  <c r="B91" i="7"/>
  <c r="L91" i="7" s="1"/>
  <c r="AP8" i="4"/>
  <c r="D9" i="3"/>
  <c r="K85" i="30"/>
  <c r="O85" i="30" s="1"/>
  <c r="T35" i="29"/>
  <c r="I34" i="29"/>
  <c r="J34" i="29"/>
  <c r="N34" i="29"/>
  <c r="W35" i="29"/>
  <c r="D34" i="29"/>
  <c r="AC35" i="29"/>
  <c r="AF35" i="29"/>
  <c r="M34" i="29"/>
  <c r="G34" i="29"/>
  <c r="Z35" i="29"/>
  <c r="P85" i="30"/>
  <c r="H16" i="29"/>
  <c r="K34" i="29"/>
  <c r="L34" i="29"/>
  <c r="O34" i="29"/>
  <c r="AH34" i="29" l="1"/>
  <c r="R34" i="29" s="1"/>
  <c r="K28" i="3" s="1"/>
  <c r="AA35" i="29"/>
  <c r="AB35" i="29" s="1"/>
  <c r="A110" i="7"/>
  <c r="F28" i="3"/>
  <c r="A668" i="7"/>
  <c r="O28" i="3"/>
  <c r="AG35" i="29"/>
  <c r="AH35" i="29" s="1"/>
  <c r="R35" i="29" s="1"/>
  <c r="P35" i="29"/>
  <c r="AD35" i="29"/>
  <c r="AE35" i="29" s="1"/>
  <c r="C28" i="3"/>
  <c r="A32" i="7"/>
  <c r="X35" i="29"/>
  <c r="Y35" i="29" s="1"/>
  <c r="A428" i="7"/>
  <c r="I28" i="3"/>
  <c r="C110" i="7"/>
  <c r="E28" i="3"/>
  <c r="U35" i="29"/>
  <c r="K27" i="3"/>
  <c r="C561" i="7"/>
  <c r="V34" i="29"/>
  <c r="AV26" i="4"/>
  <c r="J27" i="3"/>
  <c r="B561" i="7"/>
  <c r="F29" i="7"/>
  <c r="AV27" i="4"/>
  <c r="B562" i="7"/>
  <c r="L28" i="3"/>
  <c r="A562" i="7"/>
  <c r="C668" i="7"/>
  <c r="N28" i="3"/>
  <c r="G28" i="3"/>
  <c r="AR27" i="4"/>
  <c r="B428" i="7"/>
  <c r="L428" i="7" s="1"/>
  <c r="H28" i="3"/>
  <c r="C428" i="7"/>
  <c r="AT27" i="4"/>
  <c r="B668" i="7"/>
  <c r="L668" i="7" s="1"/>
  <c r="M28" i="3"/>
  <c r="C562" i="7"/>
  <c r="F30" i="7"/>
  <c r="H31" i="7"/>
  <c r="G31" i="7"/>
  <c r="I31" i="7"/>
  <c r="E31" i="7"/>
  <c r="J31" i="7"/>
  <c r="L31" i="7"/>
  <c r="D31" i="7"/>
  <c r="D10" i="3"/>
  <c r="B92" i="7"/>
  <c r="L92" i="7" s="1"/>
  <c r="AP9" i="4"/>
  <c r="G91" i="7"/>
  <c r="H91" i="7"/>
  <c r="D91" i="7"/>
  <c r="J91" i="7"/>
  <c r="E91" i="7"/>
  <c r="K91" i="7"/>
  <c r="I91" i="7"/>
  <c r="K86" i="30"/>
  <c r="O86" i="30" s="1"/>
  <c r="J35" i="29"/>
  <c r="AC36" i="29"/>
  <c r="G35" i="29"/>
  <c r="T36" i="29"/>
  <c r="E34" i="29"/>
  <c r="AF36" i="29"/>
  <c r="W36" i="29"/>
  <c r="K35" i="29"/>
  <c r="H17" i="29"/>
  <c r="P86" i="30"/>
  <c r="N35" i="29"/>
  <c r="L35" i="29"/>
  <c r="O35" i="29"/>
  <c r="Z36" i="29"/>
  <c r="M35" i="29"/>
  <c r="I35" i="29"/>
  <c r="D35" i="29"/>
  <c r="F34" i="29"/>
  <c r="Q35" i="29" l="1"/>
  <c r="J29" i="3" s="1"/>
  <c r="F31" i="7"/>
  <c r="C32" i="7"/>
  <c r="B28" i="3"/>
  <c r="A33" i="7"/>
  <c r="C29" i="3"/>
  <c r="C111" i="7"/>
  <c r="E29" i="3"/>
  <c r="A669" i="7"/>
  <c r="O29" i="3"/>
  <c r="AA36" i="29"/>
  <c r="X36" i="29"/>
  <c r="Y36" i="29" s="1"/>
  <c r="P36" i="29"/>
  <c r="AG36" i="29"/>
  <c r="AN27" i="4"/>
  <c r="B32" i="7"/>
  <c r="A28" i="3"/>
  <c r="U36" i="29"/>
  <c r="A111" i="7"/>
  <c r="F29" i="3"/>
  <c r="AD36" i="29"/>
  <c r="AE36" i="29" s="1"/>
  <c r="I29" i="3"/>
  <c r="A321" i="7"/>
  <c r="V35" i="29"/>
  <c r="A563" i="7"/>
  <c r="L29" i="3"/>
  <c r="N29" i="3"/>
  <c r="C669" i="7"/>
  <c r="G29" i="3"/>
  <c r="B321" i="7"/>
  <c r="L321" i="7" s="1"/>
  <c r="AR28" i="4"/>
  <c r="H29" i="3"/>
  <c r="C321" i="7"/>
  <c r="M29" i="3"/>
  <c r="AT28" i="4"/>
  <c r="B669" i="7"/>
  <c r="L669" i="7" s="1"/>
  <c r="C563" i="7"/>
  <c r="K29" i="3"/>
  <c r="AB36" i="29"/>
  <c r="AP10" i="4"/>
  <c r="D11" i="3"/>
  <c r="B93" i="7"/>
  <c r="L93" i="7" s="1"/>
  <c r="K92" i="7"/>
  <c r="D92" i="7"/>
  <c r="H92" i="7"/>
  <c r="G92" i="7"/>
  <c r="J92" i="7"/>
  <c r="E92" i="7"/>
  <c r="I92" i="7"/>
  <c r="F91" i="7"/>
  <c r="K87" i="30"/>
  <c r="O87" i="30" s="1"/>
  <c r="W37" i="29"/>
  <c r="J36" i="29"/>
  <c r="G36" i="29"/>
  <c r="D36" i="29"/>
  <c r="AC37" i="29"/>
  <c r="H18" i="29"/>
  <c r="K36" i="29"/>
  <c r="Z37" i="29"/>
  <c r="T37" i="29"/>
  <c r="M36" i="29"/>
  <c r="F35" i="29"/>
  <c r="I36" i="29"/>
  <c r="AF37" i="29"/>
  <c r="E35" i="29"/>
  <c r="P87" i="30"/>
  <c r="O36" i="29"/>
  <c r="N36" i="29"/>
  <c r="L36" i="29"/>
  <c r="B563" i="7" l="1"/>
  <c r="AV28" i="4"/>
  <c r="B33" i="7"/>
  <c r="AN28" i="4"/>
  <c r="A29" i="3"/>
  <c r="P37" i="29"/>
  <c r="L31" i="3" s="1"/>
  <c r="AG37" i="29"/>
  <c r="C112" i="7"/>
  <c r="E30" i="3"/>
  <c r="C33" i="7"/>
  <c r="B29" i="3"/>
  <c r="A670" i="7"/>
  <c r="O30" i="3"/>
  <c r="U37" i="29"/>
  <c r="AA37" i="29"/>
  <c r="AB37" i="29" s="1"/>
  <c r="AD37" i="29"/>
  <c r="AE37" i="29" s="1"/>
  <c r="C30" i="3"/>
  <c r="A34" i="7"/>
  <c r="A112" i="7"/>
  <c r="F30" i="3"/>
  <c r="A323" i="7"/>
  <c r="I30" i="3"/>
  <c r="X37" i="29"/>
  <c r="Y37" i="29" s="1"/>
  <c r="L32" i="7"/>
  <c r="H32" i="7"/>
  <c r="D32" i="7"/>
  <c r="E32" i="7"/>
  <c r="I32" i="7"/>
  <c r="G32" i="7"/>
  <c r="J32" i="7"/>
  <c r="A564" i="7"/>
  <c r="L30" i="3"/>
  <c r="V36" i="29"/>
  <c r="AH36" i="29"/>
  <c r="R36" i="29" s="1"/>
  <c r="Q36" i="29"/>
  <c r="M30" i="3"/>
  <c r="AT29" i="4"/>
  <c r="B670" i="7"/>
  <c r="L670" i="7" s="1"/>
  <c r="N30" i="3"/>
  <c r="C670" i="7"/>
  <c r="G30" i="3"/>
  <c r="AR29" i="4"/>
  <c r="B323" i="7"/>
  <c r="L323" i="7" s="1"/>
  <c r="H30" i="3"/>
  <c r="C323" i="7"/>
  <c r="A565" i="7"/>
  <c r="AP11" i="4"/>
  <c r="B94" i="7"/>
  <c r="L94" i="7" s="1"/>
  <c r="D12" i="3"/>
  <c r="F92" i="7"/>
  <c r="E93" i="7"/>
  <c r="K93" i="7"/>
  <c r="I93" i="7"/>
  <c r="G93" i="7"/>
  <c r="D93" i="7"/>
  <c r="J93" i="7"/>
  <c r="H93" i="7"/>
  <c r="K88" i="30"/>
  <c r="O88" i="30" s="1"/>
  <c r="J37" i="29"/>
  <c r="AC38" i="29"/>
  <c r="W38" i="29"/>
  <c r="E36" i="29"/>
  <c r="O37" i="29"/>
  <c r="L37" i="29"/>
  <c r="AF38" i="29"/>
  <c r="D37" i="29"/>
  <c r="Z38" i="29"/>
  <c r="G37" i="29"/>
  <c r="T38" i="29"/>
  <c r="M37" i="29"/>
  <c r="I37" i="29"/>
  <c r="F36" i="29"/>
  <c r="K37" i="29"/>
  <c r="P88" i="30"/>
  <c r="H19" i="29"/>
  <c r="N37" i="29"/>
  <c r="C34" i="7" l="1"/>
  <c r="B30" i="3"/>
  <c r="C113" i="7"/>
  <c r="E31" i="3"/>
  <c r="A671" i="7"/>
  <c r="O31" i="3"/>
  <c r="U38" i="29"/>
  <c r="F31" i="3"/>
  <c r="A113" i="7"/>
  <c r="AA38" i="29"/>
  <c r="AB38" i="29" s="1"/>
  <c r="C31" i="3"/>
  <c r="A35" i="7"/>
  <c r="P38" i="29"/>
  <c r="AG38" i="29"/>
  <c r="A30" i="3"/>
  <c r="AN29" i="4"/>
  <c r="B34" i="7"/>
  <c r="X38" i="29"/>
  <c r="Y38" i="29" s="1"/>
  <c r="AD38" i="29"/>
  <c r="AE38" i="29" s="1"/>
  <c r="I31" i="3"/>
  <c r="A449" i="7"/>
  <c r="AV29" i="4"/>
  <c r="B564" i="7"/>
  <c r="J30" i="3"/>
  <c r="K30" i="3"/>
  <c r="C564" i="7"/>
  <c r="F32" i="7"/>
  <c r="V37" i="29"/>
  <c r="AH37" i="29"/>
  <c r="R37" i="29" s="1"/>
  <c r="Q37" i="29"/>
  <c r="L33" i="7"/>
  <c r="E33" i="7"/>
  <c r="I33" i="7"/>
  <c r="G33" i="7"/>
  <c r="J33" i="7"/>
  <c r="H33" i="7"/>
  <c r="D33" i="7"/>
  <c r="C449" i="7"/>
  <c r="H31" i="3"/>
  <c r="C671" i="7"/>
  <c r="N31" i="3"/>
  <c r="M31" i="3"/>
  <c r="B671" i="7"/>
  <c r="L671" i="7" s="1"/>
  <c r="AT30" i="4"/>
  <c r="G31" i="3"/>
  <c r="AR30" i="4"/>
  <c r="B449" i="7"/>
  <c r="L449" i="7" s="1"/>
  <c r="F93" i="7"/>
  <c r="AP12" i="4"/>
  <c r="D13" i="3"/>
  <c r="B95" i="7"/>
  <c r="L95" i="7" s="1"/>
  <c r="E94" i="7"/>
  <c r="H94" i="7"/>
  <c r="J94" i="7"/>
  <c r="I94" i="7"/>
  <c r="D94" i="7"/>
  <c r="G94" i="7"/>
  <c r="K94" i="7"/>
  <c r="K89" i="30"/>
  <c r="O89" i="30" s="1"/>
  <c r="D38" i="29"/>
  <c r="W39" i="29"/>
  <c r="E37" i="29"/>
  <c r="J38" i="29"/>
  <c r="F37" i="29"/>
  <c r="K38" i="29"/>
  <c r="P89" i="30"/>
  <c r="H20" i="29"/>
  <c r="T39" i="29"/>
  <c r="AF39" i="29"/>
  <c r="I38" i="29"/>
  <c r="M38" i="29"/>
  <c r="Z39" i="29"/>
  <c r="G38" i="29"/>
  <c r="AC39" i="29"/>
  <c r="O38" i="29"/>
  <c r="N38" i="29"/>
  <c r="L38" i="29"/>
  <c r="F33" i="7" l="1"/>
  <c r="AD39" i="29"/>
  <c r="AE39" i="29" s="1"/>
  <c r="F32" i="3"/>
  <c r="A114" i="7"/>
  <c r="AA39" i="29"/>
  <c r="AB39" i="29" s="1"/>
  <c r="A672" i="7"/>
  <c r="O32" i="3"/>
  <c r="E32" i="3"/>
  <c r="C114" i="7"/>
  <c r="AG39" i="29"/>
  <c r="P39" i="29"/>
  <c r="L33" i="3" s="1"/>
  <c r="U39" i="29"/>
  <c r="V39" i="29" s="1"/>
  <c r="C35" i="7"/>
  <c r="B31" i="3"/>
  <c r="A466" i="7"/>
  <c r="I32" i="3"/>
  <c r="B35" i="7"/>
  <c r="AN30" i="4"/>
  <c r="A31" i="3"/>
  <c r="X39" i="29"/>
  <c r="Y39" i="29" s="1"/>
  <c r="C32" i="3"/>
  <c r="A36" i="7"/>
  <c r="J31" i="3"/>
  <c r="B565" i="7"/>
  <c r="AV30" i="4"/>
  <c r="V38" i="29"/>
  <c r="C565" i="7"/>
  <c r="K31" i="3"/>
  <c r="G34" i="7"/>
  <c r="H34" i="7"/>
  <c r="L34" i="7"/>
  <c r="E34" i="7"/>
  <c r="J34" i="7"/>
  <c r="I34" i="7"/>
  <c r="D34" i="7"/>
  <c r="Q38" i="29"/>
  <c r="AH38" i="29"/>
  <c r="R38" i="29" s="1"/>
  <c r="L32" i="3"/>
  <c r="A566" i="7"/>
  <c r="H32" i="3"/>
  <c r="C466" i="7"/>
  <c r="M32" i="3"/>
  <c r="AT31" i="4"/>
  <c r="B672" i="7"/>
  <c r="L672" i="7" s="1"/>
  <c r="C672" i="7"/>
  <c r="N32" i="3"/>
  <c r="G32" i="3"/>
  <c r="B466" i="7"/>
  <c r="L466" i="7" s="1"/>
  <c r="AR31" i="4"/>
  <c r="F94" i="7"/>
  <c r="D14" i="3"/>
  <c r="B96" i="7"/>
  <c r="L96" i="7" s="1"/>
  <c r="AP13" i="4"/>
  <c r="I95" i="7"/>
  <c r="D95" i="7"/>
  <c r="G95" i="7"/>
  <c r="K95" i="7"/>
  <c r="H95" i="7"/>
  <c r="E95" i="7"/>
  <c r="J95" i="7"/>
  <c r="K90" i="30"/>
  <c r="O90" i="30" s="1"/>
  <c r="AC40" i="29"/>
  <c r="D39" i="29"/>
  <c r="L39" i="29"/>
  <c r="P90" i="30"/>
  <c r="M39" i="29"/>
  <c r="J39" i="29"/>
  <c r="I39" i="29"/>
  <c r="E38" i="29"/>
  <c r="Z40" i="29"/>
  <c r="AF40" i="29"/>
  <c r="W40" i="29"/>
  <c r="F38" i="29"/>
  <c r="T40" i="29"/>
  <c r="G39" i="29"/>
  <c r="E39" i="29"/>
  <c r="F39" i="29"/>
  <c r="N39" i="29"/>
  <c r="H21" i="29"/>
  <c r="K39" i="29"/>
  <c r="O39" i="29"/>
  <c r="A567" i="7" l="1"/>
  <c r="F34" i="7"/>
  <c r="F33" i="3"/>
  <c r="A115" i="7"/>
  <c r="U40" i="29"/>
  <c r="B32" i="3"/>
  <c r="C36" i="7"/>
  <c r="X40" i="29"/>
  <c r="Y40" i="29" s="1"/>
  <c r="P40" i="29"/>
  <c r="A568" i="7" s="1"/>
  <c r="AG40" i="29"/>
  <c r="AA40" i="29"/>
  <c r="A32" i="3"/>
  <c r="B36" i="7"/>
  <c r="AN31" i="4"/>
  <c r="C115" i="7"/>
  <c r="E33" i="3"/>
  <c r="A347" i="7"/>
  <c r="I33" i="3"/>
  <c r="A673" i="7"/>
  <c r="O33" i="3"/>
  <c r="A37" i="7"/>
  <c r="C33" i="3"/>
  <c r="AD40" i="29"/>
  <c r="AE40" i="29" s="1"/>
  <c r="G35" i="7"/>
  <c r="I35" i="7"/>
  <c r="H35" i="7"/>
  <c r="J35" i="7"/>
  <c r="D35" i="7"/>
  <c r="E35" i="7"/>
  <c r="L35" i="7"/>
  <c r="K32" i="3"/>
  <c r="C566" i="7"/>
  <c r="AV31" i="4"/>
  <c r="B566" i="7"/>
  <c r="J32" i="3"/>
  <c r="AH39" i="29"/>
  <c r="R39" i="29" s="1"/>
  <c r="Q39" i="29"/>
  <c r="N33" i="3"/>
  <c r="C673" i="7"/>
  <c r="B33" i="3"/>
  <c r="C37" i="7"/>
  <c r="B347" i="7"/>
  <c r="L347" i="7" s="1"/>
  <c r="AR32" i="4"/>
  <c r="G33" i="3"/>
  <c r="C347" i="7"/>
  <c r="H33" i="3"/>
  <c r="AT32" i="4"/>
  <c r="B673" i="7"/>
  <c r="L673" i="7" s="1"/>
  <c r="M33" i="3"/>
  <c r="AN32" i="4"/>
  <c r="A33" i="3"/>
  <c r="B37" i="7"/>
  <c r="V40" i="29"/>
  <c r="D15" i="3"/>
  <c r="AP14" i="4"/>
  <c r="B97" i="7"/>
  <c r="L97" i="7" s="1"/>
  <c r="H96" i="7"/>
  <c r="K96" i="7"/>
  <c r="J96" i="7"/>
  <c r="G96" i="7"/>
  <c r="E96" i="7"/>
  <c r="D96" i="7"/>
  <c r="I96" i="7"/>
  <c r="F95" i="7"/>
  <c r="K91" i="30"/>
  <c r="O91" i="30" s="1"/>
  <c r="D40" i="29"/>
  <c r="G40" i="29"/>
  <c r="AF41" i="29"/>
  <c r="AC41" i="29"/>
  <c r="E40" i="29"/>
  <c r="H22" i="29"/>
  <c r="F40" i="29"/>
  <c r="P91" i="30"/>
  <c r="W41" i="29"/>
  <c r="Z41" i="29"/>
  <c r="T41" i="29"/>
  <c r="I40" i="29"/>
  <c r="J40" i="29"/>
  <c r="M40" i="29"/>
  <c r="N40" i="29"/>
  <c r="O40" i="29"/>
  <c r="L34" i="3" l="1"/>
  <c r="A674" i="7"/>
  <c r="O34" i="3"/>
  <c r="I34" i="3"/>
  <c r="A391" i="7"/>
  <c r="E34" i="3"/>
  <c r="C116" i="7"/>
  <c r="U41" i="29"/>
  <c r="AA41" i="29"/>
  <c r="AB41" i="29" s="1"/>
  <c r="X41" i="29"/>
  <c r="Y41" i="29" s="1"/>
  <c r="AD41" i="29"/>
  <c r="AE41" i="29" s="1"/>
  <c r="P41" i="29"/>
  <c r="L35" i="3" s="1"/>
  <c r="AG41" i="29"/>
  <c r="F34" i="3"/>
  <c r="A116" i="7"/>
  <c r="C34" i="3"/>
  <c r="A38" i="7"/>
  <c r="J33" i="3"/>
  <c r="B567" i="7"/>
  <c r="AV32" i="4"/>
  <c r="Q40" i="29"/>
  <c r="AH40" i="29"/>
  <c r="R40" i="29" s="1"/>
  <c r="C567" i="7"/>
  <c r="K33" i="3"/>
  <c r="F35" i="7"/>
  <c r="AB40" i="29"/>
  <c r="E36" i="7"/>
  <c r="L36" i="7"/>
  <c r="J36" i="7"/>
  <c r="I36" i="7"/>
  <c r="D36" i="7"/>
  <c r="F36" i="7" s="1"/>
  <c r="H36" i="7"/>
  <c r="G36" i="7"/>
  <c r="N34" i="3"/>
  <c r="C674" i="7"/>
  <c r="B38" i="7"/>
  <c r="A34" i="3"/>
  <c r="AN33" i="4"/>
  <c r="M34" i="3"/>
  <c r="B674" i="7"/>
  <c r="L674" i="7" s="1"/>
  <c r="AT33" i="4"/>
  <c r="C38" i="7"/>
  <c r="B34" i="3"/>
  <c r="J37" i="7"/>
  <c r="D37" i="7"/>
  <c r="G37" i="7"/>
  <c r="I37" i="7"/>
  <c r="H37" i="7"/>
  <c r="E37" i="7"/>
  <c r="L37" i="7"/>
  <c r="F96" i="7"/>
  <c r="D16" i="3"/>
  <c r="B98" i="7"/>
  <c r="L98" i="7" s="1"/>
  <c r="AP15" i="4"/>
  <c r="G97" i="7"/>
  <c r="E97" i="7"/>
  <c r="K97" i="7"/>
  <c r="H97" i="7"/>
  <c r="D97" i="7"/>
  <c r="J97" i="7"/>
  <c r="I97" i="7"/>
  <c r="K92" i="30"/>
  <c r="O92" i="30" s="1"/>
  <c r="G41" i="29"/>
  <c r="AC42" i="29"/>
  <c r="J41" i="29"/>
  <c r="I41" i="29"/>
  <c r="M41" i="29"/>
  <c r="L40" i="29"/>
  <c r="T42" i="29"/>
  <c r="Z42" i="29"/>
  <c r="W42" i="29"/>
  <c r="K40" i="29"/>
  <c r="O41" i="29"/>
  <c r="L41" i="29"/>
  <c r="H23" i="29"/>
  <c r="K41" i="29"/>
  <c r="N41" i="29"/>
  <c r="P92" i="30"/>
  <c r="D41" i="29"/>
  <c r="AF42" i="29"/>
  <c r="A569" i="7" l="1"/>
  <c r="AG42" i="29"/>
  <c r="P42" i="29"/>
  <c r="A51" i="7"/>
  <c r="C35" i="3"/>
  <c r="B391" i="7"/>
  <c r="L391" i="7" s="1"/>
  <c r="AR33" i="4"/>
  <c r="G34" i="3"/>
  <c r="X42" i="29"/>
  <c r="Y42" i="29" s="1"/>
  <c r="AA42" i="29"/>
  <c r="AB42" i="29" s="1"/>
  <c r="U42" i="29"/>
  <c r="H34" i="3"/>
  <c r="C391" i="7"/>
  <c r="O35" i="3"/>
  <c r="A675" i="7"/>
  <c r="E35" i="3"/>
  <c r="C117" i="7"/>
  <c r="A396" i="7"/>
  <c r="I35" i="3"/>
  <c r="AD42" i="29"/>
  <c r="AE42" i="29" s="1"/>
  <c r="A117" i="7"/>
  <c r="F35" i="3"/>
  <c r="K34" i="3"/>
  <c r="C568" i="7"/>
  <c r="B568" i="7"/>
  <c r="AV33" i="4"/>
  <c r="J34" i="3"/>
  <c r="Q41" i="29"/>
  <c r="AH41" i="29"/>
  <c r="R41" i="29" s="1"/>
  <c r="V41" i="29"/>
  <c r="H35" i="3"/>
  <c r="C396" i="7"/>
  <c r="B675" i="7"/>
  <c r="L675" i="7" s="1"/>
  <c r="M35" i="3"/>
  <c r="AT34" i="4"/>
  <c r="N35" i="3"/>
  <c r="C675" i="7"/>
  <c r="AR34" i="4"/>
  <c r="G35" i="3"/>
  <c r="B396" i="7"/>
  <c r="L396" i="7" s="1"/>
  <c r="G38" i="7"/>
  <c r="E38" i="7"/>
  <c r="I38" i="7"/>
  <c r="D38" i="7"/>
  <c r="H38" i="7"/>
  <c r="L38" i="7"/>
  <c r="J38" i="7"/>
  <c r="F37" i="7"/>
  <c r="F97" i="7"/>
  <c r="B99" i="7"/>
  <c r="L99" i="7" s="1"/>
  <c r="AP16" i="4"/>
  <c r="D17" i="3"/>
  <c r="J98" i="7"/>
  <c r="K98" i="7"/>
  <c r="H98" i="7"/>
  <c r="I98" i="7"/>
  <c r="E98" i="7"/>
  <c r="G98" i="7"/>
  <c r="D98" i="7"/>
  <c r="K93" i="30"/>
  <c r="O93" i="30" s="1"/>
  <c r="W43" i="29"/>
  <c r="J42" i="29"/>
  <c r="AF43" i="29"/>
  <c r="I42" i="29"/>
  <c r="Z43" i="29"/>
  <c r="AC43" i="29"/>
  <c r="E41" i="29"/>
  <c r="H24" i="29"/>
  <c r="P93" i="30"/>
  <c r="G42" i="29"/>
  <c r="D42" i="29"/>
  <c r="M42" i="29"/>
  <c r="F41" i="29"/>
  <c r="T43" i="29"/>
  <c r="K42" i="29"/>
  <c r="L42" i="29"/>
  <c r="N42" i="29"/>
  <c r="O42" i="29"/>
  <c r="U43" i="29" l="1"/>
  <c r="C39" i="7"/>
  <c r="B35" i="3"/>
  <c r="O36" i="3"/>
  <c r="A676" i="7"/>
  <c r="C36" i="3"/>
  <c r="A52" i="7"/>
  <c r="F36" i="3"/>
  <c r="A118" i="7"/>
  <c r="AN34" i="4"/>
  <c r="B39" i="7"/>
  <c r="A35" i="3"/>
  <c r="AD43" i="29"/>
  <c r="AE43" i="29" s="1"/>
  <c r="AA43" i="29"/>
  <c r="AB43" i="29" s="1"/>
  <c r="C118" i="7"/>
  <c r="E36" i="3"/>
  <c r="P43" i="29"/>
  <c r="AG43" i="29"/>
  <c r="I36" i="3"/>
  <c r="A322" i="7"/>
  <c r="X43" i="29"/>
  <c r="Y43" i="29" s="1"/>
  <c r="B569" i="7"/>
  <c r="AV34" i="4"/>
  <c r="J35" i="3"/>
  <c r="A570" i="7"/>
  <c r="L36" i="3"/>
  <c r="C569" i="7"/>
  <c r="K35" i="3"/>
  <c r="V42" i="29"/>
  <c r="AH42" i="29"/>
  <c r="R42" i="29" s="1"/>
  <c r="Q42" i="29"/>
  <c r="F38" i="7"/>
  <c r="N36" i="3"/>
  <c r="C676" i="7"/>
  <c r="B322" i="7"/>
  <c r="L322" i="7" s="1"/>
  <c r="AR35" i="4"/>
  <c r="G36" i="3"/>
  <c r="C322" i="7"/>
  <c r="H36" i="3"/>
  <c r="AT35" i="4"/>
  <c r="M36" i="3"/>
  <c r="B676" i="7"/>
  <c r="L676" i="7" s="1"/>
  <c r="F98" i="7"/>
  <c r="AP17" i="4"/>
  <c r="D18" i="3"/>
  <c r="B100" i="7"/>
  <c r="L100" i="7" s="1"/>
  <c r="I99" i="7"/>
  <c r="D99" i="7"/>
  <c r="J99" i="7"/>
  <c r="E99" i="7"/>
  <c r="H99" i="7"/>
  <c r="G99" i="7"/>
  <c r="K99" i="7"/>
  <c r="K94" i="30"/>
  <c r="O94" i="30" s="1"/>
  <c r="AC44" i="29"/>
  <c r="W44" i="29"/>
  <c r="H25" i="29"/>
  <c r="P94" i="30"/>
  <c r="K43" i="29"/>
  <c r="D43" i="29"/>
  <c r="G43" i="29"/>
  <c r="F42" i="29"/>
  <c r="N43" i="29"/>
  <c r="L43" i="29"/>
  <c r="O43" i="29"/>
  <c r="T44" i="29"/>
  <c r="J43" i="29"/>
  <c r="E42" i="29"/>
  <c r="M43" i="29"/>
  <c r="Z44" i="29"/>
  <c r="AF44" i="29"/>
  <c r="I43" i="29"/>
  <c r="E37" i="3" l="1"/>
  <c r="C119" i="7"/>
  <c r="P44" i="29"/>
  <c r="A572" i="7" s="1"/>
  <c r="AG44" i="29"/>
  <c r="AH44" i="29" s="1"/>
  <c r="R44" i="29" s="1"/>
  <c r="AA44" i="29"/>
  <c r="AB44" i="29" s="1"/>
  <c r="O37" i="3"/>
  <c r="A677" i="7"/>
  <c r="AN35" i="4"/>
  <c r="A36" i="3"/>
  <c r="B40" i="7"/>
  <c r="I37" i="3"/>
  <c r="A345" i="7"/>
  <c r="U44" i="29"/>
  <c r="B36" i="3"/>
  <c r="C40" i="7"/>
  <c r="A119" i="7"/>
  <c r="F37" i="3"/>
  <c r="C37" i="3"/>
  <c r="A53" i="7"/>
  <c r="X44" i="29"/>
  <c r="Y44" i="29" s="1"/>
  <c r="AD44" i="29"/>
  <c r="K36" i="3"/>
  <c r="C570" i="7"/>
  <c r="A571" i="7"/>
  <c r="L37" i="3"/>
  <c r="B570" i="7"/>
  <c r="J36" i="3"/>
  <c r="AV35" i="4"/>
  <c r="Q43" i="29"/>
  <c r="AH43" i="29"/>
  <c r="R43" i="29" s="1"/>
  <c r="I39" i="7"/>
  <c r="D39" i="7"/>
  <c r="E39" i="7"/>
  <c r="J39" i="7"/>
  <c r="L39" i="7"/>
  <c r="H39" i="7"/>
  <c r="G39" i="7"/>
  <c r="V43" i="29"/>
  <c r="N37" i="3"/>
  <c r="C677" i="7"/>
  <c r="AR36" i="4"/>
  <c r="B345" i="7"/>
  <c r="L345" i="7" s="1"/>
  <c r="G37" i="3"/>
  <c r="H37" i="3"/>
  <c r="C345" i="7"/>
  <c r="M37" i="3"/>
  <c r="AT36" i="4"/>
  <c r="B677" i="7"/>
  <c r="L677" i="7" s="1"/>
  <c r="F99" i="7"/>
  <c r="D19" i="3"/>
  <c r="AP18" i="4"/>
  <c r="B101" i="7"/>
  <c r="L101" i="7" s="1"/>
  <c r="K95" i="30"/>
  <c r="O95" i="30" s="1"/>
  <c r="D44" i="29"/>
  <c r="W45" i="29"/>
  <c r="M44" i="29"/>
  <c r="J44" i="29"/>
  <c r="G44" i="29"/>
  <c r="AC45" i="29"/>
  <c r="AF45" i="29"/>
  <c r="Z45" i="29"/>
  <c r="I44" i="29"/>
  <c r="F43" i="29"/>
  <c r="H26" i="29"/>
  <c r="K44" i="29"/>
  <c r="T45" i="29"/>
  <c r="E43" i="29"/>
  <c r="P95" i="30"/>
  <c r="L44" i="29"/>
  <c r="L38" i="3" l="1"/>
  <c r="Q44" i="29"/>
  <c r="F39" i="7"/>
  <c r="A37" i="3"/>
  <c r="B41" i="7"/>
  <c r="AN36" i="4"/>
  <c r="U45" i="29"/>
  <c r="V45" i="29" s="1"/>
  <c r="B37" i="3"/>
  <c r="C41" i="7"/>
  <c r="E38" i="3"/>
  <c r="C120" i="7"/>
  <c r="AA45" i="29"/>
  <c r="AB45" i="29" s="1"/>
  <c r="P45" i="29"/>
  <c r="AG45" i="29"/>
  <c r="AH45" i="29" s="1"/>
  <c r="R45" i="29" s="1"/>
  <c r="AD45" i="29"/>
  <c r="AE45" i="29" s="1"/>
  <c r="F38" i="3"/>
  <c r="A120" i="7"/>
  <c r="A371" i="7"/>
  <c r="I38" i="3"/>
  <c r="A678" i="7"/>
  <c r="O38" i="3"/>
  <c r="X45" i="29"/>
  <c r="Y45" i="29" s="1"/>
  <c r="A54" i="7"/>
  <c r="C38" i="3"/>
  <c r="AE44" i="29"/>
  <c r="K37" i="3"/>
  <c r="C571" i="7"/>
  <c r="B571" i="7"/>
  <c r="J37" i="3"/>
  <c r="AV36" i="4"/>
  <c r="V44" i="29"/>
  <c r="I40" i="7"/>
  <c r="J40" i="7"/>
  <c r="L40" i="7"/>
  <c r="D40" i="7"/>
  <c r="E40" i="7"/>
  <c r="G40" i="7"/>
  <c r="H40" i="7"/>
  <c r="C572" i="7"/>
  <c r="K38" i="3"/>
  <c r="G38" i="3"/>
  <c r="B371" i="7"/>
  <c r="L371" i="7" s="1"/>
  <c r="AR37" i="4"/>
  <c r="C371" i="7"/>
  <c r="H38" i="3"/>
  <c r="D20" i="3"/>
  <c r="B102" i="7"/>
  <c r="L102" i="7" s="1"/>
  <c r="AP19" i="4"/>
  <c r="E101" i="7"/>
  <c r="I101" i="7"/>
  <c r="H101" i="7"/>
  <c r="D101" i="7"/>
  <c r="J101" i="7"/>
  <c r="K101" i="7"/>
  <c r="G101" i="7"/>
  <c r="K96" i="30"/>
  <c r="O96" i="30" s="1"/>
  <c r="T46" i="29"/>
  <c r="J45" i="29"/>
  <c r="H27" i="29"/>
  <c r="K45" i="29"/>
  <c r="O45" i="29"/>
  <c r="N45" i="29"/>
  <c r="F45" i="29"/>
  <c r="D45" i="29"/>
  <c r="AC46" i="29"/>
  <c r="I45" i="29"/>
  <c r="E44" i="29"/>
  <c r="E45" i="29"/>
  <c r="P96" i="30"/>
  <c r="L45" i="29"/>
  <c r="AF46" i="29"/>
  <c r="M45" i="29"/>
  <c r="W46" i="29"/>
  <c r="O44" i="29"/>
  <c r="F44" i="29"/>
  <c r="Z46" i="29"/>
  <c r="G45" i="29"/>
  <c r="N44" i="29"/>
  <c r="Q45" i="29" l="1"/>
  <c r="J39" i="3" s="1"/>
  <c r="J38" i="3"/>
  <c r="AV37" i="4"/>
  <c r="B572" i="7"/>
  <c r="B678" i="7"/>
  <c r="L678" i="7" s="1"/>
  <c r="AT37" i="4"/>
  <c r="M38" i="3"/>
  <c r="F39" i="3"/>
  <c r="A121" i="7"/>
  <c r="AA46" i="29"/>
  <c r="AB46" i="29" s="1"/>
  <c r="B38" i="3"/>
  <c r="C42" i="7"/>
  <c r="N38" i="3"/>
  <c r="C678" i="7"/>
  <c r="X46" i="29"/>
  <c r="Y46" i="29" s="1"/>
  <c r="A679" i="7"/>
  <c r="O39" i="3"/>
  <c r="P46" i="29"/>
  <c r="A574" i="7" s="1"/>
  <c r="AG46" i="29"/>
  <c r="Q46" i="29" s="1"/>
  <c r="B42" i="7"/>
  <c r="A38" i="3"/>
  <c r="AN37" i="4"/>
  <c r="C121" i="7"/>
  <c r="E39" i="3"/>
  <c r="AD46" i="29"/>
  <c r="AE46" i="29" s="1"/>
  <c r="A55" i="7"/>
  <c r="C39" i="3"/>
  <c r="I39" i="3"/>
  <c r="A456" i="7"/>
  <c r="U46" i="29"/>
  <c r="C573" i="7"/>
  <c r="K39" i="3"/>
  <c r="F40" i="7"/>
  <c r="A573" i="7"/>
  <c r="L39" i="3"/>
  <c r="J41" i="7"/>
  <c r="I41" i="7"/>
  <c r="L41" i="7"/>
  <c r="E41" i="7"/>
  <c r="G41" i="7"/>
  <c r="H41" i="7"/>
  <c r="D41" i="7"/>
  <c r="AH46" i="29"/>
  <c r="R46" i="29" s="1"/>
  <c r="AV38" i="4"/>
  <c r="B43" i="7"/>
  <c r="AN38" i="4"/>
  <c r="A39" i="3"/>
  <c r="B679" i="7"/>
  <c r="L679" i="7" s="1"/>
  <c r="M39" i="3"/>
  <c r="AT38" i="4"/>
  <c r="C43" i="7"/>
  <c r="B39" i="3"/>
  <c r="C679" i="7"/>
  <c r="N39" i="3"/>
  <c r="G39" i="3"/>
  <c r="B456" i="7"/>
  <c r="L456" i="7" s="1"/>
  <c r="AR38" i="4"/>
  <c r="H39" i="3"/>
  <c r="C456" i="7"/>
  <c r="F101" i="7"/>
  <c r="D21" i="3"/>
  <c r="B103" i="7"/>
  <c r="L103" i="7" s="1"/>
  <c r="AP20" i="4"/>
  <c r="G102" i="7"/>
  <c r="D102" i="7"/>
  <c r="J102" i="7"/>
  <c r="K102" i="7"/>
  <c r="I102" i="7"/>
  <c r="H102" i="7"/>
  <c r="E102" i="7"/>
  <c r="K97" i="30"/>
  <c r="O97" i="30" s="1"/>
  <c r="G46" i="29"/>
  <c r="D46" i="29"/>
  <c r="J46" i="29"/>
  <c r="W47" i="29"/>
  <c r="M46" i="29"/>
  <c r="T47" i="29"/>
  <c r="Z47" i="29"/>
  <c r="I46" i="29"/>
  <c r="AF47" i="29"/>
  <c r="AC47" i="29"/>
  <c r="L46" i="29"/>
  <c r="K46" i="29"/>
  <c r="H28" i="29"/>
  <c r="O46" i="29"/>
  <c r="P97" i="30"/>
  <c r="N46" i="29"/>
  <c r="B573" i="7" l="1"/>
  <c r="L40" i="3"/>
  <c r="F41" i="7"/>
  <c r="AD47" i="29"/>
  <c r="AE47" i="29" s="1"/>
  <c r="AG47" i="29"/>
  <c r="P47" i="29"/>
  <c r="C122" i="7"/>
  <c r="E40" i="3"/>
  <c r="AA47" i="29"/>
  <c r="AB47" i="29" s="1"/>
  <c r="U47" i="29"/>
  <c r="A680" i="7"/>
  <c r="O40" i="3"/>
  <c r="X47" i="29"/>
  <c r="Y47" i="29" s="1"/>
  <c r="I40" i="3"/>
  <c r="A453" i="7"/>
  <c r="C40" i="3"/>
  <c r="A56" i="7"/>
  <c r="F40" i="3"/>
  <c r="A122" i="7"/>
  <c r="B574" i="7"/>
  <c r="AV39" i="4"/>
  <c r="J40" i="3"/>
  <c r="V46" i="29"/>
  <c r="L42" i="7"/>
  <c r="H42" i="7"/>
  <c r="E42" i="7"/>
  <c r="I42" i="7"/>
  <c r="G42" i="7"/>
  <c r="J42" i="7"/>
  <c r="D42" i="7"/>
  <c r="C574" i="7"/>
  <c r="K40" i="3"/>
  <c r="AT39" i="4"/>
  <c r="B680" i="7"/>
  <c r="L680" i="7" s="1"/>
  <c r="M40" i="3"/>
  <c r="C680" i="7"/>
  <c r="N40" i="3"/>
  <c r="B453" i="7"/>
  <c r="L453" i="7" s="1"/>
  <c r="AR39" i="4"/>
  <c r="G40" i="3"/>
  <c r="C453" i="7"/>
  <c r="H40" i="3"/>
  <c r="H43" i="7"/>
  <c r="I43" i="7"/>
  <c r="L43" i="7"/>
  <c r="E43" i="7"/>
  <c r="J43" i="7"/>
  <c r="G43" i="7"/>
  <c r="D43" i="7"/>
  <c r="B104" i="7"/>
  <c r="L104" i="7" s="1"/>
  <c r="D22" i="3"/>
  <c r="AP21" i="4"/>
  <c r="G103" i="7"/>
  <c r="J103" i="7"/>
  <c r="E103" i="7"/>
  <c r="K103" i="7"/>
  <c r="I103" i="7"/>
  <c r="H103" i="7"/>
  <c r="D103" i="7"/>
  <c r="F102" i="7"/>
  <c r="K98" i="30"/>
  <c r="O98" i="30" s="1"/>
  <c r="AF48" i="29"/>
  <c r="T48" i="29"/>
  <c r="I47" i="29"/>
  <c r="E46" i="29"/>
  <c r="N47" i="29"/>
  <c r="L47" i="29"/>
  <c r="O47" i="29"/>
  <c r="P98" i="30"/>
  <c r="M47" i="29"/>
  <c r="Z48" i="29"/>
  <c r="W48" i="29"/>
  <c r="F46" i="29"/>
  <c r="H29" i="29"/>
  <c r="AC48" i="29"/>
  <c r="J47" i="29"/>
  <c r="G47" i="29"/>
  <c r="D47" i="29"/>
  <c r="K47" i="29"/>
  <c r="F42" i="7" l="1"/>
  <c r="A57" i="7"/>
  <c r="C41" i="3"/>
  <c r="A123" i="7"/>
  <c r="F41" i="3"/>
  <c r="I41" i="3"/>
  <c r="A476" i="7"/>
  <c r="AD48" i="29"/>
  <c r="AE48" i="29" s="1"/>
  <c r="C44" i="7"/>
  <c r="B40" i="3"/>
  <c r="X48" i="29"/>
  <c r="Y48" i="29" s="1"/>
  <c r="AA48" i="29"/>
  <c r="AB48" i="29" s="1"/>
  <c r="O41" i="3"/>
  <c r="A681" i="7"/>
  <c r="B44" i="7"/>
  <c r="AN39" i="4"/>
  <c r="A40" i="3"/>
  <c r="E41" i="3"/>
  <c r="C123" i="7"/>
  <c r="U48" i="29"/>
  <c r="P48" i="29"/>
  <c r="AG48" i="29"/>
  <c r="Q47" i="29"/>
  <c r="AH47" i="29"/>
  <c r="R47" i="29" s="1"/>
  <c r="V47" i="29"/>
  <c r="L41" i="3"/>
  <c r="A575" i="7"/>
  <c r="N41" i="3"/>
  <c r="C681" i="7"/>
  <c r="G41" i="3"/>
  <c r="B476" i="7"/>
  <c r="L476" i="7" s="1"/>
  <c r="AR40" i="4"/>
  <c r="H41" i="3"/>
  <c r="C476" i="7"/>
  <c r="AT40" i="4"/>
  <c r="M41" i="3"/>
  <c r="B681" i="7"/>
  <c r="L681" i="7" s="1"/>
  <c r="F43" i="7"/>
  <c r="P44" i="7"/>
  <c r="S44" i="7"/>
  <c r="P59" i="7"/>
  <c r="P60" i="7"/>
  <c r="S45" i="7"/>
  <c r="S59" i="7"/>
  <c r="P45" i="7"/>
  <c r="S60" i="7"/>
  <c r="F103" i="7"/>
  <c r="D23" i="3"/>
  <c r="B105" i="7"/>
  <c r="L105" i="7" s="1"/>
  <c r="AP22" i="4"/>
  <c r="G104" i="7"/>
  <c r="J104" i="7"/>
  <c r="D104" i="7"/>
  <c r="H104" i="7"/>
  <c r="I104" i="7"/>
  <c r="K104" i="7"/>
  <c r="E104" i="7"/>
  <c r="K99" i="30"/>
  <c r="O99" i="30" s="1"/>
  <c r="G48" i="29"/>
  <c r="J48" i="29"/>
  <c r="F47" i="29"/>
  <c r="P99" i="30"/>
  <c r="N48" i="29"/>
  <c r="H30" i="29"/>
  <c r="I48" i="29"/>
  <c r="D48" i="29"/>
  <c r="AF49" i="29"/>
  <c r="E47" i="29"/>
  <c r="K48" i="29"/>
  <c r="L48" i="29"/>
  <c r="M48" i="29"/>
  <c r="T49" i="29"/>
  <c r="AC49" i="29"/>
  <c r="W49" i="29"/>
  <c r="Z49" i="29"/>
  <c r="O48" i="29"/>
  <c r="AA49" i="29" l="1"/>
  <c r="X49" i="29"/>
  <c r="Y49" i="29" s="1"/>
  <c r="AD49" i="29"/>
  <c r="U49" i="29"/>
  <c r="O42" i="3"/>
  <c r="A682" i="7"/>
  <c r="AN40" i="4"/>
  <c r="A41" i="3"/>
  <c r="B45" i="7"/>
  <c r="P49" i="29"/>
  <c r="AG49" i="29"/>
  <c r="AH49" i="29" s="1"/>
  <c r="R49" i="29" s="1"/>
  <c r="C42" i="3"/>
  <c r="A58" i="7"/>
  <c r="E42" i="3"/>
  <c r="C124" i="7"/>
  <c r="C45" i="7"/>
  <c r="B41" i="3"/>
  <c r="A458" i="7"/>
  <c r="I42" i="3"/>
  <c r="F42" i="3"/>
  <c r="A124" i="7"/>
  <c r="C575" i="7"/>
  <c r="K41" i="3"/>
  <c r="A576" i="7"/>
  <c r="L42" i="3"/>
  <c r="G44" i="7"/>
  <c r="I44" i="7"/>
  <c r="E44" i="7"/>
  <c r="J44" i="7"/>
  <c r="D44" i="7"/>
  <c r="L44" i="7"/>
  <c r="H44" i="7"/>
  <c r="J41" i="3"/>
  <c r="B575" i="7"/>
  <c r="AV40" i="4"/>
  <c r="AH48" i="29"/>
  <c r="R48" i="29" s="1"/>
  <c r="Q48" i="29"/>
  <c r="V48" i="29"/>
  <c r="C458" i="7"/>
  <c r="H42" i="3"/>
  <c r="AT41" i="4"/>
  <c r="M42" i="3"/>
  <c r="B682" i="7"/>
  <c r="L682" i="7" s="1"/>
  <c r="C682" i="7"/>
  <c r="N42" i="3"/>
  <c r="B458" i="7"/>
  <c r="L458" i="7" s="1"/>
  <c r="G42" i="3"/>
  <c r="AR41" i="4"/>
  <c r="AB49" i="29"/>
  <c r="AE49" i="29"/>
  <c r="B106" i="7"/>
  <c r="L106" i="7" s="1"/>
  <c r="AP23" i="4"/>
  <c r="D24" i="3"/>
  <c r="F104" i="7"/>
  <c r="J105" i="7"/>
  <c r="E105" i="7"/>
  <c r="G105" i="7"/>
  <c r="D105" i="7"/>
  <c r="H105" i="7"/>
  <c r="I105" i="7"/>
  <c r="K105" i="7"/>
  <c r="K100" i="30"/>
  <c r="O100" i="30" s="1"/>
  <c r="J49" i="29"/>
  <c r="W50" i="29"/>
  <c r="AC50" i="29"/>
  <c r="H31" i="29"/>
  <c r="P100" i="30"/>
  <c r="G49" i="29"/>
  <c r="AF50" i="29"/>
  <c r="L49" i="29"/>
  <c r="Z50" i="29"/>
  <c r="M49" i="29"/>
  <c r="T50" i="29"/>
  <c r="E48" i="29"/>
  <c r="K49" i="29"/>
  <c r="I49" i="29"/>
  <c r="D49" i="29"/>
  <c r="F48" i="29"/>
  <c r="O49" i="29"/>
  <c r="N49" i="29"/>
  <c r="F44" i="7" l="1"/>
  <c r="C46" i="7"/>
  <c r="B42" i="3"/>
  <c r="C43" i="3"/>
  <c r="A59" i="7"/>
  <c r="C125" i="7"/>
  <c r="E43" i="3"/>
  <c r="B46" i="7"/>
  <c r="AN41" i="4"/>
  <c r="A42" i="3"/>
  <c r="U50" i="29"/>
  <c r="O43" i="3"/>
  <c r="A683" i="7"/>
  <c r="AA50" i="29"/>
  <c r="AG50" i="29"/>
  <c r="P50" i="29"/>
  <c r="A125" i="7"/>
  <c r="F43" i="3"/>
  <c r="AD50" i="29"/>
  <c r="AE50" i="29" s="1"/>
  <c r="X50" i="29"/>
  <c r="Y50" i="29" s="1"/>
  <c r="I43" i="3"/>
  <c r="A368" i="7"/>
  <c r="A577" i="7"/>
  <c r="L43" i="3"/>
  <c r="Q49" i="29"/>
  <c r="J43" i="3" s="1"/>
  <c r="B576" i="7"/>
  <c r="AV41" i="4"/>
  <c r="J42" i="3"/>
  <c r="V49" i="29"/>
  <c r="C576" i="7"/>
  <c r="K42" i="3"/>
  <c r="H45" i="7"/>
  <c r="I45" i="7"/>
  <c r="L45" i="7"/>
  <c r="D45" i="7"/>
  <c r="E45" i="7"/>
  <c r="G45" i="7"/>
  <c r="J45" i="7"/>
  <c r="C368" i="7"/>
  <c r="H43" i="3"/>
  <c r="M43" i="3"/>
  <c r="AT42" i="4"/>
  <c r="B683" i="7"/>
  <c r="L683" i="7" s="1"/>
  <c r="C683" i="7"/>
  <c r="N43" i="3"/>
  <c r="B368" i="7"/>
  <c r="L368" i="7" s="1"/>
  <c r="G43" i="3"/>
  <c r="AR42" i="4"/>
  <c r="K43" i="3"/>
  <c r="C577" i="7"/>
  <c r="V50" i="29"/>
  <c r="AB50" i="29"/>
  <c r="F105" i="7"/>
  <c r="D25" i="3"/>
  <c r="AP24" i="4"/>
  <c r="B107" i="7"/>
  <c r="L107" i="7" s="1"/>
  <c r="K106" i="7"/>
  <c r="J106" i="7"/>
  <c r="I106" i="7"/>
  <c r="H106" i="7"/>
  <c r="G106" i="7"/>
  <c r="E106" i="7"/>
  <c r="D106" i="7"/>
  <c r="K101" i="30"/>
  <c r="O101" i="30" s="1"/>
  <c r="Z51" i="29"/>
  <c r="F49" i="29"/>
  <c r="H32" i="29"/>
  <c r="M50" i="29"/>
  <c r="G50" i="29"/>
  <c r="E49" i="29"/>
  <c r="K50" i="29"/>
  <c r="E50" i="29"/>
  <c r="L50" i="29"/>
  <c r="N50" i="29"/>
  <c r="P101" i="30"/>
  <c r="T51" i="29"/>
  <c r="J50" i="29"/>
  <c r="AF51" i="29"/>
  <c r="W51" i="29"/>
  <c r="O50" i="29"/>
  <c r="D50" i="29"/>
  <c r="AC51" i="29"/>
  <c r="I50" i="29"/>
  <c r="F50" i="29"/>
  <c r="B577" i="7" l="1"/>
  <c r="AV42" i="4"/>
  <c r="F45" i="7"/>
  <c r="C126" i="7"/>
  <c r="E44" i="3"/>
  <c r="AD51" i="29"/>
  <c r="AE51" i="29" s="1"/>
  <c r="A60" i="7"/>
  <c r="C44" i="3"/>
  <c r="X51" i="29"/>
  <c r="Y51" i="29" s="1"/>
  <c r="AG51" i="29"/>
  <c r="AH51" i="29" s="1"/>
  <c r="R51" i="29" s="1"/>
  <c r="P51" i="29"/>
  <c r="L45" i="3" s="1"/>
  <c r="I44" i="3"/>
  <c r="A432" i="7"/>
  <c r="U51" i="29"/>
  <c r="A43" i="3"/>
  <c r="B47" i="7"/>
  <c r="AN42" i="4"/>
  <c r="F44" i="3"/>
  <c r="A126" i="7"/>
  <c r="A684" i="7"/>
  <c r="O44" i="3"/>
  <c r="B43" i="3"/>
  <c r="C47" i="7"/>
  <c r="AA51" i="29"/>
  <c r="AB51" i="29" s="1"/>
  <c r="L44" i="3"/>
  <c r="A578" i="7"/>
  <c r="L46" i="7"/>
  <c r="G46" i="7"/>
  <c r="J46" i="7"/>
  <c r="H46" i="7"/>
  <c r="E46" i="7"/>
  <c r="I46" i="7"/>
  <c r="D46" i="7"/>
  <c r="Q50" i="29"/>
  <c r="AH50" i="29"/>
  <c r="R50" i="29" s="1"/>
  <c r="H44" i="3"/>
  <c r="C432" i="7"/>
  <c r="M44" i="3"/>
  <c r="B684" i="7"/>
  <c r="L684" i="7" s="1"/>
  <c r="AT43" i="4"/>
  <c r="AN43" i="4"/>
  <c r="B48" i="7"/>
  <c r="A44" i="3"/>
  <c r="N44" i="3"/>
  <c r="C684" i="7"/>
  <c r="B44" i="3"/>
  <c r="C48" i="7"/>
  <c r="AR43" i="4"/>
  <c r="G44" i="3"/>
  <c r="B432" i="7"/>
  <c r="L432" i="7" s="1"/>
  <c r="A579" i="7"/>
  <c r="F106" i="7"/>
  <c r="D26" i="3"/>
  <c r="B108" i="7"/>
  <c r="L108" i="7" s="1"/>
  <c r="AP25" i="4"/>
  <c r="H107" i="7"/>
  <c r="J107" i="7"/>
  <c r="D107" i="7"/>
  <c r="K107" i="7"/>
  <c r="G107" i="7"/>
  <c r="E107" i="7"/>
  <c r="I107" i="7"/>
  <c r="K102" i="30"/>
  <c r="O102" i="30" s="1"/>
  <c r="W52" i="29"/>
  <c r="D51" i="29"/>
  <c r="J51" i="29"/>
  <c r="G51" i="29"/>
  <c r="K51" i="29"/>
  <c r="O51" i="29"/>
  <c r="N51" i="29"/>
  <c r="M51" i="29"/>
  <c r="P102" i="30"/>
  <c r="AC52" i="29"/>
  <c r="I51" i="29"/>
  <c r="AF52" i="29"/>
  <c r="T52" i="29"/>
  <c r="Z52" i="29"/>
  <c r="H33" i="29"/>
  <c r="L51" i="29"/>
  <c r="Q51" i="29" l="1"/>
  <c r="AV44" i="4" s="1"/>
  <c r="AA52" i="29"/>
  <c r="AB52" i="29" s="1"/>
  <c r="U52" i="29"/>
  <c r="AG52" i="29"/>
  <c r="P52" i="29"/>
  <c r="C127" i="7"/>
  <c r="E45" i="3"/>
  <c r="AD52" i="29"/>
  <c r="AE52" i="29" s="1"/>
  <c r="O45" i="3"/>
  <c r="A685" i="7"/>
  <c r="F45" i="3"/>
  <c r="A127" i="7"/>
  <c r="I45" i="3"/>
  <c r="A444" i="7"/>
  <c r="C45" i="3"/>
  <c r="A61" i="7"/>
  <c r="X52" i="29"/>
  <c r="Y52" i="29" s="1"/>
  <c r="AV43" i="4"/>
  <c r="B578" i="7"/>
  <c r="J44" i="3"/>
  <c r="E47" i="7"/>
  <c r="J47" i="7"/>
  <c r="L47" i="7"/>
  <c r="I47" i="7"/>
  <c r="D47" i="7"/>
  <c r="G47" i="7"/>
  <c r="H47" i="7"/>
  <c r="F46" i="7"/>
  <c r="C579" i="7"/>
  <c r="K45" i="3"/>
  <c r="V51" i="29"/>
  <c r="C578" i="7"/>
  <c r="K44" i="3"/>
  <c r="M45" i="3"/>
  <c r="AT44" i="4"/>
  <c r="B685" i="7"/>
  <c r="L685" i="7" s="1"/>
  <c r="C685" i="7"/>
  <c r="N45" i="3"/>
  <c r="G45" i="3"/>
  <c r="B444" i="7"/>
  <c r="L444" i="7" s="1"/>
  <c r="AR44" i="4"/>
  <c r="H45" i="3"/>
  <c r="C444" i="7"/>
  <c r="D48" i="7"/>
  <c r="E48" i="7"/>
  <c r="J48" i="7"/>
  <c r="I48" i="7"/>
  <c r="H48" i="7"/>
  <c r="L48" i="7"/>
  <c r="G48" i="7"/>
  <c r="D27" i="3"/>
  <c r="B109" i="7"/>
  <c r="L109" i="7" s="1"/>
  <c r="AP26" i="4"/>
  <c r="F107" i="7"/>
  <c r="J108" i="7"/>
  <c r="I108" i="7"/>
  <c r="H108" i="7"/>
  <c r="G108" i="7"/>
  <c r="D108" i="7"/>
  <c r="K108" i="7"/>
  <c r="E108" i="7"/>
  <c r="K103" i="30"/>
  <c r="O103" i="30" s="1"/>
  <c r="D52" i="29"/>
  <c r="AC53" i="29"/>
  <c r="G52" i="29"/>
  <c r="H34" i="29"/>
  <c r="P103" i="30"/>
  <c r="AF53" i="29"/>
  <c r="W53" i="29"/>
  <c r="E51" i="29"/>
  <c r="Z53" i="29"/>
  <c r="T53" i="29"/>
  <c r="M52" i="29"/>
  <c r="N52" i="29"/>
  <c r="L52" i="29"/>
  <c r="K52" i="29"/>
  <c r="J52" i="29"/>
  <c r="I52" i="29"/>
  <c r="F51" i="29"/>
  <c r="O52" i="29"/>
  <c r="F47" i="7" l="1"/>
  <c r="J45" i="3"/>
  <c r="B579" i="7"/>
  <c r="B45" i="3"/>
  <c r="C49" i="7"/>
  <c r="C128" i="7"/>
  <c r="E46" i="3"/>
  <c r="A339" i="7"/>
  <c r="I46" i="3"/>
  <c r="A686" i="7"/>
  <c r="O46" i="3"/>
  <c r="U53" i="29"/>
  <c r="AA53" i="29"/>
  <c r="A45" i="3"/>
  <c r="AN44" i="4"/>
  <c r="B49" i="7"/>
  <c r="X53" i="29"/>
  <c r="Y53" i="29" s="1"/>
  <c r="P53" i="29"/>
  <c r="AG53" i="29"/>
  <c r="F46" i="3"/>
  <c r="A128" i="7"/>
  <c r="AD53" i="29"/>
  <c r="AE53" i="29" s="1"/>
  <c r="A62" i="7"/>
  <c r="C46" i="3"/>
  <c r="Q52" i="29"/>
  <c r="AH52" i="29"/>
  <c r="R52" i="29" s="1"/>
  <c r="V52" i="29"/>
  <c r="L46" i="3"/>
  <c r="A580" i="7"/>
  <c r="G46" i="3"/>
  <c r="B339" i="7"/>
  <c r="L339" i="7" s="1"/>
  <c r="AR45" i="4"/>
  <c r="C339" i="7"/>
  <c r="H46" i="3"/>
  <c r="M46" i="3"/>
  <c r="B686" i="7"/>
  <c r="L686" i="7" s="1"/>
  <c r="AT45" i="4"/>
  <c r="N46" i="3"/>
  <c r="C686" i="7"/>
  <c r="F48" i="7"/>
  <c r="AB53" i="29"/>
  <c r="B110" i="7"/>
  <c r="L110" i="7" s="1"/>
  <c r="AP27" i="4"/>
  <c r="D28" i="3"/>
  <c r="I109" i="7"/>
  <c r="J109" i="7"/>
  <c r="D109" i="7"/>
  <c r="K109" i="7"/>
  <c r="E109" i="7"/>
  <c r="H109" i="7"/>
  <c r="G109" i="7"/>
  <c r="F108" i="7"/>
  <c r="K104" i="30"/>
  <c r="O104" i="30" s="1"/>
  <c r="Z54" i="29"/>
  <c r="F52" i="29"/>
  <c r="D53" i="29"/>
  <c r="J53" i="29"/>
  <c r="G53" i="29"/>
  <c r="AF54" i="29"/>
  <c r="M53" i="29"/>
  <c r="E52" i="29"/>
  <c r="N53" i="29"/>
  <c r="T54" i="29"/>
  <c r="W54" i="29"/>
  <c r="AC54" i="29"/>
  <c r="P104" i="30"/>
  <c r="I53" i="29"/>
  <c r="K53" i="29"/>
  <c r="O53" i="29"/>
  <c r="L53" i="29"/>
  <c r="C129" i="7" l="1"/>
  <c r="E47" i="3"/>
  <c r="AD54" i="29"/>
  <c r="X54" i="29"/>
  <c r="Y54" i="29" s="1"/>
  <c r="U54" i="29"/>
  <c r="B50" i="7"/>
  <c r="A46" i="3"/>
  <c r="AN45" i="4"/>
  <c r="A687" i="7"/>
  <c r="O47" i="3"/>
  <c r="AG54" i="29"/>
  <c r="P54" i="29"/>
  <c r="A129" i="7"/>
  <c r="F47" i="3"/>
  <c r="I47" i="3"/>
  <c r="A370" i="7"/>
  <c r="A63" i="7"/>
  <c r="C47" i="3"/>
  <c r="B46" i="3"/>
  <c r="C50" i="7"/>
  <c r="AA54" i="29"/>
  <c r="AB54" i="29" s="1"/>
  <c r="K46" i="3"/>
  <c r="C580" i="7"/>
  <c r="AV45" i="4"/>
  <c r="B580" i="7"/>
  <c r="J46" i="3"/>
  <c r="Q53" i="29"/>
  <c r="AH53" i="29"/>
  <c r="R53" i="29" s="1"/>
  <c r="L47" i="3"/>
  <c r="A581" i="7"/>
  <c r="L49" i="7"/>
  <c r="D49" i="7"/>
  <c r="J49" i="7"/>
  <c r="E49" i="7"/>
  <c r="H49" i="7"/>
  <c r="V53" i="29"/>
  <c r="AT46" i="4"/>
  <c r="M47" i="3"/>
  <c r="B687" i="7"/>
  <c r="L687" i="7" s="1"/>
  <c r="C687" i="7"/>
  <c r="N47" i="3"/>
  <c r="G47" i="3"/>
  <c r="B370" i="7"/>
  <c r="L370" i="7" s="1"/>
  <c r="AR46" i="4"/>
  <c r="H47" i="3"/>
  <c r="C370" i="7"/>
  <c r="AE54" i="29"/>
  <c r="F109" i="7"/>
  <c r="J110" i="7"/>
  <c r="G110" i="7"/>
  <c r="D110" i="7"/>
  <c r="I110" i="7"/>
  <c r="K110" i="7"/>
  <c r="H110" i="7"/>
  <c r="E110" i="7"/>
  <c r="T55" i="29"/>
  <c r="AF55" i="29"/>
  <c r="J54" i="29"/>
  <c r="E53" i="29"/>
  <c r="H36" i="29"/>
  <c r="H35" i="29"/>
  <c r="M54" i="29"/>
  <c r="G54" i="29"/>
  <c r="N54" i="29"/>
  <c r="O54" i="29"/>
  <c r="I54" i="29"/>
  <c r="Z55" i="29"/>
  <c r="W55" i="29"/>
  <c r="D54" i="29"/>
  <c r="F53" i="29"/>
  <c r="AC55" i="29"/>
  <c r="K54" i="29"/>
  <c r="L54" i="29"/>
  <c r="E54" i="29"/>
  <c r="AD55" i="29" l="1"/>
  <c r="C51" i="7"/>
  <c r="B47" i="3"/>
  <c r="A64" i="7"/>
  <c r="C48" i="3"/>
  <c r="X55" i="29"/>
  <c r="Y55" i="29" s="1"/>
  <c r="AA55" i="29"/>
  <c r="AB55" i="29" s="1"/>
  <c r="C130" i="7"/>
  <c r="E48" i="3"/>
  <c r="F48" i="3"/>
  <c r="A130" i="7"/>
  <c r="A688" i="7"/>
  <c r="O48" i="3"/>
  <c r="AN46" i="4"/>
  <c r="A47" i="3"/>
  <c r="B51" i="7"/>
  <c r="I48" i="3"/>
  <c r="A337" i="7"/>
  <c r="AG55" i="29"/>
  <c r="P55" i="29"/>
  <c r="U55" i="29"/>
  <c r="V54" i="29"/>
  <c r="AH54" i="29"/>
  <c r="R54" i="29" s="1"/>
  <c r="Q54" i="29"/>
  <c r="J47" i="3"/>
  <c r="B581" i="7"/>
  <c r="AV46" i="4"/>
  <c r="J50" i="7"/>
  <c r="E50" i="7"/>
  <c r="D50" i="7"/>
  <c r="G50" i="7"/>
  <c r="I50" i="7"/>
  <c r="L50" i="7"/>
  <c r="H50" i="7"/>
  <c r="L48" i="3"/>
  <c r="A582" i="7"/>
  <c r="F49" i="7"/>
  <c r="C581" i="7"/>
  <c r="K47" i="3"/>
  <c r="H48" i="3"/>
  <c r="C337" i="7"/>
  <c r="C688" i="7"/>
  <c r="N48" i="3"/>
  <c r="A48" i="3"/>
  <c r="B52" i="7"/>
  <c r="AN47" i="4"/>
  <c r="AR47" i="4"/>
  <c r="B337" i="7"/>
  <c r="L337" i="7" s="1"/>
  <c r="G48" i="3"/>
  <c r="B688" i="7"/>
  <c r="L688" i="7" s="1"/>
  <c r="M48" i="3"/>
  <c r="AT47" i="4"/>
  <c r="V55" i="29"/>
  <c r="AE55" i="29"/>
  <c r="D29" i="3"/>
  <c r="AP28" i="4"/>
  <c r="B111" i="7"/>
  <c r="L111" i="7" s="1"/>
  <c r="AP29" i="4"/>
  <c r="D30" i="3"/>
  <c r="B112" i="7"/>
  <c r="L112" i="7" s="1"/>
  <c r="K105" i="30"/>
  <c r="O105" i="30" s="1"/>
  <c r="F110" i="7"/>
  <c r="K106" i="30"/>
  <c r="O106" i="30" s="1"/>
  <c r="I55" i="29"/>
  <c r="Z56" i="29"/>
  <c r="AF56" i="29"/>
  <c r="E55" i="29"/>
  <c r="P106" i="30"/>
  <c r="N55" i="29"/>
  <c r="P105" i="30"/>
  <c r="H37" i="29"/>
  <c r="AC56" i="29"/>
  <c r="G55" i="29"/>
  <c r="D55" i="29"/>
  <c r="M55" i="29"/>
  <c r="F54" i="29"/>
  <c r="O55" i="29"/>
  <c r="L55" i="29"/>
  <c r="K55" i="29"/>
  <c r="W56" i="29"/>
  <c r="J55" i="29"/>
  <c r="T56" i="29"/>
  <c r="F55" i="29"/>
  <c r="U56" i="29" l="1"/>
  <c r="A367" i="7"/>
  <c r="I49" i="3"/>
  <c r="X56" i="29"/>
  <c r="Y56" i="29" s="1"/>
  <c r="C52" i="7"/>
  <c r="B48" i="3"/>
  <c r="O49" i="3"/>
  <c r="A689" i="7"/>
  <c r="C49" i="3"/>
  <c r="A65" i="7"/>
  <c r="A131" i="7"/>
  <c r="F49" i="3"/>
  <c r="AD56" i="29"/>
  <c r="P56" i="29"/>
  <c r="A584" i="7" s="1"/>
  <c r="AG56" i="29"/>
  <c r="AA56" i="29"/>
  <c r="AB56" i="29" s="1"/>
  <c r="C131" i="7"/>
  <c r="E49" i="3"/>
  <c r="C582" i="7"/>
  <c r="K48" i="3"/>
  <c r="F50" i="7"/>
  <c r="A583" i="7"/>
  <c r="L49" i="3"/>
  <c r="AH55" i="29"/>
  <c r="R55" i="29" s="1"/>
  <c r="Q55" i="29"/>
  <c r="I51" i="7"/>
  <c r="J51" i="7"/>
  <c r="E51" i="7"/>
  <c r="H51" i="7"/>
  <c r="D51" i="7"/>
  <c r="L51" i="7"/>
  <c r="G51" i="7"/>
  <c r="B582" i="7"/>
  <c r="J48" i="3"/>
  <c r="AV47" i="4"/>
  <c r="AR48" i="4"/>
  <c r="B367" i="7"/>
  <c r="L367" i="7" s="1"/>
  <c r="G49" i="3"/>
  <c r="H49" i="3"/>
  <c r="C367" i="7"/>
  <c r="B689" i="7"/>
  <c r="L689" i="7" s="1"/>
  <c r="AT48" i="4"/>
  <c r="M49" i="3"/>
  <c r="A49" i="3"/>
  <c r="AN48" i="4"/>
  <c r="B53" i="7"/>
  <c r="C689" i="7"/>
  <c r="N49" i="3"/>
  <c r="C53" i="7"/>
  <c r="B49" i="3"/>
  <c r="AE56" i="29"/>
  <c r="L52" i="7"/>
  <c r="H52" i="7"/>
  <c r="I52" i="7"/>
  <c r="J52" i="7"/>
  <c r="E52" i="7"/>
  <c r="G52" i="7"/>
  <c r="D52" i="7"/>
  <c r="B113" i="7"/>
  <c r="L113" i="7" s="1"/>
  <c r="D31" i="3"/>
  <c r="AP30" i="4"/>
  <c r="D111" i="7"/>
  <c r="K111" i="7"/>
  <c r="H111" i="7"/>
  <c r="E111" i="7"/>
  <c r="G111" i="7"/>
  <c r="I111" i="7"/>
  <c r="J111" i="7"/>
  <c r="H112" i="7"/>
  <c r="E112" i="7"/>
  <c r="J112" i="7"/>
  <c r="D112" i="7"/>
  <c r="K112" i="7"/>
  <c r="G112" i="7"/>
  <c r="I112" i="7"/>
  <c r="K107" i="30"/>
  <c r="O107" i="30" s="1"/>
  <c r="D56" i="29"/>
  <c r="AC57" i="29"/>
  <c r="AF57" i="29"/>
  <c r="Z57" i="29"/>
  <c r="W57" i="29"/>
  <c r="M56" i="29"/>
  <c r="H38" i="29"/>
  <c r="T57" i="29"/>
  <c r="I56" i="29"/>
  <c r="K56" i="29"/>
  <c r="N56" i="29"/>
  <c r="L56" i="29"/>
  <c r="G56" i="29"/>
  <c r="J56" i="29"/>
  <c r="P107" i="30"/>
  <c r="O56" i="29"/>
  <c r="F52" i="7" l="1"/>
  <c r="F51" i="7"/>
  <c r="A384" i="7"/>
  <c r="I50" i="3"/>
  <c r="F50" i="3"/>
  <c r="A132" i="7"/>
  <c r="C132" i="7"/>
  <c r="E50" i="3"/>
  <c r="U57" i="29"/>
  <c r="V57" i="29" s="1"/>
  <c r="A690" i="7"/>
  <c r="O50" i="3"/>
  <c r="X57" i="29"/>
  <c r="Y57" i="29" s="1"/>
  <c r="AA57" i="29"/>
  <c r="AB57" i="29" s="1"/>
  <c r="P57" i="29"/>
  <c r="AG57" i="29"/>
  <c r="AH57" i="29" s="1"/>
  <c r="R57" i="29" s="1"/>
  <c r="AD57" i="29"/>
  <c r="A66" i="7"/>
  <c r="C50" i="3"/>
  <c r="L50" i="3"/>
  <c r="AV48" i="4"/>
  <c r="B583" i="7"/>
  <c r="J49" i="3"/>
  <c r="AH56" i="29"/>
  <c r="R56" i="29" s="1"/>
  <c r="Q56" i="29"/>
  <c r="V56" i="29"/>
  <c r="K49" i="3"/>
  <c r="C583" i="7"/>
  <c r="H50" i="3"/>
  <c r="C384" i="7"/>
  <c r="B690" i="7"/>
  <c r="L690" i="7" s="1"/>
  <c r="AT49" i="4"/>
  <c r="M50" i="3"/>
  <c r="G50" i="3"/>
  <c r="AR49" i="4"/>
  <c r="B384" i="7"/>
  <c r="L384" i="7" s="1"/>
  <c r="C690" i="7"/>
  <c r="N50" i="3"/>
  <c r="D53" i="7"/>
  <c r="J53" i="7"/>
  <c r="L53" i="7"/>
  <c r="H53" i="7"/>
  <c r="I53" i="7"/>
  <c r="G53" i="7"/>
  <c r="E53" i="7"/>
  <c r="F112" i="7"/>
  <c r="F111" i="7"/>
  <c r="D32" i="3"/>
  <c r="AP31" i="4"/>
  <c r="B114" i="7"/>
  <c r="L114" i="7" s="1"/>
  <c r="G113" i="7"/>
  <c r="J113" i="7"/>
  <c r="E113" i="7"/>
  <c r="I113" i="7"/>
  <c r="D113" i="7"/>
  <c r="K113" i="7"/>
  <c r="H113" i="7"/>
  <c r="K108" i="30"/>
  <c r="O108" i="30" s="1"/>
  <c r="D57" i="29"/>
  <c r="G57" i="29"/>
  <c r="J57" i="29"/>
  <c r="E56" i="29"/>
  <c r="E57" i="29"/>
  <c r="I57" i="29"/>
  <c r="AC58" i="29"/>
  <c r="AF58" i="29"/>
  <c r="M57" i="29"/>
  <c r="P108" i="30"/>
  <c r="F57" i="29"/>
  <c r="L57" i="29"/>
  <c r="T58" i="29"/>
  <c r="W58" i="29"/>
  <c r="Z58" i="29"/>
  <c r="F56" i="29"/>
  <c r="K57" i="29"/>
  <c r="H39" i="29"/>
  <c r="Q57" i="29" l="1"/>
  <c r="J51" i="3" s="1"/>
  <c r="B50" i="3"/>
  <c r="C54" i="7"/>
  <c r="AA58" i="29"/>
  <c r="X58" i="29"/>
  <c r="Y58" i="29" s="1"/>
  <c r="U58" i="29"/>
  <c r="A691" i="7"/>
  <c r="O51" i="3"/>
  <c r="AG58" i="29"/>
  <c r="Q58" i="29" s="1"/>
  <c r="P58" i="29"/>
  <c r="AD58" i="29"/>
  <c r="AE58" i="29" s="1"/>
  <c r="E51" i="3"/>
  <c r="C133" i="7"/>
  <c r="B54" i="7"/>
  <c r="A50" i="3"/>
  <c r="AN49" i="4"/>
  <c r="I51" i="3"/>
  <c r="A447" i="7"/>
  <c r="A133" i="7"/>
  <c r="F51" i="3"/>
  <c r="A79" i="7"/>
  <c r="C51" i="3"/>
  <c r="AV49" i="4"/>
  <c r="B584" i="7"/>
  <c r="J50" i="3"/>
  <c r="K50" i="3"/>
  <c r="C584" i="7"/>
  <c r="L51" i="3"/>
  <c r="A585" i="7"/>
  <c r="AE57" i="29"/>
  <c r="F53" i="7"/>
  <c r="C55" i="7"/>
  <c r="B51" i="3"/>
  <c r="H51" i="3"/>
  <c r="C447" i="7"/>
  <c r="AN50" i="4"/>
  <c r="B55" i="7"/>
  <c r="A51" i="3"/>
  <c r="AR50" i="4"/>
  <c r="G51" i="3"/>
  <c r="B447" i="7"/>
  <c r="L447" i="7" s="1"/>
  <c r="C585" i="7"/>
  <c r="K51" i="3"/>
  <c r="F113" i="7"/>
  <c r="B115" i="7"/>
  <c r="L115" i="7" s="1"/>
  <c r="D33" i="3"/>
  <c r="AP32" i="4"/>
  <c r="D114" i="7"/>
  <c r="G114" i="7"/>
  <c r="H114" i="7"/>
  <c r="K114" i="7"/>
  <c r="J114" i="7"/>
  <c r="I114" i="7"/>
  <c r="E114" i="7"/>
  <c r="K109" i="30"/>
  <c r="O109" i="30" s="1"/>
  <c r="G58" i="29"/>
  <c r="D58" i="29"/>
  <c r="AC59" i="29"/>
  <c r="N57" i="29"/>
  <c r="J58" i="29"/>
  <c r="I58" i="29"/>
  <c r="T59" i="29"/>
  <c r="AF59" i="29"/>
  <c r="M58" i="29"/>
  <c r="O57" i="29"/>
  <c r="H40" i="29"/>
  <c r="Z59" i="29"/>
  <c r="W59" i="29"/>
  <c r="O58" i="29"/>
  <c r="P109" i="30"/>
  <c r="N58" i="29"/>
  <c r="AV50" i="4" l="1"/>
  <c r="B585" i="7"/>
  <c r="AH58" i="29"/>
  <c r="R58" i="29" s="1"/>
  <c r="K52" i="3" s="1"/>
  <c r="X59" i="29"/>
  <c r="Y59" i="29" s="1"/>
  <c r="AA59" i="29"/>
  <c r="AB59" i="29" s="1"/>
  <c r="N51" i="3"/>
  <c r="C691" i="7"/>
  <c r="O52" i="3"/>
  <c r="A692" i="7"/>
  <c r="P59" i="29"/>
  <c r="AG59" i="29"/>
  <c r="Q59" i="29" s="1"/>
  <c r="U59" i="29"/>
  <c r="E52" i="3"/>
  <c r="C134" i="7"/>
  <c r="A482" i="7"/>
  <c r="I52" i="3"/>
  <c r="AT50" i="4"/>
  <c r="M51" i="3"/>
  <c r="B691" i="7"/>
  <c r="L691" i="7" s="1"/>
  <c r="AD59" i="29"/>
  <c r="AE59" i="29" s="1"/>
  <c r="A67" i="7"/>
  <c r="C52" i="3"/>
  <c r="A134" i="7"/>
  <c r="F52" i="3"/>
  <c r="L52" i="3"/>
  <c r="A586" i="7"/>
  <c r="I54" i="7"/>
  <c r="L54" i="7"/>
  <c r="H54" i="7"/>
  <c r="G54" i="7"/>
  <c r="J54" i="7"/>
  <c r="E54" i="7"/>
  <c r="D54" i="7"/>
  <c r="V58" i="29"/>
  <c r="AB58" i="29"/>
  <c r="M52" i="3"/>
  <c r="AT51" i="4"/>
  <c r="B692" i="7"/>
  <c r="L692" i="7" s="1"/>
  <c r="N52" i="3"/>
  <c r="C692" i="7"/>
  <c r="H55" i="7"/>
  <c r="G55" i="7"/>
  <c r="D55" i="7"/>
  <c r="E55" i="7"/>
  <c r="L55" i="7"/>
  <c r="I55" i="7"/>
  <c r="J55" i="7"/>
  <c r="B586" i="7"/>
  <c r="J52" i="3"/>
  <c r="AV51" i="4"/>
  <c r="AP33" i="4"/>
  <c r="B116" i="7"/>
  <c r="L116" i="7" s="1"/>
  <c r="D34" i="3"/>
  <c r="F114" i="7"/>
  <c r="I115" i="7"/>
  <c r="J115" i="7"/>
  <c r="D115" i="7"/>
  <c r="E115" i="7"/>
  <c r="H115" i="7"/>
  <c r="K115" i="7"/>
  <c r="G115" i="7"/>
  <c r="K110" i="30"/>
  <c r="O110" i="30" s="1"/>
  <c r="I59" i="29"/>
  <c r="J59" i="29"/>
  <c r="AC60" i="29"/>
  <c r="F58" i="29"/>
  <c r="O59" i="29"/>
  <c r="N59" i="29"/>
  <c r="L59" i="29"/>
  <c r="P110" i="30"/>
  <c r="H41" i="29"/>
  <c r="W60" i="29"/>
  <c r="Z60" i="29"/>
  <c r="M59" i="29"/>
  <c r="L58" i="29"/>
  <c r="G59" i="29"/>
  <c r="T60" i="29"/>
  <c r="K58" i="29"/>
  <c r="AF60" i="29"/>
  <c r="D59" i="29"/>
  <c r="E58" i="29"/>
  <c r="K59" i="29"/>
  <c r="C586" i="7" l="1"/>
  <c r="AH59" i="29"/>
  <c r="R59" i="29" s="1"/>
  <c r="F54" i="7"/>
  <c r="F55" i="7"/>
  <c r="A52" i="3"/>
  <c r="AN51" i="4"/>
  <c r="B56" i="7"/>
  <c r="C53" i="3"/>
  <c r="A68" i="7"/>
  <c r="P60" i="29"/>
  <c r="AG60" i="29"/>
  <c r="G52" i="3"/>
  <c r="B482" i="7"/>
  <c r="L482" i="7" s="1"/>
  <c r="AR51" i="4"/>
  <c r="U60" i="29"/>
  <c r="A135" i="7"/>
  <c r="F53" i="3"/>
  <c r="C482" i="7"/>
  <c r="H52" i="3"/>
  <c r="A693" i="7"/>
  <c r="O53" i="3"/>
  <c r="AA60" i="29"/>
  <c r="X60" i="29"/>
  <c r="Y60" i="29" s="1"/>
  <c r="C56" i="7"/>
  <c r="B52" i="3"/>
  <c r="AD60" i="29"/>
  <c r="A441" i="7"/>
  <c r="I53" i="3"/>
  <c r="C135" i="7"/>
  <c r="E53" i="3"/>
  <c r="A587" i="7"/>
  <c r="L53" i="3"/>
  <c r="V59" i="29"/>
  <c r="J53" i="3"/>
  <c r="B587" i="7"/>
  <c r="AV52" i="4"/>
  <c r="B693" i="7"/>
  <c r="L693" i="7" s="1"/>
  <c r="AT52" i="4"/>
  <c r="M53" i="3"/>
  <c r="C693" i="7"/>
  <c r="N53" i="3"/>
  <c r="G53" i="3"/>
  <c r="AR52" i="4"/>
  <c r="B441" i="7"/>
  <c r="L441" i="7" s="1"/>
  <c r="C441" i="7"/>
  <c r="H53" i="3"/>
  <c r="F115" i="7"/>
  <c r="D35" i="3"/>
  <c r="AP34" i="4"/>
  <c r="B117" i="7"/>
  <c r="L117" i="7" s="1"/>
  <c r="D116" i="7"/>
  <c r="K111" i="30"/>
  <c r="O111" i="30" s="1"/>
  <c r="D60" i="29"/>
  <c r="I60" i="29"/>
  <c r="AC61" i="29"/>
  <c r="Z61" i="29"/>
  <c r="G60" i="29"/>
  <c r="F59" i="29"/>
  <c r="H42" i="29"/>
  <c r="J60" i="29"/>
  <c r="M60" i="29"/>
  <c r="E59" i="29"/>
  <c r="P111" i="30"/>
  <c r="AF61" i="29"/>
  <c r="T61" i="29"/>
  <c r="W61" i="29"/>
  <c r="K53" i="3" l="1"/>
  <c r="C587" i="7"/>
  <c r="X61" i="29"/>
  <c r="Y61" i="29" s="1"/>
  <c r="U61" i="29"/>
  <c r="AG61" i="29"/>
  <c r="AH61" i="29" s="1"/>
  <c r="R61" i="29" s="1"/>
  <c r="P61" i="29"/>
  <c r="A589" i="7" s="1"/>
  <c r="A53" i="3"/>
  <c r="AN52" i="4"/>
  <c r="B57" i="7"/>
  <c r="A694" i="7"/>
  <c r="O54" i="3"/>
  <c r="A411" i="7"/>
  <c r="I54" i="3"/>
  <c r="B53" i="3"/>
  <c r="C57" i="7"/>
  <c r="A136" i="7"/>
  <c r="F54" i="3"/>
  <c r="AA61" i="29"/>
  <c r="AB61" i="29" s="1"/>
  <c r="AD61" i="29"/>
  <c r="AE61" i="29" s="1"/>
  <c r="E54" i="3"/>
  <c r="C136" i="7"/>
  <c r="C54" i="3"/>
  <c r="A69" i="7"/>
  <c r="Q60" i="29"/>
  <c r="AH60" i="29"/>
  <c r="R60" i="29" s="1"/>
  <c r="D56" i="7"/>
  <c r="H56" i="7"/>
  <c r="I56" i="7"/>
  <c r="L56" i="7"/>
  <c r="G56" i="7"/>
  <c r="E56" i="7"/>
  <c r="J56" i="7"/>
  <c r="AE60" i="29"/>
  <c r="V60" i="29"/>
  <c r="A588" i="7"/>
  <c r="L54" i="3"/>
  <c r="AB60" i="29"/>
  <c r="Q61" i="29"/>
  <c r="J55" i="3" s="1"/>
  <c r="B118" i="7"/>
  <c r="L118" i="7" s="1"/>
  <c r="AP35" i="4"/>
  <c r="D36" i="3"/>
  <c r="K117" i="7"/>
  <c r="J117" i="7"/>
  <c r="E117" i="7"/>
  <c r="G117" i="7"/>
  <c r="H117" i="7"/>
  <c r="I117" i="7"/>
  <c r="D117" i="7"/>
  <c r="K112" i="30"/>
  <c r="O112" i="30" s="1"/>
  <c r="I61" i="29"/>
  <c r="T62" i="29"/>
  <c r="M61" i="29"/>
  <c r="O60" i="29"/>
  <c r="W62" i="29"/>
  <c r="D61" i="29"/>
  <c r="J61" i="29"/>
  <c r="AC62" i="29"/>
  <c r="E60" i="29"/>
  <c r="L60" i="29"/>
  <c r="G61" i="29"/>
  <c r="Z62" i="29"/>
  <c r="F60" i="29"/>
  <c r="K60" i="29"/>
  <c r="AF62" i="29"/>
  <c r="N60" i="29"/>
  <c r="P112" i="30"/>
  <c r="L61" i="29"/>
  <c r="K61" i="29"/>
  <c r="O61" i="29"/>
  <c r="N61" i="29"/>
  <c r="H43" i="29"/>
  <c r="L55" i="3" l="1"/>
  <c r="AT53" i="4"/>
  <c r="M54" i="3"/>
  <c r="B694" i="7"/>
  <c r="L694" i="7" s="1"/>
  <c r="P62" i="29"/>
  <c r="AG62" i="29"/>
  <c r="Q62" i="29" s="1"/>
  <c r="G54" i="3"/>
  <c r="B411" i="7"/>
  <c r="L411" i="7" s="1"/>
  <c r="AR53" i="4"/>
  <c r="C58" i="7"/>
  <c r="B54" i="3"/>
  <c r="AA62" i="29"/>
  <c r="AB62" i="29" s="1"/>
  <c r="A137" i="7"/>
  <c r="F55" i="3"/>
  <c r="H54" i="3"/>
  <c r="C411" i="7"/>
  <c r="B58" i="7"/>
  <c r="AN53" i="4"/>
  <c r="A54" i="3"/>
  <c r="AD62" i="29"/>
  <c r="AE62" i="29" s="1"/>
  <c r="A379" i="7"/>
  <c r="I55" i="3"/>
  <c r="C55" i="3"/>
  <c r="A70" i="7"/>
  <c r="X62" i="29"/>
  <c r="Y62" i="29" s="1"/>
  <c r="C694" i="7"/>
  <c r="N54" i="3"/>
  <c r="A695" i="7"/>
  <c r="O55" i="3"/>
  <c r="U62" i="29"/>
  <c r="E55" i="3"/>
  <c r="C137" i="7"/>
  <c r="K54" i="3"/>
  <c r="C588" i="7"/>
  <c r="D57" i="7"/>
  <c r="H57" i="7"/>
  <c r="J57" i="7"/>
  <c r="E57" i="7"/>
  <c r="G57" i="7"/>
  <c r="L57" i="7"/>
  <c r="I57" i="7"/>
  <c r="V61" i="29"/>
  <c r="B588" i="7"/>
  <c r="J54" i="3"/>
  <c r="AV53" i="4"/>
  <c r="C589" i="7"/>
  <c r="K55" i="3"/>
  <c r="F56" i="7"/>
  <c r="G55" i="3"/>
  <c r="B379" i="7"/>
  <c r="L379" i="7" s="1"/>
  <c r="AR54" i="4"/>
  <c r="M55" i="3"/>
  <c r="AT54" i="4"/>
  <c r="B695" i="7"/>
  <c r="L695" i="7" s="1"/>
  <c r="C379" i="7"/>
  <c r="H55" i="3"/>
  <c r="C695" i="7"/>
  <c r="N55" i="3"/>
  <c r="AV54" i="4"/>
  <c r="B589" i="7"/>
  <c r="F117" i="7"/>
  <c r="AP36" i="4"/>
  <c r="D37" i="3"/>
  <c r="B119" i="7"/>
  <c r="L119" i="7" s="1"/>
  <c r="J118" i="7"/>
  <c r="E118" i="7"/>
  <c r="H118" i="7"/>
  <c r="D118" i="7"/>
  <c r="K118" i="7"/>
  <c r="K113" i="30"/>
  <c r="O113" i="30" s="1"/>
  <c r="Z63" i="29"/>
  <c r="I62" i="29"/>
  <c r="T63" i="29"/>
  <c r="P113" i="30"/>
  <c r="L62" i="29"/>
  <c r="K62" i="29"/>
  <c r="AF63" i="29"/>
  <c r="J62" i="29"/>
  <c r="W63" i="29"/>
  <c r="D62" i="29"/>
  <c r="F61" i="29"/>
  <c r="AC63" i="29"/>
  <c r="G62" i="29"/>
  <c r="E61" i="29"/>
  <c r="N62" i="29"/>
  <c r="O62" i="29"/>
  <c r="H44" i="29"/>
  <c r="M62" i="29"/>
  <c r="AH62" i="29" l="1"/>
  <c r="R62" i="29" s="1"/>
  <c r="K56" i="3" s="1"/>
  <c r="F57" i="7"/>
  <c r="A696" i="7"/>
  <c r="O56" i="3"/>
  <c r="B59" i="7"/>
  <c r="AN54" i="4"/>
  <c r="A55" i="3"/>
  <c r="A138" i="7"/>
  <c r="F56" i="3"/>
  <c r="AD63" i="29"/>
  <c r="B55" i="3"/>
  <c r="C59" i="7"/>
  <c r="C56" i="3"/>
  <c r="A71" i="7"/>
  <c r="X63" i="29"/>
  <c r="Y63" i="29" s="1"/>
  <c r="A405" i="7"/>
  <c r="I56" i="3"/>
  <c r="AG63" i="29"/>
  <c r="AH63" i="29" s="1"/>
  <c r="R63" i="29" s="1"/>
  <c r="K57" i="3" s="1"/>
  <c r="P63" i="29"/>
  <c r="U63" i="29"/>
  <c r="C138" i="7"/>
  <c r="E56" i="3"/>
  <c r="AA63" i="29"/>
  <c r="AB63" i="29" s="1"/>
  <c r="V62" i="29"/>
  <c r="A590" i="7"/>
  <c r="L56" i="3"/>
  <c r="J58" i="7"/>
  <c r="L58" i="7"/>
  <c r="H58" i="7"/>
  <c r="I58" i="7"/>
  <c r="D58" i="7"/>
  <c r="E58" i="7"/>
  <c r="G58" i="7"/>
  <c r="J56" i="3"/>
  <c r="AV55" i="4"/>
  <c r="B590" i="7"/>
  <c r="C591" i="7"/>
  <c r="G56" i="3"/>
  <c r="AR55" i="4"/>
  <c r="B405" i="7"/>
  <c r="L405" i="7" s="1"/>
  <c r="H56" i="3"/>
  <c r="C405" i="7"/>
  <c r="N56" i="3"/>
  <c r="C696" i="7"/>
  <c r="AT55" i="4"/>
  <c r="M56" i="3"/>
  <c r="B696" i="7"/>
  <c r="L696" i="7" s="1"/>
  <c r="AE63" i="29"/>
  <c r="Q63" i="29"/>
  <c r="J57" i="3" s="1"/>
  <c r="F118" i="7"/>
  <c r="AP37" i="4"/>
  <c r="B120" i="7"/>
  <c r="L120" i="7" s="1"/>
  <c r="D38" i="3"/>
  <c r="I119" i="7"/>
  <c r="E119" i="7"/>
  <c r="J119" i="7"/>
  <c r="K119" i="7"/>
  <c r="H119" i="7"/>
  <c r="G119" i="7"/>
  <c r="D119" i="7"/>
  <c r="K114" i="30"/>
  <c r="O114" i="30" s="1"/>
  <c r="M63" i="29"/>
  <c r="W64" i="29"/>
  <c r="AF64" i="29"/>
  <c r="J63" i="29"/>
  <c r="AC64" i="29"/>
  <c r="I63" i="29"/>
  <c r="T64" i="29"/>
  <c r="F62" i="29"/>
  <c r="G63" i="29"/>
  <c r="D63" i="29"/>
  <c r="Z64" i="29"/>
  <c r="E62" i="29"/>
  <c r="K63" i="29"/>
  <c r="O63" i="29"/>
  <c r="N63" i="29"/>
  <c r="L63" i="29"/>
  <c r="P114" i="30"/>
  <c r="H45" i="29"/>
  <c r="C590" i="7" l="1"/>
  <c r="F58" i="7"/>
  <c r="AN55" i="4"/>
  <c r="A56" i="3"/>
  <c r="B60" i="7"/>
  <c r="AA64" i="29"/>
  <c r="AB64" i="29" s="1"/>
  <c r="A72" i="7"/>
  <c r="C57" i="3"/>
  <c r="A139" i="7"/>
  <c r="F57" i="3"/>
  <c r="B56" i="3"/>
  <c r="C60" i="7"/>
  <c r="U64" i="29"/>
  <c r="V64" i="29" s="1"/>
  <c r="C139" i="7"/>
  <c r="E57" i="3"/>
  <c r="AD64" i="29"/>
  <c r="AE64" i="29" s="1"/>
  <c r="A436" i="7"/>
  <c r="I57" i="3"/>
  <c r="AG64" i="29"/>
  <c r="AH64" i="29" s="1"/>
  <c r="R64" i="29" s="1"/>
  <c r="K58" i="3" s="1"/>
  <c r="P64" i="29"/>
  <c r="X64" i="29"/>
  <c r="Y64" i="29" s="1"/>
  <c r="O57" i="3"/>
  <c r="A697" i="7"/>
  <c r="G59" i="7"/>
  <c r="H59" i="7"/>
  <c r="E59" i="7"/>
  <c r="I59" i="7"/>
  <c r="J59" i="7"/>
  <c r="D59" i="7"/>
  <c r="L59" i="7"/>
  <c r="A591" i="7"/>
  <c r="L57" i="3"/>
  <c r="V63" i="29"/>
  <c r="B591" i="7"/>
  <c r="C697" i="7"/>
  <c r="N57" i="3"/>
  <c r="AR56" i="4"/>
  <c r="G57" i="3"/>
  <c r="B436" i="7"/>
  <c r="L436" i="7" s="1"/>
  <c r="C436" i="7"/>
  <c r="H57" i="3"/>
  <c r="M57" i="3"/>
  <c r="B697" i="7"/>
  <c r="L697" i="7" s="1"/>
  <c r="AT56" i="4"/>
  <c r="AV56" i="4"/>
  <c r="F119" i="7"/>
  <c r="D39" i="3"/>
  <c r="B121" i="7"/>
  <c r="L121" i="7" s="1"/>
  <c r="AP38" i="4"/>
  <c r="G120" i="7"/>
  <c r="H120" i="7"/>
  <c r="K120" i="7"/>
  <c r="E120" i="7"/>
  <c r="D120" i="7"/>
  <c r="J120" i="7"/>
  <c r="I120" i="7"/>
  <c r="K115" i="30"/>
  <c r="O115" i="30" s="1"/>
  <c r="Z65" i="29"/>
  <c r="T65" i="29"/>
  <c r="E63" i="29"/>
  <c r="K64" i="29"/>
  <c r="F64" i="29"/>
  <c r="E64" i="29"/>
  <c r="N64" i="29"/>
  <c r="L64" i="29"/>
  <c r="P115" i="30"/>
  <c r="O64" i="29"/>
  <c r="J64" i="29"/>
  <c r="D64" i="29"/>
  <c r="M64" i="29"/>
  <c r="W65" i="29"/>
  <c r="AC65" i="29"/>
  <c r="G64" i="29"/>
  <c r="AF65" i="29"/>
  <c r="I64" i="29"/>
  <c r="F63" i="29"/>
  <c r="Q64" i="29" l="1"/>
  <c r="J58" i="3" s="1"/>
  <c r="C592" i="7"/>
  <c r="F59" i="7"/>
  <c r="C61" i="7"/>
  <c r="B57" i="3"/>
  <c r="C140" i="7"/>
  <c r="E58" i="3"/>
  <c r="P65" i="29"/>
  <c r="AG65" i="29"/>
  <c r="F58" i="3"/>
  <c r="A140" i="7"/>
  <c r="AD65" i="29"/>
  <c r="AE65" i="29" s="1"/>
  <c r="X65" i="29"/>
  <c r="Y65" i="29" s="1"/>
  <c r="A698" i="7"/>
  <c r="O58" i="3"/>
  <c r="C58" i="3"/>
  <c r="A73" i="7"/>
  <c r="I58" i="3"/>
  <c r="A314" i="7"/>
  <c r="AN56" i="4"/>
  <c r="A57" i="3"/>
  <c r="B61" i="7"/>
  <c r="U65" i="29"/>
  <c r="AA65" i="29"/>
  <c r="AB65" i="29" s="1"/>
  <c r="I60" i="7"/>
  <c r="L60" i="7"/>
  <c r="H60" i="7"/>
  <c r="J60" i="7"/>
  <c r="E60" i="7"/>
  <c r="G60" i="7"/>
  <c r="D60" i="7"/>
  <c r="A592" i="7"/>
  <c r="L58" i="3"/>
  <c r="N58" i="3"/>
  <c r="C698" i="7"/>
  <c r="C314" i="7"/>
  <c r="H58" i="3"/>
  <c r="AT57" i="4"/>
  <c r="M58" i="3"/>
  <c r="B698" i="7"/>
  <c r="L698" i="7" s="1"/>
  <c r="B314" i="7"/>
  <c r="L314" i="7" s="1"/>
  <c r="G58" i="3"/>
  <c r="AR57" i="4"/>
  <c r="A58" i="3"/>
  <c r="B62" i="7"/>
  <c r="AN57" i="4"/>
  <c r="B58" i="3"/>
  <c r="C62" i="7"/>
  <c r="F120" i="7"/>
  <c r="I121" i="7"/>
  <c r="D121" i="7"/>
  <c r="K121" i="7"/>
  <c r="E121" i="7"/>
  <c r="J121" i="7"/>
  <c r="G121" i="7"/>
  <c r="H121" i="7"/>
  <c r="W66" i="29"/>
  <c r="D65" i="29"/>
  <c r="J65" i="29"/>
  <c r="AF66" i="29"/>
  <c r="M65" i="29"/>
  <c r="G65" i="29"/>
  <c r="T66" i="29"/>
  <c r="K65" i="29"/>
  <c r="H46" i="29"/>
  <c r="L65" i="29"/>
  <c r="O65" i="29"/>
  <c r="N65" i="29"/>
  <c r="H47" i="29"/>
  <c r="AC66" i="29"/>
  <c r="I65" i="29"/>
  <c r="Z66" i="29"/>
  <c r="AV57" i="4" l="1"/>
  <c r="B592" i="7"/>
  <c r="AA66" i="29"/>
  <c r="E59" i="3"/>
  <c r="C141" i="7"/>
  <c r="AD66" i="29"/>
  <c r="U66" i="29"/>
  <c r="F59" i="3"/>
  <c r="A141" i="7"/>
  <c r="A699" i="7"/>
  <c r="O59" i="3"/>
  <c r="AG66" i="29"/>
  <c r="P66" i="29"/>
  <c r="I59" i="3"/>
  <c r="A375" i="7"/>
  <c r="A74" i="7"/>
  <c r="C59" i="3"/>
  <c r="X66" i="29"/>
  <c r="Y66" i="29" s="1"/>
  <c r="E61" i="7"/>
  <c r="J61" i="7"/>
  <c r="L61" i="7"/>
  <c r="H61" i="7"/>
  <c r="I61" i="7"/>
  <c r="G61" i="7"/>
  <c r="D61" i="7"/>
  <c r="V65" i="29"/>
  <c r="AH65" i="29"/>
  <c r="R65" i="29" s="1"/>
  <c r="Q65" i="29"/>
  <c r="F60" i="7"/>
  <c r="A593" i="7"/>
  <c r="L59" i="3"/>
  <c r="M59" i="3"/>
  <c r="AT58" i="4"/>
  <c r="B699" i="7"/>
  <c r="L699" i="7" s="1"/>
  <c r="G59" i="3"/>
  <c r="AR58" i="4"/>
  <c r="B375" i="7"/>
  <c r="L375" i="7" s="1"/>
  <c r="C699" i="7"/>
  <c r="N59" i="3"/>
  <c r="H59" i="3"/>
  <c r="C375" i="7"/>
  <c r="AE66" i="29"/>
  <c r="V66" i="29"/>
  <c r="G62" i="7"/>
  <c r="L62" i="7"/>
  <c r="J62" i="7"/>
  <c r="D62" i="7"/>
  <c r="E62" i="7"/>
  <c r="H62" i="7"/>
  <c r="I62" i="7"/>
  <c r="AB66" i="29"/>
  <c r="F121" i="7"/>
  <c r="AP39" i="4"/>
  <c r="B122" i="7"/>
  <c r="L122" i="7" s="1"/>
  <c r="D40" i="3"/>
  <c r="AP40" i="4"/>
  <c r="B123" i="7"/>
  <c r="L123" i="7" s="1"/>
  <c r="D41" i="3"/>
  <c r="K116" i="30"/>
  <c r="O116" i="30" s="1"/>
  <c r="K117" i="30"/>
  <c r="O117" i="30" s="1"/>
  <c r="J66" i="29"/>
  <c r="AF67" i="29"/>
  <c r="I66" i="29"/>
  <c r="F65" i="29"/>
  <c r="K66" i="29"/>
  <c r="F66" i="29"/>
  <c r="P117" i="30"/>
  <c r="N66" i="29"/>
  <c r="E66" i="29"/>
  <c r="P116" i="30"/>
  <c r="O66" i="29"/>
  <c r="Z67" i="29"/>
  <c r="T67" i="29"/>
  <c r="E65" i="29"/>
  <c r="L66" i="29"/>
  <c r="AC67" i="29"/>
  <c r="D66" i="29"/>
  <c r="G66" i="29"/>
  <c r="M66" i="29"/>
  <c r="W67" i="29"/>
  <c r="F61" i="7" l="1"/>
  <c r="X67" i="29"/>
  <c r="Y67" i="29" s="1"/>
  <c r="O60" i="3"/>
  <c r="A700" i="7"/>
  <c r="A142" i="7"/>
  <c r="F60" i="3"/>
  <c r="C60" i="3"/>
  <c r="A75" i="7"/>
  <c r="AD67" i="29"/>
  <c r="AE67" i="29" s="1"/>
  <c r="B63" i="7"/>
  <c r="AN58" i="4"/>
  <c r="A59" i="3"/>
  <c r="U67" i="29"/>
  <c r="AA67" i="29"/>
  <c r="AB67" i="29" s="1"/>
  <c r="B59" i="3"/>
  <c r="C63" i="7"/>
  <c r="C142" i="7"/>
  <c r="E60" i="3"/>
  <c r="P67" i="29"/>
  <c r="AG67" i="29"/>
  <c r="I60" i="3"/>
  <c r="A469" i="7"/>
  <c r="J59" i="3"/>
  <c r="B593" i="7"/>
  <c r="AV58" i="4"/>
  <c r="Q66" i="29"/>
  <c r="AH66" i="29"/>
  <c r="R66" i="29" s="1"/>
  <c r="K59" i="3"/>
  <c r="C593" i="7"/>
  <c r="A594" i="7"/>
  <c r="L60" i="3"/>
  <c r="AR59" i="4"/>
  <c r="G60" i="3"/>
  <c r="B469" i="7"/>
  <c r="L469" i="7" s="1"/>
  <c r="N60" i="3"/>
  <c r="C700" i="7"/>
  <c r="H60" i="3"/>
  <c r="C469" i="7"/>
  <c r="A60" i="3"/>
  <c r="B64" i="7"/>
  <c r="AN59" i="4"/>
  <c r="C64" i="7"/>
  <c r="B60" i="3"/>
  <c r="AT59" i="4"/>
  <c r="B700" i="7"/>
  <c r="L700" i="7" s="1"/>
  <c r="M60" i="3"/>
  <c r="F62" i="7"/>
  <c r="E122" i="7"/>
  <c r="K122" i="7"/>
  <c r="D122" i="7"/>
  <c r="J122" i="7"/>
  <c r="H122" i="7"/>
  <c r="W68" i="29"/>
  <c r="T68" i="29"/>
  <c r="H48" i="29"/>
  <c r="I67" i="29"/>
  <c r="M67" i="29"/>
  <c r="N67" i="29"/>
  <c r="K67" i="29"/>
  <c r="G67" i="29"/>
  <c r="AC68" i="29"/>
  <c r="J67" i="29"/>
  <c r="AF68" i="29"/>
  <c r="D67" i="29"/>
  <c r="Z68" i="29"/>
  <c r="L67" i="29"/>
  <c r="H49" i="29"/>
  <c r="O67" i="29"/>
  <c r="AA68" i="29" l="1"/>
  <c r="AB68" i="29" s="1"/>
  <c r="A76" i="7"/>
  <c r="C61" i="3"/>
  <c r="P68" i="29"/>
  <c r="L62" i="3" s="1"/>
  <c r="AG68" i="29"/>
  <c r="A338" i="7"/>
  <c r="I61" i="3"/>
  <c r="AD68" i="29"/>
  <c r="AE68" i="29" s="1"/>
  <c r="F61" i="3"/>
  <c r="A143" i="7"/>
  <c r="O61" i="3"/>
  <c r="A701" i="7"/>
  <c r="E61" i="3"/>
  <c r="C143" i="7"/>
  <c r="U68" i="29"/>
  <c r="X68" i="29"/>
  <c r="Y68" i="29" s="1"/>
  <c r="Q67" i="29"/>
  <c r="AH67" i="29"/>
  <c r="R67" i="29" s="1"/>
  <c r="C594" i="7"/>
  <c r="K60" i="3"/>
  <c r="B594" i="7"/>
  <c r="AV59" i="4"/>
  <c r="J60" i="3"/>
  <c r="L61" i="3"/>
  <c r="A595" i="7"/>
  <c r="V67" i="29"/>
  <c r="E63" i="7"/>
  <c r="D63" i="7"/>
  <c r="L63" i="7"/>
  <c r="H63" i="7"/>
  <c r="J63" i="7"/>
  <c r="I63" i="7"/>
  <c r="G63" i="7"/>
  <c r="N61" i="3"/>
  <c r="C701" i="7"/>
  <c r="G61" i="3"/>
  <c r="AR60" i="4"/>
  <c r="B338" i="7"/>
  <c r="L338" i="7" s="1"/>
  <c r="H61" i="3"/>
  <c r="C338" i="7"/>
  <c r="M61" i="3"/>
  <c r="B701" i="7"/>
  <c r="L701" i="7" s="1"/>
  <c r="AT60" i="4"/>
  <c r="L64" i="7"/>
  <c r="E64" i="7"/>
  <c r="I64" i="7"/>
  <c r="J64" i="7"/>
  <c r="D64" i="7"/>
  <c r="G64" i="7"/>
  <c r="H64" i="7"/>
  <c r="F122" i="7"/>
  <c r="D42" i="3"/>
  <c r="B124" i="7"/>
  <c r="L124" i="7" s="1"/>
  <c r="AP41" i="4"/>
  <c r="B125" i="7"/>
  <c r="L125" i="7" s="1"/>
  <c r="AP42" i="4"/>
  <c r="D43" i="3"/>
  <c r="K118" i="30"/>
  <c r="O118" i="30" s="1"/>
  <c r="K119" i="30"/>
  <c r="O119" i="30" s="1"/>
  <c r="M68" i="29"/>
  <c r="T69" i="29"/>
  <c r="W69" i="29"/>
  <c r="J68" i="29"/>
  <c r="D68" i="29"/>
  <c r="L68" i="29"/>
  <c r="N68" i="29"/>
  <c r="O68" i="29"/>
  <c r="Z69" i="29"/>
  <c r="AF69" i="29"/>
  <c r="I68" i="29"/>
  <c r="E67" i="29"/>
  <c r="P118" i="30"/>
  <c r="H50" i="29"/>
  <c r="K68" i="29"/>
  <c r="P119" i="30"/>
  <c r="AC69" i="29"/>
  <c r="G68" i="29"/>
  <c r="F67" i="29"/>
  <c r="A596" i="7" l="1"/>
  <c r="F63" i="7"/>
  <c r="C65" i="7"/>
  <c r="B61" i="3"/>
  <c r="A144" i="7"/>
  <c r="F62" i="3"/>
  <c r="AD69" i="29"/>
  <c r="B65" i="7"/>
  <c r="A61" i="3"/>
  <c r="AN60" i="4"/>
  <c r="E62" i="3"/>
  <c r="C144" i="7"/>
  <c r="P69" i="29"/>
  <c r="AG69" i="29"/>
  <c r="AA69" i="29"/>
  <c r="AB69" i="29" s="1"/>
  <c r="C62" i="3"/>
  <c r="A77" i="7"/>
  <c r="I62" i="3"/>
  <c r="A420" i="7"/>
  <c r="X69" i="29"/>
  <c r="Y69" i="29" s="1"/>
  <c r="U69" i="29"/>
  <c r="V69" i="29" s="1"/>
  <c r="O62" i="3"/>
  <c r="A702" i="7"/>
  <c r="V68" i="29"/>
  <c r="AH68" i="29"/>
  <c r="R68" i="29" s="1"/>
  <c r="Q68" i="29"/>
  <c r="K61" i="3"/>
  <c r="C595" i="7"/>
  <c r="AV60" i="4"/>
  <c r="B595" i="7"/>
  <c r="J61" i="3"/>
  <c r="AR61" i="4"/>
  <c r="G62" i="3"/>
  <c r="B420" i="7"/>
  <c r="L420" i="7" s="1"/>
  <c r="AT61" i="4"/>
  <c r="M62" i="3"/>
  <c r="B702" i="7"/>
  <c r="L702" i="7" s="1"/>
  <c r="C420" i="7"/>
  <c r="H62" i="3"/>
  <c r="C702" i="7"/>
  <c r="N62" i="3"/>
  <c r="F64" i="7"/>
  <c r="B126" i="7"/>
  <c r="L126" i="7" s="1"/>
  <c r="D44" i="3"/>
  <c r="AP43" i="4"/>
  <c r="J124" i="7"/>
  <c r="E124" i="7"/>
  <c r="I124" i="7"/>
  <c r="D124" i="7"/>
  <c r="G124" i="7"/>
  <c r="H124" i="7"/>
  <c r="K124" i="7"/>
  <c r="K120" i="30"/>
  <c r="O120" i="30" s="1"/>
  <c r="M69" i="29"/>
  <c r="J69" i="29"/>
  <c r="I69" i="29"/>
  <c r="AC70" i="29"/>
  <c r="Z70" i="29"/>
  <c r="E69" i="29"/>
  <c r="P120" i="30"/>
  <c r="AF70" i="29"/>
  <c r="G69" i="29"/>
  <c r="D69" i="29"/>
  <c r="F68" i="29"/>
  <c r="K69" i="29"/>
  <c r="W70" i="29"/>
  <c r="T70" i="29"/>
  <c r="E68" i="29"/>
  <c r="F69" i="29"/>
  <c r="L69" i="29"/>
  <c r="H51" i="29"/>
  <c r="AN61" i="4" l="1"/>
  <c r="B66" i="7"/>
  <c r="A62" i="3"/>
  <c r="U70" i="29"/>
  <c r="X70" i="29"/>
  <c r="Y70" i="29" s="1"/>
  <c r="B62" i="3"/>
  <c r="C66" i="7"/>
  <c r="A78" i="7"/>
  <c r="C63" i="3"/>
  <c r="A145" i="7"/>
  <c r="F63" i="3"/>
  <c r="AG70" i="29"/>
  <c r="P70" i="29"/>
  <c r="AA70" i="29"/>
  <c r="AD70" i="29"/>
  <c r="AE70" i="29" s="1"/>
  <c r="C145" i="7"/>
  <c r="E63" i="3"/>
  <c r="I63" i="3"/>
  <c r="A463" i="7"/>
  <c r="A703" i="7"/>
  <c r="O63" i="3"/>
  <c r="L65" i="7"/>
  <c r="D65" i="7"/>
  <c r="H65" i="7"/>
  <c r="E65" i="7"/>
  <c r="I65" i="7"/>
  <c r="G65" i="7"/>
  <c r="J65" i="7"/>
  <c r="AE69" i="29"/>
  <c r="AV61" i="4"/>
  <c r="B596" i="7"/>
  <c r="J62" i="3"/>
  <c r="Q69" i="29"/>
  <c r="AH69" i="29"/>
  <c r="R69" i="29" s="1"/>
  <c r="K62" i="3"/>
  <c r="C596" i="7"/>
  <c r="A597" i="7"/>
  <c r="L63" i="3"/>
  <c r="B463" i="7"/>
  <c r="L463" i="7" s="1"/>
  <c r="G63" i="3"/>
  <c r="AR62" i="4"/>
  <c r="C463" i="7"/>
  <c r="H63" i="3"/>
  <c r="A63" i="3"/>
  <c r="AN62" i="4"/>
  <c r="B67" i="7"/>
  <c r="B63" i="3"/>
  <c r="C67" i="7"/>
  <c r="AB70" i="29"/>
  <c r="F124" i="7"/>
  <c r="B127" i="7"/>
  <c r="L127" i="7" s="1"/>
  <c r="AP44" i="4"/>
  <c r="D45" i="3"/>
  <c r="H126" i="7"/>
  <c r="I126" i="7"/>
  <c r="D126" i="7"/>
  <c r="K126" i="7"/>
  <c r="J126" i="7"/>
  <c r="E126" i="7"/>
  <c r="G126" i="7"/>
  <c r="K121" i="30"/>
  <c r="O121" i="30" s="1"/>
  <c r="T71" i="29"/>
  <c r="G70" i="29"/>
  <c r="J70" i="29"/>
  <c r="D70" i="29"/>
  <c r="AF71" i="29"/>
  <c r="O69" i="29"/>
  <c r="L70" i="29"/>
  <c r="N70" i="29"/>
  <c r="P121" i="30"/>
  <c r="Z71" i="29"/>
  <c r="M70" i="29"/>
  <c r="N69" i="29"/>
  <c r="W71" i="29"/>
  <c r="AC71" i="29"/>
  <c r="H70" i="29"/>
  <c r="O70" i="29"/>
  <c r="I70" i="29"/>
  <c r="K70" i="29"/>
  <c r="H52" i="29"/>
  <c r="AD71" i="29" l="1"/>
  <c r="AE71" i="29" s="1"/>
  <c r="X71" i="29"/>
  <c r="Y71" i="29" s="1"/>
  <c r="AT62" i="4"/>
  <c r="B703" i="7"/>
  <c r="L703" i="7" s="1"/>
  <c r="M63" i="3"/>
  <c r="O64" i="3"/>
  <c r="A704" i="7"/>
  <c r="AA71" i="29"/>
  <c r="AB71" i="29" s="1"/>
  <c r="N63" i="3"/>
  <c r="C703" i="7"/>
  <c r="P71" i="29"/>
  <c r="AG71" i="29"/>
  <c r="C64" i="3"/>
  <c r="A39" i="7"/>
  <c r="A478" i="7"/>
  <c r="I64" i="3"/>
  <c r="A146" i="7"/>
  <c r="F64" i="3"/>
  <c r="U71" i="29"/>
  <c r="V71" i="29" s="1"/>
  <c r="K63" i="3"/>
  <c r="C597" i="7"/>
  <c r="F65" i="7"/>
  <c r="AH70" i="29"/>
  <c r="R70" i="29" s="1"/>
  <c r="Q70" i="29"/>
  <c r="V70" i="29"/>
  <c r="B597" i="7"/>
  <c r="AV62" i="4"/>
  <c r="J63" i="3"/>
  <c r="L66" i="7"/>
  <c r="E66" i="7"/>
  <c r="I66" i="7"/>
  <c r="G66" i="7"/>
  <c r="D66" i="7"/>
  <c r="J66" i="7"/>
  <c r="H66" i="7"/>
  <c r="L64" i="3"/>
  <c r="A598" i="7"/>
  <c r="E64" i="3"/>
  <c r="C146" i="7"/>
  <c r="G64" i="3"/>
  <c r="AR63" i="4"/>
  <c r="B478" i="7"/>
  <c r="L478" i="7" s="1"/>
  <c r="M64" i="3"/>
  <c r="AT63" i="4"/>
  <c r="B704" i="7"/>
  <c r="L704" i="7" s="1"/>
  <c r="C478" i="7"/>
  <c r="H64" i="3"/>
  <c r="N64" i="3"/>
  <c r="C704" i="7"/>
  <c r="G67" i="7"/>
  <c r="H67" i="7"/>
  <c r="D67" i="7"/>
  <c r="I67" i="7"/>
  <c r="E67" i="7"/>
  <c r="J67" i="7"/>
  <c r="L67" i="7"/>
  <c r="B128" i="7"/>
  <c r="L128" i="7" s="1"/>
  <c r="D46" i="3"/>
  <c r="AP45" i="4"/>
  <c r="F126" i="7"/>
  <c r="D127" i="7"/>
  <c r="H127" i="7"/>
  <c r="E127" i="7"/>
  <c r="K127" i="7"/>
  <c r="J127" i="7"/>
  <c r="K122" i="30"/>
  <c r="O122" i="30" s="1"/>
  <c r="G71" i="29"/>
  <c r="Z72" i="29"/>
  <c r="O71" i="29"/>
  <c r="AC72" i="29"/>
  <c r="W72" i="29"/>
  <c r="J71" i="29"/>
  <c r="F70" i="29"/>
  <c r="M71" i="29"/>
  <c r="AF72" i="29"/>
  <c r="D71" i="29"/>
  <c r="E70" i="29"/>
  <c r="I71" i="29"/>
  <c r="T72" i="29"/>
  <c r="H53" i="29"/>
  <c r="E71" i="29"/>
  <c r="P122" i="30"/>
  <c r="N71" i="29"/>
  <c r="L71" i="29"/>
  <c r="F71" i="29"/>
  <c r="K71" i="29"/>
  <c r="U72" i="29" l="1"/>
  <c r="C147" i="7"/>
  <c r="E65" i="3"/>
  <c r="AN63" i="4"/>
  <c r="A64" i="3"/>
  <c r="B68" i="7"/>
  <c r="A40" i="7"/>
  <c r="C65" i="3"/>
  <c r="P72" i="29"/>
  <c r="AG72" i="29"/>
  <c r="A705" i="7"/>
  <c r="O65" i="3"/>
  <c r="C68" i="7"/>
  <c r="B64" i="3"/>
  <c r="I65" i="3"/>
  <c r="A316" i="7"/>
  <c r="X72" i="29"/>
  <c r="Y72" i="29" s="1"/>
  <c r="AD72" i="29"/>
  <c r="AE72" i="29" s="1"/>
  <c r="AA72" i="29"/>
  <c r="A147" i="7"/>
  <c r="F65" i="3"/>
  <c r="C598" i="7"/>
  <c r="K64" i="3"/>
  <c r="F66" i="7"/>
  <c r="AH71" i="29"/>
  <c r="R71" i="29" s="1"/>
  <c r="Q71" i="29"/>
  <c r="J64" i="3"/>
  <c r="AV63" i="4"/>
  <c r="B598" i="7"/>
  <c r="A599" i="7"/>
  <c r="L65" i="3"/>
  <c r="C316" i="7"/>
  <c r="H65" i="3"/>
  <c r="M65" i="3"/>
  <c r="B705" i="7"/>
  <c r="L705" i="7" s="1"/>
  <c r="AT64" i="4"/>
  <c r="AN64" i="4"/>
  <c r="B69" i="7"/>
  <c r="A65" i="3"/>
  <c r="N65" i="3"/>
  <c r="C705" i="7"/>
  <c r="C69" i="7"/>
  <c r="B65" i="3"/>
  <c r="G65" i="3"/>
  <c r="AR64" i="4"/>
  <c r="B316" i="7"/>
  <c r="L316" i="7" s="1"/>
  <c r="AB72" i="29"/>
  <c r="F67" i="7"/>
  <c r="V72" i="29"/>
  <c r="B129" i="7"/>
  <c r="L129" i="7" s="1"/>
  <c r="D47" i="3"/>
  <c r="AP46" i="4"/>
  <c r="F127" i="7"/>
  <c r="E128" i="7"/>
  <c r="J128" i="7"/>
  <c r="I128" i="7"/>
  <c r="K128" i="7"/>
  <c r="G128" i="7"/>
  <c r="D128" i="7"/>
  <c r="H128" i="7"/>
  <c r="K123" i="30"/>
  <c r="O123" i="30" s="1"/>
  <c r="W73" i="29"/>
  <c r="M72" i="29"/>
  <c r="K72" i="29"/>
  <c r="D72" i="29"/>
  <c r="G72" i="29"/>
  <c r="F72" i="29"/>
  <c r="T73" i="29"/>
  <c r="AF73" i="29"/>
  <c r="Z73" i="29"/>
  <c r="L72" i="29"/>
  <c r="O72" i="29"/>
  <c r="N72" i="29"/>
  <c r="E72" i="29"/>
  <c r="P123" i="30"/>
  <c r="I72" i="29"/>
  <c r="AC73" i="29"/>
  <c r="J72" i="29"/>
  <c r="I66" i="3" l="1"/>
  <c r="A450" i="7"/>
  <c r="AD73" i="29"/>
  <c r="E66" i="3"/>
  <c r="C148" i="7"/>
  <c r="AA73" i="29"/>
  <c r="AB73" i="29" s="1"/>
  <c r="P73" i="29"/>
  <c r="AG73" i="29"/>
  <c r="D73" i="29"/>
  <c r="U73" i="29"/>
  <c r="A148" i="7"/>
  <c r="F66" i="3"/>
  <c r="C66" i="3"/>
  <c r="A41" i="7"/>
  <c r="A706" i="7"/>
  <c r="O66" i="3"/>
  <c r="X73" i="29"/>
  <c r="Y73" i="29" s="1"/>
  <c r="A600" i="7"/>
  <c r="L66" i="3"/>
  <c r="J68" i="7"/>
  <c r="E68" i="7"/>
  <c r="I68" i="7"/>
  <c r="L68" i="7"/>
  <c r="G68" i="7"/>
  <c r="H68" i="7"/>
  <c r="D68" i="7"/>
  <c r="J65" i="3"/>
  <c r="AV64" i="4"/>
  <c r="B599" i="7"/>
  <c r="K65" i="3"/>
  <c r="C599" i="7"/>
  <c r="AH72" i="29"/>
  <c r="R72" i="29" s="1"/>
  <c r="Q72" i="29"/>
  <c r="M66" i="3"/>
  <c r="B706" i="7"/>
  <c r="L706" i="7" s="1"/>
  <c r="AT65" i="4"/>
  <c r="B70" i="7"/>
  <c r="AN65" i="4"/>
  <c r="A66" i="3"/>
  <c r="C706" i="7"/>
  <c r="N66" i="3"/>
  <c r="B66" i="3"/>
  <c r="C70" i="7"/>
  <c r="B450" i="7"/>
  <c r="L450" i="7" s="1"/>
  <c r="AR65" i="4"/>
  <c r="G66" i="3"/>
  <c r="C450" i="7"/>
  <c r="H66" i="3"/>
  <c r="AE73" i="29"/>
  <c r="L69" i="7"/>
  <c r="G69" i="7"/>
  <c r="E69" i="7"/>
  <c r="H69" i="7"/>
  <c r="I69" i="7"/>
  <c r="D69" i="7"/>
  <c r="J69" i="7"/>
  <c r="F128" i="7"/>
  <c r="G129" i="7"/>
  <c r="H129" i="7"/>
  <c r="J129" i="7"/>
  <c r="D129" i="7"/>
  <c r="K129" i="7"/>
  <c r="E129" i="7"/>
  <c r="I129" i="7"/>
  <c r="J73" i="29"/>
  <c r="G73" i="29"/>
  <c r="O73" i="29"/>
  <c r="L73" i="29"/>
  <c r="K73" i="29"/>
  <c r="N73" i="29"/>
  <c r="H55" i="29"/>
  <c r="Z74" i="29"/>
  <c r="AC74" i="29"/>
  <c r="W74" i="29"/>
  <c r="M73" i="29"/>
  <c r="AF74" i="29"/>
  <c r="T74" i="29"/>
  <c r="I73" i="29"/>
  <c r="H54" i="29"/>
  <c r="F68" i="7" l="1"/>
  <c r="C149" i="7"/>
  <c r="E67" i="3"/>
  <c r="U74" i="29"/>
  <c r="D74" i="29"/>
  <c r="AG74" i="29"/>
  <c r="P74" i="29"/>
  <c r="A707" i="7"/>
  <c r="O67" i="3"/>
  <c r="X74" i="29"/>
  <c r="Y74" i="29" s="1"/>
  <c r="AD74" i="29"/>
  <c r="AE74" i="29" s="1"/>
  <c r="AA74" i="29"/>
  <c r="AB74" i="29" s="1"/>
  <c r="A149" i="7"/>
  <c r="F67" i="3"/>
  <c r="I67" i="3"/>
  <c r="A344" i="7"/>
  <c r="C600" i="7"/>
  <c r="K66" i="3"/>
  <c r="V73" i="29"/>
  <c r="F73" i="29" s="1"/>
  <c r="E73" i="29"/>
  <c r="L67" i="3"/>
  <c r="A601" i="7"/>
  <c r="C67" i="3"/>
  <c r="A42" i="7"/>
  <c r="AV65" i="4"/>
  <c r="J66" i="3"/>
  <c r="B600" i="7"/>
  <c r="Q73" i="29"/>
  <c r="AH73" i="29"/>
  <c r="R73" i="29" s="1"/>
  <c r="AR66" i="4"/>
  <c r="B344" i="7"/>
  <c r="L344" i="7" s="1"/>
  <c r="G67" i="3"/>
  <c r="H67" i="3"/>
  <c r="C344" i="7"/>
  <c r="N67" i="3"/>
  <c r="C707" i="7"/>
  <c r="M67" i="3"/>
  <c r="AT66" i="4"/>
  <c r="B707" i="7"/>
  <c r="L707" i="7" s="1"/>
  <c r="F69" i="7"/>
  <c r="L70" i="7"/>
  <c r="G70" i="7"/>
  <c r="I70" i="7"/>
  <c r="D70" i="7"/>
  <c r="E70" i="7"/>
  <c r="H70" i="7"/>
  <c r="J70" i="7"/>
  <c r="AP47" i="4"/>
  <c r="D48" i="3"/>
  <c r="B130" i="7"/>
  <c r="L130" i="7" s="1"/>
  <c r="B131" i="7"/>
  <c r="L131" i="7" s="1"/>
  <c r="AP48" i="4"/>
  <c r="D49" i="3"/>
  <c r="K124" i="30"/>
  <c r="O124" i="30" s="1"/>
  <c r="F129" i="7"/>
  <c r="K125" i="30"/>
  <c r="O125" i="30" s="1"/>
  <c r="W75" i="29"/>
  <c r="J74" i="29"/>
  <c r="K74" i="29"/>
  <c r="L74" i="29"/>
  <c r="H56" i="29"/>
  <c r="P125" i="30"/>
  <c r="M74" i="29"/>
  <c r="Z75" i="29"/>
  <c r="N74" i="29"/>
  <c r="O74" i="29"/>
  <c r="P124" i="30"/>
  <c r="G74" i="29"/>
  <c r="T75" i="29"/>
  <c r="AF75" i="29"/>
  <c r="I74" i="29"/>
  <c r="AC75" i="29"/>
  <c r="AD75" i="29" l="1"/>
  <c r="AE75" i="29" s="1"/>
  <c r="C150" i="7"/>
  <c r="E68" i="3"/>
  <c r="AG75" i="29"/>
  <c r="P75" i="29"/>
  <c r="U75" i="29"/>
  <c r="V75" i="29" s="1"/>
  <c r="F75" i="29" s="1"/>
  <c r="D75" i="29"/>
  <c r="F68" i="3"/>
  <c r="A150" i="7"/>
  <c r="AA75" i="29"/>
  <c r="AB75" i="29" s="1"/>
  <c r="A708" i="7"/>
  <c r="O68" i="3"/>
  <c r="I68" i="3"/>
  <c r="A440" i="7"/>
  <c r="X75" i="29"/>
  <c r="Y75" i="29" s="1"/>
  <c r="K67" i="3"/>
  <c r="C601" i="7"/>
  <c r="AV66" i="4"/>
  <c r="B601" i="7"/>
  <c r="J67" i="3"/>
  <c r="B71" i="7"/>
  <c r="L71" i="7" s="1"/>
  <c r="A67" i="3"/>
  <c r="AN66" i="4"/>
  <c r="A602" i="7"/>
  <c r="L68" i="3"/>
  <c r="V74" i="29"/>
  <c r="F74" i="29" s="1"/>
  <c r="E74" i="29"/>
  <c r="C71" i="7"/>
  <c r="B67" i="3"/>
  <c r="Q74" i="29"/>
  <c r="AH74" i="29"/>
  <c r="R74" i="29" s="1"/>
  <c r="A43" i="7"/>
  <c r="C68" i="3"/>
  <c r="N68" i="3"/>
  <c r="C708" i="7"/>
  <c r="H68" i="3"/>
  <c r="C440" i="7"/>
  <c r="G68" i="3"/>
  <c r="B440" i="7"/>
  <c r="L440" i="7" s="1"/>
  <c r="AR67" i="4"/>
  <c r="M68" i="3"/>
  <c r="AT67" i="4"/>
  <c r="B708" i="7"/>
  <c r="L708" i="7" s="1"/>
  <c r="F70" i="7"/>
  <c r="B132" i="7"/>
  <c r="L132" i="7" s="1"/>
  <c r="AP49" i="4"/>
  <c r="D50" i="3"/>
  <c r="D130" i="7"/>
  <c r="J130" i="7"/>
  <c r="E130" i="7"/>
  <c r="H130" i="7"/>
  <c r="G130" i="7"/>
  <c r="I130" i="7"/>
  <c r="K130" i="7"/>
  <c r="D131" i="7"/>
  <c r="K131" i="7"/>
  <c r="H131" i="7"/>
  <c r="E131" i="7"/>
  <c r="J131" i="7"/>
  <c r="K126" i="30"/>
  <c r="O126" i="30" s="1"/>
  <c r="W76" i="29"/>
  <c r="O75" i="29"/>
  <c r="N75" i="29"/>
  <c r="L75" i="29"/>
  <c r="P126" i="30"/>
  <c r="M75" i="29"/>
  <c r="Z76" i="29"/>
  <c r="I75" i="29"/>
  <c r="AC76" i="29"/>
  <c r="AF76" i="29"/>
  <c r="T76" i="29"/>
  <c r="G75" i="29"/>
  <c r="K75" i="29"/>
  <c r="J75" i="29"/>
  <c r="H57" i="29"/>
  <c r="E75" i="29" l="1"/>
  <c r="AN68" i="4" s="1"/>
  <c r="A334" i="7"/>
  <c r="I69" i="3"/>
  <c r="F69" i="3"/>
  <c r="A151" i="7"/>
  <c r="D76" i="29"/>
  <c r="U76" i="29"/>
  <c r="AG76" i="29"/>
  <c r="P76" i="29"/>
  <c r="AD76" i="29"/>
  <c r="AE76" i="29" s="1"/>
  <c r="E69" i="3"/>
  <c r="C151" i="7"/>
  <c r="AA76" i="29"/>
  <c r="A709" i="7"/>
  <c r="O69" i="3"/>
  <c r="X76" i="29"/>
  <c r="Y76" i="29" s="1"/>
  <c r="L69" i="3"/>
  <c r="A603" i="7"/>
  <c r="C602" i="7"/>
  <c r="K68" i="3"/>
  <c r="AN67" i="4"/>
  <c r="B72" i="7"/>
  <c r="L72" i="7" s="1"/>
  <c r="A68" i="3"/>
  <c r="AV67" i="4"/>
  <c r="J68" i="3"/>
  <c r="B602" i="7"/>
  <c r="B68" i="3"/>
  <c r="C72" i="7"/>
  <c r="A44" i="7"/>
  <c r="C69" i="3"/>
  <c r="AH75" i="29"/>
  <c r="R75" i="29" s="1"/>
  <c r="Q75" i="29"/>
  <c r="AR68" i="4"/>
  <c r="B334" i="7"/>
  <c r="L334" i="7" s="1"/>
  <c r="G69" i="3"/>
  <c r="H69" i="3"/>
  <c r="C334" i="7"/>
  <c r="M69" i="3"/>
  <c r="B709" i="7"/>
  <c r="L709" i="7" s="1"/>
  <c r="AT68" i="4"/>
  <c r="C709" i="7"/>
  <c r="N69" i="3"/>
  <c r="C73" i="7"/>
  <c r="B69" i="3"/>
  <c r="AB76" i="29"/>
  <c r="F131" i="7"/>
  <c r="F130" i="7"/>
  <c r="B133" i="7"/>
  <c r="L133" i="7" s="1"/>
  <c r="D51" i="3"/>
  <c r="AP50" i="4"/>
  <c r="J132" i="7"/>
  <c r="E132" i="7"/>
  <c r="H132" i="7"/>
  <c r="I132" i="7"/>
  <c r="D132" i="7"/>
  <c r="K132" i="7"/>
  <c r="G132" i="7"/>
  <c r="K127" i="30"/>
  <c r="O127" i="30" s="1"/>
  <c r="O577" i="7"/>
  <c r="R577" i="7"/>
  <c r="R562" i="7"/>
  <c r="O562" i="7"/>
  <c r="R547" i="7"/>
  <c r="O578" i="7"/>
  <c r="R578" i="7"/>
  <c r="O547" i="7"/>
  <c r="R563" i="7"/>
  <c r="O563" i="7"/>
  <c r="O548" i="7"/>
  <c r="R548" i="7"/>
  <c r="AC77" i="29"/>
  <c r="I76" i="29"/>
  <c r="AF77" i="29"/>
  <c r="J76" i="29"/>
  <c r="W77" i="29"/>
  <c r="N76" i="29"/>
  <c r="K76" i="29"/>
  <c r="H58" i="29"/>
  <c r="L76" i="29"/>
  <c r="T77" i="29"/>
  <c r="G76" i="29"/>
  <c r="O76" i="29"/>
  <c r="P127" i="30"/>
  <c r="M76" i="29"/>
  <c r="Z77" i="29"/>
  <c r="A69" i="3" l="1"/>
  <c r="B73" i="7"/>
  <c r="L73" i="7" s="1"/>
  <c r="AA77" i="29"/>
  <c r="AB77" i="29" s="1"/>
  <c r="A710" i="7"/>
  <c r="O70" i="3"/>
  <c r="F70" i="3"/>
  <c r="A152" i="7"/>
  <c r="D77" i="29"/>
  <c r="U77" i="29"/>
  <c r="X77" i="29"/>
  <c r="Y77" i="29" s="1"/>
  <c r="I70" i="3"/>
  <c r="A359" i="7"/>
  <c r="AG77" i="29"/>
  <c r="P77" i="29"/>
  <c r="C152" i="7"/>
  <c r="E70" i="3"/>
  <c r="AD77" i="29"/>
  <c r="AE77" i="29" s="1"/>
  <c r="Q76" i="29"/>
  <c r="AH76" i="29"/>
  <c r="R76" i="29" s="1"/>
  <c r="J69" i="3"/>
  <c r="AV68" i="4"/>
  <c r="B603" i="7"/>
  <c r="K69" i="3"/>
  <c r="C603" i="7"/>
  <c r="E76" i="29"/>
  <c r="V76" i="29"/>
  <c r="F76" i="29" s="1"/>
  <c r="L70" i="3"/>
  <c r="A604" i="7"/>
  <c r="C70" i="3"/>
  <c r="A45" i="7"/>
  <c r="AT69" i="4"/>
  <c r="B710" i="7"/>
  <c r="L710" i="7" s="1"/>
  <c r="M70" i="3"/>
  <c r="C710" i="7"/>
  <c r="N70" i="3"/>
  <c r="AR69" i="4"/>
  <c r="G70" i="3"/>
  <c r="B359" i="7"/>
  <c r="L359" i="7" s="1"/>
  <c r="C359" i="7"/>
  <c r="H70" i="3"/>
  <c r="S548" i="7"/>
  <c r="P548" i="7"/>
  <c r="P563" i="7"/>
  <c r="S563" i="7"/>
  <c r="P547" i="7"/>
  <c r="S578" i="7"/>
  <c r="P578" i="7"/>
  <c r="S547" i="7"/>
  <c r="P562" i="7"/>
  <c r="S562" i="7"/>
  <c r="S577" i="7"/>
  <c r="P577" i="7"/>
  <c r="F132" i="7"/>
  <c r="D52" i="3"/>
  <c r="B134" i="7"/>
  <c r="L134" i="7" s="1"/>
  <c r="AP51" i="4"/>
  <c r="J133" i="7"/>
  <c r="K133" i="7"/>
  <c r="E133" i="7"/>
  <c r="G133" i="7"/>
  <c r="D133" i="7"/>
  <c r="I133" i="7"/>
  <c r="H133" i="7"/>
  <c r="K128" i="30"/>
  <c r="O128" i="30" s="1"/>
  <c r="T78" i="29"/>
  <c r="I77" i="29"/>
  <c r="Z78" i="29"/>
  <c r="AC78" i="29"/>
  <c r="K77" i="29"/>
  <c r="O77" i="29"/>
  <c r="L77" i="29"/>
  <c r="J77" i="29"/>
  <c r="G77" i="29"/>
  <c r="M77" i="29"/>
  <c r="W78" i="29"/>
  <c r="AF78" i="29"/>
  <c r="P128" i="30"/>
  <c r="N77" i="29"/>
  <c r="H59" i="29"/>
  <c r="AG78" i="29" l="1"/>
  <c r="Q78" i="29" s="1"/>
  <c r="P78" i="29"/>
  <c r="L72" i="3" s="1"/>
  <c r="X78" i="29"/>
  <c r="Y78" i="29" s="1"/>
  <c r="A711" i="7"/>
  <c r="O71" i="3"/>
  <c r="F71" i="3"/>
  <c r="A153" i="7"/>
  <c r="A435" i="7"/>
  <c r="I71" i="3"/>
  <c r="AD78" i="29"/>
  <c r="AE78" i="29" s="1"/>
  <c r="AA78" i="29"/>
  <c r="AB78" i="29" s="1"/>
  <c r="C153" i="7"/>
  <c r="E71" i="3"/>
  <c r="D78" i="29"/>
  <c r="U78" i="29"/>
  <c r="E78" i="29" s="1"/>
  <c r="C74" i="7"/>
  <c r="B70" i="3"/>
  <c r="B604" i="7"/>
  <c r="J70" i="3"/>
  <c r="AV69" i="4"/>
  <c r="C71" i="3"/>
  <c r="A46" i="7"/>
  <c r="B74" i="7"/>
  <c r="L74" i="7" s="1"/>
  <c r="A70" i="3"/>
  <c r="AN69" i="4"/>
  <c r="L71" i="3"/>
  <c r="A605" i="7"/>
  <c r="E77" i="29"/>
  <c r="V77" i="29"/>
  <c r="F77" i="29" s="1"/>
  <c r="K70" i="3"/>
  <c r="C604" i="7"/>
  <c r="Q77" i="29"/>
  <c r="AH77" i="29"/>
  <c r="R77" i="29" s="1"/>
  <c r="A606" i="7"/>
  <c r="N71" i="3"/>
  <c r="C711" i="7"/>
  <c r="B435" i="7"/>
  <c r="L435" i="7" s="1"/>
  <c r="AR70" i="4"/>
  <c r="G71" i="3"/>
  <c r="H71" i="3"/>
  <c r="C435" i="7"/>
  <c r="M71" i="3"/>
  <c r="AT70" i="4"/>
  <c r="B711" i="7"/>
  <c r="L711" i="7" s="1"/>
  <c r="AH78" i="29"/>
  <c r="R78" i="29" s="1"/>
  <c r="F133" i="7"/>
  <c r="B135" i="7"/>
  <c r="L135" i="7" s="1"/>
  <c r="AP52" i="4"/>
  <c r="D53" i="3"/>
  <c r="H134" i="7"/>
  <c r="K134" i="7"/>
  <c r="G134" i="7"/>
  <c r="I134" i="7"/>
  <c r="E134" i="7"/>
  <c r="J134" i="7"/>
  <c r="D134" i="7"/>
  <c r="K129" i="30"/>
  <c r="O129" i="30" s="1"/>
  <c r="W79" i="29"/>
  <c r="K78" i="29"/>
  <c r="P129" i="30"/>
  <c r="I78" i="29"/>
  <c r="AC79" i="29"/>
  <c r="Z79" i="29"/>
  <c r="AF79" i="29"/>
  <c r="M78" i="29"/>
  <c r="T79" i="29"/>
  <c r="G78" i="29"/>
  <c r="J78" i="29"/>
  <c r="H60" i="29"/>
  <c r="O78" i="29"/>
  <c r="N78" i="29"/>
  <c r="L78" i="29"/>
  <c r="V78" i="29" l="1"/>
  <c r="F78" i="29" s="1"/>
  <c r="B72" i="3" s="1"/>
  <c r="I72" i="3"/>
  <c r="A445" i="7"/>
  <c r="A154" i="7"/>
  <c r="F72" i="3"/>
  <c r="U79" i="29"/>
  <c r="V79" i="29" s="1"/>
  <c r="F79" i="29" s="1"/>
  <c r="D79" i="29"/>
  <c r="A712" i="7"/>
  <c r="O72" i="3"/>
  <c r="AG79" i="29"/>
  <c r="P79" i="29"/>
  <c r="AA79" i="29"/>
  <c r="AB79" i="29" s="1"/>
  <c r="AD79" i="29"/>
  <c r="E72" i="3"/>
  <c r="C154" i="7"/>
  <c r="X79" i="29"/>
  <c r="Y79" i="29" s="1"/>
  <c r="B605" i="7"/>
  <c r="J71" i="3"/>
  <c r="AV70" i="4"/>
  <c r="B75" i="7"/>
  <c r="L75" i="7" s="1"/>
  <c r="A71" i="3"/>
  <c r="AN70" i="4"/>
  <c r="C605" i="7"/>
  <c r="K71" i="3"/>
  <c r="C75" i="7"/>
  <c r="B71" i="3"/>
  <c r="A47" i="7"/>
  <c r="C72" i="3"/>
  <c r="H72" i="3"/>
  <c r="C445" i="7"/>
  <c r="N72" i="3"/>
  <c r="C712" i="7"/>
  <c r="B445" i="7"/>
  <c r="L445" i="7" s="1"/>
  <c r="G72" i="3"/>
  <c r="AR71" i="4"/>
  <c r="AT71" i="4"/>
  <c r="B712" i="7"/>
  <c r="L712" i="7" s="1"/>
  <c r="M72" i="3"/>
  <c r="B76" i="7"/>
  <c r="L76" i="7" s="1"/>
  <c r="A72" i="3"/>
  <c r="AN71" i="4"/>
  <c r="J72" i="3"/>
  <c r="AV71" i="4"/>
  <c r="B606" i="7"/>
  <c r="C76" i="7"/>
  <c r="K72" i="3"/>
  <c r="C606" i="7"/>
  <c r="F134" i="7"/>
  <c r="AP53" i="4"/>
  <c r="B136" i="7"/>
  <c r="L136" i="7" s="1"/>
  <c r="D54" i="3"/>
  <c r="D135" i="7"/>
  <c r="J135" i="7"/>
  <c r="H135" i="7"/>
  <c r="E135" i="7"/>
  <c r="K135" i="7"/>
  <c r="K130" i="30"/>
  <c r="O130" i="30" s="1"/>
  <c r="J79" i="29"/>
  <c r="AC80" i="29"/>
  <c r="I79" i="29"/>
  <c r="K79" i="29"/>
  <c r="H61" i="29"/>
  <c r="L79" i="29"/>
  <c r="P130" i="30"/>
  <c r="T80" i="29"/>
  <c r="M79" i="29"/>
  <c r="G79" i="29"/>
  <c r="Z80" i="29"/>
  <c r="W80" i="29"/>
  <c r="AF80" i="29"/>
  <c r="E79" i="29" l="1"/>
  <c r="AN72" i="4" s="1"/>
  <c r="P80" i="29"/>
  <c r="AG80" i="29"/>
  <c r="AH80" i="29" s="1"/>
  <c r="R80" i="29" s="1"/>
  <c r="X80" i="29"/>
  <c r="Y80" i="29" s="1"/>
  <c r="AA80" i="29"/>
  <c r="A155" i="7"/>
  <c r="F73" i="3"/>
  <c r="A727" i="7"/>
  <c r="O73" i="3"/>
  <c r="D80" i="29"/>
  <c r="U80" i="29"/>
  <c r="E73" i="3"/>
  <c r="C155" i="7"/>
  <c r="AD80" i="29"/>
  <c r="AE80" i="29" s="1"/>
  <c r="I73" i="3"/>
  <c r="A481" i="7"/>
  <c r="AE79" i="29"/>
  <c r="A607" i="7"/>
  <c r="L73" i="3"/>
  <c r="C73" i="3"/>
  <c r="A48" i="7"/>
  <c r="AH79" i="29"/>
  <c r="R79" i="29" s="1"/>
  <c r="Q79" i="29"/>
  <c r="G73" i="3"/>
  <c r="B481" i="7"/>
  <c r="L481" i="7" s="1"/>
  <c r="AR72" i="4"/>
  <c r="C481" i="7"/>
  <c r="H73" i="3"/>
  <c r="C77" i="7"/>
  <c r="B73" i="3"/>
  <c r="B137" i="7"/>
  <c r="L137" i="7" s="1"/>
  <c r="D55" i="3"/>
  <c r="AP54" i="4"/>
  <c r="F135" i="7"/>
  <c r="K131" i="30"/>
  <c r="O131" i="30" s="1"/>
  <c r="W81" i="29"/>
  <c r="N79" i="29"/>
  <c r="AF81" i="29"/>
  <c r="I80" i="29"/>
  <c r="T81" i="29"/>
  <c r="Z81" i="29"/>
  <c r="M80" i="29"/>
  <c r="H62" i="29"/>
  <c r="O80" i="29"/>
  <c r="P131" i="30"/>
  <c r="G80" i="29"/>
  <c r="J80" i="29"/>
  <c r="AC81" i="29"/>
  <c r="O79" i="29"/>
  <c r="N80" i="29"/>
  <c r="B77" i="7" l="1"/>
  <c r="L77" i="7" s="1"/>
  <c r="Q80" i="29"/>
  <c r="J74" i="3" s="1"/>
  <c r="A73" i="3"/>
  <c r="N73" i="3"/>
  <c r="C713" i="7"/>
  <c r="AD81" i="29"/>
  <c r="AE81" i="29" s="1"/>
  <c r="A464" i="7"/>
  <c r="I74" i="3"/>
  <c r="F74" i="3"/>
  <c r="A156" i="7"/>
  <c r="O74" i="3"/>
  <c r="A728" i="7"/>
  <c r="AA81" i="29"/>
  <c r="AB81" i="29" s="1"/>
  <c r="D81" i="29"/>
  <c r="U81" i="29"/>
  <c r="E74" i="3"/>
  <c r="C156" i="7"/>
  <c r="P81" i="29"/>
  <c r="AG81" i="29"/>
  <c r="AT72" i="4"/>
  <c r="M73" i="3"/>
  <c r="B713" i="7"/>
  <c r="L713" i="7" s="1"/>
  <c r="X81" i="29"/>
  <c r="Y81" i="29" s="1"/>
  <c r="V80" i="29"/>
  <c r="F80" i="29" s="1"/>
  <c r="E80" i="29"/>
  <c r="B607" i="7"/>
  <c r="J73" i="3"/>
  <c r="AV72" i="4"/>
  <c r="A49" i="7"/>
  <c r="C74" i="3"/>
  <c r="K74" i="3"/>
  <c r="C608" i="7"/>
  <c r="K73" i="3"/>
  <c r="C607" i="7"/>
  <c r="AB80" i="29"/>
  <c r="A608" i="7"/>
  <c r="L74" i="3"/>
  <c r="M74" i="3"/>
  <c r="B714" i="7"/>
  <c r="L714" i="7" s="1"/>
  <c r="AT73" i="4"/>
  <c r="N74" i="3"/>
  <c r="C714" i="7"/>
  <c r="AP55" i="4"/>
  <c r="B138" i="7"/>
  <c r="L138" i="7" s="1"/>
  <c r="D56" i="3"/>
  <c r="E137" i="7"/>
  <c r="J137" i="7"/>
  <c r="I137" i="7"/>
  <c r="K137" i="7"/>
  <c r="G137" i="7"/>
  <c r="H137" i="7"/>
  <c r="D137" i="7"/>
  <c r="K132" i="30"/>
  <c r="O132" i="30" s="1"/>
  <c r="K80" i="29"/>
  <c r="O81" i="29"/>
  <c r="P132" i="30"/>
  <c r="Z82" i="29"/>
  <c r="AF82" i="29"/>
  <c r="W82" i="29"/>
  <c r="M81" i="29"/>
  <c r="T82" i="29"/>
  <c r="I81" i="29"/>
  <c r="K81" i="29"/>
  <c r="N81" i="29"/>
  <c r="AC82" i="29"/>
  <c r="J81" i="29"/>
  <c r="G81" i="29"/>
  <c r="L80" i="29"/>
  <c r="H63" i="29"/>
  <c r="L81" i="29"/>
  <c r="AV73" i="4" l="1"/>
  <c r="B608" i="7"/>
  <c r="H74" i="3"/>
  <c r="C464" i="7"/>
  <c r="F75" i="3"/>
  <c r="A157" i="7"/>
  <c r="A355" i="7"/>
  <c r="I75" i="3"/>
  <c r="AD82" i="29"/>
  <c r="AE82" i="29" s="1"/>
  <c r="C157" i="7"/>
  <c r="E75" i="3"/>
  <c r="U82" i="29"/>
  <c r="D82" i="29"/>
  <c r="C76" i="3" s="1"/>
  <c r="A729" i="7"/>
  <c r="O75" i="3"/>
  <c r="X82" i="29"/>
  <c r="Y82" i="29" s="1"/>
  <c r="AG82" i="29"/>
  <c r="P82" i="29"/>
  <c r="AA82" i="29"/>
  <c r="AB82" i="29" s="1"/>
  <c r="B464" i="7"/>
  <c r="L464" i="7" s="1"/>
  <c r="AR73" i="4"/>
  <c r="G74" i="3"/>
  <c r="A609" i="7"/>
  <c r="L75" i="3"/>
  <c r="A50" i="7"/>
  <c r="C75" i="3"/>
  <c r="A74" i="3"/>
  <c r="B78" i="7"/>
  <c r="L78" i="7" s="1"/>
  <c r="AN73" i="4"/>
  <c r="C78" i="7"/>
  <c r="B74" i="3"/>
  <c r="AH81" i="29"/>
  <c r="R81" i="29" s="1"/>
  <c r="Q81" i="29"/>
  <c r="V81" i="29"/>
  <c r="F81" i="29" s="1"/>
  <c r="E81" i="29"/>
  <c r="C355" i="7"/>
  <c r="H75" i="3"/>
  <c r="AT74" i="4"/>
  <c r="B715" i="7"/>
  <c r="L715" i="7" s="1"/>
  <c r="M75" i="3"/>
  <c r="N75" i="3"/>
  <c r="C715" i="7"/>
  <c r="AR74" i="4"/>
  <c r="B355" i="7"/>
  <c r="L355" i="7" s="1"/>
  <c r="G75" i="3"/>
  <c r="F137" i="7"/>
  <c r="B139" i="7"/>
  <c r="L139" i="7" s="1"/>
  <c r="AP56" i="4"/>
  <c r="D57" i="3"/>
  <c r="K133" i="30"/>
  <c r="O133" i="30" s="1"/>
  <c r="M82" i="29"/>
  <c r="T83" i="29"/>
  <c r="G82" i="29"/>
  <c r="W83" i="29"/>
  <c r="L82" i="29"/>
  <c r="I82" i="29"/>
  <c r="J82" i="29"/>
  <c r="N82" i="29"/>
  <c r="H64" i="29"/>
  <c r="K82" i="29"/>
  <c r="O82" i="29"/>
  <c r="P133" i="30"/>
  <c r="AC83" i="29"/>
  <c r="AF83" i="29"/>
  <c r="Z83" i="29"/>
  <c r="AA83" i="29" l="1"/>
  <c r="AB83" i="29" s="1"/>
  <c r="P83" i="29"/>
  <c r="AG83" i="29"/>
  <c r="AD83" i="29"/>
  <c r="AE83" i="29" s="1"/>
  <c r="A485" i="7"/>
  <c r="I76" i="3"/>
  <c r="C158" i="7"/>
  <c r="E76" i="3"/>
  <c r="X83" i="29"/>
  <c r="Y83" i="29" s="1"/>
  <c r="A158" i="7"/>
  <c r="F76" i="3"/>
  <c r="U83" i="29"/>
  <c r="V83" i="29" s="1"/>
  <c r="F83" i="29" s="1"/>
  <c r="B77" i="3" s="1"/>
  <c r="D83" i="29"/>
  <c r="C77" i="3" s="1"/>
  <c r="A730" i="7"/>
  <c r="O76" i="3"/>
  <c r="B75" i="3"/>
  <c r="C79" i="7"/>
  <c r="V82" i="29"/>
  <c r="F82" i="29" s="1"/>
  <c r="B76" i="3" s="1"/>
  <c r="E82" i="29"/>
  <c r="B609" i="7"/>
  <c r="AV74" i="4"/>
  <c r="J75" i="3"/>
  <c r="C609" i="7"/>
  <c r="K75" i="3"/>
  <c r="A610" i="7"/>
  <c r="L76" i="3"/>
  <c r="B79" i="7"/>
  <c r="L79" i="7" s="1"/>
  <c r="AN74" i="4"/>
  <c r="A75" i="3"/>
  <c r="AH82" i="29"/>
  <c r="R82" i="29" s="1"/>
  <c r="Q82" i="29"/>
  <c r="E83" i="29"/>
  <c r="N76" i="3"/>
  <c r="C716" i="7"/>
  <c r="AR75" i="4"/>
  <c r="B485" i="7"/>
  <c r="L485" i="7" s="1"/>
  <c r="G76" i="3"/>
  <c r="H76" i="3"/>
  <c r="C485" i="7"/>
  <c r="AT75" i="4"/>
  <c r="B716" i="7"/>
  <c r="L716" i="7" s="1"/>
  <c r="M76" i="3"/>
  <c r="B140" i="7"/>
  <c r="L140" i="7" s="1"/>
  <c r="AP57" i="4"/>
  <c r="D58" i="3"/>
  <c r="H139" i="7"/>
  <c r="K139" i="7"/>
  <c r="G139" i="7"/>
  <c r="J139" i="7"/>
  <c r="E139" i="7"/>
  <c r="D139" i="7"/>
  <c r="I139" i="7"/>
  <c r="K134" i="30"/>
  <c r="O134" i="30" s="1"/>
  <c r="Z84" i="29"/>
  <c r="AF84" i="29"/>
  <c r="AC84" i="29"/>
  <c r="N83" i="29"/>
  <c r="G83" i="29"/>
  <c r="J83" i="29"/>
  <c r="M83" i="29"/>
  <c r="W84" i="29"/>
  <c r="I83" i="29"/>
  <c r="T84" i="29"/>
  <c r="L83" i="29"/>
  <c r="K83" i="29"/>
  <c r="H65" i="29"/>
  <c r="P134" i="30"/>
  <c r="O83" i="29"/>
  <c r="U84" i="29" l="1"/>
  <c r="D84" i="29"/>
  <c r="C78" i="3" s="1"/>
  <c r="C159" i="7"/>
  <c r="E77" i="3"/>
  <c r="X84" i="29"/>
  <c r="Y84" i="29" s="1"/>
  <c r="A731" i="7"/>
  <c r="O77" i="3"/>
  <c r="I77" i="3"/>
  <c r="A419" i="7"/>
  <c r="A159" i="7"/>
  <c r="F77" i="3"/>
  <c r="AD84" i="29"/>
  <c r="AE84" i="29" s="1"/>
  <c r="P84" i="29"/>
  <c r="L78" i="3" s="1"/>
  <c r="AG84" i="29"/>
  <c r="AA84" i="29"/>
  <c r="AB84" i="29" s="1"/>
  <c r="A611" i="7"/>
  <c r="L77" i="3"/>
  <c r="AV75" i="4"/>
  <c r="J76" i="3"/>
  <c r="B610" i="7"/>
  <c r="AN75" i="4"/>
  <c r="A76" i="3"/>
  <c r="C610" i="7"/>
  <c r="K76" i="3"/>
  <c r="AH83" i="29"/>
  <c r="R83" i="29" s="1"/>
  <c r="Q83" i="29"/>
  <c r="A77" i="3"/>
  <c r="AN76" i="4"/>
  <c r="C717" i="7"/>
  <c r="N77" i="3"/>
  <c r="AR76" i="4"/>
  <c r="G77" i="3"/>
  <c r="B419" i="7"/>
  <c r="L419" i="7" s="1"/>
  <c r="C419" i="7"/>
  <c r="H77" i="3"/>
  <c r="AT76" i="4"/>
  <c r="M77" i="3"/>
  <c r="B717" i="7"/>
  <c r="L717" i="7" s="1"/>
  <c r="F139" i="7"/>
  <c r="B141" i="7"/>
  <c r="L141" i="7" s="1"/>
  <c r="D59" i="3"/>
  <c r="AP58" i="4"/>
  <c r="J140" i="7"/>
  <c r="E140" i="7"/>
  <c r="D140" i="7"/>
  <c r="G140" i="7"/>
  <c r="I140" i="7"/>
  <c r="H140" i="7"/>
  <c r="K135" i="30"/>
  <c r="O135" i="30" s="1"/>
  <c r="M84" i="29"/>
  <c r="I84" i="29"/>
  <c r="Z85" i="29"/>
  <c r="N84" i="29"/>
  <c r="H66" i="29"/>
  <c r="O84" i="29"/>
  <c r="T85" i="29"/>
  <c r="W85" i="29"/>
  <c r="J84" i="29"/>
  <c r="G84" i="29"/>
  <c r="AC85" i="29"/>
  <c r="AF85" i="29"/>
  <c r="L84" i="29"/>
  <c r="K84" i="29"/>
  <c r="P135" i="30"/>
  <c r="A612" i="7" l="1"/>
  <c r="AG85" i="29"/>
  <c r="P85" i="29"/>
  <c r="A613" i="7" s="1"/>
  <c r="AD85" i="29"/>
  <c r="F78" i="3"/>
  <c r="A160" i="7"/>
  <c r="I78" i="3"/>
  <c r="A461" i="7"/>
  <c r="X85" i="29"/>
  <c r="Y85" i="29" s="1"/>
  <c r="D85" i="29"/>
  <c r="C79" i="3" s="1"/>
  <c r="U85" i="29"/>
  <c r="AA85" i="29"/>
  <c r="AB85" i="29" s="1"/>
  <c r="E78" i="3"/>
  <c r="C160" i="7"/>
  <c r="A732" i="7"/>
  <c r="O78" i="3"/>
  <c r="AH84" i="29"/>
  <c r="R84" i="29" s="1"/>
  <c r="Q84" i="29"/>
  <c r="B611" i="7"/>
  <c r="AV76" i="4"/>
  <c r="J77" i="3"/>
  <c r="C611" i="7"/>
  <c r="K77" i="3"/>
  <c r="E84" i="29"/>
  <c r="V84" i="29"/>
  <c r="F84" i="29" s="1"/>
  <c r="B78" i="3" s="1"/>
  <c r="C718" i="7"/>
  <c r="N78" i="3"/>
  <c r="G78" i="3"/>
  <c r="B461" i="7"/>
  <c r="L461" i="7" s="1"/>
  <c r="AR77" i="4"/>
  <c r="C461" i="7"/>
  <c r="H78" i="3"/>
  <c r="B718" i="7"/>
  <c r="L718" i="7" s="1"/>
  <c r="M78" i="3"/>
  <c r="AT77" i="4"/>
  <c r="AE85" i="29"/>
  <c r="AP59" i="4"/>
  <c r="B142" i="7"/>
  <c r="L142" i="7" s="1"/>
  <c r="D60" i="3"/>
  <c r="F140" i="7"/>
  <c r="D141" i="7"/>
  <c r="K141" i="7"/>
  <c r="G141" i="7"/>
  <c r="E141" i="7"/>
  <c r="J141" i="7"/>
  <c r="I141" i="7"/>
  <c r="H141" i="7"/>
  <c r="K136" i="30"/>
  <c r="O136" i="30" s="1"/>
  <c r="AF86" i="29"/>
  <c r="AC86" i="29"/>
  <c r="G85" i="29"/>
  <c r="M85" i="29"/>
  <c r="J85" i="29"/>
  <c r="W86" i="29"/>
  <c r="Z86" i="29"/>
  <c r="P136" i="30"/>
  <c r="L85" i="29"/>
  <c r="K85" i="29"/>
  <c r="O85" i="29"/>
  <c r="N85" i="29"/>
  <c r="H67" i="29"/>
  <c r="I85" i="29"/>
  <c r="T86" i="29"/>
  <c r="L79" i="3" l="1"/>
  <c r="U86" i="29"/>
  <c r="D86" i="29"/>
  <c r="C80" i="3" s="1"/>
  <c r="E79" i="3"/>
  <c r="C161" i="7"/>
  <c r="AA86" i="29"/>
  <c r="X86" i="29"/>
  <c r="Y86" i="29" s="1"/>
  <c r="I79" i="3"/>
  <c r="A473" i="7"/>
  <c r="A733" i="7"/>
  <c r="O79" i="3"/>
  <c r="A161" i="7"/>
  <c r="F79" i="3"/>
  <c r="AD86" i="29"/>
  <c r="AE86" i="29" s="1"/>
  <c r="P86" i="29"/>
  <c r="AG86" i="29"/>
  <c r="K78" i="3"/>
  <c r="C612" i="7"/>
  <c r="A78" i="3"/>
  <c r="AN77" i="4"/>
  <c r="E85" i="29"/>
  <c r="V85" i="29"/>
  <c r="F85" i="29" s="1"/>
  <c r="B79" i="3" s="1"/>
  <c r="Q85" i="29"/>
  <c r="AH85" i="29"/>
  <c r="R85" i="29" s="1"/>
  <c r="AV77" i="4"/>
  <c r="J78" i="3"/>
  <c r="B612" i="7"/>
  <c r="M79" i="3"/>
  <c r="AT78" i="4"/>
  <c r="B719" i="7"/>
  <c r="L719" i="7" s="1"/>
  <c r="N79" i="3"/>
  <c r="C719" i="7"/>
  <c r="AR78" i="4"/>
  <c r="G79" i="3"/>
  <c r="B473" i="7"/>
  <c r="L473" i="7" s="1"/>
  <c r="C473" i="7"/>
  <c r="H79" i="3"/>
  <c r="AB86" i="29"/>
  <c r="D61" i="3"/>
  <c r="B143" i="7"/>
  <c r="L143" i="7" s="1"/>
  <c r="AP60" i="4"/>
  <c r="F141" i="7"/>
  <c r="K137" i="30"/>
  <c r="O137" i="30" s="1"/>
  <c r="W87" i="29"/>
  <c r="P137" i="30"/>
  <c r="T87" i="29"/>
  <c r="G86" i="29"/>
  <c r="K86" i="29"/>
  <c r="N86" i="29"/>
  <c r="Z87" i="29"/>
  <c r="I86" i="29"/>
  <c r="M86" i="29"/>
  <c r="AF87" i="29"/>
  <c r="H68" i="29"/>
  <c r="L86" i="29"/>
  <c r="J86" i="29"/>
  <c r="AC87" i="29"/>
  <c r="O86" i="29"/>
  <c r="AD87" i="29" l="1"/>
  <c r="AE87" i="29" s="1"/>
  <c r="I80" i="3"/>
  <c r="A421" i="7"/>
  <c r="P87" i="29"/>
  <c r="AG87" i="29"/>
  <c r="O80" i="3"/>
  <c r="A734" i="7"/>
  <c r="E80" i="3"/>
  <c r="C162" i="7"/>
  <c r="AA87" i="29"/>
  <c r="AB87" i="29" s="1"/>
  <c r="A162" i="7"/>
  <c r="F80" i="3"/>
  <c r="U87" i="29"/>
  <c r="D87" i="29"/>
  <c r="C81" i="3" s="1"/>
  <c r="X87" i="29"/>
  <c r="Y87" i="29" s="1"/>
  <c r="A79" i="3"/>
  <c r="AN78" i="4"/>
  <c r="C613" i="7"/>
  <c r="K79" i="3"/>
  <c r="AV78" i="4"/>
  <c r="B613" i="7"/>
  <c r="J79" i="3"/>
  <c r="AH86" i="29"/>
  <c r="R86" i="29" s="1"/>
  <c r="Q86" i="29"/>
  <c r="L80" i="3"/>
  <c r="A614" i="7"/>
  <c r="E86" i="29"/>
  <c r="V86" i="29"/>
  <c r="F86" i="29" s="1"/>
  <c r="B80" i="3" s="1"/>
  <c r="C720" i="7"/>
  <c r="N80" i="3"/>
  <c r="AR79" i="4"/>
  <c r="G80" i="3"/>
  <c r="B421" i="7"/>
  <c r="L421" i="7" s="1"/>
  <c r="C421" i="7"/>
  <c r="H80" i="3"/>
  <c r="B720" i="7"/>
  <c r="L720" i="7" s="1"/>
  <c r="AT79" i="4"/>
  <c r="M80" i="3"/>
  <c r="D62" i="3"/>
  <c r="AP61" i="4"/>
  <c r="B144" i="7"/>
  <c r="L144" i="7" s="1"/>
  <c r="D143" i="7"/>
  <c r="I143" i="7"/>
  <c r="J143" i="7"/>
  <c r="G143" i="7"/>
  <c r="E143" i="7"/>
  <c r="K143" i="7"/>
  <c r="H143" i="7"/>
  <c r="K138" i="30"/>
  <c r="O138" i="30" s="1"/>
  <c r="M87" i="29"/>
  <c r="Z88" i="29"/>
  <c r="I87" i="29"/>
  <c r="O87" i="29"/>
  <c r="H69" i="29"/>
  <c r="K87" i="29"/>
  <c r="AF88" i="29"/>
  <c r="G87" i="29"/>
  <c r="AC88" i="29"/>
  <c r="J87" i="29"/>
  <c r="T88" i="29"/>
  <c r="W88" i="29"/>
  <c r="N87" i="29"/>
  <c r="L87" i="29"/>
  <c r="P138" i="30"/>
  <c r="X88" i="29" l="1"/>
  <c r="Y88" i="29" s="1"/>
  <c r="D88" i="29"/>
  <c r="C82" i="3" s="1"/>
  <c r="U88" i="29"/>
  <c r="I81" i="3"/>
  <c r="A452" i="7"/>
  <c r="AD88" i="29"/>
  <c r="F81" i="3"/>
  <c r="A163" i="7"/>
  <c r="AG88" i="29"/>
  <c r="AH88" i="29" s="1"/>
  <c r="R88" i="29" s="1"/>
  <c r="C616" i="7" s="1"/>
  <c r="P88" i="29"/>
  <c r="A616" i="7" s="1"/>
  <c r="C163" i="7"/>
  <c r="E81" i="3"/>
  <c r="AA88" i="29"/>
  <c r="AB88" i="29" s="1"/>
  <c r="A735" i="7"/>
  <c r="O81" i="3"/>
  <c r="J80" i="3"/>
  <c r="B614" i="7"/>
  <c r="AV79" i="4"/>
  <c r="Q87" i="29"/>
  <c r="AH87" i="29"/>
  <c r="R87" i="29" s="1"/>
  <c r="AN79" i="4"/>
  <c r="A80" i="3"/>
  <c r="C614" i="7"/>
  <c r="K80" i="3"/>
  <c r="L81" i="3"/>
  <c r="A615" i="7"/>
  <c r="E87" i="29"/>
  <c r="V87" i="29"/>
  <c r="F87" i="29" s="1"/>
  <c r="B81" i="3" s="1"/>
  <c r="Q88" i="29"/>
  <c r="B616" i="7" s="1"/>
  <c r="C452" i="7"/>
  <c r="H81" i="3"/>
  <c r="B721" i="7"/>
  <c r="L721" i="7" s="1"/>
  <c r="M81" i="3"/>
  <c r="AT80" i="4"/>
  <c r="N81" i="3"/>
  <c r="C721" i="7"/>
  <c r="G81" i="3"/>
  <c r="AR80" i="4"/>
  <c r="B452" i="7"/>
  <c r="L452" i="7" s="1"/>
  <c r="AE88" i="29"/>
  <c r="D63" i="3"/>
  <c r="AP62" i="4"/>
  <c r="B145" i="7"/>
  <c r="L145" i="7" s="1"/>
  <c r="F143" i="7"/>
  <c r="K139" i="30"/>
  <c r="O139" i="30" s="1"/>
  <c r="W89" i="29"/>
  <c r="Z89" i="29"/>
  <c r="O88" i="29"/>
  <c r="P139" i="30"/>
  <c r="I88" i="29"/>
  <c r="M88" i="29"/>
  <c r="K88" i="29"/>
  <c r="N88" i="29"/>
  <c r="G88" i="29"/>
  <c r="AC89" i="29"/>
  <c r="AF89" i="29"/>
  <c r="L88" i="29"/>
  <c r="T89" i="29"/>
  <c r="J88" i="29"/>
  <c r="L82" i="3" l="1"/>
  <c r="K82" i="3"/>
  <c r="A406" i="7"/>
  <c r="I82" i="3"/>
  <c r="U89" i="29"/>
  <c r="D89" i="29"/>
  <c r="C83" i="3" s="1"/>
  <c r="P89" i="29"/>
  <c r="A617" i="7" s="1"/>
  <c r="AG89" i="29"/>
  <c r="AD89" i="29"/>
  <c r="AE89" i="29" s="1"/>
  <c r="F82" i="3"/>
  <c r="A164" i="7"/>
  <c r="O82" i="3"/>
  <c r="A736" i="7"/>
  <c r="E82" i="3"/>
  <c r="C164" i="7"/>
  <c r="AA89" i="29"/>
  <c r="AB89" i="29" s="1"/>
  <c r="X89" i="29"/>
  <c r="Y89" i="29" s="1"/>
  <c r="C615" i="7"/>
  <c r="K81" i="3"/>
  <c r="AN80" i="4"/>
  <c r="A81" i="3"/>
  <c r="AV80" i="4"/>
  <c r="B615" i="7"/>
  <c r="J81" i="3"/>
  <c r="E88" i="29"/>
  <c r="V88" i="29"/>
  <c r="F88" i="29" s="1"/>
  <c r="B82" i="3" s="1"/>
  <c r="AV81" i="4"/>
  <c r="J82" i="3"/>
  <c r="M82" i="3"/>
  <c r="B722" i="7"/>
  <c r="L722" i="7" s="1"/>
  <c r="AT81" i="4"/>
  <c r="N82" i="3"/>
  <c r="C722" i="7"/>
  <c r="B406" i="7"/>
  <c r="L406" i="7" s="1"/>
  <c r="AR81" i="4"/>
  <c r="G82" i="3"/>
  <c r="H82" i="3"/>
  <c r="C406" i="7"/>
  <c r="AP63" i="4"/>
  <c r="B146" i="7"/>
  <c r="L146" i="7" s="1"/>
  <c r="D64" i="3"/>
  <c r="K140" i="30"/>
  <c r="O140" i="30" s="1"/>
  <c r="M89" i="29"/>
  <c r="I89" i="29"/>
  <c r="H71" i="29"/>
  <c r="L89" i="29"/>
  <c r="N89" i="29"/>
  <c r="O89" i="29"/>
  <c r="AC90" i="29"/>
  <c r="Z90" i="29"/>
  <c r="G89" i="29"/>
  <c r="T90" i="29"/>
  <c r="AF90" i="29"/>
  <c r="J89" i="29"/>
  <c r="W90" i="29"/>
  <c r="K89" i="29"/>
  <c r="P140" i="30"/>
  <c r="L83" i="3" l="1"/>
  <c r="X90" i="29"/>
  <c r="Y90" i="29" s="1"/>
  <c r="I83" i="3"/>
  <c r="A311" i="7"/>
  <c r="P90" i="29"/>
  <c r="L84" i="3" s="1"/>
  <c r="AG90" i="29"/>
  <c r="AH90" i="29" s="1"/>
  <c r="R90" i="29" s="1"/>
  <c r="K84" i="3" s="1"/>
  <c r="U90" i="29"/>
  <c r="D90" i="29"/>
  <c r="C84" i="3" s="1"/>
  <c r="A165" i="7"/>
  <c r="F83" i="3"/>
  <c r="AA90" i="29"/>
  <c r="AB90" i="29" s="1"/>
  <c r="AD90" i="29"/>
  <c r="AE90" i="29" s="1"/>
  <c r="E83" i="3"/>
  <c r="C165" i="7"/>
  <c r="A737" i="7"/>
  <c r="O83" i="3"/>
  <c r="Q89" i="29"/>
  <c r="AH89" i="29"/>
  <c r="R89" i="29" s="1"/>
  <c r="V89" i="29"/>
  <c r="F89" i="29" s="1"/>
  <c r="B83" i="3" s="1"/>
  <c r="E89" i="29"/>
  <c r="A82" i="3"/>
  <c r="AN81" i="4"/>
  <c r="B723" i="7"/>
  <c r="L723" i="7" s="1"/>
  <c r="M83" i="3"/>
  <c r="AT82" i="4"/>
  <c r="N83" i="3"/>
  <c r="C723" i="7"/>
  <c r="B311" i="7"/>
  <c r="L311" i="7" s="1"/>
  <c r="G83" i="3"/>
  <c r="AR82" i="4"/>
  <c r="C311" i="7"/>
  <c r="H83" i="3"/>
  <c r="AP64" i="4"/>
  <c r="B147" i="7"/>
  <c r="L147" i="7" s="1"/>
  <c r="D65" i="3"/>
  <c r="K141" i="30"/>
  <c r="O141" i="30" s="1"/>
  <c r="G90" i="29"/>
  <c r="H72" i="29"/>
  <c r="W91" i="29"/>
  <c r="AF91" i="29"/>
  <c r="AC91" i="29"/>
  <c r="P141" i="30"/>
  <c r="L90" i="29"/>
  <c r="O90" i="29"/>
  <c r="I90" i="29"/>
  <c r="T91" i="29"/>
  <c r="Z91" i="29"/>
  <c r="M90" i="29"/>
  <c r="J90" i="29"/>
  <c r="N90" i="29"/>
  <c r="K90" i="29"/>
  <c r="Q90" i="29" l="1"/>
  <c r="B618" i="7" s="1"/>
  <c r="C618" i="7"/>
  <c r="A618" i="7"/>
  <c r="I84" i="3"/>
  <c r="A426" i="7"/>
  <c r="A738" i="7"/>
  <c r="O84" i="3"/>
  <c r="AA91" i="29"/>
  <c r="AB91" i="29" s="1"/>
  <c r="D91" i="29"/>
  <c r="C85" i="3" s="1"/>
  <c r="U91" i="29"/>
  <c r="E91" i="29" s="1"/>
  <c r="A85" i="3" s="1"/>
  <c r="C166" i="7"/>
  <c r="E84" i="3"/>
  <c r="AD91" i="29"/>
  <c r="AE91" i="29" s="1"/>
  <c r="AG91" i="29"/>
  <c r="AH91" i="29" s="1"/>
  <c r="R91" i="29" s="1"/>
  <c r="P91" i="29"/>
  <c r="X91" i="29"/>
  <c r="Y91" i="29" s="1"/>
  <c r="F84" i="3"/>
  <c r="A166" i="7"/>
  <c r="J83" i="3"/>
  <c r="AV82" i="4"/>
  <c r="B617" i="7"/>
  <c r="AN82" i="4"/>
  <c r="A83" i="3"/>
  <c r="K83" i="3"/>
  <c r="C617" i="7"/>
  <c r="V90" i="29"/>
  <c r="F90" i="29" s="1"/>
  <c r="B84" i="3" s="1"/>
  <c r="E90" i="29"/>
  <c r="C426" i="7"/>
  <c r="H84" i="3"/>
  <c r="AT83" i="4"/>
  <c r="B724" i="7"/>
  <c r="L724" i="7" s="1"/>
  <c r="M84" i="3"/>
  <c r="N84" i="3"/>
  <c r="C724" i="7"/>
  <c r="G84" i="3"/>
  <c r="B426" i="7"/>
  <c r="L426" i="7" s="1"/>
  <c r="AR83" i="4"/>
  <c r="B148" i="7"/>
  <c r="L148" i="7" s="1"/>
  <c r="D66" i="3"/>
  <c r="AP65" i="4"/>
  <c r="K142" i="30"/>
  <c r="O142" i="30" s="1"/>
  <c r="AC92" i="29"/>
  <c r="W92" i="29"/>
  <c r="N91" i="29"/>
  <c r="J91" i="29"/>
  <c r="T92" i="29"/>
  <c r="AF92" i="29"/>
  <c r="Z92" i="29"/>
  <c r="M91" i="29"/>
  <c r="I91" i="29"/>
  <c r="G91" i="29"/>
  <c r="K91" i="29"/>
  <c r="O91" i="29"/>
  <c r="P142" i="30"/>
  <c r="L91" i="29"/>
  <c r="H73" i="29"/>
  <c r="J84" i="3" l="1"/>
  <c r="AV83" i="4"/>
  <c r="AN84" i="4"/>
  <c r="Q91" i="29"/>
  <c r="J85" i="3" s="1"/>
  <c r="V91" i="29"/>
  <c r="F91" i="29" s="1"/>
  <c r="B85" i="3" s="1"/>
  <c r="A167" i="7"/>
  <c r="F85" i="3"/>
  <c r="C167" i="7"/>
  <c r="E85" i="3"/>
  <c r="A739" i="7"/>
  <c r="O85" i="3"/>
  <c r="AA92" i="29"/>
  <c r="AB92" i="29" s="1"/>
  <c r="P92" i="29"/>
  <c r="AG92" i="29"/>
  <c r="U92" i="29"/>
  <c r="V92" i="29" s="1"/>
  <c r="F92" i="29" s="1"/>
  <c r="B86" i="3" s="1"/>
  <c r="D92" i="29"/>
  <c r="C86" i="3" s="1"/>
  <c r="A327" i="7"/>
  <c r="I85" i="3"/>
  <c r="X92" i="29"/>
  <c r="Y92" i="29" s="1"/>
  <c r="AD92" i="29"/>
  <c r="AE92" i="29" s="1"/>
  <c r="AN83" i="4"/>
  <c r="A84" i="3"/>
  <c r="C619" i="7"/>
  <c r="K85" i="3"/>
  <c r="L85" i="3"/>
  <c r="A619" i="7"/>
  <c r="E92" i="29"/>
  <c r="AN85" i="4" s="1"/>
  <c r="C725" i="7"/>
  <c r="N85" i="3"/>
  <c r="G85" i="3"/>
  <c r="AR84" i="4"/>
  <c r="B327" i="7"/>
  <c r="L327" i="7" s="1"/>
  <c r="H85" i="3"/>
  <c r="C327" i="7"/>
  <c r="M85" i="3"/>
  <c r="AT84" i="4"/>
  <c r="B725" i="7"/>
  <c r="L725" i="7" s="1"/>
  <c r="D67" i="3"/>
  <c r="B149" i="7"/>
  <c r="L149" i="7" s="1"/>
  <c r="AP66" i="4"/>
  <c r="K143" i="30"/>
  <c r="O143" i="30" s="1"/>
  <c r="Z93" i="29"/>
  <c r="K92" i="29"/>
  <c r="W93" i="29"/>
  <c r="M92" i="29"/>
  <c r="J92" i="29"/>
  <c r="T93" i="29"/>
  <c r="I92" i="29"/>
  <c r="AC93" i="29"/>
  <c r="O92" i="29"/>
  <c r="N92" i="29"/>
  <c r="P143" i="30"/>
  <c r="L92" i="29"/>
  <c r="AF93" i="29"/>
  <c r="G92" i="29"/>
  <c r="B619" i="7" l="1"/>
  <c r="A86" i="3"/>
  <c r="AV84" i="4"/>
  <c r="F86" i="3"/>
  <c r="A168" i="7"/>
  <c r="AG93" i="29"/>
  <c r="P93" i="29"/>
  <c r="AD93" i="29"/>
  <c r="C168" i="7"/>
  <c r="E86" i="3"/>
  <c r="D93" i="29"/>
  <c r="C87" i="3" s="1"/>
  <c r="U93" i="29"/>
  <c r="E93" i="29" s="1"/>
  <c r="A346" i="7"/>
  <c r="I86" i="3"/>
  <c r="O86" i="3"/>
  <c r="A740" i="7"/>
  <c r="X93" i="29"/>
  <c r="Y93" i="29" s="1"/>
  <c r="AA93" i="29"/>
  <c r="AB93" i="29" s="1"/>
  <c r="Q92" i="29"/>
  <c r="AH92" i="29"/>
  <c r="R92" i="29" s="1"/>
  <c r="A620" i="7"/>
  <c r="L86" i="3"/>
  <c r="B346" i="7"/>
  <c r="L346" i="7" s="1"/>
  <c r="G86" i="3"/>
  <c r="AR85" i="4"/>
  <c r="C346" i="7"/>
  <c r="H86" i="3"/>
  <c r="AT85" i="4"/>
  <c r="M86" i="3"/>
  <c r="B726" i="7"/>
  <c r="L726" i="7" s="1"/>
  <c r="N86" i="3"/>
  <c r="C726" i="7"/>
  <c r="E149" i="7"/>
  <c r="I149" i="7"/>
  <c r="K149" i="7"/>
  <c r="D149" i="7"/>
  <c r="H149" i="7"/>
  <c r="J149" i="7"/>
  <c r="G149" i="7"/>
  <c r="Z94" i="29"/>
  <c r="I93" i="29"/>
  <c r="J93" i="29"/>
  <c r="AC94" i="29"/>
  <c r="G93" i="29"/>
  <c r="H75" i="29"/>
  <c r="K93" i="29"/>
  <c r="L93" i="29"/>
  <c r="AF94" i="29"/>
  <c r="M93" i="29"/>
  <c r="T94" i="29"/>
  <c r="W94" i="29"/>
  <c r="H74" i="29"/>
  <c r="V93" i="29" l="1"/>
  <c r="F93" i="29" s="1"/>
  <c r="B87" i="3" s="1"/>
  <c r="X94" i="29"/>
  <c r="Y94" i="29" s="1"/>
  <c r="U94" i="29"/>
  <c r="D94" i="29"/>
  <c r="C88" i="3" s="1"/>
  <c r="O87" i="3"/>
  <c r="A741" i="7"/>
  <c r="P94" i="29"/>
  <c r="AG94" i="29"/>
  <c r="A169" i="7"/>
  <c r="F87" i="3"/>
  <c r="AD94" i="29"/>
  <c r="AE94" i="29" s="1"/>
  <c r="I87" i="3"/>
  <c r="A455" i="7"/>
  <c r="E87" i="3"/>
  <c r="C169" i="7"/>
  <c r="AA94" i="29"/>
  <c r="AV85" i="4"/>
  <c r="B620" i="7"/>
  <c r="J86" i="3"/>
  <c r="Q93" i="29"/>
  <c r="AH93" i="29"/>
  <c r="R93" i="29" s="1"/>
  <c r="AE93" i="29"/>
  <c r="K86" i="3"/>
  <c r="C620" i="7"/>
  <c r="AN86" i="4"/>
  <c r="A87" i="3"/>
  <c r="A621" i="7"/>
  <c r="L87" i="3"/>
  <c r="G87" i="3"/>
  <c r="AR86" i="4"/>
  <c r="B455" i="7"/>
  <c r="L455" i="7" s="1"/>
  <c r="H87" i="3"/>
  <c r="C455" i="7"/>
  <c r="F149" i="7"/>
  <c r="B151" i="7"/>
  <c r="L151" i="7" s="1"/>
  <c r="D69" i="3"/>
  <c r="AP68" i="4"/>
  <c r="AP67" i="4"/>
  <c r="B150" i="7"/>
  <c r="L150" i="7" s="1"/>
  <c r="D68" i="3"/>
  <c r="K145" i="30"/>
  <c r="O145" i="30" s="1"/>
  <c r="K144" i="30"/>
  <c r="O144" i="30" s="1"/>
  <c r="I94" i="29"/>
  <c r="J94" i="29"/>
  <c r="O93" i="29"/>
  <c r="P145" i="30"/>
  <c r="P144" i="30"/>
  <c r="O94" i="29"/>
  <c r="N94" i="29"/>
  <c r="H76" i="29"/>
  <c r="W95" i="29"/>
  <c r="T95" i="29"/>
  <c r="N93" i="29"/>
  <c r="G94" i="29"/>
  <c r="AF95" i="29"/>
  <c r="M94" i="29"/>
  <c r="Z95" i="29"/>
  <c r="AC95" i="29"/>
  <c r="AD95" i="29" l="1"/>
  <c r="AE95" i="29" s="1"/>
  <c r="AA95" i="29"/>
  <c r="A742" i="7"/>
  <c r="O88" i="3"/>
  <c r="P95" i="29"/>
  <c r="AG95" i="29"/>
  <c r="Q95" i="29" s="1"/>
  <c r="A170" i="7"/>
  <c r="F88" i="3"/>
  <c r="B727" i="7"/>
  <c r="L727" i="7" s="1"/>
  <c r="M87" i="3"/>
  <c r="AT86" i="4"/>
  <c r="U95" i="29"/>
  <c r="V95" i="29" s="1"/>
  <c r="F95" i="29" s="1"/>
  <c r="B89" i="3" s="1"/>
  <c r="D95" i="29"/>
  <c r="C89" i="3" s="1"/>
  <c r="X95" i="29"/>
  <c r="Y95" i="29" s="1"/>
  <c r="C727" i="7"/>
  <c r="N87" i="3"/>
  <c r="I88" i="3"/>
  <c r="A366" i="7"/>
  <c r="E88" i="3"/>
  <c r="C170" i="7"/>
  <c r="C621" i="7"/>
  <c r="K87" i="3"/>
  <c r="V94" i="29"/>
  <c r="F94" i="29" s="1"/>
  <c r="B88" i="3" s="1"/>
  <c r="E94" i="29"/>
  <c r="J87" i="3"/>
  <c r="B621" i="7"/>
  <c r="AV86" i="4"/>
  <c r="AB94" i="29"/>
  <c r="Q94" i="29"/>
  <c r="AH94" i="29"/>
  <c r="R94" i="29" s="1"/>
  <c r="L88" i="3"/>
  <c r="A622" i="7"/>
  <c r="B728" i="7"/>
  <c r="L728" i="7" s="1"/>
  <c r="M88" i="3"/>
  <c r="AT87" i="4"/>
  <c r="C728" i="7"/>
  <c r="N88" i="3"/>
  <c r="AB95" i="29"/>
  <c r="B152" i="7"/>
  <c r="L152" i="7" s="1"/>
  <c r="AP69" i="4"/>
  <c r="D70" i="3"/>
  <c r="D150" i="7"/>
  <c r="E150" i="7"/>
  <c r="J150" i="7"/>
  <c r="K150" i="7"/>
  <c r="H150" i="7"/>
  <c r="K151" i="7"/>
  <c r="J151" i="7"/>
  <c r="E151" i="7"/>
  <c r="H151" i="7"/>
  <c r="I151" i="7"/>
  <c r="G151" i="7"/>
  <c r="D151" i="7"/>
  <c r="K146" i="30"/>
  <c r="O146" i="30" s="1"/>
  <c r="AF96" i="29"/>
  <c r="W96" i="29"/>
  <c r="K94" i="29"/>
  <c r="AC96" i="29"/>
  <c r="Z96" i="29"/>
  <c r="T96" i="29"/>
  <c r="I95" i="29"/>
  <c r="L95" i="29"/>
  <c r="K95" i="29"/>
  <c r="N95" i="29"/>
  <c r="M95" i="29"/>
  <c r="P146" i="30"/>
  <c r="O95" i="29"/>
  <c r="H77" i="29"/>
  <c r="J95" i="29"/>
  <c r="G95" i="29"/>
  <c r="L94" i="29"/>
  <c r="AH95" i="29" l="1"/>
  <c r="R95" i="29" s="1"/>
  <c r="C623" i="7" s="1"/>
  <c r="E95" i="29"/>
  <c r="A89" i="3" s="1"/>
  <c r="C366" i="7"/>
  <c r="H88" i="3"/>
  <c r="F89" i="3"/>
  <c r="A171" i="7"/>
  <c r="I89" i="3"/>
  <c r="A422" i="7"/>
  <c r="O89" i="3"/>
  <c r="A743" i="7"/>
  <c r="E89" i="3"/>
  <c r="C171" i="7"/>
  <c r="D96" i="29"/>
  <c r="C90" i="3" s="1"/>
  <c r="U96" i="29"/>
  <c r="AA96" i="29"/>
  <c r="AB96" i="29" s="1"/>
  <c r="AD96" i="29"/>
  <c r="AR87" i="4"/>
  <c r="B366" i="7"/>
  <c r="L366" i="7" s="1"/>
  <c r="G88" i="3"/>
  <c r="X96" i="29"/>
  <c r="Y96" i="29" s="1"/>
  <c r="P96" i="29"/>
  <c r="A624" i="7" s="1"/>
  <c r="AG96" i="29"/>
  <c r="Q96" i="29" s="1"/>
  <c r="AN87" i="4"/>
  <c r="A88" i="3"/>
  <c r="K88" i="3"/>
  <c r="C622" i="7"/>
  <c r="J88" i="3"/>
  <c r="B622" i="7"/>
  <c r="AV87" i="4"/>
  <c r="A623" i="7"/>
  <c r="L89" i="3"/>
  <c r="AT88" i="4"/>
  <c r="M89" i="3"/>
  <c r="B729" i="7"/>
  <c r="L729" i="7" s="1"/>
  <c r="C729" i="7"/>
  <c r="N89" i="3"/>
  <c r="G89" i="3"/>
  <c r="B422" i="7"/>
  <c r="L422" i="7" s="1"/>
  <c r="AR88" i="4"/>
  <c r="H89" i="3"/>
  <c r="C422" i="7"/>
  <c r="B623" i="7"/>
  <c r="AV88" i="4"/>
  <c r="J89" i="3"/>
  <c r="P653" i="7"/>
  <c r="S654" i="7"/>
  <c r="P654" i="7"/>
  <c r="P669" i="7"/>
  <c r="S669" i="7"/>
  <c r="S653" i="7"/>
  <c r="P684" i="7"/>
  <c r="P668" i="7"/>
  <c r="S684" i="7"/>
  <c r="S699" i="7"/>
  <c r="S668" i="7"/>
  <c r="P699" i="7"/>
  <c r="P683" i="7"/>
  <c r="S683" i="7"/>
  <c r="S698" i="7"/>
  <c r="P698" i="7"/>
  <c r="F151" i="7"/>
  <c r="F150" i="7"/>
  <c r="B153" i="7"/>
  <c r="L153" i="7" s="1"/>
  <c r="AP70" i="4"/>
  <c r="D71" i="3"/>
  <c r="E152" i="7"/>
  <c r="I152" i="7"/>
  <c r="G152" i="7"/>
  <c r="D152" i="7"/>
  <c r="J152" i="7"/>
  <c r="K152" i="7"/>
  <c r="H152" i="7"/>
  <c r="K147" i="30"/>
  <c r="O147" i="30" s="1"/>
  <c r="W97" i="29"/>
  <c r="M96" i="29"/>
  <c r="J96" i="29"/>
  <c r="AC97" i="29"/>
  <c r="I96" i="29"/>
  <c r="P147" i="30"/>
  <c r="L96" i="29"/>
  <c r="K96" i="29"/>
  <c r="T97" i="29"/>
  <c r="Z97" i="29"/>
  <c r="G96" i="29"/>
  <c r="AF97" i="29"/>
  <c r="H78" i="29"/>
  <c r="K89" i="3" l="1"/>
  <c r="AN88" i="4"/>
  <c r="AH96" i="29"/>
  <c r="R96" i="29" s="1"/>
  <c r="C624" i="7" s="1"/>
  <c r="L90" i="3"/>
  <c r="AG97" i="29"/>
  <c r="Q97" i="29" s="1"/>
  <c r="P97" i="29"/>
  <c r="A172" i="7"/>
  <c r="F90" i="3"/>
  <c r="AA97" i="29"/>
  <c r="AB97" i="29" s="1"/>
  <c r="U97" i="29"/>
  <c r="V97" i="29" s="1"/>
  <c r="F97" i="29" s="1"/>
  <c r="B91" i="3" s="1"/>
  <c r="D97" i="29"/>
  <c r="C91" i="3" s="1"/>
  <c r="E90" i="3"/>
  <c r="C172" i="7"/>
  <c r="AD97" i="29"/>
  <c r="AE97" i="29" s="1"/>
  <c r="I90" i="3"/>
  <c r="A341" i="7"/>
  <c r="A744" i="7"/>
  <c r="O90" i="3"/>
  <c r="X97" i="29"/>
  <c r="Y97" i="29" s="1"/>
  <c r="AE96" i="29"/>
  <c r="E96" i="29"/>
  <c r="V96" i="29"/>
  <c r="F96" i="29" s="1"/>
  <c r="B90" i="3" s="1"/>
  <c r="G90" i="3"/>
  <c r="AR89" i="4"/>
  <c r="B341" i="7"/>
  <c r="L341" i="7" s="1"/>
  <c r="C341" i="7"/>
  <c r="H90" i="3"/>
  <c r="J90" i="3"/>
  <c r="AV89" i="4"/>
  <c r="B624" i="7"/>
  <c r="B154" i="7"/>
  <c r="L154" i="7" s="1"/>
  <c r="D72" i="3"/>
  <c r="AP71" i="4"/>
  <c r="F152" i="7"/>
  <c r="K148" i="30"/>
  <c r="O148" i="30" s="1"/>
  <c r="G97" i="29"/>
  <c r="O96" i="29"/>
  <c r="N97" i="29"/>
  <c r="H79" i="29"/>
  <c r="L97" i="29"/>
  <c r="T98" i="29"/>
  <c r="W98" i="29"/>
  <c r="P148" i="30"/>
  <c r="AF98" i="29"/>
  <c r="Z98" i="29"/>
  <c r="M97" i="29"/>
  <c r="I97" i="29"/>
  <c r="O97" i="29"/>
  <c r="K97" i="29"/>
  <c r="J97" i="29"/>
  <c r="AC98" i="29"/>
  <c r="N96" i="29"/>
  <c r="K90" i="3" l="1"/>
  <c r="AH97" i="29"/>
  <c r="R97" i="29" s="1"/>
  <c r="K91" i="3" s="1"/>
  <c r="E97" i="29"/>
  <c r="AN90" i="4" s="1"/>
  <c r="B730" i="7"/>
  <c r="L730" i="7" s="1"/>
  <c r="AT89" i="4"/>
  <c r="M90" i="3"/>
  <c r="AD98" i="29"/>
  <c r="AE98" i="29" s="1"/>
  <c r="A352" i="7"/>
  <c r="I91" i="3"/>
  <c r="C173" i="7"/>
  <c r="E91" i="3"/>
  <c r="O91" i="3"/>
  <c r="A745" i="7"/>
  <c r="AA98" i="29"/>
  <c r="AB98" i="29" s="1"/>
  <c r="P98" i="29"/>
  <c r="AG98" i="29"/>
  <c r="Q98" i="29" s="1"/>
  <c r="X98" i="29"/>
  <c r="Y98" i="29" s="1"/>
  <c r="U98" i="29"/>
  <c r="E98" i="29" s="1"/>
  <c r="AN91" i="4" s="1"/>
  <c r="D98" i="29"/>
  <c r="C92" i="3" s="1"/>
  <c r="C730" i="7"/>
  <c r="N90" i="3"/>
  <c r="F91" i="3"/>
  <c r="A173" i="7"/>
  <c r="A90" i="3"/>
  <c r="AN89" i="4"/>
  <c r="L91" i="3"/>
  <c r="A625" i="7"/>
  <c r="C731" i="7"/>
  <c r="N91" i="3"/>
  <c r="H91" i="3"/>
  <c r="C352" i="7"/>
  <c r="M91" i="3"/>
  <c r="B731" i="7"/>
  <c r="L731" i="7" s="1"/>
  <c r="AT90" i="4"/>
  <c r="B352" i="7"/>
  <c r="L352" i="7" s="1"/>
  <c r="AR90" i="4"/>
  <c r="G91" i="3"/>
  <c r="AV90" i="4"/>
  <c r="J91" i="3"/>
  <c r="B625" i="7"/>
  <c r="B155" i="7"/>
  <c r="L155" i="7" s="1"/>
  <c r="AP72" i="4"/>
  <c r="D73" i="3"/>
  <c r="G154" i="7"/>
  <c r="I154" i="7"/>
  <c r="K154" i="7"/>
  <c r="H154" i="7"/>
  <c r="J154" i="7"/>
  <c r="D154" i="7"/>
  <c r="E154" i="7"/>
  <c r="K149" i="30"/>
  <c r="O149" i="30" s="1"/>
  <c r="Z99" i="29"/>
  <c r="AF99" i="29"/>
  <c r="W99" i="29"/>
  <c r="M98" i="29"/>
  <c r="T99" i="29"/>
  <c r="O98" i="29"/>
  <c r="N98" i="29"/>
  <c r="L98" i="29"/>
  <c r="K98" i="29"/>
  <c r="H80" i="29"/>
  <c r="J98" i="29"/>
  <c r="G98" i="29"/>
  <c r="AC99" i="29"/>
  <c r="I98" i="29"/>
  <c r="P149" i="30"/>
  <c r="C625" i="7" l="1"/>
  <c r="A91" i="3"/>
  <c r="AH98" i="29"/>
  <c r="R98" i="29" s="1"/>
  <c r="C626" i="7" s="1"/>
  <c r="A92" i="3"/>
  <c r="V98" i="29"/>
  <c r="F98" i="29" s="1"/>
  <c r="B92" i="3" s="1"/>
  <c r="C174" i="7"/>
  <c r="E92" i="3"/>
  <c r="AD99" i="29"/>
  <c r="A174" i="7"/>
  <c r="F92" i="3"/>
  <c r="A318" i="7"/>
  <c r="I92" i="3"/>
  <c r="U99" i="29"/>
  <c r="D99" i="29"/>
  <c r="C93" i="3" s="1"/>
  <c r="A746" i="7"/>
  <c r="O92" i="3"/>
  <c r="X99" i="29"/>
  <c r="Y99" i="29" s="1"/>
  <c r="AG99" i="29"/>
  <c r="P99" i="29"/>
  <c r="L93" i="3" s="1"/>
  <c r="AA99" i="29"/>
  <c r="L92" i="3"/>
  <c r="A626" i="7"/>
  <c r="B318" i="7"/>
  <c r="L318" i="7" s="1"/>
  <c r="AR91" i="4"/>
  <c r="G92" i="3"/>
  <c r="M92" i="3"/>
  <c r="B732" i="7"/>
  <c r="L732" i="7" s="1"/>
  <c r="AT91" i="4"/>
  <c r="C318" i="7"/>
  <c r="H92" i="3"/>
  <c r="N92" i="3"/>
  <c r="C732" i="7"/>
  <c r="B626" i="7"/>
  <c r="J92" i="3"/>
  <c r="AV91" i="4"/>
  <c r="AE99" i="29"/>
  <c r="F154" i="7"/>
  <c r="AP73" i="4"/>
  <c r="B156" i="7"/>
  <c r="L156" i="7" s="1"/>
  <c r="D74" i="3"/>
  <c r="K155" i="7"/>
  <c r="G155" i="7"/>
  <c r="E155" i="7"/>
  <c r="J155" i="7"/>
  <c r="H155" i="7"/>
  <c r="I155" i="7"/>
  <c r="D155" i="7"/>
  <c r="K150" i="30"/>
  <c r="O150" i="30" s="1"/>
  <c r="M99" i="29"/>
  <c r="W100" i="29"/>
  <c r="Z100" i="29"/>
  <c r="H81" i="29"/>
  <c r="T100" i="29"/>
  <c r="J99" i="29"/>
  <c r="G99" i="29"/>
  <c r="AF100" i="29"/>
  <c r="P150" i="30"/>
  <c r="O99" i="29"/>
  <c r="N99" i="29"/>
  <c r="AC100" i="29"/>
  <c r="I99" i="29"/>
  <c r="K92" i="3" l="1"/>
  <c r="A627" i="7"/>
  <c r="E93" i="3"/>
  <c r="C175" i="7"/>
  <c r="AD100" i="29"/>
  <c r="AE100" i="29" s="1"/>
  <c r="AG100" i="29"/>
  <c r="Q100" i="29" s="1"/>
  <c r="P100" i="29"/>
  <c r="A175" i="7"/>
  <c r="F93" i="3"/>
  <c r="A439" i="7"/>
  <c r="I93" i="3"/>
  <c r="D100" i="29"/>
  <c r="C94" i="3" s="1"/>
  <c r="U100" i="29"/>
  <c r="V100" i="29" s="1"/>
  <c r="F100" i="29" s="1"/>
  <c r="B94" i="3" s="1"/>
  <c r="AA100" i="29"/>
  <c r="AB100" i="29" s="1"/>
  <c r="X100" i="29"/>
  <c r="Y100" i="29" s="1"/>
  <c r="A747" i="7"/>
  <c r="O93" i="3"/>
  <c r="AB99" i="29"/>
  <c r="E99" i="29"/>
  <c r="V99" i="29"/>
  <c r="F99" i="29" s="1"/>
  <c r="B93" i="3" s="1"/>
  <c r="AH99" i="29"/>
  <c r="R99" i="29" s="1"/>
  <c r="Q99" i="29"/>
  <c r="C733" i="7"/>
  <c r="N93" i="3"/>
  <c r="B733" i="7"/>
  <c r="L733" i="7" s="1"/>
  <c r="M93" i="3"/>
  <c r="AT92" i="4"/>
  <c r="F155" i="7"/>
  <c r="AP74" i="4"/>
  <c r="D75" i="3"/>
  <c r="B157" i="7"/>
  <c r="L157" i="7" s="1"/>
  <c r="J156" i="7"/>
  <c r="K156" i="7"/>
  <c r="I156" i="7"/>
  <c r="G156" i="7"/>
  <c r="E156" i="7"/>
  <c r="H156" i="7"/>
  <c r="D156" i="7"/>
  <c r="K151" i="30"/>
  <c r="O151" i="30" s="1"/>
  <c r="T101" i="29"/>
  <c r="J100" i="29"/>
  <c r="G100" i="29"/>
  <c r="L99" i="29"/>
  <c r="K100" i="29"/>
  <c r="O100" i="29"/>
  <c r="P151" i="30"/>
  <c r="L100" i="29"/>
  <c r="AC101" i="29"/>
  <c r="AF101" i="29"/>
  <c r="I100" i="29"/>
  <c r="M100" i="29"/>
  <c r="Z101" i="29"/>
  <c r="W101" i="29"/>
  <c r="K99" i="29"/>
  <c r="H82" i="29"/>
  <c r="N100" i="29"/>
  <c r="E100" i="29" l="1"/>
  <c r="A94" i="3" s="1"/>
  <c r="AH100" i="29"/>
  <c r="R100" i="29" s="1"/>
  <c r="K94" i="3" s="1"/>
  <c r="AR92" i="4"/>
  <c r="B439" i="7"/>
  <c r="L439" i="7" s="1"/>
  <c r="G93" i="3"/>
  <c r="X101" i="29"/>
  <c r="Y101" i="29" s="1"/>
  <c r="AA101" i="29"/>
  <c r="O94" i="3"/>
  <c r="A748" i="7"/>
  <c r="C176" i="7"/>
  <c r="E94" i="3"/>
  <c r="AG101" i="29"/>
  <c r="P101" i="29"/>
  <c r="L95" i="3" s="1"/>
  <c r="AD101" i="29"/>
  <c r="AE101" i="29" s="1"/>
  <c r="C439" i="7"/>
  <c r="H93" i="3"/>
  <c r="A176" i="7"/>
  <c r="F94" i="3"/>
  <c r="A354" i="7"/>
  <c r="I94" i="3"/>
  <c r="D101" i="29"/>
  <c r="C95" i="3" s="1"/>
  <c r="U101" i="29"/>
  <c r="K93" i="3"/>
  <c r="C627" i="7"/>
  <c r="A628" i="7"/>
  <c r="L94" i="3"/>
  <c r="AN92" i="4"/>
  <c r="A93" i="3"/>
  <c r="J93" i="3"/>
  <c r="B627" i="7"/>
  <c r="AV92" i="4"/>
  <c r="G94" i="3"/>
  <c r="B354" i="7"/>
  <c r="L354" i="7" s="1"/>
  <c r="AR93" i="4"/>
  <c r="M94" i="3"/>
  <c r="AT93" i="4"/>
  <c r="B734" i="7"/>
  <c r="L734" i="7" s="1"/>
  <c r="C354" i="7"/>
  <c r="H94" i="3"/>
  <c r="C734" i="7"/>
  <c r="N94" i="3"/>
  <c r="C628" i="7"/>
  <c r="AB101" i="29"/>
  <c r="B628" i="7"/>
  <c r="AV93" i="4"/>
  <c r="J94" i="3"/>
  <c r="F156" i="7"/>
  <c r="B158" i="7"/>
  <c r="L158" i="7" s="1"/>
  <c r="D76" i="3"/>
  <c r="AP75" i="4"/>
  <c r="J157" i="7"/>
  <c r="K157" i="7"/>
  <c r="E157" i="7"/>
  <c r="D157" i="7"/>
  <c r="H157" i="7"/>
  <c r="G157" i="7"/>
  <c r="I157" i="7"/>
  <c r="K152" i="30"/>
  <c r="O152" i="30" s="1"/>
  <c r="I101" i="29"/>
  <c r="Z102" i="29"/>
  <c r="AC102" i="29"/>
  <c r="O101" i="29"/>
  <c r="P152" i="30"/>
  <c r="L101" i="29"/>
  <c r="H83" i="29"/>
  <c r="N101" i="29"/>
  <c r="K101" i="29"/>
  <c r="G101" i="29"/>
  <c r="J101" i="29"/>
  <c r="AF102" i="29"/>
  <c r="M101" i="29"/>
  <c r="W102" i="29"/>
  <c r="T102" i="29"/>
  <c r="AN93" i="4" l="1"/>
  <c r="A629" i="7"/>
  <c r="U102" i="29"/>
  <c r="D102" i="29"/>
  <c r="C96" i="3" s="1"/>
  <c r="X102" i="29"/>
  <c r="Y102" i="29" s="1"/>
  <c r="A749" i="7"/>
  <c r="O95" i="3"/>
  <c r="AG102" i="29"/>
  <c r="AH102" i="29" s="1"/>
  <c r="R102" i="29" s="1"/>
  <c r="P102" i="29"/>
  <c r="A472" i="7"/>
  <c r="I95" i="3"/>
  <c r="A177" i="7"/>
  <c r="F95" i="3"/>
  <c r="AD102" i="29"/>
  <c r="AE102" i="29" s="1"/>
  <c r="AA102" i="29"/>
  <c r="AB102" i="29" s="1"/>
  <c r="E95" i="3"/>
  <c r="C177" i="7"/>
  <c r="V101" i="29"/>
  <c r="F101" i="29" s="1"/>
  <c r="B95" i="3" s="1"/>
  <c r="E101" i="29"/>
  <c r="A95" i="3" s="1"/>
  <c r="AH101" i="29"/>
  <c r="R101" i="29" s="1"/>
  <c r="Q101" i="29"/>
  <c r="N95" i="3"/>
  <c r="C735" i="7"/>
  <c r="G95" i="3"/>
  <c r="B472" i="7"/>
  <c r="L472" i="7" s="1"/>
  <c r="M95" i="3"/>
  <c r="B735" i="7"/>
  <c r="L735" i="7" s="1"/>
  <c r="C472" i="7"/>
  <c r="H95" i="3"/>
  <c r="F157" i="7"/>
  <c r="D77" i="3"/>
  <c r="AP76" i="4"/>
  <c r="B159" i="7"/>
  <c r="L159" i="7" s="1"/>
  <c r="K153" i="30"/>
  <c r="O153" i="30" s="1"/>
  <c r="T103" i="29"/>
  <c r="W103" i="29"/>
  <c r="AF103" i="29"/>
  <c r="M102" i="29"/>
  <c r="P153" i="30"/>
  <c r="L102" i="29"/>
  <c r="O102" i="29"/>
  <c r="I102" i="29"/>
  <c r="AC103" i="29"/>
  <c r="K102" i="29"/>
  <c r="J102" i="29"/>
  <c r="N102" i="29"/>
  <c r="H84" i="29"/>
  <c r="G102" i="29"/>
  <c r="Z103" i="29"/>
  <c r="Q102" i="29" l="1"/>
  <c r="AV94" i="4" s="1"/>
  <c r="AA103" i="29"/>
  <c r="AB103" i="29" s="1"/>
  <c r="F96" i="3"/>
  <c r="A178" i="7"/>
  <c r="A325" i="7"/>
  <c r="I96" i="3"/>
  <c r="AD103" i="29"/>
  <c r="AE103" i="29" s="1"/>
  <c r="C178" i="7"/>
  <c r="E96" i="3"/>
  <c r="A750" i="7"/>
  <c r="O96" i="3"/>
  <c r="P103" i="29"/>
  <c r="L97" i="3" s="1"/>
  <c r="AG103" i="29"/>
  <c r="X103" i="29"/>
  <c r="Y103" i="29" s="1"/>
  <c r="D103" i="29"/>
  <c r="C97" i="3" s="1"/>
  <c r="U103" i="29"/>
  <c r="B629" i="7"/>
  <c r="J95" i="3"/>
  <c r="L96" i="3"/>
  <c r="A630" i="7"/>
  <c r="K95" i="3"/>
  <c r="C629" i="7"/>
  <c r="K96" i="3"/>
  <c r="C630" i="7"/>
  <c r="V102" i="29"/>
  <c r="F102" i="29" s="1"/>
  <c r="B96" i="3" s="1"/>
  <c r="E102" i="29"/>
  <c r="G96" i="3"/>
  <c r="AR94" i="4"/>
  <c r="B325" i="7"/>
  <c r="L325" i="7" s="1"/>
  <c r="C325" i="7"/>
  <c r="H96" i="3"/>
  <c r="N96" i="3"/>
  <c r="C736" i="7"/>
  <c r="AT94" i="4"/>
  <c r="M96" i="3"/>
  <c r="B736" i="7"/>
  <c r="L736" i="7" s="1"/>
  <c r="AP77" i="4"/>
  <c r="B160" i="7"/>
  <c r="L160" i="7" s="1"/>
  <c r="D78" i="3"/>
  <c r="K154" i="30"/>
  <c r="O154" i="30" s="1"/>
  <c r="M103" i="29"/>
  <c r="T104" i="29"/>
  <c r="L103" i="29"/>
  <c r="P154" i="30"/>
  <c r="Z104" i="29"/>
  <c r="G103" i="29"/>
  <c r="N103" i="29"/>
  <c r="H85" i="29"/>
  <c r="J103" i="29"/>
  <c r="AF104" i="29"/>
  <c r="I103" i="29"/>
  <c r="K103" i="29"/>
  <c r="O103" i="29"/>
  <c r="AC104" i="29"/>
  <c r="W104" i="29"/>
  <c r="J96" i="3" l="1"/>
  <c r="B630" i="7"/>
  <c r="A631" i="7"/>
  <c r="X104" i="29"/>
  <c r="Y104" i="29" s="1"/>
  <c r="AD104" i="29"/>
  <c r="AE104" i="29" s="1"/>
  <c r="E97" i="3"/>
  <c r="C179" i="7"/>
  <c r="AG104" i="29"/>
  <c r="Q104" i="29" s="1"/>
  <c r="P104" i="29"/>
  <c r="L98" i="3" s="1"/>
  <c r="A333" i="7"/>
  <c r="I97" i="3"/>
  <c r="F97" i="3"/>
  <c r="A179" i="7"/>
  <c r="AA104" i="29"/>
  <c r="AB104" i="29" s="1"/>
  <c r="U104" i="29"/>
  <c r="D104" i="29"/>
  <c r="C98" i="3" s="1"/>
  <c r="O97" i="3"/>
  <c r="A751" i="7"/>
  <c r="V103" i="29"/>
  <c r="F103" i="29" s="1"/>
  <c r="B97" i="3" s="1"/>
  <c r="E103" i="29"/>
  <c r="A96" i="3"/>
  <c r="AN94" i="4"/>
  <c r="Q103" i="29"/>
  <c r="AH103" i="29"/>
  <c r="R103" i="29" s="1"/>
  <c r="A632" i="7"/>
  <c r="H97" i="3"/>
  <c r="C333" i="7"/>
  <c r="AT95" i="4"/>
  <c r="M97" i="3"/>
  <c r="B737" i="7"/>
  <c r="L737" i="7" s="1"/>
  <c r="N97" i="3"/>
  <c r="C737" i="7"/>
  <c r="G97" i="3"/>
  <c r="B333" i="7"/>
  <c r="L333" i="7" s="1"/>
  <c r="AR95" i="4"/>
  <c r="AH104" i="29"/>
  <c r="R104" i="29" s="1"/>
  <c r="AP78" i="4"/>
  <c r="D79" i="3"/>
  <c r="B161" i="7"/>
  <c r="L161" i="7" s="1"/>
  <c r="J160" i="7"/>
  <c r="H160" i="7"/>
  <c r="D160" i="7"/>
  <c r="G160" i="7"/>
  <c r="I160" i="7"/>
  <c r="K160" i="7"/>
  <c r="E160" i="7"/>
  <c r="K155" i="30"/>
  <c r="O155" i="30" s="1"/>
  <c r="I104" i="29"/>
  <c r="AF105" i="29"/>
  <c r="J104" i="29"/>
  <c r="W105" i="29"/>
  <c r="M104" i="29"/>
  <c r="G104" i="29"/>
  <c r="T105" i="29"/>
  <c r="O104" i="29"/>
  <c r="N104" i="29"/>
  <c r="AC105" i="29"/>
  <c r="Z105" i="29"/>
  <c r="K104" i="29"/>
  <c r="P155" i="30"/>
  <c r="L104" i="29"/>
  <c r="H86" i="29"/>
  <c r="AA105" i="29" l="1"/>
  <c r="AB105" i="29" s="1"/>
  <c r="AD105" i="29"/>
  <c r="U105" i="29"/>
  <c r="D105" i="29"/>
  <c r="C99" i="3" s="1"/>
  <c r="A180" i="7"/>
  <c r="F98" i="3"/>
  <c r="A752" i="7"/>
  <c r="O98" i="3"/>
  <c r="X105" i="29"/>
  <c r="Y105" i="29" s="1"/>
  <c r="A416" i="7"/>
  <c r="I98" i="3"/>
  <c r="P105" i="29"/>
  <c r="AG105" i="29"/>
  <c r="AH105" i="29" s="1"/>
  <c r="R105" i="29" s="1"/>
  <c r="E98" i="3"/>
  <c r="C180" i="7"/>
  <c r="J97" i="3"/>
  <c r="AV95" i="4"/>
  <c r="B631" i="7"/>
  <c r="V104" i="29"/>
  <c r="F104" i="29" s="1"/>
  <c r="B98" i="3" s="1"/>
  <c r="E104" i="29"/>
  <c r="K97" i="3"/>
  <c r="C631" i="7"/>
  <c r="A97" i="3"/>
  <c r="AN95" i="4"/>
  <c r="C416" i="7"/>
  <c r="H98" i="3"/>
  <c r="M98" i="3"/>
  <c r="AT96" i="4"/>
  <c r="B738" i="7"/>
  <c r="L738" i="7" s="1"/>
  <c r="C738" i="7"/>
  <c r="N98" i="3"/>
  <c r="G98" i="3"/>
  <c r="B416" i="7"/>
  <c r="L416" i="7" s="1"/>
  <c r="AR96" i="4"/>
  <c r="J98" i="3"/>
  <c r="AV96" i="4"/>
  <c r="B632" i="7"/>
  <c r="AE105" i="29"/>
  <c r="K98" i="3"/>
  <c r="C632" i="7"/>
  <c r="AP79" i="4"/>
  <c r="D80" i="3"/>
  <c r="B162" i="7"/>
  <c r="L162" i="7" s="1"/>
  <c r="G161" i="7"/>
  <c r="H161" i="7"/>
  <c r="E161" i="7"/>
  <c r="D161" i="7"/>
  <c r="K161" i="7"/>
  <c r="J161" i="7"/>
  <c r="I161" i="7"/>
  <c r="F160" i="7"/>
  <c r="K156" i="30"/>
  <c r="O156" i="30" s="1"/>
  <c r="AC106" i="29"/>
  <c r="T106" i="29"/>
  <c r="N105" i="29"/>
  <c r="H87" i="29"/>
  <c r="Z106" i="29"/>
  <c r="M105" i="29"/>
  <c r="I105" i="29"/>
  <c r="J105" i="29"/>
  <c r="G105" i="29"/>
  <c r="K105" i="29"/>
  <c r="O105" i="29"/>
  <c r="P156" i="30"/>
  <c r="L105" i="29"/>
  <c r="W106" i="29"/>
  <c r="AF106" i="29"/>
  <c r="Q105" i="29" l="1"/>
  <c r="J99" i="3" s="1"/>
  <c r="P106" i="29"/>
  <c r="AG106" i="29"/>
  <c r="X106" i="29"/>
  <c r="Y106" i="29" s="1"/>
  <c r="F99" i="3"/>
  <c r="A181" i="7"/>
  <c r="A360" i="7"/>
  <c r="I99" i="3"/>
  <c r="C181" i="7"/>
  <c r="E99" i="3"/>
  <c r="O99" i="3"/>
  <c r="A753" i="7"/>
  <c r="AA106" i="29"/>
  <c r="AB106" i="29" s="1"/>
  <c r="D106" i="29"/>
  <c r="C100" i="3" s="1"/>
  <c r="U106" i="29"/>
  <c r="V106" i="29" s="1"/>
  <c r="F106" i="29" s="1"/>
  <c r="B100" i="3" s="1"/>
  <c r="AD106" i="29"/>
  <c r="AE106" i="29" s="1"/>
  <c r="AN96" i="4"/>
  <c r="A98" i="3"/>
  <c r="A633" i="7"/>
  <c r="L99" i="3"/>
  <c r="E105" i="29"/>
  <c r="V105" i="29"/>
  <c r="F105" i="29" s="1"/>
  <c r="B99" i="3" s="1"/>
  <c r="AR97" i="4"/>
  <c r="B360" i="7"/>
  <c r="L360" i="7" s="1"/>
  <c r="G99" i="3"/>
  <c r="H99" i="3"/>
  <c r="C360" i="7"/>
  <c r="AT97" i="4"/>
  <c r="B739" i="7"/>
  <c r="L739" i="7" s="1"/>
  <c r="M99" i="3"/>
  <c r="C739" i="7"/>
  <c r="N99" i="3"/>
  <c r="B633" i="7"/>
  <c r="K99" i="3"/>
  <c r="C633" i="7"/>
  <c r="F161" i="7"/>
  <c r="B163" i="7"/>
  <c r="L163" i="7" s="1"/>
  <c r="AP80" i="4"/>
  <c r="D81" i="3"/>
  <c r="G162" i="7"/>
  <c r="J162" i="7"/>
  <c r="E162" i="7"/>
  <c r="H162" i="7"/>
  <c r="K162" i="7"/>
  <c r="D162" i="7"/>
  <c r="I162" i="7"/>
  <c r="K157" i="30"/>
  <c r="O157" i="30" s="1"/>
  <c r="W107" i="29"/>
  <c r="J106" i="29"/>
  <c r="M106" i="29"/>
  <c r="AF107" i="29"/>
  <c r="I106" i="29"/>
  <c r="AC107" i="29"/>
  <c r="L106" i="29"/>
  <c r="O106" i="29"/>
  <c r="P157" i="30"/>
  <c r="H88" i="29"/>
  <c r="K106" i="29"/>
  <c r="N106" i="29"/>
  <c r="G106" i="29"/>
  <c r="Z107" i="29"/>
  <c r="T107" i="29"/>
  <c r="E106" i="29" l="1"/>
  <c r="AN98" i="4" s="1"/>
  <c r="AV97" i="4"/>
  <c r="U107" i="29"/>
  <c r="D107" i="29"/>
  <c r="C101" i="3" s="1"/>
  <c r="AA107" i="29"/>
  <c r="F100" i="3"/>
  <c r="A182" i="7"/>
  <c r="AD107" i="29"/>
  <c r="E100" i="3"/>
  <c r="C182" i="7"/>
  <c r="P107" i="29"/>
  <c r="AG107" i="29"/>
  <c r="AH107" i="29" s="1"/>
  <c r="R107" i="29" s="1"/>
  <c r="O100" i="3"/>
  <c r="A754" i="7"/>
  <c r="A357" i="7"/>
  <c r="I100" i="3"/>
  <c r="X107" i="29"/>
  <c r="Y107" i="29" s="1"/>
  <c r="AN97" i="4"/>
  <c r="A99" i="3"/>
  <c r="AH106" i="29"/>
  <c r="R106" i="29" s="1"/>
  <c r="Q106" i="29"/>
  <c r="A634" i="7"/>
  <c r="L100" i="3"/>
  <c r="Q107" i="29"/>
  <c r="AV99" i="4" s="1"/>
  <c r="AT98" i="4"/>
  <c r="B740" i="7"/>
  <c r="L740" i="7" s="1"/>
  <c r="M100" i="3"/>
  <c r="B357" i="7"/>
  <c r="L357" i="7" s="1"/>
  <c r="AR98" i="4"/>
  <c r="G100" i="3"/>
  <c r="N100" i="3"/>
  <c r="C740" i="7"/>
  <c r="H100" i="3"/>
  <c r="C357" i="7"/>
  <c r="A100" i="3"/>
  <c r="F162" i="7"/>
  <c r="AP81" i="4"/>
  <c r="D82" i="3"/>
  <c r="B164" i="7"/>
  <c r="L164" i="7" s="1"/>
  <c r="K158" i="30"/>
  <c r="O158" i="30" s="1"/>
  <c r="J107" i="29"/>
  <c r="I107" i="29"/>
  <c r="T108" i="29"/>
  <c r="Z108" i="29"/>
  <c r="M107" i="29"/>
  <c r="W108" i="29"/>
  <c r="H89" i="29"/>
  <c r="P158" i="30"/>
  <c r="AC108" i="29"/>
  <c r="G107" i="29"/>
  <c r="AF108" i="29"/>
  <c r="J101" i="3" l="1"/>
  <c r="B635" i="7"/>
  <c r="P108" i="29"/>
  <c r="AG108" i="29"/>
  <c r="F101" i="3"/>
  <c r="A183" i="7"/>
  <c r="AD108" i="29"/>
  <c r="AE108" i="29" s="1"/>
  <c r="X108" i="29"/>
  <c r="Y108" i="29" s="1"/>
  <c r="O101" i="3"/>
  <c r="A755" i="7"/>
  <c r="AA108" i="29"/>
  <c r="D108" i="29"/>
  <c r="C102" i="3" s="1"/>
  <c r="U108" i="29"/>
  <c r="C183" i="7"/>
  <c r="E101" i="3"/>
  <c r="I101" i="3"/>
  <c r="A351" i="7"/>
  <c r="AB107" i="29"/>
  <c r="AV98" i="4"/>
  <c r="J100" i="3"/>
  <c r="B634" i="7"/>
  <c r="C635" i="7"/>
  <c r="K101" i="3"/>
  <c r="C634" i="7"/>
  <c r="K100" i="3"/>
  <c r="A635" i="7"/>
  <c r="L101" i="3"/>
  <c r="AE107" i="29"/>
  <c r="E107" i="29"/>
  <c r="V107" i="29"/>
  <c r="F107" i="29" s="1"/>
  <c r="B101" i="3" s="1"/>
  <c r="AB108" i="29"/>
  <c r="D83" i="3"/>
  <c r="B165" i="7"/>
  <c r="L165" i="7" s="1"/>
  <c r="AP82" i="4"/>
  <c r="H164" i="7"/>
  <c r="E164" i="7"/>
  <c r="K164" i="7"/>
  <c r="J164" i="7"/>
  <c r="D164" i="7"/>
  <c r="K159" i="30"/>
  <c r="O159" i="30" s="1"/>
  <c r="AF109" i="29"/>
  <c r="G108" i="29"/>
  <c r="K107" i="29"/>
  <c r="AC109" i="29"/>
  <c r="W109" i="29"/>
  <c r="J108" i="29"/>
  <c r="T109" i="29"/>
  <c r="P159" i="30"/>
  <c r="M108" i="29"/>
  <c r="I108" i="29"/>
  <c r="Z109" i="29"/>
  <c r="O107" i="29"/>
  <c r="K108" i="29"/>
  <c r="O108" i="29"/>
  <c r="N108" i="29"/>
  <c r="L108" i="29"/>
  <c r="H90" i="29"/>
  <c r="L107" i="29"/>
  <c r="N107" i="29"/>
  <c r="AT99" i="4" l="1"/>
  <c r="M101" i="3"/>
  <c r="B741" i="7"/>
  <c r="L741" i="7" s="1"/>
  <c r="C351" i="7"/>
  <c r="H101" i="3"/>
  <c r="N101" i="3"/>
  <c r="C741" i="7"/>
  <c r="AA109" i="29"/>
  <c r="C184" i="7"/>
  <c r="E102" i="3"/>
  <c r="A756" i="7"/>
  <c r="O102" i="3"/>
  <c r="U109" i="29"/>
  <c r="D109" i="29"/>
  <c r="C103" i="3" s="1"/>
  <c r="I102" i="3"/>
  <c r="A380" i="7"/>
  <c r="X109" i="29"/>
  <c r="Y109" i="29" s="1"/>
  <c r="AD109" i="29"/>
  <c r="AE109" i="29" s="1"/>
  <c r="B351" i="7"/>
  <c r="L351" i="7" s="1"/>
  <c r="AR99" i="4"/>
  <c r="G101" i="3"/>
  <c r="A184" i="7"/>
  <c r="F102" i="3"/>
  <c r="P109" i="29"/>
  <c r="AG109" i="29"/>
  <c r="E108" i="29"/>
  <c r="V108" i="29"/>
  <c r="F108" i="29" s="1"/>
  <c r="B102" i="3" s="1"/>
  <c r="Q108" i="29"/>
  <c r="AH108" i="29"/>
  <c r="R108" i="29" s="1"/>
  <c r="L102" i="3"/>
  <c r="A636" i="7"/>
  <c r="A101" i="3"/>
  <c r="AN99" i="4"/>
  <c r="M102" i="3"/>
  <c r="B742" i="7"/>
  <c r="L742" i="7" s="1"/>
  <c r="AT100" i="4"/>
  <c r="N102" i="3"/>
  <c r="C742" i="7"/>
  <c r="B380" i="7"/>
  <c r="L380" i="7" s="1"/>
  <c r="AR100" i="4"/>
  <c r="G102" i="3"/>
  <c r="H102" i="3"/>
  <c r="C380" i="7"/>
  <c r="AB109" i="29"/>
  <c r="F164" i="7"/>
  <c r="D84" i="3"/>
  <c r="B166" i="7"/>
  <c r="L166" i="7" s="1"/>
  <c r="AP83" i="4"/>
  <c r="D165" i="7"/>
  <c r="E165" i="7"/>
  <c r="I165" i="7"/>
  <c r="H165" i="7"/>
  <c r="G165" i="7"/>
  <c r="J165" i="7"/>
  <c r="K165" i="7"/>
  <c r="K160" i="30"/>
  <c r="O160" i="30" s="1"/>
  <c r="J109" i="29"/>
  <c r="T110" i="29"/>
  <c r="G109" i="29"/>
  <c r="AC110" i="29"/>
  <c r="P160" i="30"/>
  <c r="Z110" i="29"/>
  <c r="I109" i="29"/>
  <c r="W110" i="29"/>
  <c r="M109" i="29"/>
  <c r="AF110" i="29"/>
  <c r="O109" i="29"/>
  <c r="N109" i="29"/>
  <c r="K109" i="29"/>
  <c r="H91" i="29"/>
  <c r="L109" i="29"/>
  <c r="P110" i="29" l="1"/>
  <c r="L104" i="3" s="1"/>
  <c r="AG110" i="29"/>
  <c r="AH110" i="29" s="1"/>
  <c r="R110" i="29" s="1"/>
  <c r="K104" i="3" s="1"/>
  <c r="A757" i="7"/>
  <c r="O103" i="3"/>
  <c r="X110" i="29"/>
  <c r="Y110" i="29" s="1"/>
  <c r="C185" i="7"/>
  <c r="E103" i="3"/>
  <c r="AA110" i="29"/>
  <c r="AB110" i="29" s="1"/>
  <c r="AD110" i="29"/>
  <c r="AE110" i="29" s="1"/>
  <c r="A185" i="7"/>
  <c r="F103" i="3"/>
  <c r="D110" i="29"/>
  <c r="C104" i="3" s="1"/>
  <c r="U110" i="29"/>
  <c r="I103" i="3"/>
  <c r="A400" i="7"/>
  <c r="AV100" i="4"/>
  <c r="J102" i="3"/>
  <c r="B636" i="7"/>
  <c r="L103" i="3"/>
  <c r="A637" i="7"/>
  <c r="V109" i="29"/>
  <c r="F109" i="29" s="1"/>
  <c r="B103" i="3" s="1"/>
  <c r="E109" i="29"/>
  <c r="AN100" i="4"/>
  <c r="A102" i="3"/>
  <c r="C636" i="7"/>
  <c r="K102" i="3"/>
  <c r="AH109" i="29"/>
  <c r="R109" i="29" s="1"/>
  <c r="Q109" i="29"/>
  <c r="C743" i="7"/>
  <c r="N103" i="3"/>
  <c r="B400" i="7"/>
  <c r="L400" i="7" s="1"/>
  <c r="AR101" i="4"/>
  <c r="G103" i="3"/>
  <c r="H103" i="3"/>
  <c r="C400" i="7"/>
  <c r="AT101" i="4"/>
  <c r="M103" i="3"/>
  <c r="B743" i="7"/>
  <c r="L743" i="7" s="1"/>
  <c r="F165" i="7"/>
  <c r="D85" i="3"/>
  <c r="B167" i="7"/>
  <c r="L167" i="7" s="1"/>
  <c r="AP84" i="4"/>
  <c r="E166" i="7"/>
  <c r="G166" i="7"/>
  <c r="D166" i="7"/>
  <c r="K166" i="7"/>
  <c r="H166" i="7"/>
  <c r="I166" i="7"/>
  <c r="J166" i="7"/>
  <c r="K161" i="30"/>
  <c r="O161" i="30" s="1"/>
  <c r="J110" i="29"/>
  <c r="T111" i="29"/>
  <c r="I110" i="29"/>
  <c r="M110" i="29"/>
  <c r="O110" i="29"/>
  <c r="H92" i="29"/>
  <c r="AF111" i="29"/>
  <c r="W111" i="29"/>
  <c r="G110" i="29"/>
  <c r="Z111" i="29"/>
  <c r="AC111" i="29"/>
  <c r="K110" i="29"/>
  <c r="L110" i="29"/>
  <c r="P161" i="30"/>
  <c r="N110" i="29"/>
  <c r="Q110" i="29" l="1"/>
  <c r="AV102" i="4" s="1"/>
  <c r="AD111" i="29"/>
  <c r="AA111" i="29"/>
  <c r="AB111" i="29" s="1"/>
  <c r="A186" i="7"/>
  <c r="F104" i="3"/>
  <c r="X111" i="29"/>
  <c r="Y111" i="29" s="1"/>
  <c r="AG111" i="29"/>
  <c r="Q111" i="29" s="1"/>
  <c r="J105" i="3" s="1"/>
  <c r="P111" i="29"/>
  <c r="L105" i="3" s="1"/>
  <c r="A758" i="7"/>
  <c r="O104" i="3"/>
  <c r="E104" i="3"/>
  <c r="C186" i="7"/>
  <c r="D111" i="29"/>
  <c r="C105" i="3" s="1"/>
  <c r="U111" i="29"/>
  <c r="I104" i="3"/>
  <c r="A363" i="7"/>
  <c r="AV101" i="4"/>
  <c r="J103" i="3"/>
  <c r="B637" i="7"/>
  <c r="V110" i="29"/>
  <c r="F110" i="29" s="1"/>
  <c r="B104" i="3" s="1"/>
  <c r="E110" i="29"/>
  <c r="K103" i="3"/>
  <c r="C637" i="7"/>
  <c r="A103" i="3"/>
  <c r="AN101" i="4"/>
  <c r="C744" i="7"/>
  <c r="N104" i="3"/>
  <c r="AR102" i="4"/>
  <c r="B363" i="7"/>
  <c r="L363" i="7" s="1"/>
  <c r="G104" i="3"/>
  <c r="H104" i="3"/>
  <c r="C363" i="7"/>
  <c r="B744" i="7"/>
  <c r="L744" i="7" s="1"/>
  <c r="AT102" i="4"/>
  <c r="M104" i="3"/>
  <c r="AE111" i="29"/>
  <c r="F166" i="7"/>
  <c r="D86" i="3"/>
  <c r="AP85" i="4"/>
  <c r="B168" i="7"/>
  <c r="L168" i="7" s="1"/>
  <c r="H167" i="7"/>
  <c r="G167" i="7"/>
  <c r="E167" i="7"/>
  <c r="I167" i="7"/>
  <c r="K167" i="7"/>
  <c r="J167" i="7"/>
  <c r="D167" i="7"/>
  <c r="K162" i="30"/>
  <c r="O162" i="30" s="1"/>
  <c r="J111" i="29"/>
  <c r="I111" i="29"/>
  <c r="T112" i="29"/>
  <c r="K111" i="29"/>
  <c r="L111" i="29"/>
  <c r="AC112" i="29"/>
  <c r="Z112" i="29"/>
  <c r="W112" i="29"/>
  <c r="AF112" i="29"/>
  <c r="M111" i="29"/>
  <c r="G111" i="29"/>
  <c r="N111" i="29"/>
  <c r="P162" i="30"/>
  <c r="O111" i="29"/>
  <c r="H93" i="29"/>
  <c r="J104" i="3" l="1"/>
  <c r="AH111" i="29"/>
  <c r="R111" i="29" s="1"/>
  <c r="K105" i="3" s="1"/>
  <c r="AV103" i="4"/>
  <c r="A187" i="7"/>
  <c r="F105" i="3"/>
  <c r="A759" i="7"/>
  <c r="O105" i="3"/>
  <c r="P112" i="29"/>
  <c r="L106" i="3" s="1"/>
  <c r="AG112" i="29"/>
  <c r="X112" i="29"/>
  <c r="Y112" i="29" s="1"/>
  <c r="AA112" i="29"/>
  <c r="AB112" i="29" s="1"/>
  <c r="AD112" i="29"/>
  <c r="D112" i="29"/>
  <c r="C106" i="3" s="1"/>
  <c r="U112" i="29"/>
  <c r="C187" i="7"/>
  <c r="E105" i="3"/>
  <c r="I105" i="3"/>
  <c r="A326" i="7"/>
  <c r="AN102" i="4"/>
  <c r="A104" i="3"/>
  <c r="V111" i="29"/>
  <c r="F111" i="29" s="1"/>
  <c r="B105" i="3" s="1"/>
  <c r="E111" i="29"/>
  <c r="H105" i="3"/>
  <c r="C326" i="7"/>
  <c r="B745" i="7"/>
  <c r="L745" i="7" s="1"/>
  <c r="AT103" i="4"/>
  <c r="M105" i="3"/>
  <c r="C745" i="7"/>
  <c r="N105" i="3"/>
  <c r="B326" i="7"/>
  <c r="L326" i="7" s="1"/>
  <c r="G105" i="3"/>
  <c r="AR103" i="4"/>
  <c r="F167" i="7"/>
  <c r="AP86" i="4"/>
  <c r="D87" i="3"/>
  <c r="B169" i="7"/>
  <c r="L169" i="7" s="1"/>
  <c r="K168" i="7"/>
  <c r="E168" i="7"/>
  <c r="G168" i="7"/>
  <c r="J168" i="7"/>
  <c r="I168" i="7"/>
  <c r="H168" i="7"/>
  <c r="D168" i="7"/>
  <c r="K163" i="30"/>
  <c r="O163" i="30" s="1"/>
  <c r="G112" i="29"/>
  <c r="Z113" i="29"/>
  <c r="AF113" i="29"/>
  <c r="W113" i="29"/>
  <c r="M112" i="29"/>
  <c r="T113" i="29"/>
  <c r="I112" i="29"/>
  <c r="J112" i="29"/>
  <c r="AC113" i="29"/>
  <c r="P163" i="30"/>
  <c r="K112" i="29"/>
  <c r="L112" i="29"/>
  <c r="H94" i="29"/>
  <c r="M113" i="29" l="1"/>
  <c r="AD113" i="29"/>
  <c r="AE113" i="29" s="1"/>
  <c r="O113" i="29" s="1"/>
  <c r="I106" i="3"/>
  <c r="A423" i="7"/>
  <c r="E106" i="3"/>
  <c r="C188" i="7"/>
  <c r="D113" i="29"/>
  <c r="C107" i="3" s="1"/>
  <c r="U113" i="29"/>
  <c r="V113" i="29" s="1"/>
  <c r="F113" i="29" s="1"/>
  <c r="B107" i="3" s="1"/>
  <c r="A760" i="7"/>
  <c r="O106" i="3"/>
  <c r="X113" i="29"/>
  <c r="Y113" i="29" s="1"/>
  <c r="AG113" i="29"/>
  <c r="P113" i="29"/>
  <c r="L107" i="3" s="1"/>
  <c r="AA113" i="29"/>
  <c r="AB113" i="29" s="1"/>
  <c r="F106" i="3"/>
  <c r="A188" i="7"/>
  <c r="A105" i="3"/>
  <c r="AN103" i="4"/>
  <c r="AH112" i="29"/>
  <c r="R112" i="29" s="1"/>
  <c r="K106" i="3" s="1"/>
  <c r="Q112" i="29"/>
  <c r="V112" i="29"/>
  <c r="F112" i="29" s="1"/>
  <c r="B106" i="3" s="1"/>
  <c r="E112" i="29"/>
  <c r="AE112" i="29"/>
  <c r="G106" i="3"/>
  <c r="AR104" i="4"/>
  <c r="B423" i="7"/>
  <c r="L423" i="7" s="1"/>
  <c r="H106" i="3"/>
  <c r="C423" i="7"/>
  <c r="F168" i="7"/>
  <c r="B170" i="7"/>
  <c r="L170" i="7" s="1"/>
  <c r="AP87" i="4"/>
  <c r="D88" i="3"/>
  <c r="K164" i="30"/>
  <c r="O164" i="30" s="1"/>
  <c r="I113" i="29"/>
  <c r="Z114" i="29"/>
  <c r="T114" i="29"/>
  <c r="G113" i="29"/>
  <c r="AF114" i="29"/>
  <c r="O112" i="29"/>
  <c r="AC114" i="29"/>
  <c r="W114" i="29"/>
  <c r="N112" i="29"/>
  <c r="H95" i="29"/>
  <c r="L113" i="29"/>
  <c r="J113" i="29"/>
  <c r="P164" i="30"/>
  <c r="K113" i="29"/>
  <c r="N113" i="29" l="1"/>
  <c r="M107" i="3" s="1"/>
  <c r="E113" i="29"/>
  <c r="A107" i="3" s="1"/>
  <c r="A385" i="7"/>
  <c r="I107" i="3"/>
  <c r="B746" i="7"/>
  <c r="L746" i="7" s="1"/>
  <c r="AT104" i="4"/>
  <c r="M106" i="3"/>
  <c r="X114" i="29"/>
  <c r="Y114" i="29" s="1"/>
  <c r="AD114" i="29"/>
  <c r="M114" i="29"/>
  <c r="N106" i="3"/>
  <c r="C746" i="7"/>
  <c r="P114" i="29"/>
  <c r="L108" i="3" s="1"/>
  <c r="AG114" i="29"/>
  <c r="AH114" i="29" s="1"/>
  <c r="R114" i="29" s="1"/>
  <c r="K108" i="3" s="1"/>
  <c r="A189" i="7"/>
  <c r="F107" i="3"/>
  <c r="U114" i="29"/>
  <c r="D114" i="29"/>
  <c r="C108" i="3" s="1"/>
  <c r="AA114" i="29"/>
  <c r="AB114" i="29" s="1"/>
  <c r="C189" i="7"/>
  <c r="E107" i="3"/>
  <c r="AH113" i="29"/>
  <c r="R113" i="29" s="1"/>
  <c r="K107" i="3" s="1"/>
  <c r="Q113" i="29"/>
  <c r="J106" i="3"/>
  <c r="AV104" i="4"/>
  <c r="AN104" i="4"/>
  <c r="A106" i="3"/>
  <c r="O107" i="3"/>
  <c r="A761" i="7"/>
  <c r="B385" i="7"/>
  <c r="L385" i="7" s="1"/>
  <c r="G107" i="3"/>
  <c r="AR105" i="4"/>
  <c r="C385" i="7"/>
  <c r="H107" i="3"/>
  <c r="C747" i="7"/>
  <c r="N107" i="3"/>
  <c r="AP88" i="4"/>
  <c r="D89" i="3"/>
  <c r="B171" i="7"/>
  <c r="L171" i="7" s="1"/>
  <c r="K165" i="30"/>
  <c r="O165" i="30" s="1"/>
  <c r="T115" i="29"/>
  <c r="K114" i="29"/>
  <c r="I114" i="29"/>
  <c r="H96" i="29"/>
  <c r="W115" i="29"/>
  <c r="AC115" i="29"/>
  <c r="J114" i="29"/>
  <c r="P165" i="30"/>
  <c r="G114" i="29"/>
  <c r="AF115" i="29"/>
  <c r="Z115" i="29"/>
  <c r="L114" i="29"/>
  <c r="B747" i="7" l="1"/>
  <c r="L747" i="7" s="1"/>
  <c r="AT105" i="4"/>
  <c r="AN105" i="4"/>
  <c r="Q114" i="29"/>
  <c r="AV106" i="4" s="1"/>
  <c r="AA115" i="29"/>
  <c r="P115" i="29"/>
  <c r="L109" i="3" s="1"/>
  <c r="AG115" i="29"/>
  <c r="A190" i="7"/>
  <c r="F108" i="3"/>
  <c r="A393" i="7"/>
  <c r="I108" i="3"/>
  <c r="AD115" i="29"/>
  <c r="M115" i="29"/>
  <c r="X115" i="29"/>
  <c r="Y115" i="29" s="1"/>
  <c r="E108" i="3"/>
  <c r="C190" i="7"/>
  <c r="U115" i="29"/>
  <c r="D115" i="29"/>
  <c r="C109" i="3" s="1"/>
  <c r="J107" i="3"/>
  <c r="AV105" i="4"/>
  <c r="V114" i="29"/>
  <c r="F114" i="29" s="1"/>
  <c r="B108" i="3" s="1"/>
  <c r="E114" i="29"/>
  <c r="O108" i="3"/>
  <c r="A762" i="7"/>
  <c r="AE114" i="29"/>
  <c r="O114" i="29" s="1"/>
  <c r="N114" i="29"/>
  <c r="H108" i="3"/>
  <c r="C393" i="7"/>
  <c r="G108" i="3"/>
  <c r="AR106" i="4"/>
  <c r="B393" i="7"/>
  <c r="L393" i="7" s="1"/>
  <c r="J108" i="3"/>
  <c r="AB115" i="29"/>
  <c r="D90" i="3"/>
  <c r="AP89" i="4"/>
  <c r="B172" i="7"/>
  <c r="L172" i="7" s="1"/>
  <c r="E171" i="7"/>
  <c r="J171" i="7"/>
  <c r="H171" i="7"/>
  <c r="D171" i="7"/>
  <c r="I171" i="7"/>
  <c r="G171" i="7"/>
  <c r="K171" i="7"/>
  <c r="K166" i="30"/>
  <c r="O166" i="30" s="1"/>
  <c r="Z116" i="29"/>
  <c r="AF116" i="29"/>
  <c r="I115" i="29"/>
  <c r="J115" i="29"/>
  <c r="AC116" i="29"/>
  <c r="W116" i="29"/>
  <c r="T116" i="29"/>
  <c r="K115" i="29"/>
  <c r="P166" i="30"/>
  <c r="L115" i="29"/>
  <c r="H97" i="29"/>
  <c r="G115" i="29"/>
  <c r="F109" i="3" l="1"/>
  <c r="A191" i="7"/>
  <c r="D116" i="29"/>
  <c r="C110" i="3" s="1"/>
  <c r="U116" i="29"/>
  <c r="E116" i="29" s="1"/>
  <c r="X116" i="29"/>
  <c r="Y116" i="29" s="1"/>
  <c r="M116" i="29"/>
  <c r="AD116" i="29"/>
  <c r="A336" i="7"/>
  <c r="I109" i="3"/>
  <c r="E109" i="3"/>
  <c r="C191" i="7"/>
  <c r="AG116" i="29"/>
  <c r="Q116" i="29" s="1"/>
  <c r="J110" i="3" s="1"/>
  <c r="P116" i="29"/>
  <c r="L110" i="3" s="1"/>
  <c r="AA116" i="29"/>
  <c r="AB116" i="29" s="1"/>
  <c r="N108" i="3"/>
  <c r="C748" i="7"/>
  <c r="E115" i="29"/>
  <c r="V115" i="29"/>
  <c r="F115" i="29" s="1"/>
  <c r="B109" i="3" s="1"/>
  <c r="AE115" i="29"/>
  <c r="O115" i="29" s="1"/>
  <c r="N115" i="29"/>
  <c r="AT106" i="4"/>
  <c r="B748" i="7"/>
  <c r="L748" i="7" s="1"/>
  <c r="M108" i="3"/>
  <c r="AN106" i="4"/>
  <c r="A108" i="3"/>
  <c r="A713" i="7"/>
  <c r="O109" i="3"/>
  <c r="Q115" i="29"/>
  <c r="AH115" i="29"/>
  <c r="R115" i="29" s="1"/>
  <c r="K109" i="3" s="1"/>
  <c r="C336" i="7"/>
  <c r="H109" i="3"/>
  <c r="G109" i="3"/>
  <c r="AR107" i="4"/>
  <c r="B336" i="7"/>
  <c r="L336" i="7" s="1"/>
  <c r="F171" i="7"/>
  <c r="B173" i="7"/>
  <c r="L173" i="7" s="1"/>
  <c r="D91" i="3"/>
  <c r="AP90" i="4"/>
  <c r="K172" i="7"/>
  <c r="I172" i="7"/>
  <c r="H172" i="7"/>
  <c r="G172" i="7"/>
  <c r="J172" i="7"/>
  <c r="E172" i="7"/>
  <c r="D172" i="7"/>
  <c r="K167" i="30"/>
  <c r="O167" i="30" s="1"/>
  <c r="T117" i="29"/>
  <c r="AF117" i="29"/>
  <c r="Z117" i="29"/>
  <c r="W117" i="29"/>
  <c r="AC117" i="29"/>
  <c r="L116" i="29"/>
  <c r="P167" i="30"/>
  <c r="K116" i="29"/>
  <c r="G116" i="29"/>
  <c r="I116" i="29"/>
  <c r="J116" i="29"/>
  <c r="H98" i="29"/>
  <c r="AV108" i="4" l="1"/>
  <c r="V116" i="29"/>
  <c r="F116" i="29" s="1"/>
  <c r="B110" i="3" s="1"/>
  <c r="AH116" i="29"/>
  <c r="R116" i="29" s="1"/>
  <c r="K110" i="3" s="1"/>
  <c r="I110" i="3"/>
  <c r="A399" i="7"/>
  <c r="C192" i="7"/>
  <c r="E110" i="3"/>
  <c r="A192" i="7"/>
  <c r="F110" i="3"/>
  <c r="AD117" i="29"/>
  <c r="M117" i="29"/>
  <c r="X117" i="29"/>
  <c r="Y117" i="29" s="1"/>
  <c r="AA117" i="29"/>
  <c r="AB117" i="29" s="1"/>
  <c r="AG117" i="29"/>
  <c r="Q117" i="29" s="1"/>
  <c r="AV109" i="4" s="1"/>
  <c r="P117" i="29"/>
  <c r="L111" i="3" s="1"/>
  <c r="U117" i="29"/>
  <c r="D117" i="29"/>
  <c r="C111" i="3" s="1"/>
  <c r="A109" i="3"/>
  <c r="AN107" i="4"/>
  <c r="A110" i="3"/>
  <c r="AN108" i="4"/>
  <c r="AV107" i="4"/>
  <c r="J109" i="3"/>
  <c r="M109" i="3"/>
  <c r="B749" i="7"/>
  <c r="L749" i="7" s="1"/>
  <c r="AT107" i="4"/>
  <c r="N116" i="29"/>
  <c r="AE116" i="29"/>
  <c r="O116" i="29" s="1"/>
  <c r="N109" i="3"/>
  <c r="C749" i="7"/>
  <c r="A714" i="7"/>
  <c r="O110" i="3"/>
  <c r="G110" i="3"/>
  <c r="B399" i="7"/>
  <c r="L399" i="7" s="1"/>
  <c r="AR108" i="4"/>
  <c r="H110" i="3"/>
  <c r="C399" i="7"/>
  <c r="J111" i="3"/>
  <c r="B174" i="7"/>
  <c r="L174" i="7" s="1"/>
  <c r="AP91" i="4"/>
  <c r="D92" i="3"/>
  <c r="F172" i="7"/>
  <c r="E173" i="7"/>
  <c r="K173" i="7"/>
  <c r="D173" i="7"/>
  <c r="G173" i="7"/>
  <c r="H173" i="7"/>
  <c r="J173" i="7"/>
  <c r="I173" i="7"/>
  <c r="K168" i="30"/>
  <c r="O168" i="30" s="1"/>
  <c r="AF118" i="29"/>
  <c r="G117" i="29"/>
  <c r="J117" i="29"/>
  <c r="P168" i="30"/>
  <c r="L117" i="29"/>
  <c r="I117" i="29"/>
  <c r="Z118" i="29"/>
  <c r="K117" i="29"/>
  <c r="H99" i="29"/>
  <c r="AC118" i="29"/>
  <c r="W118" i="29"/>
  <c r="T118" i="29"/>
  <c r="AH117" i="29" l="1"/>
  <c r="R117" i="29" s="1"/>
  <c r="K111" i="3" s="1"/>
  <c r="D118" i="29"/>
  <c r="C112" i="3" s="1"/>
  <c r="U118" i="29"/>
  <c r="X118" i="29"/>
  <c r="Y118" i="29" s="1"/>
  <c r="AD118" i="29"/>
  <c r="N118" i="29" s="1"/>
  <c r="AT110" i="4" s="1"/>
  <c r="M118" i="29"/>
  <c r="A716" i="7" s="1"/>
  <c r="AA118" i="29"/>
  <c r="AB118" i="29" s="1"/>
  <c r="C193" i="7"/>
  <c r="E111" i="3"/>
  <c r="A474" i="7"/>
  <c r="I111" i="3"/>
  <c r="A193" i="7"/>
  <c r="F111" i="3"/>
  <c r="P118" i="29"/>
  <c r="L112" i="3" s="1"/>
  <c r="AG118" i="29"/>
  <c r="N110" i="3"/>
  <c r="C750" i="7"/>
  <c r="B750" i="7"/>
  <c r="L750" i="7" s="1"/>
  <c r="AT108" i="4"/>
  <c r="M110" i="3"/>
  <c r="V117" i="29"/>
  <c r="F117" i="29" s="1"/>
  <c r="B111" i="3" s="1"/>
  <c r="E117" i="29"/>
  <c r="AE117" i="29"/>
  <c r="O117" i="29" s="1"/>
  <c r="N117" i="29"/>
  <c r="A715" i="7"/>
  <c r="O111" i="3"/>
  <c r="H111" i="3"/>
  <c r="C474" i="7"/>
  <c r="B474" i="7"/>
  <c r="L474" i="7" s="1"/>
  <c r="AR109" i="4"/>
  <c r="G111" i="3"/>
  <c r="F173" i="7"/>
  <c r="B175" i="7"/>
  <c r="L175" i="7" s="1"/>
  <c r="D93" i="3"/>
  <c r="AP92" i="4"/>
  <c r="I174" i="7"/>
  <c r="E174" i="7"/>
  <c r="G174" i="7"/>
  <c r="J174" i="7"/>
  <c r="K174" i="7"/>
  <c r="H174" i="7"/>
  <c r="D174" i="7"/>
  <c r="K169" i="30"/>
  <c r="O169" i="30" s="1"/>
  <c r="W119" i="29"/>
  <c r="AF119" i="29"/>
  <c r="I118" i="29"/>
  <c r="Z119" i="29"/>
  <c r="K118" i="29"/>
  <c r="P169" i="30"/>
  <c r="H100" i="29"/>
  <c r="L118" i="29"/>
  <c r="T119" i="29"/>
  <c r="AC119" i="29"/>
  <c r="J118" i="29"/>
  <c r="G118" i="29"/>
  <c r="O112" i="3" l="1"/>
  <c r="AE118" i="29"/>
  <c r="O118" i="29" s="1"/>
  <c r="F112" i="3"/>
  <c r="A194" i="7"/>
  <c r="A425" i="7"/>
  <c r="I112" i="3"/>
  <c r="M119" i="29"/>
  <c r="A717" i="7" s="1"/>
  <c r="AD119" i="29"/>
  <c r="D119" i="29"/>
  <c r="C113" i="3" s="1"/>
  <c r="U119" i="29"/>
  <c r="AA119" i="29"/>
  <c r="AB119" i="29" s="1"/>
  <c r="E112" i="3"/>
  <c r="C194" i="7"/>
  <c r="P119" i="29"/>
  <c r="L113" i="3" s="1"/>
  <c r="AG119" i="29"/>
  <c r="X119" i="29"/>
  <c r="Y119" i="29" s="1"/>
  <c r="AN109" i="4"/>
  <c r="A111" i="3"/>
  <c r="Q118" i="29"/>
  <c r="AH118" i="29"/>
  <c r="R118" i="29" s="1"/>
  <c r="K112" i="3" s="1"/>
  <c r="M112" i="3"/>
  <c r="B752" i="7"/>
  <c r="L752" i="7" s="1"/>
  <c r="B751" i="7"/>
  <c r="L751" i="7" s="1"/>
  <c r="AT109" i="4"/>
  <c r="M111" i="3"/>
  <c r="V118" i="29"/>
  <c r="F118" i="29" s="1"/>
  <c r="B112" i="3" s="1"/>
  <c r="E118" i="29"/>
  <c r="C751" i="7"/>
  <c r="N111" i="3"/>
  <c r="H112" i="3"/>
  <c r="C425" i="7"/>
  <c r="G112" i="3"/>
  <c r="B425" i="7"/>
  <c r="L425" i="7" s="1"/>
  <c r="AR110" i="4"/>
  <c r="O113" i="3"/>
  <c r="F174" i="7"/>
  <c r="AP93" i="4"/>
  <c r="B176" i="7"/>
  <c r="L176" i="7" s="1"/>
  <c r="D94" i="3"/>
  <c r="K170" i="30"/>
  <c r="O170" i="30" s="1"/>
  <c r="AF120" i="29"/>
  <c r="G119" i="29"/>
  <c r="P170" i="30"/>
  <c r="AC120" i="29"/>
  <c r="Z120" i="29"/>
  <c r="I119" i="29"/>
  <c r="T120" i="29"/>
  <c r="J119" i="29"/>
  <c r="W120" i="29"/>
  <c r="L119" i="29"/>
  <c r="K119" i="29"/>
  <c r="H101" i="29"/>
  <c r="N112" i="3" l="1"/>
  <c r="C752" i="7"/>
  <c r="X120" i="29"/>
  <c r="Y120" i="29" s="1"/>
  <c r="A374" i="7"/>
  <c r="I113" i="3"/>
  <c r="D120" i="29"/>
  <c r="C114" i="3" s="1"/>
  <c r="U120" i="29"/>
  <c r="E113" i="3"/>
  <c r="C195" i="7"/>
  <c r="AA120" i="29"/>
  <c r="AB120" i="29" s="1"/>
  <c r="M120" i="29"/>
  <c r="AD120" i="29"/>
  <c r="F113" i="3"/>
  <c r="A195" i="7"/>
  <c r="P120" i="29"/>
  <c r="L114" i="3" s="1"/>
  <c r="AG120" i="29"/>
  <c r="AN110" i="4"/>
  <c r="A112" i="3"/>
  <c r="J112" i="3"/>
  <c r="AV110" i="4"/>
  <c r="AE119" i="29"/>
  <c r="O119" i="29" s="1"/>
  <c r="N119" i="29"/>
  <c r="Q119" i="29"/>
  <c r="AH119" i="29"/>
  <c r="R119" i="29" s="1"/>
  <c r="K113" i="3" s="1"/>
  <c r="E119" i="29"/>
  <c r="V119" i="29"/>
  <c r="F119" i="29" s="1"/>
  <c r="B113" i="3" s="1"/>
  <c r="AR111" i="4"/>
  <c r="G113" i="3"/>
  <c r="B374" i="7"/>
  <c r="L374" i="7" s="1"/>
  <c r="C374" i="7"/>
  <c r="H113" i="3"/>
  <c r="B177" i="7"/>
  <c r="L177" i="7" s="1"/>
  <c r="D95" i="3"/>
  <c r="I176" i="7"/>
  <c r="H176" i="7"/>
  <c r="G176" i="7"/>
  <c r="J176" i="7"/>
  <c r="D176" i="7"/>
  <c r="E176" i="7"/>
  <c r="K176" i="7"/>
  <c r="K171" i="30"/>
  <c r="O171" i="30" s="1"/>
  <c r="W121" i="29"/>
  <c r="AF121" i="29"/>
  <c r="H102" i="29"/>
  <c r="I120" i="29"/>
  <c r="T121" i="29"/>
  <c r="L120" i="29"/>
  <c r="K120" i="29"/>
  <c r="G120" i="29"/>
  <c r="J120" i="29"/>
  <c r="AC121" i="29"/>
  <c r="Z121" i="29"/>
  <c r="P171" i="30"/>
  <c r="AA121" i="29" l="1"/>
  <c r="AB121" i="29" s="1"/>
  <c r="AD121" i="29"/>
  <c r="N121" i="29" s="1"/>
  <c r="B755" i="7" s="1"/>
  <c r="L755" i="7" s="1"/>
  <c r="M121" i="29"/>
  <c r="A342" i="7"/>
  <c r="I114" i="3"/>
  <c r="A196" i="7"/>
  <c r="F114" i="3"/>
  <c r="U121" i="29"/>
  <c r="D121" i="29"/>
  <c r="C115" i="3" s="1"/>
  <c r="C196" i="7"/>
  <c r="E114" i="3"/>
  <c r="AG121" i="29"/>
  <c r="P121" i="29"/>
  <c r="L115" i="3" s="1"/>
  <c r="X121" i="29"/>
  <c r="Y121" i="29" s="1"/>
  <c r="J113" i="3"/>
  <c r="AV111" i="4"/>
  <c r="AH120" i="29"/>
  <c r="R120" i="29" s="1"/>
  <c r="K114" i="3" s="1"/>
  <c r="Q120" i="29"/>
  <c r="AE120" i="29"/>
  <c r="O120" i="29" s="1"/>
  <c r="N120" i="29"/>
  <c r="V120" i="29"/>
  <c r="F120" i="29" s="1"/>
  <c r="B114" i="3" s="1"/>
  <c r="E120" i="29"/>
  <c r="M113" i="3"/>
  <c r="B753" i="7"/>
  <c r="L753" i="7" s="1"/>
  <c r="AT111" i="4"/>
  <c r="AN111" i="4"/>
  <c r="A113" i="3"/>
  <c r="C753" i="7"/>
  <c r="N113" i="3"/>
  <c r="A718" i="7"/>
  <c r="O114" i="3"/>
  <c r="AE121" i="29"/>
  <c r="O121" i="29" s="1"/>
  <c r="N115" i="3" s="1"/>
  <c r="AR112" i="4"/>
  <c r="G114" i="3"/>
  <c r="B342" i="7"/>
  <c r="L342" i="7" s="1"/>
  <c r="H114" i="3"/>
  <c r="C342" i="7"/>
  <c r="F176" i="7"/>
  <c r="AP94" i="4"/>
  <c r="B178" i="7"/>
  <c r="L178" i="7" s="1"/>
  <c r="D96" i="3"/>
  <c r="D177" i="7"/>
  <c r="K172" i="30"/>
  <c r="O172" i="30" s="1"/>
  <c r="Z122" i="29"/>
  <c r="G121" i="29"/>
  <c r="P172" i="30"/>
  <c r="J121" i="29"/>
  <c r="AC122" i="29"/>
  <c r="H103" i="29"/>
  <c r="L121" i="29"/>
  <c r="K121" i="29"/>
  <c r="W122" i="29"/>
  <c r="T122" i="29"/>
  <c r="AF122" i="29"/>
  <c r="I121" i="29"/>
  <c r="C755" i="7" l="1"/>
  <c r="E115" i="3"/>
  <c r="C197" i="7"/>
  <c r="AG122" i="29"/>
  <c r="P122" i="29"/>
  <c r="L116" i="3" s="1"/>
  <c r="U122" i="29"/>
  <c r="V122" i="29" s="1"/>
  <c r="F122" i="29" s="1"/>
  <c r="B116" i="3" s="1"/>
  <c r="D122" i="29"/>
  <c r="C116" i="3" s="1"/>
  <c r="X122" i="29"/>
  <c r="Y122" i="29" s="1"/>
  <c r="AD122" i="29"/>
  <c r="AE122" i="29" s="1"/>
  <c r="O122" i="29" s="1"/>
  <c r="N116" i="3" s="1"/>
  <c r="M122" i="29"/>
  <c r="I115" i="3"/>
  <c r="A483" i="7"/>
  <c r="F115" i="3"/>
  <c r="A197" i="7"/>
  <c r="AA122" i="29"/>
  <c r="AB122" i="29" s="1"/>
  <c r="AT113" i="4"/>
  <c r="M115" i="3"/>
  <c r="M114" i="3"/>
  <c r="B754" i="7"/>
  <c r="L754" i="7" s="1"/>
  <c r="AT112" i="4"/>
  <c r="V121" i="29"/>
  <c r="F121" i="29" s="1"/>
  <c r="B115" i="3" s="1"/>
  <c r="E121" i="29"/>
  <c r="C754" i="7"/>
  <c r="N114" i="3"/>
  <c r="A114" i="3"/>
  <c r="AN112" i="4"/>
  <c r="J114" i="3"/>
  <c r="AV112" i="4"/>
  <c r="Q121" i="29"/>
  <c r="AH121" i="29"/>
  <c r="R121" i="29" s="1"/>
  <c r="K115" i="3" s="1"/>
  <c r="O115" i="3"/>
  <c r="A719" i="7"/>
  <c r="B483" i="7"/>
  <c r="L483" i="7" s="1"/>
  <c r="AR113" i="4"/>
  <c r="G115" i="3"/>
  <c r="H115" i="3"/>
  <c r="C483" i="7"/>
  <c r="B179" i="7"/>
  <c r="L179" i="7" s="1"/>
  <c r="AP95" i="4"/>
  <c r="D97" i="3"/>
  <c r="K173" i="30"/>
  <c r="O173" i="30" s="1"/>
  <c r="W123" i="29"/>
  <c r="AC123" i="29"/>
  <c r="Z123" i="29"/>
  <c r="K122" i="29"/>
  <c r="I122" i="29"/>
  <c r="T123" i="29"/>
  <c r="G122" i="29"/>
  <c r="AF123" i="29"/>
  <c r="J122" i="29"/>
  <c r="H104" i="29"/>
  <c r="L122" i="29"/>
  <c r="P173" i="30"/>
  <c r="E122" i="29" l="1"/>
  <c r="A116" i="3" s="1"/>
  <c r="C756" i="7"/>
  <c r="N122" i="29"/>
  <c r="AT114" i="4" s="1"/>
  <c r="I116" i="3"/>
  <c r="A431" i="7"/>
  <c r="AG123" i="29"/>
  <c r="P123" i="29"/>
  <c r="L117" i="3" s="1"/>
  <c r="A198" i="7"/>
  <c r="F116" i="3"/>
  <c r="D123" i="29"/>
  <c r="C117" i="3" s="1"/>
  <c r="U123" i="29"/>
  <c r="E123" i="29" s="1"/>
  <c r="C198" i="7"/>
  <c r="E116" i="3"/>
  <c r="AA123" i="29"/>
  <c r="AB123" i="29" s="1"/>
  <c r="AD123" i="29"/>
  <c r="M123" i="29"/>
  <c r="X123" i="29"/>
  <c r="Y123" i="29" s="1"/>
  <c r="AN113" i="4"/>
  <c r="A115" i="3"/>
  <c r="J115" i="3"/>
  <c r="AV113" i="4"/>
  <c r="AH122" i="29"/>
  <c r="R122" i="29" s="1"/>
  <c r="K116" i="3" s="1"/>
  <c r="Q122" i="29"/>
  <c r="A720" i="7"/>
  <c r="O116" i="3"/>
  <c r="C431" i="7"/>
  <c r="H116" i="3"/>
  <c r="B431" i="7"/>
  <c r="L431" i="7" s="1"/>
  <c r="AR114" i="4"/>
  <c r="G116" i="3"/>
  <c r="D98" i="3"/>
  <c r="AP96" i="4"/>
  <c r="B180" i="7"/>
  <c r="L180" i="7" s="1"/>
  <c r="K174" i="30"/>
  <c r="O174" i="30" s="1"/>
  <c r="AF124" i="29"/>
  <c r="Z124" i="29"/>
  <c r="AC124" i="29"/>
  <c r="W124" i="29"/>
  <c r="J123" i="29"/>
  <c r="G123" i="29"/>
  <c r="H105" i="29"/>
  <c r="L123" i="29"/>
  <c r="T124" i="29"/>
  <c r="I123" i="29"/>
  <c r="K123" i="29"/>
  <c r="P174" i="30"/>
  <c r="B756" i="7" l="1"/>
  <c r="L756" i="7" s="1"/>
  <c r="M116" i="3"/>
  <c r="AN114" i="4"/>
  <c r="V123" i="29"/>
  <c r="F123" i="29" s="1"/>
  <c r="B117" i="3" s="1"/>
  <c r="C199" i="7"/>
  <c r="E117" i="3"/>
  <c r="U124" i="29"/>
  <c r="D124" i="29"/>
  <c r="C118" i="3" s="1"/>
  <c r="F117" i="3"/>
  <c r="A199" i="7"/>
  <c r="A475" i="7"/>
  <c r="I117" i="3"/>
  <c r="X124" i="29"/>
  <c r="Y124" i="29" s="1"/>
  <c r="AD124" i="29"/>
  <c r="N124" i="29" s="1"/>
  <c r="M124" i="29"/>
  <c r="O118" i="3" s="1"/>
  <c r="AA124" i="29"/>
  <c r="AB124" i="29" s="1"/>
  <c r="AG124" i="29"/>
  <c r="P124" i="29"/>
  <c r="L118" i="3" s="1"/>
  <c r="J116" i="3"/>
  <c r="AV114" i="4"/>
  <c r="AE123" i="29"/>
  <c r="O123" i="29" s="1"/>
  <c r="N123" i="29"/>
  <c r="Q123" i="29"/>
  <c r="AH123" i="29"/>
  <c r="R123" i="29" s="1"/>
  <c r="K117" i="3" s="1"/>
  <c r="A721" i="7"/>
  <c r="O117" i="3"/>
  <c r="AN115" i="4"/>
  <c r="A117" i="3"/>
  <c r="AR115" i="4"/>
  <c r="G117" i="3"/>
  <c r="B475" i="7"/>
  <c r="L475" i="7" s="1"/>
  <c r="C475" i="7"/>
  <c r="H117" i="3"/>
  <c r="AE124" i="29"/>
  <c r="O124" i="29" s="1"/>
  <c r="C758" i="7" s="1"/>
  <c r="B758" i="7"/>
  <c r="L758" i="7" s="1"/>
  <c r="D99" i="3"/>
  <c r="AP97" i="4"/>
  <c r="B181" i="7"/>
  <c r="L181" i="7" s="1"/>
  <c r="K175" i="30"/>
  <c r="O175" i="30" s="1"/>
  <c r="T125" i="29"/>
  <c r="AC125" i="29"/>
  <c r="J124" i="29"/>
  <c r="AF125" i="29"/>
  <c r="P175" i="30"/>
  <c r="K124" i="29"/>
  <c r="H106" i="29"/>
  <c r="G124" i="29"/>
  <c r="Z125" i="29"/>
  <c r="W125" i="29"/>
  <c r="I124" i="29"/>
  <c r="L124" i="29"/>
  <c r="N118" i="3" l="1"/>
  <c r="A722" i="7"/>
  <c r="C200" i="7"/>
  <c r="E118" i="3"/>
  <c r="X125" i="29"/>
  <c r="Y125" i="29" s="1"/>
  <c r="AA125" i="29"/>
  <c r="AB125" i="29" s="1"/>
  <c r="A200" i="7"/>
  <c r="F118" i="3"/>
  <c r="AG125" i="29"/>
  <c r="Q125" i="29" s="1"/>
  <c r="J119" i="3" s="1"/>
  <c r="P125" i="29"/>
  <c r="L119" i="3" s="1"/>
  <c r="I118" i="3"/>
  <c r="A468" i="7"/>
  <c r="M125" i="29"/>
  <c r="AD125" i="29"/>
  <c r="U125" i="29"/>
  <c r="D125" i="29"/>
  <c r="C119" i="3" s="1"/>
  <c r="N117" i="3"/>
  <c r="C757" i="7"/>
  <c r="Q124" i="29"/>
  <c r="AH124" i="29"/>
  <c r="R124" i="29" s="1"/>
  <c r="K118" i="3" s="1"/>
  <c r="V124" i="29"/>
  <c r="F124" i="29" s="1"/>
  <c r="B118" i="3" s="1"/>
  <c r="E124" i="29"/>
  <c r="J117" i="3"/>
  <c r="AV115" i="4"/>
  <c r="M118" i="3"/>
  <c r="AT116" i="4"/>
  <c r="M117" i="3"/>
  <c r="AT115" i="4"/>
  <c r="B757" i="7"/>
  <c r="L757" i="7" s="1"/>
  <c r="G118" i="3"/>
  <c r="AR116" i="4"/>
  <c r="B468" i="7"/>
  <c r="L468" i="7" s="1"/>
  <c r="C468" i="7"/>
  <c r="H118" i="3"/>
  <c r="AP98" i="4"/>
  <c r="D100" i="3"/>
  <c r="B182" i="7"/>
  <c r="I181" i="7"/>
  <c r="G181" i="7"/>
  <c r="E181" i="7"/>
  <c r="D181" i="7"/>
  <c r="K181" i="7"/>
  <c r="J181" i="7"/>
  <c r="H181" i="7"/>
  <c r="K176" i="30"/>
  <c r="O176" i="30" s="1"/>
  <c r="W126" i="29"/>
  <c r="T126" i="29"/>
  <c r="Z126" i="29"/>
  <c r="AC126" i="29"/>
  <c r="I125" i="29"/>
  <c r="J125" i="29"/>
  <c r="L125" i="29"/>
  <c r="H107" i="29"/>
  <c r="K125" i="29"/>
  <c r="P176" i="30"/>
  <c r="G125" i="29"/>
  <c r="AF126" i="29"/>
  <c r="AV117" i="4" l="1"/>
  <c r="AH125" i="29"/>
  <c r="R125" i="29" s="1"/>
  <c r="K119" i="3" s="1"/>
  <c r="AG126" i="29"/>
  <c r="P126" i="29"/>
  <c r="L120" i="3" s="1"/>
  <c r="F119" i="3"/>
  <c r="A201" i="7"/>
  <c r="A408" i="7"/>
  <c r="I119" i="3"/>
  <c r="C201" i="7"/>
  <c r="E119" i="3"/>
  <c r="AD126" i="29"/>
  <c r="AE126" i="29" s="1"/>
  <c r="O126" i="29" s="1"/>
  <c r="M126" i="29"/>
  <c r="A724" i="7" s="1"/>
  <c r="AA126" i="29"/>
  <c r="AB126" i="29" s="1"/>
  <c r="U126" i="29"/>
  <c r="D126" i="29"/>
  <c r="C120" i="3" s="1"/>
  <c r="X126" i="29"/>
  <c r="Y126" i="29" s="1"/>
  <c r="AV116" i="4"/>
  <c r="J118" i="3"/>
  <c r="O119" i="3"/>
  <c r="A723" i="7"/>
  <c r="A118" i="3"/>
  <c r="AN116" i="4"/>
  <c r="V125" i="29"/>
  <c r="F125" i="29" s="1"/>
  <c r="B119" i="3" s="1"/>
  <c r="E125" i="29"/>
  <c r="N125" i="29"/>
  <c r="AE125" i="29"/>
  <c r="O125" i="29" s="1"/>
  <c r="G119" i="3"/>
  <c r="AR117" i="4"/>
  <c r="B408" i="7"/>
  <c r="L408" i="7" s="1"/>
  <c r="H119" i="3"/>
  <c r="C408" i="7"/>
  <c r="O120" i="3"/>
  <c r="L182" i="7"/>
  <c r="F181" i="7"/>
  <c r="AP99" i="4"/>
  <c r="D101" i="3"/>
  <c r="B183" i="7"/>
  <c r="L183" i="7" s="1"/>
  <c r="E182" i="7"/>
  <c r="G182" i="7"/>
  <c r="I182" i="7"/>
  <c r="K182" i="7"/>
  <c r="H182" i="7"/>
  <c r="J182" i="7"/>
  <c r="D182" i="7"/>
  <c r="K177" i="30"/>
  <c r="O177" i="30" s="1"/>
  <c r="J126" i="29"/>
  <c r="G126" i="29"/>
  <c r="L126" i="29"/>
  <c r="H108" i="29"/>
  <c r="Z127" i="29"/>
  <c r="T127" i="29"/>
  <c r="AF127" i="29"/>
  <c r="AC127" i="29"/>
  <c r="I126" i="29"/>
  <c r="W127" i="29"/>
  <c r="K126" i="29"/>
  <c r="P177" i="30"/>
  <c r="N126" i="29" l="1"/>
  <c r="AT118" i="4" s="1"/>
  <c r="X127" i="29"/>
  <c r="Y127" i="29" s="1"/>
  <c r="E120" i="3"/>
  <c r="C202" i="7"/>
  <c r="AD127" i="29"/>
  <c r="M127" i="29"/>
  <c r="O121" i="3" s="1"/>
  <c r="P127" i="29"/>
  <c r="L121" i="3" s="1"/>
  <c r="AG127" i="29"/>
  <c r="AH127" i="29" s="1"/>
  <c r="R127" i="29" s="1"/>
  <c r="K121" i="3" s="1"/>
  <c r="D127" i="29"/>
  <c r="C121" i="3" s="1"/>
  <c r="U127" i="29"/>
  <c r="AA127" i="29"/>
  <c r="AB127" i="29" s="1"/>
  <c r="A202" i="7"/>
  <c r="F120" i="3"/>
  <c r="I120" i="3"/>
  <c r="A390" i="7"/>
  <c r="V126" i="29"/>
  <c r="F126" i="29" s="1"/>
  <c r="B120" i="3" s="1"/>
  <c r="E126" i="29"/>
  <c r="N119" i="3"/>
  <c r="C759" i="7"/>
  <c r="AT117" i="4"/>
  <c r="B759" i="7"/>
  <c r="L759" i="7" s="1"/>
  <c r="M119" i="3"/>
  <c r="C760" i="7"/>
  <c r="N120" i="3"/>
  <c r="AN117" i="4"/>
  <c r="A119" i="3"/>
  <c r="AH126" i="29"/>
  <c r="R126" i="29" s="1"/>
  <c r="K120" i="3" s="1"/>
  <c r="Q126" i="29"/>
  <c r="AR118" i="4"/>
  <c r="B390" i="7"/>
  <c r="L390" i="7" s="1"/>
  <c r="G120" i="3"/>
  <c r="C390" i="7"/>
  <c r="H120" i="3"/>
  <c r="A725" i="7"/>
  <c r="F182" i="7"/>
  <c r="D102" i="3"/>
  <c r="B184" i="7"/>
  <c r="L184" i="7" s="1"/>
  <c r="AP100" i="4"/>
  <c r="J183" i="7"/>
  <c r="G183" i="7"/>
  <c r="D183" i="7"/>
  <c r="H183" i="7"/>
  <c r="E183" i="7"/>
  <c r="I183" i="7"/>
  <c r="K183" i="7"/>
  <c r="K178" i="30"/>
  <c r="O178" i="30" s="1"/>
  <c r="W128" i="29"/>
  <c r="Z128" i="29"/>
  <c r="P178" i="30"/>
  <c r="K127" i="29"/>
  <c r="L127" i="29"/>
  <c r="H109" i="29"/>
  <c r="I127" i="29"/>
  <c r="AC128" i="29"/>
  <c r="AF128" i="29"/>
  <c r="T128" i="29"/>
  <c r="G127" i="29"/>
  <c r="J127" i="29"/>
  <c r="Q127" i="29" l="1"/>
  <c r="J121" i="3" s="1"/>
  <c r="B760" i="7"/>
  <c r="L760" i="7" s="1"/>
  <c r="M120" i="3"/>
  <c r="A320" i="7"/>
  <c r="I121" i="3"/>
  <c r="F121" i="3"/>
  <c r="A203" i="7"/>
  <c r="D128" i="29"/>
  <c r="C122" i="3" s="1"/>
  <c r="U128" i="29"/>
  <c r="AG128" i="29"/>
  <c r="AH128" i="29" s="1"/>
  <c r="R128" i="29" s="1"/>
  <c r="K122" i="3" s="1"/>
  <c r="P128" i="29"/>
  <c r="L122" i="3" s="1"/>
  <c r="AD128" i="29"/>
  <c r="M128" i="29"/>
  <c r="C203" i="7"/>
  <c r="E121" i="3"/>
  <c r="AA128" i="29"/>
  <c r="AB128" i="29" s="1"/>
  <c r="X128" i="29"/>
  <c r="Y128" i="29" s="1"/>
  <c r="AN118" i="4"/>
  <c r="A120" i="3"/>
  <c r="AE127" i="29"/>
  <c r="O127" i="29" s="1"/>
  <c r="N127" i="29"/>
  <c r="AV118" i="4"/>
  <c r="J120" i="3"/>
  <c r="E127" i="29"/>
  <c r="V127" i="29"/>
  <c r="F127" i="29" s="1"/>
  <c r="B121" i="3" s="1"/>
  <c r="G121" i="3"/>
  <c r="AR119" i="4"/>
  <c r="B320" i="7"/>
  <c r="L320" i="7" s="1"/>
  <c r="H121" i="3"/>
  <c r="C320" i="7"/>
  <c r="D103" i="3"/>
  <c r="B185" i="7"/>
  <c r="L185" i="7" s="1"/>
  <c r="AP101" i="4"/>
  <c r="F183" i="7"/>
  <c r="D184" i="7"/>
  <c r="K184" i="7"/>
  <c r="G184" i="7"/>
  <c r="I184" i="7"/>
  <c r="J184" i="7"/>
  <c r="H184" i="7"/>
  <c r="E184" i="7"/>
  <c r="K179" i="30"/>
  <c r="O179" i="30" s="1"/>
  <c r="AF129" i="29"/>
  <c r="Z129" i="29"/>
  <c r="W129" i="29"/>
  <c r="T129" i="29"/>
  <c r="AC129" i="29"/>
  <c r="I128" i="29"/>
  <c r="L128" i="29"/>
  <c r="P179" i="30"/>
  <c r="K128" i="29"/>
  <c r="H110" i="29"/>
  <c r="J128" i="29"/>
  <c r="G128" i="29"/>
  <c r="AV119" i="4" l="1"/>
  <c r="Q128" i="29"/>
  <c r="J122" i="3" s="1"/>
  <c r="A204" i="7"/>
  <c r="F122" i="3"/>
  <c r="A394" i="7"/>
  <c r="I122" i="3"/>
  <c r="E122" i="3"/>
  <c r="C204" i="7"/>
  <c r="M129" i="29"/>
  <c r="O123" i="3" s="1"/>
  <c r="AD129" i="29"/>
  <c r="D129" i="29"/>
  <c r="C123" i="3" s="1"/>
  <c r="U129" i="29"/>
  <c r="X129" i="29"/>
  <c r="Y129" i="29" s="1"/>
  <c r="AA129" i="29"/>
  <c r="AB129" i="29" s="1"/>
  <c r="AG129" i="29"/>
  <c r="P129" i="29"/>
  <c r="L123" i="3" s="1"/>
  <c r="A121" i="3"/>
  <c r="AN119" i="4"/>
  <c r="N121" i="3"/>
  <c r="C761" i="7"/>
  <c r="AE128" i="29"/>
  <c r="O128" i="29" s="1"/>
  <c r="N128" i="29"/>
  <c r="E128" i="29"/>
  <c r="V128" i="29"/>
  <c r="F128" i="29" s="1"/>
  <c r="B122" i="3" s="1"/>
  <c r="AT119" i="4"/>
  <c r="B761" i="7"/>
  <c r="L761" i="7" s="1"/>
  <c r="M121" i="3"/>
  <c r="A726" i="7"/>
  <c r="O122" i="3"/>
  <c r="B394" i="7"/>
  <c r="L394" i="7" s="1"/>
  <c r="AR120" i="4"/>
  <c r="G122" i="3"/>
  <c r="H122" i="3"/>
  <c r="C394" i="7"/>
  <c r="D104" i="3"/>
  <c r="AP102" i="4"/>
  <c r="B186" i="7"/>
  <c r="L186" i="7" s="1"/>
  <c r="F184" i="7"/>
  <c r="K180" i="30"/>
  <c r="AC130" i="29"/>
  <c r="I129" i="29"/>
  <c r="Z130" i="29"/>
  <c r="G129" i="29"/>
  <c r="J129" i="29"/>
  <c r="H111" i="29"/>
  <c r="T130" i="29"/>
  <c r="W130" i="29"/>
  <c r="AF130" i="29"/>
  <c r="K129" i="29"/>
  <c r="L129" i="29"/>
  <c r="AV120" i="4" l="1"/>
  <c r="P130" i="29"/>
  <c r="L124" i="3" s="1"/>
  <c r="AG130" i="29"/>
  <c r="X130" i="29"/>
  <c r="Y130" i="29" s="1"/>
  <c r="D130" i="29"/>
  <c r="C124" i="3" s="1"/>
  <c r="U130" i="29"/>
  <c r="V130" i="29" s="1"/>
  <c r="F130" i="29" s="1"/>
  <c r="B124" i="3" s="1"/>
  <c r="I123" i="3"/>
  <c r="A438" i="7"/>
  <c r="A205" i="7"/>
  <c r="F123" i="3"/>
  <c r="AA130" i="29"/>
  <c r="AB130" i="29" s="1"/>
  <c r="C205" i="7"/>
  <c r="E123" i="3"/>
  <c r="M130" i="29"/>
  <c r="O124" i="3" s="1"/>
  <c r="AD130" i="29"/>
  <c r="AE130" i="29" s="1"/>
  <c r="O130" i="29" s="1"/>
  <c r="N124" i="3" s="1"/>
  <c r="A122" i="3"/>
  <c r="AN120" i="4"/>
  <c r="E129" i="29"/>
  <c r="V129" i="29"/>
  <c r="F129" i="29" s="1"/>
  <c r="B123" i="3" s="1"/>
  <c r="AE129" i="29"/>
  <c r="O129" i="29" s="1"/>
  <c r="N123" i="3" s="1"/>
  <c r="N129" i="29"/>
  <c r="M122" i="3"/>
  <c r="AT120" i="4"/>
  <c r="B762" i="7"/>
  <c r="L762" i="7" s="1"/>
  <c r="AH129" i="29"/>
  <c r="R129" i="29" s="1"/>
  <c r="K123" i="3" s="1"/>
  <c r="Q129" i="29"/>
  <c r="C762" i="7"/>
  <c r="N122" i="3"/>
  <c r="C438" i="7"/>
  <c r="H123" i="3"/>
  <c r="B438" i="7"/>
  <c r="L438" i="7" s="1"/>
  <c r="AR121" i="4"/>
  <c r="G123" i="3"/>
  <c r="D105" i="3"/>
  <c r="AP103" i="4"/>
  <c r="B187" i="7"/>
  <c r="L187" i="7" s="1"/>
  <c r="E186" i="7"/>
  <c r="G186" i="7"/>
  <c r="I186" i="7"/>
  <c r="J186" i="7"/>
  <c r="D186" i="7"/>
  <c r="H186" i="7"/>
  <c r="K186" i="7"/>
  <c r="O180" i="30"/>
  <c r="K181" i="30"/>
  <c r="O181" i="30" s="1"/>
  <c r="W131" i="29"/>
  <c r="T131" i="29"/>
  <c r="AC131" i="29"/>
  <c r="P180" i="30"/>
  <c r="G130" i="29"/>
  <c r="AF131" i="29"/>
  <c r="J130" i="29"/>
  <c r="P181" i="30"/>
  <c r="L130" i="29"/>
  <c r="K130" i="29"/>
  <c r="I130" i="29"/>
  <c r="Z131" i="29"/>
  <c r="H112" i="29"/>
  <c r="E130" i="29" l="1"/>
  <c r="A124" i="3" s="1"/>
  <c r="N130" i="29"/>
  <c r="AT122" i="4" s="1"/>
  <c r="AA131" i="29"/>
  <c r="AB131" i="29" s="1"/>
  <c r="E124" i="3"/>
  <c r="C206" i="7"/>
  <c r="A392" i="7"/>
  <c r="I124" i="3"/>
  <c r="AG131" i="29"/>
  <c r="P131" i="29"/>
  <c r="L125" i="3" s="1"/>
  <c r="A206" i="7"/>
  <c r="F124" i="3"/>
  <c r="M131" i="29"/>
  <c r="O125" i="3" s="1"/>
  <c r="AD131" i="29"/>
  <c r="U131" i="29"/>
  <c r="D131" i="29"/>
  <c r="C125" i="3" s="1"/>
  <c r="X131" i="29"/>
  <c r="Y131" i="29" s="1"/>
  <c r="J123" i="3"/>
  <c r="AV121" i="4"/>
  <c r="A123" i="3"/>
  <c r="AN121" i="4"/>
  <c r="M123" i="3"/>
  <c r="AT121" i="4"/>
  <c r="AH130" i="29"/>
  <c r="R130" i="29" s="1"/>
  <c r="K124" i="3" s="1"/>
  <c r="Q130" i="29"/>
  <c r="G124" i="3"/>
  <c r="B392" i="7"/>
  <c r="L392" i="7" s="1"/>
  <c r="AR122" i="4"/>
  <c r="H124" i="3"/>
  <c r="C392" i="7"/>
  <c r="F186" i="7"/>
  <c r="AP104" i="4"/>
  <c r="D106" i="3"/>
  <c r="B188" i="7"/>
  <c r="L188" i="7" s="1"/>
  <c r="K182" i="30"/>
  <c r="O182" i="30" s="1"/>
  <c r="AF132" i="29"/>
  <c r="W132" i="29"/>
  <c r="P182" i="30"/>
  <c r="H113" i="29"/>
  <c r="Z132" i="29"/>
  <c r="T132" i="29"/>
  <c r="K131" i="29"/>
  <c r="L131" i="29"/>
  <c r="J131" i="29"/>
  <c r="AC132" i="29"/>
  <c r="I131" i="29"/>
  <c r="G131" i="29"/>
  <c r="AN122" i="4" l="1"/>
  <c r="M124" i="3"/>
  <c r="F125" i="3"/>
  <c r="A207" i="7"/>
  <c r="C207" i="7"/>
  <c r="E125" i="3"/>
  <c r="M132" i="29"/>
  <c r="O126" i="3" s="1"/>
  <c r="AD132" i="29"/>
  <c r="N132" i="29" s="1"/>
  <c r="AT124" i="4" s="1"/>
  <c r="I125" i="3"/>
  <c r="A409" i="7"/>
  <c r="U132" i="29"/>
  <c r="D132" i="29"/>
  <c r="C126" i="3" s="1"/>
  <c r="AA132" i="29"/>
  <c r="AB132" i="29" s="1"/>
  <c r="X132" i="29"/>
  <c r="Y132" i="29" s="1"/>
  <c r="P132" i="29"/>
  <c r="L126" i="3" s="1"/>
  <c r="AG132" i="29"/>
  <c r="V131" i="29"/>
  <c r="F131" i="29" s="1"/>
  <c r="B125" i="3" s="1"/>
  <c r="E131" i="29"/>
  <c r="AH131" i="29"/>
  <c r="R131" i="29" s="1"/>
  <c r="K125" i="3" s="1"/>
  <c r="Q131" i="29"/>
  <c r="N131" i="29"/>
  <c r="AE131" i="29"/>
  <c r="O131" i="29" s="1"/>
  <c r="N125" i="3" s="1"/>
  <c r="J124" i="3"/>
  <c r="AV122" i="4"/>
  <c r="AR123" i="4"/>
  <c r="B409" i="7"/>
  <c r="L409" i="7" s="1"/>
  <c r="G125" i="3"/>
  <c r="C409" i="7"/>
  <c r="H125" i="3"/>
  <c r="B189" i="7"/>
  <c r="L189" i="7" s="1"/>
  <c r="D107" i="3"/>
  <c r="AP105" i="4"/>
  <c r="H188" i="7"/>
  <c r="K188" i="7"/>
  <c r="I188" i="7"/>
  <c r="E188" i="7"/>
  <c r="G188" i="7"/>
  <c r="D188" i="7"/>
  <c r="J188" i="7"/>
  <c r="K183" i="30"/>
  <c r="O183" i="30" s="1"/>
  <c r="AC133" i="29"/>
  <c r="Z133" i="29"/>
  <c r="I132" i="29"/>
  <c r="AF133" i="29"/>
  <c r="L132" i="29"/>
  <c r="K132" i="29"/>
  <c r="H114" i="29"/>
  <c r="P183" i="30"/>
  <c r="J132" i="29"/>
  <c r="G132" i="29"/>
  <c r="T133" i="29"/>
  <c r="W133" i="29"/>
  <c r="M126" i="3" l="1"/>
  <c r="AE132" i="29"/>
  <c r="O132" i="29" s="1"/>
  <c r="N126" i="3" s="1"/>
  <c r="X133" i="29"/>
  <c r="Y133" i="29" s="1"/>
  <c r="U133" i="29"/>
  <c r="D133" i="29"/>
  <c r="C127" i="3" s="1"/>
  <c r="F126" i="3"/>
  <c r="A208" i="7"/>
  <c r="A403" i="7"/>
  <c r="I126" i="3"/>
  <c r="AG133" i="29"/>
  <c r="AH133" i="29" s="1"/>
  <c r="R133" i="29" s="1"/>
  <c r="K127" i="3" s="1"/>
  <c r="P133" i="29"/>
  <c r="L127" i="3" s="1"/>
  <c r="E126" i="3"/>
  <c r="C208" i="7"/>
  <c r="AA133" i="29"/>
  <c r="AB133" i="29" s="1"/>
  <c r="AD133" i="29"/>
  <c r="M133" i="29"/>
  <c r="O127" i="3" s="1"/>
  <c r="Q132" i="29"/>
  <c r="AH132" i="29"/>
  <c r="R132" i="29" s="1"/>
  <c r="K126" i="3" s="1"/>
  <c r="AN123" i="4"/>
  <c r="A125" i="3"/>
  <c r="M125" i="3"/>
  <c r="AT123" i="4"/>
  <c r="E132" i="29"/>
  <c r="V132" i="29"/>
  <c r="F132" i="29" s="1"/>
  <c r="B126" i="3" s="1"/>
  <c r="AV123" i="4"/>
  <c r="J125" i="3"/>
  <c r="H126" i="3"/>
  <c r="C403" i="7"/>
  <c r="G126" i="3"/>
  <c r="AR124" i="4"/>
  <c r="B403" i="7"/>
  <c r="L403" i="7" s="1"/>
  <c r="F188" i="7"/>
  <c r="D108" i="3"/>
  <c r="AP106" i="4"/>
  <c r="B190" i="7"/>
  <c r="L190" i="7" s="1"/>
  <c r="D189" i="7"/>
  <c r="K184" i="30"/>
  <c r="O184" i="30" s="1"/>
  <c r="I133" i="29"/>
  <c r="T134" i="29"/>
  <c r="Z134" i="29"/>
  <c r="L133" i="29"/>
  <c r="G133" i="29"/>
  <c r="P184" i="30"/>
  <c r="H115" i="29"/>
  <c r="K133" i="29"/>
  <c r="W134" i="29"/>
  <c r="AC134" i="29"/>
  <c r="AF134" i="29"/>
  <c r="J133" i="29"/>
  <c r="Q133" i="29" l="1"/>
  <c r="I127" i="3"/>
  <c r="A313" i="7"/>
  <c r="AG134" i="29"/>
  <c r="P134" i="29"/>
  <c r="L128" i="3" s="1"/>
  <c r="AD134" i="29"/>
  <c r="M134" i="29"/>
  <c r="O128" i="3" s="1"/>
  <c r="X134" i="29"/>
  <c r="Y134" i="29" s="1"/>
  <c r="F127" i="3"/>
  <c r="A209" i="7"/>
  <c r="AA134" i="29"/>
  <c r="AB134" i="29" s="1"/>
  <c r="U134" i="29"/>
  <c r="D134" i="29"/>
  <c r="C128" i="3" s="1"/>
  <c r="E127" i="3"/>
  <c r="C209" i="7"/>
  <c r="AN124" i="4"/>
  <c r="A126" i="3"/>
  <c r="AE133" i="29"/>
  <c r="O133" i="29" s="1"/>
  <c r="N127" i="3" s="1"/>
  <c r="N133" i="29"/>
  <c r="E133" i="29"/>
  <c r="V133" i="29"/>
  <c r="F133" i="29" s="1"/>
  <c r="B127" i="3" s="1"/>
  <c r="AV124" i="4"/>
  <c r="J126" i="3"/>
  <c r="B313" i="7"/>
  <c r="L313" i="7" s="1"/>
  <c r="AR125" i="4"/>
  <c r="G127" i="3"/>
  <c r="H127" i="3"/>
  <c r="C313" i="7"/>
  <c r="AP107" i="4"/>
  <c r="B191" i="7"/>
  <c r="L191" i="7" s="1"/>
  <c r="D109" i="3"/>
  <c r="K185" i="30"/>
  <c r="O185" i="30" s="1"/>
  <c r="AF135" i="29"/>
  <c r="W135" i="29"/>
  <c r="T135" i="29"/>
  <c r="K134" i="29"/>
  <c r="H116" i="29"/>
  <c r="L134" i="29"/>
  <c r="G134" i="29"/>
  <c r="Z135" i="29"/>
  <c r="AC135" i="29"/>
  <c r="I134" i="29"/>
  <c r="J134" i="29"/>
  <c r="P185" i="30"/>
  <c r="AV125" i="4" l="1"/>
  <c r="J127" i="3"/>
  <c r="I128" i="3"/>
  <c r="A407" i="7"/>
  <c r="C210" i="7"/>
  <c r="E128" i="3"/>
  <c r="AD135" i="29"/>
  <c r="AE135" i="29" s="1"/>
  <c r="O135" i="29" s="1"/>
  <c r="N129" i="3" s="1"/>
  <c r="M135" i="29"/>
  <c r="O129" i="3" s="1"/>
  <c r="AA135" i="29"/>
  <c r="F128" i="3"/>
  <c r="A210" i="7"/>
  <c r="U135" i="29"/>
  <c r="D135" i="29"/>
  <c r="C129" i="3" s="1"/>
  <c r="X135" i="29"/>
  <c r="Y135" i="29" s="1"/>
  <c r="AG135" i="29"/>
  <c r="AH135" i="29" s="1"/>
  <c r="R135" i="29" s="1"/>
  <c r="K129" i="3" s="1"/>
  <c r="P135" i="29"/>
  <c r="L129" i="3" s="1"/>
  <c r="Q134" i="29"/>
  <c r="AH134" i="29"/>
  <c r="R134" i="29" s="1"/>
  <c r="K128" i="3" s="1"/>
  <c r="A127" i="3"/>
  <c r="AN125" i="4"/>
  <c r="E134" i="29"/>
  <c r="V134" i="29"/>
  <c r="F134" i="29" s="1"/>
  <c r="B128" i="3" s="1"/>
  <c r="AE134" i="29"/>
  <c r="O134" i="29" s="1"/>
  <c r="N128" i="3" s="1"/>
  <c r="N134" i="29"/>
  <c r="M127" i="3"/>
  <c r="AT125" i="4"/>
  <c r="N135" i="29"/>
  <c r="M129" i="3" s="1"/>
  <c r="G128" i="3"/>
  <c r="AR126" i="4"/>
  <c r="B407" i="7"/>
  <c r="L407" i="7" s="1"/>
  <c r="H128" i="3"/>
  <c r="C407" i="7"/>
  <c r="AB135" i="29"/>
  <c r="AP108" i="4"/>
  <c r="D110" i="3"/>
  <c r="B192" i="7"/>
  <c r="L192" i="7" s="1"/>
  <c r="K186" i="30"/>
  <c r="AC136" i="29"/>
  <c r="Z136" i="29"/>
  <c r="W136" i="29"/>
  <c r="J135" i="29"/>
  <c r="I135" i="29"/>
  <c r="K135" i="29"/>
  <c r="L135" i="29"/>
  <c r="T136" i="29"/>
  <c r="AF136" i="29"/>
  <c r="H117" i="29"/>
  <c r="G135" i="29"/>
  <c r="AT127" i="4" l="1"/>
  <c r="Q135" i="29"/>
  <c r="J129" i="3" s="1"/>
  <c r="F129" i="3"/>
  <c r="A211" i="7"/>
  <c r="AG136" i="29"/>
  <c r="P136" i="29"/>
  <c r="L130" i="3" s="1"/>
  <c r="D136" i="29"/>
  <c r="C130" i="3" s="1"/>
  <c r="U136" i="29"/>
  <c r="V136" i="29" s="1"/>
  <c r="F136" i="29" s="1"/>
  <c r="B130" i="3" s="1"/>
  <c r="E129" i="3"/>
  <c r="C211" i="7"/>
  <c r="I129" i="3"/>
  <c r="A427" i="7"/>
  <c r="X136" i="29"/>
  <c r="Y136" i="29" s="1"/>
  <c r="AA136" i="29"/>
  <c r="AB136" i="29" s="1"/>
  <c r="AD136" i="29"/>
  <c r="M136" i="29"/>
  <c r="O130" i="3" s="1"/>
  <c r="A128" i="3"/>
  <c r="AN126" i="4"/>
  <c r="J128" i="3"/>
  <c r="AV126" i="4"/>
  <c r="M128" i="3"/>
  <c r="AT126" i="4"/>
  <c r="E135" i="29"/>
  <c r="V135" i="29"/>
  <c r="F135" i="29" s="1"/>
  <c r="B129" i="3" s="1"/>
  <c r="C427" i="7"/>
  <c r="H129" i="3"/>
  <c r="G129" i="3"/>
  <c r="B427" i="7"/>
  <c r="L427" i="7" s="1"/>
  <c r="AR127" i="4"/>
  <c r="AV127" i="4"/>
  <c r="AP109" i="4"/>
  <c r="D111" i="3"/>
  <c r="B193" i="7"/>
  <c r="L193" i="7" s="1"/>
  <c r="O186" i="30"/>
  <c r="K187" i="30"/>
  <c r="O187" i="30" s="1"/>
  <c r="I136" i="29"/>
  <c r="Z137" i="29"/>
  <c r="AC137" i="29"/>
  <c r="W137" i="29"/>
  <c r="J136" i="29"/>
  <c r="T137" i="29"/>
  <c r="G136" i="29"/>
  <c r="K136" i="29"/>
  <c r="L136" i="29"/>
  <c r="P187" i="30"/>
  <c r="P186" i="30"/>
  <c r="AF137" i="29"/>
  <c r="H118" i="29"/>
  <c r="E136" i="29" l="1"/>
  <c r="AN128" i="4" s="1"/>
  <c r="P137" i="29"/>
  <c r="L131" i="3" s="1"/>
  <c r="AG137" i="29"/>
  <c r="A212" i="7"/>
  <c r="F130" i="3"/>
  <c r="U137" i="29"/>
  <c r="D137" i="29"/>
  <c r="C131" i="3" s="1"/>
  <c r="A446" i="7"/>
  <c r="I130" i="3"/>
  <c r="X137" i="29"/>
  <c r="Y137" i="29" s="1"/>
  <c r="AD137" i="29"/>
  <c r="M137" i="29"/>
  <c r="O131" i="3" s="1"/>
  <c r="AA137" i="29"/>
  <c r="AB137" i="29" s="1"/>
  <c r="E130" i="3"/>
  <c r="C212" i="7"/>
  <c r="A129" i="3"/>
  <c r="AN127" i="4"/>
  <c r="N136" i="29"/>
  <c r="AE136" i="29"/>
  <c r="O136" i="29" s="1"/>
  <c r="N130" i="3" s="1"/>
  <c r="Q136" i="29"/>
  <c r="AH136" i="29"/>
  <c r="R136" i="29" s="1"/>
  <c r="K130" i="3" s="1"/>
  <c r="AR128" i="4"/>
  <c r="G130" i="3"/>
  <c r="B446" i="7"/>
  <c r="L446" i="7" s="1"/>
  <c r="H130" i="3"/>
  <c r="C446" i="7"/>
  <c r="AP110" i="4"/>
  <c r="D112" i="3"/>
  <c r="B194" i="7"/>
  <c r="L194" i="7" s="1"/>
  <c r="K188" i="30"/>
  <c r="O188" i="30" s="1"/>
  <c r="G137" i="29"/>
  <c r="P188" i="30"/>
  <c r="H119" i="29"/>
  <c r="Z138" i="29"/>
  <c r="K137" i="29"/>
  <c r="AF138" i="29"/>
  <c r="I137" i="29"/>
  <c r="AC138" i="29"/>
  <c r="J137" i="29"/>
  <c r="T138" i="29"/>
  <c r="W138" i="29"/>
  <c r="L137" i="29"/>
  <c r="A130" i="3" l="1"/>
  <c r="X138" i="29"/>
  <c r="Y138" i="29" s="1"/>
  <c r="D138" i="29"/>
  <c r="C132" i="3" s="1"/>
  <c r="U138" i="29"/>
  <c r="I131" i="3"/>
  <c r="A395" i="7"/>
  <c r="M138" i="29"/>
  <c r="O132" i="3" s="1"/>
  <c r="AD138" i="29"/>
  <c r="E131" i="3"/>
  <c r="C213" i="7"/>
  <c r="AG138" i="29"/>
  <c r="P138" i="29"/>
  <c r="L132" i="3" s="1"/>
  <c r="AA138" i="29"/>
  <c r="AB138" i="29" s="1"/>
  <c r="F131" i="3"/>
  <c r="A213" i="7"/>
  <c r="AT128" i="4"/>
  <c r="M130" i="3"/>
  <c r="J130" i="3"/>
  <c r="AV128" i="4"/>
  <c r="N137" i="29"/>
  <c r="AE137" i="29"/>
  <c r="O137" i="29" s="1"/>
  <c r="N131" i="3" s="1"/>
  <c r="E137" i="29"/>
  <c r="V137" i="29"/>
  <c r="F137" i="29" s="1"/>
  <c r="B131" i="3" s="1"/>
  <c r="Q137" i="29"/>
  <c r="AH137" i="29"/>
  <c r="R137" i="29" s="1"/>
  <c r="K131" i="3" s="1"/>
  <c r="AR129" i="4"/>
  <c r="G131" i="3"/>
  <c r="B395" i="7"/>
  <c r="L395" i="7" s="1"/>
  <c r="C395" i="7"/>
  <c r="H131" i="3"/>
  <c r="D113" i="3"/>
  <c r="AP111" i="4"/>
  <c r="B195" i="7"/>
  <c r="L195" i="7" s="1"/>
  <c r="E194" i="7"/>
  <c r="G194" i="7"/>
  <c r="K194" i="7"/>
  <c r="D194" i="7"/>
  <c r="H194" i="7"/>
  <c r="J194" i="7"/>
  <c r="I194" i="7"/>
  <c r="K189" i="30"/>
  <c r="O189" i="30" s="1"/>
  <c r="G138" i="29"/>
  <c r="T139" i="29"/>
  <c r="Z139" i="29"/>
  <c r="L138" i="29"/>
  <c r="K138" i="29"/>
  <c r="P189" i="30"/>
  <c r="H120" i="29"/>
  <c r="W139" i="29"/>
  <c r="AC139" i="29"/>
  <c r="AF139" i="29"/>
  <c r="I138" i="29"/>
  <c r="J138" i="29"/>
  <c r="I132" i="3" l="1"/>
  <c r="A332" i="7"/>
  <c r="E132" i="3"/>
  <c r="C214" i="7"/>
  <c r="AG139" i="29"/>
  <c r="Q139" i="29" s="1"/>
  <c r="P139" i="29"/>
  <c r="L133" i="3" s="1"/>
  <c r="AD139" i="29"/>
  <c r="M139" i="29"/>
  <c r="O133" i="3" s="1"/>
  <c r="X139" i="29"/>
  <c r="Y139" i="29" s="1"/>
  <c r="AA139" i="29"/>
  <c r="AB139" i="29" s="1"/>
  <c r="U139" i="29"/>
  <c r="E139" i="29" s="1"/>
  <c r="A133" i="3" s="1"/>
  <c r="D139" i="29"/>
  <c r="C133" i="3" s="1"/>
  <c r="A214" i="7"/>
  <c r="F132" i="3"/>
  <c r="A131" i="3"/>
  <c r="AN129" i="4"/>
  <c r="AH138" i="29"/>
  <c r="R138" i="29" s="1"/>
  <c r="K132" i="3" s="1"/>
  <c r="Q138" i="29"/>
  <c r="AE138" i="29"/>
  <c r="O138" i="29" s="1"/>
  <c r="N132" i="3" s="1"/>
  <c r="N138" i="29"/>
  <c r="AV129" i="4"/>
  <c r="J131" i="3"/>
  <c r="AT129" i="4"/>
  <c r="M131" i="3"/>
  <c r="E138" i="29"/>
  <c r="V138" i="29"/>
  <c r="F138" i="29" s="1"/>
  <c r="B132" i="3" s="1"/>
  <c r="V139" i="29"/>
  <c r="F139" i="29" s="1"/>
  <c r="B133" i="3" s="1"/>
  <c r="AR130" i="4"/>
  <c r="B332" i="7"/>
  <c r="L332" i="7" s="1"/>
  <c r="G132" i="3"/>
  <c r="H132" i="3"/>
  <c r="C332" i="7"/>
  <c r="F194" i="7"/>
  <c r="B196" i="7"/>
  <c r="L196" i="7" s="1"/>
  <c r="D114" i="3"/>
  <c r="AP112" i="4"/>
  <c r="I195" i="7"/>
  <c r="E195" i="7"/>
  <c r="H195" i="7"/>
  <c r="G195" i="7"/>
  <c r="D195" i="7"/>
  <c r="J195" i="7"/>
  <c r="K195" i="7"/>
  <c r="K190" i="30"/>
  <c r="O190" i="30" s="1"/>
  <c r="I139" i="29"/>
  <c r="T140" i="29"/>
  <c r="L139" i="29"/>
  <c r="AF140" i="29"/>
  <c r="Z140" i="29"/>
  <c r="K139" i="29"/>
  <c r="H121" i="29"/>
  <c r="P190" i="30"/>
  <c r="G139" i="29"/>
  <c r="J139" i="29"/>
  <c r="AC140" i="29"/>
  <c r="W140" i="29"/>
  <c r="AH139" i="29" l="1"/>
  <c r="R139" i="29" s="1"/>
  <c r="K133" i="3" s="1"/>
  <c r="AN131" i="4"/>
  <c r="X140" i="29"/>
  <c r="Y140" i="29" s="1"/>
  <c r="M140" i="29"/>
  <c r="O134" i="3" s="1"/>
  <c r="AD140" i="29"/>
  <c r="I133" i="3"/>
  <c r="A414" i="7"/>
  <c r="F133" i="3"/>
  <c r="A215" i="7"/>
  <c r="AA140" i="29"/>
  <c r="P140" i="29"/>
  <c r="L134" i="3" s="1"/>
  <c r="AG140" i="29"/>
  <c r="Q140" i="29" s="1"/>
  <c r="J134" i="3" s="1"/>
  <c r="D140" i="29"/>
  <c r="C134" i="3" s="1"/>
  <c r="U140" i="29"/>
  <c r="E133" i="3"/>
  <c r="C215" i="7"/>
  <c r="AN130" i="4"/>
  <c r="A132" i="3"/>
  <c r="AT130" i="4"/>
  <c r="M132" i="3"/>
  <c r="J132" i="3"/>
  <c r="AV130" i="4"/>
  <c r="AE139" i="29"/>
  <c r="O139" i="29" s="1"/>
  <c r="N133" i="3" s="1"/>
  <c r="N139" i="29"/>
  <c r="AR131" i="4"/>
  <c r="B414" i="7"/>
  <c r="L414" i="7" s="1"/>
  <c r="G133" i="3"/>
  <c r="H133" i="3"/>
  <c r="C414" i="7"/>
  <c r="AB140" i="29"/>
  <c r="AV131" i="4"/>
  <c r="J133" i="3"/>
  <c r="F195" i="7"/>
  <c r="AP113" i="4"/>
  <c r="B197" i="7"/>
  <c r="L197" i="7" s="1"/>
  <c r="D115" i="3"/>
  <c r="G196" i="7"/>
  <c r="I196" i="7"/>
  <c r="K196" i="7"/>
  <c r="E196" i="7"/>
  <c r="H196" i="7"/>
  <c r="D196" i="7"/>
  <c r="J196" i="7"/>
  <c r="K191" i="30"/>
  <c r="O191" i="30" s="1"/>
  <c r="I140" i="29"/>
  <c r="AC141" i="29"/>
  <c r="Z141" i="29"/>
  <c r="T141" i="29"/>
  <c r="G140" i="29"/>
  <c r="AF141" i="29"/>
  <c r="W141" i="29"/>
  <c r="J140" i="29"/>
  <c r="K140" i="29"/>
  <c r="L140" i="29"/>
  <c r="P191" i="30"/>
  <c r="H122" i="29"/>
  <c r="AH140" i="29" l="1"/>
  <c r="R140" i="29" s="1"/>
  <c r="K134" i="3" s="1"/>
  <c r="AV132" i="4"/>
  <c r="A312" i="7"/>
  <c r="I134" i="3"/>
  <c r="X141" i="29"/>
  <c r="Y141" i="29" s="1"/>
  <c r="AG141" i="29"/>
  <c r="P141" i="29"/>
  <c r="L135" i="3" s="1"/>
  <c r="A216" i="7"/>
  <c r="F134" i="3"/>
  <c r="D141" i="29"/>
  <c r="C135" i="3" s="1"/>
  <c r="U141" i="29"/>
  <c r="AA141" i="29"/>
  <c r="M141" i="29"/>
  <c r="O135" i="3" s="1"/>
  <c r="AD141" i="29"/>
  <c r="C216" i="7"/>
  <c r="E134" i="3"/>
  <c r="E140" i="29"/>
  <c r="V140" i="29"/>
  <c r="F140" i="29" s="1"/>
  <c r="B134" i="3" s="1"/>
  <c r="N140" i="29"/>
  <c r="AE140" i="29"/>
  <c r="O140" i="29" s="1"/>
  <c r="N134" i="3" s="1"/>
  <c r="M133" i="3"/>
  <c r="AT131" i="4"/>
  <c r="AR132" i="4"/>
  <c r="B312" i="7"/>
  <c r="L312" i="7" s="1"/>
  <c r="G134" i="3"/>
  <c r="H134" i="3"/>
  <c r="C312" i="7"/>
  <c r="AB141" i="29"/>
  <c r="F196" i="7"/>
  <c r="AP114" i="4"/>
  <c r="D116" i="3"/>
  <c r="B198" i="7"/>
  <c r="L198" i="7" s="1"/>
  <c r="H197" i="7"/>
  <c r="K197" i="7"/>
  <c r="G197" i="7"/>
  <c r="E197" i="7"/>
  <c r="I197" i="7"/>
  <c r="J197" i="7"/>
  <c r="D197" i="7"/>
  <c r="K192" i="30"/>
  <c r="O192" i="30" s="1"/>
  <c r="I141" i="29"/>
  <c r="W142" i="29"/>
  <c r="J141" i="29"/>
  <c r="AC142" i="29"/>
  <c r="L141" i="29"/>
  <c r="P192" i="30"/>
  <c r="K141" i="29"/>
  <c r="H123" i="29"/>
  <c r="G141" i="29"/>
  <c r="AF142" i="29"/>
  <c r="T142" i="29"/>
  <c r="Z142" i="29"/>
  <c r="AA142" i="29" l="1"/>
  <c r="AB142" i="29" s="1"/>
  <c r="D142" i="29"/>
  <c r="C136" i="3" s="1"/>
  <c r="U142" i="29"/>
  <c r="P142" i="29"/>
  <c r="L136" i="3" s="1"/>
  <c r="AG142" i="29"/>
  <c r="F135" i="3"/>
  <c r="A217" i="7"/>
  <c r="M142" i="29"/>
  <c r="O136" i="3" s="1"/>
  <c r="AD142" i="29"/>
  <c r="A328" i="7"/>
  <c r="I135" i="3"/>
  <c r="X142" i="29"/>
  <c r="Y142" i="29" s="1"/>
  <c r="E135" i="3"/>
  <c r="C217" i="7"/>
  <c r="AT132" i="4"/>
  <c r="M134" i="3"/>
  <c r="A134" i="3"/>
  <c r="AN132" i="4"/>
  <c r="N141" i="29"/>
  <c r="AE141" i="29"/>
  <c r="O141" i="29" s="1"/>
  <c r="N135" i="3" s="1"/>
  <c r="AH141" i="29"/>
  <c r="R141" i="29" s="1"/>
  <c r="K135" i="3" s="1"/>
  <c r="Q141" i="29"/>
  <c r="V141" i="29"/>
  <c r="F141" i="29" s="1"/>
  <c r="B135" i="3" s="1"/>
  <c r="E141" i="29"/>
  <c r="G135" i="3"/>
  <c r="AR133" i="4"/>
  <c r="B328" i="7"/>
  <c r="L328" i="7" s="1"/>
  <c r="C328" i="7"/>
  <c r="H135" i="3"/>
  <c r="F197" i="7"/>
  <c r="B199" i="7"/>
  <c r="L199" i="7" s="1"/>
  <c r="AP115" i="4"/>
  <c r="D117" i="3"/>
  <c r="D198" i="7"/>
  <c r="H198" i="7"/>
  <c r="E198" i="7"/>
  <c r="I198" i="7"/>
  <c r="K198" i="7"/>
  <c r="G198" i="7"/>
  <c r="J198" i="7"/>
  <c r="K193" i="30"/>
  <c r="O193" i="30" s="1"/>
  <c r="I142" i="29"/>
  <c r="J142" i="29"/>
  <c r="T143" i="29"/>
  <c r="W143" i="29"/>
  <c r="L142" i="29"/>
  <c r="K142" i="29"/>
  <c r="Z143" i="29"/>
  <c r="G142" i="29"/>
  <c r="AF143" i="29"/>
  <c r="AC143" i="29"/>
  <c r="P193" i="30"/>
  <c r="H124" i="29"/>
  <c r="M143" i="29" l="1"/>
  <c r="O137" i="3" s="1"/>
  <c r="AD143" i="29"/>
  <c r="P143" i="29"/>
  <c r="L137" i="3" s="1"/>
  <c r="AG143" i="29"/>
  <c r="AH143" i="29" s="1"/>
  <c r="R143" i="29" s="1"/>
  <c r="K137" i="3" s="1"/>
  <c r="F136" i="3"/>
  <c r="A218" i="7"/>
  <c r="AA143" i="29"/>
  <c r="AB143" i="29" s="1"/>
  <c r="X143" i="29"/>
  <c r="Y143" i="29" s="1"/>
  <c r="D143" i="29"/>
  <c r="C137" i="3" s="1"/>
  <c r="U143" i="29"/>
  <c r="V143" i="29" s="1"/>
  <c r="F143" i="29" s="1"/>
  <c r="B137" i="3" s="1"/>
  <c r="I136" i="3"/>
  <c r="A315" i="7"/>
  <c r="C218" i="7"/>
  <c r="E136" i="3"/>
  <c r="AN133" i="4"/>
  <c r="A135" i="3"/>
  <c r="AT133" i="4"/>
  <c r="M135" i="3"/>
  <c r="AE142" i="29"/>
  <c r="O142" i="29" s="1"/>
  <c r="N136" i="3" s="1"/>
  <c r="N142" i="29"/>
  <c r="J135" i="3"/>
  <c r="AV133" i="4"/>
  <c r="AH142" i="29"/>
  <c r="R142" i="29" s="1"/>
  <c r="K136" i="3" s="1"/>
  <c r="Q142" i="29"/>
  <c r="E142" i="29"/>
  <c r="V142" i="29"/>
  <c r="F142" i="29" s="1"/>
  <c r="B136" i="3" s="1"/>
  <c r="G136" i="3"/>
  <c r="B315" i="7"/>
  <c r="L315" i="7" s="1"/>
  <c r="AR134" i="4"/>
  <c r="H136" i="3"/>
  <c r="C315" i="7"/>
  <c r="F198" i="7"/>
  <c r="B200" i="7"/>
  <c r="L200" i="7" s="1"/>
  <c r="AP116" i="4"/>
  <c r="D118" i="3"/>
  <c r="E199" i="7"/>
  <c r="H199" i="7"/>
  <c r="G199" i="7"/>
  <c r="K199" i="7"/>
  <c r="D199" i="7"/>
  <c r="J199" i="7"/>
  <c r="I199" i="7"/>
  <c r="K194" i="30"/>
  <c r="O194" i="30" s="1"/>
  <c r="I143" i="29"/>
  <c r="T144" i="29"/>
  <c r="J143" i="29"/>
  <c r="G143" i="29"/>
  <c r="AC144" i="29"/>
  <c r="Z144" i="29"/>
  <c r="AF144" i="29"/>
  <c r="W144" i="29"/>
  <c r="P194" i="30"/>
  <c r="L143" i="29"/>
  <c r="K143" i="29"/>
  <c r="H125" i="29"/>
  <c r="E143" i="29" l="1"/>
  <c r="A137" i="3" s="1"/>
  <c r="Q143" i="29"/>
  <c r="X144" i="29"/>
  <c r="Y144" i="29" s="1"/>
  <c r="P144" i="29"/>
  <c r="L138" i="3" s="1"/>
  <c r="AG144" i="29"/>
  <c r="Q144" i="29" s="1"/>
  <c r="AA144" i="29"/>
  <c r="AB144" i="29" s="1"/>
  <c r="AD144" i="29"/>
  <c r="M144" i="29"/>
  <c r="O138" i="3" s="1"/>
  <c r="F137" i="3"/>
  <c r="A245" i="7"/>
  <c r="A386" i="7"/>
  <c r="I137" i="3"/>
  <c r="U144" i="29"/>
  <c r="E144" i="29" s="1"/>
  <c r="AN136" i="4" s="1"/>
  <c r="D144" i="29"/>
  <c r="C138" i="3" s="1"/>
  <c r="E137" i="3"/>
  <c r="C219" i="7"/>
  <c r="AN134" i="4"/>
  <c r="A136" i="3"/>
  <c r="J136" i="3"/>
  <c r="AV134" i="4"/>
  <c r="AT134" i="4"/>
  <c r="M136" i="3"/>
  <c r="AE143" i="29"/>
  <c r="O143" i="29" s="1"/>
  <c r="N137" i="3" s="1"/>
  <c r="N143" i="29"/>
  <c r="G137" i="3"/>
  <c r="AR135" i="4"/>
  <c r="B386" i="7"/>
  <c r="L386" i="7" s="1"/>
  <c r="C386" i="7"/>
  <c r="H137" i="3"/>
  <c r="F199" i="7"/>
  <c r="D119" i="3"/>
  <c r="AP117" i="4"/>
  <c r="B201" i="7"/>
  <c r="L201" i="7" s="1"/>
  <c r="D200" i="7"/>
  <c r="J200" i="7"/>
  <c r="E200" i="7"/>
  <c r="K200" i="7"/>
  <c r="H200" i="7"/>
  <c r="I200" i="7"/>
  <c r="G200" i="7"/>
  <c r="K195" i="30"/>
  <c r="O195" i="30" s="1"/>
  <c r="I144" i="29"/>
  <c r="Z145" i="29"/>
  <c r="W145" i="29"/>
  <c r="AF145" i="29"/>
  <c r="G144" i="29"/>
  <c r="T145" i="29"/>
  <c r="K144" i="29"/>
  <c r="L144" i="29"/>
  <c r="P195" i="30"/>
  <c r="H126" i="29"/>
  <c r="J144" i="29"/>
  <c r="AC145" i="29"/>
  <c r="AN135" i="4" l="1"/>
  <c r="V144" i="29"/>
  <c r="F144" i="29" s="1"/>
  <c r="B138" i="3" s="1"/>
  <c r="AH144" i="29"/>
  <c r="R144" i="29" s="1"/>
  <c r="K138" i="3" s="1"/>
  <c r="A138" i="3"/>
  <c r="AV135" i="4"/>
  <c r="J137" i="3"/>
  <c r="AD145" i="29"/>
  <c r="M145" i="29"/>
  <c r="O139" i="3" s="1"/>
  <c r="I138" i="3"/>
  <c r="A369" i="7"/>
  <c r="U145" i="29"/>
  <c r="D145" i="29"/>
  <c r="C139" i="3" s="1"/>
  <c r="A246" i="7"/>
  <c r="F138" i="3"/>
  <c r="P145" i="29"/>
  <c r="L139" i="3" s="1"/>
  <c r="AG145" i="29"/>
  <c r="AH145" i="29" s="1"/>
  <c r="R145" i="29" s="1"/>
  <c r="K139" i="3" s="1"/>
  <c r="X145" i="29"/>
  <c r="Y145" i="29" s="1"/>
  <c r="AA145" i="29"/>
  <c r="AB145" i="29" s="1"/>
  <c r="C220" i="7"/>
  <c r="E138" i="3"/>
  <c r="N144" i="29"/>
  <c r="AE144" i="29"/>
  <c r="O144" i="29" s="1"/>
  <c r="N138" i="3" s="1"/>
  <c r="AT135" i="4"/>
  <c r="M137" i="3"/>
  <c r="AR136" i="4"/>
  <c r="G138" i="3"/>
  <c r="B369" i="7"/>
  <c r="L369" i="7" s="1"/>
  <c r="C369" i="7"/>
  <c r="H138" i="3"/>
  <c r="J138" i="3"/>
  <c r="AV136" i="4"/>
  <c r="F200" i="7"/>
  <c r="AP118" i="4"/>
  <c r="D120" i="3"/>
  <c r="B202" i="7"/>
  <c r="L202" i="7" s="1"/>
  <c r="G201" i="7"/>
  <c r="H201" i="7"/>
  <c r="J201" i="7"/>
  <c r="K201" i="7"/>
  <c r="D201" i="7"/>
  <c r="I201" i="7"/>
  <c r="E201" i="7"/>
  <c r="K196" i="30"/>
  <c r="O196" i="30" s="1"/>
  <c r="AF146" i="29"/>
  <c r="AC146" i="29"/>
  <c r="G145" i="29"/>
  <c r="J145" i="29"/>
  <c r="W146" i="29"/>
  <c r="Z146" i="29"/>
  <c r="T146" i="29"/>
  <c r="I145" i="29"/>
  <c r="K145" i="29"/>
  <c r="L145" i="29"/>
  <c r="P196" i="30"/>
  <c r="H127" i="29"/>
  <c r="Q145" i="29" l="1"/>
  <c r="C221" i="7"/>
  <c r="E139" i="3"/>
  <c r="D146" i="29"/>
  <c r="C140" i="3" s="1"/>
  <c r="U146" i="29"/>
  <c r="V146" i="29" s="1"/>
  <c r="F146" i="29" s="1"/>
  <c r="B140" i="3" s="1"/>
  <c r="AA146" i="29"/>
  <c r="AB146" i="29" s="1"/>
  <c r="X146" i="29"/>
  <c r="Y146" i="29" s="1"/>
  <c r="I139" i="3"/>
  <c r="A451" i="7"/>
  <c r="F139" i="3"/>
  <c r="A247" i="7"/>
  <c r="AD146" i="29"/>
  <c r="M146" i="29"/>
  <c r="O140" i="3" s="1"/>
  <c r="P146" i="29"/>
  <c r="L140" i="3" s="1"/>
  <c r="AG146" i="29"/>
  <c r="M138" i="3"/>
  <c r="AT136" i="4"/>
  <c r="E145" i="29"/>
  <c r="V145" i="29"/>
  <c r="F145" i="29" s="1"/>
  <c r="B139" i="3" s="1"/>
  <c r="N145" i="29"/>
  <c r="AE145" i="29"/>
  <c r="O145" i="29" s="1"/>
  <c r="N139" i="3" s="1"/>
  <c r="C451" i="7"/>
  <c r="H139" i="3"/>
  <c r="B451" i="7"/>
  <c r="L451" i="7" s="1"/>
  <c r="G139" i="3"/>
  <c r="AR137" i="4"/>
  <c r="F201" i="7"/>
  <c r="B203" i="7"/>
  <c r="L203" i="7" s="1"/>
  <c r="D121" i="3"/>
  <c r="AP119" i="4"/>
  <c r="K197" i="30"/>
  <c r="O197" i="30" s="1"/>
  <c r="T147" i="29"/>
  <c r="I146" i="29"/>
  <c r="AF147" i="29"/>
  <c r="L146" i="29"/>
  <c r="H128" i="29"/>
  <c r="G146" i="29"/>
  <c r="AC147" i="29"/>
  <c r="J146" i="29"/>
  <c r="W147" i="29"/>
  <c r="Z147" i="29"/>
  <c r="K146" i="29"/>
  <c r="P197" i="30"/>
  <c r="AV137" i="4" l="1"/>
  <c r="J139" i="3"/>
  <c r="E146" i="29"/>
  <c r="AA147" i="29"/>
  <c r="X147" i="29"/>
  <c r="Y147" i="29" s="1"/>
  <c r="A415" i="7"/>
  <c r="I140" i="3"/>
  <c r="M147" i="29"/>
  <c r="O141" i="3" s="1"/>
  <c r="AD147" i="29"/>
  <c r="AE147" i="29" s="1"/>
  <c r="O147" i="29" s="1"/>
  <c r="N141" i="3" s="1"/>
  <c r="A248" i="7"/>
  <c r="F140" i="3"/>
  <c r="AG147" i="29"/>
  <c r="P147" i="29"/>
  <c r="L141" i="3" s="1"/>
  <c r="E140" i="3"/>
  <c r="C222" i="7"/>
  <c r="D147" i="29"/>
  <c r="C141" i="3" s="1"/>
  <c r="U147" i="29"/>
  <c r="E147" i="29" s="1"/>
  <c r="A139" i="3"/>
  <c r="AN137" i="4"/>
  <c r="AH146" i="29"/>
  <c r="R146" i="29" s="1"/>
  <c r="K140" i="3" s="1"/>
  <c r="Q146" i="29"/>
  <c r="N146" i="29"/>
  <c r="AE146" i="29"/>
  <c r="O146" i="29" s="1"/>
  <c r="N140" i="3" s="1"/>
  <c r="M139" i="3"/>
  <c r="AT137" i="4"/>
  <c r="G140" i="3"/>
  <c r="B415" i="7"/>
  <c r="L415" i="7" s="1"/>
  <c r="AR138" i="4"/>
  <c r="C415" i="7"/>
  <c r="H140" i="3"/>
  <c r="D122" i="3"/>
  <c r="AP120" i="4"/>
  <c r="B204" i="7"/>
  <c r="L204" i="7" s="1"/>
  <c r="H203" i="7"/>
  <c r="I203" i="7"/>
  <c r="K203" i="7"/>
  <c r="D203" i="7"/>
  <c r="J203" i="7"/>
  <c r="G203" i="7"/>
  <c r="E203" i="7"/>
  <c r="K198" i="30"/>
  <c r="O198" i="30" s="1"/>
  <c r="G147" i="29"/>
  <c r="T148" i="29"/>
  <c r="Z148" i="29"/>
  <c r="W148" i="29"/>
  <c r="AC148" i="29"/>
  <c r="J147" i="29"/>
  <c r="H129" i="29"/>
  <c r="P198" i="30"/>
  <c r="I147" i="29"/>
  <c r="AF148" i="29"/>
  <c r="V147" i="29" l="1"/>
  <c r="F147" i="29" s="1"/>
  <c r="B141" i="3" s="1"/>
  <c r="N147" i="29"/>
  <c r="AT139" i="4" s="1"/>
  <c r="AN138" i="4"/>
  <c r="A140" i="3"/>
  <c r="AG148" i="29"/>
  <c r="Q148" i="29" s="1"/>
  <c r="J142" i="3" s="1"/>
  <c r="P148" i="29"/>
  <c r="L142" i="3" s="1"/>
  <c r="C223" i="7"/>
  <c r="E141" i="3"/>
  <c r="I141" i="3"/>
  <c r="A324" i="7"/>
  <c r="M148" i="29"/>
  <c r="O142" i="3" s="1"/>
  <c r="AD148" i="29"/>
  <c r="AE148" i="29" s="1"/>
  <c r="O148" i="29" s="1"/>
  <c r="N142" i="3" s="1"/>
  <c r="X148" i="29"/>
  <c r="Y148" i="29" s="1"/>
  <c r="AA148" i="29"/>
  <c r="AB148" i="29" s="1"/>
  <c r="D148" i="29"/>
  <c r="C142" i="3" s="1"/>
  <c r="U148" i="29"/>
  <c r="A249" i="7"/>
  <c r="F141" i="3"/>
  <c r="M140" i="3"/>
  <c r="AT138" i="4"/>
  <c r="Q147" i="29"/>
  <c r="AH147" i="29"/>
  <c r="R147" i="29" s="1"/>
  <c r="K141" i="3" s="1"/>
  <c r="J140" i="3"/>
  <c r="AV138" i="4"/>
  <c r="AB147" i="29"/>
  <c r="A141" i="3"/>
  <c r="AN139" i="4"/>
  <c r="B205" i="7"/>
  <c r="L205" i="7" s="1"/>
  <c r="D123" i="3"/>
  <c r="AP121" i="4"/>
  <c r="F203" i="7"/>
  <c r="K204" i="7"/>
  <c r="D204" i="7"/>
  <c r="G204" i="7"/>
  <c r="J204" i="7"/>
  <c r="H204" i="7"/>
  <c r="I204" i="7"/>
  <c r="E204" i="7"/>
  <c r="K199" i="30"/>
  <c r="O199" i="30" s="1"/>
  <c r="AF149" i="29"/>
  <c r="AC149" i="29"/>
  <c r="G148" i="29"/>
  <c r="K147" i="29"/>
  <c r="K148" i="29"/>
  <c r="P199" i="30"/>
  <c r="L148" i="29"/>
  <c r="H130" i="29"/>
  <c r="T149" i="29"/>
  <c r="I148" i="29"/>
  <c r="J148" i="29"/>
  <c r="W149" i="29"/>
  <c r="Z149" i="29"/>
  <c r="L147" i="29"/>
  <c r="M141" i="3" l="1"/>
  <c r="N148" i="29"/>
  <c r="M142" i="3" s="1"/>
  <c r="AV140" i="4"/>
  <c r="AH148" i="29"/>
  <c r="R148" i="29" s="1"/>
  <c r="K142" i="3" s="1"/>
  <c r="H141" i="3"/>
  <c r="C324" i="7"/>
  <c r="AA149" i="29"/>
  <c r="AB149" i="29" s="1"/>
  <c r="X149" i="29"/>
  <c r="Y149" i="29" s="1"/>
  <c r="A467" i="7"/>
  <c r="I142" i="3"/>
  <c r="E142" i="3"/>
  <c r="C224" i="7"/>
  <c r="D149" i="29"/>
  <c r="C143" i="3" s="1"/>
  <c r="U149" i="29"/>
  <c r="E149" i="29" s="1"/>
  <c r="AR139" i="4"/>
  <c r="B324" i="7"/>
  <c r="L324" i="7" s="1"/>
  <c r="G141" i="3"/>
  <c r="F142" i="3"/>
  <c r="A250" i="7"/>
  <c r="AD149" i="29"/>
  <c r="M149" i="29"/>
  <c r="O143" i="3" s="1"/>
  <c r="AG149" i="29"/>
  <c r="P149" i="29"/>
  <c r="L143" i="3" s="1"/>
  <c r="J141" i="3"/>
  <c r="AV139" i="4"/>
  <c r="E148" i="29"/>
  <c r="V148" i="29"/>
  <c r="F148" i="29" s="1"/>
  <c r="B142" i="3" s="1"/>
  <c r="C412" i="7"/>
  <c r="H142" i="3"/>
  <c r="AR140" i="4"/>
  <c r="B412" i="7"/>
  <c r="L412" i="7" s="1"/>
  <c r="G142" i="3"/>
  <c r="AP122" i="4"/>
  <c r="D124" i="3"/>
  <c r="B206" i="7"/>
  <c r="L206" i="7" s="1"/>
  <c r="F204" i="7"/>
  <c r="G205" i="7"/>
  <c r="D205" i="7"/>
  <c r="E205" i="7"/>
  <c r="J205" i="7"/>
  <c r="H205" i="7"/>
  <c r="K205" i="7"/>
  <c r="I205" i="7"/>
  <c r="K200" i="30"/>
  <c r="O200" i="30" s="1"/>
  <c r="T150" i="29"/>
  <c r="AC150" i="29"/>
  <c r="AF150" i="29"/>
  <c r="I149" i="29"/>
  <c r="Z150" i="29"/>
  <c r="G149" i="29"/>
  <c r="J149" i="29"/>
  <c r="W150" i="29"/>
  <c r="K149" i="29"/>
  <c r="L149" i="29"/>
  <c r="H131" i="29"/>
  <c r="P200" i="30"/>
  <c r="AT140" i="4" l="1"/>
  <c r="V149" i="29"/>
  <c r="F149" i="29" s="1"/>
  <c r="B143" i="3" s="1"/>
  <c r="X150" i="29"/>
  <c r="Y150" i="29" s="1"/>
  <c r="I143" i="3"/>
  <c r="A424" i="7"/>
  <c r="F143" i="3"/>
  <c r="A251" i="7"/>
  <c r="AA150" i="29"/>
  <c r="AB150" i="29" s="1"/>
  <c r="E143" i="3"/>
  <c r="C225" i="7"/>
  <c r="AG150" i="29"/>
  <c r="Q150" i="29" s="1"/>
  <c r="AV142" i="4" s="1"/>
  <c r="P150" i="29"/>
  <c r="L144" i="3" s="1"/>
  <c r="AD150" i="29"/>
  <c r="AE150" i="29" s="1"/>
  <c r="O150" i="29" s="1"/>
  <c r="N144" i="3" s="1"/>
  <c r="M150" i="29"/>
  <c r="O144" i="3" s="1"/>
  <c r="D150" i="29"/>
  <c r="C144" i="3" s="1"/>
  <c r="U150" i="29"/>
  <c r="V150" i="29" s="1"/>
  <c r="F150" i="29" s="1"/>
  <c r="B144" i="3" s="1"/>
  <c r="AH149" i="29"/>
  <c r="R149" i="29" s="1"/>
  <c r="K143" i="3" s="1"/>
  <c r="Q149" i="29"/>
  <c r="A143" i="3"/>
  <c r="AN141" i="4"/>
  <c r="N149" i="29"/>
  <c r="AE149" i="29"/>
  <c r="O149" i="29" s="1"/>
  <c r="N143" i="3" s="1"/>
  <c r="A142" i="3"/>
  <c r="AN140" i="4"/>
  <c r="N150" i="29"/>
  <c r="AT142" i="4" s="1"/>
  <c r="B460" i="7"/>
  <c r="L460" i="7" s="1"/>
  <c r="AR141" i="4"/>
  <c r="G143" i="3"/>
  <c r="H143" i="3"/>
  <c r="C460" i="7"/>
  <c r="J144" i="3"/>
  <c r="E150" i="29"/>
  <c r="F205" i="7"/>
  <c r="D125" i="3"/>
  <c r="B207" i="7"/>
  <c r="L207" i="7" s="1"/>
  <c r="AP123" i="4"/>
  <c r="D206" i="7"/>
  <c r="K206" i="7"/>
  <c r="E206" i="7"/>
  <c r="J206" i="7"/>
  <c r="G206" i="7"/>
  <c r="I206" i="7"/>
  <c r="H206" i="7"/>
  <c r="K201" i="30"/>
  <c r="O201" i="30" s="1"/>
  <c r="I150" i="29"/>
  <c r="Z151" i="29"/>
  <c r="T151" i="29"/>
  <c r="W151" i="29"/>
  <c r="J150" i="29"/>
  <c r="AC151" i="29"/>
  <c r="G150" i="29"/>
  <c r="AF151" i="29"/>
  <c r="H132" i="29"/>
  <c r="P201" i="30"/>
  <c r="L150" i="29"/>
  <c r="K150" i="29"/>
  <c r="AH150" i="29" l="1"/>
  <c r="R150" i="29" s="1"/>
  <c r="K144" i="3" s="1"/>
  <c r="P151" i="29"/>
  <c r="L145" i="3" s="1"/>
  <c r="AG151" i="29"/>
  <c r="Q151" i="29" s="1"/>
  <c r="F144" i="3"/>
  <c r="A252" i="7"/>
  <c r="M151" i="29"/>
  <c r="O145" i="3" s="1"/>
  <c r="AD151" i="29"/>
  <c r="A319" i="7"/>
  <c r="I144" i="3"/>
  <c r="X151" i="29"/>
  <c r="Y151" i="29" s="1"/>
  <c r="U151" i="29"/>
  <c r="V151" i="29" s="1"/>
  <c r="F151" i="29" s="1"/>
  <c r="B145" i="3" s="1"/>
  <c r="D151" i="29"/>
  <c r="C145" i="3" s="1"/>
  <c r="AA151" i="29"/>
  <c r="AB151" i="29" s="1"/>
  <c r="C226" i="7"/>
  <c r="E144" i="3"/>
  <c r="J143" i="3"/>
  <c r="AV141" i="4"/>
  <c r="M143" i="3"/>
  <c r="AT141" i="4"/>
  <c r="M144" i="3"/>
  <c r="C373" i="7"/>
  <c r="H144" i="3"/>
  <c r="G144" i="3"/>
  <c r="AR142" i="4"/>
  <c r="B373" i="7"/>
  <c r="L373" i="7" s="1"/>
  <c r="AN142" i="4"/>
  <c r="A144" i="3"/>
  <c r="F206" i="7"/>
  <c r="D126" i="3"/>
  <c r="AP124" i="4"/>
  <c r="B208" i="7"/>
  <c r="L208" i="7" s="1"/>
  <c r="K202" i="30"/>
  <c r="O202" i="30" s="1"/>
  <c r="I151" i="29"/>
  <c r="H133" i="29"/>
  <c r="K151" i="29"/>
  <c r="J151" i="29"/>
  <c r="L151" i="29"/>
  <c r="AF152" i="29"/>
  <c r="G151" i="29"/>
  <c r="Z152" i="29"/>
  <c r="P202" i="30"/>
  <c r="AC152" i="29"/>
  <c r="W152" i="29"/>
  <c r="T152" i="29"/>
  <c r="AH151" i="29" l="1"/>
  <c r="R151" i="29" s="1"/>
  <c r="K145" i="3" s="1"/>
  <c r="E151" i="29"/>
  <c r="AN143" i="4" s="1"/>
  <c r="D152" i="29"/>
  <c r="C146" i="3" s="1"/>
  <c r="U152" i="29"/>
  <c r="E152" i="29" s="1"/>
  <c r="X152" i="29"/>
  <c r="Y152" i="29" s="1"/>
  <c r="M152" i="29"/>
  <c r="O146" i="3" s="1"/>
  <c r="AD152" i="29"/>
  <c r="AE152" i="29" s="1"/>
  <c r="O152" i="29" s="1"/>
  <c r="N146" i="3" s="1"/>
  <c r="AA152" i="29"/>
  <c r="AB152" i="29" s="1"/>
  <c r="A253" i="7"/>
  <c r="F145" i="3"/>
  <c r="P152" i="29"/>
  <c r="L146" i="3" s="1"/>
  <c r="AG152" i="29"/>
  <c r="Q152" i="29" s="1"/>
  <c r="I145" i="3"/>
  <c r="A429" i="7"/>
  <c r="E145" i="3"/>
  <c r="C227" i="7"/>
  <c r="AE151" i="29"/>
  <c r="O151" i="29" s="1"/>
  <c r="N145" i="3" s="1"/>
  <c r="N151" i="29"/>
  <c r="J145" i="3"/>
  <c r="AV143" i="4"/>
  <c r="C462" i="7"/>
  <c r="H145" i="3"/>
  <c r="AR143" i="4"/>
  <c r="G145" i="3"/>
  <c r="B462" i="7"/>
  <c r="L462" i="7" s="1"/>
  <c r="D127" i="3"/>
  <c r="B209" i="7"/>
  <c r="L209" i="7" s="1"/>
  <c r="AP125" i="4"/>
  <c r="K208" i="7"/>
  <c r="H208" i="7"/>
  <c r="D208" i="7"/>
  <c r="I208" i="7"/>
  <c r="J208" i="7"/>
  <c r="G208" i="7"/>
  <c r="E208" i="7"/>
  <c r="K203" i="30"/>
  <c r="O203" i="30" s="1"/>
  <c r="W153" i="29"/>
  <c r="K152" i="29"/>
  <c r="P203" i="30"/>
  <c r="H134" i="29"/>
  <c r="L152" i="29"/>
  <c r="T153" i="29"/>
  <c r="I152" i="29"/>
  <c r="Z153" i="29"/>
  <c r="AC153" i="29"/>
  <c r="AF153" i="29"/>
  <c r="G152" i="29"/>
  <c r="J152" i="29"/>
  <c r="V152" i="29" l="1"/>
  <c r="F152" i="29" s="1"/>
  <c r="B146" i="3" s="1"/>
  <c r="AH152" i="29"/>
  <c r="R152" i="29" s="1"/>
  <c r="K146" i="3" s="1"/>
  <c r="A145" i="3"/>
  <c r="N152" i="29"/>
  <c r="I146" i="3"/>
  <c r="A484" i="7"/>
  <c r="A254" i="7"/>
  <c r="F146" i="3"/>
  <c r="AG153" i="29"/>
  <c r="P153" i="29"/>
  <c r="L147" i="3" s="1"/>
  <c r="AD153" i="29"/>
  <c r="M153" i="29"/>
  <c r="O147" i="3" s="1"/>
  <c r="AA153" i="29"/>
  <c r="AB153" i="29" s="1"/>
  <c r="C228" i="7"/>
  <c r="E146" i="3"/>
  <c r="U153" i="29"/>
  <c r="E153" i="29" s="1"/>
  <c r="AN145" i="4" s="1"/>
  <c r="D153" i="29"/>
  <c r="C147" i="3" s="1"/>
  <c r="X153" i="29"/>
  <c r="Y153" i="29" s="1"/>
  <c r="M145" i="3"/>
  <c r="AT143" i="4"/>
  <c r="AN144" i="4"/>
  <c r="A146" i="3"/>
  <c r="C448" i="7"/>
  <c r="H146" i="3"/>
  <c r="G146" i="3"/>
  <c r="B448" i="7"/>
  <c r="L448" i="7" s="1"/>
  <c r="AR144" i="4"/>
  <c r="AV144" i="4"/>
  <c r="J146" i="3"/>
  <c r="B210" i="7"/>
  <c r="L210" i="7" s="1"/>
  <c r="AP126" i="4"/>
  <c r="D128" i="3"/>
  <c r="K209" i="7"/>
  <c r="H209" i="7"/>
  <c r="I209" i="7"/>
  <c r="G209" i="7"/>
  <c r="E209" i="7"/>
  <c r="D209" i="7"/>
  <c r="J209" i="7"/>
  <c r="F208" i="7"/>
  <c r="K204" i="30"/>
  <c r="O204" i="30" s="1"/>
  <c r="AF154" i="29"/>
  <c r="AC154" i="29"/>
  <c r="J153" i="29"/>
  <c r="T154" i="29"/>
  <c r="W154" i="29"/>
  <c r="P204" i="30"/>
  <c r="H135" i="29"/>
  <c r="I153" i="29"/>
  <c r="Z154" i="29"/>
  <c r="G153" i="29"/>
  <c r="K153" i="29"/>
  <c r="L153" i="29"/>
  <c r="M146" i="3" l="1"/>
  <c r="AT144" i="4"/>
  <c r="A255" i="7"/>
  <c r="F147" i="3"/>
  <c r="AA154" i="29"/>
  <c r="AB154" i="29" s="1"/>
  <c r="E147" i="3"/>
  <c r="C229" i="7"/>
  <c r="X154" i="29"/>
  <c r="Y154" i="29" s="1"/>
  <c r="U154" i="29"/>
  <c r="D154" i="29"/>
  <c r="C148" i="3" s="1"/>
  <c r="A486" i="7"/>
  <c r="I147" i="3"/>
  <c r="M154" i="29"/>
  <c r="O148" i="3" s="1"/>
  <c r="AD154" i="29"/>
  <c r="N154" i="29" s="1"/>
  <c r="AT146" i="4" s="1"/>
  <c r="AG154" i="29"/>
  <c r="P154" i="29"/>
  <c r="L148" i="3" s="1"/>
  <c r="N153" i="29"/>
  <c r="AE153" i="29"/>
  <c r="O153" i="29" s="1"/>
  <c r="N147" i="3" s="1"/>
  <c r="AH153" i="29"/>
  <c r="R153" i="29" s="1"/>
  <c r="K147" i="3" s="1"/>
  <c r="Q153" i="29"/>
  <c r="V153" i="29"/>
  <c r="F153" i="29" s="1"/>
  <c r="B147" i="3" s="1"/>
  <c r="A147" i="3"/>
  <c r="G147" i="3"/>
  <c r="AR145" i="4"/>
  <c r="B398" i="7"/>
  <c r="L398" i="7" s="1"/>
  <c r="C398" i="7"/>
  <c r="H147" i="3"/>
  <c r="F209" i="7"/>
  <c r="D129" i="3"/>
  <c r="B211" i="7"/>
  <c r="L211" i="7" s="1"/>
  <c r="AP127" i="4"/>
  <c r="K210" i="7"/>
  <c r="D210" i="7"/>
  <c r="G210" i="7"/>
  <c r="H210" i="7"/>
  <c r="J210" i="7"/>
  <c r="E210" i="7"/>
  <c r="I210" i="7"/>
  <c r="K205" i="30"/>
  <c r="O205" i="30" s="1"/>
  <c r="J154" i="29"/>
  <c r="G154" i="29"/>
  <c r="AC155" i="29"/>
  <c r="L154" i="29"/>
  <c r="H136" i="29"/>
  <c r="P205" i="30"/>
  <c r="K154" i="29"/>
  <c r="I154" i="29"/>
  <c r="W155" i="29"/>
  <c r="T155" i="29"/>
  <c r="AF155" i="29"/>
  <c r="Z155" i="29"/>
  <c r="AE154" i="29" l="1"/>
  <c r="O154" i="29" s="1"/>
  <c r="N148" i="3" s="1"/>
  <c r="M148" i="3"/>
  <c r="AA155" i="29"/>
  <c r="AB155" i="29" s="1"/>
  <c r="P155" i="29"/>
  <c r="L149" i="3" s="1"/>
  <c r="AG155" i="29"/>
  <c r="AH155" i="29" s="1"/>
  <c r="R155" i="29" s="1"/>
  <c r="K149" i="3" s="1"/>
  <c r="D155" i="29"/>
  <c r="C149" i="3" s="1"/>
  <c r="U155" i="29"/>
  <c r="X155" i="29"/>
  <c r="Y155" i="29" s="1"/>
  <c r="E148" i="3"/>
  <c r="C230" i="7"/>
  <c r="AD155" i="29"/>
  <c r="AE155" i="29" s="1"/>
  <c r="O155" i="29" s="1"/>
  <c r="N149" i="3" s="1"/>
  <c r="M155" i="29"/>
  <c r="O149" i="3" s="1"/>
  <c r="F148" i="3"/>
  <c r="A256" i="7"/>
  <c r="I148" i="3"/>
  <c r="A487" i="7"/>
  <c r="Q154" i="29"/>
  <c r="AH154" i="29"/>
  <c r="R154" i="29" s="1"/>
  <c r="K148" i="3" s="1"/>
  <c r="V154" i="29"/>
  <c r="F154" i="29" s="1"/>
  <c r="B148" i="3" s="1"/>
  <c r="E154" i="29"/>
  <c r="M147" i="3"/>
  <c r="AT145" i="4"/>
  <c r="AV145" i="4"/>
  <c r="J147" i="3"/>
  <c r="G148" i="3"/>
  <c r="AR146" i="4"/>
  <c r="B383" i="7"/>
  <c r="L383" i="7" s="1"/>
  <c r="H148" i="3"/>
  <c r="C383" i="7"/>
  <c r="D130" i="3"/>
  <c r="B212" i="7"/>
  <c r="L212" i="7" s="1"/>
  <c r="AP128" i="4"/>
  <c r="J211" i="7"/>
  <c r="E211" i="7"/>
  <c r="D211" i="7"/>
  <c r="I211" i="7"/>
  <c r="G211" i="7"/>
  <c r="K211" i="7"/>
  <c r="H211" i="7"/>
  <c r="F210" i="7"/>
  <c r="K206" i="30"/>
  <c r="O206" i="30" s="1"/>
  <c r="Z156" i="29"/>
  <c r="T156" i="29"/>
  <c r="AC156" i="29"/>
  <c r="L155" i="29"/>
  <c r="H137" i="29"/>
  <c r="P206" i="30"/>
  <c r="J155" i="29"/>
  <c r="AF156" i="29"/>
  <c r="G155" i="29"/>
  <c r="K155" i="29"/>
  <c r="W156" i="29"/>
  <c r="I155" i="29"/>
  <c r="N155" i="29" l="1"/>
  <c r="AT147" i="4" s="1"/>
  <c r="Q155" i="29"/>
  <c r="AV147" i="4" s="1"/>
  <c r="C231" i="7"/>
  <c r="E149" i="3"/>
  <c r="X156" i="29"/>
  <c r="Y156" i="29" s="1"/>
  <c r="F149" i="3"/>
  <c r="A257" i="7"/>
  <c r="P156" i="29"/>
  <c r="L150" i="3" s="1"/>
  <c r="AG156" i="29"/>
  <c r="A488" i="7"/>
  <c r="I149" i="3"/>
  <c r="M156" i="29"/>
  <c r="O150" i="3" s="1"/>
  <c r="AD156" i="29"/>
  <c r="U156" i="29"/>
  <c r="E156" i="29" s="1"/>
  <c r="D156" i="29"/>
  <c r="C150" i="3" s="1"/>
  <c r="AA156" i="29"/>
  <c r="AB156" i="29" s="1"/>
  <c r="E155" i="29"/>
  <c r="V155" i="29"/>
  <c r="F155" i="29" s="1"/>
  <c r="B149" i="3" s="1"/>
  <c r="AV146" i="4"/>
  <c r="J148" i="3"/>
  <c r="AN146" i="4"/>
  <c r="A148" i="3"/>
  <c r="AR147" i="4"/>
  <c r="G149" i="3"/>
  <c r="B442" i="7"/>
  <c r="L442" i="7" s="1"/>
  <c r="C442" i="7"/>
  <c r="H149" i="3"/>
  <c r="F211" i="7"/>
  <c r="AP129" i="4"/>
  <c r="B213" i="7"/>
  <c r="L213" i="7" s="1"/>
  <c r="D131" i="3"/>
  <c r="H212" i="7"/>
  <c r="E212" i="7"/>
  <c r="K212" i="7"/>
  <c r="D212" i="7"/>
  <c r="I212" i="7"/>
  <c r="G212" i="7"/>
  <c r="J212" i="7"/>
  <c r="K207" i="30"/>
  <c r="O207" i="30" s="1"/>
  <c r="I156" i="29"/>
  <c r="P207" i="30"/>
  <c r="L156" i="29"/>
  <c r="H138" i="29"/>
  <c r="W157" i="29"/>
  <c r="AF157" i="29"/>
  <c r="J156" i="29"/>
  <c r="T157" i="29"/>
  <c r="G156" i="29"/>
  <c r="AC157" i="29"/>
  <c r="Z157" i="29"/>
  <c r="K156" i="29"/>
  <c r="M149" i="3" l="1"/>
  <c r="J149" i="3"/>
  <c r="AA157" i="29"/>
  <c r="AB157" i="29" s="1"/>
  <c r="AD157" i="29"/>
  <c r="AE157" i="29" s="1"/>
  <c r="O157" i="29" s="1"/>
  <c r="N151" i="3" s="1"/>
  <c r="M157" i="29"/>
  <c r="O151" i="3" s="1"/>
  <c r="A258" i="7"/>
  <c r="F150" i="3"/>
  <c r="U157" i="29"/>
  <c r="D157" i="29"/>
  <c r="C151" i="3" s="1"/>
  <c r="I150" i="3"/>
  <c r="A489" i="7"/>
  <c r="P157" i="29"/>
  <c r="L151" i="3" s="1"/>
  <c r="AG157" i="29"/>
  <c r="X157" i="29"/>
  <c r="Y157" i="29" s="1"/>
  <c r="C232" i="7"/>
  <c r="E150" i="3"/>
  <c r="V156" i="29"/>
  <c r="F156" i="29" s="1"/>
  <c r="B150" i="3" s="1"/>
  <c r="AN147" i="4"/>
  <c r="A149" i="3"/>
  <c r="N156" i="29"/>
  <c r="AE156" i="29"/>
  <c r="O156" i="29" s="1"/>
  <c r="N150" i="3" s="1"/>
  <c r="Q156" i="29"/>
  <c r="AH156" i="29"/>
  <c r="R156" i="29" s="1"/>
  <c r="K150" i="3" s="1"/>
  <c r="N157" i="29"/>
  <c r="G150" i="3"/>
  <c r="AR148" i="4"/>
  <c r="B413" i="7"/>
  <c r="L413" i="7" s="1"/>
  <c r="C413" i="7"/>
  <c r="H150" i="3"/>
  <c r="A150" i="3"/>
  <c r="AN148" i="4"/>
  <c r="F212" i="7"/>
  <c r="AP130" i="4"/>
  <c r="D132" i="3"/>
  <c r="B214" i="7"/>
  <c r="L214" i="7" s="1"/>
  <c r="D213" i="7"/>
  <c r="E213" i="7"/>
  <c r="J213" i="7"/>
  <c r="K213" i="7"/>
  <c r="H213" i="7"/>
  <c r="K208" i="30"/>
  <c r="O208" i="30" s="1"/>
  <c r="Z158" i="29"/>
  <c r="G157" i="29"/>
  <c r="L157" i="29"/>
  <c r="K157" i="29"/>
  <c r="J157" i="29"/>
  <c r="I157" i="29"/>
  <c r="T158" i="29"/>
  <c r="AF158" i="29"/>
  <c r="W158" i="29"/>
  <c r="AC158" i="29"/>
  <c r="H139" i="29"/>
  <c r="P208" i="30"/>
  <c r="AD158" i="29" l="1"/>
  <c r="M158" i="29"/>
  <c r="O152" i="3" s="1"/>
  <c r="X158" i="29"/>
  <c r="Y158" i="29" s="1"/>
  <c r="AG158" i="29"/>
  <c r="P158" i="29"/>
  <c r="L152" i="3" s="1"/>
  <c r="D158" i="29"/>
  <c r="C152" i="3" s="1"/>
  <c r="U158" i="29"/>
  <c r="C233" i="7"/>
  <c r="E151" i="3"/>
  <c r="A490" i="7"/>
  <c r="I151" i="3"/>
  <c r="F151" i="3"/>
  <c r="A259" i="7"/>
  <c r="AA158" i="29"/>
  <c r="Q157" i="29"/>
  <c r="AH157" i="29"/>
  <c r="R157" i="29" s="1"/>
  <c r="K151" i="3" s="1"/>
  <c r="AV148" i="4"/>
  <c r="J150" i="3"/>
  <c r="M150" i="3"/>
  <c r="AT148" i="4"/>
  <c r="V157" i="29"/>
  <c r="F157" i="29" s="1"/>
  <c r="B151" i="3" s="1"/>
  <c r="E157" i="29"/>
  <c r="M151" i="3"/>
  <c r="AT149" i="4"/>
  <c r="B335" i="7"/>
  <c r="L335" i="7" s="1"/>
  <c r="AR149" i="4"/>
  <c r="G151" i="3"/>
  <c r="H151" i="3"/>
  <c r="C335" i="7"/>
  <c r="F213" i="7"/>
  <c r="AP131" i="4"/>
  <c r="B215" i="7"/>
  <c r="L215" i="7" s="1"/>
  <c r="D133" i="3"/>
  <c r="K209" i="30"/>
  <c r="O209" i="30" s="1"/>
  <c r="I158" i="29"/>
  <c r="Z159" i="29"/>
  <c r="W159" i="29"/>
  <c r="AC159" i="29"/>
  <c r="T159" i="29"/>
  <c r="P209" i="30"/>
  <c r="G158" i="29"/>
  <c r="AF159" i="29"/>
  <c r="J158" i="29"/>
  <c r="A491" i="7" l="1"/>
  <c r="I152" i="3"/>
  <c r="AG159" i="29"/>
  <c r="P159" i="29"/>
  <c r="L153" i="3" s="1"/>
  <c r="A260" i="7"/>
  <c r="F152" i="3"/>
  <c r="U159" i="29"/>
  <c r="V159" i="29" s="1"/>
  <c r="F159" i="29" s="1"/>
  <c r="B153" i="3" s="1"/>
  <c r="D159" i="29"/>
  <c r="C153" i="3" s="1"/>
  <c r="M159" i="29"/>
  <c r="O153" i="3" s="1"/>
  <c r="AD159" i="29"/>
  <c r="N159" i="29" s="1"/>
  <c r="AT151" i="4" s="1"/>
  <c r="X159" i="29"/>
  <c r="Y159" i="29" s="1"/>
  <c r="AA159" i="29"/>
  <c r="AB159" i="29" s="1"/>
  <c r="C234" i="7"/>
  <c r="E152" i="3"/>
  <c r="E158" i="29"/>
  <c r="V158" i="29"/>
  <c r="F158" i="29" s="1"/>
  <c r="B152" i="3" s="1"/>
  <c r="AB158" i="29"/>
  <c r="Q158" i="29"/>
  <c r="AH158" i="29"/>
  <c r="R158" i="29" s="1"/>
  <c r="K152" i="3" s="1"/>
  <c r="J151" i="3"/>
  <c r="AV149" i="4"/>
  <c r="A151" i="3"/>
  <c r="AN149" i="4"/>
  <c r="N158" i="29"/>
  <c r="AE158" i="29"/>
  <c r="O158" i="29" s="1"/>
  <c r="N152" i="3" s="1"/>
  <c r="AE159" i="29"/>
  <c r="O159" i="29" s="1"/>
  <c r="N153" i="3" s="1"/>
  <c r="E159" i="29"/>
  <c r="E215" i="7"/>
  <c r="G215" i="7"/>
  <c r="I215" i="7"/>
  <c r="K215" i="7"/>
  <c r="D215" i="7"/>
  <c r="J215" i="7"/>
  <c r="H215" i="7"/>
  <c r="Z160" i="29"/>
  <c r="K158" i="29"/>
  <c r="I159" i="29"/>
  <c r="J159" i="29"/>
  <c r="H140" i="29"/>
  <c r="L159" i="29"/>
  <c r="AF160" i="29"/>
  <c r="W160" i="29"/>
  <c r="K159" i="29"/>
  <c r="H141" i="29"/>
  <c r="T160" i="29"/>
  <c r="AC160" i="29"/>
  <c r="G159" i="29"/>
  <c r="L158" i="29"/>
  <c r="M153" i="3" l="1"/>
  <c r="C437" i="7"/>
  <c r="H152" i="3"/>
  <c r="F153" i="3"/>
  <c r="A261" i="7"/>
  <c r="AD160" i="29"/>
  <c r="M160" i="29"/>
  <c r="O154" i="3" s="1"/>
  <c r="D160" i="29"/>
  <c r="C154" i="3" s="1"/>
  <c r="U160" i="29"/>
  <c r="V160" i="29" s="1"/>
  <c r="F160" i="29" s="1"/>
  <c r="B154" i="3" s="1"/>
  <c r="X160" i="29"/>
  <c r="Y160" i="29" s="1"/>
  <c r="AG160" i="29"/>
  <c r="P160" i="29"/>
  <c r="L154" i="3" s="1"/>
  <c r="I153" i="3"/>
  <c r="A492" i="7"/>
  <c r="E153" i="3"/>
  <c r="C235" i="7"/>
  <c r="G152" i="3"/>
  <c r="AR150" i="4"/>
  <c r="B437" i="7"/>
  <c r="L437" i="7" s="1"/>
  <c r="AA160" i="29"/>
  <c r="AB160" i="29" s="1"/>
  <c r="M152" i="3"/>
  <c r="AT150" i="4"/>
  <c r="Q159" i="29"/>
  <c r="AH159" i="29"/>
  <c r="R159" i="29" s="1"/>
  <c r="K153" i="3" s="1"/>
  <c r="AV150" i="4"/>
  <c r="J152" i="3"/>
  <c r="AN150" i="4"/>
  <c r="A152" i="3"/>
  <c r="A153" i="3"/>
  <c r="AN151" i="4"/>
  <c r="B477" i="7"/>
  <c r="L477" i="7" s="1"/>
  <c r="AR151" i="4"/>
  <c r="G153" i="3"/>
  <c r="H153" i="3"/>
  <c r="C477" i="7"/>
  <c r="F215" i="7"/>
  <c r="D135" i="3"/>
  <c r="AP133" i="4"/>
  <c r="B217" i="7"/>
  <c r="L217" i="7" s="1"/>
  <c r="B216" i="7"/>
  <c r="L216" i="7" s="1"/>
  <c r="D134" i="3"/>
  <c r="AP132" i="4"/>
  <c r="K211" i="30"/>
  <c r="O211" i="30" s="1"/>
  <c r="K210" i="30"/>
  <c r="O210" i="30" s="1"/>
  <c r="W161" i="29"/>
  <c r="J160" i="29"/>
  <c r="P210" i="30"/>
  <c r="T161" i="29"/>
  <c r="Z161" i="29"/>
  <c r="AC161" i="29"/>
  <c r="I160" i="29"/>
  <c r="K160" i="29"/>
  <c r="G160" i="29"/>
  <c r="AF161" i="29"/>
  <c r="P211" i="30"/>
  <c r="L160" i="29"/>
  <c r="E160" i="29" l="1"/>
  <c r="AN152" i="4" s="1"/>
  <c r="AG161" i="29"/>
  <c r="P161" i="29"/>
  <c r="L155" i="3" s="1"/>
  <c r="F154" i="3"/>
  <c r="A262" i="7"/>
  <c r="E154" i="3"/>
  <c r="C236" i="7"/>
  <c r="M161" i="29"/>
  <c r="O155" i="3" s="1"/>
  <c r="AD161" i="29"/>
  <c r="AA161" i="29"/>
  <c r="AB161" i="29" s="1"/>
  <c r="U161" i="29"/>
  <c r="D161" i="29"/>
  <c r="C155" i="3" s="1"/>
  <c r="I154" i="3"/>
  <c r="A493" i="7"/>
  <c r="X161" i="29"/>
  <c r="Y161" i="29" s="1"/>
  <c r="Q160" i="29"/>
  <c r="AH160" i="29"/>
  <c r="R160" i="29" s="1"/>
  <c r="K154" i="3" s="1"/>
  <c r="AV151" i="4"/>
  <c r="J153" i="3"/>
  <c r="AE160" i="29"/>
  <c r="O160" i="29" s="1"/>
  <c r="N154" i="3" s="1"/>
  <c r="N160" i="29"/>
  <c r="B397" i="7"/>
  <c r="L397" i="7" s="1"/>
  <c r="G154" i="3"/>
  <c r="AR152" i="4"/>
  <c r="C397" i="7"/>
  <c r="H154" i="3"/>
  <c r="H216" i="7"/>
  <c r="D216" i="7"/>
  <c r="G216" i="7"/>
  <c r="J216" i="7"/>
  <c r="I216" i="7"/>
  <c r="E216" i="7"/>
  <c r="K216" i="7"/>
  <c r="I217" i="7"/>
  <c r="E217" i="7"/>
  <c r="H217" i="7"/>
  <c r="K217" i="7"/>
  <c r="D217" i="7"/>
  <c r="J217" i="7"/>
  <c r="G217" i="7"/>
  <c r="AF162" i="29"/>
  <c r="Z162" i="29"/>
  <c r="G161" i="29"/>
  <c r="AC162" i="29"/>
  <c r="J161" i="29"/>
  <c r="W162" i="29"/>
  <c r="K161" i="29"/>
  <c r="T162" i="29"/>
  <c r="I161" i="29"/>
  <c r="L161" i="29"/>
  <c r="H142" i="29"/>
  <c r="H143" i="29"/>
  <c r="A154" i="3" l="1"/>
  <c r="E155" i="3"/>
  <c r="C237" i="7"/>
  <c r="D162" i="29"/>
  <c r="C156" i="3" s="1"/>
  <c r="U162" i="29"/>
  <c r="X162" i="29"/>
  <c r="Y162" i="29" s="1"/>
  <c r="A494" i="7"/>
  <c r="I155" i="3"/>
  <c r="M162" i="29"/>
  <c r="O156" i="3" s="1"/>
  <c r="AD162" i="29"/>
  <c r="N162" i="29" s="1"/>
  <c r="A263" i="7"/>
  <c r="F155" i="3"/>
  <c r="AA162" i="29"/>
  <c r="AB162" i="29" s="1"/>
  <c r="AG162" i="29"/>
  <c r="P162" i="29"/>
  <c r="L156" i="3" s="1"/>
  <c r="AT152" i="4"/>
  <c r="M154" i="3"/>
  <c r="J154" i="3"/>
  <c r="AV152" i="4"/>
  <c r="E161" i="29"/>
  <c r="V161" i="29"/>
  <c r="F161" i="29" s="1"/>
  <c r="B155" i="3" s="1"/>
  <c r="Q161" i="29"/>
  <c r="AH161" i="29"/>
  <c r="R161" i="29" s="1"/>
  <c r="K155" i="3" s="1"/>
  <c r="AE161" i="29"/>
  <c r="O161" i="29" s="1"/>
  <c r="N155" i="3" s="1"/>
  <c r="N161" i="29"/>
  <c r="B389" i="7"/>
  <c r="L389" i="7" s="1"/>
  <c r="G155" i="3"/>
  <c r="AR153" i="4"/>
  <c r="H155" i="3"/>
  <c r="C389" i="7"/>
  <c r="F217" i="7"/>
  <c r="D136" i="3"/>
  <c r="AP134" i="4"/>
  <c r="B218" i="7"/>
  <c r="L218" i="7" s="1"/>
  <c r="D137" i="3"/>
  <c r="AP135" i="4"/>
  <c r="B219" i="7"/>
  <c r="L219" i="7" s="1"/>
  <c r="K212" i="30"/>
  <c r="O212" i="30" s="1"/>
  <c r="F216" i="7"/>
  <c r="K213" i="30"/>
  <c r="O213" i="30" s="1"/>
  <c r="T163" i="29"/>
  <c r="AC163" i="29"/>
  <c r="G162" i="29"/>
  <c r="J162" i="29"/>
  <c r="I162" i="29"/>
  <c r="P213" i="30"/>
  <c r="P212" i="30"/>
  <c r="K162" i="29"/>
  <c r="L162" i="29"/>
  <c r="W163" i="29"/>
  <c r="Z163" i="29"/>
  <c r="AF163" i="29"/>
  <c r="AE162" i="29" l="1"/>
  <c r="O162" i="29" s="1"/>
  <c r="N156" i="3" s="1"/>
  <c r="AG163" i="29"/>
  <c r="P163" i="29"/>
  <c r="L157" i="3" s="1"/>
  <c r="AA163" i="29"/>
  <c r="AB163" i="29" s="1"/>
  <c r="X163" i="29"/>
  <c r="Y163" i="29" s="1"/>
  <c r="E156" i="3"/>
  <c r="C238" i="7"/>
  <c r="I156" i="3"/>
  <c r="A495" i="7"/>
  <c r="F156" i="3"/>
  <c r="A264" i="7"/>
  <c r="AD163" i="29"/>
  <c r="M163" i="29"/>
  <c r="O157" i="3" s="1"/>
  <c r="U163" i="29"/>
  <c r="D163" i="29"/>
  <c r="C157" i="3" s="1"/>
  <c r="J155" i="3"/>
  <c r="AV153" i="4"/>
  <c r="V162" i="29"/>
  <c r="F162" i="29" s="1"/>
  <c r="B156" i="3" s="1"/>
  <c r="E162" i="29"/>
  <c r="M155" i="3"/>
  <c r="AT153" i="4"/>
  <c r="Q162" i="29"/>
  <c r="AH162" i="29"/>
  <c r="R162" i="29" s="1"/>
  <c r="K156" i="3" s="1"/>
  <c r="A155" i="3"/>
  <c r="AN153" i="4"/>
  <c r="B387" i="7"/>
  <c r="L387" i="7" s="1"/>
  <c r="AR154" i="4"/>
  <c r="G156" i="3"/>
  <c r="H156" i="3"/>
  <c r="C387" i="7"/>
  <c r="AT154" i="4"/>
  <c r="M156" i="3"/>
  <c r="E218" i="7"/>
  <c r="H218" i="7"/>
  <c r="I218" i="7"/>
  <c r="D218" i="7"/>
  <c r="J218" i="7"/>
  <c r="K218" i="7"/>
  <c r="G218" i="7"/>
  <c r="J219" i="7"/>
  <c r="H219" i="7"/>
  <c r="D219" i="7"/>
  <c r="I219" i="7"/>
  <c r="K219" i="7"/>
  <c r="G219" i="7"/>
  <c r="E219" i="7"/>
  <c r="I163" i="29"/>
  <c r="T164" i="29"/>
  <c r="H145" i="29"/>
  <c r="H144" i="29"/>
  <c r="AF164" i="29"/>
  <c r="J163" i="29"/>
  <c r="W164" i="29"/>
  <c r="Z164" i="29"/>
  <c r="G163" i="29"/>
  <c r="AC164" i="29"/>
  <c r="L163" i="29"/>
  <c r="K163" i="29"/>
  <c r="AD164" i="29" l="1"/>
  <c r="M164" i="29"/>
  <c r="O158" i="3" s="1"/>
  <c r="F157" i="3"/>
  <c r="A265" i="7"/>
  <c r="AA164" i="29"/>
  <c r="X164" i="29"/>
  <c r="Y164" i="29" s="1"/>
  <c r="A496" i="7"/>
  <c r="I157" i="3"/>
  <c r="AG164" i="29"/>
  <c r="P164" i="29"/>
  <c r="L158" i="3" s="1"/>
  <c r="U164" i="29"/>
  <c r="D164" i="29"/>
  <c r="C158" i="3" s="1"/>
  <c r="E157" i="3"/>
  <c r="C239" i="7"/>
  <c r="AV154" i="4"/>
  <c r="J156" i="3"/>
  <c r="E163" i="29"/>
  <c r="V163" i="29"/>
  <c r="F163" i="29" s="1"/>
  <c r="B157" i="3" s="1"/>
  <c r="AN154" i="4"/>
  <c r="A156" i="3"/>
  <c r="N163" i="29"/>
  <c r="AE163" i="29"/>
  <c r="O163" i="29" s="1"/>
  <c r="N157" i="3" s="1"/>
  <c r="AH163" i="29"/>
  <c r="R163" i="29" s="1"/>
  <c r="K157" i="3" s="1"/>
  <c r="Q163" i="29"/>
  <c r="G157" i="3"/>
  <c r="B330" i="7"/>
  <c r="L330" i="7" s="1"/>
  <c r="AR155" i="4"/>
  <c r="C330" i="7"/>
  <c r="H157" i="3"/>
  <c r="AB164" i="29"/>
  <c r="F218" i="7"/>
  <c r="AP136" i="4"/>
  <c r="D138" i="3"/>
  <c r="B220" i="7"/>
  <c r="L220" i="7" s="1"/>
  <c r="AP137" i="4"/>
  <c r="B221" i="7"/>
  <c r="L221" i="7" s="1"/>
  <c r="D139" i="3"/>
  <c r="F219" i="7"/>
  <c r="K214" i="30"/>
  <c r="O214" i="30" s="1"/>
  <c r="K215" i="30"/>
  <c r="O215" i="30" s="1"/>
  <c r="AC165" i="29"/>
  <c r="W165" i="29"/>
  <c r="T165" i="29"/>
  <c r="K164" i="29"/>
  <c r="H146" i="29"/>
  <c r="G164" i="29"/>
  <c r="AF165" i="29"/>
  <c r="P214" i="30"/>
  <c r="L164" i="29"/>
  <c r="P215" i="30"/>
  <c r="J164" i="29"/>
  <c r="I164" i="29"/>
  <c r="Z165" i="29"/>
  <c r="AA165" i="29" l="1"/>
  <c r="AB165" i="29" s="1"/>
  <c r="E158" i="3"/>
  <c r="C240" i="7"/>
  <c r="A497" i="7"/>
  <c r="I158" i="3"/>
  <c r="AG165" i="29"/>
  <c r="P165" i="29"/>
  <c r="L159" i="3" s="1"/>
  <c r="A266" i="7"/>
  <c r="F158" i="3"/>
  <c r="U165" i="29"/>
  <c r="D165" i="29"/>
  <c r="C159" i="3" s="1"/>
  <c r="X165" i="29"/>
  <c r="Y165" i="29" s="1"/>
  <c r="M165" i="29"/>
  <c r="O159" i="3" s="1"/>
  <c r="AD165" i="29"/>
  <c r="M157" i="3"/>
  <c r="AT155" i="4"/>
  <c r="A157" i="3"/>
  <c r="AN155" i="4"/>
  <c r="AV155" i="4"/>
  <c r="J157" i="3"/>
  <c r="AH164" i="29"/>
  <c r="R164" i="29" s="1"/>
  <c r="K158" i="3" s="1"/>
  <c r="Q164" i="29"/>
  <c r="E164" i="29"/>
  <c r="V164" i="29"/>
  <c r="F164" i="29" s="1"/>
  <c r="B158" i="3" s="1"/>
  <c r="N164" i="29"/>
  <c r="AE164" i="29"/>
  <c r="O164" i="29" s="1"/>
  <c r="N158" i="3" s="1"/>
  <c r="AR156" i="4"/>
  <c r="G158" i="3"/>
  <c r="B454" i="7"/>
  <c r="L454" i="7" s="1"/>
  <c r="H158" i="3"/>
  <c r="C454" i="7"/>
  <c r="D140" i="3"/>
  <c r="B222" i="7"/>
  <c r="L222" i="7" s="1"/>
  <c r="AP138" i="4"/>
  <c r="J220" i="7"/>
  <c r="I220" i="7"/>
  <c r="H220" i="7"/>
  <c r="D220" i="7"/>
  <c r="K220" i="7"/>
  <c r="E220" i="7"/>
  <c r="G220" i="7"/>
  <c r="G221" i="7"/>
  <c r="K221" i="7"/>
  <c r="I221" i="7"/>
  <c r="D221" i="7"/>
  <c r="H221" i="7"/>
  <c r="J221" i="7"/>
  <c r="E221" i="7"/>
  <c r="K216" i="30"/>
  <c r="O216" i="30" s="1"/>
  <c r="J165" i="29"/>
  <c r="AF166" i="29"/>
  <c r="W166" i="29"/>
  <c r="Z166" i="29"/>
  <c r="I165" i="29"/>
  <c r="L165" i="29"/>
  <c r="K165" i="29"/>
  <c r="P216" i="30"/>
  <c r="T166" i="29"/>
  <c r="AC166" i="29"/>
  <c r="H148" i="29"/>
  <c r="G165" i="29"/>
  <c r="H147" i="29"/>
  <c r="A267" i="7" l="1"/>
  <c r="F159" i="3"/>
  <c r="M166" i="29"/>
  <c r="O160" i="3" s="1"/>
  <c r="AD166" i="29"/>
  <c r="U166" i="29"/>
  <c r="D166" i="29"/>
  <c r="C160" i="3" s="1"/>
  <c r="E159" i="3"/>
  <c r="C241" i="7"/>
  <c r="AA166" i="29"/>
  <c r="AB166" i="29" s="1"/>
  <c r="X166" i="29"/>
  <c r="Y166" i="29" s="1"/>
  <c r="P166" i="29"/>
  <c r="L160" i="3" s="1"/>
  <c r="AG166" i="29"/>
  <c r="AH166" i="29" s="1"/>
  <c r="R166" i="29" s="1"/>
  <c r="K160" i="3" s="1"/>
  <c r="I159" i="3"/>
  <c r="A498" i="7"/>
  <c r="M158" i="3"/>
  <c r="AT156" i="4"/>
  <c r="Q165" i="29"/>
  <c r="AH165" i="29"/>
  <c r="R165" i="29" s="1"/>
  <c r="K159" i="3" s="1"/>
  <c r="A158" i="3"/>
  <c r="AN156" i="4"/>
  <c r="J158" i="3"/>
  <c r="AV156" i="4"/>
  <c r="N165" i="29"/>
  <c r="AE165" i="29"/>
  <c r="O165" i="29" s="1"/>
  <c r="N159" i="3" s="1"/>
  <c r="V165" i="29"/>
  <c r="F165" i="29" s="1"/>
  <c r="B159" i="3" s="1"/>
  <c r="E165" i="29"/>
  <c r="H159" i="3"/>
  <c r="C479" i="7"/>
  <c r="B479" i="7"/>
  <c r="L479" i="7" s="1"/>
  <c r="AR157" i="4"/>
  <c r="G159" i="3"/>
  <c r="D142" i="3"/>
  <c r="B224" i="7"/>
  <c r="L224" i="7" s="1"/>
  <c r="AP140" i="4"/>
  <c r="B223" i="7"/>
  <c r="L223" i="7" s="1"/>
  <c r="D141" i="3"/>
  <c r="AP139" i="4"/>
  <c r="K218" i="30"/>
  <c r="O218" i="30" s="1"/>
  <c r="F220" i="7"/>
  <c r="K222" i="7"/>
  <c r="G222" i="7"/>
  <c r="J222" i="7"/>
  <c r="H222" i="7"/>
  <c r="E222" i="7"/>
  <c r="I222" i="7"/>
  <c r="D222" i="7"/>
  <c r="F221" i="7"/>
  <c r="K217" i="30"/>
  <c r="O217" i="30" s="1"/>
  <c r="Z167" i="29"/>
  <c r="P217" i="30"/>
  <c r="P218" i="30"/>
  <c r="I166" i="29"/>
  <c r="AF167" i="29"/>
  <c r="G166" i="29"/>
  <c r="AC167" i="29"/>
  <c r="T167" i="29"/>
  <c r="J166" i="29"/>
  <c r="W167" i="29"/>
  <c r="L166" i="29"/>
  <c r="K166" i="29"/>
  <c r="Q166" i="29" l="1"/>
  <c r="AV158" i="4" s="1"/>
  <c r="X167" i="29"/>
  <c r="Y167" i="29" s="1"/>
  <c r="A499" i="7"/>
  <c r="I160" i="3"/>
  <c r="D167" i="29"/>
  <c r="C161" i="3" s="1"/>
  <c r="U167" i="29"/>
  <c r="AD167" i="29"/>
  <c r="M167" i="29"/>
  <c r="O161" i="3" s="1"/>
  <c r="A268" i="7"/>
  <c r="F160" i="3"/>
  <c r="P167" i="29"/>
  <c r="L161" i="3" s="1"/>
  <c r="AG167" i="29"/>
  <c r="C242" i="7"/>
  <c r="E160" i="3"/>
  <c r="AA167" i="29"/>
  <c r="AB167" i="29" s="1"/>
  <c r="J159" i="3"/>
  <c r="AV157" i="4"/>
  <c r="M159" i="3"/>
  <c r="AT157" i="4"/>
  <c r="V166" i="29"/>
  <c r="F166" i="29" s="1"/>
  <c r="B160" i="3" s="1"/>
  <c r="E166" i="29"/>
  <c r="AN157" i="4"/>
  <c r="A159" i="3"/>
  <c r="N166" i="29"/>
  <c r="AE166" i="29"/>
  <c r="O166" i="29" s="1"/>
  <c r="N160" i="3" s="1"/>
  <c r="G160" i="3"/>
  <c r="AR158" i="4"/>
  <c r="B382" i="7"/>
  <c r="L382" i="7" s="1"/>
  <c r="C382" i="7"/>
  <c r="H160" i="3"/>
  <c r="F222" i="7"/>
  <c r="W168" i="29"/>
  <c r="G167" i="29"/>
  <c r="AC168" i="29"/>
  <c r="AF168" i="29"/>
  <c r="I167" i="29"/>
  <c r="T168" i="29"/>
  <c r="Z168" i="29"/>
  <c r="J167" i="29"/>
  <c r="L167" i="29"/>
  <c r="H149" i="29"/>
  <c r="K167" i="29"/>
  <c r="J160" i="3" l="1"/>
  <c r="I161" i="3"/>
  <c r="A500" i="7"/>
  <c r="AA168" i="29"/>
  <c r="AB168" i="29" s="1"/>
  <c r="U168" i="29"/>
  <c r="D168" i="29"/>
  <c r="C162" i="3" s="1"/>
  <c r="C243" i="7"/>
  <c r="E161" i="3"/>
  <c r="P168" i="29"/>
  <c r="L162" i="3" s="1"/>
  <c r="AG168" i="29"/>
  <c r="M168" i="29"/>
  <c r="O162" i="3" s="1"/>
  <c r="AD168" i="29"/>
  <c r="F161" i="3"/>
  <c r="A269" i="7"/>
  <c r="X168" i="29"/>
  <c r="Y168" i="29" s="1"/>
  <c r="A160" i="3"/>
  <c r="AN158" i="4"/>
  <c r="Q167" i="29"/>
  <c r="AH167" i="29"/>
  <c r="R167" i="29" s="1"/>
  <c r="K161" i="3" s="1"/>
  <c r="E167" i="29"/>
  <c r="V167" i="29"/>
  <c r="F167" i="29" s="1"/>
  <c r="B161" i="3" s="1"/>
  <c r="AT158" i="4"/>
  <c r="M160" i="3"/>
  <c r="N167" i="29"/>
  <c r="AE167" i="29"/>
  <c r="O167" i="29" s="1"/>
  <c r="N161" i="3" s="1"/>
  <c r="AR159" i="4"/>
  <c r="G161" i="3"/>
  <c r="B350" i="7"/>
  <c r="L350" i="7" s="1"/>
  <c r="C350" i="7"/>
  <c r="H161" i="3"/>
  <c r="AP141" i="4"/>
  <c r="D143" i="3"/>
  <c r="B225" i="7"/>
  <c r="L225" i="7" s="1"/>
  <c r="K219" i="30"/>
  <c r="O219" i="30" s="1"/>
  <c r="Z169" i="29"/>
  <c r="W169" i="29"/>
  <c r="H150" i="29"/>
  <c r="P219" i="30"/>
  <c r="AC169" i="29"/>
  <c r="L168" i="29"/>
  <c r="K168" i="29"/>
  <c r="G168" i="29"/>
  <c r="J168" i="29"/>
  <c r="T169" i="29"/>
  <c r="AF169" i="29"/>
  <c r="I168" i="29"/>
  <c r="C244" i="7" l="1"/>
  <c r="E162" i="3"/>
  <c r="P169" i="29"/>
  <c r="L163" i="3" s="1"/>
  <c r="AG169" i="29"/>
  <c r="AH169" i="29" s="1"/>
  <c r="R169" i="29" s="1"/>
  <c r="K163" i="3" s="1"/>
  <c r="D169" i="29"/>
  <c r="C163" i="3" s="1"/>
  <c r="U169" i="29"/>
  <c r="A501" i="7"/>
  <c r="I162" i="3"/>
  <c r="F162" i="3"/>
  <c r="A270" i="7"/>
  <c r="AD169" i="29"/>
  <c r="M169" i="29"/>
  <c r="O163" i="3" s="1"/>
  <c r="X169" i="29"/>
  <c r="Y169" i="29" s="1"/>
  <c r="AA169" i="29"/>
  <c r="AB169" i="29" s="1"/>
  <c r="AV159" i="4"/>
  <c r="J161" i="3"/>
  <c r="N168" i="29"/>
  <c r="AE168" i="29"/>
  <c r="O168" i="29" s="1"/>
  <c r="N162" i="3" s="1"/>
  <c r="M161" i="3"/>
  <c r="AT159" i="4"/>
  <c r="AN159" i="4"/>
  <c r="A161" i="3"/>
  <c r="V168" i="29"/>
  <c r="F168" i="29" s="1"/>
  <c r="B162" i="3" s="1"/>
  <c r="E168" i="29"/>
  <c r="AH168" i="29"/>
  <c r="R168" i="29" s="1"/>
  <c r="K162" i="3" s="1"/>
  <c r="Q168" i="29"/>
  <c r="AR160" i="4"/>
  <c r="G162" i="3"/>
  <c r="B365" i="7"/>
  <c r="L365" i="7" s="1"/>
  <c r="C365" i="7"/>
  <c r="H162" i="3"/>
  <c r="Q169" i="29"/>
  <c r="J163" i="3" s="1"/>
  <c r="B226" i="7"/>
  <c r="L226" i="7" s="1"/>
  <c r="AP142" i="4"/>
  <c r="D144" i="3"/>
  <c r="K220" i="30"/>
  <c r="O220" i="30" s="1"/>
  <c r="I169" i="29"/>
  <c r="P220" i="30"/>
  <c r="AC170" i="29"/>
  <c r="W170" i="29"/>
  <c r="K169" i="29"/>
  <c r="H151" i="29"/>
  <c r="L169" i="29"/>
  <c r="T170" i="29"/>
  <c r="Z170" i="29"/>
  <c r="AF170" i="29"/>
  <c r="G169" i="29"/>
  <c r="J169" i="29"/>
  <c r="I163" i="3" l="1"/>
  <c r="A502" i="7"/>
  <c r="A271" i="7"/>
  <c r="F163" i="3"/>
  <c r="P170" i="29"/>
  <c r="L164" i="3" s="1"/>
  <c r="AG170" i="29"/>
  <c r="AA170" i="29"/>
  <c r="AB170" i="29" s="1"/>
  <c r="U170" i="29"/>
  <c r="D170" i="29"/>
  <c r="C164" i="3" s="1"/>
  <c r="X170" i="29"/>
  <c r="M170" i="29"/>
  <c r="O164" i="3" s="1"/>
  <c r="AD170" i="29"/>
  <c r="AE170" i="29" s="1"/>
  <c r="O170" i="29" s="1"/>
  <c r="N164" i="3" s="1"/>
  <c r="C245" i="7"/>
  <c r="E163" i="3"/>
  <c r="M162" i="3"/>
  <c r="AT160" i="4"/>
  <c r="V169" i="29"/>
  <c r="F169" i="29" s="1"/>
  <c r="B163" i="3" s="1"/>
  <c r="E169" i="29"/>
  <c r="AN160" i="4"/>
  <c r="A162" i="3"/>
  <c r="AV160" i="4"/>
  <c r="J162" i="3"/>
  <c r="N169" i="29"/>
  <c r="AE169" i="29"/>
  <c r="O169" i="29" s="1"/>
  <c r="N163" i="3" s="1"/>
  <c r="C434" i="7"/>
  <c r="H163" i="3"/>
  <c r="B434" i="7"/>
  <c r="L434" i="7" s="1"/>
  <c r="AR161" i="4"/>
  <c r="G163" i="3"/>
  <c r="AV161" i="4"/>
  <c r="D145" i="3"/>
  <c r="AP143" i="4"/>
  <c r="B227" i="7"/>
  <c r="L227" i="7" s="1"/>
  <c r="K221" i="30"/>
  <c r="O221" i="30" s="1"/>
  <c r="K226" i="7"/>
  <c r="H226" i="7"/>
  <c r="E226" i="7"/>
  <c r="G226" i="7"/>
  <c r="D226" i="7"/>
  <c r="J226" i="7"/>
  <c r="I226" i="7"/>
  <c r="AF171" i="29"/>
  <c r="J170" i="29"/>
  <c r="K170" i="29"/>
  <c r="L170" i="29"/>
  <c r="Z171" i="29"/>
  <c r="G170" i="29"/>
  <c r="AC171" i="29"/>
  <c r="T171" i="29"/>
  <c r="W171" i="29"/>
  <c r="H152" i="29"/>
  <c r="P221" i="30"/>
  <c r="N170" i="29" l="1"/>
  <c r="X171" i="29"/>
  <c r="Y171" i="29" s="1"/>
  <c r="D171" i="29"/>
  <c r="C165" i="3" s="1"/>
  <c r="U171" i="29"/>
  <c r="AD171" i="29"/>
  <c r="M171" i="29"/>
  <c r="O165" i="3" s="1"/>
  <c r="A272" i="7"/>
  <c r="F164" i="3"/>
  <c r="AA171" i="29"/>
  <c r="AB171" i="29" s="1"/>
  <c r="A503" i="7"/>
  <c r="I164" i="3"/>
  <c r="P171" i="29"/>
  <c r="L165" i="3" s="1"/>
  <c r="AG171" i="29"/>
  <c r="Q171" i="29" s="1"/>
  <c r="Y170" i="29"/>
  <c r="V170" i="29"/>
  <c r="F170" i="29" s="1"/>
  <c r="B164" i="3" s="1"/>
  <c r="E170" i="29"/>
  <c r="AH170" i="29"/>
  <c r="R170" i="29" s="1"/>
  <c r="K164" i="3" s="1"/>
  <c r="Q170" i="29"/>
  <c r="M163" i="3"/>
  <c r="AT161" i="4"/>
  <c r="AN161" i="4"/>
  <c r="A163" i="3"/>
  <c r="AR162" i="4"/>
  <c r="G164" i="3"/>
  <c r="B471" i="7"/>
  <c r="L471" i="7" s="1"/>
  <c r="C471" i="7"/>
  <c r="H164" i="3"/>
  <c r="F226" i="7"/>
  <c r="D146" i="3"/>
  <c r="B228" i="7"/>
  <c r="L228" i="7" s="1"/>
  <c r="AP144" i="4"/>
  <c r="K222" i="30"/>
  <c r="O222" i="30" s="1"/>
  <c r="K227" i="7"/>
  <c r="E227" i="7"/>
  <c r="D227" i="7"/>
  <c r="J227" i="7"/>
  <c r="G227" i="7"/>
  <c r="H227" i="7"/>
  <c r="I227" i="7"/>
  <c r="W172" i="29"/>
  <c r="Z172" i="29"/>
  <c r="H170" i="29"/>
  <c r="T172" i="29"/>
  <c r="J171" i="29"/>
  <c r="H171" i="29"/>
  <c r="P222" i="30"/>
  <c r="H154" i="29"/>
  <c r="L171" i="29"/>
  <c r="I171" i="29"/>
  <c r="G171" i="29"/>
  <c r="AC172" i="29"/>
  <c r="AF172" i="29"/>
  <c r="I170" i="29"/>
  <c r="H153" i="29"/>
  <c r="K171" i="29"/>
  <c r="AH171" i="29" l="1"/>
  <c r="R171" i="29" s="1"/>
  <c r="K165" i="3" s="1"/>
  <c r="AT162" i="4"/>
  <c r="M164" i="3"/>
  <c r="C246" i="7"/>
  <c r="E164" i="3"/>
  <c r="AG172" i="29"/>
  <c r="P172" i="29"/>
  <c r="L166" i="3" s="1"/>
  <c r="AD172" i="29"/>
  <c r="M172" i="29"/>
  <c r="O166" i="3" s="1"/>
  <c r="A273" i="7"/>
  <c r="F165" i="3"/>
  <c r="I165" i="3"/>
  <c r="A504" i="7"/>
  <c r="D172" i="29"/>
  <c r="C166" i="3" s="1"/>
  <c r="U172" i="29"/>
  <c r="AP162" i="4"/>
  <c r="D164" i="3"/>
  <c r="B246" i="7"/>
  <c r="AA172" i="29"/>
  <c r="X172" i="29"/>
  <c r="Y172" i="29" s="1"/>
  <c r="AE171" i="29"/>
  <c r="O171" i="29" s="1"/>
  <c r="N165" i="3" s="1"/>
  <c r="N171" i="29"/>
  <c r="A164" i="3"/>
  <c r="AN162" i="4"/>
  <c r="J164" i="3"/>
  <c r="AV162" i="4"/>
  <c r="E171" i="29"/>
  <c r="V171" i="29"/>
  <c r="F171" i="29" s="1"/>
  <c r="B165" i="3" s="1"/>
  <c r="AR163" i="4"/>
  <c r="B443" i="7"/>
  <c r="L443" i="7" s="1"/>
  <c r="G165" i="3"/>
  <c r="H165" i="3"/>
  <c r="C443" i="7"/>
  <c r="E165" i="3"/>
  <c r="C247" i="7"/>
  <c r="D165" i="3"/>
  <c r="B247" i="7"/>
  <c r="AP163" i="4"/>
  <c r="AB172" i="29"/>
  <c r="J165" i="3"/>
  <c r="AV163" i="4"/>
  <c r="F227" i="7"/>
  <c r="B229" i="7"/>
  <c r="L229" i="7" s="1"/>
  <c r="AP145" i="4"/>
  <c r="D147" i="3"/>
  <c r="AP146" i="4"/>
  <c r="D148" i="3"/>
  <c r="B230" i="7"/>
  <c r="L230" i="7" s="1"/>
  <c r="K223" i="30"/>
  <c r="O223" i="30" s="1"/>
  <c r="K224" i="30"/>
  <c r="O224" i="30" s="1"/>
  <c r="AF173" i="29"/>
  <c r="T173" i="29"/>
  <c r="Z173" i="29"/>
  <c r="H172" i="29"/>
  <c r="L172" i="29"/>
  <c r="P224" i="30"/>
  <c r="AC173" i="29"/>
  <c r="G172" i="29"/>
  <c r="W173" i="29"/>
  <c r="J172" i="29"/>
  <c r="K172" i="29"/>
  <c r="P223" i="30"/>
  <c r="I172" i="29"/>
  <c r="A505" i="7" l="1"/>
  <c r="I166" i="3"/>
  <c r="X173" i="29"/>
  <c r="Y173" i="29" s="1"/>
  <c r="A274" i="7"/>
  <c r="F166" i="3"/>
  <c r="M173" i="29"/>
  <c r="O167" i="3" s="1"/>
  <c r="AD173" i="29"/>
  <c r="AA173" i="29"/>
  <c r="AB173" i="29" s="1"/>
  <c r="U173" i="29"/>
  <c r="D173" i="29"/>
  <c r="C167" i="3" s="1"/>
  <c r="P173" i="29"/>
  <c r="L167" i="3" s="1"/>
  <c r="AG173" i="29"/>
  <c r="A165" i="3"/>
  <c r="AN163" i="4"/>
  <c r="V172" i="29"/>
  <c r="F172" i="29" s="1"/>
  <c r="B166" i="3" s="1"/>
  <c r="E172" i="29"/>
  <c r="N172" i="29"/>
  <c r="AE172" i="29"/>
  <c r="O172" i="29" s="1"/>
  <c r="N166" i="3" s="1"/>
  <c r="Q172" i="29"/>
  <c r="AH172" i="29"/>
  <c r="R172" i="29" s="1"/>
  <c r="K166" i="3" s="1"/>
  <c r="AT163" i="4"/>
  <c r="M165" i="3"/>
  <c r="K246" i="7"/>
  <c r="H246" i="7"/>
  <c r="L246" i="7"/>
  <c r="G246" i="7"/>
  <c r="E246" i="7"/>
  <c r="D246" i="7"/>
  <c r="J246" i="7"/>
  <c r="I246" i="7"/>
  <c r="AP164" i="4"/>
  <c r="B248" i="7"/>
  <c r="D166" i="3"/>
  <c r="AR164" i="4"/>
  <c r="G166" i="3"/>
  <c r="B349" i="7"/>
  <c r="L349" i="7" s="1"/>
  <c r="C248" i="7"/>
  <c r="E166" i="3"/>
  <c r="H166" i="3"/>
  <c r="C349" i="7"/>
  <c r="H247" i="7"/>
  <c r="K247" i="7"/>
  <c r="J247" i="7"/>
  <c r="L247" i="7"/>
  <c r="G247" i="7"/>
  <c r="I247" i="7"/>
  <c r="E247" i="7"/>
  <c r="D247" i="7"/>
  <c r="E173" i="29"/>
  <c r="V173" i="29"/>
  <c r="F173" i="29" s="1"/>
  <c r="B167" i="3" s="1"/>
  <c r="AE173" i="29"/>
  <c r="O173" i="29" s="1"/>
  <c r="N167" i="3" s="1"/>
  <c r="N173" i="29"/>
  <c r="D229" i="7"/>
  <c r="H229" i="7"/>
  <c r="I229" i="7"/>
  <c r="G229" i="7"/>
  <c r="J229" i="7"/>
  <c r="K229" i="7"/>
  <c r="E229" i="7"/>
  <c r="G173" i="29"/>
  <c r="J173" i="29"/>
  <c r="K173" i="29"/>
  <c r="H155" i="29"/>
  <c r="T174" i="29"/>
  <c r="AF174" i="29"/>
  <c r="H173" i="29"/>
  <c r="W174" i="29"/>
  <c r="AC174" i="29"/>
  <c r="Z174" i="29"/>
  <c r="I173" i="29"/>
  <c r="L173" i="29"/>
  <c r="AA174" i="29" l="1"/>
  <c r="AD174" i="29"/>
  <c r="M174" i="29"/>
  <c r="O168" i="3" s="1"/>
  <c r="X174" i="29"/>
  <c r="Y174" i="29" s="1"/>
  <c r="AG174" i="29"/>
  <c r="P174" i="29"/>
  <c r="L168" i="3" s="1"/>
  <c r="U174" i="29"/>
  <c r="D174" i="29"/>
  <c r="C168" i="3" s="1"/>
  <c r="A506" i="7"/>
  <c r="I167" i="3"/>
  <c r="F167" i="3"/>
  <c r="A275" i="7"/>
  <c r="AT164" i="4"/>
  <c r="M166" i="3"/>
  <c r="F246" i="7"/>
  <c r="A166" i="3"/>
  <c r="AN164" i="4"/>
  <c r="AH173" i="29"/>
  <c r="R173" i="29" s="1"/>
  <c r="K167" i="3" s="1"/>
  <c r="Q173" i="29"/>
  <c r="J166" i="3"/>
  <c r="AV164" i="4"/>
  <c r="C378" i="7"/>
  <c r="H167" i="3"/>
  <c r="D167" i="3"/>
  <c r="B249" i="7"/>
  <c r="AP165" i="4"/>
  <c r="C249" i="7"/>
  <c r="E167" i="3"/>
  <c r="B378" i="7"/>
  <c r="L378" i="7" s="1"/>
  <c r="G167" i="3"/>
  <c r="AR165" i="4"/>
  <c r="F247" i="7"/>
  <c r="L248" i="7"/>
  <c r="I248" i="7"/>
  <c r="G248" i="7"/>
  <c r="E248" i="7"/>
  <c r="H248" i="7"/>
  <c r="D248" i="7"/>
  <c r="K248" i="7"/>
  <c r="J248" i="7"/>
  <c r="A167" i="3"/>
  <c r="AN165" i="4"/>
  <c r="AT165" i="4"/>
  <c r="M167" i="3"/>
  <c r="AB174" i="29"/>
  <c r="AP147" i="4"/>
  <c r="D149" i="3"/>
  <c r="B231" i="7"/>
  <c r="L231" i="7" s="1"/>
  <c r="K225" i="30"/>
  <c r="O225" i="30" s="1"/>
  <c r="F229" i="7"/>
  <c r="W175" i="29"/>
  <c r="L174" i="29"/>
  <c r="H174" i="29"/>
  <c r="P225" i="30"/>
  <c r="J174" i="29"/>
  <c r="AC175" i="29"/>
  <c r="H156" i="29"/>
  <c r="I174" i="29"/>
  <c r="Z175" i="29"/>
  <c r="G174" i="29"/>
  <c r="AF175" i="29"/>
  <c r="T175" i="29"/>
  <c r="K174" i="29"/>
  <c r="F248" i="7" l="1"/>
  <c r="D175" i="29"/>
  <c r="C169" i="3" s="1"/>
  <c r="U175" i="29"/>
  <c r="P175" i="29"/>
  <c r="L169" i="3" s="1"/>
  <c r="AG175" i="29"/>
  <c r="F168" i="3"/>
  <c r="A276" i="7"/>
  <c r="AA175" i="29"/>
  <c r="AB175" i="29" s="1"/>
  <c r="M175" i="29"/>
  <c r="O169" i="3" s="1"/>
  <c r="AD175" i="29"/>
  <c r="AE175" i="29" s="1"/>
  <c r="O175" i="29" s="1"/>
  <c r="N169" i="3" s="1"/>
  <c r="A507" i="7"/>
  <c r="I168" i="3"/>
  <c r="X175" i="29"/>
  <c r="Y175" i="29" s="1"/>
  <c r="N174" i="29"/>
  <c r="AE174" i="29"/>
  <c r="O174" i="29" s="1"/>
  <c r="N168" i="3" s="1"/>
  <c r="J167" i="3"/>
  <c r="AV165" i="4"/>
  <c r="AH174" i="29"/>
  <c r="R174" i="29" s="1"/>
  <c r="K168" i="3" s="1"/>
  <c r="Q174" i="29"/>
  <c r="V174" i="29"/>
  <c r="F174" i="29" s="1"/>
  <c r="B168" i="3" s="1"/>
  <c r="E174" i="29"/>
  <c r="AR166" i="4"/>
  <c r="G168" i="3"/>
  <c r="B433" i="7"/>
  <c r="L433" i="7" s="1"/>
  <c r="D168" i="3"/>
  <c r="B250" i="7"/>
  <c r="L250" i="7" s="1"/>
  <c r="AP166" i="4"/>
  <c r="E168" i="3"/>
  <c r="C250" i="7"/>
  <c r="H168" i="3"/>
  <c r="C433" i="7"/>
  <c r="L249" i="7"/>
  <c r="D249" i="7"/>
  <c r="AP148" i="4"/>
  <c r="B232" i="7"/>
  <c r="L232" i="7" s="1"/>
  <c r="D150" i="3"/>
  <c r="K226" i="30"/>
  <c r="O226" i="30" s="1"/>
  <c r="T176" i="29"/>
  <c r="AF176" i="29"/>
  <c r="G175" i="29"/>
  <c r="I175" i="29"/>
  <c r="H175" i="29"/>
  <c r="Z176" i="29"/>
  <c r="AC176" i="29"/>
  <c r="J175" i="29"/>
  <c r="W176" i="29"/>
  <c r="P226" i="30"/>
  <c r="L175" i="29"/>
  <c r="K175" i="29"/>
  <c r="N175" i="29" l="1"/>
  <c r="X176" i="29"/>
  <c r="Y176" i="29" s="1"/>
  <c r="A508" i="7"/>
  <c r="I169" i="3"/>
  <c r="AD176" i="29"/>
  <c r="M176" i="29"/>
  <c r="O170" i="3" s="1"/>
  <c r="AA176" i="29"/>
  <c r="A277" i="7"/>
  <c r="F169" i="3"/>
  <c r="AG176" i="29"/>
  <c r="P176" i="29"/>
  <c r="L170" i="3" s="1"/>
  <c r="D176" i="29"/>
  <c r="C170" i="3" s="1"/>
  <c r="U176" i="29"/>
  <c r="M168" i="3"/>
  <c r="AT166" i="4"/>
  <c r="A168" i="3"/>
  <c r="AN166" i="4"/>
  <c r="E175" i="29"/>
  <c r="V175" i="29"/>
  <c r="F175" i="29" s="1"/>
  <c r="B169" i="3" s="1"/>
  <c r="AH175" i="29"/>
  <c r="R175" i="29" s="1"/>
  <c r="K169" i="3" s="1"/>
  <c r="Q175" i="29"/>
  <c r="AV166" i="4"/>
  <c r="J168" i="3"/>
  <c r="C410" i="7"/>
  <c r="H169" i="3"/>
  <c r="AP167" i="4"/>
  <c r="D169" i="3"/>
  <c r="B251" i="7"/>
  <c r="L251" i="7" s="1"/>
  <c r="E169" i="3"/>
  <c r="C251" i="7"/>
  <c r="AR167" i="4"/>
  <c r="B410" i="7"/>
  <c r="L410" i="7" s="1"/>
  <c r="G169" i="3"/>
  <c r="AT167" i="4"/>
  <c r="M169" i="3"/>
  <c r="AB176" i="29"/>
  <c r="K232" i="7"/>
  <c r="I232" i="7"/>
  <c r="D232" i="7"/>
  <c r="J232" i="7"/>
  <c r="E232" i="7"/>
  <c r="H232" i="7"/>
  <c r="G232" i="7"/>
  <c r="W177" i="29"/>
  <c r="AC177" i="29"/>
  <c r="J176" i="29"/>
  <c r="G176" i="29"/>
  <c r="Z177" i="29"/>
  <c r="T177" i="29"/>
  <c r="H158" i="29"/>
  <c r="K176" i="29"/>
  <c r="L176" i="29"/>
  <c r="H176" i="29"/>
  <c r="AF177" i="29"/>
  <c r="I176" i="29"/>
  <c r="H157" i="29"/>
  <c r="P177" i="29" l="1"/>
  <c r="L171" i="3" s="1"/>
  <c r="AG177" i="29"/>
  <c r="Q177" i="29" s="1"/>
  <c r="AV169" i="4" s="1"/>
  <c r="D177" i="29"/>
  <c r="C171" i="3" s="1"/>
  <c r="U177" i="29"/>
  <c r="AA177" i="29"/>
  <c r="AB177" i="29" s="1"/>
  <c r="F170" i="3"/>
  <c r="A278" i="7"/>
  <c r="I170" i="3"/>
  <c r="A509" i="7"/>
  <c r="M177" i="29"/>
  <c r="O171" i="3" s="1"/>
  <c r="AD177" i="29"/>
  <c r="X177" i="29"/>
  <c r="Y177" i="29" s="1"/>
  <c r="AN167" i="4"/>
  <c r="A169" i="3"/>
  <c r="J169" i="3"/>
  <c r="AV167" i="4"/>
  <c r="AE176" i="29"/>
  <c r="O176" i="29" s="1"/>
  <c r="N170" i="3" s="1"/>
  <c r="N176" i="29"/>
  <c r="V176" i="29"/>
  <c r="F176" i="29" s="1"/>
  <c r="B170" i="3" s="1"/>
  <c r="E176" i="29"/>
  <c r="Q176" i="29"/>
  <c r="AH176" i="29"/>
  <c r="R176" i="29" s="1"/>
  <c r="K170" i="3" s="1"/>
  <c r="G170" i="3"/>
  <c r="AR168" i="4"/>
  <c r="B480" i="7"/>
  <c r="L480" i="7" s="1"/>
  <c r="B252" i="7"/>
  <c r="AP168" i="4"/>
  <c r="D170" i="3"/>
  <c r="E170" i="3"/>
  <c r="C252" i="7"/>
  <c r="C480" i="7"/>
  <c r="H170" i="3"/>
  <c r="J171" i="3"/>
  <c r="AP150" i="4"/>
  <c r="D152" i="3"/>
  <c r="B234" i="7"/>
  <c r="L234" i="7" s="1"/>
  <c r="B233" i="7"/>
  <c r="L233" i="7" s="1"/>
  <c r="D151" i="3"/>
  <c r="AP149" i="4"/>
  <c r="F232" i="7"/>
  <c r="K228" i="30"/>
  <c r="O228" i="30" s="1"/>
  <c r="K227" i="30"/>
  <c r="O227" i="30" s="1"/>
  <c r="Z178" i="29"/>
  <c r="W178" i="29"/>
  <c r="P228" i="30"/>
  <c r="L177" i="29"/>
  <c r="K177" i="29"/>
  <c r="H159" i="29"/>
  <c r="T178" i="29"/>
  <c r="G177" i="29"/>
  <c r="AF178" i="29"/>
  <c r="I177" i="29"/>
  <c r="H177" i="29"/>
  <c r="H160" i="29"/>
  <c r="P227" i="30"/>
  <c r="J177" i="29"/>
  <c r="AC178" i="29"/>
  <c r="AH177" i="29" l="1"/>
  <c r="R177" i="29" s="1"/>
  <c r="K171" i="3" s="1"/>
  <c r="AD178" i="29"/>
  <c r="N178" i="29" s="1"/>
  <c r="M178" i="29"/>
  <c r="O172" i="3" s="1"/>
  <c r="A510" i="7"/>
  <c r="I171" i="3"/>
  <c r="AG178" i="29"/>
  <c r="Q178" i="29" s="1"/>
  <c r="P178" i="29"/>
  <c r="L172" i="3" s="1"/>
  <c r="F171" i="3"/>
  <c r="A279" i="7"/>
  <c r="D178" i="29"/>
  <c r="C172" i="3" s="1"/>
  <c r="U178" i="29"/>
  <c r="E178" i="29" s="1"/>
  <c r="X178" i="29"/>
  <c r="Y178" i="29" s="1"/>
  <c r="AA178" i="29"/>
  <c r="AB178" i="29" s="1"/>
  <c r="AV168" i="4"/>
  <c r="J170" i="3"/>
  <c r="A170" i="3"/>
  <c r="AN168" i="4"/>
  <c r="N177" i="29"/>
  <c r="AE177" i="29"/>
  <c r="O177" i="29" s="1"/>
  <c r="N171" i="3" s="1"/>
  <c r="AT168" i="4"/>
  <c r="M170" i="3"/>
  <c r="E177" i="29"/>
  <c r="V177" i="29"/>
  <c r="F177" i="29" s="1"/>
  <c r="B171" i="3" s="1"/>
  <c r="AR169" i="4"/>
  <c r="B388" i="7"/>
  <c r="L388" i="7" s="1"/>
  <c r="G171" i="3"/>
  <c r="C388" i="7"/>
  <c r="H171" i="3"/>
  <c r="AP169" i="4"/>
  <c r="B253" i="7"/>
  <c r="D171" i="3"/>
  <c r="C253" i="7"/>
  <c r="E171" i="3"/>
  <c r="AH178" i="29"/>
  <c r="R178" i="29" s="1"/>
  <c r="K172" i="3" s="1"/>
  <c r="E252" i="7"/>
  <c r="D252" i="7"/>
  <c r="G252" i="7"/>
  <c r="J252" i="7"/>
  <c r="H252" i="7"/>
  <c r="L252" i="7"/>
  <c r="K252" i="7"/>
  <c r="I252" i="7"/>
  <c r="AP152" i="4"/>
  <c r="B236" i="7"/>
  <c r="L236" i="7" s="1"/>
  <c r="D154" i="3"/>
  <c r="D153" i="3"/>
  <c r="B235" i="7"/>
  <c r="L235" i="7" s="1"/>
  <c r="AP151" i="4"/>
  <c r="I233" i="7"/>
  <c r="E233" i="7"/>
  <c r="D233" i="7"/>
  <c r="K233" i="7"/>
  <c r="G233" i="7"/>
  <c r="H233" i="7"/>
  <c r="J233" i="7"/>
  <c r="G234" i="7"/>
  <c r="I234" i="7"/>
  <c r="J234" i="7"/>
  <c r="D234" i="7"/>
  <c r="K234" i="7"/>
  <c r="H234" i="7"/>
  <c r="E234" i="7"/>
  <c r="K230" i="30"/>
  <c r="O230" i="30" s="1"/>
  <c r="K229" i="30"/>
  <c r="O229" i="30" s="1"/>
  <c r="T179" i="29"/>
  <c r="J178" i="29"/>
  <c r="AC179" i="29"/>
  <c r="G178" i="29"/>
  <c r="AF179" i="29"/>
  <c r="Z179" i="29"/>
  <c r="L178" i="29"/>
  <c r="K178" i="29"/>
  <c r="W179" i="29"/>
  <c r="H178" i="29"/>
  <c r="P229" i="30"/>
  <c r="I178" i="29"/>
  <c r="P230" i="30"/>
  <c r="V178" i="29" l="1"/>
  <c r="F178" i="29" s="1"/>
  <c r="B172" i="3" s="1"/>
  <c r="X179" i="29"/>
  <c r="AA179" i="29"/>
  <c r="AG179" i="29"/>
  <c r="P179" i="29"/>
  <c r="L173" i="3" s="1"/>
  <c r="F172" i="3"/>
  <c r="A280" i="7"/>
  <c r="AD179" i="29"/>
  <c r="M179" i="29"/>
  <c r="O173" i="3" s="1"/>
  <c r="I172" i="3"/>
  <c r="A511" i="7"/>
  <c r="D179" i="29"/>
  <c r="C173" i="3" s="1"/>
  <c r="U179" i="29"/>
  <c r="A171" i="3"/>
  <c r="AN169" i="4"/>
  <c r="AT169" i="4"/>
  <c r="M171" i="3"/>
  <c r="A172" i="3"/>
  <c r="AN170" i="4"/>
  <c r="AE178" i="29"/>
  <c r="O178" i="29" s="1"/>
  <c r="N172" i="3" s="1"/>
  <c r="AV170" i="4"/>
  <c r="J172" i="3"/>
  <c r="AT170" i="4"/>
  <c r="M172" i="3"/>
  <c r="F252" i="7"/>
  <c r="G172" i="3"/>
  <c r="B457" i="7"/>
  <c r="L457" i="7" s="1"/>
  <c r="AR170" i="4"/>
  <c r="C457" i="7"/>
  <c r="H172" i="3"/>
  <c r="B254" i="7"/>
  <c r="D172" i="3"/>
  <c r="AP170" i="4"/>
  <c r="E172" i="3"/>
  <c r="C254" i="7"/>
  <c r="Y179" i="29"/>
  <c r="AB179" i="29"/>
  <c r="H253" i="7"/>
  <c r="D253" i="7"/>
  <c r="I253" i="7"/>
  <c r="J253" i="7"/>
  <c r="E253" i="7"/>
  <c r="G253" i="7"/>
  <c r="L253" i="7"/>
  <c r="K253" i="7"/>
  <c r="F233" i="7"/>
  <c r="F234" i="7"/>
  <c r="W180" i="29"/>
  <c r="J179" i="29"/>
  <c r="AC180" i="29"/>
  <c r="T180" i="29"/>
  <c r="G179" i="29"/>
  <c r="K179" i="29"/>
  <c r="H179" i="29"/>
  <c r="Z180" i="29"/>
  <c r="AF180" i="29"/>
  <c r="L179" i="29"/>
  <c r="I179" i="29"/>
  <c r="H161" i="29"/>
  <c r="AG180" i="29" l="1"/>
  <c r="AH180" i="29" s="1"/>
  <c r="R180" i="29" s="1"/>
  <c r="K174" i="3" s="1"/>
  <c r="P180" i="29"/>
  <c r="L174" i="3" s="1"/>
  <c r="AA180" i="29"/>
  <c r="F173" i="3"/>
  <c r="A281" i="7"/>
  <c r="D180" i="29"/>
  <c r="C174" i="3" s="1"/>
  <c r="U180" i="29"/>
  <c r="M180" i="29"/>
  <c r="O174" i="3" s="1"/>
  <c r="AD180" i="29"/>
  <c r="A512" i="7"/>
  <c r="I173" i="3"/>
  <c r="X180" i="29"/>
  <c r="Y180" i="29" s="1"/>
  <c r="AE179" i="29"/>
  <c r="O179" i="29" s="1"/>
  <c r="N173" i="3" s="1"/>
  <c r="N179" i="29"/>
  <c r="E179" i="29"/>
  <c r="V179" i="29"/>
  <c r="F179" i="29" s="1"/>
  <c r="B173" i="3" s="1"/>
  <c r="AH179" i="29"/>
  <c r="R179" i="29" s="1"/>
  <c r="K173" i="3" s="1"/>
  <c r="Q179" i="29"/>
  <c r="H173" i="3"/>
  <c r="C467" i="7"/>
  <c r="C255" i="7"/>
  <c r="E173" i="3"/>
  <c r="D173" i="3"/>
  <c r="AP171" i="4"/>
  <c r="B255" i="7"/>
  <c r="L255" i="7" s="1"/>
  <c r="G173" i="3"/>
  <c r="AR171" i="4"/>
  <c r="B467" i="7"/>
  <c r="L467" i="7" s="1"/>
  <c r="F253" i="7"/>
  <c r="D254" i="7"/>
  <c r="E254" i="7"/>
  <c r="I254" i="7"/>
  <c r="K254" i="7"/>
  <c r="J254" i="7"/>
  <c r="G254" i="7"/>
  <c r="H254" i="7"/>
  <c r="L254" i="7"/>
  <c r="AB180" i="29"/>
  <c r="AP153" i="4"/>
  <c r="D155" i="3"/>
  <c r="B237" i="7"/>
  <c r="L237" i="7" s="1"/>
  <c r="K231" i="30"/>
  <c r="O231" i="30" s="1"/>
  <c r="Z181" i="29"/>
  <c r="K180" i="29"/>
  <c r="I180" i="29"/>
  <c r="P231" i="30"/>
  <c r="AF181" i="29"/>
  <c r="J180" i="29"/>
  <c r="AC181" i="29"/>
  <c r="W181" i="29"/>
  <c r="H162" i="29"/>
  <c r="L180" i="29"/>
  <c r="H180" i="29"/>
  <c r="T181" i="29"/>
  <c r="G180" i="29"/>
  <c r="Q180" i="29" l="1"/>
  <c r="F254" i="7"/>
  <c r="F174" i="3"/>
  <c r="A282" i="7"/>
  <c r="D181" i="29"/>
  <c r="C175" i="3" s="1"/>
  <c r="U181" i="29"/>
  <c r="X181" i="29"/>
  <c r="M181" i="29"/>
  <c r="O175" i="3" s="1"/>
  <c r="AD181" i="29"/>
  <c r="A513" i="7"/>
  <c r="I174" i="3"/>
  <c r="AG181" i="29"/>
  <c r="P181" i="29"/>
  <c r="L175" i="3" s="1"/>
  <c r="AA181" i="29"/>
  <c r="AB181" i="29" s="1"/>
  <c r="A173" i="3"/>
  <c r="AN171" i="4"/>
  <c r="V180" i="29"/>
  <c r="F180" i="29" s="1"/>
  <c r="B174" i="3" s="1"/>
  <c r="E180" i="29"/>
  <c r="J173" i="3"/>
  <c r="AV171" i="4"/>
  <c r="AT171" i="4"/>
  <c r="M173" i="3"/>
  <c r="AE180" i="29"/>
  <c r="O180" i="29" s="1"/>
  <c r="N174" i="3" s="1"/>
  <c r="N180" i="29"/>
  <c r="B424" i="7"/>
  <c r="L424" i="7" s="1"/>
  <c r="G174" i="3"/>
  <c r="AR172" i="4"/>
  <c r="B256" i="7"/>
  <c r="L256" i="7" s="1"/>
  <c r="D174" i="3"/>
  <c r="AP172" i="4"/>
  <c r="E174" i="3"/>
  <c r="C256" i="7"/>
  <c r="C424" i="7"/>
  <c r="H174" i="3"/>
  <c r="AV172" i="4"/>
  <c r="J174" i="3"/>
  <c r="Y181" i="29"/>
  <c r="B238" i="7"/>
  <c r="L238" i="7" s="1"/>
  <c r="AP154" i="4"/>
  <c r="D156" i="3"/>
  <c r="H237" i="7"/>
  <c r="D237" i="7"/>
  <c r="I237" i="7"/>
  <c r="K237" i="7"/>
  <c r="G237" i="7"/>
  <c r="E237" i="7"/>
  <c r="J237" i="7"/>
  <c r="K232" i="30"/>
  <c r="O232" i="30" s="1"/>
  <c r="T182" i="29"/>
  <c r="J181" i="29"/>
  <c r="W182" i="29"/>
  <c r="AC182" i="29"/>
  <c r="AF182" i="29"/>
  <c r="Z182" i="29"/>
  <c r="G181" i="29"/>
  <c r="K181" i="29"/>
  <c r="L181" i="29"/>
  <c r="I181" i="29"/>
  <c r="H181" i="29"/>
  <c r="P232" i="30"/>
  <c r="F175" i="3" l="1"/>
  <c r="A283" i="7"/>
  <c r="AA182" i="29"/>
  <c r="AB182" i="29" s="1"/>
  <c r="AG182" i="29"/>
  <c r="Q182" i="29" s="1"/>
  <c r="AV174" i="4" s="1"/>
  <c r="P182" i="29"/>
  <c r="L176" i="3" s="1"/>
  <c r="M182" i="29"/>
  <c r="O176" i="3" s="1"/>
  <c r="AD182" i="29"/>
  <c r="X182" i="29"/>
  <c r="Y182" i="29" s="1"/>
  <c r="A514" i="7"/>
  <c r="I175" i="3"/>
  <c r="D182" i="29"/>
  <c r="C176" i="3" s="1"/>
  <c r="U182" i="29"/>
  <c r="E182" i="29" s="1"/>
  <c r="A176" i="3" s="1"/>
  <c r="E181" i="29"/>
  <c r="V181" i="29"/>
  <c r="F181" i="29" s="1"/>
  <c r="B175" i="3" s="1"/>
  <c r="AN172" i="4"/>
  <c r="A174" i="3"/>
  <c r="AH181" i="29"/>
  <c r="R181" i="29" s="1"/>
  <c r="K175" i="3" s="1"/>
  <c r="Q181" i="29"/>
  <c r="AE181" i="29"/>
  <c r="O181" i="29" s="1"/>
  <c r="N175" i="3" s="1"/>
  <c r="N181" i="29"/>
  <c r="M174" i="3"/>
  <c r="AT172" i="4"/>
  <c r="AR173" i="4"/>
  <c r="B319" i="7"/>
  <c r="L319" i="7" s="1"/>
  <c r="G175" i="3"/>
  <c r="AP173" i="4"/>
  <c r="D175" i="3"/>
  <c r="B257" i="7"/>
  <c r="L257" i="7" s="1"/>
  <c r="C257" i="7"/>
  <c r="E175" i="3"/>
  <c r="C319" i="7"/>
  <c r="H175" i="3"/>
  <c r="F237" i="7"/>
  <c r="D238" i="7"/>
  <c r="G238" i="7"/>
  <c r="K238" i="7"/>
  <c r="J238" i="7"/>
  <c r="E238" i="7"/>
  <c r="H238" i="7"/>
  <c r="I238" i="7"/>
  <c r="J182" i="29"/>
  <c r="H182" i="29"/>
  <c r="H164" i="29"/>
  <c r="K182" i="29"/>
  <c r="G182" i="29"/>
  <c r="L182" i="29"/>
  <c r="H163" i="29"/>
  <c r="AC183" i="29"/>
  <c r="T183" i="29"/>
  <c r="Z183" i="29"/>
  <c r="AF183" i="29"/>
  <c r="W183" i="29"/>
  <c r="I182" i="29"/>
  <c r="AN174" i="4" l="1"/>
  <c r="AH182" i="29"/>
  <c r="R182" i="29" s="1"/>
  <c r="K176" i="3" s="1"/>
  <c r="V182" i="29"/>
  <c r="F182" i="29" s="1"/>
  <c r="B176" i="3" s="1"/>
  <c r="J176" i="3"/>
  <c r="X183" i="29"/>
  <c r="Y183" i="29" s="1"/>
  <c r="AG183" i="29"/>
  <c r="P183" i="29"/>
  <c r="L177" i="3" s="1"/>
  <c r="AA183" i="29"/>
  <c r="AB183" i="29" s="1"/>
  <c r="U183" i="29"/>
  <c r="D183" i="29"/>
  <c r="C177" i="3" s="1"/>
  <c r="AD183" i="29"/>
  <c r="N183" i="29" s="1"/>
  <c r="M183" i="29"/>
  <c r="O177" i="3" s="1"/>
  <c r="A284" i="7"/>
  <c r="F176" i="3"/>
  <c r="A515" i="7"/>
  <c r="I176" i="3"/>
  <c r="AN173" i="4"/>
  <c r="A175" i="3"/>
  <c r="AT173" i="4"/>
  <c r="M175" i="3"/>
  <c r="AE182" i="29"/>
  <c r="O182" i="29" s="1"/>
  <c r="N176" i="3" s="1"/>
  <c r="N182" i="29"/>
  <c r="AV173" i="4"/>
  <c r="J175" i="3"/>
  <c r="C258" i="7"/>
  <c r="E176" i="3"/>
  <c r="AR174" i="4"/>
  <c r="B429" i="7"/>
  <c r="L429" i="7" s="1"/>
  <c r="G176" i="3"/>
  <c r="C429" i="7"/>
  <c r="H176" i="3"/>
  <c r="AP174" i="4"/>
  <c r="B258" i="7"/>
  <c r="D176" i="3"/>
  <c r="AE183" i="29"/>
  <c r="O183" i="29" s="1"/>
  <c r="N177" i="3" s="1"/>
  <c r="B240" i="7"/>
  <c r="L240" i="7" s="1"/>
  <c r="D158" i="3"/>
  <c r="AP156" i="4"/>
  <c r="B239" i="7"/>
  <c r="L239" i="7" s="1"/>
  <c r="AP155" i="4"/>
  <c r="D157" i="3"/>
  <c r="F238" i="7"/>
  <c r="K234" i="30"/>
  <c r="O234" i="30" s="1"/>
  <c r="K233" i="30"/>
  <c r="O233" i="30" s="1"/>
  <c r="J183" i="29"/>
  <c r="I183" i="29"/>
  <c r="H166" i="29"/>
  <c r="G183" i="29"/>
  <c r="AF184" i="29"/>
  <c r="P233" i="30"/>
  <c r="H183" i="29"/>
  <c r="L183" i="29"/>
  <c r="H165" i="29"/>
  <c r="W184" i="29"/>
  <c r="Z184" i="29"/>
  <c r="AC184" i="29"/>
  <c r="T184" i="29"/>
  <c r="K183" i="29"/>
  <c r="P234" i="30"/>
  <c r="U184" i="29" l="1"/>
  <c r="D184" i="29"/>
  <c r="C178" i="3" s="1"/>
  <c r="AD184" i="29"/>
  <c r="M184" i="29"/>
  <c r="O178" i="3" s="1"/>
  <c r="AA184" i="29"/>
  <c r="K184" i="29" s="1"/>
  <c r="J184" i="29"/>
  <c r="X184" i="29"/>
  <c r="Y184" i="29" s="1"/>
  <c r="AG184" i="29"/>
  <c r="P184" i="29"/>
  <c r="L178" i="3" s="1"/>
  <c r="F177" i="3"/>
  <c r="A285" i="7"/>
  <c r="A516" i="7"/>
  <c r="I177" i="3"/>
  <c r="Q183" i="29"/>
  <c r="AH183" i="29"/>
  <c r="R183" i="29" s="1"/>
  <c r="K177" i="3" s="1"/>
  <c r="E183" i="29"/>
  <c r="V183" i="29"/>
  <c r="F183" i="29" s="1"/>
  <c r="B177" i="3" s="1"/>
  <c r="M176" i="3"/>
  <c r="AT174" i="4"/>
  <c r="E177" i="3"/>
  <c r="C259" i="7"/>
  <c r="G177" i="3"/>
  <c r="AR175" i="4"/>
  <c r="B484" i="7"/>
  <c r="L484" i="7" s="1"/>
  <c r="C484" i="7"/>
  <c r="H177" i="3"/>
  <c r="B259" i="7"/>
  <c r="AP175" i="4"/>
  <c r="D177" i="3"/>
  <c r="AT175" i="4"/>
  <c r="M177" i="3"/>
  <c r="L258" i="7"/>
  <c r="D258" i="7"/>
  <c r="K258" i="7"/>
  <c r="G258" i="7"/>
  <c r="J258" i="7"/>
  <c r="H258" i="7"/>
  <c r="E258" i="7"/>
  <c r="I258" i="7"/>
  <c r="AP157" i="4"/>
  <c r="B241" i="7"/>
  <c r="L241" i="7" s="1"/>
  <c r="D159" i="3"/>
  <c r="D160" i="3"/>
  <c r="B242" i="7"/>
  <c r="L242" i="7" s="1"/>
  <c r="AP158" i="4"/>
  <c r="K235" i="30"/>
  <c r="O235" i="30" s="1"/>
  <c r="K236" i="30"/>
  <c r="O236" i="30" s="1"/>
  <c r="E240" i="7"/>
  <c r="J240" i="7"/>
  <c r="D240" i="7"/>
  <c r="H240" i="7"/>
  <c r="G240" i="7"/>
  <c r="I240" i="7"/>
  <c r="K240" i="7"/>
  <c r="Z185" i="29"/>
  <c r="W185" i="29"/>
  <c r="P235" i="30"/>
  <c r="H184" i="29"/>
  <c r="I184" i="29"/>
  <c r="T185" i="29"/>
  <c r="AF185" i="29"/>
  <c r="AC185" i="29"/>
  <c r="G184" i="29"/>
  <c r="P236" i="30"/>
  <c r="AB184" i="29" l="1"/>
  <c r="L184" i="29" s="1"/>
  <c r="H178" i="3" s="1"/>
  <c r="F178" i="3"/>
  <c r="A286" i="7"/>
  <c r="AD185" i="29"/>
  <c r="M185" i="29"/>
  <c r="O179" i="3" s="1"/>
  <c r="P185" i="29"/>
  <c r="L179" i="3" s="1"/>
  <c r="AG185" i="29"/>
  <c r="U185" i="29"/>
  <c r="D185" i="29"/>
  <c r="C179" i="3" s="1"/>
  <c r="X185" i="29"/>
  <c r="AA185" i="29"/>
  <c r="J185" i="29"/>
  <c r="AV175" i="4"/>
  <c r="J177" i="3"/>
  <c r="A517" i="7"/>
  <c r="I178" i="3"/>
  <c r="AN175" i="4"/>
  <c r="A177" i="3"/>
  <c r="Q184" i="29"/>
  <c r="AH184" i="29"/>
  <c r="R184" i="29" s="1"/>
  <c r="K178" i="3" s="1"/>
  <c r="N184" i="29"/>
  <c r="AE184" i="29"/>
  <c r="O184" i="29" s="1"/>
  <c r="N178" i="3" s="1"/>
  <c r="V184" i="29"/>
  <c r="F184" i="29" s="1"/>
  <c r="B178" i="3" s="1"/>
  <c r="E184" i="29"/>
  <c r="C260" i="7"/>
  <c r="E178" i="3"/>
  <c r="AP176" i="4"/>
  <c r="B260" i="7"/>
  <c r="D178" i="3"/>
  <c r="E259" i="7"/>
  <c r="J259" i="7"/>
  <c r="I259" i="7"/>
  <c r="G259" i="7"/>
  <c r="K259" i="7"/>
  <c r="L259" i="7"/>
  <c r="D259" i="7"/>
  <c r="H259" i="7"/>
  <c r="Y185" i="29"/>
  <c r="AR176" i="4"/>
  <c r="B486" i="7"/>
  <c r="L486" i="7" s="1"/>
  <c r="G178" i="3"/>
  <c r="F258" i="7"/>
  <c r="F240" i="7"/>
  <c r="E241" i="7"/>
  <c r="D241" i="7"/>
  <c r="G241" i="7"/>
  <c r="J241" i="7"/>
  <c r="K241" i="7"/>
  <c r="I241" i="7"/>
  <c r="H241" i="7"/>
  <c r="I242" i="7"/>
  <c r="H242" i="7"/>
  <c r="J242" i="7"/>
  <c r="E242" i="7"/>
  <c r="G242" i="7"/>
  <c r="K242" i="7"/>
  <c r="D242" i="7"/>
  <c r="G185" i="29"/>
  <c r="Z186" i="29"/>
  <c r="AC186" i="29"/>
  <c r="AF186" i="29"/>
  <c r="T186" i="29"/>
  <c r="W186" i="29"/>
  <c r="I185" i="29"/>
  <c r="H185" i="29"/>
  <c r="H167" i="29"/>
  <c r="H168" i="29"/>
  <c r="C486" i="7" l="1"/>
  <c r="F259" i="7"/>
  <c r="X186" i="29"/>
  <c r="D186" i="29"/>
  <c r="C180" i="3" s="1"/>
  <c r="U186" i="29"/>
  <c r="P186" i="29"/>
  <c r="L180" i="3" s="1"/>
  <c r="AG186" i="29"/>
  <c r="M186" i="29"/>
  <c r="O180" i="3" s="1"/>
  <c r="AD186" i="29"/>
  <c r="J186" i="29"/>
  <c r="AA186" i="29"/>
  <c r="A287" i="7"/>
  <c r="F179" i="3"/>
  <c r="J178" i="3"/>
  <c r="AV176" i="4"/>
  <c r="A518" i="7"/>
  <c r="I179" i="3"/>
  <c r="Q185" i="29"/>
  <c r="AH185" i="29"/>
  <c r="R185" i="29" s="1"/>
  <c r="K179" i="3" s="1"/>
  <c r="N185" i="29"/>
  <c r="AE185" i="29"/>
  <c r="O185" i="29" s="1"/>
  <c r="N179" i="3" s="1"/>
  <c r="AB185" i="29"/>
  <c r="L185" i="29" s="1"/>
  <c r="K185" i="29"/>
  <c r="AT176" i="4"/>
  <c r="M178" i="3"/>
  <c r="AN176" i="4"/>
  <c r="A178" i="3"/>
  <c r="E185" i="29"/>
  <c r="V185" i="29"/>
  <c r="F185" i="29" s="1"/>
  <c r="B179" i="3" s="1"/>
  <c r="B261" i="7"/>
  <c r="D179" i="3"/>
  <c r="AP177" i="4"/>
  <c r="E179" i="3"/>
  <c r="C261" i="7"/>
  <c r="J260" i="7"/>
  <c r="D260" i="7"/>
  <c r="E260" i="7"/>
  <c r="K260" i="7"/>
  <c r="I260" i="7"/>
  <c r="H260" i="7"/>
  <c r="L260" i="7"/>
  <c r="G260" i="7"/>
  <c r="Y186" i="29"/>
  <c r="F241" i="7"/>
  <c r="F242" i="7"/>
  <c r="AP159" i="4"/>
  <c r="D161" i="3"/>
  <c r="B243" i="7"/>
  <c r="L243" i="7" s="1"/>
  <c r="AP160" i="4"/>
  <c r="D162" i="3"/>
  <c r="B244" i="7"/>
  <c r="L244" i="7" s="1"/>
  <c r="K237" i="30"/>
  <c r="O237" i="30" s="1"/>
  <c r="K238" i="30"/>
  <c r="O238" i="30" s="1"/>
  <c r="W187" i="29"/>
  <c r="T187" i="29"/>
  <c r="P237" i="30"/>
  <c r="P238" i="30"/>
  <c r="G186" i="29"/>
  <c r="Z187" i="29"/>
  <c r="AF187" i="29"/>
  <c r="H186" i="29"/>
  <c r="AC187" i="29"/>
  <c r="I186" i="29"/>
  <c r="M187" i="29" l="1"/>
  <c r="O181" i="3" s="1"/>
  <c r="AD187" i="29"/>
  <c r="AG187" i="29"/>
  <c r="P187" i="29"/>
  <c r="L181" i="3" s="1"/>
  <c r="AA187" i="29"/>
  <c r="J187" i="29"/>
  <c r="A288" i="7"/>
  <c r="F180" i="3"/>
  <c r="U187" i="29"/>
  <c r="D187" i="29"/>
  <c r="C181" i="3" s="1"/>
  <c r="X187" i="29"/>
  <c r="A179" i="3"/>
  <c r="AN177" i="4"/>
  <c r="AT177" i="4"/>
  <c r="M179" i="3"/>
  <c r="AR177" i="4"/>
  <c r="G179" i="3"/>
  <c r="B487" i="7"/>
  <c r="L487" i="7" s="1"/>
  <c r="AB186" i="29"/>
  <c r="L186" i="29" s="1"/>
  <c r="K186" i="29"/>
  <c r="N186" i="29"/>
  <c r="AE186" i="29"/>
  <c r="O186" i="29" s="1"/>
  <c r="N180" i="3" s="1"/>
  <c r="C487" i="7"/>
  <c r="H179" i="3"/>
  <c r="AV177" i="4"/>
  <c r="J179" i="3"/>
  <c r="E186" i="29"/>
  <c r="V186" i="29"/>
  <c r="F186" i="29" s="1"/>
  <c r="B180" i="3" s="1"/>
  <c r="I180" i="3"/>
  <c r="A519" i="7"/>
  <c r="Q186" i="29"/>
  <c r="AH186" i="29"/>
  <c r="R186" i="29" s="1"/>
  <c r="K180" i="3" s="1"/>
  <c r="B262" i="7"/>
  <c r="L262" i="7" s="1"/>
  <c r="D180" i="3"/>
  <c r="AP178" i="4"/>
  <c r="E180" i="3"/>
  <c r="C262" i="7"/>
  <c r="F260" i="7"/>
  <c r="Y187" i="29"/>
  <c r="D261" i="7"/>
  <c r="H261" i="7"/>
  <c r="J261" i="7"/>
  <c r="L261" i="7"/>
  <c r="E261" i="7"/>
  <c r="K261" i="7"/>
  <c r="G244" i="7"/>
  <c r="J244" i="7"/>
  <c r="D244" i="7"/>
  <c r="H244" i="7"/>
  <c r="I244" i="7"/>
  <c r="K244" i="7"/>
  <c r="E244" i="7"/>
  <c r="AC188" i="29"/>
  <c r="AF188" i="29"/>
  <c r="T188" i="29"/>
  <c r="W188" i="29"/>
  <c r="H187" i="29"/>
  <c r="H169" i="29"/>
  <c r="I187" i="29"/>
  <c r="Z188" i="29"/>
  <c r="G187" i="29"/>
  <c r="A289" i="7" l="1"/>
  <c r="F181" i="3"/>
  <c r="AA188" i="29"/>
  <c r="J188" i="29"/>
  <c r="X188" i="29"/>
  <c r="U188" i="29"/>
  <c r="D188" i="29"/>
  <c r="C182" i="3" s="1"/>
  <c r="AG188" i="29"/>
  <c r="P188" i="29"/>
  <c r="L182" i="3" s="1"/>
  <c r="M188" i="29"/>
  <c r="O182" i="3" s="1"/>
  <c r="AD188" i="29"/>
  <c r="V187" i="29"/>
  <c r="F187" i="29" s="1"/>
  <c r="B181" i="3" s="1"/>
  <c r="E187" i="29"/>
  <c r="Q187" i="29"/>
  <c r="AH187" i="29"/>
  <c r="R187" i="29" s="1"/>
  <c r="K181" i="3" s="1"/>
  <c r="AT178" i="4"/>
  <c r="M180" i="3"/>
  <c r="K187" i="29"/>
  <c r="AB187" i="29"/>
  <c r="L187" i="29" s="1"/>
  <c r="N187" i="29"/>
  <c r="AE187" i="29"/>
  <c r="O187" i="29" s="1"/>
  <c r="N181" i="3" s="1"/>
  <c r="AR178" i="4"/>
  <c r="B488" i="7"/>
  <c r="L488" i="7" s="1"/>
  <c r="G180" i="3"/>
  <c r="AV178" i="4"/>
  <c r="J180" i="3"/>
  <c r="AN178" i="4"/>
  <c r="A180" i="3"/>
  <c r="H180" i="3"/>
  <c r="C488" i="7"/>
  <c r="A520" i="7"/>
  <c r="I181" i="3"/>
  <c r="E181" i="3"/>
  <c r="C263" i="7"/>
  <c r="AP179" i="4"/>
  <c r="D181" i="3"/>
  <c r="B263" i="7"/>
  <c r="L263" i="7" s="1"/>
  <c r="F261" i="7"/>
  <c r="Y188" i="29"/>
  <c r="D163" i="3"/>
  <c r="B245" i="7"/>
  <c r="L245" i="7" s="1"/>
  <c r="AP161" i="4"/>
  <c r="F244" i="7"/>
  <c r="K239" i="30"/>
  <c r="AF189" i="29"/>
  <c r="AC189" i="29"/>
  <c r="G188" i="29"/>
  <c r="T189" i="29"/>
  <c r="I188" i="29"/>
  <c r="Z189" i="29"/>
  <c r="W189" i="29"/>
  <c r="H188" i="29"/>
  <c r="X189" i="29" l="1"/>
  <c r="Y189" i="29" s="1"/>
  <c r="AA189" i="29"/>
  <c r="J189" i="29"/>
  <c r="U189" i="29"/>
  <c r="D189" i="29"/>
  <c r="C183" i="3" s="1"/>
  <c r="A290" i="7"/>
  <c r="F182" i="3"/>
  <c r="M189" i="29"/>
  <c r="O183" i="3" s="1"/>
  <c r="AD189" i="29"/>
  <c r="AG189" i="29"/>
  <c r="P189" i="29"/>
  <c r="L183" i="3" s="1"/>
  <c r="B489" i="7"/>
  <c r="L489" i="7" s="1"/>
  <c r="G181" i="3"/>
  <c r="AR179" i="4"/>
  <c r="J181" i="3"/>
  <c r="AV179" i="4"/>
  <c r="N188" i="29"/>
  <c r="AE188" i="29"/>
  <c r="O188" i="29" s="1"/>
  <c r="N182" i="3" s="1"/>
  <c r="Q188" i="29"/>
  <c r="AH188" i="29"/>
  <c r="R188" i="29" s="1"/>
  <c r="K182" i="3" s="1"/>
  <c r="A181" i="3"/>
  <c r="AN179" i="4"/>
  <c r="K188" i="29"/>
  <c r="AB188" i="29"/>
  <c r="L188" i="29" s="1"/>
  <c r="AT179" i="4"/>
  <c r="M181" i="3"/>
  <c r="C489" i="7"/>
  <c r="H181" i="3"/>
  <c r="E188" i="29"/>
  <c r="V188" i="29"/>
  <c r="F188" i="29" s="1"/>
  <c r="B182" i="3" s="1"/>
  <c r="A521" i="7"/>
  <c r="I182" i="3"/>
  <c r="E182" i="3"/>
  <c r="C264" i="7"/>
  <c r="B264" i="7"/>
  <c r="D182" i="3"/>
  <c r="AP180" i="4"/>
  <c r="H245" i="7"/>
  <c r="I245" i="7"/>
  <c r="K245" i="7"/>
  <c r="G245" i="7"/>
  <c r="J245" i="7"/>
  <c r="D245" i="7"/>
  <c r="E245" i="7"/>
  <c r="O239" i="30"/>
  <c r="D230" i="30"/>
  <c r="D94" i="30"/>
  <c r="C139" i="30"/>
  <c r="D73" i="30"/>
  <c r="D155" i="30"/>
  <c r="D104" i="30"/>
  <c r="D173" i="30"/>
  <c r="C68" i="30"/>
  <c r="C178" i="30"/>
  <c r="C168" i="30"/>
  <c r="D97" i="30"/>
  <c r="C256" i="30"/>
  <c r="C196" i="30"/>
  <c r="D166" i="30"/>
  <c r="C166" i="30"/>
  <c r="D244" i="30"/>
  <c r="D53" i="30"/>
  <c r="C144" i="30"/>
  <c r="D90" i="30"/>
  <c r="C182" i="30"/>
  <c r="C157" i="30"/>
  <c r="D231" i="30"/>
  <c r="D128" i="30"/>
  <c r="C43" i="30"/>
  <c r="C251" i="30"/>
  <c r="D35" i="30"/>
  <c r="C61" i="30"/>
  <c r="C248" i="30"/>
  <c r="C226" i="30"/>
  <c r="C114" i="30"/>
  <c r="C96" i="30"/>
  <c r="D152" i="30"/>
  <c r="D183" i="30"/>
  <c r="C101" i="30"/>
  <c r="D69" i="30"/>
  <c r="C173" i="30"/>
  <c r="C189" i="30"/>
  <c r="D109" i="30"/>
  <c r="C23" i="30"/>
  <c r="C85" i="30"/>
  <c r="D81" i="30"/>
  <c r="D135" i="30"/>
  <c r="D246" i="30"/>
  <c r="C223" i="30"/>
  <c r="D202" i="30"/>
  <c r="C214" i="30"/>
  <c r="D177" i="30"/>
  <c r="D49" i="30"/>
  <c r="C73" i="30"/>
  <c r="D238" i="30"/>
  <c r="C53" i="30"/>
  <c r="C143" i="30"/>
  <c r="D227" i="30"/>
  <c r="C228" i="30"/>
  <c r="C199" i="30"/>
  <c r="D186" i="30"/>
  <c r="C98" i="30"/>
  <c r="C147" i="30"/>
  <c r="D42" i="30"/>
  <c r="D225" i="30"/>
  <c r="C241" i="30"/>
  <c r="D21" i="30"/>
  <c r="C243" i="30"/>
  <c r="D156" i="30"/>
  <c r="D115" i="30"/>
  <c r="C112" i="30"/>
  <c r="C258" i="30"/>
  <c r="D75" i="30"/>
  <c r="D250" i="30"/>
  <c r="D266" i="30"/>
  <c r="C255" i="30"/>
  <c r="C121" i="30"/>
  <c r="C195" i="30"/>
  <c r="C170" i="30"/>
  <c r="D169" i="30"/>
  <c r="D170" i="30"/>
  <c r="D180" i="30"/>
  <c r="C113" i="30"/>
  <c r="D268" i="30"/>
  <c r="C29" i="30"/>
  <c r="D174" i="30"/>
  <c r="C34" i="30"/>
  <c r="D102" i="30"/>
  <c r="C177" i="30"/>
  <c r="D261" i="30"/>
  <c r="C36" i="30"/>
  <c r="C186" i="30"/>
  <c r="D93" i="30"/>
  <c r="D25" i="30"/>
  <c r="C142" i="30"/>
  <c r="D165" i="30"/>
  <c r="D116" i="30"/>
  <c r="D85" i="30"/>
  <c r="D218" i="30"/>
  <c r="D44" i="30"/>
  <c r="D255" i="30"/>
  <c r="D163" i="30"/>
  <c r="C149" i="30"/>
  <c r="C218" i="30"/>
  <c r="C261" i="30"/>
  <c r="C184" i="30"/>
  <c r="D99" i="30"/>
  <c r="D71" i="30"/>
  <c r="D55" i="30"/>
  <c r="C94" i="30"/>
  <c r="D95" i="30"/>
  <c r="D103" i="30"/>
  <c r="C204" i="30"/>
  <c r="C32" i="30"/>
  <c r="C246" i="30"/>
  <c r="D223" i="30"/>
  <c r="C145" i="30"/>
  <c r="C176" i="30"/>
  <c r="D226" i="30"/>
  <c r="D58" i="30"/>
  <c r="C106" i="30"/>
  <c r="C67" i="30"/>
  <c r="C210" i="30"/>
  <c r="C69" i="30"/>
  <c r="D150" i="30"/>
  <c r="D67" i="30"/>
  <c r="C87" i="30"/>
  <c r="C233" i="30"/>
  <c r="D117" i="30"/>
  <c r="D258" i="30"/>
  <c r="D37" i="30"/>
  <c r="D144" i="30"/>
  <c r="C124" i="30"/>
  <c r="C171" i="30"/>
  <c r="D204" i="30"/>
  <c r="C128" i="30"/>
  <c r="C63" i="30"/>
  <c r="D237" i="30"/>
  <c r="C201" i="30"/>
  <c r="D31" i="30"/>
  <c r="C260" i="30"/>
  <c r="C138" i="30"/>
  <c r="D28" i="30"/>
  <c r="D157" i="30"/>
  <c r="C240" i="30"/>
  <c r="D146" i="30"/>
  <c r="D167" i="30"/>
  <c r="D149" i="30"/>
  <c r="D60" i="30"/>
  <c r="D161" i="30"/>
  <c r="C206" i="30"/>
  <c r="D247" i="30"/>
  <c r="D160" i="30"/>
  <c r="D92" i="30"/>
  <c r="D254" i="30"/>
  <c r="D62" i="30"/>
  <c r="C135" i="30"/>
  <c r="D27" i="30"/>
  <c r="C185" i="30"/>
  <c r="C52" i="30"/>
  <c r="D211" i="30"/>
  <c r="D140" i="30"/>
  <c r="C227" i="30"/>
  <c r="D159" i="30"/>
  <c r="D147" i="30"/>
  <c r="C107" i="30"/>
  <c r="D168" i="30"/>
  <c r="C57" i="30"/>
  <c r="D229" i="30"/>
  <c r="C92" i="30"/>
  <c r="D200" i="30"/>
  <c r="D184" i="30"/>
  <c r="C254" i="30"/>
  <c r="C146" i="30"/>
  <c r="D203" i="30"/>
  <c r="D196" i="30"/>
  <c r="D106" i="30"/>
  <c r="C163" i="30"/>
  <c r="D125" i="30"/>
  <c r="D51" i="30"/>
  <c r="C77" i="30"/>
  <c r="C27" i="30"/>
  <c r="C42" i="30"/>
  <c r="D179" i="30"/>
  <c r="C140" i="30"/>
  <c r="C37" i="30"/>
  <c r="D130" i="30"/>
  <c r="C95" i="30"/>
  <c r="C239" i="30"/>
  <c r="D220" i="30"/>
  <c r="C213" i="30"/>
  <c r="C160" i="30"/>
  <c r="C91" i="30"/>
  <c r="C122" i="30"/>
  <c r="C252" i="30"/>
  <c r="C111" i="30"/>
  <c r="D216" i="30"/>
  <c r="C100" i="30"/>
  <c r="C33" i="30"/>
  <c r="D89" i="30"/>
  <c r="C221" i="30"/>
  <c r="C133" i="30"/>
  <c r="D68" i="30"/>
  <c r="D153" i="30"/>
  <c r="D76" i="30"/>
  <c r="C21" i="30"/>
  <c r="C30" i="30"/>
  <c r="D113" i="30"/>
  <c r="D269" i="30"/>
  <c r="D79" i="30"/>
  <c r="C190" i="30"/>
  <c r="D243" i="30"/>
  <c r="D41" i="30"/>
  <c r="C235" i="30"/>
  <c r="C231" i="30"/>
  <c r="C158" i="30"/>
  <c r="C50" i="30"/>
  <c r="C80" i="30"/>
  <c r="C263" i="30"/>
  <c r="D142" i="30"/>
  <c r="C56" i="30"/>
  <c r="C167" i="30"/>
  <c r="C175" i="30"/>
  <c r="C266" i="30"/>
  <c r="D257" i="30"/>
  <c r="C245" i="30"/>
  <c r="C70" i="30"/>
  <c r="D260" i="30"/>
  <c r="D263" i="30"/>
  <c r="D189" i="30"/>
  <c r="C49" i="30"/>
  <c r="C24" i="30"/>
  <c r="C148" i="30"/>
  <c r="D30" i="30"/>
  <c r="C136" i="30"/>
  <c r="C41" i="30"/>
  <c r="C236" i="30"/>
  <c r="C62" i="30"/>
  <c r="D114" i="30"/>
  <c r="D98" i="30"/>
  <c r="D54" i="30"/>
  <c r="D29" i="30"/>
  <c r="D77" i="30"/>
  <c r="D133" i="30"/>
  <c r="C137" i="30"/>
  <c r="D235" i="30"/>
  <c r="C93" i="30"/>
  <c r="C86" i="30"/>
  <c r="D239" i="30"/>
  <c r="D213" i="30"/>
  <c r="C219" i="30"/>
  <c r="D187" i="30"/>
  <c r="C250" i="30"/>
  <c r="C211" i="30"/>
  <c r="D207" i="30"/>
  <c r="C59" i="30"/>
  <c r="C44" i="30"/>
  <c r="C72" i="30"/>
  <c r="C232" i="30"/>
  <c r="D87" i="30"/>
  <c r="C105" i="30"/>
  <c r="C71" i="30"/>
  <c r="C38" i="30"/>
  <c r="C262" i="30"/>
  <c r="C180" i="30"/>
  <c r="C120" i="30"/>
  <c r="C247" i="30"/>
  <c r="D34" i="30"/>
  <c r="C203" i="30"/>
  <c r="D126" i="30"/>
  <c r="D228" i="30"/>
  <c r="C76" i="30"/>
  <c r="D138" i="30"/>
  <c r="D127" i="30"/>
  <c r="D107" i="30"/>
  <c r="C267" i="30"/>
  <c r="C35" i="30"/>
  <c r="C268" i="30"/>
  <c r="D88" i="30"/>
  <c r="C84" i="30"/>
  <c r="C264" i="30"/>
  <c r="D108" i="30"/>
  <c r="D210" i="30"/>
  <c r="C200" i="30"/>
  <c r="D253" i="30"/>
  <c r="C159" i="30"/>
  <c r="C153" i="30"/>
  <c r="D20" i="30"/>
  <c r="D242" i="30"/>
  <c r="C161" i="30"/>
  <c r="C269" i="30"/>
  <c r="D39" i="30"/>
  <c r="C202" i="30"/>
  <c r="D151" i="30"/>
  <c r="D195" i="30"/>
  <c r="D178" i="30"/>
  <c r="C99" i="30"/>
  <c r="C22" i="30"/>
  <c r="D222" i="30"/>
  <c r="C183" i="30"/>
  <c r="C156" i="30"/>
  <c r="D162" i="30"/>
  <c r="D221" i="30"/>
  <c r="D86" i="30"/>
  <c r="D201" i="30"/>
  <c r="C229" i="30"/>
  <c r="D240" i="30"/>
  <c r="D145" i="30"/>
  <c r="D148" i="30"/>
  <c r="C141" i="30"/>
  <c r="D181" i="30"/>
  <c r="C209" i="30"/>
  <c r="D100" i="30"/>
  <c r="D265" i="30"/>
  <c r="D22" i="30"/>
  <c r="C193" i="30"/>
  <c r="D78" i="30"/>
  <c r="D23" i="30"/>
  <c r="C58" i="30"/>
  <c r="C155" i="30"/>
  <c r="C20" i="30"/>
  <c r="D219" i="30"/>
  <c r="E15" i="30"/>
  <c r="C82" i="30"/>
  <c r="C46" i="30"/>
  <c r="C207" i="30"/>
  <c r="C192" i="30"/>
  <c r="C222" i="30"/>
  <c r="D193" i="30"/>
  <c r="C125" i="30"/>
  <c r="C131" i="30"/>
  <c r="C126" i="30"/>
  <c r="D105" i="30"/>
  <c r="D248" i="30"/>
  <c r="C26" i="30"/>
  <c r="D122" i="30"/>
  <c r="C179" i="30"/>
  <c r="C75" i="30"/>
  <c r="D158" i="30"/>
  <c r="C238" i="30"/>
  <c r="D172" i="30"/>
  <c r="C130" i="30"/>
  <c r="D70" i="30"/>
  <c r="D199" i="30"/>
  <c r="D141" i="30"/>
  <c r="D26" i="30"/>
  <c r="C212" i="30"/>
  <c r="D236" i="30"/>
  <c r="D57" i="30"/>
  <c r="C197" i="30"/>
  <c r="C31" i="30"/>
  <c r="D232" i="30"/>
  <c r="D212" i="30"/>
  <c r="C152" i="30"/>
  <c r="D101" i="30"/>
  <c r="D110" i="30"/>
  <c r="D112" i="30"/>
  <c r="D209" i="30"/>
  <c r="C40" i="30"/>
  <c r="D245" i="30"/>
  <c r="D134" i="30"/>
  <c r="D176" i="30"/>
  <c r="D50" i="30"/>
  <c r="C208" i="30"/>
  <c r="C90" i="30"/>
  <c r="D136" i="30"/>
  <c r="D82" i="30"/>
  <c r="C39" i="30"/>
  <c r="D217" i="30"/>
  <c r="D123" i="30"/>
  <c r="C253" i="30"/>
  <c r="C103" i="30"/>
  <c r="D45" i="30"/>
  <c r="D96" i="30"/>
  <c r="D119" i="30"/>
  <c r="D175" i="30"/>
  <c r="D252" i="30"/>
  <c r="D80" i="30"/>
  <c r="D32" i="30"/>
  <c r="D66" i="30"/>
  <c r="C172" i="30"/>
  <c r="C60" i="30"/>
  <c r="C48" i="30"/>
  <c r="C257" i="30"/>
  <c r="D72" i="30"/>
  <c r="D249" i="30"/>
  <c r="C215" i="30"/>
  <c r="D215" i="30"/>
  <c r="C118" i="30"/>
  <c r="C47" i="30"/>
  <c r="D52" i="30"/>
  <c r="D15" i="30"/>
  <c r="D154" i="30"/>
  <c r="D64" i="30"/>
  <c r="D198" i="30"/>
  <c r="D182" i="30"/>
  <c r="D111" i="30"/>
  <c r="C217" i="30"/>
  <c r="D129" i="30"/>
  <c r="C181" i="30"/>
  <c r="C134" i="30"/>
  <c r="C174" i="30"/>
  <c r="D208" i="30"/>
  <c r="D132" i="30"/>
  <c r="C244" i="30"/>
  <c r="D256" i="30"/>
  <c r="D131" i="30"/>
  <c r="D188" i="30"/>
  <c r="C51" i="30"/>
  <c r="C150" i="30"/>
  <c r="D48" i="30"/>
  <c r="C66" i="30"/>
  <c r="C109" i="30"/>
  <c r="C234" i="30"/>
  <c r="C64" i="30"/>
  <c r="C78" i="30"/>
  <c r="C55" i="30"/>
  <c r="C129" i="30"/>
  <c r="D61" i="30"/>
  <c r="C191" i="30"/>
  <c r="D191" i="30"/>
  <c r="D143" i="30"/>
  <c r="C89" i="30"/>
  <c r="C81" i="30"/>
  <c r="C220" i="30"/>
  <c r="C25" i="30"/>
  <c r="D139" i="30"/>
  <c r="C259" i="30"/>
  <c r="C237" i="30"/>
  <c r="C110" i="30"/>
  <c r="C74" i="30"/>
  <c r="D47" i="30"/>
  <c r="C187" i="30"/>
  <c r="D190" i="30"/>
  <c r="D264" i="30"/>
  <c r="D262" i="30"/>
  <c r="D74" i="30"/>
  <c r="D206" i="30"/>
  <c r="C224" i="30"/>
  <c r="D46" i="30"/>
  <c r="C188" i="30"/>
  <c r="C108" i="30"/>
  <c r="C104" i="30"/>
  <c r="C249" i="30"/>
  <c r="C154" i="30"/>
  <c r="D197" i="30"/>
  <c r="C79" i="30"/>
  <c r="C83" i="30"/>
  <c r="D84" i="30"/>
  <c r="C265" i="30"/>
  <c r="D171" i="30"/>
  <c r="D224" i="30"/>
  <c r="D24" i="30"/>
  <c r="D91" i="30"/>
  <c r="D234" i="30"/>
  <c r="C165" i="30"/>
  <c r="D59" i="30"/>
  <c r="C169" i="30"/>
  <c r="C119" i="30"/>
  <c r="D205" i="30"/>
  <c r="C132" i="30"/>
  <c r="C116" i="30"/>
  <c r="C225" i="30"/>
  <c r="D214" i="30"/>
  <c r="D38" i="30"/>
  <c r="D36" i="30"/>
  <c r="C242" i="30"/>
  <c r="C28" i="30"/>
  <c r="D63" i="30"/>
  <c r="D121" i="30"/>
  <c r="C162" i="30"/>
  <c r="D40" i="30"/>
  <c r="D43" i="30"/>
  <c r="C123" i="30"/>
  <c r="D137" i="30"/>
  <c r="C102" i="30"/>
  <c r="D124" i="30"/>
  <c r="C198" i="30"/>
  <c r="D185" i="30"/>
  <c r="C205" i="30"/>
  <c r="C194" i="30"/>
  <c r="C216" i="30"/>
  <c r="C151" i="30"/>
  <c r="C65" i="30"/>
  <c r="D118" i="30"/>
  <c r="D83" i="30"/>
  <c r="C88" i="30"/>
  <c r="D192" i="30"/>
  <c r="D33" i="30"/>
  <c r="D56" i="30"/>
  <c r="D251" i="30"/>
  <c r="C115" i="30"/>
  <c r="C45" i="30"/>
  <c r="C117" i="30"/>
  <c r="D267" i="30"/>
  <c r="C54" i="30"/>
  <c r="C230" i="30"/>
  <c r="D120" i="30"/>
  <c r="C127" i="30"/>
  <c r="D194" i="30"/>
  <c r="D241" i="30"/>
  <c r="C97" i="30"/>
  <c r="D233" i="30"/>
  <c r="D259" i="30"/>
  <c r="D65" i="30"/>
  <c r="I441" i="30"/>
  <c r="I90" i="30"/>
  <c r="P523" i="30"/>
  <c r="P329" i="30"/>
  <c r="P507" i="30"/>
  <c r="P343" i="30"/>
  <c r="I238" i="30"/>
  <c r="P365" i="30"/>
  <c r="I480" i="30"/>
  <c r="I601" i="30"/>
  <c r="P670" i="30"/>
  <c r="I424" i="30"/>
  <c r="P580" i="30"/>
  <c r="I228" i="30"/>
  <c r="I440" i="30"/>
  <c r="P663" i="30"/>
  <c r="I529" i="30"/>
  <c r="P419" i="30"/>
  <c r="P659" i="30"/>
  <c r="P358" i="30"/>
  <c r="I72" i="30"/>
  <c r="I401" i="30"/>
  <c r="I199" i="30"/>
  <c r="I84" i="30"/>
  <c r="P716" i="30"/>
  <c r="P684" i="30"/>
  <c r="I374" i="30"/>
  <c r="P554" i="30"/>
  <c r="P537" i="30"/>
  <c r="P569" i="30"/>
  <c r="P591" i="30"/>
  <c r="I471" i="30"/>
  <c r="I597" i="30"/>
  <c r="I626" i="30"/>
  <c r="P691" i="30"/>
  <c r="P320" i="30"/>
  <c r="P648" i="30"/>
  <c r="P301" i="30"/>
  <c r="P518" i="30"/>
  <c r="I296" i="30"/>
  <c r="I449" i="30"/>
  <c r="P541" i="30"/>
  <c r="I67" i="30"/>
  <c r="I344" i="30"/>
  <c r="P598" i="30"/>
  <c r="P471" i="30"/>
  <c r="P719" i="30"/>
  <c r="I445" i="30"/>
  <c r="I711" i="30"/>
  <c r="I666" i="30"/>
  <c r="I484" i="30"/>
  <c r="I95" i="30"/>
  <c r="I515" i="30"/>
  <c r="P584" i="30"/>
  <c r="I551" i="30"/>
  <c r="P689" i="30"/>
  <c r="P516" i="30"/>
  <c r="I709" i="30"/>
  <c r="I557" i="30"/>
  <c r="I340" i="30"/>
  <c r="I217" i="30"/>
  <c r="I361" i="30"/>
  <c r="P273" i="30"/>
  <c r="I177" i="30"/>
  <c r="I352" i="30"/>
  <c r="I412" i="30"/>
  <c r="I610" i="30"/>
  <c r="I634" i="30"/>
  <c r="I589" i="30"/>
  <c r="P503" i="30"/>
  <c r="I630" i="30"/>
  <c r="I341" i="30"/>
  <c r="I281" i="30"/>
  <c r="I115" i="30"/>
  <c r="P547" i="30"/>
  <c r="P386" i="30"/>
  <c r="P678" i="30"/>
  <c r="P544" i="30"/>
  <c r="I703" i="30"/>
  <c r="P654" i="30"/>
  <c r="P700" i="30"/>
  <c r="I323" i="30"/>
  <c r="I676" i="30"/>
  <c r="I139" i="30"/>
  <c r="I131" i="30"/>
  <c r="I556" i="30"/>
  <c r="P589" i="30"/>
  <c r="P446" i="30"/>
  <c r="I622" i="30"/>
  <c r="I239" i="30"/>
  <c r="I234" i="30"/>
  <c r="P581" i="30"/>
  <c r="I126" i="30"/>
  <c r="I439" i="30"/>
  <c r="I78" i="30"/>
  <c r="I21" i="30"/>
  <c r="P620" i="30"/>
  <c r="P492" i="30"/>
  <c r="I523" i="30"/>
  <c r="I348" i="30"/>
  <c r="P625" i="30"/>
  <c r="I531" i="30"/>
  <c r="P635" i="30"/>
  <c r="P528" i="30"/>
  <c r="I303" i="30"/>
  <c r="I558" i="30"/>
  <c r="P481" i="30"/>
  <c r="I154" i="30"/>
  <c r="P545" i="30"/>
  <c r="I619" i="30"/>
  <c r="I105" i="30"/>
  <c r="I120" i="30"/>
  <c r="I282" i="30"/>
  <c r="P510" i="30"/>
  <c r="P267" i="30"/>
  <c r="I381" i="30"/>
  <c r="P458" i="30"/>
  <c r="P348" i="30"/>
  <c r="P405" i="30"/>
  <c r="I624" i="30"/>
  <c r="P453" i="30"/>
  <c r="I64" i="30"/>
  <c r="I375" i="30"/>
  <c r="P644" i="30"/>
  <c r="P305" i="30"/>
  <c r="P431" i="30"/>
  <c r="I48" i="30"/>
  <c r="P463" i="30"/>
  <c r="I295" i="30"/>
  <c r="I333" i="30"/>
  <c r="I268" i="30"/>
  <c r="I448" i="30"/>
  <c r="P599" i="30"/>
  <c r="I399" i="30"/>
  <c r="I99" i="30"/>
  <c r="I618" i="30"/>
  <c r="I70" i="30"/>
  <c r="P468" i="30"/>
  <c r="P594" i="30"/>
  <c r="P400" i="30"/>
  <c r="I116" i="30"/>
  <c r="I250" i="30"/>
  <c r="I240" i="30"/>
  <c r="I189" i="29"/>
  <c r="I485" i="30"/>
  <c r="P573" i="30"/>
  <c r="P395" i="30"/>
  <c r="P363" i="30"/>
  <c r="I159" i="30"/>
  <c r="P439" i="30"/>
  <c r="I68" i="30"/>
  <c r="I300" i="30"/>
  <c r="I360" i="30"/>
  <c r="I73" i="30"/>
  <c r="I292" i="30"/>
  <c r="P403" i="30"/>
  <c r="I354" i="30"/>
  <c r="I694" i="30"/>
  <c r="I420" i="30"/>
  <c r="I679" i="30"/>
  <c r="I176" i="30"/>
  <c r="P334" i="30"/>
  <c r="P656" i="30"/>
  <c r="I637" i="30"/>
  <c r="I697" i="30"/>
  <c r="I505" i="30"/>
  <c r="I74" i="30"/>
  <c r="I172" i="30"/>
  <c r="I127" i="30"/>
  <c r="P521" i="30"/>
  <c r="I435" i="30"/>
  <c r="P287" i="30"/>
  <c r="P583" i="30"/>
  <c r="I208" i="30"/>
  <c r="P258" i="30"/>
  <c r="I651" i="30"/>
  <c r="P645" i="30"/>
  <c r="P367" i="30"/>
  <c r="P526" i="30"/>
  <c r="I308" i="30"/>
  <c r="I37" i="30"/>
  <c r="I92" i="30"/>
  <c r="P416" i="30"/>
  <c r="I252" i="30"/>
  <c r="P666" i="30"/>
  <c r="I418" i="30"/>
  <c r="I106" i="30"/>
  <c r="I367" i="30"/>
  <c r="P401" i="30"/>
  <c r="I527" i="30"/>
  <c r="I27" i="30"/>
  <c r="I672" i="30"/>
  <c r="P357" i="30"/>
  <c r="I30" i="30"/>
  <c r="I205" i="30"/>
  <c r="I658" i="30"/>
  <c r="P572" i="30"/>
  <c r="P502" i="30"/>
  <c r="I262" i="30"/>
  <c r="I493" i="30"/>
  <c r="I568" i="30"/>
  <c r="I433" i="30"/>
  <c r="I38" i="30"/>
  <c r="I53" i="30"/>
  <c r="I573" i="30"/>
  <c r="I77" i="30"/>
  <c r="I678" i="30"/>
  <c r="I244" i="30"/>
  <c r="I423" i="30"/>
  <c r="I524" i="30"/>
  <c r="I334" i="30"/>
  <c r="P306" i="30"/>
  <c r="I572" i="30"/>
  <c r="I24" i="30"/>
  <c r="I124" i="30"/>
  <c r="I372" i="30"/>
  <c r="P590" i="30"/>
  <c r="I230" i="30"/>
  <c r="P283" i="30"/>
  <c r="I444" i="30"/>
  <c r="I476" i="30"/>
  <c r="I379" i="30"/>
  <c r="I479" i="30"/>
  <c r="I351" i="30"/>
  <c r="P524" i="30"/>
  <c r="I47" i="30"/>
  <c r="I604" i="30"/>
  <c r="I275" i="30"/>
  <c r="I158" i="30"/>
  <c r="I203" i="30"/>
  <c r="I52" i="30"/>
  <c r="I174" i="30"/>
  <c r="I663" i="30"/>
  <c r="I149" i="30"/>
  <c r="I305" i="30"/>
  <c r="I338" i="30"/>
  <c r="I587" i="30"/>
  <c r="P538" i="30"/>
  <c r="P613" i="30"/>
  <c r="I143" i="30"/>
  <c r="P302" i="30"/>
  <c r="I114" i="30"/>
  <c r="I407" i="30"/>
  <c r="I500" i="30"/>
  <c r="I81" i="30"/>
  <c r="P564" i="30"/>
  <c r="P694" i="30"/>
  <c r="I612" i="30"/>
  <c r="P409" i="30"/>
  <c r="I311" i="30"/>
  <c r="I200" i="30"/>
  <c r="I163" i="30"/>
  <c r="P350" i="30"/>
  <c r="I450" i="30"/>
  <c r="P268" i="30"/>
  <c r="I595" i="30"/>
  <c r="P660" i="30"/>
  <c r="P289" i="30"/>
  <c r="I153" i="30"/>
  <c r="I134" i="30"/>
  <c r="I553" i="30"/>
  <c r="P499" i="30"/>
  <c r="P442" i="30"/>
  <c r="I482" i="30"/>
  <c r="P686" i="30"/>
  <c r="P455" i="30"/>
  <c r="I110" i="30"/>
  <c r="P278" i="30"/>
  <c r="I253" i="30"/>
  <c r="I653" i="30"/>
  <c r="I578" i="30"/>
  <c r="I161" i="30"/>
  <c r="W190" i="29"/>
  <c r="Z190" i="29"/>
  <c r="AC190" i="29"/>
  <c r="P582" i="30"/>
  <c r="I434" i="30"/>
  <c r="P304" i="30"/>
  <c r="P641" i="30"/>
  <c r="I71" i="30"/>
  <c r="P342" i="30"/>
  <c r="I289" i="30"/>
  <c r="P318" i="30"/>
  <c r="P410" i="30"/>
  <c r="I670" i="30"/>
  <c r="P555" i="30"/>
  <c r="P647" i="30"/>
  <c r="P333" i="30"/>
  <c r="I233" i="30"/>
  <c r="I495" i="30"/>
  <c r="P411" i="30"/>
  <c r="I190" i="30"/>
  <c r="I575" i="30"/>
  <c r="I645" i="30"/>
  <c r="P696" i="30"/>
  <c r="I132" i="30"/>
  <c r="I169" i="30"/>
  <c r="P567" i="30"/>
  <c r="P436" i="30"/>
  <c r="I80" i="30"/>
  <c r="I343" i="30"/>
  <c r="P364" i="30"/>
  <c r="I122" i="30"/>
  <c r="P324" i="30"/>
  <c r="P344" i="30"/>
  <c r="I442" i="30"/>
  <c r="I222" i="30"/>
  <c r="P490" i="30"/>
  <c r="P704" i="30"/>
  <c r="I603" i="30"/>
  <c r="P252" i="30"/>
  <c r="P260" i="30"/>
  <c r="I511" i="30"/>
  <c r="P417" i="30"/>
  <c r="I264" i="30"/>
  <c r="I710" i="30"/>
  <c r="I506" i="30"/>
  <c r="I194" i="30"/>
  <c r="I201" i="30"/>
  <c r="P437" i="30"/>
  <c r="P245" i="30"/>
  <c r="I698" i="30"/>
  <c r="P345" i="30"/>
  <c r="P602" i="30"/>
  <c r="I687" i="30"/>
  <c r="I280" i="30"/>
  <c r="I571" i="30"/>
  <c r="P311" i="30"/>
  <c r="I457" i="30"/>
  <c r="I544" i="30"/>
  <c r="I681" i="30"/>
  <c r="P319" i="30"/>
  <c r="I570" i="30"/>
  <c r="I87" i="30"/>
  <c r="I715" i="30"/>
  <c r="P315" i="30"/>
  <c r="I426" i="30"/>
  <c r="I150" i="30"/>
  <c r="I550" i="30"/>
  <c r="I689" i="30"/>
  <c r="I318" i="30"/>
  <c r="I179" i="30"/>
  <c r="P671" i="30"/>
  <c r="P577" i="30"/>
  <c r="I243" i="30"/>
  <c r="I621" i="30"/>
  <c r="I301" i="30"/>
  <c r="P389" i="30"/>
  <c r="I409" i="30"/>
  <c r="I627" i="30"/>
  <c r="P373" i="30"/>
  <c r="P408" i="30"/>
  <c r="I481" i="30"/>
  <c r="P309" i="30"/>
  <c r="I211" i="30"/>
  <c r="P482" i="30"/>
  <c r="I657" i="30"/>
  <c r="P650" i="30"/>
  <c r="I592" i="30"/>
  <c r="I284" i="30"/>
  <c r="P629" i="30"/>
  <c r="I151" i="30"/>
  <c r="I639" i="30"/>
  <c r="P366" i="30"/>
  <c r="P548" i="30"/>
  <c r="P480" i="30"/>
  <c r="P336" i="30"/>
  <c r="I310" i="30"/>
  <c r="I60" i="30"/>
  <c r="I546" i="30"/>
  <c r="P634" i="30"/>
  <c r="P384" i="30"/>
  <c r="I625" i="30"/>
  <c r="P265" i="30"/>
  <c r="P448" i="30"/>
  <c r="I560" i="30"/>
  <c r="P322" i="30"/>
  <c r="I191" i="30"/>
  <c r="I540" i="30"/>
  <c r="P404" i="30"/>
  <c r="I422" i="30"/>
  <c r="I45" i="30"/>
  <c r="P483" i="30"/>
  <c r="I241" i="30"/>
  <c r="I669" i="30"/>
  <c r="I58" i="30"/>
  <c r="P327" i="30"/>
  <c r="I456" i="30"/>
  <c r="I157" i="30"/>
  <c r="P359" i="30"/>
  <c r="I688" i="30"/>
  <c r="I242" i="30"/>
  <c r="I39" i="30"/>
  <c r="P413" i="30"/>
  <c r="P610" i="30"/>
  <c r="I61" i="30"/>
  <c r="I528" i="30"/>
  <c r="I104" i="30"/>
  <c r="I145" i="30"/>
  <c r="I453" i="30"/>
  <c r="P667" i="30"/>
  <c r="P631" i="30"/>
  <c r="I362" i="30"/>
  <c r="P491" i="30"/>
  <c r="P487" i="30"/>
  <c r="P353" i="30"/>
  <c r="P533" i="30"/>
  <c r="P527" i="30"/>
  <c r="I477" i="30"/>
  <c r="I307" i="30"/>
  <c r="I258" i="30"/>
  <c r="P424" i="30"/>
  <c r="P356" i="30"/>
  <c r="P323" i="30"/>
  <c r="I508" i="30"/>
  <c r="I59" i="30"/>
  <c r="I436" i="30"/>
  <c r="I270" i="30"/>
  <c r="I586" i="30"/>
  <c r="P543" i="30"/>
  <c r="I96" i="30"/>
  <c r="I649" i="30"/>
  <c r="I231" i="30"/>
  <c r="I502" i="30"/>
  <c r="I397" i="30"/>
  <c r="P295" i="30"/>
  <c r="P459" i="30"/>
  <c r="P259" i="30"/>
  <c r="I451" i="30"/>
  <c r="P290" i="30"/>
  <c r="P495" i="30"/>
  <c r="I141" i="30"/>
  <c r="I628" i="30"/>
  <c r="I383" i="30"/>
  <c r="I202" i="30"/>
  <c r="I632" i="30"/>
  <c r="P682" i="30"/>
  <c r="P338" i="30"/>
  <c r="P257" i="30"/>
  <c r="P626" i="30"/>
  <c r="P440" i="30"/>
  <c r="I147" i="30"/>
  <c r="P288" i="30"/>
  <c r="I317" i="30"/>
  <c r="P381" i="30"/>
  <c r="P355" i="30"/>
  <c r="P256" i="30"/>
  <c r="I431" i="30"/>
  <c r="I447" i="30"/>
  <c r="P297" i="30"/>
  <c r="P387" i="30"/>
  <c r="P346" i="30"/>
  <c r="I353" i="30"/>
  <c r="P575" i="30"/>
  <c r="P616" i="30"/>
  <c r="P406" i="30"/>
  <c r="P714" i="30"/>
  <c r="I520" i="30"/>
  <c r="P382" i="30"/>
  <c r="I331" i="30"/>
  <c r="I644" i="30"/>
  <c r="P715" i="30"/>
  <c r="I635" i="30"/>
  <c r="P369" i="30"/>
  <c r="P271" i="30"/>
  <c r="P677" i="30"/>
  <c r="P690" i="30"/>
  <c r="P536" i="30"/>
  <c r="I76" i="30"/>
  <c r="I236" i="30"/>
  <c r="I285" i="30"/>
  <c r="I452" i="30"/>
  <c r="I536" i="30"/>
  <c r="P695" i="30"/>
  <c r="I83" i="30"/>
  <c r="P655" i="30"/>
  <c r="I518" i="30"/>
  <c r="I44" i="30"/>
  <c r="P624" i="30"/>
  <c r="I319" i="30"/>
  <c r="I555" i="30"/>
  <c r="I552" i="30"/>
  <c r="P371" i="30"/>
  <c r="I207" i="30"/>
  <c r="P622" i="30"/>
  <c r="I387" i="30"/>
  <c r="I277" i="30"/>
  <c r="I142" i="30"/>
  <c r="I638" i="30"/>
  <c r="P542" i="30"/>
  <c r="I427" i="30"/>
  <c r="P407" i="30"/>
  <c r="P303" i="30"/>
  <c r="P609" i="30"/>
  <c r="P597" i="30"/>
  <c r="I312" i="30"/>
  <c r="I297" i="30"/>
  <c r="I251" i="30"/>
  <c r="I682" i="30"/>
  <c r="P698" i="30"/>
  <c r="I437" i="30"/>
  <c r="P250" i="30"/>
  <c r="I94" i="30"/>
  <c r="I648" i="30"/>
  <c r="P402" i="30"/>
  <c r="P418" i="30"/>
  <c r="I403" i="30"/>
  <c r="I336" i="30"/>
  <c r="P339" i="30"/>
  <c r="P563" i="30"/>
  <c r="P683" i="30"/>
  <c r="I192" i="30"/>
  <c r="I438" i="30"/>
  <c r="I263" i="30"/>
  <c r="I349" i="30"/>
  <c r="P673" i="30"/>
  <c r="P445" i="30"/>
  <c r="I168" i="30"/>
  <c r="I260" i="30"/>
  <c r="I210" i="30"/>
  <c r="I398" i="30"/>
  <c r="P443" i="30"/>
  <c r="I565" i="30"/>
  <c r="P294" i="30"/>
  <c r="I98" i="30"/>
  <c r="P522" i="30"/>
  <c r="I378" i="30"/>
  <c r="I428" i="30"/>
  <c r="I23" i="30"/>
  <c r="P637" i="30"/>
  <c r="P649" i="30"/>
  <c r="I525" i="30"/>
  <c r="P559" i="30"/>
  <c r="P606" i="30"/>
  <c r="I517" i="30"/>
  <c r="I103" i="30"/>
  <c r="P565" i="30"/>
  <c r="P511" i="30"/>
  <c r="P415" i="30"/>
  <c r="I167" i="30"/>
  <c r="P317" i="30"/>
  <c r="P642" i="30"/>
  <c r="I430" i="30"/>
  <c r="P272" i="30"/>
  <c r="P646" i="30"/>
  <c r="I704" i="30"/>
  <c r="I31" i="30"/>
  <c r="I686" i="30"/>
  <c r="I302" i="30"/>
  <c r="I404" i="30"/>
  <c r="P679" i="30"/>
  <c r="I229" i="30"/>
  <c r="I184" i="30"/>
  <c r="P392" i="30"/>
  <c r="P500" i="30"/>
  <c r="I266" i="30"/>
  <c r="I429" i="30"/>
  <c r="P498" i="30"/>
  <c r="I600" i="30"/>
  <c r="P608" i="30"/>
  <c r="P532" i="30"/>
  <c r="I395" i="30"/>
  <c r="I63" i="30"/>
  <c r="P630" i="30"/>
  <c r="P438" i="30"/>
  <c r="I490" i="30"/>
  <c r="I20" i="30"/>
  <c r="P383" i="30"/>
  <c r="I324" i="30"/>
  <c r="I417" i="30"/>
  <c r="I215" i="30"/>
  <c r="P385" i="30"/>
  <c r="I707" i="30"/>
  <c r="I492" i="30"/>
  <c r="G189" i="29"/>
  <c r="P428" i="30"/>
  <c r="I125" i="30"/>
  <c r="P242" i="30"/>
  <c r="P708" i="30"/>
  <c r="I227" i="30"/>
  <c r="I642" i="30"/>
  <c r="P316" i="30"/>
  <c r="I146" i="30"/>
  <c r="P505" i="30"/>
  <c r="I355" i="30"/>
  <c r="P664" i="30"/>
  <c r="I226" i="30"/>
  <c r="P566" i="30"/>
  <c r="P535" i="30"/>
  <c r="I596" i="30"/>
  <c r="I564" i="30"/>
  <c r="P335" i="30"/>
  <c r="I414" i="30"/>
  <c r="I541" i="30"/>
  <c r="I315" i="30"/>
  <c r="P452" i="30"/>
  <c r="P308" i="30"/>
  <c r="P351" i="30"/>
  <c r="I683" i="30"/>
  <c r="I659" i="30"/>
  <c r="P520" i="30"/>
  <c r="P550" i="30"/>
  <c r="I530" i="30"/>
  <c r="I144" i="30"/>
  <c r="P337" i="30"/>
  <c r="P512" i="30"/>
  <c r="P712" i="30"/>
  <c r="I137" i="30"/>
  <c r="I196" i="30"/>
  <c r="I294" i="30"/>
  <c r="I643" i="30"/>
  <c r="I685" i="30"/>
  <c r="I716" i="30"/>
  <c r="P515" i="30"/>
  <c r="P600" i="30"/>
  <c r="I460" i="30"/>
  <c r="I386" i="30"/>
  <c r="I700" i="30"/>
  <c r="I316" i="30"/>
  <c r="P534" i="30"/>
  <c r="P393" i="30"/>
  <c r="P488" i="30"/>
  <c r="P307" i="30"/>
  <c r="P398" i="30"/>
  <c r="I706" i="30"/>
  <c r="I299" i="30"/>
  <c r="I713" i="30"/>
  <c r="P681" i="30"/>
  <c r="I559" i="30"/>
  <c r="I293" i="30"/>
  <c r="I369" i="30"/>
  <c r="I160" i="30"/>
  <c r="P474" i="30"/>
  <c r="I489" i="30"/>
  <c r="I474" i="30"/>
  <c r="P435" i="30"/>
  <c r="I366" i="30"/>
  <c r="P444" i="30"/>
  <c r="P603" i="30"/>
  <c r="P546" i="30"/>
  <c r="P707" i="30"/>
  <c r="P421" i="30"/>
  <c r="P486" i="30"/>
  <c r="P504" i="30"/>
  <c r="P243" i="30"/>
  <c r="P552" i="30"/>
  <c r="I454" i="30"/>
  <c r="I470" i="30"/>
  <c r="P665" i="30"/>
  <c r="I562" i="30"/>
  <c r="I396" i="30"/>
  <c r="I543" i="30"/>
  <c r="P473" i="30"/>
  <c r="P561" i="30"/>
  <c r="P391" i="30"/>
  <c r="I173" i="30"/>
  <c r="P549" i="30"/>
  <c r="P328" i="30"/>
  <c r="P501" i="30"/>
  <c r="P703" i="30"/>
  <c r="P539" i="30"/>
  <c r="I220" i="30"/>
  <c r="I674" i="30"/>
  <c r="P702" i="30"/>
  <c r="I665" i="30"/>
  <c r="I66" i="30"/>
  <c r="I466" i="30"/>
  <c r="I223" i="30"/>
  <c r="P529" i="30"/>
  <c r="I255" i="30"/>
  <c r="P557" i="30"/>
  <c r="P506" i="30"/>
  <c r="I113" i="30"/>
  <c r="I237" i="30"/>
  <c r="P672" i="30"/>
  <c r="I655" i="30"/>
  <c r="P693" i="30"/>
  <c r="I337" i="30"/>
  <c r="P450" i="30"/>
  <c r="P685" i="30"/>
  <c r="I368" i="30"/>
  <c r="I662" i="30"/>
  <c r="P282" i="30"/>
  <c r="I714" i="30"/>
  <c r="I708" i="30"/>
  <c r="I650" i="30"/>
  <c r="I467" i="30"/>
  <c r="I410" i="30"/>
  <c r="I491" i="30"/>
  <c r="I684" i="30"/>
  <c r="I342" i="30"/>
  <c r="I652" i="30"/>
  <c r="I55" i="30"/>
  <c r="I443" i="30"/>
  <c r="I629" i="30"/>
  <c r="I85" i="30"/>
  <c r="P255" i="30"/>
  <c r="I212" i="30"/>
  <c r="P517" i="30"/>
  <c r="I388" i="30"/>
  <c r="I590" i="30"/>
  <c r="I283" i="30"/>
  <c r="P253" i="30"/>
  <c r="P709" i="30"/>
  <c r="I607" i="30"/>
  <c r="I512" i="30"/>
  <c r="I702" i="30"/>
  <c r="I148" i="30"/>
  <c r="I209" i="30"/>
  <c r="P717" i="30"/>
  <c r="I119" i="30"/>
  <c r="I69" i="30"/>
  <c r="I549" i="30"/>
  <c r="I446" i="30"/>
  <c r="P688" i="30"/>
  <c r="I696" i="30"/>
  <c r="P377" i="30"/>
  <c r="I248" i="30"/>
  <c r="I193" i="30"/>
  <c r="I654" i="30"/>
  <c r="P658" i="30"/>
  <c r="P321" i="30"/>
  <c r="I496" i="30"/>
  <c r="P340" i="30"/>
  <c r="P479" i="30"/>
  <c r="P314" i="30"/>
  <c r="P675" i="30"/>
  <c r="I677" i="30"/>
  <c r="I699" i="30"/>
  <c r="P434" i="30"/>
  <c r="I497" i="30"/>
  <c r="I566" i="30"/>
  <c r="I591" i="30"/>
  <c r="P433" i="30"/>
  <c r="I432" i="30"/>
  <c r="I321" i="30"/>
  <c r="I130" i="30"/>
  <c r="P676" i="30"/>
  <c r="P587" i="30"/>
  <c r="I332" i="30"/>
  <c r="I272" i="30"/>
  <c r="I273" i="30"/>
  <c r="I419" i="30"/>
  <c r="I673" i="30"/>
  <c r="I584" i="30"/>
  <c r="P497" i="30"/>
  <c r="P310" i="30"/>
  <c r="P540" i="30"/>
  <c r="I274" i="30"/>
  <c r="I581" i="30"/>
  <c r="P513" i="30"/>
  <c r="I377" i="30"/>
  <c r="I345" i="30"/>
  <c r="P326" i="30"/>
  <c r="I152" i="30"/>
  <c r="I465" i="30"/>
  <c r="P530" i="30"/>
  <c r="I579" i="30"/>
  <c r="I322" i="30"/>
  <c r="P394" i="30"/>
  <c r="I138" i="30"/>
  <c r="P244" i="30"/>
  <c r="I313" i="30"/>
  <c r="P643" i="30"/>
  <c r="I347" i="30"/>
  <c r="I486" i="30"/>
  <c r="I51" i="30"/>
  <c r="I548" i="30"/>
  <c r="I304" i="30"/>
  <c r="I664" i="30"/>
  <c r="I162" i="30"/>
  <c r="P423" i="30"/>
  <c r="P352" i="30"/>
  <c r="P457" i="30"/>
  <c r="I594" i="30"/>
  <c r="I41" i="30"/>
  <c r="I32" i="30"/>
  <c r="P247" i="30"/>
  <c r="I464" i="30"/>
  <c r="P718" i="30"/>
  <c r="P706" i="30"/>
  <c r="P509" i="30"/>
  <c r="P615" i="30"/>
  <c r="P264" i="30"/>
  <c r="P378" i="30"/>
  <c r="I43" i="30"/>
  <c r="I487" i="30"/>
  <c r="P611" i="30"/>
  <c r="I623" i="30"/>
  <c r="P699" i="30"/>
  <c r="I328" i="30"/>
  <c r="I373" i="30"/>
  <c r="I188" i="30"/>
  <c r="H189" i="29"/>
  <c r="I306" i="30"/>
  <c r="I660" i="30"/>
  <c r="P388" i="30"/>
  <c r="P519" i="30"/>
  <c r="P263" i="30"/>
  <c r="I514" i="30"/>
  <c r="P636" i="30"/>
  <c r="I290" i="30"/>
  <c r="P475" i="30"/>
  <c r="I108" i="30"/>
  <c r="P293" i="30"/>
  <c r="I247" i="30"/>
  <c r="P668" i="30"/>
  <c r="P489" i="30"/>
  <c r="I519" i="30"/>
  <c r="I216" i="30"/>
  <c r="P241" i="30"/>
  <c r="I93" i="30"/>
  <c r="P570" i="30"/>
  <c r="I483" i="30"/>
  <c r="I91" i="30"/>
  <c r="I507" i="30"/>
  <c r="P652" i="30"/>
  <c r="I97" i="30"/>
  <c r="I183" i="30"/>
  <c r="P579" i="30"/>
  <c r="P380" i="30"/>
  <c r="P531" i="30"/>
  <c r="P710" i="30"/>
  <c r="I599" i="30"/>
  <c r="I617" i="30"/>
  <c r="P467" i="30"/>
  <c r="P562" i="30"/>
  <c r="I534" i="30"/>
  <c r="I46" i="30"/>
  <c r="I661" i="30"/>
  <c r="P454" i="30"/>
  <c r="I415" i="30"/>
  <c r="I510" i="30"/>
  <c r="P281" i="30"/>
  <c r="P286" i="30"/>
  <c r="I286" i="30"/>
  <c r="I458" i="30"/>
  <c r="I692" i="30"/>
  <c r="P568" i="30"/>
  <c r="I54" i="30"/>
  <c r="I335" i="30"/>
  <c r="I393" i="30"/>
  <c r="P462" i="30"/>
  <c r="I28" i="30"/>
  <c r="P275" i="30"/>
  <c r="P484" i="30"/>
  <c r="P254" i="30"/>
  <c r="I521" i="30"/>
  <c r="P593" i="30"/>
  <c r="I287" i="30"/>
  <c r="P588" i="30"/>
  <c r="P447" i="30"/>
  <c r="I279" i="30"/>
  <c r="I539" i="30"/>
  <c r="P280" i="30"/>
  <c r="I358" i="30"/>
  <c r="I537" i="30"/>
  <c r="I636" i="30"/>
  <c r="P299" i="30"/>
  <c r="I197" i="30"/>
  <c r="P420" i="30"/>
  <c r="I390" i="30"/>
  <c r="P485" i="30"/>
  <c r="I389" i="30"/>
  <c r="P285" i="30"/>
  <c r="I136" i="30"/>
  <c r="I680" i="30"/>
  <c r="I576" i="30"/>
  <c r="I109" i="30"/>
  <c r="I36" i="30"/>
  <c r="I693" i="30"/>
  <c r="I218" i="30"/>
  <c r="P464" i="30"/>
  <c r="I469" i="30"/>
  <c r="I533" i="30"/>
  <c r="I206" i="30"/>
  <c r="P508" i="30"/>
  <c r="I235" i="30"/>
  <c r="I609" i="30"/>
  <c r="I49" i="30"/>
  <c r="P375" i="30"/>
  <c r="I640" i="30"/>
  <c r="I585" i="30"/>
  <c r="I249" i="30"/>
  <c r="P284" i="30"/>
  <c r="I421" i="30"/>
  <c r="I499" i="30"/>
  <c r="I400" i="30"/>
  <c r="P560" i="30"/>
  <c r="I56" i="30"/>
  <c r="I647" i="30"/>
  <c r="I359" i="30"/>
  <c r="I79" i="30"/>
  <c r="T190" i="29"/>
  <c r="AF190" i="29"/>
  <c r="I620" i="30"/>
  <c r="I509" i="30"/>
  <c r="I370" i="30"/>
  <c r="I405" i="30"/>
  <c r="P341" i="30"/>
  <c r="P595" i="30"/>
  <c r="I219" i="30"/>
  <c r="I408" i="30"/>
  <c r="I462" i="30"/>
  <c r="P399" i="30"/>
  <c r="P651" i="30"/>
  <c r="I394" i="30"/>
  <c r="I245" i="30"/>
  <c r="I165" i="30"/>
  <c r="P605" i="30"/>
  <c r="P441" i="30"/>
  <c r="I695" i="30"/>
  <c r="P623" i="30"/>
  <c r="P249" i="30"/>
  <c r="P621" i="30"/>
  <c r="I129" i="30"/>
  <c r="I641" i="30"/>
  <c r="P596" i="30"/>
  <c r="P576" i="30"/>
  <c r="I611" i="30"/>
  <c r="P578" i="30"/>
  <c r="I101" i="30"/>
  <c r="I140" i="30"/>
  <c r="P432" i="30"/>
  <c r="P277" i="30"/>
  <c r="I178" i="30"/>
  <c r="I276" i="30"/>
  <c r="I582" i="30"/>
  <c r="I339" i="30"/>
  <c r="I376" i="30"/>
  <c r="I65" i="30"/>
  <c r="I88" i="30"/>
  <c r="P638" i="30"/>
  <c r="I213" i="30"/>
  <c r="I175" i="30"/>
  <c r="I117" i="30"/>
  <c r="I204" i="30"/>
  <c r="I675" i="30"/>
  <c r="I614" i="30"/>
  <c r="I667" i="30"/>
  <c r="P251" i="30"/>
  <c r="P680" i="30"/>
  <c r="I526" i="30"/>
  <c r="P330" i="30"/>
  <c r="I254" i="30"/>
  <c r="I459" i="30"/>
  <c r="I171" i="30"/>
  <c r="I475" i="30"/>
  <c r="P711" i="30"/>
  <c r="I488" i="30"/>
  <c r="P619" i="30"/>
  <c r="I538" i="30"/>
  <c r="I545" i="30"/>
  <c r="I357" i="30"/>
  <c r="I656" i="30"/>
  <c r="I42" i="30"/>
  <c r="I631" i="30"/>
  <c r="I186" i="30"/>
  <c r="I180" i="30"/>
  <c r="P261" i="30"/>
  <c r="P586" i="30"/>
  <c r="P617" i="30"/>
  <c r="I214" i="30"/>
  <c r="P472" i="30"/>
  <c r="I547" i="30"/>
  <c r="P628" i="30"/>
  <c r="P274" i="30"/>
  <c r="P592" i="30"/>
  <c r="I271" i="30"/>
  <c r="I112" i="30"/>
  <c r="I166" i="30"/>
  <c r="I535" i="30"/>
  <c r="P430" i="30"/>
  <c r="P379" i="30"/>
  <c r="P556" i="30"/>
  <c r="I185" i="30"/>
  <c r="I402" i="30"/>
  <c r="I602" i="30"/>
  <c r="P374" i="30"/>
  <c r="I472" i="30"/>
  <c r="I25" i="30"/>
  <c r="I608" i="30"/>
  <c r="P372" i="30"/>
  <c r="I668" i="30"/>
  <c r="P496" i="30"/>
  <c r="I569" i="30"/>
  <c r="I170" i="30"/>
  <c r="P376" i="30"/>
  <c r="P687" i="30"/>
  <c r="I513" i="30"/>
  <c r="P465" i="30"/>
  <c r="I123" i="30"/>
  <c r="P456" i="30"/>
  <c r="P298" i="30"/>
  <c r="I50" i="30"/>
  <c r="I583" i="30"/>
  <c r="P662" i="30"/>
  <c r="I314" i="30"/>
  <c r="I554" i="30"/>
  <c r="P239" i="30"/>
  <c r="P574" i="30"/>
  <c r="I615" i="30"/>
  <c r="P414" i="30"/>
  <c r="I246" i="30"/>
  <c r="P697" i="30"/>
  <c r="P361" i="30"/>
  <c r="P525" i="30"/>
  <c r="I325" i="30"/>
  <c r="I257" i="30"/>
  <c r="I181" i="30"/>
  <c r="I232" i="30"/>
  <c r="P412" i="30"/>
  <c r="I133" i="30"/>
  <c r="I691" i="30"/>
  <c r="I102" i="30"/>
  <c r="P331" i="30"/>
  <c r="P390" i="30"/>
  <c r="P269" i="30"/>
  <c r="I494" i="30"/>
  <c r="P449" i="30"/>
  <c r="P362" i="30"/>
  <c r="I224" i="30"/>
  <c r="P262" i="30"/>
  <c r="I365" i="30"/>
  <c r="P300" i="30"/>
  <c r="I111" i="30"/>
  <c r="P612" i="30"/>
  <c r="P396" i="30"/>
  <c r="I616" i="30"/>
  <c r="I478" i="30"/>
  <c r="P705" i="30"/>
  <c r="I690" i="30"/>
  <c r="P618" i="30"/>
  <c r="I189" i="30"/>
  <c r="P639" i="30"/>
  <c r="P553" i="30"/>
  <c r="P477" i="30"/>
  <c r="I135" i="30"/>
  <c r="I461" i="30"/>
  <c r="I329" i="30"/>
  <c r="I605" i="30"/>
  <c r="P633" i="30"/>
  <c r="P692" i="30"/>
  <c r="P296" i="30"/>
  <c r="I29" i="30"/>
  <c r="P674" i="30"/>
  <c r="P312" i="30"/>
  <c r="I532" i="30"/>
  <c r="I288" i="30"/>
  <c r="P713" i="30"/>
  <c r="I498" i="30"/>
  <c r="P427" i="30"/>
  <c r="P585" i="30"/>
  <c r="I155" i="30"/>
  <c r="P493" i="30"/>
  <c r="P469" i="30"/>
  <c r="P292" i="30"/>
  <c r="I391" i="30"/>
  <c r="I291" i="30"/>
  <c r="P478" i="30"/>
  <c r="I330" i="30"/>
  <c r="I265" i="30"/>
  <c r="I633" i="30"/>
  <c r="P614" i="30"/>
  <c r="P476" i="30"/>
  <c r="I57" i="30"/>
  <c r="I406" i="30"/>
  <c r="I164" i="30"/>
  <c r="P313" i="30"/>
  <c r="I326" i="30"/>
  <c r="P451" i="30"/>
  <c r="P460" i="30"/>
  <c r="I705" i="30"/>
  <c r="I463" i="30"/>
  <c r="I82" i="30"/>
  <c r="P558" i="30"/>
  <c r="I411" i="30"/>
  <c r="P425" i="30"/>
  <c r="P571" i="30"/>
  <c r="I384" i="30"/>
  <c r="I504" i="30"/>
  <c r="I363" i="30"/>
  <c r="I33" i="30"/>
  <c r="P470" i="30"/>
  <c r="I107" i="30"/>
  <c r="I182" i="30"/>
  <c r="I371" i="30"/>
  <c r="P653" i="30"/>
  <c r="I577" i="30"/>
  <c r="P347" i="30"/>
  <c r="I259" i="30"/>
  <c r="P494" i="30"/>
  <c r="I75" i="30"/>
  <c r="I473" i="30"/>
  <c r="P248" i="30"/>
  <c r="P720" i="30"/>
  <c r="I346" i="30"/>
  <c r="P701" i="30"/>
  <c r="I542" i="30"/>
  <c r="I380" i="30"/>
  <c r="P607" i="30"/>
  <c r="P360" i="30"/>
  <c r="I22" i="30"/>
  <c r="I382" i="30"/>
  <c r="P349" i="30"/>
  <c r="I320" i="30"/>
  <c r="P429" i="30"/>
  <c r="I26" i="30"/>
  <c r="I468" i="30"/>
  <c r="P266" i="30"/>
  <c r="I309" i="30"/>
  <c r="I561" i="30"/>
  <c r="P279" i="30"/>
  <c r="I261" i="30"/>
  <c r="I156" i="30"/>
  <c r="I522" i="30"/>
  <c r="I128" i="30"/>
  <c r="I298" i="30"/>
  <c r="P354" i="30"/>
  <c r="I198" i="30"/>
  <c r="I701" i="30"/>
  <c r="I187" i="30"/>
  <c r="P325" i="30"/>
  <c r="I195" i="30"/>
  <c r="P461" i="30"/>
  <c r="P551" i="30"/>
  <c r="I580" i="30"/>
  <c r="I221" i="30"/>
  <c r="I62" i="30"/>
  <c r="I671" i="30"/>
  <c r="P368" i="30"/>
  <c r="I392" i="30"/>
  <c r="P270" i="30"/>
  <c r="P514" i="30"/>
  <c r="I100" i="30"/>
  <c r="I413" i="30"/>
  <c r="P601" i="30"/>
  <c r="I225" i="30"/>
  <c r="P669" i="30"/>
  <c r="I503" i="30"/>
  <c r="P661" i="30"/>
  <c r="I516" i="30"/>
  <c r="I35" i="30"/>
  <c r="I593" i="30"/>
  <c r="P276" i="30"/>
  <c r="I455" i="30"/>
  <c r="I256" i="30"/>
  <c r="I364" i="30"/>
  <c r="I613" i="30"/>
  <c r="P604" i="30"/>
  <c r="I121" i="30"/>
  <c r="P657" i="30"/>
  <c r="I567" i="30"/>
  <c r="P397" i="30"/>
  <c r="I646" i="30"/>
  <c r="I118" i="30"/>
  <c r="I356" i="30"/>
  <c r="P422" i="30"/>
  <c r="P466" i="30"/>
  <c r="I563" i="30"/>
  <c r="P632" i="30"/>
  <c r="I89" i="30"/>
  <c r="I267" i="30"/>
  <c r="I350" i="30"/>
  <c r="I712" i="30"/>
  <c r="P627" i="30"/>
  <c r="I327" i="30"/>
  <c r="I606" i="30"/>
  <c r="P332" i="30"/>
  <c r="I278" i="30"/>
  <c r="P426" i="30"/>
  <c r="P291" i="30"/>
  <c r="I34" i="30"/>
  <c r="I86" i="30"/>
  <c r="I425" i="30"/>
  <c r="I574" i="30"/>
  <c r="P370" i="30"/>
  <c r="I269" i="30"/>
  <c r="P246" i="30"/>
  <c r="P240" i="30"/>
  <c r="I385" i="30"/>
  <c r="I501" i="30"/>
  <c r="I588" i="30"/>
  <c r="I416" i="30"/>
  <c r="I598" i="30"/>
  <c r="P640" i="30"/>
  <c r="I40" i="30"/>
  <c r="AG190" i="29" l="1"/>
  <c r="P190" i="29"/>
  <c r="L184" i="3" s="1"/>
  <c r="U190" i="29"/>
  <c r="D190" i="29"/>
  <c r="C184" i="3" s="1"/>
  <c r="F183" i="3"/>
  <c r="A291" i="7"/>
  <c r="M190" i="29"/>
  <c r="O184" i="3" s="1"/>
  <c r="AD190" i="29"/>
  <c r="J190" i="29"/>
  <c r="AA190" i="29"/>
  <c r="X190" i="29"/>
  <c r="Y190" i="29" s="1"/>
  <c r="AB189" i="29"/>
  <c r="L189" i="29" s="1"/>
  <c r="K189" i="29"/>
  <c r="AN180" i="4"/>
  <c r="A182" i="3"/>
  <c r="M182" i="3"/>
  <c r="AT180" i="4"/>
  <c r="Q189" i="29"/>
  <c r="AH189" i="29"/>
  <c r="R189" i="29" s="1"/>
  <c r="K183" i="3" s="1"/>
  <c r="V189" i="29"/>
  <c r="F189" i="29" s="1"/>
  <c r="B183" i="3" s="1"/>
  <c r="E189" i="29"/>
  <c r="C490" i="7"/>
  <c r="H182" i="3"/>
  <c r="AR180" i="4"/>
  <c r="B490" i="7"/>
  <c r="L490" i="7" s="1"/>
  <c r="G182" i="3"/>
  <c r="AV180" i="4"/>
  <c r="J182" i="3"/>
  <c r="N189" i="29"/>
  <c r="AE189" i="29"/>
  <c r="O189" i="29" s="1"/>
  <c r="N183" i="3" s="1"/>
  <c r="I183" i="3"/>
  <c r="A522" i="7"/>
  <c r="D183" i="3"/>
  <c r="AP181" i="4"/>
  <c r="B265" i="7"/>
  <c r="C265" i="7"/>
  <c r="E183" i="3"/>
  <c r="E264" i="7"/>
  <c r="D264" i="7"/>
  <c r="K264" i="7"/>
  <c r="L264" i="7"/>
  <c r="G264" i="7"/>
  <c r="J264" i="7"/>
  <c r="H264" i="7"/>
  <c r="I264" i="7"/>
  <c r="J10" i="33"/>
  <c r="F5" i="33"/>
  <c r="J7" i="33"/>
  <c r="B13" i="33"/>
  <c r="B10" i="33"/>
  <c r="B21" i="33"/>
  <c r="B23" i="33"/>
  <c r="F34" i="33"/>
  <c r="B34" i="33"/>
  <c r="B14" i="33"/>
  <c r="B16" i="33"/>
  <c r="B27" i="33"/>
  <c r="F6" i="33"/>
  <c r="F13" i="33"/>
  <c r="F12" i="33"/>
  <c r="F25" i="33"/>
  <c r="F10" i="33"/>
  <c r="F14" i="33"/>
  <c r="B32" i="33"/>
  <c r="B22" i="33"/>
  <c r="F35" i="33"/>
  <c r="B12" i="33"/>
  <c r="B33" i="33"/>
  <c r="B35" i="33"/>
  <c r="F16" i="33"/>
  <c r="F7" i="33"/>
  <c r="J33" i="33"/>
  <c r="F21" i="33"/>
  <c r="B11" i="33"/>
  <c r="J14" i="33"/>
  <c r="B15" i="33"/>
  <c r="B6" i="33"/>
  <c r="F27" i="33"/>
  <c r="B36" i="33"/>
  <c r="F23" i="33"/>
  <c r="B24" i="33"/>
  <c r="F33" i="33"/>
  <c r="B7" i="33"/>
  <c r="B25" i="33"/>
  <c r="B26" i="33"/>
  <c r="J12" i="33"/>
  <c r="J21" i="33"/>
  <c r="F15" i="33"/>
  <c r="J16" i="33"/>
  <c r="F22" i="33"/>
  <c r="J6" i="33"/>
  <c r="N7" i="33"/>
  <c r="J23" i="33"/>
  <c r="F32" i="33"/>
  <c r="J13" i="33"/>
  <c r="F26" i="33"/>
  <c r="J5" i="33"/>
  <c r="J35" i="33"/>
  <c r="J25" i="33"/>
  <c r="N14" i="33"/>
  <c r="F36" i="33"/>
  <c r="N33" i="33"/>
  <c r="F11" i="33"/>
  <c r="F24" i="33"/>
  <c r="J34" i="33"/>
  <c r="J27" i="33"/>
  <c r="N13" i="33"/>
  <c r="N6" i="33"/>
  <c r="J24" i="33"/>
  <c r="N12" i="33"/>
  <c r="R10" i="33"/>
  <c r="J32" i="33"/>
  <c r="N21" i="33"/>
  <c r="N23" i="33"/>
  <c r="N16" i="33"/>
  <c r="N35" i="33"/>
  <c r="J26" i="33"/>
  <c r="N34" i="33"/>
  <c r="R33" i="33"/>
  <c r="R14" i="33"/>
  <c r="J11" i="33"/>
  <c r="N27" i="33"/>
  <c r="J15" i="33"/>
  <c r="J36" i="33"/>
  <c r="N5" i="33"/>
  <c r="R7" i="33"/>
  <c r="J22" i="33"/>
  <c r="N25" i="33"/>
  <c r="R34" i="33"/>
  <c r="N24" i="33"/>
  <c r="V33" i="33"/>
  <c r="R5" i="33"/>
  <c r="N15" i="33"/>
  <c r="V14" i="33"/>
  <c r="V7" i="33"/>
  <c r="N26" i="33"/>
  <c r="R9" i="33"/>
  <c r="R13" i="33"/>
  <c r="V10" i="33"/>
  <c r="R21" i="33"/>
  <c r="N31" i="33"/>
  <c r="R23" i="33"/>
  <c r="N22" i="33"/>
  <c r="N11" i="33"/>
  <c r="R25" i="33"/>
  <c r="R12" i="33"/>
  <c r="R35" i="33"/>
  <c r="N32" i="33"/>
  <c r="N36" i="33"/>
  <c r="R16" i="33"/>
  <c r="R27" i="33"/>
  <c r="R6" i="33"/>
  <c r="R11" i="33"/>
  <c r="R15" i="33"/>
  <c r="R22" i="33"/>
  <c r="V35" i="33"/>
  <c r="R32" i="33"/>
  <c r="V23" i="33"/>
  <c r="R26" i="33"/>
  <c r="V16" i="33"/>
  <c r="Z33" i="33"/>
  <c r="R20" i="33"/>
  <c r="R31" i="33"/>
  <c r="R24" i="33"/>
  <c r="V25" i="33"/>
  <c r="V13" i="33"/>
  <c r="Z14" i="33"/>
  <c r="V21" i="33"/>
  <c r="V27" i="33"/>
  <c r="V5" i="33"/>
  <c r="R36" i="33"/>
  <c r="V12" i="33"/>
  <c r="V6" i="33"/>
  <c r="V34" i="33"/>
  <c r="Z10" i="33"/>
  <c r="Z7" i="33"/>
  <c r="AD7" i="33"/>
  <c r="AD10" i="33"/>
  <c r="Z6" i="33"/>
  <c r="V15" i="33"/>
  <c r="Z12" i="33"/>
  <c r="Z25" i="33"/>
  <c r="V36" i="33"/>
  <c r="AD33" i="33"/>
  <c r="AD14" i="33"/>
  <c r="Z34" i="33"/>
  <c r="V26" i="33"/>
  <c r="V22" i="33"/>
  <c r="Z13" i="33"/>
  <c r="Z23" i="33"/>
  <c r="Z27" i="33"/>
  <c r="Z9" i="33"/>
  <c r="Z16" i="33"/>
  <c r="V32" i="33"/>
  <c r="Z35" i="33"/>
  <c r="V11" i="33"/>
  <c r="Z21" i="33"/>
  <c r="V24" i="33"/>
  <c r="AD13" i="33"/>
  <c r="Z32" i="33"/>
  <c r="AH7" i="33"/>
  <c r="AD16" i="33"/>
  <c r="AH33" i="33"/>
  <c r="AD25" i="33"/>
  <c r="AD21" i="33"/>
  <c r="AD9" i="33"/>
  <c r="Z26" i="33"/>
  <c r="AD6" i="33"/>
  <c r="Z24" i="33"/>
  <c r="Z36" i="33"/>
  <c r="AD12" i="33"/>
  <c r="AD27" i="33"/>
  <c r="Z11" i="33"/>
  <c r="AH10" i="33"/>
  <c r="AH14" i="33"/>
  <c r="AD23" i="33"/>
  <c r="AD34" i="33"/>
  <c r="Z22" i="33"/>
  <c r="AD35" i="33"/>
  <c r="Z15" i="33"/>
  <c r="AH34" i="33"/>
  <c r="AH9" i="33"/>
  <c r="AH16" i="33"/>
  <c r="AH21" i="33"/>
  <c r="AD24" i="33"/>
  <c r="AH25" i="33"/>
  <c r="AL33" i="33"/>
  <c r="AL14" i="33"/>
  <c r="AH13" i="33"/>
  <c r="AL10" i="33"/>
  <c r="AD15" i="33"/>
  <c r="AH6" i="33"/>
  <c r="AD22" i="33"/>
  <c r="AD32" i="33"/>
  <c r="AL7" i="33"/>
  <c r="AD11" i="33"/>
  <c r="AH27" i="33"/>
  <c r="AD36" i="33"/>
  <c r="AH35" i="33"/>
  <c r="AD26" i="33"/>
  <c r="AH5" i="33"/>
  <c r="AH23" i="33"/>
  <c r="AH12" i="33"/>
  <c r="AL12" i="33"/>
  <c r="AH26" i="33"/>
  <c r="AH31" i="33"/>
  <c r="AL34" i="33"/>
  <c r="AH22" i="33"/>
  <c r="AH15" i="33"/>
  <c r="AP14" i="33"/>
  <c r="AL21" i="33"/>
  <c r="AL35" i="33"/>
  <c r="AL25" i="33"/>
  <c r="AH36" i="33"/>
  <c r="AH11" i="33"/>
  <c r="AL23" i="33"/>
  <c r="AL5" i="33"/>
  <c r="AP10" i="33"/>
  <c r="AL13" i="33"/>
  <c r="AL9" i="33"/>
  <c r="AH24" i="33"/>
  <c r="AL16" i="33"/>
  <c r="AH20" i="33"/>
  <c r="AP33" i="33"/>
  <c r="AL27" i="33"/>
  <c r="AP7" i="33"/>
  <c r="AH32" i="33"/>
  <c r="AL6" i="33"/>
  <c r="AT10" i="33"/>
  <c r="AL11" i="33"/>
  <c r="AM11" i="33" s="1"/>
  <c r="AP25" i="33"/>
  <c r="AP35" i="33"/>
  <c r="AP21" i="33"/>
  <c r="AP6" i="33"/>
  <c r="AP34" i="33"/>
  <c r="AP27" i="33"/>
  <c r="AP23" i="33"/>
  <c r="AL20" i="33"/>
  <c r="AL15" i="33"/>
  <c r="AL31" i="33"/>
  <c r="AL32" i="33"/>
  <c r="AL36" i="33"/>
  <c r="AP16" i="33"/>
  <c r="AP13" i="33"/>
  <c r="AL22" i="33"/>
  <c r="AL26" i="33"/>
  <c r="AT7" i="33"/>
  <c r="AT33" i="33"/>
  <c r="AL24" i="33"/>
  <c r="AP12" i="33"/>
  <c r="AT14" i="33"/>
  <c r="AT35" i="33"/>
  <c r="AU35" i="33" s="1"/>
  <c r="AP22" i="33"/>
  <c r="AP11" i="33"/>
  <c r="AT25" i="33"/>
  <c r="AP26" i="33"/>
  <c r="AT16" i="33"/>
  <c r="AP32" i="33"/>
  <c r="AT23" i="33"/>
  <c r="AP36" i="33"/>
  <c r="AT6" i="33"/>
  <c r="AP24" i="33"/>
  <c r="AT13" i="33"/>
  <c r="AT34" i="33"/>
  <c r="AT21" i="33"/>
  <c r="AT27" i="33"/>
  <c r="AP15" i="33"/>
  <c r="AT12" i="33"/>
  <c r="AT32" i="33"/>
  <c r="AT15" i="33"/>
  <c r="AT22" i="33"/>
  <c r="AT11" i="33"/>
  <c r="AT26" i="33"/>
  <c r="AT24" i="33"/>
  <c r="AT36" i="33"/>
  <c r="N19" i="4"/>
  <c r="Q18" i="4"/>
  <c r="H51" i="4"/>
  <c r="Z51" i="4"/>
  <c r="T21" i="4"/>
  <c r="Q20" i="4"/>
  <c r="T7" i="4"/>
  <c r="T49" i="4"/>
  <c r="E7" i="4"/>
  <c r="K51" i="4"/>
  <c r="N21" i="4"/>
  <c r="W19" i="4"/>
  <c r="H36" i="4"/>
  <c r="H20" i="4"/>
  <c r="N7" i="4"/>
  <c r="T20" i="4"/>
  <c r="Z36" i="4"/>
  <c r="Q37" i="4"/>
  <c r="W62" i="34" s="1"/>
  <c r="K7" i="4"/>
  <c r="Q21" i="4"/>
  <c r="V62" i="34" s="1"/>
  <c r="B21" i="4"/>
  <c r="H21" i="4"/>
  <c r="Q19" i="4"/>
  <c r="Z35" i="4"/>
  <c r="N51" i="4"/>
  <c r="E37" i="4"/>
  <c r="K36" i="4"/>
  <c r="B34" i="4"/>
  <c r="B7" i="4"/>
  <c r="B36" i="4"/>
  <c r="E36" i="4"/>
  <c r="W36" i="4"/>
  <c r="B20" i="4"/>
  <c r="T50" i="4"/>
  <c r="K37" i="4"/>
  <c r="H7" i="4"/>
  <c r="K35" i="4"/>
  <c r="B37" i="4"/>
  <c r="W20" i="4"/>
  <c r="Z37" i="4"/>
  <c r="T6" i="4"/>
  <c r="AC20" i="4"/>
  <c r="H37" i="4"/>
  <c r="N18" i="4"/>
  <c r="AC21" i="4"/>
  <c r="K50" i="4"/>
  <c r="T51" i="4"/>
  <c r="N50" i="4"/>
  <c r="N20" i="4"/>
  <c r="W7" i="4"/>
  <c r="B35" i="4"/>
  <c r="AC7" i="4"/>
  <c r="N6" i="4"/>
  <c r="N37" i="4"/>
  <c r="AC37" i="4"/>
  <c r="Z7" i="4"/>
  <c r="W37" i="4"/>
  <c r="E35" i="4"/>
  <c r="W21" i="4"/>
  <c r="BI71" i="4"/>
  <c r="AH50" i="6"/>
  <c r="AF21" i="4"/>
  <c r="V112" i="34" s="1"/>
  <c r="AI7" i="4"/>
  <c r="U40" i="34" s="1"/>
  <c r="AF18" i="4"/>
  <c r="V109" i="34" s="1"/>
  <c r="AI51" i="4"/>
  <c r="X98" i="34" s="1"/>
  <c r="AI17" i="4"/>
  <c r="V118" i="34" s="1"/>
  <c r="AF50" i="4"/>
  <c r="X89" i="34" s="1"/>
  <c r="AF7" i="4"/>
  <c r="U37" i="34" s="1"/>
  <c r="AI47" i="4"/>
  <c r="X94" i="34" s="1"/>
  <c r="AI33" i="4"/>
  <c r="W118" i="34" s="1"/>
  <c r="AF51" i="4"/>
  <c r="X90" i="34" s="1"/>
  <c r="AI49" i="4"/>
  <c r="X96" i="34" s="1"/>
  <c r="AI37" i="4"/>
  <c r="W122" i="34" s="1"/>
  <c r="AF48" i="4"/>
  <c r="X87" i="34" s="1"/>
  <c r="AI18" i="4"/>
  <c r="V119" i="34" s="1"/>
  <c r="AI6" i="4"/>
  <c r="U39" i="34" s="1"/>
  <c r="AF49" i="4"/>
  <c r="X88" i="34" s="1"/>
  <c r="AI16" i="4"/>
  <c r="V117" i="34" s="1"/>
  <c r="AF6" i="4"/>
  <c r="U36" i="34" s="1"/>
  <c r="AI20" i="4"/>
  <c r="V121" i="34" s="1"/>
  <c r="AI31" i="4"/>
  <c r="W116" i="34" s="1"/>
  <c r="AI15" i="4"/>
  <c r="V116" i="34" s="1"/>
  <c r="AI32" i="4"/>
  <c r="W117" i="34" s="1"/>
  <c r="AF16" i="4"/>
  <c r="V107" i="34" s="1"/>
  <c r="AF32" i="4"/>
  <c r="W107" i="34" s="1"/>
  <c r="AF15" i="4"/>
  <c r="V106" i="34" s="1"/>
  <c r="AI35" i="4"/>
  <c r="W120" i="34" s="1"/>
  <c r="AF35" i="4"/>
  <c r="W110" i="34" s="1"/>
  <c r="AF47" i="4"/>
  <c r="X86" i="34" s="1"/>
  <c r="AF33" i="4"/>
  <c r="W108" i="34" s="1"/>
  <c r="AF36" i="4"/>
  <c r="W111" i="34" s="1"/>
  <c r="AI34" i="4"/>
  <c r="W119" i="34" s="1"/>
  <c r="AI21" i="4"/>
  <c r="V122" i="34" s="1"/>
  <c r="AF31" i="4"/>
  <c r="W106" i="34" s="1"/>
  <c r="AI48" i="4"/>
  <c r="X95" i="34" s="1"/>
  <c r="AI36" i="4"/>
  <c r="W121" i="34" s="1"/>
  <c r="AI50" i="4"/>
  <c r="X97" i="34" s="1"/>
  <c r="AF37" i="4"/>
  <c r="W112" i="34" s="1"/>
  <c r="AF19" i="4"/>
  <c r="V110" i="34" s="1"/>
  <c r="AF20" i="4"/>
  <c r="V111" i="34" s="1"/>
  <c r="AF34" i="4"/>
  <c r="W109" i="34" s="1"/>
  <c r="AI19" i="4"/>
  <c r="V120" i="34" s="1"/>
  <c r="AF17" i="4"/>
  <c r="V108" i="34" s="1"/>
  <c r="Q566" i="30"/>
  <c r="Q390" i="30"/>
  <c r="Q56" i="30"/>
  <c r="Q610" i="30"/>
  <c r="Q113" i="30"/>
  <c r="Q160" i="30"/>
  <c r="Q69" i="30"/>
  <c r="Q445" i="30"/>
  <c r="Q255" i="30"/>
  <c r="Q666" i="30"/>
  <c r="Q606" i="30"/>
  <c r="Q518" i="30"/>
  <c r="Q567" i="30"/>
  <c r="Q408" i="30"/>
  <c r="Q260" i="30"/>
  <c r="Q252" i="30"/>
  <c r="Q487" i="30"/>
  <c r="Q612" i="30"/>
  <c r="Q313" i="30"/>
  <c r="Q134" i="30"/>
  <c r="Q305" i="30"/>
  <c r="Q522" i="30"/>
  <c r="Q169" i="30"/>
  <c r="Q224" i="30"/>
  <c r="Q301" i="30"/>
  <c r="Q486" i="30"/>
  <c r="Q280" i="30"/>
  <c r="Q201" i="30"/>
  <c r="Q101" i="30"/>
  <c r="Q536" i="30"/>
  <c r="Q585" i="30"/>
  <c r="Q503" i="30"/>
  <c r="Q266" i="30"/>
  <c r="Q593" i="30"/>
  <c r="Q707" i="30"/>
  <c r="Q131" i="30"/>
  <c r="Q476" i="30"/>
  <c r="Q33" i="30"/>
  <c r="Q55" i="30"/>
  <c r="Q385" i="30"/>
  <c r="Q683" i="30"/>
  <c r="Q20" i="30"/>
  <c r="Q122" i="30"/>
  <c r="Q117" i="30"/>
  <c r="Q508" i="30"/>
  <c r="Q409" i="30"/>
  <c r="Q118" i="30"/>
  <c r="Q662" i="30"/>
  <c r="Q156" i="30"/>
  <c r="Q463" i="30"/>
  <c r="Q318" i="30"/>
  <c r="Q590" i="30"/>
  <c r="Q663" i="30"/>
  <c r="Q237" i="30"/>
  <c r="Q529" i="30"/>
  <c r="Q382" i="30"/>
  <c r="Q246" i="30"/>
  <c r="Q193" i="30"/>
  <c r="Q695" i="30"/>
  <c r="Q440" i="30"/>
  <c r="Q507" i="30"/>
  <c r="Q23" i="30"/>
  <c r="Q240" i="30"/>
  <c r="Q151" i="30"/>
  <c r="Q43" i="30"/>
  <c r="Q393" i="30"/>
  <c r="Q539" i="30"/>
  <c r="Q579" i="30"/>
  <c r="Q85" i="30"/>
  <c r="Q600" i="30"/>
  <c r="Q239" i="30"/>
  <c r="Q204" i="30"/>
  <c r="Q413" i="30"/>
  <c r="Q62" i="30"/>
  <c r="Q388" i="30"/>
  <c r="Q39" i="30"/>
  <c r="Q276" i="30"/>
  <c r="Q484" i="30"/>
  <c r="Q627" i="30"/>
  <c r="Q448" i="30"/>
  <c r="Q202" i="30"/>
  <c r="Q45" i="30"/>
  <c r="Q230" i="30"/>
  <c r="Q649" i="30"/>
  <c r="Q97" i="30"/>
  <c r="Q26" i="30"/>
  <c r="Q374" i="30"/>
  <c r="Q219" i="30"/>
  <c r="Q25" i="30"/>
  <c r="Q533" i="30"/>
  <c r="Q161" i="30"/>
  <c r="Q125" i="30"/>
  <c r="Q99" i="30"/>
  <c r="Q302" i="30"/>
  <c r="Q358" i="30"/>
  <c r="Q537" i="30"/>
  <c r="Q61" i="30"/>
  <c r="Q652" i="30"/>
  <c r="Q265" i="30"/>
  <c r="Q247" i="30"/>
  <c r="Q168" i="30"/>
  <c r="Q577" i="30"/>
  <c r="Q114" i="30"/>
  <c r="Q608" i="30"/>
  <c r="Q636" i="30"/>
  <c r="Q677" i="30"/>
  <c r="Q616" i="30"/>
  <c r="Q354" i="30"/>
  <c r="Q269" i="30"/>
  <c r="Q68" i="30"/>
  <c r="Q132" i="30"/>
  <c r="Q449" i="30"/>
  <c r="Q609" i="30"/>
  <c r="Q526" i="30"/>
  <c r="Q718" i="30"/>
  <c r="Q121" i="30"/>
  <c r="Q395" i="30"/>
  <c r="Q154" i="30"/>
  <c r="Q492" i="30"/>
  <c r="Q343" i="30"/>
  <c r="Q603" i="30"/>
  <c r="Q499" i="30"/>
  <c r="Q304" i="30"/>
  <c r="Q282" i="30"/>
  <c r="Q211" i="30"/>
  <c r="Q210" i="30"/>
  <c r="Q51" i="30"/>
  <c r="Q107" i="30"/>
  <c r="Q275" i="30"/>
  <c r="Q47" i="30"/>
  <c r="Q455" i="30"/>
  <c r="Q586" i="30"/>
  <c r="Q618" i="30"/>
  <c r="Q339" i="30"/>
  <c r="Q129" i="30"/>
  <c r="Q162" i="30"/>
  <c r="Q541" i="30"/>
  <c r="Q180" i="30"/>
  <c r="Q467" i="30"/>
  <c r="Q179" i="30"/>
  <c r="Q547" i="30"/>
  <c r="Q459" i="30"/>
  <c r="Q196" i="30"/>
  <c r="Q532" i="30"/>
  <c r="Q362" i="30"/>
  <c r="Q67" i="30"/>
  <c r="Q194" i="30"/>
  <c r="Q561" i="30"/>
  <c r="Q521" i="30"/>
  <c r="Q77" i="30"/>
  <c r="Q461" i="30"/>
  <c r="Q444" i="30"/>
  <c r="Q425" i="30"/>
  <c r="Q525" i="30"/>
  <c r="Q253" i="30"/>
  <c r="Q659" i="30"/>
  <c r="Q465" i="30"/>
  <c r="Q428" i="30"/>
  <c r="Q482" i="30"/>
  <c r="Q597" i="30"/>
  <c r="Q235" i="30"/>
  <c r="Q527" i="30"/>
  <c r="Q203" i="30"/>
  <c r="Q106" i="30"/>
  <c r="Q430" i="30"/>
  <c r="Q622" i="30"/>
  <c r="Q519" i="30"/>
  <c r="Q632" i="30"/>
  <c r="Q322" i="30"/>
  <c r="Q306" i="30"/>
  <c r="Q373" i="30"/>
  <c r="Q314" i="30"/>
  <c r="Q153" i="30"/>
  <c r="Q86" i="30"/>
  <c r="Q368" i="30"/>
  <c r="Q124" i="30"/>
  <c r="Q688" i="30"/>
  <c r="Q698" i="30"/>
  <c r="Q470" i="30"/>
  <c r="Q546" i="30"/>
  <c r="Q65" i="30"/>
  <c r="Q630" i="30"/>
  <c r="Q441" i="30"/>
  <c r="Q147" i="30"/>
  <c r="Q352" i="30"/>
  <c r="Q454" i="30"/>
  <c r="Q360" i="30"/>
  <c r="Q417" i="30"/>
  <c r="Q435" i="30"/>
  <c r="Q34" i="30"/>
  <c r="Q258" i="30"/>
  <c r="Q287" i="30"/>
  <c r="Q243" i="30"/>
  <c r="Q687" i="30"/>
  <c r="Q24" i="30"/>
  <c r="Q502" i="30"/>
  <c r="Q59" i="30"/>
  <c r="Q637" i="30"/>
  <c r="Q580" i="30"/>
  <c r="Q175" i="30"/>
  <c r="Q127" i="30"/>
  <c r="Q200" i="30"/>
  <c r="Q392" i="30"/>
  <c r="Q713" i="30"/>
  <c r="Q640" i="30"/>
  <c r="Q349" i="30"/>
  <c r="Q494" i="30"/>
  <c r="Q163" i="30"/>
  <c r="Q715" i="30"/>
  <c r="Q171" i="30"/>
  <c r="Q223" i="30"/>
  <c r="Q468" i="30"/>
  <c r="Q553" i="30"/>
  <c r="Q711" i="30"/>
  <c r="Q207" i="30"/>
  <c r="Q621" i="30"/>
  <c r="Q108" i="30"/>
  <c r="Q263" i="30"/>
  <c r="Q234" i="30"/>
  <c r="Q422" i="30"/>
  <c r="Q651" i="30"/>
  <c r="Q267" i="30"/>
  <c r="Q128" i="30"/>
  <c r="Q138" i="30"/>
  <c r="Q181" i="30"/>
  <c r="Q366" i="30"/>
  <c r="Q611" i="30"/>
  <c r="Q270" i="30"/>
  <c r="Q143" i="30"/>
  <c r="Q654" i="30"/>
  <c r="Q251" i="30"/>
  <c r="Q591" i="30"/>
  <c r="Q668" i="30"/>
  <c r="Q623" i="30"/>
  <c r="Q643" i="30"/>
  <c r="Q152" i="30"/>
  <c r="Q104" i="30"/>
  <c r="Q562" i="30"/>
  <c r="Q469" i="30"/>
  <c r="Q509" i="30"/>
  <c r="Q241" i="30"/>
  <c r="Q76" i="30"/>
  <c r="Q334" i="30"/>
  <c r="Q564" i="30"/>
  <c r="Q438" i="30"/>
  <c r="Q442" i="30"/>
  <c r="Q400" i="30"/>
  <c r="Q130" i="30"/>
  <c r="Q720" i="30"/>
  <c r="Q229" i="30"/>
  <c r="Q398" i="30"/>
  <c r="Q178" i="30"/>
  <c r="Q141" i="30"/>
  <c r="Q31" i="30"/>
  <c r="Q49" i="30"/>
  <c r="Q478" i="30"/>
  <c r="Q300" i="30"/>
  <c r="Q73" i="30"/>
  <c r="Q145" i="30"/>
  <c r="Q381" i="30"/>
  <c r="Q481" i="30"/>
  <c r="Q261" i="30"/>
  <c r="Q377" i="30"/>
  <c r="Q126" i="30"/>
  <c r="Q274" i="30"/>
  <c r="Q166" i="30"/>
  <c r="Q453" i="30"/>
  <c r="Q281" i="30"/>
  <c r="Q489" i="30"/>
  <c r="Q37" i="30"/>
  <c r="Q505" i="30"/>
  <c r="Q699" i="30"/>
  <c r="Q583" i="30"/>
  <c r="Q98" i="30"/>
  <c r="Q571" i="30"/>
  <c r="Q312" i="30"/>
  <c r="Q685" i="30"/>
  <c r="Q450" i="30"/>
  <c r="Q158" i="30"/>
  <c r="Q164" i="30"/>
  <c r="Q407" i="30"/>
  <c r="Q331" i="30"/>
  <c r="Q53" i="30"/>
  <c r="Q220" i="30"/>
  <c r="Q208" i="30"/>
  <c r="Q717" i="30"/>
  <c r="Q679" i="30"/>
  <c r="Q528" i="30"/>
  <c r="Q326" i="30"/>
  <c r="Q678" i="30"/>
  <c r="Q213" i="30"/>
  <c r="Q582" i="30"/>
  <c r="Q40" i="30"/>
  <c r="Q460" i="30"/>
  <c r="Q95" i="30"/>
  <c r="Q656" i="30"/>
  <c r="Q625" i="30"/>
  <c r="Q540" i="30"/>
  <c r="Q689" i="30"/>
  <c r="Q149" i="30"/>
  <c r="Q512" i="30"/>
  <c r="Q544" i="30"/>
  <c r="Q46" i="30"/>
  <c r="Q524" i="30"/>
  <c r="Q416" i="30"/>
  <c r="Q299" i="30"/>
  <c r="Q380" i="30"/>
  <c r="Q182" i="30"/>
  <c r="Q464" i="30"/>
  <c r="Q197" i="30"/>
  <c r="Q558" i="30"/>
  <c r="Q604" i="30"/>
  <c r="Q559" i="30"/>
  <c r="Q165" i="30"/>
  <c r="Q157" i="30"/>
  <c r="Q588" i="30"/>
  <c r="Q631" i="30"/>
  <c r="Q657" i="30"/>
  <c r="Q119" i="30"/>
  <c r="Q244" i="30"/>
  <c r="Q712" i="30"/>
  <c r="Q498" i="30"/>
  <c r="Q569" i="30"/>
  <c r="Q72" i="30"/>
  <c r="Q231" i="30"/>
  <c r="Q341" i="30"/>
  <c r="Q697" i="30"/>
  <c r="Q653" i="30"/>
  <c r="Q383" i="30"/>
  <c r="Q176" i="30"/>
  <c r="Q221" i="30"/>
  <c r="Q642" i="30"/>
  <c r="Q646" i="30"/>
  <c r="Q504" i="30"/>
  <c r="Q199" i="30"/>
  <c r="Q378" i="30"/>
  <c r="Q363" i="30"/>
  <c r="Q690" i="30"/>
  <c r="Q480" i="30"/>
  <c r="Q543" i="30"/>
  <c r="Q140" i="30"/>
  <c r="Q123" i="30"/>
  <c r="Q32" i="30"/>
  <c r="Q364" i="30"/>
  <c r="Q434" i="30"/>
  <c r="Q347" i="30"/>
  <c r="Q684" i="30"/>
  <c r="Q447" i="30"/>
  <c r="Q332" i="30"/>
  <c r="Q226" i="30"/>
  <c r="Q79" i="30"/>
  <c r="Q538" i="30"/>
  <c r="Q384" i="30"/>
  <c r="Q426" i="30"/>
  <c r="Q87" i="30"/>
  <c r="Q404" i="30"/>
  <c r="Q456" i="30"/>
  <c r="Q66" i="30"/>
  <c r="Q78" i="30"/>
  <c r="Q54" i="30"/>
  <c r="Q394" i="30"/>
  <c r="Q513" i="30"/>
  <c r="Q676" i="30"/>
  <c r="Q702" i="30"/>
  <c r="Q475" i="30"/>
  <c r="Q167" i="30"/>
  <c r="Q36" i="30"/>
  <c r="Q35" i="30"/>
  <c r="Q325" i="30"/>
  <c r="Q27" i="30"/>
  <c r="Q531" i="30"/>
  <c r="Q172" i="30"/>
  <c r="Q401" i="30"/>
  <c r="Q112" i="30"/>
  <c r="Q599" i="30"/>
  <c r="Q295" i="30"/>
  <c r="Q257" i="30"/>
  <c r="Q116" i="30"/>
  <c r="Q572" i="30"/>
  <c r="Q714" i="30"/>
  <c r="Q345" i="30"/>
  <c r="Q514" i="30"/>
  <c r="Q57" i="30"/>
  <c r="Q706" i="30"/>
  <c r="Q556" i="30"/>
  <c r="Q551" i="30"/>
  <c r="Q491" i="30"/>
  <c r="Q228" i="30"/>
  <c r="Q264" i="30"/>
  <c r="Q330" i="30"/>
  <c r="Q472" i="30"/>
  <c r="Q315" i="30"/>
  <c r="Q387" i="30"/>
  <c r="Q427" i="30"/>
  <c r="Q458" i="30"/>
  <c r="Q584" i="30"/>
  <c r="Q563" i="30"/>
  <c r="Q462" i="30"/>
  <c r="Q309" i="30"/>
  <c r="Q259" i="30"/>
  <c r="Q595" i="30"/>
  <c r="Q578" i="30"/>
  <c r="Q704" i="30"/>
  <c r="Q294" i="30"/>
  <c r="Q283" i="30"/>
  <c r="Q661" i="30"/>
  <c r="Q598" i="30"/>
  <c r="Q412" i="30"/>
  <c r="Q89" i="30"/>
  <c r="Q705" i="30"/>
  <c r="Q615" i="30"/>
  <c r="Q397" i="30"/>
  <c r="Q439" i="30"/>
  <c r="Q700" i="30"/>
  <c r="Q446" i="30"/>
  <c r="Q109" i="30"/>
  <c r="Q369" i="30"/>
  <c r="Q574" i="30"/>
  <c r="Q189" i="30"/>
  <c r="Q617" i="30"/>
  <c r="Q696" i="30"/>
  <c r="Q710" i="30"/>
  <c r="Q206" i="30"/>
  <c r="Q277" i="30"/>
  <c r="Q279" i="30"/>
  <c r="Q80" i="30"/>
  <c r="Q682" i="30"/>
  <c r="Q290" i="30"/>
  <c r="Q84" i="30"/>
  <c r="Q673" i="30"/>
  <c r="Q192" i="30"/>
  <c r="Q102" i="30"/>
  <c r="Q693" i="30"/>
  <c r="Q414" i="30"/>
  <c r="Q177" i="30"/>
  <c r="Q191" i="30"/>
  <c r="Q365" i="30"/>
  <c r="Q250" i="30"/>
  <c r="Q552" i="30"/>
  <c r="Q135" i="30"/>
  <c r="Q150" i="30"/>
  <c r="Q399" i="30"/>
  <c r="Q432" i="30"/>
  <c r="Q184" i="30"/>
  <c r="Q249" i="30"/>
  <c r="Q110" i="30"/>
  <c r="Q575" i="30"/>
  <c r="Q340" i="30"/>
  <c r="Q477" i="30"/>
  <c r="Q535" i="30"/>
  <c r="Q633" i="30"/>
  <c r="Q548" i="30"/>
  <c r="Q644" i="30"/>
  <c r="Q671" i="30"/>
  <c r="Q716" i="30"/>
  <c r="Q285" i="30"/>
  <c r="Q329" i="30"/>
  <c r="Q391" i="30"/>
  <c r="Q91" i="30"/>
  <c r="Q41" i="30"/>
  <c r="Q501" i="30"/>
  <c r="Q516" i="30"/>
  <c r="Q324" i="30"/>
  <c r="Q402" i="30"/>
  <c r="Q303" i="30"/>
  <c r="Q174" i="30"/>
  <c r="Q115" i="30"/>
  <c r="Q691" i="30"/>
  <c r="Q396" i="30"/>
  <c r="Q628" i="30"/>
  <c r="Q225" i="30"/>
  <c r="Q232" i="30"/>
  <c r="Q316" i="30"/>
  <c r="Q719" i="30"/>
  <c r="Q195" i="30"/>
  <c r="Q686" i="30"/>
  <c r="Q664" i="30"/>
  <c r="Q421" i="30"/>
  <c r="Q111" i="30"/>
  <c r="Q292" i="30"/>
  <c r="Q379" i="30"/>
  <c r="Q620" i="30"/>
  <c r="Q272" i="30"/>
  <c r="Q320" i="30"/>
  <c r="Q530" i="30"/>
  <c r="Q351" i="30"/>
  <c r="Q262" i="30"/>
  <c r="Q371" i="30"/>
  <c r="Q436" i="30"/>
  <c r="Q297" i="30"/>
  <c r="Q471" i="30"/>
  <c r="Q254" i="30"/>
  <c r="Q361" i="30"/>
  <c r="Q554" i="30"/>
  <c r="Q423" i="30"/>
  <c r="Q389" i="30"/>
  <c r="Q665" i="30"/>
  <c r="Q353" i="30"/>
  <c r="Q81" i="30"/>
  <c r="Q443" i="30"/>
  <c r="Q367" i="30"/>
  <c r="Q289" i="30"/>
  <c r="Q403" i="30"/>
  <c r="Q420" i="30"/>
  <c r="Q30" i="30"/>
  <c r="Q198" i="30"/>
  <c r="Q245" i="30"/>
  <c r="Q517" i="30"/>
  <c r="Q296" i="30"/>
  <c r="Q645" i="30"/>
  <c r="Q139" i="30"/>
  <c r="Q570" i="30"/>
  <c r="Q641" i="30"/>
  <c r="Q333" i="30"/>
  <c r="Q703" i="30"/>
  <c r="Q694" i="30"/>
  <c r="Q183" i="30"/>
  <c r="Q605" i="30"/>
  <c r="Q222" i="30"/>
  <c r="Q635" i="30"/>
  <c r="Q284" i="30"/>
  <c r="Q50" i="30"/>
  <c r="Q298" i="30"/>
  <c r="Q701" i="30"/>
  <c r="Q650" i="30"/>
  <c r="Q488" i="30"/>
  <c r="Q28" i="30"/>
  <c r="Q236" i="30"/>
  <c r="Q238" i="30"/>
  <c r="Q405" i="30"/>
  <c r="Q375" i="30"/>
  <c r="Q273" i="30"/>
  <c r="Q451" i="30"/>
  <c r="Q75" i="30"/>
  <c r="Q190" i="30"/>
  <c r="Q291" i="30"/>
  <c r="Q142" i="30"/>
  <c r="Q144" i="30"/>
  <c r="Q82" i="30"/>
  <c r="Q215" i="30"/>
  <c r="Q658" i="30"/>
  <c r="Q155" i="30"/>
  <c r="Q93" i="30"/>
  <c r="Q667" i="30"/>
  <c r="Q452" i="30"/>
  <c r="Q568" i="30"/>
  <c r="Q357" i="30"/>
  <c r="Q310" i="30"/>
  <c r="Q520" i="30"/>
  <c r="Q708" i="30"/>
  <c r="Q370" i="30"/>
  <c r="Q589" i="30"/>
  <c r="Q549" i="30"/>
  <c r="Q136" i="30"/>
  <c r="Q22" i="30"/>
  <c r="Q216" i="30"/>
  <c r="Q186" i="30"/>
  <c r="Q90" i="30"/>
  <c r="Q411" i="30"/>
  <c r="Q614" i="30"/>
  <c r="Q185" i="30"/>
  <c r="Q159" i="30"/>
  <c r="Q500" i="30"/>
  <c r="Q410" i="30"/>
  <c r="Q74" i="30"/>
  <c r="Q271" i="30"/>
  <c r="Q692" i="30"/>
  <c r="Q100" i="30"/>
  <c r="Q70" i="30"/>
  <c r="Q601" i="30"/>
  <c r="Q418" i="30"/>
  <c r="Q506" i="30"/>
  <c r="Q592" i="30"/>
  <c r="Q209" i="30"/>
  <c r="Q433" i="30"/>
  <c r="Q560" i="30"/>
  <c r="Q317" i="30"/>
  <c r="Q92" i="30"/>
  <c r="Q319" i="30"/>
  <c r="Q386" i="30"/>
  <c r="Q515" i="30"/>
  <c r="Q406" i="30"/>
  <c r="Q278" i="30"/>
  <c r="Q83" i="30"/>
  <c r="Q493" i="30"/>
  <c r="Q120" i="30"/>
  <c r="Q634" i="30"/>
  <c r="Q105" i="30"/>
  <c r="Q629" i="30"/>
  <c r="Q581" i="30"/>
  <c r="Q497" i="30"/>
  <c r="Q212" i="30"/>
  <c r="Q38" i="30"/>
  <c r="Q457" i="30"/>
  <c r="Q242" i="30"/>
  <c r="Q288" i="30"/>
  <c r="Q490" i="30"/>
  <c r="Q675" i="30"/>
  <c r="Q587" i="30"/>
  <c r="Q335" i="30"/>
  <c r="Q323" i="30"/>
  <c r="Q626" i="30"/>
  <c r="Q350" i="30"/>
  <c r="Q148" i="30"/>
  <c r="Q217" i="30"/>
  <c r="Q419" i="30"/>
  <c r="Q21" i="30"/>
  <c r="Q496" i="30"/>
  <c r="Q48" i="30"/>
  <c r="Q205" i="30"/>
  <c r="Q293" i="30"/>
  <c r="Q619" i="30"/>
  <c r="Q473" i="30"/>
  <c r="Q64" i="30"/>
  <c r="Q233" i="30"/>
  <c r="Q483" i="30"/>
  <c r="Q648" i="30"/>
  <c r="Q96" i="30"/>
  <c r="Q479" i="30"/>
  <c r="Q218" i="30"/>
  <c r="Q311" i="30"/>
  <c r="Q63" i="30"/>
  <c r="Q670" i="30"/>
  <c r="Q596" i="30"/>
  <c r="Q256" i="30"/>
  <c r="Q321" i="30"/>
  <c r="Q187" i="30"/>
  <c r="Q346" i="30"/>
  <c r="Q542" i="30"/>
  <c r="Q359" i="30"/>
  <c r="Q594" i="30"/>
  <c r="Q103" i="30"/>
  <c r="Q44" i="30"/>
  <c r="Q327" i="30"/>
  <c r="Q669" i="30"/>
  <c r="Q429" i="30"/>
  <c r="Q555" i="30"/>
  <c r="Q495" i="30"/>
  <c r="Q681" i="30"/>
  <c r="Q88" i="30"/>
  <c r="Q348" i="30"/>
  <c r="Q188" i="30"/>
  <c r="Q355" i="30"/>
  <c r="Q680" i="30"/>
  <c r="Q60" i="30"/>
  <c r="Q523" i="30"/>
  <c r="Q638" i="30"/>
  <c r="Q613" i="30"/>
  <c r="Q42" i="30"/>
  <c r="Q338" i="30"/>
  <c r="Q424" i="30"/>
  <c r="Q137" i="30"/>
  <c r="Q376" i="30"/>
  <c r="Q146" i="30"/>
  <c r="Q415" i="30"/>
  <c r="Q647" i="30"/>
  <c r="Q607" i="30"/>
  <c r="Q58" i="30"/>
  <c r="Q624" i="30"/>
  <c r="Q94" i="30"/>
  <c r="Q336" i="30"/>
  <c r="Q437" i="30"/>
  <c r="Q29" i="30"/>
  <c r="Q342" i="30"/>
  <c r="Q71" i="30"/>
  <c r="Q602" i="30"/>
  <c r="Q227" i="30"/>
  <c r="Q52" i="30"/>
  <c r="Q576" i="30"/>
  <c r="Q573" i="30"/>
  <c r="Q133" i="30"/>
  <c r="Q431" i="30"/>
  <c r="Q655" i="30"/>
  <c r="Q308" i="30"/>
  <c r="Q672" i="30"/>
  <c r="Q356" i="30"/>
  <c r="Q337" i="30"/>
  <c r="Q709" i="30"/>
  <c r="Q372" i="30"/>
  <c r="Q545" i="30"/>
  <c r="Q674" i="30"/>
  <c r="Q173" i="30"/>
  <c r="Q639" i="30"/>
  <c r="Q550" i="30"/>
  <c r="Q328" i="30"/>
  <c r="Q307" i="30"/>
  <c r="Q511" i="30"/>
  <c r="Q344" i="30"/>
  <c r="Q170" i="30"/>
  <c r="Q248" i="30"/>
  <c r="Q286" i="30"/>
  <c r="Q466" i="30"/>
  <c r="Q474" i="30"/>
  <c r="Q660" i="30"/>
  <c r="Q565" i="30"/>
  <c r="Q214" i="30"/>
  <c r="Q510" i="30"/>
  <c r="Q268" i="30"/>
  <c r="Q485" i="30"/>
  <c r="Q534" i="30"/>
  <c r="Q557" i="30"/>
  <c r="F245" i="7"/>
  <c r="AA9" i="30"/>
  <c r="AB9" i="30"/>
  <c r="AA10" i="30"/>
  <c r="E12" i="30"/>
  <c r="F9" i="30"/>
  <c r="F11" i="30"/>
  <c r="E7" i="30"/>
  <c r="AA7" i="30"/>
  <c r="C11" i="30"/>
  <c r="AC10" i="30"/>
  <c r="AA12" i="30"/>
  <c r="AD7" i="30"/>
  <c r="AD12" i="30"/>
  <c r="AC8" i="30"/>
  <c r="AD8" i="30"/>
  <c r="E8" i="30"/>
  <c r="AB7" i="30"/>
  <c r="AC11" i="30"/>
  <c r="C12" i="30"/>
  <c r="AB8" i="30"/>
  <c r="D11" i="30"/>
  <c r="E11" i="30"/>
  <c r="AC12" i="30"/>
  <c r="F10" i="30"/>
  <c r="D12" i="30"/>
  <c r="F8" i="30"/>
  <c r="E9" i="30"/>
  <c r="E10" i="30"/>
  <c r="AA8" i="30"/>
  <c r="D10" i="30"/>
  <c r="F7" i="30"/>
  <c r="AB11" i="30"/>
  <c r="AC9" i="30"/>
  <c r="D7" i="30"/>
  <c r="AA11" i="30"/>
  <c r="C7" i="30"/>
  <c r="AD11" i="30"/>
  <c r="D8" i="30"/>
  <c r="AB10" i="30"/>
  <c r="AD10" i="30"/>
  <c r="F12" i="30"/>
  <c r="AB12" i="30"/>
  <c r="C10" i="30"/>
  <c r="AC7" i="30"/>
  <c r="D9" i="30"/>
  <c r="AD9" i="30"/>
  <c r="C9" i="30"/>
  <c r="C8" i="30"/>
  <c r="B33" i="4"/>
  <c r="E51" i="4"/>
  <c r="X18" i="34" s="1"/>
  <c r="B51" i="4"/>
  <c r="AC36" i="4"/>
  <c r="W101" i="34" s="1"/>
  <c r="H35" i="4"/>
  <c r="W30" i="34" s="1"/>
  <c r="H19" i="4"/>
  <c r="V30" i="34" s="1"/>
  <c r="Q17" i="4"/>
  <c r="V58" i="34" s="1"/>
  <c r="Z21" i="4"/>
  <c r="V92" i="34" s="1"/>
  <c r="N36" i="4"/>
  <c r="W51" i="34" s="1"/>
  <c r="Q36" i="4"/>
  <c r="W61" i="34" s="1"/>
  <c r="K49" i="4"/>
  <c r="X32" i="34" s="1"/>
  <c r="W18" i="4"/>
  <c r="V79" i="34" s="1"/>
  <c r="B50" i="4"/>
  <c r="Z34" i="4"/>
  <c r="W89" i="34" s="1"/>
  <c r="W6" i="4"/>
  <c r="U27" i="34" s="1"/>
  <c r="W35" i="4"/>
  <c r="W80" i="34" s="1"/>
  <c r="K21" i="4"/>
  <c r="V42" i="34" s="1"/>
  <c r="Z33" i="4"/>
  <c r="W88" i="34" s="1"/>
  <c r="H16" i="4"/>
  <c r="V27" i="34" s="1"/>
  <c r="E19" i="4"/>
  <c r="V20" i="34" s="1"/>
  <c r="T18" i="4"/>
  <c r="V69" i="34" s="1"/>
  <c r="W47" i="4"/>
  <c r="W17" i="4"/>
  <c r="V78" i="34" s="1"/>
  <c r="N46" i="4"/>
  <c r="X37" i="34" s="1"/>
  <c r="N5" i="4"/>
  <c r="U17" i="34" s="1"/>
  <c r="H47" i="4"/>
  <c r="X22" i="34" s="1"/>
  <c r="AC34" i="4"/>
  <c r="W99" i="34" s="1"/>
  <c r="H50" i="4"/>
  <c r="X25" i="34" s="1"/>
  <c r="AC33" i="4"/>
  <c r="W98" i="34" s="1"/>
  <c r="Q31" i="4"/>
  <c r="W56" i="34" s="1"/>
  <c r="E6" i="4"/>
  <c r="U9" i="34" s="1"/>
  <c r="K16" i="4"/>
  <c r="V37" i="34" s="1"/>
  <c r="K48" i="4"/>
  <c r="X31" i="34" s="1"/>
  <c r="T47" i="4"/>
  <c r="X54" i="34" s="1"/>
  <c r="E31" i="4"/>
  <c r="W16" i="34" s="1"/>
  <c r="K6" i="4"/>
  <c r="U15" i="34" s="1"/>
  <c r="T14" i="4"/>
  <c r="V65" i="34" s="1"/>
  <c r="AC17" i="4"/>
  <c r="V98" i="34" s="1"/>
  <c r="Z32" i="4"/>
  <c r="W87" i="34" s="1"/>
  <c r="Z31" i="4"/>
  <c r="W86" i="34" s="1"/>
  <c r="Q15" i="4"/>
  <c r="V56" i="34" s="1"/>
  <c r="W16" i="4"/>
  <c r="V77" i="34" s="1"/>
  <c r="K17" i="4"/>
  <c r="V38" i="34" s="1"/>
  <c r="W49" i="4"/>
  <c r="X64" i="34" s="1"/>
  <c r="Q6" i="4"/>
  <c r="U21" i="34" s="1"/>
  <c r="T36" i="4"/>
  <c r="W71" i="34" s="1"/>
  <c r="H33" i="4"/>
  <c r="W28" i="34" s="1"/>
  <c r="H32" i="4"/>
  <c r="W27" i="34" s="1"/>
  <c r="H17" i="4"/>
  <c r="V28" i="34" s="1"/>
  <c r="Z50" i="4"/>
  <c r="X73" i="34" s="1"/>
  <c r="Z18" i="4"/>
  <c r="V89" i="34" s="1"/>
  <c r="B48" i="4"/>
  <c r="N32" i="4"/>
  <c r="W47" i="34" s="1"/>
  <c r="H48" i="4"/>
  <c r="X23" i="34" s="1"/>
  <c r="H18" i="4"/>
  <c r="V29" i="34" s="1"/>
  <c r="W31" i="4"/>
  <c r="K31" i="4"/>
  <c r="W36" i="34" s="1"/>
  <c r="AC46" i="4"/>
  <c r="X77" i="34" s="1"/>
  <c r="E18" i="4"/>
  <c r="V19" i="34" s="1"/>
  <c r="H34" i="4"/>
  <c r="W29" i="34" s="1"/>
  <c r="AC14" i="4"/>
  <c r="V95" i="34" s="1"/>
  <c r="N49" i="4"/>
  <c r="X40" i="34" s="1"/>
  <c r="Z20" i="4"/>
  <c r="V91" i="34" s="1"/>
  <c r="AC15" i="4"/>
  <c r="V96" i="34" s="1"/>
  <c r="B18" i="4"/>
  <c r="AC5" i="4"/>
  <c r="U32" i="34" s="1"/>
  <c r="W34" i="4"/>
  <c r="W79" i="34" s="1"/>
  <c r="K20" i="4"/>
  <c r="V41" i="34" s="1"/>
  <c r="K34" i="4"/>
  <c r="W39" i="34" s="1"/>
  <c r="E50" i="4"/>
  <c r="X17" i="34" s="1"/>
  <c r="T32" i="4"/>
  <c r="W67" i="34" s="1"/>
  <c r="E33" i="4"/>
  <c r="W18" i="34" s="1"/>
  <c r="T48" i="4"/>
  <c r="X55" i="34" s="1"/>
  <c r="K18" i="4"/>
  <c r="V39" i="34" s="1"/>
  <c r="B19" i="4"/>
  <c r="AC18" i="4"/>
  <c r="V99" i="34" s="1"/>
  <c r="Z48" i="4"/>
  <c r="X71" i="34" s="1"/>
  <c r="Q50" i="4"/>
  <c r="X49" i="34" s="1"/>
  <c r="K46" i="4"/>
  <c r="X29" i="34" s="1"/>
  <c r="Q32" i="4"/>
  <c r="W57" i="34" s="1"/>
  <c r="N33" i="4"/>
  <c r="W48" i="34" s="1"/>
  <c r="W33" i="4"/>
  <c r="W78" i="34" s="1"/>
  <c r="AC31" i="4"/>
  <c r="W96" i="34" s="1"/>
  <c r="H49" i="4"/>
  <c r="X24" i="34" s="1"/>
  <c r="T15" i="4"/>
  <c r="V66" i="34" s="1"/>
  <c r="E48" i="4"/>
  <c r="X15" i="34" s="1"/>
  <c r="AC48" i="4"/>
  <c r="X79" i="34" s="1"/>
  <c r="H31" i="4"/>
  <c r="W26" i="34" s="1"/>
  <c r="E21" i="4"/>
  <c r="V22" i="34" s="1"/>
  <c r="E17" i="4"/>
  <c r="V18" i="34" s="1"/>
  <c r="T34" i="4"/>
  <c r="W69" i="34" s="1"/>
  <c r="N14" i="4"/>
  <c r="V45" i="34" s="1"/>
  <c r="N47" i="4"/>
  <c r="X38" i="34" s="1"/>
  <c r="K33" i="4"/>
  <c r="W38" i="34" s="1"/>
  <c r="Q47" i="4"/>
  <c r="X46" i="34" s="1"/>
  <c r="AC19" i="4"/>
  <c r="V100" i="34" s="1"/>
  <c r="AC30" i="4"/>
  <c r="W95" i="34" s="1"/>
  <c r="T16" i="4"/>
  <c r="V67" i="34" s="1"/>
  <c r="Q49" i="4"/>
  <c r="X48" i="34" s="1"/>
  <c r="Z30" i="4"/>
  <c r="W85" i="34" s="1"/>
  <c r="N16" i="4"/>
  <c r="V47" i="34" s="1"/>
  <c r="E16" i="4"/>
  <c r="V17" i="34" s="1"/>
  <c r="H6" i="4"/>
  <c r="U12" i="34" s="1"/>
  <c r="K19" i="4"/>
  <c r="V40" i="34" s="1"/>
  <c r="W48" i="4"/>
  <c r="X63" i="34" s="1"/>
  <c r="W50" i="4"/>
  <c r="X65" i="34" s="1"/>
  <c r="Z16" i="4"/>
  <c r="V87" i="34" s="1"/>
  <c r="Q34" i="4"/>
  <c r="W59" i="34" s="1"/>
  <c r="W14" i="4"/>
  <c r="V75" i="34" s="1"/>
  <c r="AC32" i="4"/>
  <c r="W97" i="34" s="1"/>
  <c r="N34" i="4"/>
  <c r="W49" i="34" s="1"/>
  <c r="Z17" i="4"/>
  <c r="V88" i="34" s="1"/>
  <c r="Z47" i="4"/>
  <c r="X70" i="34" s="1"/>
  <c r="AC16" i="4"/>
  <c r="V97" i="34" s="1"/>
  <c r="N35" i="4"/>
  <c r="W50" i="34" s="1"/>
  <c r="T31" i="4"/>
  <c r="W66" i="34" s="1"/>
  <c r="Q16" i="4"/>
  <c r="V57" i="34" s="1"/>
  <c r="AC50" i="4"/>
  <c r="X81" i="34" s="1"/>
  <c r="Z46" i="4"/>
  <c r="X69" i="34" s="1"/>
  <c r="E5" i="4"/>
  <c r="U8" i="34" s="1"/>
  <c r="AC49" i="4"/>
  <c r="X80" i="34" s="1"/>
  <c r="Q5" i="4"/>
  <c r="U20" i="34" s="1"/>
  <c r="AC6" i="4"/>
  <c r="U33" i="34" s="1"/>
  <c r="B32" i="4"/>
  <c r="K32" i="4"/>
  <c r="W37" i="34" s="1"/>
  <c r="E34" i="4"/>
  <c r="W19" i="34" s="1"/>
  <c r="B16" i="4"/>
  <c r="Z15" i="4"/>
  <c r="V86" i="34" s="1"/>
  <c r="N15" i="4"/>
  <c r="V46" i="34" s="1"/>
  <c r="Z6" i="4"/>
  <c r="U30" i="34" s="1"/>
  <c r="Z19" i="4"/>
  <c r="V90" i="34" s="1"/>
  <c r="N17" i="4"/>
  <c r="V48" i="34" s="1"/>
  <c r="AC47" i="4"/>
  <c r="X78" i="34" s="1"/>
  <c r="Q35" i="4"/>
  <c r="Z5" i="4"/>
  <c r="U29" i="34" s="1"/>
  <c r="E20" i="4"/>
  <c r="V21" i="34" s="1"/>
  <c r="N48" i="4"/>
  <c r="X39" i="34" s="1"/>
  <c r="H5" i="4"/>
  <c r="U11" i="34" s="1"/>
  <c r="K5" i="4"/>
  <c r="U14" i="34" s="1"/>
  <c r="E49" i="4"/>
  <c r="X16" i="34" s="1"/>
  <c r="E15" i="4"/>
  <c r="V16" i="34" s="1"/>
  <c r="Z14" i="4"/>
  <c r="V85" i="34" s="1"/>
  <c r="AC35" i="4"/>
  <c r="W100" i="34" s="1"/>
  <c r="T37" i="4"/>
  <c r="W72" i="34" s="1"/>
  <c r="N31" i="4"/>
  <c r="W46" i="34" s="1"/>
  <c r="E47" i="4"/>
  <c r="X14" i="34" s="1"/>
  <c r="B6" i="4"/>
  <c r="Q51" i="4"/>
  <c r="X50" i="34" s="1"/>
  <c r="K47" i="4"/>
  <c r="X30" i="34" s="1"/>
  <c r="Z49" i="4"/>
  <c r="X72" i="34" s="1"/>
  <c r="T17" i="4"/>
  <c r="V68" i="34" s="1"/>
  <c r="T19" i="4"/>
  <c r="V70" i="34" s="1"/>
  <c r="B17" i="4"/>
  <c r="B47" i="4"/>
  <c r="N30" i="4"/>
  <c r="W45" i="34" s="1"/>
  <c r="Q33" i="4"/>
  <c r="W58" i="34" s="1"/>
  <c r="E32" i="4"/>
  <c r="W17" i="34" s="1"/>
  <c r="H15" i="4"/>
  <c r="V26" i="34" s="1"/>
  <c r="T35" i="4"/>
  <c r="W70" i="34" s="1"/>
  <c r="W32" i="4"/>
  <c r="W77" i="34" s="1"/>
  <c r="Q7" i="4"/>
  <c r="U22" i="34" s="1"/>
  <c r="B49" i="4"/>
  <c r="W15" i="4"/>
  <c r="T33" i="4"/>
  <c r="W68" i="34" s="1"/>
  <c r="Q48" i="4"/>
  <c r="X47" i="34" s="1"/>
  <c r="W51" i="4"/>
  <c r="X66" i="34" s="1"/>
  <c r="AC51" i="4"/>
  <c r="X82" i="34" s="1"/>
  <c r="B31" i="4"/>
  <c r="B15" i="4"/>
  <c r="B14" i="4"/>
  <c r="B9" i="33"/>
  <c r="N10" i="33"/>
  <c r="K15" i="4"/>
  <c r="AT9" i="33"/>
  <c r="AF14" i="4"/>
  <c r="AP9" i="33"/>
  <c r="AI14" i="4"/>
  <c r="AT31" i="33"/>
  <c r="AF46" i="4"/>
  <c r="AI46" i="4"/>
  <c r="AP31" i="33"/>
  <c r="AT20" i="33"/>
  <c r="AF30" i="4"/>
  <c r="AP20" i="33"/>
  <c r="AI30" i="4"/>
  <c r="AI5" i="4"/>
  <c r="AF5" i="4"/>
  <c r="AP5" i="33"/>
  <c r="AT5" i="33"/>
  <c r="AD31" i="33"/>
  <c r="AD5" i="33"/>
  <c r="Z31" i="33"/>
  <c r="V31" i="33"/>
  <c r="V9" i="33"/>
  <c r="K30" i="4"/>
  <c r="J31" i="33"/>
  <c r="H14" i="4"/>
  <c r="E30" i="4"/>
  <c r="B46" i="4"/>
  <c r="B5" i="4"/>
  <c r="B30" i="4"/>
  <c r="W30" i="4"/>
  <c r="W5" i="4"/>
  <c r="T46" i="4"/>
  <c r="V20" i="33"/>
  <c r="Q14" i="4"/>
  <c r="J20" i="33"/>
  <c r="J9" i="33"/>
  <c r="E46" i="4"/>
  <c r="B31" i="33"/>
  <c r="B5" i="33"/>
  <c r="T30" i="4"/>
  <c r="Z5" i="33"/>
  <c r="AD20" i="33"/>
  <c r="Z20" i="33"/>
  <c r="T5" i="4"/>
  <c r="Q30" i="4"/>
  <c r="N20" i="33"/>
  <c r="K14" i="4"/>
  <c r="H46" i="4"/>
  <c r="F20" i="33"/>
  <c r="F9" i="33"/>
  <c r="B20" i="33"/>
  <c r="W46" i="4"/>
  <c r="Q46" i="4"/>
  <c r="N9" i="33"/>
  <c r="H30" i="4"/>
  <c r="F31" i="33"/>
  <c r="E14" i="4"/>
  <c r="G190" i="29"/>
  <c r="AF191" i="29"/>
  <c r="T191" i="29"/>
  <c r="AC191" i="29"/>
  <c r="B28" i="6"/>
  <c r="B11" i="6"/>
  <c r="B6" i="6"/>
  <c r="I190" i="29"/>
  <c r="B15" i="6"/>
  <c r="B25" i="6"/>
  <c r="B23" i="6"/>
  <c r="B17" i="6"/>
  <c r="B10" i="6"/>
  <c r="B36" i="6"/>
  <c r="B39" i="6"/>
  <c r="B41" i="6"/>
  <c r="B27" i="6"/>
  <c r="B16" i="6"/>
  <c r="B30" i="6"/>
  <c r="B37" i="6"/>
  <c r="B26" i="6"/>
  <c r="B5" i="6"/>
  <c r="B12" i="6"/>
  <c r="B13" i="6"/>
  <c r="B38" i="6"/>
  <c r="B29" i="6"/>
  <c r="H190" i="29"/>
  <c r="Z191" i="29"/>
  <c r="W191" i="29"/>
  <c r="B40" i="6"/>
  <c r="B24" i="6"/>
  <c r="B14" i="6"/>
  <c r="F264" i="7" l="1"/>
  <c r="X191" i="29"/>
  <c r="AA191" i="29"/>
  <c r="J191" i="29"/>
  <c r="M191" i="29"/>
  <c r="O185" i="3" s="1"/>
  <c r="AD191" i="29"/>
  <c r="D191" i="29"/>
  <c r="C185" i="3" s="1"/>
  <c r="U191" i="29"/>
  <c r="AG191" i="29"/>
  <c r="P191" i="29"/>
  <c r="L185" i="3" s="1"/>
  <c r="A292" i="7"/>
  <c r="F184" i="3"/>
  <c r="AV181" i="4"/>
  <c r="J183" i="3"/>
  <c r="E190" i="29"/>
  <c r="V190" i="29"/>
  <c r="F190" i="29" s="1"/>
  <c r="B184" i="3" s="1"/>
  <c r="M183" i="3"/>
  <c r="AT181" i="4"/>
  <c r="AN181" i="4"/>
  <c r="A183" i="3"/>
  <c r="B491" i="7"/>
  <c r="L491" i="7" s="1"/>
  <c r="AR181" i="4"/>
  <c r="G183" i="3"/>
  <c r="N190" i="29"/>
  <c r="AE190" i="29"/>
  <c r="O190" i="29" s="1"/>
  <c r="N184" i="3" s="1"/>
  <c r="H183" i="3"/>
  <c r="C491" i="7"/>
  <c r="AB190" i="29"/>
  <c r="L190" i="29" s="1"/>
  <c r="K190" i="29"/>
  <c r="A523" i="7"/>
  <c r="I184" i="3"/>
  <c r="AH190" i="29"/>
  <c r="R190" i="29" s="1"/>
  <c r="K184" i="3" s="1"/>
  <c r="Q190" i="29"/>
  <c r="D184" i="3"/>
  <c r="B266" i="7"/>
  <c r="AP182" i="4"/>
  <c r="E184" i="3"/>
  <c r="C266" i="7"/>
  <c r="Y191" i="29"/>
  <c r="G265" i="7"/>
  <c r="I265" i="7"/>
  <c r="K265" i="7"/>
  <c r="E265" i="7"/>
  <c r="H265" i="7"/>
  <c r="J265" i="7"/>
  <c r="D265" i="7"/>
  <c r="F265" i="7" s="1"/>
  <c r="L265" i="7"/>
  <c r="X61" i="34"/>
  <c r="W75" i="34"/>
  <c r="U26" i="34"/>
  <c r="X53" i="34"/>
  <c r="W65" i="34"/>
  <c r="U23" i="34"/>
  <c r="X45" i="34"/>
  <c r="W55" i="34"/>
  <c r="V55" i="34"/>
  <c r="V36" i="34"/>
  <c r="W35" i="34"/>
  <c r="V35" i="34"/>
  <c r="W25" i="34"/>
  <c r="X21" i="34"/>
  <c r="V25" i="34"/>
  <c r="X13" i="34"/>
  <c r="W15" i="34"/>
  <c r="V15" i="34"/>
  <c r="X93" i="34"/>
  <c r="X85" i="34"/>
  <c r="W115" i="34"/>
  <c r="W105" i="34"/>
  <c r="V115" i="34"/>
  <c r="V105" i="34"/>
  <c r="U35" i="34"/>
  <c r="U38" i="34"/>
  <c r="X8" i="34"/>
  <c r="V5" i="34"/>
  <c r="W5" i="34"/>
  <c r="V8" i="34"/>
  <c r="W7" i="34"/>
  <c r="V9" i="34"/>
  <c r="X21" i="4"/>
  <c r="V82" i="34"/>
  <c r="AD37" i="4"/>
  <c r="W102" i="34"/>
  <c r="W10" i="34"/>
  <c r="U51" i="4"/>
  <c r="X58" i="34"/>
  <c r="I37" i="4"/>
  <c r="W32" i="34"/>
  <c r="X20" i="4"/>
  <c r="V81" i="34"/>
  <c r="BE39" i="4"/>
  <c r="W42" i="34"/>
  <c r="F36" i="4"/>
  <c r="W21" i="34"/>
  <c r="AI41" i="6"/>
  <c r="T41" i="10" s="1"/>
  <c r="W41" i="34"/>
  <c r="R19" i="4"/>
  <c r="V60" i="34"/>
  <c r="AG16" i="6"/>
  <c r="R16" i="10" s="1"/>
  <c r="U16" i="34"/>
  <c r="O7" i="4"/>
  <c r="U19" i="34"/>
  <c r="O21" i="4"/>
  <c r="V52" i="34"/>
  <c r="U7" i="4"/>
  <c r="U25" i="34"/>
  <c r="I51" i="4"/>
  <c r="X26" i="34"/>
  <c r="U5" i="34"/>
  <c r="V6" i="34"/>
  <c r="W6" i="34"/>
  <c r="BA73" i="4"/>
  <c r="V76" i="34"/>
  <c r="BM59" i="4"/>
  <c r="W60" i="34"/>
  <c r="V7" i="34"/>
  <c r="BI59" i="4"/>
  <c r="X62" i="34"/>
  <c r="X10" i="34"/>
  <c r="F35" i="4"/>
  <c r="W20" i="34"/>
  <c r="O37" i="4"/>
  <c r="W52" i="34"/>
  <c r="X7" i="4"/>
  <c r="U28" i="34"/>
  <c r="BI30" i="4"/>
  <c r="X33" i="34"/>
  <c r="AD20" i="4"/>
  <c r="V101" i="34"/>
  <c r="W12" i="34"/>
  <c r="U50" i="4"/>
  <c r="X57" i="34"/>
  <c r="W11" i="34"/>
  <c r="F37" i="4"/>
  <c r="W22" i="34"/>
  <c r="I21" i="4"/>
  <c r="V32" i="34"/>
  <c r="I20" i="4"/>
  <c r="V31" i="34"/>
  <c r="AJ34" i="6"/>
  <c r="U34" i="10" s="1"/>
  <c r="X34" i="34"/>
  <c r="R20" i="4"/>
  <c r="V61" i="34"/>
  <c r="R18" i="4"/>
  <c r="V59" i="34"/>
  <c r="X5" i="34"/>
  <c r="U6" i="34"/>
  <c r="V10" i="34"/>
  <c r="X37" i="4"/>
  <c r="W82" i="34"/>
  <c r="O6" i="4"/>
  <c r="U18" i="34"/>
  <c r="O20" i="4"/>
  <c r="V51" i="34"/>
  <c r="AD21" i="4"/>
  <c r="V102" i="34"/>
  <c r="U6" i="4"/>
  <c r="U24" i="34"/>
  <c r="AI40" i="6"/>
  <c r="AF40" i="7" s="1"/>
  <c r="AC40" i="3" s="1"/>
  <c r="W40" i="34"/>
  <c r="C20" i="4"/>
  <c r="V11" i="34"/>
  <c r="C7" i="4"/>
  <c r="U7" i="34"/>
  <c r="O51" i="4"/>
  <c r="X42" i="34"/>
  <c r="C21" i="4"/>
  <c r="V12" i="34"/>
  <c r="AA36" i="4"/>
  <c r="W91" i="34"/>
  <c r="I36" i="4"/>
  <c r="W31" i="34"/>
  <c r="F7" i="4"/>
  <c r="U10" i="34"/>
  <c r="U21" i="4"/>
  <c r="V72" i="34"/>
  <c r="O19" i="4"/>
  <c r="V50" i="34"/>
  <c r="X6" i="34"/>
  <c r="BE73" i="4"/>
  <c r="W76" i="34"/>
  <c r="X7" i="34"/>
  <c r="X9" i="34"/>
  <c r="W8" i="34"/>
  <c r="AA7" i="4"/>
  <c r="U31" i="34"/>
  <c r="AD7" i="4"/>
  <c r="U34" i="34"/>
  <c r="O50" i="4"/>
  <c r="X41" i="34"/>
  <c r="O18" i="4"/>
  <c r="V49" i="34"/>
  <c r="AA37" i="4"/>
  <c r="W92" i="34"/>
  <c r="I7" i="4"/>
  <c r="U13" i="34"/>
  <c r="X36" i="4"/>
  <c r="W81" i="34"/>
  <c r="W9" i="34"/>
  <c r="AA35" i="4"/>
  <c r="W90" i="34"/>
  <c r="U20" i="4"/>
  <c r="V71" i="34"/>
  <c r="X19" i="4"/>
  <c r="V80" i="34"/>
  <c r="U49" i="4"/>
  <c r="X56" i="34"/>
  <c r="AA51" i="4"/>
  <c r="X74" i="34"/>
  <c r="AU36" i="33"/>
  <c r="AU22" i="33"/>
  <c r="AU32" i="33"/>
  <c r="AU21" i="33"/>
  <c r="AU6" i="33"/>
  <c r="AU23" i="33"/>
  <c r="AU16" i="33"/>
  <c r="AQ22" i="33"/>
  <c r="AM24" i="33"/>
  <c r="AM26" i="33"/>
  <c r="AM36" i="33"/>
  <c r="AM20" i="33"/>
  <c r="AQ6" i="33"/>
  <c r="AI32" i="33"/>
  <c r="AI20" i="33"/>
  <c r="AM13" i="33"/>
  <c r="AI11" i="33"/>
  <c r="AM21" i="33"/>
  <c r="AM34" i="33"/>
  <c r="AI12" i="33"/>
  <c r="AE11" i="33"/>
  <c r="AI6" i="33"/>
  <c r="AM14" i="33"/>
  <c r="AI21" i="33"/>
  <c r="AI34" i="33"/>
  <c r="AE34" i="33"/>
  <c r="AA11" i="33"/>
  <c r="AA26" i="33"/>
  <c r="AI33" i="33"/>
  <c r="AA32" i="33"/>
  <c r="AA21" i="33"/>
  <c r="AA16" i="33"/>
  <c r="AA13" i="33"/>
  <c r="AA34" i="33"/>
  <c r="AA25" i="33"/>
  <c r="AE10" i="33"/>
  <c r="AA10" i="33"/>
  <c r="S36" i="33"/>
  <c r="AA14" i="33"/>
  <c r="S31" i="33"/>
  <c r="W16" i="33"/>
  <c r="W35" i="33"/>
  <c r="S6" i="33"/>
  <c r="O32" i="33"/>
  <c r="O11" i="33"/>
  <c r="S21" i="33"/>
  <c r="O26" i="33"/>
  <c r="O15" i="33"/>
  <c r="S34" i="33"/>
  <c r="O5" i="33"/>
  <c r="S33" i="33"/>
  <c r="O16" i="33"/>
  <c r="K32" i="33"/>
  <c r="O6" i="33"/>
  <c r="K34" i="33"/>
  <c r="O33" i="33"/>
  <c r="K35" i="33"/>
  <c r="G32" i="33"/>
  <c r="K6" i="33"/>
  <c r="G15" i="33"/>
  <c r="C25" i="33"/>
  <c r="G23" i="33"/>
  <c r="C15" i="33"/>
  <c r="K33" i="33"/>
  <c r="C33" i="33"/>
  <c r="C32" i="33"/>
  <c r="G12" i="33"/>
  <c r="C27" i="33"/>
  <c r="C34" i="33"/>
  <c r="AU24" i="33"/>
  <c r="AU12" i="33"/>
  <c r="AU34" i="33"/>
  <c r="AQ26" i="33"/>
  <c r="AU33" i="33"/>
  <c r="AM22" i="33"/>
  <c r="AM32" i="33"/>
  <c r="AQ23" i="33"/>
  <c r="AQ21" i="33"/>
  <c r="AQ7" i="33"/>
  <c r="AM16" i="33"/>
  <c r="AQ10" i="33"/>
  <c r="AI36" i="33"/>
  <c r="AQ14" i="33"/>
  <c r="AI31" i="33"/>
  <c r="AI23" i="33"/>
  <c r="AI35" i="33"/>
  <c r="AM7" i="33"/>
  <c r="AE15" i="33"/>
  <c r="AM33" i="33"/>
  <c r="AI16" i="33"/>
  <c r="AA15" i="33"/>
  <c r="AE23" i="33"/>
  <c r="AE27" i="33"/>
  <c r="AA24" i="33"/>
  <c r="AE9" i="33"/>
  <c r="AE13" i="33"/>
  <c r="W11" i="33"/>
  <c r="AA9" i="33"/>
  <c r="W22" i="33"/>
  <c r="AE14" i="33"/>
  <c r="AA12" i="33"/>
  <c r="AE7" i="33"/>
  <c r="W34" i="33"/>
  <c r="W5" i="33"/>
  <c r="W13" i="33"/>
  <c r="S26" i="33"/>
  <c r="S22" i="33"/>
  <c r="S27" i="33"/>
  <c r="S35" i="33"/>
  <c r="O22" i="33"/>
  <c r="W10" i="33"/>
  <c r="W7" i="33"/>
  <c r="S5" i="33"/>
  <c r="O25" i="33"/>
  <c r="K36" i="33"/>
  <c r="K11" i="33"/>
  <c r="O34" i="33"/>
  <c r="O23" i="33"/>
  <c r="S10" i="33"/>
  <c r="O13" i="33"/>
  <c r="G24" i="33"/>
  <c r="G36" i="33"/>
  <c r="K5" i="33"/>
  <c r="K23" i="33"/>
  <c r="G22" i="33"/>
  <c r="K21" i="33"/>
  <c r="C7" i="33"/>
  <c r="C36" i="33"/>
  <c r="K14" i="33"/>
  <c r="G7" i="33"/>
  <c r="C12" i="33"/>
  <c r="G14" i="33"/>
  <c r="G13" i="33"/>
  <c r="C16" i="33"/>
  <c r="G34" i="33"/>
  <c r="C10" i="33"/>
  <c r="K7" i="33"/>
  <c r="AU26" i="33"/>
  <c r="AU15" i="33"/>
  <c r="AQ15" i="33"/>
  <c r="AU13" i="33"/>
  <c r="AQ36" i="33"/>
  <c r="AU25" i="33"/>
  <c r="AU14" i="33"/>
  <c r="AQ13" i="33"/>
  <c r="AM31" i="33"/>
  <c r="AQ27" i="33"/>
  <c r="AQ35" i="33"/>
  <c r="AU10" i="33"/>
  <c r="AM27" i="33"/>
  <c r="AI24" i="33"/>
  <c r="AM5" i="33"/>
  <c r="AM25" i="33"/>
  <c r="AI15" i="33"/>
  <c r="AI26" i="33"/>
  <c r="AI5" i="33"/>
  <c r="AE36" i="33"/>
  <c r="AE32" i="33"/>
  <c r="AM10" i="33"/>
  <c r="AI25" i="33"/>
  <c r="AE35" i="33"/>
  <c r="AI14" i="33"/>
  <c r="AE12" i="33"/>
  <c r="AE21" i="33"/>
  <c r="AE16" i="33"/>
  <c r="AA35" i="33"/>
  <c r="AA27" i="33"/>
  <c r="W26" i="33"/>
  <c r="AE33" i="33"/>
  <c r="W15" i="33"/>
  <c r="W6" i="33"/>
  <c r="W27" i="33"/>
  <c r="W25" i="33"/>
  <c r="S20" i="33"/>
  <c r="W23" i="33"/>
  <c r="S15" i="33"/>
  <c r="S16" i="33"/>
  <c r="S12" i="33"/>
  <c r="S23" i="33"/>
  <c r="S13" i="33"/>
  <c r="W14" i="33"/>
  <c r="W33" i="33"/>
  <c r="K22" i="33"/>
  <c r="K15" i="33"/>
  <c r="K26" i="33"/>
  <c r="O21" i="33"/>
  <c r="O12" i="33"/>
  <c r="O14" i="33"/>
  <c r="G26" i="33"/>
  <c r="O7" i="33"/>
  <c r="K12" i="33"/>
  <c r="G33" i="33"/>
  <c r="G27" i="33"/>
  <c r="C11" i="33"/>
  <c r="G16" i="33"/>
  <c r="G35" i="33"/>
  <c r="G10" i="33"/>
  <c r="C23" i="33"/>
  <c r="G5" i="33"/>
  <c r="AU11" i="33"/>
  <c r="AU27" i="33"/>
  <c r="AQ24" i="33"/>
  <c r="AQ32" i="33"/>
  <c r="AQ11" i="33"/>
  <c r="AQ12" i="33"/>
  <c r="AU7" i="33"/>
  <c r="AQ16" i="33"/>
  <c r="AM15" i="33"/>
  <c r="AQ34" i="33"/>
  <c r="AQ25" i="33"/>
  <c r="AM6" i="33"/>
  <c r="AQ33" i="33"/>
  <c r="AM9" i="33"/>
  <c r="AM23" i="33"/>
  <c r="AM35" i="33"/>
  <c r="AI22" i="33"/>
  <c r="AM12" i="33"/>
  <c r="AE26" i="33"/>
  <c r="AI27" i="33"/>
  <c r="AE22" i="33"/>
  <c r="AI13" i="33"/>
  <c r="AE24" i="33"/>
  <c r="AI9" i="33"/>
  <c r="AA22" i="33"/>
  <c r="AI10" i="33"/>
  <c r="AA36" i="33"/>
  <c r="AE6" i="33"/>
  <c r="AE25" i="33"/>
  <c r="AI7" i="33"/>
  <c r="W24" i="33"/>
  <c r="W32" i="33"/>
  <c r="AA23" i="33"/>
  <c r="W36" i="33"/>
  <c r="AA6" i="33"/>
  <c r="AA7" i="33"/>
  <c r="W12" i="33"/>
  <c r="W21" i="33"/>
  <c r="S24" i="33"/>
  <c r="AA33" i="33"/>
  <c r="S32" i="33"/>
  <c r="S11" i="33"/>
  <c r="O36" i="33"/>
  <c r="S25" i="33"/>
  <c r="O31" i="33"/>
  <c r="S9" i="33"/>
  <c r="O24" i="33"/>
  <c r="S7" i="33"/>
  <c r="O27" i="33"/>
  <c r="S14" i="33"/>
  <c r="O35" i="33"/>
  <c r="K24" i="33"/>
  <c r="K27" i="33"/>
  <c r="G11" i="33"/>
  <c r="K25" i="33"/>
  <c r="K13" i="33"/>
  <c r="K16" i="33"/>
  <c r="C26" i="33"/>
  <c r="C24" i="33"/>
  <c r="C6" i="33"/>
  <c r="G21" i="33"/>
  <c r="C35" i="33"/>
  <c r="C22" i="33"/>
  <c r="G25" i="33"/>
  <c r="G6" i="33"/>
  <c r="C14" i="33"/>
  <c r="C21" i="33"/>
  <c r="C13" i="33"/>
  <c r="K10" i="33"/>
  <c r="C5" i="6"/>
  <c r="C6" i="6"/>
  <c r="C41" i="6"/>
  <c r="C36" i="6"/>
  <c r="C39" i="6"/>
  <c r="C38" i="6"/>
  <c r="C40" i="6"/>
  <c r="C37" i="6"/>
  <c r="C29" i="6"/>
  <c r="C30" i="6"/>
  <c r="C28" i="6"/>
  <c r="C24" i="6"/>
  <c r="C26" i="6"/>
  <c r="C27" i="6"/>
  <c r="C25" i="6"/>
  <c r="C17" i="6"/>
  <c r="C16" i="6"/>
  <c r="C12" i="6"/>
  <c r="C15" i="6"/>
  <c r="C11" i="6"/>
  <c r="C13" i="6"/>
  <c r="C14" i="6"/>
  <c r="R21" i="4"/>
  <c r="BA59" i="4"/>
  <c r="R37" i="4"/>
  <c r="BE59" i="4"/>
  <c r="C37" i="4"/>
  <c r="C36" i="4"/>
  <c r="C34" i="4"/>
  <c r="C35" i="4"/>
  <c r="AJ74" i="6"/>
  <c r="AG74" i="7" s="1"/>
  <c r="AD74" i="3" s="1"/>
  <c r="AG19" i="6"/>
  <c r="R19" i="10" s="1"/>
  <c r="BI15" i="4"/>
  <c r="BA8" i="4"/>
  <c r="AG10" i="6"/>
  <c r="R10" i="10" s="1"/>
  <c r="AH61" i="6"/>
  <c r="AE61" i="7" s="1"/>
  <c r="AB61" i="3" s="1"/>
  <c r="BA58" i="4"/>
  <c r="AH32" i="6"/>
  <c r="S32" i="10" s="1"/>
  <c r="AW13" i="4"/>
  <c r="BA68" i="4"/>
  <c r="BA77" i="4"/>
  <c r="AW7" i="4"/>
  <c r="AH60" i="6"/>
  <c r="S60" i="10" s="1"/>
  <c r="BM19" i="4"/>
  <c r="AH71" i="6"/>
  <c r="S71" i="10" s="1"/>
  <c r="AI8" i="6"/>
  <c r="T8" i="10" s="1"/>
  <c r="BA57" i="4"/>
  <c r="BM61" i="4"/>
  <c r="AJ26" i="6"/>
  <c r="U26" i="10" s="1"/>
  <c r="BA46" i="4"/>
  <c r="AJ33" i="6"/>
  <c r="U33" i="10" s="1"/>
  <c r="BI53" i="4"/>
  <c r="AG13" i="6"/>
  <c r="AD13" i="7" s="1"/>
  <c r="AA13" i="3" s="1"/>
  <c r="BA89" i="4"/>
  <c r="AI51" i="6"/>
  <c r="AF51" i="7" s="1"/>
  <c r="AC51" i="3" s="1"/>
  <c r="AJ9" i="6"/>
  <c r="AG9" i="7" s="1"/>
  <c r="AD9" i="3" s="1"/>
  <c r="AI62" i="6"/>
  <c r="AF62" i="7" s="1"/>
  <c r="AC62" i="3" s="1"/>
  <c r="AH11" i="6"/>
  <c r="S11" i="10" s="1"/>
  <c r="AW10" i="4"/>
  <c r="BI23" i="4"/>
  <c r="AG7" i="6"/>
  <c r="R7" i="10" s="1"/>
  <c r="AJ56" i="6"/>
  <c r="U56" i="10" s="1"/>
  <c r="AH92" i="6"/>
  <c r="AE92" i="7" s="1"/>
  <c r="AB92" i="3" s="1"/>
  <c r="BA47" i="4"/>
  <c r="BA79" i="4"/>
  <c r="BM18" i="4"/>
  <c r="BM5" i="4"/>
  <c r="AI61" i="6"/>
  <c r="AF61" i="7" s="1"/>
  <c r="AC61" i="3" s="1"/>
  <c r="BE18" i="4"/>
  <c r="BM60" i="4"/>
  <c r="AW31" i="4"/>
  <c r="BE89" i="4"/>
  <c r="BM39" i="4"/>
  <c r="BM29" i="4"/>
  <c r="AI21" i="6"/>
  <c r="AF21" i="7" s="1"/>
  <c r="AC21" i="3" s="1"/>
  <c r="BM91" i="4"/>
  <c r="AI32" i="6"/>
  <c r="AF32" i="7" s="1"/>
  <c r="AC32" i="3" s="1"/>
  <c r="BE78" i="4"/>
  <c r="BE58" i="4"/>
  <c r="AW21" i="4"/>
  <c r="AH52" i="6"/>
  <c r="AE52" i="7" s="1"/>
  <c r="AB52" i="3" s="1"/>
  <c r="BE6" i="4"/>
  <c r="BE88" i="4"/>
  <c r="AH12" i="6"/>
  <c r="S12" i="10" s="1"/>
  <c r="BE29" i="4"/>
  <c r="BA88" i="4"/>
  <c r="BI55" i="4"/>
  <c r="BM80" i="4"/>
  <c r="BA9" i="4"/>
  <c r="AI42" i="6"/>
  <c r="AF42" i="7" s="1"/>
  <c r="AC42" i="3" s="1"/>
  <c r="BA49" i="4"/>
  <c r="BE9" i="4"/>
  <c r="AI9" i="6"/>
  <c r="T9" i="10" s="1"/>
  <c r="BM99" i="4"/>
  <c r="AJ42" i="6"/>
  <c r="AI12" i="6"/>
  <c r="AF12" i="7" s="1"/>
  <c r="AC12" i="3" s="1"/>
  <c r="BA56" i="4"/>
  <c r="BM6" i="4"/>
  <c r="AH79" i="6"/>
  <c r="S79" i="10" s="1"/>
  <c r="AI81" i="6"/>
  <c r="AF81" i="7" s="1"/>
  <c r="AC81" i="3" s="1"/>
  <c r="BM9" i="4"/>
  <c r="AH51" i="6"/>
  <c r="AE51" i="7" s="1"/>
  <c r="AB51" i="3" s="1"/>
  <c r="AW15" i="4"/>
  <c r="BM100" i="4"/>
  <c r="BA48" i="4"/>
  <c r="AI102" i="6"/>
  <c r="BE5" i="4"/>
  <c r="AG34" i="6"/>
  <c r="AD34" i="7" s="1"/>
  <c r="AA34" i="3" s="1"/>
  <c r="AH49" i="6"/>
  <c r="S49" i="10" s="1"/>
  <c r="AJ55" i="6"/>
  <c r="AG55" i="7" s="1"/>
  <c r="AD55" i="3" s="1"/>
  <c r="BI52" i="4"/>
  <c r="BE98" i="4"/>
  <c r="BA39" i="4"/>
  <c r="AH42" i="6"/>
  <c r="BE85" i="4"/>
  <c r="BM87" i="4"/>
  <c r="AI88" i="6"/>
  <c r="AF88" i="7" s="1"/>
  <c r="AC88" i="3" s="1"/>
  <c r="AI20" i="6"/>
  <c r="T20" i="10" s="1"/>
  <c r="BE17" i="4"/>
  <c r="AI89" i="6"/>
  <c r="AF89" i="7" s="1"/>
  <c r="AC89" i="3" s="1"/>
  <c r="BM37" i="4"/>
  <c r="AI31" i="6"/>
  <c r="T31" i="10" s="1"/>
  <c r="AI11" i="6"/>
  <c r="T11" i="10" s="1"/>
  <c r="BI38" i="4"/>
  <c r="BM27" i="4"/>
  <c r="BM51" i="4"/>
  <c r="AW24" i="4"/>
  <c r="BA76" i="4"/>
  <c r="AJ25" i="6"/>
  <c r="AG25" i="7" s="1"/>
  <c r="AD25" i="3" s="1"/>
  <c r="BI7" i="4"/>
  <c r="AI101" i="6"/>
  <c r="T101" i="10" s="1"/>
  <c r="AG27" i="6"/>
  <c r="AD27" i="7" s="1"/>
  <c r="AA27" i="3" s="1"/>
  <c r="AG24" i="6"/>
  <c r="AD24" i="7" s="1"/>
  <c r="AA24" i="3" s="1"/>
  <c r="BI22" i="4"/>
  <c r="BE97" i="4"/>
  <c r="AG31" i="6"/>
  <c r="R31" i="10" s="1"/>
  <c r="BE77" i="4"/>
  <c r="BM79" i="4"/>
  <c r="BM81" i="4"/>
  <c r="BM17" i="4"/>
  <c r="AI22" i="6"/>
  <c r="T22" i="10" s="1"/>
  <c r="BA69" i="4"/>
  <c r="AJ41" i="6"/>
  <c r="U41" i="10" s="1"/>
  <c r="AI10" i="6"/>
  <c r="T10" i="10" s="1"/>
  <c r="BE86" i="4"/>
  <c r="BE49" i="4"/>
  <c r="BE87" i="4"/>
  <c r="BE28" i="4"/>
  <c r="BE19" i="4"/>
  <c r="AH72" i="6"/>
  <c r="BE8" i="4"/>
  <c r="BA55" i="4"/>
  <c r="BE27" i="4"/>
  <c r="BE7" i="4"/>
  <c r="BM89" i="4"/>
  <c r="AI82" i="6"/>
  <c r="AF82" i="7" s="1"/>
  <c r="AC82" i="3" s="1"/>
  <c r="BA78" i="4"/>
  <c r="BA97" i="4"/>
  <c r="BM8" i="4"/>
  <c r="AH58" i="6"/>
  <c r="S58" i="10" s="1"/>
  <c r="AG25" i="6"/>
  <c r="AI30" i="6"/>
  <c r="BM7" i="4"/>
  <c r="BM88" i="4"/>
  <c r="AI52" i="6"/>
  <c r="AI90" i="6"/>
  <c r="AW28" i="4"/>
  <c r="BE79" i="4"/>
  <c r="BM28" i="4"/>
  <c r="AC23" i="7"/>
  <c r="Z23" i="3" s="1"/>
  <c r="Q23" i="10"/>
  <c r="Q15" i="10"/>
  <c r="AC15" i="7"/>
  <c r="Z15" i="3" s="1"/>
  <c r="AC26" i="7"/>
  <c r="Z26" i="3" s="1"/>
  <c r="Q26" i="10"/>
  <c r="Q35" i="10"/>
  <c r="AC35" i="7"/>
  <c r="Z35" i="3" s="1"/>
  <c r="Q25" i="10"/>
  <c r="AC25" i="7"/>
  <c r="Z25" i="3" s="1"/>
  <c r="AC16" i="7"/>
  <c r="Z16" i="3" s="1"/>
  <c r="Q16" i="10"/>
  <c r="Q13" i="10"/>
  <c r="AC13" i="7"/>
  <c r="Z13" i="3" s="1"/>
  <c r="Q6" i="10"/>
  <c r="AC6" i="7"/>
  <c r="Z6" i="3" s="1"/>
  <c r="AC11" i="7"/>
  <c r="Z11" i="3" s="1"/>
  <c r="Q11" i="10"/>
  <c r="AC34" i="7"/>
  <c r="Z34" i="3" s="1"/>
  <c r="Q34" i="10"/>
  <c r="AC36" i="7"/>
  <c r="Z36" i="3" s="1"/>
  <c r="Q36" i="10"/>
  <c r="AC12" i="7"/>
  <c r="Z12" i="3" s="1"/>
  <c r="Q12" i="10"/>
  <c r="AC24" i="7"/>
  <c r="Z24" i="3" s="1"/>
  <c r="Q24" i="10"/>
  <c r="AC14" i="7"/>
  <c r="Z14" i="3" s="1"/>
  <c r="Q14" i="10"/>
  <c r="BM95" i="4"/>
  <c r="AI97" i="6"/>
  <c r="AF97" i="7" s="1"/>
  <c r="AC97" i="3" s="1"/>
  <c r="AJ40" i="6"/>
  <c r="AG40" i="7" s="1"/>
  <c r="AD40" i="3" s="1"/>
  <c r="BI37" i="4"/>
  <c r="AI18" i="6"/>
  <c r="T18" i="10" s="1"/>
  <c r="BE15" i="4"/>
  <c r="BM15" i="4"/>
  <c r="AH6" i="6"/>
  <c r="AE6" i="7" s="1"/>
  <c r="AB6" i="3" s="1"/>
  <c r="BA3" i="4"/>
  <c r="BA72" i="4"/>
  <c r="AH75" i="6"/>
  <c r="AI55" i="6"/>
  <c r="AF55" i="7" s="1"/>
  <c r="AC55" i="3" s="1"/>
  <c r="BE52" i="4"/>
  <c r="BM54" i="4"/>
  <c r="AJ82" i="6"/>
  <c r="U82" i="10" s="1"/>
  <c r="BI79" i="4"/>
  <c r="BM14" i="4"/>
  <c r="BE14" i="4"/>
  <c r="AI17" i="6"/>
  <c r="BE56" i="4"/>
  <c r="BM58" i="4"/>
  <c r="AI59" i="6"/>
  <c r="AH95" i="6"/>
  <c r="AE95" i="7" s="1"/>
  <c r="AB95" i="3" s="1"/>
  <c r="BA92" i="4"/>
  <c r="BM66" i="4"/>
  <c r="BE64" i="4"/>
  <c r="AI67" i="6"/>
  <c r="AH97" i="6"/>
  <c r="AE97" i="7" s="1"/>
  <c r="AB97" i="3" s="1"/>
  <c r="BA84" i="4"/>
  <c r="AH87" i="6"/>
  <c r="S87" i="10" s="1"/>
  <c r="AI29" i="6"/>
  <c r="BE26" i="4"/>
  <c r="BM26" i="4"/>
  <c r="AG33" i="6"/>
  <c r="AD33" i="7" s="1"/>
  <c r="AA33" i="3" s="1"/>
  <c r="AW30" i="4"/>
  <c r="AJ70" i="6"/>
  <c r="U70" i="10" s="1"/>
  <c r="BI67" i="4"/>
  <c r="AJ65" i="6"/>
  <c r="U65" i="10" s="1"/>
  <c r="BI62" i="4"/>
  <c r="AH19" i="6"/>
  <c r="AE19" i="7" s="1"/>
  <c r="AB19" i="3" s="1"/>
  <c r="BA16" i="4"/>
  <c r="BM97" i="4"/>
  <c r="BE95" i="4"/>
  <c r="AI99" i="6"/>
  <c r="AF99" i="7" s="1"/>
  <c r="AC99" i="3" s="1"/>
  <c r="AI58" i="6"/>
  <c r="AF58" i="7" s="1"/>
  <c r="AC58" i="3" s="1"/>
  <c r="BM57" i="4"/>
  <c r="BE55" i="4"/>
  <c r="BI60" i="4"/>
  <c r="AJ63" i="6"/>
  <c r="AG63" i="7" s="1"/>
  <c r="AD63" i="3" s="1"/>
  <c r="BM2" i="4"/>
  <c r="AI5" i="6"/>
  <c r="BE2" i="4"/>
  <c r="BI63" i="4"/>
  <c r="AJ66" i="6"/>
  <c r="U66" i="10" s="1"/>
  <c r="BM44" i="4"/>
  <c r="AI45" i="6"/>
  <c r="AF45" i="7" s="1"/>
  <c r="AC45" i="3" s="1"/>
  <c r="BE42" i="4"/>
  <c r="Q37" i="10"/>
  <c r="AC37" i="7"/>
  <c r="Z37" i="3" s="1"/>
  <c r="AJ77" i="6"/>
  <c r="U77" i="10" s="1"/>
  <c r="BI74" i="4"/>
  <c r="BI14" i="4"/>
  <c r="AJ17" i="6"/>
  <c r="AG17" i="7" s="1"/>
  <c r="AD17" i="3" s="1"/>
  <c r="BA85" i="4"/>
  <c r="AH88" i="6"/>
  <c r="S88" i="10" s="1"/>
  <c r="BE33" i="4"/>
  <c r="BM33" i="4"/>
  <c r="AI36" i="6"/>
  <c r="AF36" i="7" s="1"/>
  <c r="AC36" i="3" s="1"/>
  <c r="AJ21" i="6"/>
  <c r="U21" i="10" s="1"/>
  <c r="BI18" i="4"/>
  <c r="BI3" i="4"/>
  <c r="AJ6" i="6"/>
  <c r="U6" i="10" s="1"/>
  <c r="AH40" i="6"/>
  <c r="S40" i="10" s="1"/>
  <c r="BA37" i="4"/>
  <c r="AJ13" i="6"/>
  <c r="AG13" i="7" s="1"/>
  <c r="AD13" i="3" s="1"/>
  <c r="BI10" i="4"/>
  <c r="AG20" i="6"/>
  <c r="R20" i="10" s="1"/>
  <c r="AW17" i="4"/>
  <c r="BM48" i="4"/>
  <c r="AI49" i="6"/>
  <c r="T49" i="10" s="1"/>
  <c r="BE46" i="4"/>
  <c r="AW9" i="4"/>
  <c r="AG12" i="6"/>
  <c r="R12" i="10" s="1"/>
  <c r="AI76" i="6"/>
  <c r="AF76" i="7" s="1"/>
  <c r="AC76" i="3" s="1"/>
  <c r="BM75" i="4"/>
  <c r="BI44" i="4"/>
  <c r="AJ47" i="6"/>
  <c r="AG47" i="7" s="1"/>
  <c r="AD47" i="3" s="1"/>
  <c r="BA5" i="4"/>
  <c r="AH8" i="6"/>
  <c r="AE8" i="7" s="1"/>
  <c r="AB8" i="3" s="1"/>
  <c r="BA14" i="4"/>
  <c r="AH17" i="6"/>
  <c r="AE17" i="7" s="1"/>
  <c r="AB17" i="3" s="1"/>
  <c r="BA26" i="4"/>
  <c r="AH29" i="6"/>
  <c r="BM36" i="4"/>
  <c r="BE36" i="4"/>
  <c r="AI39" i="6"/>
  <c r="AF39" i="7" s="1"/>
  <c r="AC39" i="3" s="1"/>
  <c r="BA67" i="4"/>
  <c r="AH70" i="6"/>
  <c r="S70" i="10" s="1"/>
  <c r="AH47" i="6"/>
  <c r="AE47" i="7" s="1"/>
  <c r="AB47" i="3" s="1"/>
  <c r="BA44" i="4"/>
  <c r="AJ23" i="6"/>
  <c r="AG23" i="7" s="1"/>
  <c r="AD23" i="3" s="1"/>
  <c r="BI20" i="4"/>
  <c r="BI19" i="4"/>
  <c r="AJ22" i="6"/>
  <c r="U22" i="10" s="1"/>
  <c r="AH68" i="6"/>
  <c r="AE68" i="7" s="1"/>
  <c r="AB68" i="3" s="1"/>
  <c r="BA65" i="4"/>
  <c r="AI85" i="6"/>
  <c r="AF85" i="7" s="1"/>
  <c r="AC85" i="3" s="1"/>
  <c r="BE82" i="4"/>
  <c r="BM84" i="4"/>
  <c r="BE44" i="4"/>
  <c r="AI47" i="6"/>
  <c r="T47" i="10" s="1"/>
  <c r="BM46" i="4"/>
  <c r="BI77" i="4"/>
  <c r="AJ80" i="6"/>
  <c r="AG80" i="7" s="1"/>
  <c r="AD80" i="3" s="1"/>
  <c r="BI69" i="4"/>
  <c r="AJ72" i="6"/>
  <c r="U72" i="10" s="1"/>
  <c r="AJ48" i="6"/>
  <c r="BI45" i="4"/>
  <c r="BI4" i="4"/>
  <c r="AJ7" i="6"/>
  <c r="U7" i="10" s="1"/>
  <c r="AI68" i="6"/>
  <c r="T68" i="10" s="1"/>
  <c r="BM67" i="4"/>
  <c r="BE65" i="4"/>
  <c r="BI27" i="4"/>
  <c r="AJ30" i="6"/>
  <c r="U30" i="10" s="1"/>
  <c r="BA64" i="4"/>
  <c r="AH67" i="6"/>
  <c r="S67" i="10" s="1"/>
  <c r="BA86" i="4"/>
  <c r="AH89" i="6"/>
  <c r="AE89" i="7" s="1"/>
  <c r="AB89" i="3" s="1"/>
  <c r="BI58" i="4"/>
  <c r="AJ61" i="6"/>
  <c r="AG61" i="7" s="1"/>
  <c r="AD61" i="3" s="1"/>
  <c r="BI47" i="4"/>
  <c r="AJ50" i="6"/>
  <c r="U50" i="10" s="1"/>
  <c r="AI95" i="6"/>
  <c r="AF95" i="7" s="1"/>
  <c r="AC95" i="3" s="1"/>
  <c r="BE92" i="4"/>
  <c r="BI70" i="4"/>
  <c r="AJ73" i="6"/>
  <c r="AG73" i="7" s="1"/>
  <c r="AD73" i="3" s="1"/>
  <c r="Q28" i="10"/>
  <c r="AC28" i="7"/>
  <c r="Z28" i="3" s="1"/>
  <c r="AG6" i="6"/>
  <c r="AD6" i="7" s="1"/>
  <c r="AA6" i="3" s="1"/>
  <c r="AW3" i="4"/>
  <c r="AH100" i="6"/>
  <c r="AE100" i="7" s="1"/>
  <c r="AB100" i="3" s="1"/>
  <c r="BA96" i="4"/>
  <c r="BM12" i="4"/>
  <c r="BE12" i="4"/>
  <c r="AI15" i="6"/>
  <c r="AF15" i="7" s="1"/>
  <c r="AC15" i="3" s="1"/>
  <c r="AW5" i="4"/>
  <c r="AG8" i="6"/>
  <c r="AD8" i="7" s="1"/>
  <c r="AA8" i="3" s="1"/>
  <c r="BI11" i="4"/>
  <c r="AJ14" i="6"/>
  <c r="U14" i="10" s="1"/>
  <c r="BM22" i="4"/>
  <c r="BE22" i="4"/>
  <c r="AI25" i="6"/>
  <c r="AF25" i="7" s="1"/>
  <c r="AC25" i="3" s="1"/>
  <c r="AH28" i="6"/>
  <c r="S28" i="10" s="1"/>
  <c r="BA25" i="4"/>
  <c r="AW14" i="4"/>
  <c r="AG17" i="6"/>
  <c r="AI46" i="6"/>
  <c r="AF46" i="7" s="1"/>
  <c r="AC46" i="3" s="1"/>
  <c r="BM45" i="4"/>
  <c r="BE43" i="4"/>
  <c r="AJ46" i="6"/>
  <c r="U46" i="10" s="1"/>
  <c r="BI43" i="4"/>
  <c r="BE3" i="4"/>
  <c r="BM3" i="4"/>
  <c r="AI6" i="6"/>
  <c r="AF6" i="7" s="1"/>
  <c r="AC6" i="3" s="1"/>
  <c r="BI66" i="4"/>
  <c r="AJ69" i="6"/>
  <c r="U69" i="10" s="1"/>
  <c r="AI72" i="6"/>
  <c r="AF72" i="7" s="1"/>
  <c r="AC72" i="3" s="1"/>
  <c r="BM71" i="4"/>
  <c r="BE69" i="4"/>
  <c r="AH15" i="6"/>
  <c r="S15" i="10" s="1"/>
  <c r="BA12" i="4"/>
  <c r="AC39" i="7"/>
  <c r="Z39" i="3" s="1"/>
  <c r="Q39" i="10"/>
  <c r="AH76" i="6"/>
  <c r="AE76" i="7" s="1"/>
  <c r="AB76" i="3" s="1"/>
  <c r="BM98" i="4"/>
  <c r="AI100" i="6"/>
  <c r="BE96" i="4"/>
  <c r="AI38" i="6"/>
  <c r="T38" i="10" s="1"/>
  <c r="BM35" i="4"/>
  <c r="BE35" i="4"/>
  <c r="AG26" i="6"/>
  <c r="AD26" i="7" s="1"/>
  <c r="AA26" i="3" s="1"/>
  <c r="AW23" i="4"/>
  <c r="BI34" i="4"/>
  <c r="AJ37" i="6"/>
  <c r="U37" i="10" s="1"/>
  <c r="AH85" i="6"/>
  <c r="S85" i="10" s="1"/>
  <c r="BA82" i="4"/>
  <c r="AH41" i="6"/>
  <c r="AE41" i="7" s="1"/>
  <c r="AB41" i="3" s="1"/>
  <c r="BA38" i="4"/>
  <c r="BA13" i="4"/>
  <c r="AH16" i="6"/>
  <c r="S16" i="10" s="1"/>
  <c r="AG23" i="6"/>
  <c r="R23" i="10" s="1"/>
  <c r="AW20" i="4"/>
  <c r="BM24" i="4"/>
  <c r="BE24" i="4"/>
  <c r="AI27" i="6"/>
  <c r="T27" i="10" s="1"/>
  <c r="AI65" i="6"/>
  <c r="T65" i="10" s="1"/>
  <c r="BE62" i="4"/>
  <c r="BM64" i="4"/>
  <c r="Q27" i="10"/>
  <c r="AC27" i="7"/>
  <c r="Z27" i="3" s="1"/>
  <c r="BM32" i="4"/>
  <c r="BE32" i="4"/>
  <c r="AI35" i="6"/>
  <c r="AF35" i="7" s="1"/>
  <c r="AC35" i="3" s="1"/>
  <c r="BE25" i="4"/>
  <c r="AI28" i="6"/>
  <c r="AF28" i="7" s="1"/>
  <c r="AC28" i="3" s="1"/>
  <c r="BM25" i="4"/>
  <c r="AI71" i="6"/>
  <c r="T71" i="10" s="1"/>
  <c r="BE68" i="4"/>
  <c r="BM70" i="4"/>
  <c r="AJ81" i="6"/>
  <c r="AG81" i="7" s="1"/>
  <c r="AD81" i="3" s="1"/>
  <c r="BI78" i="4"/>
  <c r="AJ53" i="6"/>
  <c r="U53" i="10" s="1"/>
  <c r="BI50" i="4"/>
  <c r="BI35" i="4"/>
  <c r="AJ38" i="6"/>
  <c r="U38" i="10" s="1"/>
  <c r="AG21" i="6"/>
  <c r="AD21" i="7" s="1"/>
  <c r="AA21" i="3" s="1"/>
  <c r="AW18" i="4"/>
  <c r="AJ8" i="6"/>
  <c r="AG8" i="7" s="1"/>
  <c r="AD8" i="3" s="1"/>
  <c r="BI5" i="4"/>
  <c r="BI13" i="4"/>
  <c r="AJ16" i="6"/>
  <c r="BA42" i="4"/>
  <c r="AH45" i="6"/>
  <c r="S45" i="10" s="1"/>
  <c r="Q38" i="10"/>
  <c r="AC38" i="7"/>
  <c r="Z38" i="3" s="1"/>
  <c r="AH78" i="6"/>
  <c r="AE78" i="7" s="1"/>
  <c r="AB78" i="3" s="1"/>
  <c r="BA75" i="4"/>
  <c r="BI42" i="4"/>
  <c r="AJ45" i="6"/>
  <c r="AI69" i="6"/>
  <c r="AF69" i="7" s="1"/>
  <c r="AC69" i="3" s="1"/>
  <c r="BM68" i="4"/>
  <c r="BE66" i="4"/>
  <c r="BI61" i="4"/>
  <c r="AJ64" i="6"/>
  <c r="U64" i="10" s="1"/>
  <c r="BE76" i="4"/>
  <c r="AI79" i="6"/>
  <c r="T79" i="10" s="1"/>
  <c r="BM78" i="4"/>
  <c r="BA2" i="4"/>
  <c r="AH5" i="6"/>
  <c r="S5" i="10" s="1"/>
  <c r="BA15" i="4"/>
  <c r="AH18" i="6"/>
  <c r="AE18" i="7" s="1"/>
  <c r="AB18" i="3" s="1"/>
  <c r="Q17" i="10"/>
  <c r="AC17" i="7"/>
  <c r="Z17" i="3" s="1"/>
  <c r="AW19" i="4"/>
  <c r="AG22" i="6"/>
  <c r="AD22" i="7" s="1"/>
  <c r="AA22" i="3" s="1"/>
  <c r="AG14" i="6"/>
  <c r="R14" i="10" s="1"/>
  <c r="AW11" i="4"/>
  <c r="AH22" i="6"/>
  <c r="S22" i="10" s="1"/>
  <c r="BA19" i="4"/>
  <c r="AH38" i="6"/>
  <c r="AE38" i="7" s="1"/>
  <c r="AB38" i="3" s="1"/>
  <c r="BA35" i="4"/>
  <c r="AJ62" i="6"/>
  <c r="AG62" i="7" s="1"/>
  <c r="AD62" i="3" s="1"/>
  <c r="AW8" i="4"/>
  <c r="AG11" i="6"/>
  <c r="AD11" i="7" s="1"/>
  <c r="AA11" i="3" s="1"/>
  <c r="AI26" i="6"/>
  <c r="AF26" i="7" s="1"/>
  <c r="AC26" i="3" s="1"/>
  <c r="BM23" i="4"/>
  <c r="BE23" i="4"/>
  <c r="BA74" i="4"/>
  <c r="AH77" i="6"/>
  <c r="AE77" i="7" s="1"/>
  <c r="AB77" i="3" s="1"/>
  <c r="AH57" i="6"/>
  <c r="S57" i="10" s="1"/>
  <c r="BA54" i="4"/>
  <c r="AJ39" i="6"/>
  <c r="AG39" i="7" s="1"/>
  <c r="AD39" i="3" s="1"/>
  <c r="BI36" i="4"/>
  <c r="AC7" i="7"/>
  <c r="Z7" i="3" s="1"/>
  <c r="Q7" i="10"/>
  <c r="AH56" i="6"/>
  <c r="S56" i="10" s="1"/>
  <c r="BA53" i="4"/>
  <c r="BM74" i="4"/>
  <c r="AI75" i="6"/>
  <c r="BE72" i="4"/>
  <c r="AH21" i="6"/>
  <c r="AE21" i="7" s="1"/>
  <c r="AB21" i="3" s="1"/>
  <c r="BA18" i="4"/>
  <c r="BI76" i="4"/>
  <c r="AJ79" i="6"/>
  <c r="U79" i="10" s="1"/>
  <c r="BE83" i="4"/>
  <c r="AI86" i="6"/>
  <c r="AF86" i="7" s="1"/>
  <c r="AC86" i="3" s="1"/>
  <c r="BM85" i="4"/>
  <c r="AI77" i="6"/>
  <c r="T77" i="10" s="1"/>
  <c r="BE74" i="4"/>
  <c r="BM76" i="4"/>
  <c r="AG29" i="6"/>
  <c r="AD29" i="7" s="1"/>
  <c r="AA29" i="3" s="1"/>
  <c r="AW26" i="4"/>
  <c r="BI12" i="4"/>
  <c r="AJ15" i="6"/>
  <c r="BM86" i="4"/>
  <c r="AI87" i="6"/>
  <c r="T87" i="10" s="1"/>
  <c r="BE84" i="4"/>
  <c r="BE63" i="4"/>
  <c r="BM65" i="4"/>
  <c r="AI66" i="6"/>
  <c r="T66" i="10" s="1"/>
  <c r="BE57" i="4"/>
  <c r="AI60" i="6"/>
  <c r="AF60" i="7" s="1"/>
  <c r="AC60" i="3" s="1"/>
  <c r="BA63" i="4"/>
  <c r="AH66" i="6"/>
  <c r="S66" i="10" s="1"/>
  <c r="BA94" i="4"/>
  <c r="AH98" i="6"/>
  <c r="AE98" i="7" s="1"/>
  <c r="AB98" i="3" s="1"/>
  <c r="AH25" i="6"/>
  <c r="AE25" i="7" s="1"/>
  <c r="AB25" i="3" s="1"/>
  <c r="BA22" i="4"/>
  <c r="AJ24" i="6"/>
  <c r="U24" i="10" s="1"/>
  <c r="BI21" i="4"/>
  <c r="BA62" i="4"/>
  <c r="AH65" i="6"/>
  <c r="AW29" i="4"/>
  <c r="AG32" i="6"/>
  <c r="AD32" i="7" s="1"/>
  <c r="AA32" i="3" s="1"/>
  <c r="BI75" i="4"/>
  <c r="AJ78" i="6"/>
  <c r="U78" i="10" s="1"/>
  <c r="AW12" i="4"/>
  <c r="AG15" i="6"/>
  <c r="R15" i="10" s="1"/>
  <c r="BI2" i="4"/>
  <c r="AJ5" i="6"/>
  <c r="AG5" i="7" s="1"/>
  <c r="AD5" i="3" s="1"/>
  <c r="BA52" i="4"/>
  <c r="AH55" i="6"/>
  <c r="AE55" i="7" s="1"/>
  <c r="AB55" i="3" s="1"/>
  <c r="BM94" i="4"/>
  <c r="AI96" i="6"/>
  <c r="BE93" i="4"/>
  <c r="BA32" i="4"/>
  <c r="AH35" i="6"/>
  <c r="S35" i="10" s="1"/>
  <c r="AH36" i="6"/>
  <c r="AE36" i="7" s="1"/>
  <c r="AB36" i="3" s="1"/>
  <c r="BA33" i="4"/>
  <c r="AH48" i="6"/>
  <c r="AE48" i="7" s="1"/>
  <c r="AB48" i="3" s="1"/>
  <c r="BA45" i="4"/>
  <c r="BE75" i="4"/>
  <c r="AI78" i="6"/>
  <c r="T78" i="10" s="1"/>
  <c r="BM77" i="4"/>
  <c r="BM13" i="4"/>
  <c r="AI16" i="6"/>
  <c r="T16" i="10" s="1"/>
  <c r="BE13" i="4"/>
  <c r="BM69" i="4"/>
  <c r="BE67" i="4"/>
  <c r="AI70" i="6"/>
  <c r="AH90" i="6"/>
  <c r="S90" i="10" s="1"/>
  <c r="BA87" i="4"/>
  <c r="BM47" i="4"/>
  <c r="AI48" i="6"/>
  <c r="AF48" i="7" s="1"/>
  <c r="AC48" i="3" s="1"/>
  <c r="BE45" i="4"/>
  <c r="AJ54" i="6"/>
  <c r="U54" i="10" s="1"/>
  <c r="BI51" i="4"/>
  <c r="BA66" i="4"/>
  <c r="AH69" i="6"/>
  <c r="AE69" i="7" s="1"/>
  <c r="AB69" i="3" s="1"/>
  <c r="AG30" i="6"/>
  <c r="R30" i="10" s="1"/>
  <c r="AW27" i="4"/>
  <c r="BM56" i="4"/>
  <c r="AI57" i="6"/>
  <c r="T57" i="10" s="1"/>
  <c r="BE54" i="4"/>
  <c r="AC29" i="7"/>
  <c r="Z29" i="3" s="1"/>
  <c r="Q29" i="10"/>
  <c r="BA6" i="4"/>
  <c r="AH9" i="6"/>
  <c r="AE9" i="7" s="1"/>
  <c r="AB9" i="3" s="1"/>
  <c r="BA43" i="4"/>
  <c r="AH46" i="6"/>
  <c r="BI26" i="4"/>
  <c r="AJ29" i="6"/>
  <c r="U29" i="10" s="1"/>
  <c r="AW2" i="4"/>
  <c r="AG5" i="6"/>
  <c r="AD5" i="7" s="1"/>
  <c r="AA5" i="3" s="1"/>
  <c r="BM49" i="4"/>
  <c r="BE47" i="4"/>
  <c r="AI50" i="6"/>
  <c r="AF50" i="7" s="1"/>
  <c r="AC50" i="3" s="1"/>
  <c r="AH86" i="6"/>
  <c r="BA83" i="4"/>
  <c r="BI46" i="4"/>
  <c r="AJ49" i="6"/>
  <c r="U49" i="10" s="1"/>
  <c r="BI28" i="4"/>
  <c r="AJ31" i="6"/>
  <c r="AG31" i="7" s="1"/>
  <c r="AD31" i="3" s="1"/>
  <c r="BA17" i="4"/>
  <c r="AH20" i="6"/>
  <c r="S20" i="10" s="1"/>
  <c r="BA4" i="4"/>
  <c r="AH7" i="6"/>
  <c r="AJ71" i="6"/>
  <c r="AG71" i="7" s="1"/>
  <c r="AD71" i="3" s="1"/>
  <c r="BI68" i="4"/>
  <c r="AH37" i="6"/>
  <c r="AE37" i="7" s="1"/>
  <c r="AB37" i="3" s="1"/>
  <c r="BA34" i="4"/>
  <c r="BA23" i="4"/>
  <c r="AH26" i="6"/>
  <c r="AE26" i="7" s="1"/>
  <c r="AB26" i="3" s="1"/>
  <c r="BM16" i="4"/>
  <c r="AI19" i="6"/>
  <c r="AF19" i="7" s="1"/>
  <c r="AC19" i="3" s="1"/>
  <c r="BE16" i="4"/>
  <c r="AH99" i="6"/>
  <c r="S99" i="10" s="1"/>
  <c r="BA95" i="4"/>
  <c r="AW6" i="4"/>
  <c r="AG9" i="6"/>
  <c r="AD9" i="7" s="1"/>
  <c r="AA9" i="3" s="1"/>
  <c r="BA93" i="4"/>
  <c r="AH96" i="6"/>
  <c r="AI37" i="6"/>
  <c r="T37" i="10" s="1"/>
  <c r="BE34" i="4"/>
  <c r="BM34" i="4"/>
  <c r="AH10" i="6"/>
  <c r="AE10" i="7" s="1"/>
  <c r="AB10" i="3" s="1"/>
  <c r="BA7" i="4"/>
  <c r="AI56" i="6"/>
  <c r="AF56" i="7" s="1"/>
  <c r="AC56" i="3" s="1"/>
  <c r="BM55" i="4"/>
  <c r="BE53" i="4"/>
  <c r="BA24" i="4"/>
  <c r="AH27" i="6"/>
  <c r="AE27" i="7" s="1"/>
  <c r="AB27" i="3" s="1"/>
  <c r="BE4" i="4"/>
  <c r="BM4" i="4"/>
  <c r="AI7" i="6"/>
  <c r="T7" i="10" s="1"/>
  <c r="AH39" i="6"/>
  <c r="S39" i="10" s="1"/>
  <c r="BA36" i="4"/>
  <c r="AI98" i="6"/>
  <c r="T98" i="10" s="1"/>
  <c r="BE94" i="4"/>
  <c r="BM96" i="4"/>
  <c r="BA28" i="4"/>
  <c r="AW25" i="4"/>
  <c r="AI91" i="6"/>
  <c r="AF91" i="7" s="1"/>
  <c r="AC91" i="3" s="1"/>
  <c r="AW22" i="4"/>
  <c r="AG18" i="6"/>
  <c r="R18" i="10" s="1"/>
  <c r="AH91" i="6"/>
  <c r="BA29" i="4"/>
  <c r="L36" i="4"/>
  <c r="L51" i="4"/>
  <c r="L35" i="4"/>
  <c r="AH81" i="6"/>
  <c r="AE81" i="7" s="1"/>
  <c r="AB81" i="3" s="1"/>
  <c r="AH31" i="6"/>
  <c r="S31" i="10" s="1"/>
  <c r="BE38" i="4"/>
  <c r="AI92" i="6"/>
  <c r="T92" i="10" s="1"/>
  <c r="BI6" i="4"/>
  <c r="AH101" i="6"/>
  <c r="AE101" i="7" s="1"/>
  <c r="AB101" i="3" s="1"/>
  <c r="BA27" i="4"/>
  <c r="AG28" i="6"/>
  <c r="BI29" i="4"/>
  <c r="AH62" i="6"/>
  <c r="S62" i="10" s="1"/>
  <c r="BI54" i="4"/>
  <c r="BI31" i="4"/>
  <c r="BE37" i="4"/>
  <c r="AH102" i="6"/>
  <c r="AE102" i="7" s="1"/>
  <c r="AB102" i="3" s="1"/>
  <c r="AJ58" i="6"/>
  <c r="AG58" i="7" s="1"/>
  <c r="AD58" i="3" s="1"/>
  <c r="BE48" i="4"/>
  <c r="L50" i="4"/>
  <c r="L7" i="4"/>
  <c r="AH59" i="6"/>
  <c r="AE59" i="7" s="1"/>
  <c r="AB59" i="3" s="1"/>
  <c r="AJ18" i="6"/>
  <c r="BM38" i="4"/>
  <c r="AW16" i="4"/>
  <c r="AW4" i="4"/>
  <c r="AH30" i="6"/>
  <c r="S30" i="10" s="1"/>
  <c r="BM90" i="4"/>
  <c r="AJ32" i="6"/>
  <c r="U32" i="10" s="1"/>
  <c r="AJ10" i="6"/>
  <c r="U10" i="10" s="1"/>
  <c r="AJ57" i="6"/>
  <c r="U57" i="10" s="1"/>
  <c r="BA98" i="4"/>
  <c r="BI39" i="4"/>
  <c r="AI80" i="6"/>
  <c r="AF80" i="7" s="1"/>
  <c r="AC80" i="3" s="1"/>
  <c r="BM50" i="4"/>
  <c r="AH80" i="6"/>
  <c r="AE80" i="7" s="1"/>
  <c r="AB80" i="3" s="1"/>
  <c r="AH82" i="6"/>
  <c r="S82" i="10" s="1"/>
  <c r="L37" i="4"/>
  <c r="AG17" i="4"/>
  <c r="BA105" i="4"/>
  <c r="AH108" i="6"/>
  <c r="BA107" i="4"/>
  <c r="AG19" i="4"/>
  <c r="AH110" i="6"/>
  <c r="AJ95" i="6"/>
  <c r="BI92" i="4"/>
  <c r="AJ48" i="4"/>
  <c r="BE115" i="4"/>
  <c r="AJ34" i="4"/>
  <c r="AI119" i="6"/>
  <c r="BM117" i="4"/>
  <c r="AG35" i="4"/>
  <c r="BM108" i="4"/>
  <c r="BE106" i="4"/>
  <c r="AI110" i="6"/>
  <c r="AG16" i="4"/>
  <c r="BA104" i="4"/>
  <c r="AH107" i="6"/>
  <c r="AH121" i="6"/>
  <c r="BA117" i="4"/>
  <c r="AJ20" i="4"/>
  <c r="BA113" i="4"/>
  <c r="AJ16" i="4"/>
  <c r="AH117" i="6"/>
  <c r="BA115" i="4"/>
  <c r="AJ18" i="4"/>
  <c r="AH119" i="6"/>
  <c r="AJ90" i="6"/>
  <c r="AG51" i="4"/>
  <c r="BI87" i="4"/>
  <c r="AG37" i="6"/>
  <c r="AG7" i="4"/>
  <c r="AW34" i="4"/>
  <c r="BA106" i="4"/>
  <c r="AH109" i="6"/>
  <c r="AG18" i="4"/>
  <c r="AG35" i="6"/>
  <c r="AW32" i="4"/>
  <c r="R5" i="10"/>
  <c r="AH120" i="6"/>
  <c r="BA116" i="4"/>
  <c r="AJ19" i="4"/>
  <c r="AG37" i="4"/>
  <c r="AI112" i="6"/>
  <c r="BE108" i="4"/>
  <c r="BM110" i="4"/>
  <c r="BM104" i="4"/>
  <c r="AI106" i="6"/>
  <c r="BE102" i="4"/>
  <c r="AG31" i="4"/>
  <c r="BM109" i="4"/>
  <c r="AI111" i="6"/>
  <c r="BE107" i="4"/>
  <c r="AG36" i="4"/>
  <c r="AI120" i="6"/>
  <c r="BM118" i="4"/>
  <c r="AJ35" i="4"/>
  <c r="BE116" i="4"/>
  <c r="AJ32" i="4"/>
  <c r="AI117" i="6"/>
  <c r="BE113" i="4"/>
  <c r="BM115" i="4"/>
  <c r="AJ93" i="6"/>
  <c r="BI90" i="4"/>
  <c r="AJ88" i="6"/>
  <c r="BI85" i="4"/>
  <c r="AG49" i="4"/>
  <c r="BI84" i="4"/>
  <c r="AJ87" i="6"/>
  <c r="AG48" i="4"/>
  <c r="BM116" i="4"/>
  <c r="BE114" i="4"/>
  <c r="AJ33" i="4"/>
  <c r="AI118" i="6"/>
  <c r="AJ89" i="6"/>
  <c r="BI86" i="4"/>
  <c r="AG50" i="4"/>
  <c r="BM113" i="4"/>
  <c r="BE111" i="4"/>
  <c r="AI115" i="6"/>
  <c r="AH112" i="6"/>
  <c r="BA109" i="4"/>
  <c r="AG21" i="4"/>
  <c r="BM107" i="4"/>
  <c r="BE105" i="4"/>
  <c r="AI109" i="6"/>
  <c r="AG34" i="4"/>
  <c r="AJ97" i="6"/>
  <c r="AJ50" i="4"/>
  <c r="AJ21" i="4"/>
  <c r="BA118" i="4"/>
  <c r="AH122" i="6"/>
  <c r="AG33" i="4"/>
  <c r="BE104" i="4"/>
  <c r="AI108" i="6"/>
  <c r="BM106" i="4"/>
  <c r="AG15" i="4"/>
  <c r="BA103" i="4"/>
  <c r="AH106" i="6"/>
  <c r="BA112" i="4"/>
  <c r="AJ15" i="4"/>
  <c r="AH116" i="6"/>
  <c r="BA102" i="4"/>
  <c r="AH105" i="6"/>
  <c r="AW36" i="4"/>
  <c r="AJ6" i="4"/>
  <c r="AG39" i="6"/>
  <c r="AJ37" i="4"/>
  <c r="BM120" i="4"/>
  <c r="BE118" i="4"/>
  <c r="AI122" i="6"/>
  <c r="AW35" i="4"/>
  <c r="AG38" i="6"/>
  <c r="AH118" i="6"/>
  <c r="BA114" i="4"/>
  <c r="AJ17" i="4"/>
  <c r="AI105" i="6"/>
  <c r="BM103" i="4"/>
  <c r="BE101" i="4"/>
  <c r="AH111" i="6"/>
  <c r="BA108" i="4"/>
  <c r="AG20" i="4"/>
  <c r="BE117" i="4"/>
  <c r="AJ36" i="4"/>
  <c r="AI121" i="6"/>
  <c r="BM119" i="4"/>
  <c r="AH115" i="6"/>
  <c r="BA111" i="4"/>
  <c r="AG47" i="4"/>
  <c r="BI83" i="4"/>
  <c r="AJ86" i="6"/>
  <c r="AG32" i="4"/>
  <c r="AI107" i="6"/>
  <c r="BM105" i="4"/>
  <c r="BE103" i="4"/>
  <c r="AJ31" i="4"/>
  <c r="BE112" i="4"/>
  <c r="AI116" i="6"/>
  <c r="BM114" i="4"/>
  <c r="AG6" i="4"/>
  <c r="AW33" i="4"/>
  <c r="AG36" i="6"/>
  <c r="AJ85" i="6"/>
  <c r="BI82" i="4"/>
  <c r="AJ49" i="4"/>
  <c r="BI93" i="4"/>
  <c r="AJ96" i="6"/>
  <c r="AJ94" i="6"/>
  <c r="BI91" i="4"/>
  <c r="AJ47" i="4"/>
  <c r="AJ51" i="4"/>
  <c r="AJ98" i="6"/>
  <c r="BI94" i="4"/>
  <c r="AW37" i="4"/>
  <c r="AG40" i="6"/>
  <c r="AJ7" i="4"/>
  <c r="AE50" i="7"/>
  <c r="AB50" i="3" s="1"/>
  <c r="S50" i="10"/>
  <c r="C33" i="4"/>
  <c r="F51" i="4"/>
  <c r="C51" i="4"/>
  <c r="AD36" i="4"/>
  <c r="I35" i="4"/>
  <c r="I19" i="4"/>
  <c r="R17" i="4"/>
  <c r="AA21" i="4"/>
  <c r="O36" i="4"/>
  <c r="R36" i="4"/>
  <c r="L49" i="4"/>
  <c r="X35" i="4"/>
  <c r="X18" i="4"/>
  <c r="AA33" i="4"/>
  <c r="X6" i="4"/>
  <c r="AA34" i="4"/>
  <c r="L21" i="4"/>
  <c r="C50" i="4"/>
  <c r="U32" i="4"/>
  <c r="X51" i="4"/>
  <c r="R5" i="4"/>
  <c r="O32" i="4"/>
  <c r="R51" i="4"/>
  <c r="X15" i="4"/>
  <c r="X34" i="4"/>
  <c r="O48" i="4"/>
  <c r="U31" i="4"/>
  <c r="AD47" i="4"/>
  <c r="U47" i="4"/>
  <c r="L32" i="4"/>
  <c r="R34" i="4"/>
  <c r="AD34" i="4"/>
  <c r="U17" i="4"/>
  <c r="F5" i="4"/>
  <c r="L17" i="4"/>
  <c r="AD5" i="4"/>
  <c r="U35" i="4"/>
  <c r="L48" i="4"/>
  <c r="AD32" i="4"/>
  <c r="F18" i="4"/>
  <c r="I47" i="4"/>
  <c r="AD19" i="4"/>
  <c r="I33" i="4"/>
  <c r="F21" i="4"/>
  <c r="X32" i="4"/>
  <c r="R50" i="4"/>
  <c r="L18" i="4"/>
  <c r="AA17" i="4"/>
  <c r="I6" i="4"/>
  <c r="U16" i="4"/>
  <c r="I17" i="4"/>
  <c r="F17" i="4"/>
  <c r="AD17" i="4"/>
  <c r="U18" i="4"/>
  <c r="C16" i="4"/>
  <c r="I16" i="4"/>
  <c r="I50" i="4"/>
  <c r="AD16" i="4"/>
  <c r="F50" i="4"/>
  <c r="C17" i="4"/>
  <c r="AD49" i="4"/>
  <c r="F47" i="4"/>
  <c r="AA14" i="4"/>
  <c r="U36" i="4"/>
  <c r="R35" i="4"/>
  <c r="AD31" i="4"/>
  <c r="C19" i="4"/>
  <c r="AD14" i="4"/>
  <c r="R33" i="4"/>
  <c r="R48" i="4"/>
  <c r="C48" i="4"/>
  <c r="O31" i="4"/>
  <c r="R6" i="4"/>
  <c r="R16" i="4"/>
  <c r="AA19" i="4"/>
  <c r="L16" i="4"/>
  <c r="L19" i="4"/>
  <c r="R49" i="4"/>
  <c r="O5" i="4"/>
  <c r="O47" i="4"/>
  <c r="I31" i="4"/>
  <c r="AA5" i="4"/>
  <c r="O17" i="4"/>
  <c r="AA48" i="4"/>
  <c r="F16" i="4"/>
  <c r="AD30" i="4"/>
  <c r="U37" i="4"/>
  <c r="L5" i="4"/>
  <c r="I49" i="4"/>
  <c r="C18" i="4"/>
  <c r="F34" i="4"/>
  <c r="O35" i="4"/>
  <c r="AA20" i="4"/>
  <c r="F33" i="4"/>
  <c r="AA47" i="4"/>
  <c r="L31" i="4"/>
  <c r="O16" i="4"/>
  <c r="U33" i="4"/>
  <c r="AD50" i="4"/>
  <c r="R7" i="4"/>
  <c r="F20" i="4"/>
  <c r="U15" i="4"/>
  <c r="F19" i="4"/>
  <c r="O49" i="4"/>
  <c r="I34" i="4"/>
  <c r="X48" i="4"/>
  <c r="L34" i="4"/>
  <c r="R47" i="4"/>
  <c r="U34" i="4"/>
  <c r="R15" i="4"/>
  <c r="X33" i="4"/>
  <c r="R32" i="4"/>
  <c r="AD15" i="4"/>
  <c r="AD51" i="4"/>
  <c r="X31" i="4"/>
  <c r="AA18" i="4"/>
  <c r="AD35" i="4"/>
  <c r="F15" i="4"/>
  <c r="O14" i="4"/>
  <c r="X16" i="4"/>
  <c r="AA6" i="4"/>
  <c r="F6" i="4"/>
  <c r="X14" i="4"/>
  <c r="C47" i="4"/>
  <c r="I48" i="4"/>
  <c r="C6" i="4"/>
  <c r="F49" i="4"/>
  <c r="I5" i="4"/>
  <c r="L6" i="4"/>
  <c r="AD18" i="4"/>
  <c r="U48" i="4"/>
  <c r="AA30" i="4"/>
  <c r="L47" i="4"/>
  <c r="AA46" i="4"/>
  <c r="I32" i="4"/>
  <c r="C49" i="4"/>
  <c r="X47" i="4"/>
  <c r="AA32" i="4"/>
  <c r="O33" i="4"/>
  <c r="I15" i="4"/>
  <c r="F32" i="4"/>
  <c r="AD6" i="4"/>
  <c r="AD46" i="4"/>
  <c r="U19" i="4"/>
  <c r="O46" i="4"/>
  <c r="X49" i="4"/>
  <c r="F48" i="4"/>
  <c r="F31" i="4"/>
  <c r="L46" i="4"/>
  <c r="AD33" i="4"/>
  <c r="AA16" i="4"/>
  <c r="I18" i="4"/>
  <c r="AA50" i="4"/>
  <c r="L33" i="4"/>
  <c r="AA31" i="4"/>
  <c r="U14" i="4"/>
  <c r="O15" i="4"/>
  <c r="C32" i="4"/>
  <c r="X50" i="4"/>
  <c r="O30" i="4"/>
  <c r="O34" i="4"/>
  <c r="AA49" i="4"/>
  <c r="L20" i="4"/>
  <c r="X17" i="4"/>
  <c r="AD48" i="4"/>
  <c r="AA15" i="4"/>
  <c r="R31" i="4"/>
  <c r="C31" i="4"/>
  <c r="C15" i="4"/>
  <c r="C14" i="4"/>
  <c r="C9" i="33"/>
  <c r="L15" i="4"/>
  <c r="O10" i="33"/>
  <c r="AQ9" i="33"/>
  <c r="AU9" i="33"/>
  <c r="AG14" i="4"/>
  <c r="AJ14" i="4"/>
  <c r="AU31" i="33"/>
  <c r="AJ46" i="4"/>
  <c r="AG46" i="4"/>
  <c r="AQ31" i="33"/>
  <c r="AU20" i="33"/>
  <c r="AQ20" i="33"/>
  <c r="AG30" i="4"/>
  <c r="AJ30" i="4"/>
  <c r="AQ5" i="33"/>
  <c r="AG5" i="4"/>
  <c r="AJ5" i="4"/>
  <c r="AU5" i="33"/>
  <c r="X30" i="4"/>
  <c r="U46" i="4"/>
  <c r="U5" i="4"/>
  <c r="R30" i="4"/>
  <c r="L30" i="4"/>
  <c r="L14" i="4"/>
  <c r="K20" i="33"/>
  <c r="G31" i="33"/>
  <c r="F14" i="4"/>
  <c r="C20" i="33"/>
  <c r="AE20" i="33"/>
  <c r="AE5" i="33"/>
  <c r="AA20" i="33"/>
  <c r="R46" i="4"/>
  <c r="R14" i="4"/>
  <c r="K31" i="33"/>
  <c r="K9" i="33"/>
  <c r="G20" i="33"/>
  <c r="C46" i="4"/>
  <c r="C5" i="4"/>
  <c r="X46" i="4"/>
  <c r="X5" i="4"/>
  <c r="U30" i="4"/>
  <c r="W20" i="33"/>
  <c r="W9" i="33"/>
  <c r="I30" i="4"/>
  <c r="I14" i="4"/>
  <c r="F30" i="4"/>
  <c r="C31" i="33"/>
  <c r="C5" i="33"/>
  <c r="AE31" i="33"/>
  <c r="AA31" i="33"/>
  <c r="AA5" i="33"/>
  <c r="W31" i="33"/>
  <c r="O20" i="33"/>
  <c r="O9" i="33"/>
  <c r="I46" i="4"/>
  <c r="F46" i="4"/>
  <c r="G9" i="33"/>
  <c r="C30" i="4"/>
  <c r="G191" i="29"/>
  <c r="AC192" i="29"/>
  <c r="D39" i="6"/>
  <c r="Z192" i="29"/>
  <c r="D23" i="6"/>
  <c r="D17" i="6"/>
  <c r="D24" i="6"/>
  <c r="D13" i="6"/>
  <c r="D38" i="6"/>
  <c r="H191" i="29"/>
  <c r="D14" i="6"/>
  <c r="B4" i="6"/>
  <c r="D27" i="6"/>
  <c r="D15" i="6"/>
  <c r="W192" i="29"/>
  <c r="AF192" i="29"/>
  <c r="D11" i="6"/>
  <c r="D6" i="6"/>
  <c r="D30" i="6"/>
  <c r="D37" i="6"/>
  <c r="I191" i="29"/>
  <c r="D28" i="6"/>
  <c r="D40" i="6"/>
  <c r="D12" i="6"/>
  <c r="D25" i="6"/>
  <c r="D5" i="6"/>
  <c r="D26" i="6"/>
  <c r="T192" i="29"/>
  <c r="D36" i="6"/>
  <c r="D29" i="6"/>
  <c r="D16" i="6"/>
  <c r="D41" i="6"/>
  <c r="D192" i="29" l="1"/>
  <c r="C186" i="3" s="1"/>
  <c r="U192" i="29"/>
  <c r="P192" i="29"/>
  <c r="L186" i="3" s="1"/>
  <c r="AG192" i="29"/>
  <c r="X192" i="29"/>
  <c r="AA192" i="29"/>
  <c r="J192" i="29"/>
  <c r="AD192" i="29"/>
  <c r="M192" i="29"/>
  <c r="O186" i="3" s="1"/>
  <c r="F185" i="3"/>
  <c r="A293" i="7"/>
  <c r="AN182" i="4"/>
  <c r="A184" i="3"/>
  <c r="N191" i="29"/>
  <c r="AE191" i="29"/>
  <c r="O191" i="29" s="1"/>
  <c r="N185" i="3" s="1"/>
  <c r="AB191" i="29"/>
  <c r="L191" i="29" s="1"/>
  <c r="K191" i="29"/>
  <c r="V191" i="29"/>
  <c r="F191" i="29" s="1"/>
  <c r="B185" i="3" s="1"/>
  <c r="E191" i="29"/>
  <c r="J184" i="3"/>
  <c r="AV182" i="4"/>
  <c r="B492" i="7"/>
  <c r="L492" i="7" s="1"/>
  <c r="AR182" i="4"/>
  <c r="G184" i="3"/>
  <c r="H184" i="3"/>
  <c r="C492" i="7"/>
  <c r="M184" i="3"/>
  <c r="AT182" i="4"/>
  <c r="Q191" i="29"/>
  <c r="AH191" i="29"/>
  <c r="R191" i="29" s="1"/>
  <c r="K185" i="3" s="1"/>
  <c r="A524" i="7"/>
  <c r="I185" i="3"/>
  <c r="B267" i="7"/>
  <c r="D185" i="3"/>
  <c r="AP183" i="4"/>
  <c r="E185" i="3"/>
  <c r="C267" i="7"/>
  <c r="AB192" i="29"/>
  <c r="L192" i="29" s="1"/>
  <c r="K192" i="29"/>
  <c r="K266" i="7"/>
  <c r="D266" i="7"/>
  <c r="E266" i="7"/>
  <c r="L266" i="7"/>
  <c r="J266" i="7"/>
  <c r="H266" i="7"/>
  <c r="I266" i="7"/>
  <c r="G266" i="7"/>
  <c r="Y192" i="29"/>
  <c r="T40" i="10"/>
  <c r="AD16" i="7"/>
  <c r="AA16" i="3" s="1"/>
  <c r="AF41" i="7"/>
  <c r="AC41" i="3" s="1"/>
  <c r="AG34" i="7"/>
  <c r="AD34" i="3" s="1"/>
  <c r="G17" i="6"/>
  <c r="G6" i="6"/>
  <c r="G16" i="6"/>
  <c r="BN59" i="4"/>
  <c r="C4" i="6"/>
  <c r="C23" i="6"/>
  <c r="C10" i="6"/>
  <c r="BF59" i="4"/>
  <c r="BB59" i="4"/>
  <c r="AX59" i="4"/>
  <c r="BJ59" i="4"/>
  <c r="AG56" i="7"/>
  <c r="AD56" i="3" s="1"/>
  <c r="AC5" i="7"/>
  <c r="Z5" i="3" s="1"/>
  <c r="Q5" i="10"/>
  <c r="Q22" i="10"/>
  <c r="AC22" i="7"/>
  <c r="Z22" i="3" s="1"/>
  <c r="Q10" i="10"/>
  <c r="AC10" i="7"/>
  <c r="Z10" i="3" s="1"/>
  <c r="U74" i="10"/>
  <c r="BN102" i="4"/>
  <c r="G36" i="6"/>
  <c r="G41" i="6"/>
  <c r="G38" i="6"/>
  <c r="G40" i="6"/>
  <c r="G39" i="6"/>
  <c r="G37" i="6"/>
  <c r="G23" i="6"/>
  <c r="G30" i="6"/>
  <c r="G28" i="6"/>
  <c r="G25" i="6"/>
  <c r="G24" i="6"/>
  <c r="G26" i="6"/>
  <c r="G27" i="6"/>
  <c r="G29" i="6"/>
  <c r="G13" i="6"/>
  <c r="G14" i="6"/>
  <c r="G15" i="6"/>
  <c r="G11" i="6"/>
  <c r="G12" i="6"/>
  <c r="G5" i="6"/>
  <c r="L40" i="4"/>
  <c r="L54" i="4"/>
  <c r="L24" i="4"/>
  <c r="BB73" i="4"/>
  <c r="BN71" i="4"/>
  <c r="BN73" i="4"/>
  <c r="AX118" i="4"/>
  <c r="AX73" i="4"/>
  <c r="BJ143" i="4"/>
  <c r="BJ73" i="4"/>
  <c r="BF73" i="4"/>
  <c r="AE60" i="7"/>
  <c r="AB60" i="3" s="1"/>
  <c r="AG33" i="7"/>
  <c r="AD33" i="3" s="1"/>
  <c r="S100" i="10"/>
  <c r="AF31" i="7"/>
  <c r="AC31" i="3" s="1"/>
  <c r="AE70" i="7"/>
  <c r="AB70" i="3" s="1"/>
  <c r="S51" i="10"/>
  <c r="T61" i="10"/>
  <c r="AG66" i="7"/>
  <c r="AD66" i="3" s="1"/>
  <c r="R22" i="10"/>
  <c r="BN133" i="4"/>
  <c r="AE11" i="7"/>
  <c r="AB11" i="3" s="1"/>
  <c r="AG65" i="7"/>
  <c r="AD65" i="3" s="1"/>
  <c r="AF9" i="7"/>
  <c r="AC9" i="3" s="1"/>
  <c r="AF20" i="7"/>
  <c r="AC20" i="3" s="1"/>
  <c r="AF37" i="7"/>
  <c r="AC37" i="3" s="1"/>
  <c r="AG24" i="7"/>
  <c r="AD24" i="3" s="1"/>
  <c r="T19" i="10"/>
  <c r="S41" i="10"/>
  <c r="S80" i="10"/>
  <c r="BN166" i="4"/>
  <c r="BN16" i="4"/>
  <c r="AE28" i="7"/>
  <c r="AB28" i="3" s="1"/>
  <c r="AD10" i="7"/>
  <c r="AA10" i="3" s="1"/>
  <c r="BN174" i="4"/>
  <c r="BN109" i="4"/>
  <c r="BN27" i="4"/>
  <c r="AE85" i="7"/>
  <c r="AB85" i="3" s="1"/>
  <c r="T97" i="10"/>
  <c r="T42" i="10"/>
  <c r="R33" i="10"/>
  <c r="AE12" i="7"/>
  <c r="AB12" i="3" s="1"/>
  <c r="S25" i="10"/>
  <c r="BJ135" i="4"/>
  <c r="T72" i="10"/>
  <c r="BN142" i="4"/>
  <c r="T46" i="10"/>
  <c r="T28" i="10"/>
  <c r="U55" i="10"/>
  <c r="R26" i="10"/>
  <c r="T35" i="10"/>
  <c r="U80" i="10"/>
  <c r="AE57" i="7"/>
  <c r="AB57" i="3" s="1"/>
  <c r="AF78" i="7"/>
  <c r="AC78" i="3" s="1"/>
  <c r="AF57" i="7"/>
  <c r="AC57" i="3" s="1"/>
  <c r="S18" i="10"/>
  <c r="AE40" i="7"/>
  <c r="AB40" i="3" s="1"/>
  <c r="AF18" i="7"/>
  <c r="AC18" i="3" s="1"/>
  <c r="S77" i="10"/>
  <c r="AD19" i="7"/>
  <c r="AA19" i="3" s="1"/>
  <c r="U8" i="10"/>
  <c r="AG54" i="7"/>
  <c r="AD54" i="3" s="1"/>
  <c r="BJ170" i="4"/>
  <c r="AG41" i="7"/>
  <c r="AD41" i="3" s="1"/>
  <c r="AE20" i="7"/>
  <c r="AB20" i="3" s="1"/>
  <c r="S52" i="10"/>
  <c r="S55" i="10"/>
  <c r="R24" i="10"/>
  <c r="T85" i="10"/>
  <c r="AE82" i="7"/>
  <c r="AB82" i="3" s="1"/>
  <c r="AF8" i="7"/>
  <c r="AC8" i="3" s="1"/>
  <c r="S92" i="10"/>
  <c r="S61" i="10"/>
  <c r="T51" i="10"/>
  <c r="AE32" i="7"/>
  <c r="AB32" i="3" s="1"/>
  <c r="BJ121" i="4"/>
  <c r="U58" i="10"/>
  <c r="BJ163" i="4"/>
  <c r="S97" i="10"/>
  <c r="AG79" i="7"/>
  <c r="AD79" i="3" s="1"/>
  <c r="U81" i="10"/>
  <c r="AF10" i="7"/>
  <c r="AC10" i="3" s="1"/>
  <c r="AE71" i="7"/>
  <c r="AB71" i="3" s="1"/>
  <c r="AG26" i="7"/>
  <c r="AD26" i="3" s="1"/>
  <c r="T12" i="10"/>
  <c r="BJ150" i="4"/>
  <c r="AG49" i="7"/>
  <c r="AD49" i="3" s="1"/>
  <c r="U9" i="10"/>
  <c r="T89" i="10"/>
  <c r="T39" i="10"/>
  <c r="AG29" i="7"/>
  <c r="AD29" i="3" s="1"/>
  <c r="AD31" i="7"/>
  <c r="AA31" i="3" s="1"/>
  <c r="AE56" i="7"/>
  <c r="AB56" i="3" s="1"/>
  <c r="AF71" i="7"/>
  <c r="AC71" i="3" s="1"/>
  <c r="R34" i="10"/>
  <c r="T56" i="10"/>
  <c r="BJ178" i="4"/>
  <c r="T45" i="10"/>
  <c r="T99" i="10"/>
  <c r="S9" i="10"/>
  <c r="S27" i="10"/>
  <c r="AF68" i="7"/>
  <c r="AC68" i="3" s="1"/>
  <c r="AD20" i="7"/>
  <c r="AA20" i="3" s="1"/>
  <c r="R13" i="10"/>
  <c r="AE49" i="7"/>
  <c r="AB49" i="3" s="1"/>
  <c r="AF65" i="7"/>
  <c r="AC65" i="3" s="1"/>
  <c r="AE58" i="7"/>
  <c r="AB58" i="3" s="1"/>
  <c r="U23" i="10"/>
  <c r="T32" i="10"/>
  <c r="T62" i="10"/>
  <c r="U63" i="10"/>
  <c r="U25" i="10"/>
  <c r="T88" i="10"/>
  <c r="AD7" i="7"/>
  <c r="AA7" i="3" s="1"/>
  <c r="T58" i="10"/>
  <c r="AE66" i="7"/>
  <c r="AB66" i="3" s="1"/>
  <c r="AF22" i="7"/>
  <c r="AC22" i="3" s="1"/>
  <c r="T6" i="10"/>
  <c r="AG37" i="7"/>
  <c r="AD37" i="3" s="1"/>
  <c r="AE22" i="7"/>
  <c r="AB22" i="3" s="1"/>
  <c r="S37" i="10"/>
  <c r="AE88" i="7"/>
  <c r="AB88" i="3" s="1"/>
  <c r="S95" i="10"/>
  <c r="U40" i="10"/>
  <c r="S102" i="10"/>
  <c r="R32" i="10"/>
  <c r="T21" i="10"/>
  <c r="AE39" i="7"/>
  <c r="AB39" i="3" s="1"/>
  <c r="U47" i="10"/>
  <c r="U61" i="10"/>
  <c r="U17" i="10"/>
  <c r="AG82" i="7"/>
  <c r="AD82" i="3" s="1"/>
  <c r="AE15" i="7"/>
  <c r="AB15" i="3" s="1"/>
  <c r="T69" i="10"/>
  <c r="AG32" i="7"/>
  <c r="AD32" i="3" s="1"/>
  <c r="AF38" i="7"/>
  <c r="AC38" i="3" s="1"/>
  <c r="S38" i="10"/>
  <c r="U13" i="10"/>
  <c r="S48" i="10"/>
  <c r="AF47" i="7"/>
  <c r="AC47" i="3" s="1"/>
  <c r="AF101" i="7"/>
  <c r="AC101" i="3" s="1"/>
  <c r="S17" i="10"/>
  <c r="AD15" i="7"/>
  <c r="AA15" i="3" s="1"/>
  <c r="T91" i="10"/>
  <c r="S47" i="10"/>
  <c r="S76" i="10"/>
  <c r="S78" i="10"/>
  <c r="U71" i="10"/>
  <c r="S81" i="10"/>
  <c r="U31" i="10"/>
  <c r="AE79" i="7"/>
  <c r="AB79" i="3" s="1"/>
  <c r="AD12" i="7"/>
  <c r="AA12" i="3" s="1"/>
  <c r="AG69" i="7"/>
  <c r="AD69" i="3" s="1"/>
  <c r="AF7" i="7"/>
  <c r="AC7" i="3" s="1"/>
  <c r="BJ128" i="4"/>
  <c r="BJ157" i="4"/>
  <c r="AE62" i="7"/>
  <c r="AB62" i="3" s="1"/>
  <c r="S101" i="10"/>
  <c r="AE31" i="7"/>
  <c r="AB31" i="3" s="1"/>
  <c r="AE67" i="7"/>
  <c r="AB67" i="3" s="1"/>
  <c r="AD30" i="7"/>
  <c r="AA30" i="3" s="1"/>
  <c r="AF11" i="7"/>
  <c r="AC11" i="3" s="1"/>
  <c r="S98" i="10"/>
  <c r="AX159" i="4"/>
  <c r="AF16" i="7"/>
  <c r="AC16" i="3" s="1"/>
  <c r="BN38" i="4"/>
  <c r="BB83" i="4"/>
  <c r="S68" i="10"/>
  <c r="BN92" i="4"/>
  <c r="BN6" i="4"/>
  <c r="R21" i="10"/>
  <c r="T25" i="10"/>
  <c r="AX82" i="4"/>
  <c r="S21" i="10"/>
  <c r="T82" i="10"/>
  <c r="AG53" i="7"/>
  <c r="AD53" i="3" s="1"/>
  <c r="T26" i="10"/>
  <c r="BN159" i="4"/>
  <c r="BN126" i="4"/>
  <c r="BN49" i="4"/>
  <c r="BN182" i="4"/>
  <c r="BN150" i="4"/>
  <c r="BN118" i="4"/>
  <c r="BN82" i="4"/>
  <c r="S10" i="10"/>
  <c r="AF79" i="7"/>
  <c r="AC79" i="3" s="1"/>
  <c r="AG78" i="7"/>
  <c r="AD78" i="3" s="1"/>
  <c r="AG21" i="7"/>
  <c r="AD21" i="3" s="1"/>
  <c r="U73" i="10"/>
  <c r="AX67" i="4"/>
  <c r="BJ119" i="4"/>
  <c r="BN4" i="4"/>
  <c r="BB43" i="4"/>
  <c r="BN169" i="4"/>
  <c r="BN154" i="4"/>
  <c r="BN137" i="4"/>
  <c r="BN124" i="4"/>
  <c r="BN114" i="4"/>
  <c r="BN96" i="4"/>
  <c r="BN86" i="4"/>
  <c r="BN76" i="4"/>
  <c r="BN64" i="4"/>
  <c r="BN54" i="4"/>
  <c r="BN43" i="4"/>
  <c r="BN32" i="4"/>
  <c r="BN22" i="4"/>
  <c r="BN11" i="4"/>
  <c r="U39" i="10"/>
  <c r="AG10" i="7"/>
  <c r="AD10" i="3" s="1"/>
  <c r="AG77" i="7"/>
  <c r="AD77" i="3" s="1"/>
  <c r="BB33" i="4"/>
  <c r="R27" i="10"/>
  <c r="AG70" i="7"/>
  <c r="AD70" i="3" s="1"/>
  <c r="T76" i="10"/>
  <c r="S19" i="10"/>
  <c r="BJ181" i="4"/>
  <c r="BJ174" i="4"/>
  <c r="BJ167" i="4"/>
  <c r="BJ159" i="4"/>
  <c r="BJ152" i="4"/>
  <c r="BJ147" i="4"/>
  <c r="BJ137" i="4"/>
  <c r="BJ131" i="4"/>
  <c r="BJ125" i="4"/>
  <c r="BJ90" i="4"/>
  <c r="AF49" i="7"/>
  <c r="AC49" i="3" s="1"/>
  <c r="AG7" i="7"/>
  <c r="AD7" i="3" s="1"/>
  <c r="AE5" i="7"/>
  <c r="AB5" i="3" s="1"/>
  <c r="T50" i="10"/>
  <c r="AG72" i="7"/>
  <c r="AD72" i="3" s="1"/>
  <c r="AF87" i="7"/>
  <c r="AC87" i="3" s="1"/>
  <c r="AF66" i="7"/>
  <c r="AC66" i="3" s="1"/>
  <c r="T81" i="10"/>
  <c r="AG38" i="7"/>
  <c r="AD38" i="3" s="1"/>
  <c r="AG6" i="7"/>
  <c r="AD6" i="3" s="1"/>
  <c r="AX175" i="4"/>
  <c r="AX139" i="4"/>
  <c r="AX103" i="4"/>
  <c r="AX9" i="4"/>
  <c r="R11" i="10"/>
  <c r="S26" i="10"/>
  <c r="AE45" i="7"/>
  <c r="AB45" i="3" s="1"/>
  <c r="S6" i="10"/>
  <c r="BJ118" i="4"/>
  <c r="T55" i="10"/>
  <c r="AF77" i="7"/>
  <c r="AC77" i="3" s="1"/>
  <c r="BN178" i="4"/>
  <c r="BN162" i="4"/>
  <c r="BN147" i="4"/>
  <c r="BN130" i="4"/>
  <c r="BN106" i="4"/>
  <c r="BN177" i="4"/>
  <c r="BN170" i="4"/>
  <c r="BN161" i="4"/>
  <c r="BN153" i="4"/>
  <c r="BN145" i="4"/>
  <c r="BN138" i="4"/>
  <c r="BN129" i="4"/>
  <c r="BN120" i="4"/>
  <c r="BN113" i="4"/>
  <c r="BN105" i="4"/>
  <c r="BN97" i="4"/>
  <c r="BN84" i="4"/>
  <c r="BN75" i="4"/>
  <c r="BN62" i="4"/>
  <c r="BN52" i="4"/>
  <c r="BN42" i="4"/>
  <c r="BN31" i="4"/>
  <c r="BN19" i="4"/>
  <c r="BN10" i="4"/>
  <c r="BB2" i="4"/>
  <c r="S59" i="10"/>
  <c r="AD23" i="7"/>
  <c r="AA23" i="3" s="1"/>
  <c r="BJ179" i="4"/>
  <c r="BJ173" i="4"/>
  <c r="BJ165" i="4"/>
  <c r="BJ158" i="4"/>
  <c r="BJ151" i="4"/>
  <c r="BJ142" i="4"/>
  <c r="BJ138" i="4"/>
  <c r="BJ130" i="4"/>
  <c r="BJ122" i="4"/>
  <c r="T36" i="10"/>
  <c r="AX160" i="4"/>
  <c r="AX124" i="4"/>
  <c r="AX87" i="4"/>
  <c r="AG22" i="7"/>
  <c r="AD22" i="3" s="1"/>
  <c r="AE99" i="7"/>
  <c r="AB99" i="3" s="1"/>
  <c r="T80" i="10"/>
  <c r="BN181" i="4"/>
  <c r="BN172" i="4"/>
  <c r="BN165" i="4"/>
  <c r="BN157" i="4"/>
  <c r="BN149" i="4"/>
  <c r="BN141" i="4"/>
  <c r="BN134" i="4"/>
  <c r="BN125" i="4"/>
  <c r="BN117" i="4"/>
  <c r="BN110" i="4"/>
  <c r="BN101" i="4"/>
  <c r="BN91" i="4"/>
  <c r="BN79" i="4"/>
  <c r="BN68" i="4"/>
  <c r="BN58" i="4"/>
  <c r="BN47" i="4"/>
  <c r="BN36" i="4"/>
  <c r="BN26" i="4"/>
  <c r="BN15" i="4"/>
  <c r="BJ15" i="4"/>
  <c r="BJ175" i="4"/>
  <c r="BJ169" i="4"/>
  <c r="BJ162" i="4"/>
  <c r="BJ154" i="4"/>
  <c r="BJ146" i="4"/>
  <c r="BJ141" i="4"/>
  <c r="BJ133" i="4"/>
  <c r="BJ126" i="4"/>
  <c r="R6" i="10"/>
  <c r="R8" i="10"/>
  <c r="AX182" i="4"/>
  <c r="AX144" i="4"/>
  <c r="AX102" i="4"/>
  <c r="AF27" i="7"/>
  <c r="AC27" i="3" s="1"/>
  <c r="AE35" i="7"/>
  <c r="AB35" i="3" s="1"/>
  <c r="BJ182" i="4"/>
  <c r="BJ177" i="4"/>
  <c r="BJ172" i="4"/>
  <c r="BJ166" i="4"/>
  <c r="BJ161" i="4"/>
  <c r="BJ155" i="4"/>
  <c r="BJ149" i="4"/>
  <c r="BJ144" i="4"/>
  <c r="BJ139" i="4"/>
  <c r="BJ134" i="4"/>
  <c r="BJ129" i="4"/>
  <c r="BJ123" i="4"/>
  <c r="R9" i="10"/>
  <c r="BN3" i="4"/>
  <c r="BF23" i="4"/>
  <c r="U18" i="10"/>
  <c r="AG18" i="7"/>
  <c r="AD18" i="3" s="1"/>
  <c r="AD28" i="7"/>
  <c r="AA28" i="3" s="1"/>
  <c r="R28" i="10"/>
  <c r="S91" i="10"/>
  <c r="AE91" i="7"/>
  <c r="AB91" i="3" s="1"/>
  <c r="S7" i="10"/>
  <c r="AE7" i="7"/>
  <c r="AB7" i="3" s="1"/>
  <c r="T75" i="10"/>
  <c r="AF75" i="7"/>
  <c r="AC75" i="3" s="1"/>
  <c r="BB3" i="4"/>
  <c r="BB19" i="4"/>
  <c r="BB87" i="4"/>
  <c r="BB10" i="4"/>
  <c r="BB49" i="4"/>
  <c r="BB119" i="4"/>
  <c r="T5" i="10"/>
  <c r="AF5" i="7"/>
  <c r="AC5" i="3" s="1"/>
  <c r="T29" i="10"/>
  <c r="AF29" i="7"/>
  <c r="AC29" i="3" s="1"/>
  <c r="AF67" i="7"/>
  <c r="AC67" i="3" s="1"/>
  <c r="T67" i="10"/>
  <c r="T17" i="10"/>
  <c r="AF17" i="7"/>
  <c r="AC17" i="3" s="1"/>
  <c r="S75" i="10"/>
  <c r="AE75" i="7"/>
  <c r="AB75" i="3" s="1"/>
  <c r="AF90" i="7"/>
  <c r="AC90" i="3" s="1"/>
  <c r="T90" i="10"/>
  <c r="T30" i="10"/>
  <c r="AF30" i="7"/>
  <c r="AC30" i="3" s="1"/>
  <c r="BF178" i="4"/>
  <c r="BF158" i="4"/>
  <c r="AG42" i="7"/>
  <c r="AD42" i="3" s="1"/>
  <c r="U42" i="10"/>
  <c r="S96" i="10"/>
  <c r="AE96" i="7"/>
  <c r="AB96" i="3" s="1"/>
  <c r="AE86" i="7"/>
  <c r="AB86" i="3" s="1"/>
  <c r="S86" i="10"/>
  <c r="AE46" i="7"/>
  <c r="AB46" i="3" s="1"/>
  <c r="S46" i="10"/>
  <c r="T70" i="10"/>
  <c r="AF70" i="7"/>
  <c r="AC70" i="3" s="1"/>
  <c r="T96" i="10"/>
  <c r="AF96" i="7"/>
  <c r="AC96" i="3" s="1"/>
  <c r="S65" i="10"/>
  <c r="AE65" i="7"/>
  <c r="AB65" i="3" s="1"/>
  <c r="AG15" i="7"/>
  <c r="AD15" i="3" s="1"/>
  <c r="U15" i="10"/>
  <c r="U45" i="10"/>
  <c r="AG45" i="7"/>
  <c r="AD45" i="3" s="1"/>
  <c r="AG16" i="7"/>
  <c r="AD16" i="3" s="1"/>
  <c r="U16" i="10"/>
  <c r="AF100" i="7"/>
  <c r="AC100" i="3" s="1"/>
  <c r="T100" i="10"/>
  <c r="R17" i="10"/>
  <c r="AD17" i="7"/>
  <c r="AA17" i="3" s="1"/>
  <c r="AX62" i="4"/>
  <c r="AX69" i="4"/>
  <c r="AX76" i="4"/>
  <c r="AX83" i="4"/>
  <c r="AX91" i="4"/>
  <c r="AX98" i="4"/>
  <c r="AX106" i="4"/>
  <c r="AX112" i="4"/>
  <c r="AX119" i="4"/>
  <c r="AX127" i="4"/>
  <c r="AX134" i="4"/>
  <c r="AX140" i="4"/>
  <c r="AX148" i="4"/>
  <c r="AX155" i="4"/>
  <c r="AX162" i="4"/>
  <c r="AX169" i="4"/>
  <c r="AX176" i="4"/>
  <c r="AX4" i="4"/>
  <c r="AX63" i="4"/>
  <c r="AX70" i="4"/>
  <c r="AX79" i="4"/>
  <c r="AX86" i="4"/>
  <c r="AX92" i="4"/>
  <c r="AX99" i="4"/>
  <c r="AX107" i="4"/>
  <c r="AX114" i="4"/>
  <c r="AX122" i="4"/>
  <c r="AX128" i="4"/>
  <c r="AX135" i="4"/>
  <c r="AX143" i="4"/>
  <c r="AX150" i="4"/>
  <c r="AX156" i="4"/>
  <c r="AX163" i="4"/>
  <c r="AX171" i="4"/>
  <c r="AX178" i="4"/>
  <c r="AX65" i="4"/>
  <c r="AX80" i="4"/>
  <c r="AX95" i="4"/>
  <c r="AX108" i="4"/>
  <c r="AX123" i="4"/>
  <c r="AX138" i="4"/>
  <c r="AX151" i="4"/>
  <c r="AX165" i="4"/>
  <c r="AX180" i="4"/>
  <c r="AG48" i="7"/>
  <c r="AD48" i="3" s="1"/>
  <c r="U48" i="10"/>
  <c r="AE29" i="7"/>
  <c r="AB29" i="3" s="1"/>
  <c r="S29" i="10"/>
  <c r="BN5" i="4"/>
  <c r="BN9" i="4"/>
  <c r="BN12" i="4"/>
  <c r="BN17" i="4"/>
  <c r="BN21" i="4"/>
  <c r="BN25" i="4"/>
  <c r="BN29" i="4"/>
  <c r="BN33" i="4"/>
  <c r="BN37" i="4"/>
  <c r="BN41" i="4"/>
  <c r="BN44" i="4"/>
  <c r="BN48" i="4"/>
  <c r="BN53" i="4"/>
  <c r="BN57" i="4"/>
  <c r="BN60" i="4"/>
  <c r="BN65" i="4"/>
  <c r="BN69" i="4"/>
  <c r="BN74" i="4"/>
  <c r="BN78" i="4"/>
  <c r="BN81" i="4"/>
  <c r="BN87" i="4"/>
  <c r="BN90" i="4"/>
  <c r="BN95" i="4"/>
  <c r="BN98" i="4"/>
  <c r="AF59" i="7"/>
  <c r="AC59" i="3" s="1"/>
  <c r="T59" i="10"/>
  <c r="T52" i="10"/>
  <c r="AF52" i="7"/>
  <c r="AC52" i="3" s="1"/>
  <c r="R25" i="10"/>
  <c r="AD25" i="7"/>
  <c r="AA25" i="3" s="1"/>
  <c r="AE72" i="7"/>
  <c r="AB72" i="3" s="1"/>
  <c r="S72" i="10"/>
  <c r="BJ50" i="4"/>
  <c r="BJ72" i="4"/>
  <c r="AE42" i="7"/>
  <c r="AB42" i="3" s="1"/>
  <c r="S42" i="10"/>
  <c r="T102" i="10"/>
  <c r="AF102" i="7"/>
  <c r="AC102" i="3" s="1"/>
  <c r="BN180" i="4"/>
  <c r="BN176" i="4"/>
  <c r="BN173" i="4"/>
  <c r="BN168" i="4"/>
  <c r="BN164" i="4"/>
  <c r="BN160" i="4"/>
  <c r="BN156" i="4"/>
  <c r="BN152" i="4"/>
  <c r="BN148" i="4"/>
  <c r="BN144" i="4"/>
  <c r="BN140" i="4"/>
  <c r="BN136" i="4"/>
  <c r="BN132" i="4"/>
  <c r="BN127" i="4"/>
  <c r="BN123" i="4"/>
  <c r="BN121" i="4"/>
  <c r="BN116" i="4"/>
  <c r="BN112" i="4"/>
  <c r="BN108" i="4"/>
  <c r="BN103" i="4"/>
  <c r="BN100" i="4"/>
  <c r="BN94" i="4"/>
  <c r="BN89" i="4"/>
  <c r="BN85" i="4"/>
  <c r="BN80" i="4"/>
  <c r="BN72" i="4"/>
  <c r="BN66" i="4"/>
  <c r="BN63" i="4"/>
  <c r="BN56" i="4"/>
  <c r="BN51" i="4"/>
  <c r="BN46" i="4"/>
  <c r="BN40" i="4"/>
  <c r="BN34" i="4"/>
  <c r="BN30" i="4"/>
  <c r="BN24" i="4"/>
  <c r="BN20" i="4"/>
  <c r="BN14" i="4"/>
  <c r="BN8" i="4"/>
  <c r="BN2" i="4"/>
  <c r="BB80" i="4"/>
  <c r="BB18" i="4"/>
  <c r="AD14" i="7"/>
  <c r="AA14" i="3" s="1"/>
  <c r="BF146" i="4"/>
  <c r="AG64" i="7"/>
  <c r="AD64" i="3" s="1"/>
  <c r="S36" i="10"/>
  <c r="S69" i="10"/>
  <c r="S89" i="10"/>
  <c r="AG14" i="7"/>
  <c r="AD14" i="3" s="1"/>
  <c r="AD18" i="7"/>
  <c r="AA18" i="3" s="1"/>
  <c r="T95" i="10"/>
  <c r="AX172" i="4"/>
  <c r="AX154" i="4"/>
  <c r="AX133" i="4"/>
  <c r="AX116" i="4"/>
  <c r="AX96" i="4"/>
  <c r="AX75" i="4"/>
  <c r="AX7" i="4"/>
  <c r="AG30" i="7"/>
  <c r="AD30" i="3" s="1"/>
  <c r="S8" i="10"/>
  <c r="T48" i="10"/>
  <c r="U62" i="10"/>
  <c r="BN179" i="4"/>
  <c r="BN175" i="4"/>
  <c r="BN171" i="4"/>
  <c r="BN167" i="4"/>
  <c r="BN163" i="4"/>
  <c r="BN158" i="4"/>
  <c r="BN155" i="4"/>
  <c r="BN151" i="4"/>
  <c r="BN146" i="4"/>
  <c r="BN143" i="4"/>
  <c r="BN139" i="4"/>
  <c r="BN135" i="4"/>
  <c r="BN131" i="4"/>
  <c r="BN128" i="4"/>
  <c r="BN122" i="4"/>
  <c r="BN119" i="4"/>
  <c r="BN115" i="4"/>
  <c r="BN111" i="4"/>
  <c r="BN107" i="4"/>
  <c r="BN104" i="4"/>
  <c r="BN99" i="4"/>
  <c r="BN93" i="4"/>
  <c r="BN88" i="4"/>
  <c r="BN83" i="4"/>
  <c r="BN77" i="4"/>
  <c r="BN70" i="4"/>
  <c r="BN67" i="4"/>
  <c r="BN61" i="4"/>
  <c r="BN55" i="4"/>
  <c r="BN50" i="4"/>
  <c r="BN45" i="4"/>
  <c r="BN39" i="4"/>
  <c r="BN35" i="4"/>
  <c r="BN28" i="4"/>
  <c r="BN23" i="4"/>
  <c r="BN18" i="4"/>
  <c r="BN13" i="4"/>
  <c r="BN7" i="4"/>
  <c r="AG57" i="7"/>
  <c r="AD57" i="3" s="1"/>
  <c r="AE30" i="7"/>
  <c r="AB30" i="3" s="1"/>
  <c r="BB156" i="4"/>
  <c r="BB74" i="4"/>
  <c r="BB5" i="4"/>
  <c r="AF98" i="7"/>
  <c r="AC98" i="3" s="1"/>
  <c r="BB6" i="4"/>
  <c r="T86" i="10"/>
  <c r="T15" i="10"/>
  <c r="R29" i="10"/>
  <c r="AE90" i="7"/>
  <c r="AB90" i="3" s="1"/>
  <c r="T60" i="10"/>
  <c r="AF92" i="7"/>
  <c r="AC92" i="3" s="1"/>
  <c r="AG46" i="7"/>
  <c r="AD46" i="3" s="1"/>
  <c r="AE16" i="7"/>
  <c r="AB16" i="3" s="1"/>
  <c r="U5" i="10"/>
  <c r="AE87" i="7"/>
  <c r="AB87" i="3" s="1"/>
  <c r="AX168" i="4"/>
  <c r="AX146" i="4"/>
  <c r="AX129" i="4"/>
  <c r="AX111" i="4"/>
  <c r="AX89" i="4"/>
  <c r="AX74" i="4"/>
  <c r="AG50" i="7"/>
  <c r="AD50" i="3" s="1"/>
  <c r="BB181" i="4"/>
  <c r="BB149" i="4"/>
  <c r="BB177" i="4"/>
  <c r="BB155" i="4"/>
  <c r="BF105" i="4"/>
  <c r="AX53" i="4"/>
  <c r="AX64" i="4"/>
  <c r="AX68" i="4"/>
  <c r="AX72" i="4"/>
  <c r="AX77" i="4"/>
  <c r="AX81" i="4"/>
  <c r="AX85" i="4"/>
  <c r="AX90" i="4"/>
  <c r="AX93" i="4"/>
  <c r="AX97" i="4"/>
  <c r="AX101" i="4"/>
  <c r="AX105" i="4"/>
  <c r="AX109" i="4"/>
  <c r="AX113" i="4"/>
  <c r="AX117" i="4"/>
  <c r="AX120" i="4"/>
  <c r="AX126" i="4"/>
  <c r="AX130" i="4"/>
  <c r="AX132" i="4"/>
  <c r="AX136" i="4"/>
  <c r="AX142" i="4"/>
  <c r="AX145" i="4"/>
  <c r="AX149" i="4"/>
  <c r="AX152" i="4"/>
  <c r="AX157" i="4"/>
  <c r="AX161" i="4"/>
  <c r="AX166" i="4"/>
  <c r="AX170" i="4"/>
  <c r="AX174" i="4"/>
  <c r="AX177" i="4"/>
  <c r="AX181" i="4"/>
  <c r="BJ76" i="4"/>
  <c r="BJ120" i="4"/>
  <c r="BJ124" i="4"/>
  <c r="BJ127" i="4"/>
  <c r="BJ132" i="4"/>
  <c r="BJ136" i="4"/>
  <c r="BJ140" i="4"/>
  <c r="BJ145" i="4"/>
  <c r="BJ148" i="4"/>
  <c r="BJ153" i="4"/>
  <c r="BJ156" i="4"/>
  <c r="BJ160" i="4"/>
  <c r="BJ164" i="4"/>
  <c r="BJ168" i="4"/>
  <c r="BJ171" i="4"/>
  <c r="BJ176" i="4"/>
  <c r="BJ180" i="4"/>
  <c r="AX179" i="4"/>
  <c r="AX173" i="4"/>
  <c r="AX167" i="4"/>
  <c r="AX164" i="4"/>
  <c r="AX158" i="4"/>
  <c r="AX153" i="4"/>
  <c r="AX147" i="4"/>
  <c r="AX141" i="4"/>
  <c r="AX137" i="4"/>
  <c r="AX131" i="4"/>
  <c r="AX125" i="4"/>
  <c r="AX121" i="4"/>
  <c r="AX115" i="4"/>
  <c r="AX110" i="4"/>
  <c r="AX104" i="4"/>
  <c r="AX100" i="4"/>
  <c r="AX94" i="4"/>
  <c r="AX88" i="4"/>
  <c r="AX84" i="4"/>
  <c r="AX78" i="4"/>
  <c r="AX71" i="4"/>
  <c r="AX66" i="4"/>
  <c r="AX61" i="4"/>
  <c r="BB145" i="4"/>
  <c r="BB152" i="4"/>
  <c r="I8" i="4"/>
  <c r="I9" i="4" s="1"/>
  <c r="L8" i="4"/>
  <c r="L9" i="4" s="1"/>
  <c r="U54" i="4"/>
  <c r="F24" i="4"/>
  <c r="I40" i="4"/>
  <c r="AD40" i="4"/>
  <c r="O40" i="4"/>
  <c r="X24" i="4"/>
  <c r="C54" i="4"/>
  <c r="U24" i="4"/>
  <c r="AA8" i="4"/>
  <c r="AA9" i="4" s="1"/>
  <c r="R54" i="4"/>
  <c r="O24" i="4"/>
  <c r="X8" i="4"/>
  <c r="X9" i="4" s="1"/>
  <c r="O8" i="4"/>
  <c r="O9" i="4" s="1"/>
  <c r="R40" i="4"/>
  <c r="R24" i="4"/>
  <c r="AD8" i="4"/>
  <c r="AD9" i="4" s="1"/>
  <c r="U8" i="4"/>
  <c r="U9" i="4" s="1"/>
  <c r="O54" i="4"/>
  <c r="F8" i="4"/>
  <c r="F9" i="4" s="1"/>
  <c r="F40" i="4"/>
  <c r="X54" i="4"/>
  <c r="F54" i="4"/>
  <c r="AD54" i="4"/>
  <c r="AD24" i="4"/>
  <c r="C8" i="4"/>
  <c r="I24" i="4"/>
  <c r="X40" i="4"/>
  <c r="C24" i="4"/>
  <c r="U40" i="4"/>
  <c r="AA24" i="4"/>
  <c r="AA54" i="4"/>
  <c r="AA40" i="4"/>
  <c r="R8" i="4"/>
  <c r="R9" i="4" s="1"/>
  <c r="I54" i="4"/>
  <c r="C40" i="4"/>
  <c r="BB140" i="4"/>
  <c r="BF22" i="4"/>
  <c r="BB143" i="4"/>
  <c r="BB174" i="4"/>
  <c r="BB138" i="4"/>
  <c r="BB180" i="4"/>
  <c r="BB112" i="4"/>
  <c r="BB158" i="4"/>
  <c r="BB154" i="4"/>
  <c r="BB146" i="4"/>
  <c r="BB111" i="4"/>
  <c r="AJ24" i="4"/>
  <c r="BB157" i="4"/>
  <c r="BB150" i="4"/>
  <c r="AG54" i="4"/>
  <c r="BB141" i="4"/>
  <c r="BB139" i="4"/>
  <c r="BB121" i="4"/>
  <c r="BB178" i="4"/>
  <c r="BB125" i="4"/>
  <c r="BB170" i="4"/>
  <c r="BB113" i="4"/>
  <c r="BB103" i="4"/>
  <c r="BB126" i="4"/>
  <c r="BB182" i="4"/>
  <c r="BB176" i="4"/>
  <c r="BB105" i="4"/>
  <c r="AX10" i="4"/>
  <c r="BB108" i="4"/>
  <c r="BB99" i="4"/>
  <c r="BB128" i="4"/>
  <c r="BB116" i="4"/>
  <c r="BB166" i="4"/>
  <c r="BB90" i="4"/>
  <c r="BJ103" i="4"/>
  <c r="BJ75" i="4"/>
  <c r="BJ42" i="4"/>
  <c r="BJ18" i="4"/>
  <c r="BF77" i="4"/>
  <c r="BF25" i="4"/>
  <c r="BJ39" i="4"/>
  <c r="BJ12" i="4"/>
  <c r="BF130" i="4"/>
  <c r="BF99" i="4"/>
  <c r="BF71" i="4"/>
  <c r="BJ82" i="4"/>
  <c r="BJ54" i="4"/>
  <c r="BJ34" i="4"/>
  <c r="BJ4" i="4"/>
  <c r="BF163" i="4"/>
  <c r="BF116" i="4"/>
  <c r="BF87" i="4"/>
  <c r="BF47" i="4"/>
  <c r="BF64" i="4"/>
  <c r="BJ109" i="4"/>
  <c r="BJ29" i="4"/>
  <c r="BF108" i="4"/>
  <c r="BF84" i="4"/>
  <c r="BF39" i="4"/>
  <c r="BF9" i="4"/>
  <c r="AX57" i="4"/>
  <c r="BB159" i="4"/>
  <c r="BB153" i="4"/>
  <c r="BB137" i="4"/>
  <c r="BB132" i="4"/>
  <c r="BB131" i="4"/>
  <c r="BB129" i="4"/>
  <c r="BB123" i="4"/>
  <c r="BB179" i="4"/>
  <c r="BB115" i="4"/>
  <c r="BB171" i="4"/>
  <c r="BB109" i="4"/>
  <c r="BB106" i="4"/>
  <c r="BB104" i="4"/>
  <c r="BB102" i="4"/>
  <c r="BB95" i="4"/>
  <c r="BB86" i="4"/>
  <c r="BB79" i="4"/>
  <c r="BB62" i="4"/>
  <c r="BB56" i="4"/>
  <c r="BB29" i="4"/>
  <c r="BB17" i="4"/>
  <c r="BJ105" i="4"/>
  <c r="BJ95" i="4"/>
  <c r="BJ86" i="4"/>
  <c r="BJ80" i="4"/>
  <c r="BJ55" i="4"/>
  <c r="BJ49" i="4"/>
  <c r="BJ38" i="4"/>
  <c r="BF180" i="4"/>
  <c r="BF165" i="4"/>
  <c r="BF155" i="4"/>
  <c r="BF133" i="4"/>
  <c r="BF125" i="4"/>
  <c r="BF110" i="4"/>
  <c r="BF101" i="4"/>
  <c r="BF63" i="4"/>
  <c r="BF27" i="4"/>
  <c r="BF19" i="4"/>
  <c r="AX42" i="4"/>
  <c r="AX23" i="4"/>
  <c r="AX6" i="4"/>
  <c r="BB161" i="4"/>
  <c r="BB160" i="4"/>
  <c r="BB148" i="4"/>
  <c r="BB147" i="4"/>
  <c r="BB144" i="4"/>
  <c r="BB142" i="4"/>
  <c r="BB136" i="4"/>
  <c r="BB134" i="4"/>
  <c r="BB130" i="4"/>
  <c r="BB124" i="4"/>
  <c r="BB122" i="4"/>
  <c r="BB120" i="4"/>
  <c r="BB118" i="4"/>
  <c r="BB114" i="4"/>
  <c r="BB172" i="4"/>
  <c r="BB110" i="4"/>
  <c r="BB168" i="4"/>
  <c r="BB163" i="4"/>
  <c r="BB101" i="4"/>
  <c r="BB94" i="4"/>
  <c r="BB85" i="4"/>
  <c r="BB78" i="4"/>
  <c r="BB60" i="4"/>
  <c r="BB54" i="4"/>
  <c r="BB42" i="4"/>
  <c r="BB22" i="4"/>
  <c r="BB14" i="4"/>
  <c r="BJ91" i="4"/>
  <c r="BJ84" i="4"/>
  <c r="BJ77" i="4"/>
  <c r="BJ66" i="4"/>
  <c r="BJ45" i="4"/>
  <c r="BJ37" i="4"/>
  <c r="BJ19" i="4"/>
  <c r="BJ10" i="4"/>
  <c r="BF179" i="4"/>
  <c r="BF152" i="4"/>
  <c r="BF131" i="4"/>
  <c r="BF124" i="4"/>
  <c r="BF100" i="4"/>
  <c r="BF85" i="4"/>
  <c r="BF76" i="4"/>
  <c r="BF62" i="4"/>
  <c r="BF10" i="4"/>
  <c r="AX52" i="4"/>
  <c r="AX35" i="4"/>
  <c r="AX15" i="4"/>
  <c r="AX5" i="4"/>
  <c r="BJ100" i="4"/>
  <c r="BJ83" i="4"/>
  <c r="BJ64" i="4"/>
  <c r="BJ52" i="4"/>
  <c r="BJ7" i="4"/>
  <c r="AX50" i="4"/>
  <c r="AX33" i="4"/>
  <c r="BB151" i="4"/>
  <c r="BB135" i="4"/>
  <c r="BB133" i="4"/>
  <c r="BB127" i="4"/>
  <c r="BB183" i="4"/>
  <c r="BB117" i="4"/>
  <c r="BB175" i="4"/>
  <c r="BB173" i="4"/>
  <c r="BB169" i="4"/>
  <c r="BB167" i="4"/>
  <c r="BB164" i="4"/>
  <c r="BB162" i="4"/>
  <c r="BB97" i="4"/>
  <c r="BB70" i="4"/>
  <c r="BB58" i="4"/>
  <c r="BB47" i="4"/>
  <c r="BB30" i="4"/>
  <c r="BJ98" i="4"/>
  <c r="BJ88" i="4"/>
  <c r="BJ63" i="4"/>
  <c r="BJ33" i="4"/>
  <c r="BF176" i="4"/>
  <c r="BF156" i="4"/>
  <c r="BF137" i="4"/>
  <c r="BF127" i="4"/>
  <c r="BF112" i="4"/>
  <c r="BF102" i="4"/>
  <c r="BF95" i="4"/>
  <c r="BF80" i="4"/>
  <c r="AX54" i="4"/>
  <c r="AX45" i="4"/>
  <c r="AX24" i="4"/>
  <c r="AX2" i="4"/>
  <c r="BF8" i="4"/>
  <c r="BF2" i="4"/>
  <c r="BJ5" i="4"/>
  <c r="BJ3" i="4"/>
  <c r="BJ11" i="4"/>
  <c r="BJ23" i="4"/>
  <c r="BJ27" i="4"/>
  <c r="BJ31" i="4"/>
  <c r="BJ35" i="4"/>
  <c r="BJ43" i="4"/>
  <c r="BJ47" i="4"/>
  <c r="BJ51" i="4"/>
  <c r="BJ67" i="4"/>
  <c r="BJ71" i="4"/>
  <c r="BJ92" i="4"/>
  <c r="BJ96" i="4"/>
  <c r="BJ104" i="4"/>
  <c r="BJ108" i="4"/>
  <c r="BJ113" i="4"/>
  <c r="BJ116" i="4"/>
  <c r="BJ6" i="4"/>
  <c r="BJ8" i="4"/>
  <c r="BJ16" i="4"/>
  <c r="BJ20" i="4"/>
  <c r="BJ24" i="4"/>
  <c r="BJ28" i="4"/>
  <c r="BJ32" i="4"/>
  <c r="BJ36" i="4"/>
  <c r="BJ40" i="4"/>
  <c r="BJ44" i="4"/>
  <c r="BJ48" i="4"/>
  <c r="BJ56" i="4"/>
  <c r="BJ60" i="4"/>
  <c r="BJ68" i="4"/>
  <c r="BJ81" i="4"/>
  <c r="BJ85" i="4"/>
  <c r="BJ89" i="4"/>
  <c r="BJ93" i="4"/>
  <c r="BJ97" i="4"/>
  <c r="BJ101" i="4"/>
  <c r="BJ112" i="4"/>
  <c r="BJ117" i="4"/>
  <c r="BJ9" i="4"/>
  <c r="BJ13" i="4"/>
  <c r="BJ17" i="4"/>
  <c r="BJ21" i="4"/>
  <c r="BJ25" i="4"/>
  <c r="BJ41" i="4"/>
  <c r="BJ53" i="4"/>
  <c r="BJ57" i="4"/>
  <c r="BJ61" i="4"/>
  <c r="BJ65" i="4"/>
  <c r="BJ69" i="4"/>
  <c r="BJ74" i="4"/>
  <c r="BJ2" i="4"/>
  <c r="BJ14" i="4"/>
  <c r="BJ22" i="4"/>
  <c r="BJ26" i="4"/>
  <c r="BJ30" i="4"/>
  <c r="BJ46" i="4"/>
  <c r="BJ58" i="4"/>
  <c r="BJ62" i="4"/>
  <c r="BJ70" i="4"/>
  <c r="BJ79" i="4"/>
  <c r="BJ87" i="4"/>
  <c r="BJ99" i="4"/>
  <c r="BJ107" i="4"/>
  <c r="BJ111" i="4"/>
  <c r="BJ115" i="4"/>
  <c r="BB4" i="4"/>
  <c r="BB8" i="4"/>
  <c r="BB12" i="4"/>
  <c r="BB16" i="4"/>
  <c r="BB20" i="4"/>
  <c r="BB24" i="4"/>
  <c r="BB32" i="4"/>
  <c r="BB36" i="4"/>
  <c r="BB39" i="4"/>
  <c r="BB44" i="4"/>
  <c r="BB48" i="4"/>
  <c r="BB52" i="4"/>
  <c r="BB64" i="4"/>
  <c r="BB67" i="4"/>
  <c r="BB72" i="4"/>
  <c r="BB77" i="4"/>
  <c r="BB81" i="4"/>
  <c r="BB9" i="4"/>
  <c r="BB13" i="4"/>
  <c r="BB21" i="4"/>
  <c r="BB25" i="4"/>
  <c r="BB28" i="4"/>
  <c r="BB37" i="4"/>
  <c r="BB41" i="4"/>
  <c r="BB45" i="4"/>
  <c r="BB53" i="4"/>
  <c r="BB57" i="4"/>
  <c r="BB7" i="4"/>
  <c r="BB11" i="4"/>
  <c r="BB15" i="4"/>
  <c r="BB23" i="4"/>
  <c r="BB27" i="4"/>
  <c r="BB31" i="4"/>
  <c r="BB35" i="4"/>
  <c r="BB40" i="4"/>
  <c r="BB51" i="4"/>
  <c r="BB55" i="4"/>
  <c r="BB63" i="4"/>
  <c r="BB68" i="4"/>
  <c r="BB71" i="4"/>
  <c r="BB76" i="4"/>
  <c r="BB84" i="4"/>
  <c r="BB88" i="4"/>
  <c r="BB92" i="4"/>
  <c r="BB96" i="4"/>
  <c r="BB100" i="4"/>
  <c r="BB165" i="4"/>
  <c r="BB107" i="4"/>
  <c r="BJ106" i="4"/>
  <c r="BJ78" i="4"/>
  <c r="BB89" i="4"/>
  <c r="BB69" i="4"/>
  <c r="BB61" i="4"/>
  <c r="BB38" i="4"/>
  <c r="BJ114" i="4"/>
  <c r="BB98" i="4"/>
  <c r="BB93" i="4"/>
  <c r="BB82" i="4"/>
  <c r="BB75" i="4"/>
  <c r="BB66" i="4"/>
  <c r="BB46" i="4"/>
  <c r="BB34" i="4"/>
  <c r="BB26" i="4"/>
  <c r="BJ110" i="4"/>
  <c r="BB91" i="4"/>
  <c r="BB65" i="4"/>
  <c r="BB50" i="4"/>
  <c r="BJ102" i="4"/>
  <c r="BJ94" i="4"/>
  <c r="BF172" i="4"/>
  <c r="BF168" i="4"/>
  <c r="BF164" i="4"/>
  <c r="BF160" i="4"/>
  <c r="BF148" i="4"/>
  <c r="BF144" i="4"/>
  <c r="BF140" i="4"/>
  <c r="BF136" i="4"/>
  <c r="BF132" i="4"/>
  <c r="BF128" i="4"/>
  <c r="BF120" i="4"/>
  <c r="BF104" i="4"/>
  <c r="BF96" i="4"/>
  <c r="BF92" i="4"/>
  <c r="BF67" i="4"/>
  <c r="BF55" i="4"/>
  <c r="BF51" i="4"/>
  <c r="BF43" i="4"/>
  <c r="BF35" i="4"/>
  <c r="BF31" i="4"/>
  <c r="BF15" i="4"/>
  <c r="BF11" i="4"/>
  <c r="BF7" i="4"/>
  <c r="BF5" i="4"/>
  <c r="AX60" i="4"/>
  <c r="AX49" i="4"/>
  <c r="AX41" i="4"/>
  <c r="AX37" i="4"/>
  <c r="AX29" i="4"/>
  <c r="AX25" i="4"/>
  <c r="AX21" i="4"/>
  <c r="AX17" i="4"/>
  <c r="AX13" i="4"/>
  <c r="BF175" i="4"/>
  <c r="BF171" i="4"/>
  <c r="BF167" i="4"/>
  <c r="BF159" i="4"/>
  <c r="BF151" i="4"/>
  <c r="BF147" i="4"/>
  <c r="BF143" i="4"/>
  <c r="BF139" i="4"/>
  <c r="BF135" i="4"/>
  <c r="BF123" i="4"/>
  <c r="BF119" i="4"/>
  <c r="BF115" i="4"/>
  <c r="BF111" i="4"/>
  <c r="BF107" i="4"/>
  <c r="BF103" i="4"/>
  <c r="BF91" i="4"/>
  <c r="BF88" i="4"/>
  <c r="BF83" i="4"/>
  <c r="BF79" i="4"/>
  <c r="BF75" i="4"/>
  <c r="BF70" i="4"/>
  <c r="BF66" i="4"/>
  <c r="BF58" i="4"/>
  <c r="BF54" i="4"/>
  <c r="BF50" i="4"/>
  <c r="BF46" i="4"/>
  <c r="BF42" i="4"/>
  <c r="BF38" i="4"/>
  <c r="BF34" i="4"/>
  <c r="BF30" i="4"/>
  <c r="BF26" i="4"/>
  <c r="BF18" i="4"/>
  <c r="BF14" i="4"/>
  <c r="BF3" i="4"/>
  <c r="BF4" i="4"/>
  <c r="AX56" i="4"/>
  <c r="AX48" i="4"/>
  <c r="AX44" i="4"/>
  <c r="AX40" i="4"/>
  <c r="AX36" i="4"/>
  <c r="AX32" i="4"/>
  <c r="AX28" i="4"/>
  <c r="AX20" i="4"/>
  <c r="AX16" i="4"/>
  <c r="AX12" i="4"/>
  <c r="AX8" i="4"/>
  <c r="BF182" i="4"/>
  <c r="BF174" i="4"/>
  <c r="BF170" i="4"/>
  <c r="BF166" i="4"/>
  <c r="BF162" i="4"/>
  <c r="BF154" i="4"/>
  <c r="BF150" i="4"/>
  <c r="BF142" i="4"/>
  <c r="BF138" i="4"/>
  <c r="BF134" i="4"/>
  <c r="BF126" i="4"/>
  <c r="BF122" i="4"/>
  <c r="BF118" i="4"/>
  <c r="BF114" i="4"/>
  <c r="BF106" i="4"/>
  <c r="BF97" i="4"/>
  <c r="BF94" i="4"/>
  <c r="BF90" i="4"/>
  <c r="BF86" i="4"/>
  <c r="BF82" i="4"/>
  <c r="BF78" i="4"/>
  <c r="BF74" i="4"/>
  <c r="BF69" i="4"/>
  <c r="BF65" i="4"/>
  <c r="BF61" i="4"/>
  <c r="BF57" i="4"/>
  <c r="BF53" i="4"/>
  <c r="BF49" i="4"/>
  <c r="BF45" i="4"/>
  <c r="BF41" i="4"/>
  <c r="BF37" i="4"/>
  <c r="BF33" i="4"/>
  <c r="BF29" i="4"/>
  <c r="BF21" i="4"/>
  <c r="BF17" i="4"/>
  <c r="BF13" i="4"/>
  <c r="BF6" i="4"/>
  <c r="AX55" i="4"/>
  <c r="AX51" i="4"/>
  <c r="AX47" i="4"/>
  <c r="AX43" i="4"/>
  <c r="AX39" i="4"/>
  <c r="AX31" i="4"/>
  <c r="AX27" i="4"/>
  <c r="AX19" i="4"/>
  <c r="AX11" i="4"/>
  <c r="AX3" i="4"/>
  <c r="BF181" i="4"/>
  <c r="BF177" i="4"/>
  <c r="BF173" i="4"/>
  <c r="BF169" i="4"/>
  <c r="BF161" i="4"/>
  <c r="BF157" i="4"/>
  <c r="BF153" i="4"/>
  <c r="BF149" i="4"/>
  <c r="BF145" i="4"/>
  <c r="BF141" i="4"/>
  <c r="BF129" i="4"/>
  <c r="BF121" i="4"/>
  <c r="BF117" i="4"/>
  <c r="BF113" i="4"/>
  <c r="BF109" i="4"/>
  <c r="BF98" i="4"/>
  <c r="BF93" i="4"/>
  <c r="BF89" i="4"/>
  <c r="BF81" i="4"/>
  <c r="BF72" i="4"/>
  <c r="BF68" i="4"/>
  <c r="BF60" i="4"/>
  <c r="BF56" i="4"/>
  <c r="BF52" i="4"/>
  <c r="BF48" i="4"/>
  <c r="BF44" i="4"/>
  <c r="BF40" i="4"/>
  <c r="BF36" i="4"/>
  <c r="BF32" i="4"/>
  <c r="BF28" i="4"/>
  <c r="BF24" i="4"/>
  <c r="BF20" i="4"/>
  <c r="BF16" i="4"/>
  <c r="BF12" i="4"/>
  <c r="AX58" i="4"/>
  <c r="AX46" i="4"/>
  <c r="AX38" i="4"/>
  <c r="AX34" i="4"/>
  <c r="AX30" i="4"/>
  <c r="AX26" i="4"/>
  <c r="AX22" i="4"/>
  <c r="AX18" i="4"/>
  <c r="AX14" i="4"/>
  <c r="AX219" i="4"/>
  <c r="AJ8" i="4"/>
  <c r="AJ9" i="4" s="1"/>
  <c r="AG24" i="4"/>
  <c r="S115" i="10"/>
  <c r="AE115" i="7"/>
  <c r="AB115" i="3" s="1"/>
  <c r="AE111" i="7"/>
  <c r="AB111" i="3" s="1"/>
  <c r="S111" i="10"/>
  <c r="U98" i="10"/>
  <c r="AG98" i="7"/>
  <c r="AD98" i="3" s="1"/>
  <c r="AG94" i="7"/>
  <c r="AD94" i="3" s="1"/>
  <c r="U94" i="10"/>
  <c r="AF107" i="7"/>
  <c r="AC107" i="3" s="1"/>
  <c r="T107" i="10"/>
  <c r="AG40" i="4"/>
  <c r="S105" i="10"/>
  <c r="AE105" i="7"/>
  <c r="AB105" i="3" s="1"/>
  <c r="T115" i="10"/>
  <c r="AF115" i="7"/>
  <c r="AC115" i="3" s="1"/>
  <c r="AG87" i="7"/>
  <c r="AD87" i="3" s="1"/>
  <c r="U87" i="10"/>
  <c r="AG88" i="7"/>
  <c r="AD88" i="3" s="1"/>
  <c r="U88" i="10"/>
  <c r="AG8" i="4"/>
  <c r="AG9" i="4" s="1"/>
  <c r="AE109" i="7"/>
  <c r="AB109" i="3" s="1"/>
  <c r="S109" i="10"/>
  <c r="R37" i="10"/>
  <c r="AD37" i="7"/>
  <c r="AA37" i="3" s="1"/>
  <c r="AE119" i="7"/>
  <c r="AB119" i="3" s="1"/>
  <c r="S119" i="10"/>
  <c r="AE121" i="7"/>
  <c r="AB121" i="3" s="1"/>
  <c r="S121" i="10"/>
  <c r="AF110" i="7"/>
  <c r="AC110" i="3" s="1"/>
  <c r="T110" i="10"/>
  <c r="AD36" i="7"/>
  <c r="AA36" i="3" s="1"/>
  <c r="R36" i="10"/>
  <c r="R40" i="10"/>
  <c r="AD40" i="7"/>
  <c r="AA40" i="3" s="1"/>
  <c r="U96" i="10"/>
  <c r="AG96" i="7"/>
  <c r="AD96" i="3" s="1"/>
  <c r="T121" i="10"/>
  <c r="AF121" i="7"/>
  <c r="AC121" i="3" s="1"/>
  <c r="AE118" i="7"/>
  <c r="AB118" i="3" s="1"/>
  <c r="S118" i="10"/>
  <c r="AF122" i="7"/>
  <c r="AC122" i="3" s="1"/>
  <c r="T122" i="10"/>
  <c r="R39" i="10"/>
  <c r="AD39" i="7"/>
  <c r="AA39" i="3" s="1"/>
  <c r="S122" i="10"/>
  <c r="AE122" i="7"/>
  <c r="AB122" i="3" s="1"/>
  <c r="U97" i="10"/>
  <c r="AG97" i="7"/>
  <c r="AD97" i="3" s="1"/>
  <c r="AJ40" i="4"/>
  <c r="AJ54" i="4"/>
  <c r="S107" i="10"/>
  <c r="AE107" i="7"/>
  <c r="AB107" i="3" s="1"/>
  <c r="AF119" i="7"/>
  <c r="AC119" i="3" s="1"/>
  <c r="T119" i="10"/>
  <c r="AF105" i="7"/>
  <c r="AC105" i="3" s="1"/>
  <c r="T105" i="10"/>
  <c r="AE106" i="7"/>
  <c r="AB106" i="3" s="1"/>
  <c r="S106" i="10"/>
  <c r="T108" i="10"/>
  <c r="AF108" i="7"/>
  <c r="AC108" i="3" s="1"/>
  <c r="AG89" i="7"/>
  <c r="AD89" i="3" s="1"/>
  <c r="U89" i="10"/>
  <c r="T117" i="10"/>
  <c r="AF117" i="7"/>
  <c r="AC117" i="3" s="1"/>
  <c r="AF111" i="7"/>
  <c r="AC111" i="3" s="1"/>
  <c r="T111" i="10"/>
  <c r="AF106" i="7"/>
  <c r="AC106" i="3" s="1"/>
  <c r="T106" i="10"/>
  <c r="T112" i="10"/>
  <c r="AF112" i="7"/>
  <c r="AC112" i="3" s="1"/>
  <c r="S120" i="10"/>
  <c r="AE120" i="7"/>
  <c r="AB120" i="3" s="1"/>
  <c r="AD35" i="7"/>
  <c r="AA35" i="3" s="1"/>
  <c r="R35" i="10"/>
  <c r="AG95" i="7"/>
  <c r="AD95" i="3" s="1"/>
  <c r="U95" i="10"/>
  <c r="S108" i="10"/>
  <c r="AE108" i="7"/>
  <c r="AB108" i="3" s="1"/>
  <c r="AG85" i="7"/>
  <c r="AD85" i="3" s="1"/>
  <c r="U85" i="10"/>
  <c r="U86" i="10"/>
  <c r="AG86" i="7"/>
  <c r="AD86" i="3" s="1"/>
  <c r="T116" i="10"/>
  <c r="AF116" i="7"/>
  <c r="AC116" i="3" s="1"/>
  <c r="R38" i="10"/>
  <c r="AD38" i="7"/>
  <c r="AA38" i="3" s="1"/>
  <c r="S116" i="10"/>
  <c r="AE116" i="7"/>
  <c r="AB116" i="3" s="1"/>
  <c r="AF109" i="7"/>
  <c r="AC109" i="3" s="1"/>
  <c r="T109" i="10"/>
  <c r="S112" i="10"/>
  <c r="AE112" i="7"/>
  <c r="AB112" i="3" s="1"/>
  <c r="T118" i="10"/>
  <c r="AF118" i="7"/>
  <c r="AC118" i="3" s="1"/>
  <c r="U93" i="10"/>
  <c r="AG93" i="7"/>
  <c r="AD93" i="3" s="1"/>
  <c r="AF120" i="7"/>
  <c r="AC120" i="3" s="1"/>
  <c r="T120" i="10"/>
  <c r="U90" i="10"/>
  <c r="AG90" i="7"/>
  <c r="AD90" i="3" s="1"/>
  <c r="S117" i="10"/>
  <c r="AE117" i="7"/>
  <c r="AB117" i="3" s="1"/>
  <c r="AE110" i="7"/>
  <c r="AB110" i="3" s="1"/>
  <c r="S110" i="10"/>
  <c r="AY182" i="4"/>
  <c r="AY19" i="4"/>
  <c r="BK124" i="4"/>
  <c r="BC162" i="4"/>
  <c r="BO54" i="4"/>
  <c r="BG88" i="4"/>
  <c r="BC181" i="4"/>
  <c r="BC103" i="4"/>
  <c r="BO37" i="4"/>
  <c r="AY86" i="4"/>
  <c r="BO70" i="4"/>
  <c r="BG134" i="4"/>
  <c r="BK76" i="4"/>
  <c r="BK134" i="4"/>
  <c r="BG50" i="4"/>
  <c r="BG113" i="4"/>
  <c r="BK161" i="4"/>
  <c r="BG37" i="4"/>
  <c r="BG159" i="4"/>
  <c r="BG154" i="4"/>
  <c r="BG127" i="4"/>
  <c r="BO15" i="4"/>
  <c r="BO20" i="4"/>
  <c r="BG90" i="4"/>
  <c r="BC9" i="4"/>
  <c r="BG76" i="4"/>
  <c r="BC19" i="4"/>
  <c r="AY163" i="4"/>
  <c r="AY43" i="4"/>
  <c r="AY83" i="4"/>
  <c r="BO71" i="4"/>
  <c r="AY146" i="4"/>
  <c r="AY139" i="4"/>
  <c r="AY103" i="4"/>
  <c r="BC154" i="4"/>
  <c r="BG175" i="4"/>
  <c r="BK22" i="4"/>
  <c r="BK150" i="4"/>
  <c r="BC67" i="4"/>
  <c r="BC156" i="4"/>
  <c r="AY42" i="4"/>
  <c r="BC80" i="4"/>
  <c r="AY46" i="4"/>
  <c r="BG168" i="4"/>
  <c r="BK61" i="4"/>
  <c r="AY39" i="4"/>
  <c r="BG40" i="4"/>
  <c r="AY5" i="4"/>
  <c r="BK75" i="4"/>
  <c r="BK126" i="4"/>
  <c r="BG131" i="4"/>
  <c r="BO45" i="4"/>
  <c r="AY9" i="4"/>
  <c r="BO7" i="4"/>
  <c r="BK176" i="4"/>
  <c r="AY75" i="4"/>
  <c r="BO63" i="4"/>
  <c r="AY151" i="4"/>
  <c r="AY134" i="4"/>
  <c r="BG102" i="4"/>
  <c r="BK135" i="4"/>
  <c r="BG112" i="4"/>
  <c r="BG128" i="4"/>
  <c r="BG64" i="4"/>
  <c r="H192" i="29"/>
  <c r="BC17" i="4"/>
  <c r="BG153" i="4"/>
  <c r="AY169" i="4"/>
  <c r="BC3" i="4"/>
  <c r="BC165" i="4"/>
  <c r="BG71" i="4"/>
  <c r="BC55" i="4"/>
  <c r="BC15" i="4"/>
  <c r="BC102" i="4"/>
  <c r="AY44" i="4"/>
  <c r="BC24" i="4"/>
  <c r="BC2" i="4"/>
  <c r="BK74" i="4"/>
  <c r="BG35" i="4"/>
  <c r="BC74" i="4"/>
  <c r="BK129" i="4"/>
  <c r="AY88" i="4"/>
  <c r="BG36" i="4"/>
  <c r="BC163" i="4"/>
  <c r="BK165" i="4"/>
  <c r="BG145" i="4"/>
  <c r="BC47" i="4"/>
  <c r="BK7" i="4"/>
  <c r="BG51" i="4"/>
  <c r="BK26" i="4"/>
  <c r="AY102" i="4"/>
  <c r="BG132" i="4"/>
  <c r="BG94" i="4"/>
  <c r="BO21" i="4"/>
  <c r="BK144" i="4"/>
  <c r="BC116" i="4"/>
  <c r="BC121" i="4"/>
  <c r="BK49" i="4"/>
  <c r="BK152" i="4"/>
  <c r="BC42" i="4"/>
  <c r="BK43" i="4"/>
  <c r="AY137" i="4"/>
  <c r="AY171" i="4"/>
  <c r="BO32" i="4"/>
  <c r="BC41" i="4"/>
  <c r="BC96" i="4"/>
  <c r="BK63" i="4"/>
  <c r="BK175" i="4"/>
  <c r="BG8" i="4"/>
  <c r="BG150" i="4"/>
  <c r="BG57" i="4"/>
  <c r="AY49" i="4"/>
  <c r="BG80" i="4"/>
  <c r="AY87" i="4"/>
  <c r="BC177" i="4"/>
  <c r="AY32" i="4"/>
  <c r="BC71" i="4"/>
  <c r="BC143" i="4"/>
  <c r="BK13" i="4"/>
  <c r="AY3" i="4"/>
  <c r="AY170" i="4"/>
  <c r="BC56" i="4"/>
  <c r="BC28" i="4"/>
  <c r="BC81" i="4"/>
  <c r="BG73" i="4"/>
  <c r="AY159" i="4"/>
  <c r="BC97" i="4"/>
  <c r="BK105" i="4"/>
  <c r="BC179" i="4"/>
  <c r="BK24" i="4"/>
  <c r="AY132" i="4"/>
  <c r="AY56" i="4"/>
  <c r="AY84" i="4"/>
  <c r="BG25" i="4"/>
  <c r="BG92" i="4"/>
  <c r="BG174" i="4"/>
  <c r="BC27" i="4"/>
  <c r="AY173" i="4"/>
  <c r="BC152" i="4"/>
  <c r="BK99" i="4"/>
  <c r="BK98" i="4"/>
  <c r="BG171" i="4"/>
  <c r="BG47" i="4"/>
  <c r="BO17" i="4"/>
  <c r="BO29" i="4"/>
  <c r="BO40" i="4"/>
  <c r="BC23" i="4"/>
  <c r="BK132" i="4"/>
  <c r="BG84" i="4"/>
  <c r="BK159" i="4"/>
  <c r="BK34" i="4"/>
  <c r="BG173" i="4"/>
  <c r="AY138" i="4"/>
  <c r="BC174" i="4"/>
  <c r="BK136" i="4"/>
  <c r="AY81" i="4"/>
  <c r="AY168" i="4"/>
  <c r="BO36" i="4"/>
  <c r="BC94" i="4"/>
  <c r="AY153" i="4"/>
  <c r="BK155" i="4"/>
  <c r="BG31" i="4"/>
  <c r="BK142" i="4"/>
  <c r="BG60" i="4"/>
  <c r="AY113" i="4"/>
  <c r="BC66" i="4"/>
  <c r="BK147" i="4"/>
  <c r="BC69" i="4"/>
  <c r="BC29" i="4"/>
  <c r="AY65" i="4"/>
  <c r="BG49" i="4"/>
  <c r="BG96" i="4"/>
  <c r="AY125" i="4"/>
  <c r="BG81" i="4"/>
  <c r="BG23" i="4"/>
  <c r="BG30" i="4"/>
  <c r="BC106" i="4"/>
  <c r="BC26" i="4"/>
  <c r="BC73" i="4"/>
  <c r="BC61" i="4"/>
  <c r="BG45" i="4"/>
  <c r="BK120" i="4"/>
  <c r="BK111" i="4"/>
  <c r="BC173" i="4"/>
  <c r="BK173" i="4"/>
  <c r="BK122" i="4"/>
  <c r="BG63" i="4"/>
  <c r="BC72" i="4"/>
  <c r="BG149" i="4"/>
  <c r="BC140" i="4"/>
  <c r="BK35" i="4"/>
  <c r="AY162" i="4"/>
  <c r="BC142" i="4"/>
  <c r="BO58" i="4"/>
  <c r="BC108" i="4"/>
  <c r="AY116" i="4"/>
  <c r="T193" i="29"/>
  <c r="AF193" i="29"/>
  <c r="AY156" i="4"/>
  <c r="BG97" i="4"/>
  <c r="BK10" i="4"/>
  <c r="BC83" i="4"/>
  <c r="AY69" i="4"/>
  <c r="AY35" i="4"/>
  <c r="D10" i="6"/>
  <c r="BO68" i="4"/>
  <c r="BK137" i="4"/>
  <c r="BG142" i="4"/>
  <c r="BO69" i="4"/>
  <c r="AY53" i="4"/>
  <c r="AY112" i="4"/>
  <c r="BK89" i="4"/>
  <c r="AY2" i="4"/>
  <c r="BK72" i="4"/>
  <c r="BG160" i="4"/>
  <c r="BK93" i="4"/>
  <c r="BO72" i="4"/>
  <c r="BC86" i="4"/>
  <c r="BG133" i="4"/>
  <c r="BC138" i="4"/>
  <c r="BC87" i="4"/>
  <c r="BO22" i="4"/>
  <c r="BK36" i="4"/>
  <c r="BC79" i="4"/>
  <c r="AY79" i="4"/>
  <c r="BC130" i="4"/>
  <c r="BG121" i="4"/>
  <c r="AY127" i="4"/>
  <c r="BC44" i="4"/>
  <c r="BO55" i="4"/>
  <c r="BK146" i="4"/>
  <c r="BK141" i="4"/>
  <c r="BK158" i="4"/>
  <c r="BG180" i="4"/>
  <c r="BO13" i="4"/>
  <c r="BK128" i="4"/>
  <c r="BC149" i="4"/>
  <c r="BC34" i="4"/>
  <c r="BC118" i="4"/>
  <c r="BC35" i="4"/>
  <c r="BG89" i="4"/>
  <c r="BK66" i="4"/>
  <c r="BC88" i="4"/>
  <c r="BG155" i="4"/>
  <c r="BG65" i="4"/>
  <c r="BK17" i="4"/>
  <c r="BG24" i="4"/>
  <c r="BG22" i="4"/>
  <c r="BC141" i="4"/>
  <c r="BK116" i="4"/>
  <c r="AY14" i="4"/>
  <c r="BG182" i="4"/>
  <c r="BG157" i="4"/>
  <c r="BK156" i="4"/>
  <c r="BK130" i="4"/>
  <c r="BK59" i="4"/>
  <c r="BK123" i="4"/>
  <c r="BC48" i="4"/>
  <c r="BK101" i="4"/>
  <c r="BO9" i="4"/>
  <c r="BK140" i="4"/>
  <c r="BK20" i="4"/>
  <c r="BK178" i="4"/>
  <c r="BG136" i="4"/>
  <c r="AY76" i="4"/>
  <c r="BG106" i="4"/>
  <c r="AY161" i="4"/>
  <c r="BK47" i="4"/>
  <c r="BO11" i="4"/>
  <c r="BC59" i="4"/>
  <c r="BC99" i="4"/>
  <c r="AY40" i="4"/>
  <c r="BG27" i="4"/>
  <c r="BC22" i="4"/>
  <c r="AY59" i="4"/>
  <c r="BK30" i="4"/>
  <c r="BC111" i="4"/>
  <c r="AY94" i="4"/>
  <c r="BO44" i="4"/>
  <c r="BO16" i="4"/>
  <c r="BO46" i="4"/>
  <c r="BG17" i="4"/>
  <c r="BC93" i="4"/>
  <c r="BK160" i="4"/>
  <c r="BC153" i="4"/>
  <c r="BG72" i="4"/>
  <c r="BG14" i="4"/>
  <c r="BK55" i="4"/>
  <c r="BK3" i="4"/>
  <c r="BG70" i="4"/>
  <c r="BG178" i="4"/>
  <c r="AY51" i="4"/>
  <c r="BK86" i="4"/>
  <c r="AY17" i="4"/>
  <c r="BO42" i="4"/>
  <c r="BK139" i="4"/>
  <c r="BO49" i="4"/>
  <c r="AY108" i="4"/>
  <c r="BK88" i="4"/>
  <c r="BG69" i="4"/>
  <c r="AY91" i="4"/>
  <c r="BK85" i="4"/>
  <c r="BO23" i="4"/>
  <c r="BO31" i="4"/>
  <c r="BK157" i="4"/>
  <c r="BC63" i="4"/>
  <c r="BK81" i="4"/>
  <c r="BO6" i="4"/>
  <c r="BC18" i="4"/>
  <c r="BK127" i="4"/>
  <c r="AY126" i="4"/>
  <c r="AY97" i="4"/>
  <c r="BG124" i="4"/>
  <c r="BK133" i="4"/>
  <c r="BK65" i="4"/>
  <c r="BK154" i="4"/>
  <c r="BG12" i="4"/>
  <c r="BG137" i="4"/>
  <c r="BO57" i="4"/>
  <c r="BK53" i="4"/>
  <c r="BC159" i="4"/>
  <c r="BG99" i="4"/>
  <c r="BG13" i="4"/>
  <c r="BG86" i="4"/>
  <c r="BG107" i="4"/>
  <c r="BC155" i="4"/>
  <c r="BC85" i="4"/>
  <c r="AY131" i="4"/>
  <c r="BO24" i="4"/>
  <c r="BC10" i="4"/>
  <c r="BK58" i="4"/>
  <c r="AY74" i="4"/>
  <c r="BC124" i="4"/>
  <c r="BK92" i="4"/>
  <c r="BK84" i="4"/>
  <c r="AY167" i="4"/>
  <c r="AY155" i="4"/>
  <c r="BO19" i="4"/>
  <c r="AY107" i="4"/>
  <c r="BK125" i="4"/>
  <c r="BK97" i="4"/>
  <c r="BG170" i="4"/>
  <c r="BK163" i="4"/>
  <c r="BO10" i="4"/>
  <c r="BG54" i="4"/>
  <c r="BG120" i="4"/>
  <c r="BG44" i="4"/>
  <c r="BG16" i="4"/>
  <c r="BG126" i="4"/>
  <c r="BC161" i="4"/>
  <c r="BK117" i="4"/>
  <c r="AY145" i="4"/>
  <c r="BK107" i="4"/>
  <c r="BC40" i="4"/>
  <c r="BK12" i="4"/>
  <c r="BG161" i="4"/>
  <c r="BO2" i="4"/>
  <c r="BK37" i="4"/>
  <c r="AY109" i="4"/>
  <c r="BK19" i="4"/>
  <c r="BG176" i="4"/>
  <c r="BG43" i="4"/>
  <c r="AY29" i="4"/>
  <c r="BK18" i="4"/>
  <c r="BO39" i="4"/>
  <c r="BO26" i="4"/>
  <c r="BC105" i="4"/>
  <c r="BC144" i="4"/>
  <c r="BC75" i="4"/>
  <c r="BC45" i="4"/>
  <c r="BG33" i="4"/>
  <c r="BK164" i="4"/>
  <c r="BG163" i="4"/>
  <c r="BG29" i="4"/>
  <c r="BG19" i="4"/>
  <c r="BC157" i="4"/>
  <c r="AY11" i="4"/>
  <c r="BO60" i="4"/>
  <c r="BK109" i="4"/>
  <c r="BK68" i="4"/>
  <c r="BO41" i="4"/>
  <c r="BG123" i="4"/>
  <c r="BG181" i="4"/>
  <c r="BO61" i="4"/>
  <c r="BC49" i="4"/>
  <c r="BG77" i="4"/>
  <c r="BK62" i="4"/>
  <c r="BC114" i="4"/>
  <c r="BG122" i="4"/>
  <c r="BC150" i="4"/>
  <c r="BK118" i="4"/>
  <c r="BG141" i="4"/>
  <c r="BK46" i="4"/>
  <c r="BC120" i="4"/>
  <c r="AY130" i="4"/>
  <c r="AY95" i="4"/>
  <c r="BK79" i="4"/>
  <c r="BC52" i="4"/>
  <c r="BK143" i="4"/>
  <c r="AY148" i="4"/>
  <c r="AY122" i="4"/>
  <c r="AY41" i="4"/>
  <c r="AY177" i="4"/>
  <c r="AY136" i="4"/>
  <c r="BG55" i="4"/>
  <c r="BC167" i="4"/>
  <c r="BC14" i="4"/>
  <c r="W193" i="29"/>
  <c r="AC193" i="29"/>
  <c r="BC91" i="4"/>
  <c r="BG100" i="4"/>
  <c r="AY58" i="4"/>
  <c r="AY98" i="4"/>
  <c r="BO52" i="4"/>
  <c r="BK60" i="4"/>
  <c r="BC7" i="4"/>
  <c r="BC123" i="4"/>
  <c r="BG140" i="4"/>
  <c r="BK162" i="4"/>
  <c r="AY52" i="4"/>
  <c r="BK169" i="4"/>
  <c r="BK174" i="4"/>
  <c r="BG101" i="4"/>
  <c r="AY106" i="4"/>
  <c r="BG9" i="4"/>
  <c r="BK70" i="4"/>
  <c r="AY28" i="4"/>
  <c r="BC127" i="4"/>
  <c r="BK103" i="4"/>
  <c r="BK21" i="4"/>
  <c r="BC70" i="4"/>
  <c r="BO28" i="4"/>
  <c r="BO38" i="4"/>
  <c r="BK71" i="4"/>
  <c r="BK172" i="4"/>
  <c r="BG61" i="4"/>
  <c r="BG114" i="4"/>
  <c r="BC115" i="4"/>
  <c r="BO30" i="4"/>
  <c r="BK9" i="4"/>
  <c r="AY164" i="4"/>
  <c r="BK151" i="4"/>
  <c r="BG98" i="4"/>
  <c r="AY47" i="4"/>
  <c r="BG108" i="4"/>
  <c r="BG3" i="4"/>
  <c r="BK77" i="4"/>
  <c r="BK29" i="4"/>
  <c r="BO35" i="4"/>
  <c r="AY165" i="4"/>
  <c r="BC5" i="4"/>
  <c r="BG109" i="4"/>
  <c r="BO65" i="4"/>
  <c r="BG6" i="4"/>
  <c r="BK121" i="4"/>
  <c r="AY67" i="4"/>
  <c r="BK23" i="4"/>
  <c r="BC128" i="4"/>
  <c r="BC133" i="4"/>
  <c r="AY13" i="4"/>
  <c r="BC100" i="4"/>
  <c r="AY92" i="4"/>
  <c r="AY176" i="4"/>
  <c r="BG167" i="4"/>
  <c r="AY33" i="4"/>
  <c r="BG7" i="4"/>
  <c r="BG38" i="4"/>
  <c r="BC46" i="4"/>
  <c r="AY147" i="4"/>
  <c r="BG105" i="4"/>
  <c r="BC6" i="4"/>
  <c r="AY118" i="4"/>
  <c r="BG20" i="4"/>
  <c r="BC160" i="4"/>
  <c r="BC60" i="4"/>
  <c r="BK100" i="4"/>
  <c r="BK27" i="4"/>
  <c r="BG110" i="4"/>
  <c r="BC54" i="4"/>
  <c r="BK51" i="4"/>
  <c r="AY36" i="4"/>
  <c r="BC125" i="4"/>
  <c r="BC151" i="4"/>
  <c r="AY48" i="4"/>
  <c r="BG2" i="4"/>
  <c r="AY66" i="4"/>
  <c r="BC171" i="4"/>
  <c r="BG93" i="4"/>
  <c r="BK28" i="4"/>
  <c r="BK57" i="4"/>
  <c r="BC51" i="4"/>
  <c r="AY129" i="4"/>
  <c r="BK112" i="4"/>
  <c r="BG177" i="4"/>
  <c r="BO64" i="4"/>
  <c r="AY143" i="4"/>
  <c r="AY20" i="4"/>
  <c r="BG11" i="4"/>
  <c r="BC37" i="4"/>
  <c r="BG162" i="4"/>
  <c r="BO14" i="4"/>
  <c r="AY77" i="4"/>
  <c r="BG104" i="4"/>
  <c r="AY15" i="4"/>
  <c r="BC110" i="4"/>
  <c r="BK181" i="4"/>
  <c r="AY142" i="4"/>
  <c r="BG41" i="4"/>
  <c r="BK166" i="4"/>
  <c r="BG32" i="4"/>
  <c r="BK2" i="4"/>
  <c r="BC90" i="4"/>
  <c r="BG15" i="4"/>
  <c r="AY37" i="4"/>
  <c r="BK170" i="4"/>
  <c r="BG156" i="4"/>
  <c r="BC131" i="4"/>
  <c r="BK39" i="4"/>
  <c r="AY16" i="4"/>
  <c r="BG165" i="4"/>
  <c r="BK96" i="4"/>
  <c r="BC76" i="4"/>
  <c r="BC129" i="4"/>
  <c r="BC84" i="4"/>
  <c r="BG5" i="4"/>
  <c r="AY30" i="4"/>
  <c r="BO8" i="4"/>
  <c r="BC164" i="4"/>
  <c r="BO34" i="4"/>
  <c r="BG82" i="4"/>
  <c r="AY18" i="4"/>
  <c r="BC137" i="4"/>
  <c r="BK4" i="4"/>
  <c r="AY57" i="4"/>
  <c r="AY64" i="4"/>
  <c r="BK48" i="4"/>
  <c r="BC11" i="4"/>
  <c r="BK180" i="4"/>
  <c r="BK42" i="4"/>
  <c r="BG87" i="4"/>
  <c r="BG75" i="4"/>
  <c r="BC101" i="4"/>
  <c r="BC31" i="4"/>
  <c r="BO48" i="4"/>
  <c r="BK69" i="4"/>
  <c r="BK64" i="4"/>
  <c r="BG58" i="4"/>
  <c r="BK168" i="4"/>
  <c r="BC98" i="4"/>
  <c r="BG95" i="4"/>
  <c r="BC119" i="4"/>
  <c r="BG103" i="4"/>
  <c r="BO12" i="4"/>
  <c r="AY24" i="4"/>
  <c r="BC57" i="4"/>
  <c r="BC64" i="4"/>
  <c r="AY128" i="4"/>
  <c r="BG147" i="4"/>
  <c r="AY172" i="4"/>
  <c r="BK73" i="4"/>
  <c r="BG179" i="4"/>
  <c r="BK56" i="4"/>
  <c r="BC12" i="4"/>
  <c r="AY124" i="4"/>
  <c r="AY34" i="4"/>
  <c r="AY89" i="4"/>
  <c r="BK106" i="4"/>
  <c r="AY180" i="4"/>
  <c r="AY144" i="4"/>
  <c r="BG130" i="4"/>
  <c r="BC158" i="4"/>
  <c r="BK16" i="4"/>
  <c r="AY23" i="4"/>
  <c r="AY54" i="4"/>
  <c r="BG119" i="4"/>
  <c r="BK8" i="4"/>
  <c r="BG46" i="4"/>
  <c r="BC147" i="4"/>
  <c r="BC30" i="4"/>
  <c r="BK5" i="4"/>
  <c r="BC182" i="4"/>
  <c r="BG172" i="4"/>
  <c r="BC169" i="4"/>
  <c r="BG39" i="4"/>
  <c r="BK6" i="4"/>
  <c r="BC8" i="4"/>
  <c r="BG166" i="4"/>
  <c r="AY63" i="4"/>
  <c r="BC139" i="4"/>
  <c r="BC136" i="4"/>
  <c r="BG138" i="4"/>
  <c r="BC178" i="4"/>
  <c r="BC32" i="4"/>
  <c r="BC104" i="4"/>
  <c r="AY27" i="4"/>
  <c r="BG28" i="4"/>
  <c r="BC176" i="4"/>
  <c r="BC89" i="4"/>
  <c r="AY38" i="4"/>
  <c r="BC25" i="4"/>
  <c r="AY7" i="4"/>
  <c r="D4" i="6"/>
  <c r="BK52" i="4"/>
  <c r="BC65" i="4"/>
  <c r="AY154" i="4"/>
  <c r="BO51" i="4"/>
  <c r="AY21" i="4"/>
  <c r="BK87" i="4"/>
  <c r="BO4" i="4"/>
  <c r="BC50" i="4"/>
  <c r="BC13" i="4"/>
  <c r="AY117" i="4"/>
  <c r="AY10" i="4"/>
  <c r="G192" i="29"/>
  <c r="Z193" i="29"/>
  <c r="I192" i="29"/>
  <c r="AY80" i="4"/>
  <c r="AY110" i="4"/>
  <c r="BG116" i="4"/>
  <c r="BK91" i="4"/>
  <c r="AY174" i="4"/>
  <c r="BK33" i="4"/>
  <c r="BG135" i="4"/>
  <c r="AY70" i="4"/>
  <c r="BC113" i="4"/>
  <c r="AY121" i="4"/>
  <c r="AY119" i="4"/>
  <c r="BC168" i="4"/>
  <c r="AY99" i="4"/>
  <c r="BC16" i="4"/>
  <c r="AY141" i="4"/>
  <c r="AY78" i="4"/>
  <c r="AY181" i="4"/>
  <c r="AY62" i="4"/>
  <c r="BK90" i="4"/>
  <c r="BG158" i="4"/>
  <c r="AY4" i="4"/>
  <c r="BG48" i="4"/>
  <c r="BC39" i="4"/>
  <c r="BO66" i="4"/>
  <c r="BK148" i="4"/>
  <c r="BG66" i="4"/>
  <c r="BO50" i="4"/>
  <c r="AY133" i="4"/>
  <c r="BO18" i="4"/>
  <c r="BC175" i="4"/>
  <c r="BC107" i="4"/>
  <c r="BG125" i="4"/>
  <c r="BG67" i="4"/>
  <c r="BK182" i="4"/>
  <c r="AY25" i="4"/>
  <c r="BO53" i="4"/>
  <c r="BK110" i="4"/>
  <c r="BO59" i="4"/>
  <c r="BC112" i="4"/>
  <c r="BG53" i="4"/>
  <c r="BK115" i="4"/>
  <c r="AY135" i="4"/>
  <c r="AY71" i="4"/>
  <c r="BC135" i="4"/>
  <c r="BG10" i="4"/>
  <c r="BK50" i="4"/>
  <c r="AY82" i="4"/>
  <c r="AY123" i="4"/>
  <c r="AY12" i="4"/>
  <c r="BK153" i="4"/>
  <c r="BC62" i="4"/>
  <c r="BK177" i="4"/>
  <c r="AY105" i="4"/>
  <c r="AY152" i="4"/>
  <c r="BC82" i="4"/>
  <c r="BK31" i="4"/>
  <c r="AY179" i="4"/>
  <c r="AY50" i="4"/>
  <c r="BO27" i="4"/>
  <c r="BK171" i="4"/>
  <c r="BC180" i="4"/>
  <c r="BG74" i="4"/>
  <c r="BO47" i="4"/>
  <c r="BC117" i="4"/>
  <c r="BK32" i="4"/>
  <c r="AY104" i="4"/>
  <c r="BG144" i="4"/>
  <c r="AY31" i="4"/>
  <c r="AY85" i="4"/>
  <c r="BK131" i="4"/>
  <c r="BO56" i="4"/>
  <c r="BC68" i="4"/>
  <c r="BC148" i="4"/>
  <c r="BG18" i="4"/>
  <c r="AY178" i="4"/>
  <c r="BC4" i="4"/>
  <c r="AY115" i="4"/>
  <c r="BG85" i="4"/>
  <c r="BG42" i="4"/>
  <c r="AY8" i="4"/>
  <c r="BK38" i="4"/>
  <c r="BG52" i="4"/>
  <c r="BC172" i="4"/>
  <c r="BC122" i="4"/>
  <c r="BG164" i="4"/>
  <c r="BC126" i="4"/>
  <c r="AY73" i="4"/>
  <c r="BK54" i="4"/>
  <c r="BK104" i="4"/>
  <c r="BC183" i="4"/>
  <c r="BO25" i="4"/>
  <c r="BG117" i="4"/>
  <c r="BC109" i="4"/>
  <c r="BK40" i="4"/>
  <c r="AY96" i="4"/>
  <c r="BG34" i="4"/>
  <c r="BG26" i="4"/>
  <c r="BK11" i="4"/>
  <c r="BG148" i="4"/>
  <c r="BG146" i="4"/>
  <c r="BO67" i="4"/>
  <c r="AY45" i="4"/>
  <c r="BK14" i="4"/>
  <c r="BC95" i="4"/>
  <c r="BC38" i="4"/>
  <c r="BO3" i="4"/>
  <c r="BK149" i="4"/>
  <c r="BK95" i="4"/>
  <c r="BC92" i="4"/>
  <c r="AY158" i="4"/>
  <c r="BK119" i="4"/>
  <c r="AY60" i="4"/>
  <c r="BK179" i="4"/>
  <c r="AY114" i="4"/>
  <c r="AY6" i="4"/>
  <c r="BC43" i="4"/>
  <c r="AY61" i="4"/>
  <c r="AY101" i="4"/>
  <c r="AY93" i="4"/>
  <c r="AY100" i="4"/>
  <c r="AY111" i="4"/>
  <c r="BK80" i="4"/>
  <c r="BG143" i="4"/>
  <c r="BK83" i="4"/>
  <c r="BK44" i="4"/>
  <c r="BC20" i="4"/>
  <c r="BC166" i="4"/>
  <c r="BO33" i="4"/>
  <c r="AY55" i="4"/>
  <c r="BO73" i="4"/>
  <c r="AY160" i="4"/>
  <c r="BG4" i="4"/>
  <c r="BC78" i="4"/>
  <c r="BG129" i="4"/>
  <c r="BC36" i="4"/>
  <c r="BK108" i="4"/>
  <c r="BC21" i="4"/>
  <c r="BG59" i="4"/>
  <c r="BO43" i="4"/>
  <c r="AY175" i="4"/>
  <c r="AY26" i="4"/>
  <c r="BC146" i="4"/>
  <c r="BG78" i="4"/>
  <c r="BK114" i="4"/>
  <c r="AY140" i="4"/>
  <c r="BG56" i="4"/>
  <c r="BC53" i="4"/>
  <c r="BG152" i="4"/>
  <c r="AY149" i="4"/>
  <c r="BG151" i="4"/>
  <c r="BC132" i="4"/>
  <c r="BG62" i="4"/>
  <c r="BK94" i="4"/>
  <c r="BK45" i="4"/>
  <c r="BK113" i="4"/>
  <c r="BK67" i="4"/>
  <c r="BC145" i="4"/>
  <c r="BO62" i="4"/>
  <c r="AY22" i="4"/>
  <c r="BC77" i="4"/>
  <c r="BG21" i="4"/>
  <c r="BC170" i="4"/>
  <c r="BG68" i="4"/>
  <c r="AY72" i="4"/>
  <c r="AY68" i="4"/>
  <c r="BO5" i="4"/>
  <c r="BG139" i="4"/>
  <c r="BK82" i="4"/>
  <c r="BK138" i="4"/>
  <c r="AY157" i="4"/>
  <c r="BG169" i="4"/>
  <c r="BK15" i="4"/>
  <c r="AY90" i="4"/>
  <c r="BG83" i="4"/>
  <c r="BG118" i="4"/>
  <c r="AY166" i="4"/>
  <c r="BK41" i="4"/>
  <c r="BG115" i="4"/>
  <c r="BC58" i="4"/>
  <c r="BC134" i="4"/>
  <c r="BK102" i="4"/>
  <c r="BC33" i="4"/>
  <c r="BG91" i="4"/>
  <c r="AY120" i="4"/>
  <c r="BK145" i="4"/>
  <c r="BG111" i="4"/>
  <c r="BK25" i="4"/>
  <c r="BK167" i="4"/>
  <c r="AY150" i="4"/>
  <c r="BK78" i="4"/>
  <c r="BG79" i="4"/>
  <c r="J193" i="29" l="1"/>
  <c r="AA193" i="29"/>
  <c r="F186" i="3"/>
  <c r="A294" i="7"/>
  <c r="M193" i="29"/>
  <c r="O187" i="3" s="1"/>
  <c r="AD193" i="29"/>
  <c r="X193" i="29"/>
  <c r="P193" i="29"/>
  <c r="L187" i="3" s="1"/>
  <c r="AG193" i="29"/>
  <c r="D193" i="29"/>
  <c r="C187" i="3" s="1"/>
  <c r="U193" i="29"/>
  <c r="AT183" i="4"/>
  <c r="BJ183" i="4" s="1"/>
  <c r="M185" i="3"/>
  <c r="AV183" i="4"/>
  <c r="BN183" i="4" s="1"/>
  <c r="J185" i="3"/>
  <c r="AR183" i="4"/>
  <c r="BF183" i="4" s="1"/>
  <c r="G185" i="3"/>
  <c r="B493" i="7"/>
  <c r="L493" i="7" s="1"/>
  <c r="A525" i="7"/>
  <c r="I186" i="3"/>
  <c r="E192" i="29"/>
  <c r="V192" i="29"/>
  <c r="F192" i="29" s="1"/>
  <c r="B186" i="3" s="1"/>
  <c r="H185" i="3"/>
  <c r="C493" i="7"/>
  <c r="AN183" i="4"/>
  <c r="AX183" i="4" s="1"/>
  <c r="A185" i="3"/>
  <c r="AE192" i="29"/>
  <c r="O192" i="29" s="1"/>
  <c r="N186" i="3" s="1"/>
  <c r="N192" i="29"/>
  <c r="AH192" i="29"/>
  <c r="R192" i="29" s="1"/>
  <c r="K186" i="3" s="1"/>
  <c r="Q192" i="29"/>
  <c r="F266" i="7"/>
  <c r="B268" i="7"/>
  <c r="D186" i="3"/>
  <c r="AP184" i="4"/>
  <c r="BB184" i="4" s="1"/>
  <c r="E186" i="3"/>
  <c r="C268" i="7"/>
  <c r="G186" i="3"/>
  <c r="B494" i="7"/>
  <c r="L494" i="7" s="1"/>
  <c r="AR184" i="4"/>
  <c r="BF184" i="4" s="1"/>
  <c r="H186" i="3"/>
  <c r="C494" i="7"/>
  <c r="H267" i="7"/>
  <c r="I267" i="7"/>
  <c r="K267" i="7"/>
  <c r="G267" i="7"/>
  <c r="D267" i="7"/>
  <c r="J267" i="7"/>
  <c r="L267" i="7"/>
  <c r="E267" i="7"/>
  <c r="G4" i="6"/>
  <c r="G10" i="6"/>
  <c r="I25" i="4"/>
  <c r="I41" i="4" s="1"/>
  <c r="I55" i="4" s="1"/>
  <c r="I58" i="4" s="1"/>
  <c r="C9" i="4"/>
  <c r="C25" i="4" s="1"/>
  <c r="C41" i="4" s="1"/>
  <c r="C55" i="4" s="1"/>
  <c r="C58" i="4" s="1"/>
  <c r="L25" i="4"/>
  <c r="L41" i="4" s="1"/>
  <c r="L55" i="4" s="1"/>
  <c r="L58" i="4" s="1"/>
  <c r="AJ25" i="4"/>
  <c r="AJ41" i="4" s="1"/>
  <c r="AJ55" i="4" s="1"/>
  <c r="AJ58" i="4" s="1"/>
  <c r="F25" i="4"/>
  <c r="F41" i="4" s="1"/>
  <c r="F55" i="4" s="1"/>
  <c r="F58" i="4" s="1"/>
  <c r="AA25" i="4"/>
  <c r="AA41" i="4" s="1"/>
  <c r="AA55" i="4" s="1"/>
  <c r="AA58" i="4" s="1"/>
  <c r="AG25" i="4"/>
  <c r="AG41" i="4" s="1"/>
  <c r="AG55" i="4" s="1"/>
  <c r="AG58" i="4" s="1"/>
  <c r="AD25" i="4"/>
  <c r="AD41" i="4" s="1"/>
  <c r="AD55" i="4" s="1"/>
  <c r="AD58" i="4" s="1"/>
  <c r="X25" i="4"/>
  <c r="X41" i="4" s="1"/>
  <c r="X55" i="4" s="1"/>
  <c r="X58" i="4" s="1"/>
  <c r="D44" i="6"/>
  <c r="G44" i="6" s="1"/>
  <c r="U25" i="4"/>
  <c r="U41" i="4" s="1"/>
  <c r="U55" i="4" s="1"/>
  <c r="U58" i="4" s="1"/>
  <c r="D7" i="6"/>
  <c r="D20" i="6"/>
  <c r="G20" i="6" s="1"/>
  <c r="O25" i="4"/>
  <c r="O41" i="4" s="1"/>
  <c r="O55" i="4" s="1"/>
  <c r="O58" i="4" s="1"/>
  <c r="R25" i="4"/>
  <c r="R41" i="4" s="1"/>
  <c r="R55" i="4" s="1"/>
  <c r="R58" i="4" s="1"/>
  <c r="D33" i="6"/>
  <c r="G33" i="6" s="1"/>
  <c r="AF194" i="29"/>
  <c r="T194" i="29"/>
  <c r="BO115" i="4"/>
  <c r="BO134" i="4"/>
  <c r="BO172" i="4"/>
  <c r="BO167" i="4"/>
  <c r="BO210" i="4"/>
  <c r="BO110" i="4"/>
  <c r="BO131" i="4"/>
  <c r="BO98" i="4"/>
  <c r="BO176" i="4"/>
  <c r="BO151" i="4"/>
  <c r="AA57" i="4"/>
  <c r="BO214" i="4"/>
  <c r="BO84" i="4"/>
  <c r="BO145" i="4"/>
  <c r="BO116" i="4"/>
  <c r="BO204" i="4"/>
  <c r="BO86" i="4"/>
  <c r="BO74" i="4"/>
  <c r="BO195" i="4"/>
  <c r="BO148" i="4"/>
  <c r="BO175" i="4"/>
  <c r="BO93" i="4"/>
  <c r="BO209" i="4"/>
  <c r="BO217" i="4"/>
  <c r="BO161" i="4"/>
  <c r="BO114" i="4"/>
  <c r="BO205" i="4"/>
  <c r="BO177" i="4"/>
  <c r="BO137" i="4"/>
  <c r="BO111" i="4"/>
  <c r="BO152" i="4"/>
  <c r="BO153" i="4"/>
  <c r="BO160" i="4"/>
  <c r="BO124" i="4"/>
  <c r="BO171" i="4"/>
  <c r="BO156" i="4"/>
  <c r="BO77" i="4"/>
  <c r="BO121" i="4"/>
  <c r="BO193" i="4"/>
  <c r="BO183" i="4"/>
  <c r="BO122" i="4"/>
  <c r="BO109" i="4"/>
  <c r="BO168" i="4"/>
  <c r="BO132" i="4"/>
  <c r="BO102" i="4"/>
  <c r="BO200" i="4"/>
  <c r="BO182" i="4"/>
  <c r="BO150" i="4"/>
  <c r="BO126" i="4"/>
  <c r="BO108" i="4"/>
  <c r="BO79" i="4"/>
  <c r="BO83" i="4"/>
  <c r="BO78" i="4"/>
  <c r="BO215" i="4"/>
  <c r="BO144" i="4"/>
  <c r="BO120" i="4"/>
  <c r="BO125" i="4"/>
  <c r="BO185" i="4"/>
  <c r="BO154" i="4"/>
  <c r="BO128" i="4"/>
  <c r="BO143" i="4"/>
  <c r="BO85" i="4"/>
  <c r="BO179" i="4"/>
  <c r="BO119" i="4"/>
  <c r="BO173" i="4"/>
  <c r="AC194" i="29"/>
  <c r="W194" i="29"/>
  <c r="BK183" i="4"/>
  <c r="BG183" i="4"/>
  <c r="BO190" i="4"/>
  <c r="BO82" i="4"/>
  <c r="BO91" i="4"/>
  <c r="BO140" i="4"/>
  <c r="BO165" i="4"/>
  <c r="BO202" i="4"/>
  <c r="BO113" i="4"/>
  <c r="BO219" i="4"/>
  <c r="BO130" i="4"/>
  <c r="BO174" i="4"/>
  <c r="BO216" i="4"/>
  <c r="BO138" i="4"/>
  <c r="BO146" i="4"/>
  <c r="L57" i="4"/>
  <c r="BO211" i="4"/>
  <c r="BO199" i="4"/>
  <c r="BO207" i="4"/>
  <c r="BO117" i="4"/>
  <c r="AJ57" i="4"/>
  <c r="BO208" i="4"/>
  <c r="BO141" i="4"/>
  <c r="BO101" i="4"/>
  <c r="BO186" i="4"/>
  <c r="Z194" i="29"/>
  <c r="G193" i="29"/>
  <c r="AY183" i="4"/>
  <c r="BO112" i="4"/>
  <c r="BO89" i="4"/>
  <c r="BO162" i="4"/>
  <c r="BO157" i="4"/>
  <c r="BO99" i="4"/>
  <c r="BO127" i="4"/>
  <c r="BO180" i="4"/>
  <c r="BO135" i="4"/>
  <c r="BO184" i="4"/>
  <c r="BO187" i="4"/>
  <c r="BO95" i="4"/>
  <c r="BO88" i="4"/>
  <c r="BO206" i="4"/>
  <c r="BO213" i="4"/>
  <c r="BO159" i="4"/>
  <c r="BO155" i="4"/>
  <c r="BO104" i="4"/>
  <c r="BO129" i="4"/>
  <c r="BO158" i="4"/>
  <c r="BO212" i="4"/>
  <c r="BO90" i="4"/>
  <c r="BO191" i="4"/>
  <c r="BO92" i="4"/>
  <c r="BO81" i="4"/>
  <c r="BO100" i="4"/>
  <c r="BO147" i="4"/>
  <c r="BO181" i="4"/>
  <c r="BO87" i="4"/>
  <c r="BO118" i="4"/>
  <c r="BO123" i="4"/>
  <c r="BO197" i="4"/>
  <c r="BO194" i="4"/>
  <c r="BO105" i="4"/>
  <c r="BO76" i="4"/>
  <c r="BO218" i="4"/>
  <c r="BO80" i="4"/>
  <c r="BO188" i="4"/>
  <c r="BO133" i="4"/>
  <c r="BO75" i="4"/>
  <c r="BO139" i="4"/>
  <c r="BO103" i="4"/>
  <c r="BO142" i="4"/>
  <c r="BO169" i="4"/>
  <c r="BC184" i="4"/>
  <c r="BO106" i="4"/>
  <c r="BO163" i="4"/>
  <c r="BO201" i="4"/>
  <c r="BO136" i="4"/>
  <c r="BO166" i="4"/>
  <c r="BO94" i="4"/>
  <c r="BG184" i="4"/>
  <c r="BO203" i="4"/>
  <c r="BO192" i="4"/>
  <c r="BO96" i="4"/>
  <c r="BO97" i="4"/>
  <c r="BO178" i="4"/>
  <c r="BO170" i="4"/>
  <c r="BO107" i="4"/>
  <c r="BO189" i="4"/>
  <c r="BO164" i="4"/>
  <c r="BO149" i="4"/>
  <c r="AD57" i="4"/>
  <c r="BO198" i="4"/>
  <c r="BO196" i="4"/>
  <c r="AG57" i="4"/>
  <c r="A295" i="7" l="1"/>
  <c r="F187" i="3"/>
  <c r="J194" i="29"/>
  <c r="AA194" i="29"/>
  <c r="X194" i="29"/>
  <c r="Y194" i="29" s="1"/>
  <c r="AD194" i="29"/>
  <c r="M194" i="29"/>
  <c r="O188" i="3" s="1"/>
  <c r="U194" i="29"/>
  <c r="D194" i="29"/>
  <c r="C188" i="3" s="1"/>
  <c r="P194" i="29"/>
  <c r="L188" i="3" s="1"/>
  <c r="AG194" i="29"/>
  <c r="J186" i="3"/>
  <c r="AV184" i="4"/>
  <c r="BN184" i="4" s="1"/>
  <c r="E193" i="29"/>
  <c r="V193" i="29"/>
  <c r="F193" i="29" s="1"/>
  <c r="B187" i="3" s="1"/>
  <c r="N193" i="29"/>
  <c r="AE193" i="29"/>
  <c r="O193" i="29" s="1"/>
  <c r="N187" i="3" s="1"/>
  <c r="AN184" i="4"/>
  <c r="AX184" i="4" s="1"/>
  <c r="A186" i="3"/>
  <c r="AT184" i="4"/>
  <c r="BJ184" i="4" s="1"/>
  <c r="M186" i="3"/>
  <c r="AH193" i="29"/>
  <c r="R193" i="29" s="1"/>
  <c r="K187" i="3" s="1"/>
  <c r="Q193" i="29"/>
  <c r="AB193" i="29"/>
  <c r="L193" i="29" s="1"/>
  <c r="K193" i="29"/>
  <c r="Y193" i="29"/>
  <c r="A526" i="7"/>
  <c r="I187" i="3"/>
  <c r="F267" i="7"/>
  <c r="D268" i="7"/>
  <c r="E268" i="7"/>
  <c r="K268" i="7"/>
  <c r="I268" i="7"/>
  <c r="J268" i="7"/>
  <c r="L268" i="7"/>
  <c r="H268" i="7"/>
  <c r="G268" i="7"/>
  <c r="Q194" i="29"/>
  <c r="AH194" i="29"/>
  <c r="R194" i="29" s="1"/>
  <c r="K188" i="3" s="1"/>
  <c r="BP3" i="4"/>
  <c r="BP2" i="4"/>
  <c r="BP207" i="4"/>
  <c r="BP193" i="4"/>
  <c r="BP177" i="4"/>
  <c r="BP93" i="4"/>
  <c r="BP194" i="4"/>
  <c r="BP88" i="4"/>
  <c r="BP156" i="4"/>
  <c r="BP148" i="4"/>
  <c r="BP56" i="4"/>
  <c r="BP184" i="4"/>
  <c r="BP129" i="4"/>
  <c r="BP201" i="4"/>
  <c r="BP72" i="4"/>
  <c r="BP131" i="4"/>
  <c r="BP111" i="4"/>
  <c r="BP96" i="4"/>
  <c r="BP192" i="4"/>
  <c r="BP51" i="4"/>
  <c r="BP84" i="4"/>
  <c r="BP97" i="4"/>
  <c r="BP204" i="4"/>
  <c r="BP159" i="4"/>
  <c r="BP217" i="4"/>
  <c r="BP50" i="4"/>
  <c r="BP163" i="4"/>
  <c r="BP191" i="4"/>
  <c r="BP183" i="4"/>
  <c r="BP4" i="4"/>
  <c r="BP26" i="4"/>
  <c r="BP186" i="4"/>
  <c r="BP30" i="4"/>
  <c r="BP91" i="4"/>
  <c r="BP144" i="4"/>
  <c r="BP44" i="4"/>
  <c r="BP206" i="4"/>
  <c r="BP187" i="4"/>
  <c r="BP37" i="4"/>
  <c r="BP132" i="4"/>
  <c r="BP22" i="4"/>
  <c r="BP166" i="4"/>
  <c r="BP70" i="4"/>
  <c r="BP53" i="4"/>
  <c r="BP69" i="4"/>
  <c r="BP154" i="4"/>
  <c r="BP100" i="4"/>
  <c r="BP65" i="4"/>
  <c r="BP128" i="4"/>
  <c r="BP120" i="4"/>
  <c r="BP210" i="4"/>
  <c r="BP168" i="4"/>
  <c r="BP81" i="4"/>
  <c r="BP45" i="4"/>
  <c r="BP66" i="4"/>
  <c r="BP24" i="4"/>
  <c r="BP209" i="4"/>
  <c r="BP94" i="4"/>
  <c r="BP71" i="4"/>
  <c r="BP150" i="4"/>
  <c r="BP143" i="4"/>
  <c r="BP158" i="4"/>
  <c r="BP124" i="4"/>
  <c r="BP60" i="4"/>
  <c r="BP136" i="4"/>
  <c r="BP13" i="4"/>
  <c r="BP36" i="4"/>
  <c r="BP82" i="4"/>
  <c r="BP18" i="4"/>
  <c r="BP215" i="4"/>
  <c r="BP10" i="4"/>
  <c r="BP195" i="4"/>
  <c r="BP15" i="4"/>
  <c r="BP35" i="4"/>
  <c r="BP112" i="4"/>
  <c r="BP68" i="4"/>
  <c r="BP41" i="4"/>
  <c r="BP173" i="4"/>
  <c r="BP64" i="4"/>
  <c r="BP77" i="4"/>
  <c r="BP25" i="4"/>
  <c r="BP80" i="4"/>
  <c r="BP157" i="4"/>
  <c r="BP119" i="4"/>
  <c r="BP164" i="4"/>
  <c r="BP211" i="4"/>
  <c r="BP109" i="4"/>
  <c r="BP108" i="4"/>
  <c r="BP174" i="4"/>
  <c r="BP92" i="4"/>
  <c r="BP39" i="4"/>
  <c r="BP180" i="4"/>
  <c r="BP32" i="4"/>
  <c r="BP78" i="4"/>
  <c r="BP8" i="4"/>
  <c r="BP188" i="4"/>
  <c r="BP135" i="4"/>
  <c r="BP89" i="4"/>
  <c r="BP140" i="4"/>
  <c r="BP196" i="4"/>
  <c r="BP216" i="4"/>
  <c r="BP205" i="4"/>
  <c r="BP199" i="4"/>
  <c r="BP40" i="4"/>
  <c r="BP102" i="4"/>
  <c r="BP218" i="4"/>
  <c r="BP74" i="4"/>
  <c r="BP139" i="4"/>
  <c r="BP123" i="4"/>
  <c r="BP12" i="4"/>
  <c r="BP105" i="4"/>
  <c r="BP121" i="4"/>
  <c r="BP54" i="4"/>
  <c r="BP29" i="4"/>
  <c r="BP103" i="4"/>
  <c r="BP47" i="4"/>
  <c r="BP130" i="4"/>
  <c r="BP200" i="4"/>
  <c r="BP178" i="4"/>
  <c r="BP162" i="4"/>
  <c r="BP153" i="4"/>
  <c r="BP75" i="4"/>
  <c r="BP185" i="4"/>
  <c r="BP202" i="4"/>
  <c r="BP197" i="4"/>
  <c r="BP99" i="4"/>
  <c r="BP169" i="4"/>
  <c r="BP110" i="4"/>
  <c r="BP90" i="4"/>
  <c r="BP155" i="4"/>
  <c r="BP43" i="4"/>
  <c r="BP63" i="4"/>
  <c r="BP14" i="4"/>
  <c r="BP122" i="4"/>
  <c r="BP16" i="4"/>
  <c r="BP106" i="4"/>
  <c r="BP138" i="4"/>
  <c r="BP152" i="4"/>
  <c r="BP11" i="4"/>
  <c r="BP31" i="4"/>
  <c r="BP83" i="4"/>
  <c r="BP198" i="4"/>
  <c r="BP101" i="4"/>
  <c r="BP86" i="4"/>
  <c r="BP126" i="4"/>
  <c r="BP125" i="4"/>
  <c r="BP167" i="4"/>
  <c r="BP23" i="4"/>
  <c r="BP116" i="4"/>
  <c r="BP203" i="4"/>
  <c r="BP62" i="4"/>
  <c r="BP175" i="4"/>
  <c r="BP141" i="4"/>
  <c r="BP6" i="4"/>
  <c r="BP27" i="4"/>
  <c r="BP17" i="4"/>
  <c r="BP19" i="4"/>
  <c r="BP42" i="4"/>
  <c r="BP171" i="4"/>
  <c r="BP79" i="4"/>
  <c r="BP142" i="4"/>
  <c r="BP9" i="4"/>
  <c r="BP59" i="4"/>
  <c r="BP73" i="4"/>
  <c r="BP95" i="4"/>
  <c r="BP160" i="4"/>
  <c r="BP104" i="4"/>
  <c r="BP20" i="4"/>
  <c r="BP127" i="4"/>
  <c r="BP219" i="4"/>
  <c r="BP55" i="4"/>
  <c r="BP190" i="4"/>
  <c r="BP107" i="4"/>
  <c r="BP7" i="4"/>
  <c r="BP146" i="4"/>
  <c r="BP118" i="4"/>
  <c r="BP134" i="4"/>
  <c r="BP52" i="4"/>
  <c r="BP161" i="4"/>
  <c r="BP212" i="4"/>
  <c r="BP151" i="4"/>
  <c r="BP67" i="4"/>
  <c r="BP147" i="4"/>
  <c r="BP182" i="4"/>
  <c r="BP28" i="4"/>
  <c r="BP133" i="4"/>
  <c r="BP46" i="4"/>
  <c r="BP172" i="4"/>
  <c r="BP165" i="4"/>
  <c r="BP179" i="4"/>
  <c r="BP149" i="4"/>
  <c r="BP76" i="4"/>
  <c r="BP208" i="4"/>
  <c r="BP48" i="4"/>
  <c r="BP38" i="4"/>
  <c r="BP176" i="4"/>
  <c r="BP170" i="4"/>
  <c r="BP21" i="4"/>
  <c r="BP181" i="4"/>
  <c r="BP57" i="4"/>
  <c r="BP113" i="4"/>
  <c r="BP85" i="4"/>
  <c r="BP49" i="4"/>
  <c r="BP33" i="4"/>
  <c r="BP115" i="4"/>
  <c r="BP34" i="4"/>
  <c r="BP117" i="4"/>
  <c r="BP98" i="4"/>
  <c r="BP137" i="4"/>
  <c r="BP114" i="4"/>
  <c r="BP145" i="4"/>
  <c r="BP213" i="4"/>
  <c r="BP214" i="4"/>
  <c r="BP61" i="4"/>
  <c r="BP5" i="4"/>
  <c r="BP189" i="4"/>
  <c r="BP87" i="4"/>
  <c r="BP58" i="4"/>
  <c r="AF8" i="30"/>
  <c r="L10" i="4"/>
  <c r="L28" i="4"/>
  <c r="L26" i="4"/>
  <c r="L44" i="4"/>
  <c r="L42" i="4"/>
  <c r="L56" i="4"/>
  <c r="L12" i="4"/>
  <c r="S96" i="7"/>
  <c r="S95" i="7"/>
  <c r="P95" i="7"/>
  <c r="S110" i="7"/>
  <c r="P96" i="7"/>
  <c r="P125" i="7"/>
  <c r="P110" i="7"/>
  <c r="S125" i="7"/>
  <c r="P111" i="7"/>
  <c r="S111" i="7"/>
  <c r="P140" i="7"/>
  <c r="P126" i="7"/>
  <c r="S140" i="7"/>
  <c r="P155" i="7"/>
  <c r="S155" i="7"/>
  <c r="S126" i="7"/>
  <c r="P141" i="7"/>
  <c r="S141" i="7"/>
  <c r="P156" i="7"/>
  <c r="S156" i="7"/>
  <c r="P322" i="7"/>
  <c r="S322" i="7"/>
  <c r="P321" i="7"/>
  <c r="P337" i="7"/>
  <c r="S337" i="7"/>
  <c r="S321" i="7"/>
  <c r="P352" i="7"/>
  <c r="P336" i="7"/>
  <c r="S352" i="7"/>
  <c r="P367" i="7"/>
  <c r="S336" i="7"/>
  <c r="P351" i="7"/>
  <c r="S367" i="7"/>
  <c r="S351" i="7"/>
  <c r="P382" i="7"/>
  <c r="S382" i="7"/>
  <c r="P366" i="7"/>
  <c r="S366" i="7"/>
  <c r="P381" i="7"/>
  <c r="S381" i="7"/>
  <c r="AD44" i="4"/>
  <c r="AD10" i="4"/>
  <c r="AD26" i="4" s="1"/>
  <c r="AD42" i="4" s="1"/>
  <c r="AD56" i="4" s="1"/>
  <c r="AD28" i="4"/>
  <c r="AF11" i="30"/>
  <c r="AD12" i="4"/>
  <c r="AA12" i="4"/>
  <c r="H11" i="30"/>
  <c r="AA44" i="4"/>
  <c r="AA10" i="4"/>
  <c r="AA26" i="4" s="1"/>
  <c r="AA42" i="4" s="1"/>
  <c r="AA56" i="4" s="1"/>
  <c r="AA28" i="4"/>
  <c r="O12" i="4"/>
  <c r="O28" i="4"/>
  <c r="O44" i="4"/>
  <c r="H9" i="30"/>
  <c r="O10" i="4"/>
  <c r="O26" i="4" s="1"/>
  <c r="O42" i="4" s="1"/>
  <c r="O56" i="4" s="1"/>
  <c r="R10" i="4"/>
  <c r="R26" i="4" s="1"/>
  <c r="R42" i="4" s="1"/>
  <c r="R56" i="4" s="1"/>
  <c r="AF9" i="30"/>
  <c r="R28" i="4"/>
  <c r="R12" i="4"/>
  <c r="R44" i="4"/>
  <c r="U44" i="4"/>
  <c r="H10" i="30"/>
  <c r="U12" i="4"/>
  <c r="U28" i="4"/>
  <c r="U10" i="4"/>
  <c r="U26" i="4" s="1"/>
  <c r="U42" i="4" s="1"/>
  <c r="U56" i="4" s="1"/>
  <c r="D8" i="6"/>
  <c r="D21" i="6" s="1"/>
  <c r="D34" i="6" s="1"/>
  <c r="D45" i="6" s="1"/>
  <c r="D46" i="6" s="1"/>
  <c r="G7" i="6"/>
  <c r="X44" i="4"/>
  <c r="AF10" i="30"/>
  <c r="X12" i="4"/>
  <c r="X28" i="4"/>
  <c r="X10" i="4"/>
  <c r="X26" i="4" s="1"/>
  <c r="X42" i="4" s="1"/>
  <c r="X56" i="4" s="1"/>
  <c r="AF7" i="30"/>
  <c r="F10" i="4"/>
  <c r="F26" i="4" s="1"/>
  <c r="F42" i="4" s="1"/>
  <c r="F56" i="4" s="1"/>
  <c r="F28" i="4"/>
  <c r="F12" i="4"/>
  <c r="F44" i="4"/>
  <c r="I28" i="4"/>
  <c r="I10" i="4"/>
  <c r="I26" i="4" s="1"/>
  <c r="I42" i="4" s="1"/>
  <c r="I56" i="4" s="1"/>
  <c r="I12" i="4"/>
  <c r="I44" i="4"/>
  <c r="H8" i="30"/>
  <c r="H7" i="30"/>
  <c r="C44" i="4"/>
  <c r="C12" i="4"/>
  <c r="C28" i="4"/>
  <c r="C10" i="4"/>
  <c r="C26" i="4" s="1"/>
  <c r="C42" i="4" s="1"/>
  <c r="C56" i="4" s="1"/>
  <c r="H12" i="30"/>
  <c r="AG12" i="4"/>
  <c r="AG28" i="4"/>
  <c r="AG10" i="4"/>
  <c r="AG26" i="4" s="1"/>
  <c r="AG42" i="4" s="1"/>
  <c r="AG56" i="4" s="1"/>
  <c r="AG44" i="4"/>
  <c r="AF12" i="30"/>
  <c r="AJ10" i="4"/>
  <c r="AJ26" i="4" s="1"/>
  <c r="AJ42" i="4" s="1"/>
  <c r="AJ56" i="4" s="1"/>
  <c r="AJ28" i="4"/>
  <c r="AJ12" i="4"/>
  <c r="AJ44" i="4"/>
  <c r="T195" i="29"/>
  <c r="I193" i="29"/>
  <c r="AA43" i="4"/>
  <c r="I57" i="4"/>
  <c r="F57" i="4"/>
  <c r="I194" i="29"/>
  <c r="I43" i="4"/>
  <c r="L43" i="4"/>
  <c r="F11" i="4"/>
  <c r="C11" i="4"/>
  <c r="R57" i="4"/>
  <c r="U11" i="4"/>
  <c r="G194" i="29"/>
  <c r="BK184" i="4"/>
  <c r="U57" i="4"/>
  <c r="X43" i="4"/>
  <c r="X57" i="4"/>
  <c r="F43" i="4"/>
  <c r="W195" i="29"/>
  <c r="AC195" i="29"/>
  <c r="C57" i="4"/>
  <c r="L27" i="4"/>
  <c r="O43" i="4"/>
  <c r="R11" i="4"/>
  <c r="F27" i="4"/>
  <c r="Z195" i="29"/>
  <c r="AF195" i="29"/>
  <c r="AY184" i="4"/>
  <c r="H193" i="29"/>
  <c r="C43" i="4"/>
  <c r="AJ43" i="4"/>
  <c r="L11" i="4"/>
  <c r="AD43" i="4"/>
  <c r="AG11" i="4"/>
  <c r="R43" i="4"/>
  <c r="I11" i="4"/>
  <c r="U43" i="4"/>
  <c r="O57" i="4"/>
  <c r="AG27" i="4"/>
  <c r="U27" i="4"/>
  <c r="H194" i="29"/>
  <c r="C27" i="4"/>
  <c r="AD11" i="4"/>
  <c r="O27" i="4"/>
  <c r="I27" i="4"/>
  <c r="AA11" i="4"/>
  <c r="AG43" i="4"/>
  <c r="AD27" i="4"/>
  <c r="O11" i="4"/>
  <c r="X27" i="4"/>
  <c r="AJ11" i="4"/>
  <c r="AJ27" i="4"/>
  <c r="R27" i="4"/>
  <c r="AA27" i="4"/>
  <c r="X11" i="4"/>
  <c r="D187" i="3" l="1"/>
  <c r="AP185" i="4"/>
  <c r="BB185" i="4" s="1"/>
  <c r="B269" i="7"/>
  <c r="L269" i="7" s="1"/>
  <c r="AG195" i="29"/>
  <c r="Q195" i="29" s="1"/>
  <c r="P195" i="29"/>
  <c r="L189" i="3" s="1"/>
  <c r="J195" i="29"/>
  <c r="AA195" i="29"/>
  <c r="AD195" i="29"/>
  <c r="M195" i="29"/>
  <c r="O189" i="3" s="1"/>
  <c r="G195" i="29"/>
  <c r="X195" i="29"/>
  <c r="F188" i="3"/>
  <c r="A296" i="7"/>
  <c r="C269" i="7"/>
  <c r="E187" i="3"/>
  <c r="D195" i="29"/>
  <c r="C189" i="3" s="1"/>
  <c r="U195" i="29"/>
  <c r="AN185" i="4"/>
  <c r="AX185" i="4" s="1"/>
  <c r="A187" i="3"/>
  <c r="V194" i="29"/>
  <c r="F194" i="29" s="1"/>
  <c r="B188" i="3" s="1"/>
  <c r="E194" i="29"/>
  <c r="AR185" i="4"/>
  <c r="BF185" i="4" s="1"/>
  <c r="G187" i="3"/>
  <c r="B495" i="7"/>
  <c r="L495" i="7" s="1"/>
  <c r="I188" i="3"/>
  <c r="A527" i="7"/>
  <c r="H187" i="3"/>
  <c r="C495" i="7"/>
  <c r="M187" i="3"/>
  <c r="AT185" i="4"/>
  <c r="BJ185" i="4" s="1"/>
  <c r="J187" i="3"/>
  <c r="AV185" i="4"/>
  <c r="BN185" i="4" s="1"/>
  <c r="AE194" i="29"/>
  <c r="O194" i="29" s="1"/>
  <c r="N188" i="3" s="1"/>
  <c r="N194" i="29"/>
  <c r="K194" i="29"/>
  <c r="AB194" i="29"/>
  <c r="L194" i="29" s="1"/>
  <c r="F268" i="7"/>
  <c r="C270" i="7"/>
  <c r="E188" i="3"/>
  <c r="AP186" i="4"/>
  <c r="BB186" i="4" s="1"/>
  <c r="B270" i="7"/>
  <c r="D188" i="3"/>
  <c r="J188" i="3"/>
  <c r="AV186" i="4"/>
  <c r="BN186" i="4" s="1"/>
  <c r="BD15" i="4"/>
  <c r="BD156" i="4"/>
  <c r="BD106" i="4"/>
  <c r="BD17" i="4"/>
  <c r="BD110" i="4"/>
  <c r="BD34" i="4"/>
  <c r="BD37" i="4"/>
  <c r="BD136" i="4"/>
  <c r="BD38" i="4"/>
  <c r="BD77" i="4"/>
  <c r="BD80" i="4"/>
  <c r="BD151" i="4"/>
  <c r="BD173" i="4"/>
  <c r="BD25" i="4"/>
  <c r="BD8" i="4"/>
  <c r="BD162" i="4"/>
  <c r="BD16" i="4"/>
  <c r="BD112" i="4"/>
  <c r="BD101" i="4"/>
  <c r="BD40" i="4"/>
  <c r="BD75" i="4"/>
  <c r="BD168" i="4"/>
  <c r="BD169" i="4"/>
  <c r="BD53" i="4"/>
  <c r="BD30" i="4"/>
  <c r="BD49" i="4"/>
  <c r="BD82" i="4"/>
  <c r="BD28" i="4"/>
  <c r="BD72" i="4"/>
  <c r="BD59" i="4"/>
  <c r="BD179" i="4"/>
  <c r="BD6" i="4"/>
  <c r="BD118" i="4"/>
  <c r="BD126" i="4"/>
  <c r="BD81" i="4"/>
  <c r="BD147" i="4"/>
  <c r="BD48" i="4"/>
  <c r="BD119" i="4"/>
  <c r="BD91" i="4"/>
  <c r="BD124" i="4"/>
  <c r="BD153" i="4"/>
  <c r="BD27" i="4"/>
  <c r="BD141" i="4"/>
  <c r="BD47" i="4"/>
  <c r="BD176" i="4"/>
  <c r="BD125" i="4"/>
  <c r="BD146" i="4"/>
  <c r="BD109" i="4"/>
  <c r="BD43" i="4"/>
  <c r="BD142" i="4"/>
  <c r="BD103" i="4"/>
  <c r="BD148" i="4"/>
  <c r="BD5" i="4"/>
  <c r="BD61" i="4"/>
  <c r="BD132" i="4"/>
  <c r="BD11" i="4"/>
  <c r="BD90" i="4"/>
  <c r="BD157" i="4"/>
  <c r="BD79" i="4"/>
  <c r="BD138" i="4"/>
  <c r="BD108" i="4"/>
  <c r="BD180" i="4"/>
  <c r="BD93" i="4"/>
  <c r="BD84" i="4"/>
  <c r="BD172" i="4"/>
  <c r="BD19" i="4"/>
  <c r="BD18" i="4"/>
  <c r="BD177" i="4"/>
  <c r="BD7" i="4"/>
  <c r="BD144" i="4"/>
  <c r="BD139" i="4"/>
  <c r="BD95" i="4"/>
  <c r="BD10" i="4"/>
  <c r="BD14" i="4"/>
  <c r="BD135" i="4"/>
  <c r="BD66" i="4"/>
  <c r="BD165" i="4"/>
  <c r="BD24" i="4"/>
  <c r="BD62" i="4"/>
  <c r="BD159" i="4"/>
  <c r="BD60" i="4"/>
  <c r="BD171" i="4"/>
  <c r="BD35" i="4"/>
  <c r="BD85" i="4"/>
  <c r="BD68" i="4"/>
  <c r="BD167" i="4"/>
  <c r="BD39" i="4"/>
  <c r="BD78" i="4"/>
  <c r="BD160" i="4"/>
  <c r="BD26" i="4"/>
  <c r="BD29" i="4"/>
  <c r="BD12" i="4"/>
  <c r="BD69" i="4"/>
  <c r="BD94" i="4"/>
  <c r="BD74" i="4"/>
  <c r="BD145" i="4"/>
  <c r="BD99" i="4"/>
  <c r="BD154" i="4"/>
  <c r="BD73" i="4"/>
  <c r="BD121" i="4"/>
  <c r="BD163" i="4"/>
  <c r="BD44" i="4"/>
  <c r="BD50" i="4"/>
  <c r="BD31" i="4"/>
  <c r="BD89" i="4"/>
  <c r="BD114" i="4"/>
  <c r="BD96" i="4"/>
  <c r="BD58" i="4"/>
  <c r="BD87" i="4"/>
  <c r="BD88" i="4"/>
  <c r="BD21" i="4"/>
  <c r="BD20" i="4"/>
  <c r="BD98" i="4"/>
  <c r="BD122" i="4"/>
  <c r="BD67" i="4"/>
  <c r="BD137" i="4"/>
  <c r="BD150" i="4"/>
  <c r="BD166" i="4"/>
  <c r="BD83" i="4"/>
  <c r="BD56" i="4"/>
  <c r="BD55" i="4"/>
  <c r="BD45" i="4"/>
  <c r="BD104" i="4"/>
  <c r="BD102" i="4"/>
  <c r="BD133" i="4"/>
  <c r="BD97" i="4"/>
  <c r="BD3" i="4"/>
  <c r="BD4" i="4"/>
  <c r="BD116" i="4"/>
  <c r="BD129" i="4"/>
  <c r="BD76" i="4"/>
  <c r="BD164" i="4"/>
  <c r="BD131" i="4"/>
  <c r="BD161" i="4"/>
  <c r="BD2" i="4"/>
  <c r="BD41" i="4"/>
  <c r="BD115" i="4"/>
  <c r="BD113" i="4"/>
  <c r="BD22" i="4"/>
  <c r="BD111" i="4"/>
  <c r="BD127" i="4"/>
  <c r="BD65" i="4"/>
  <c r="BD175" i="4"/>
  <c r="BD51" i="4"/>
  <c r="BD178" i="4"/>
  <c r="BD140" i="4"/>
  <c r="BD100" i="4"/>
  <c r="BD13" i="4"/>
  <c r="BD181" i="4"/>
  <c r="BD149" i="4"/>
  <c r="BD86" i="4"/>
  <c r="BD123" i="4"/>
  <c r="BD130" i="4"/>
  <c r="BD23" i="4"/>
  <c r="BD64" i="4"/>
  <c r="BD107" i="4"/>
  <c r="BD120" i="4"/>
  <c r="BD105" i="4"/>
  <c r="BD63" i="4"/>
  <c r="BD9" i="4"/>
  <c r="BD33" i="4"/>
  <c r="BD174" i="4"/>
  <c r="BD158" i="4"/>
  <c r="BD134" i="4"/>
  <c r="BD36" i="4"/>
  <c r="BD152" i="4"/>
  <c r="BD54" i="4"/>
  <c r="BD170" i="4"/>
  <c r="BD117" i="4"/>
  <c r="BD92" i="4"/>
  <c r="BD32" i="4"/>
  <c r="BD70" i="4"/>
  <c r="BD46" i="4"/>
  <c r="BD143" i="4"/>
  <c r="BD128" i="4"/>
  <c r="BD71" i="4"/>
  <c r="BD57" i="4"/>
  <c r="BD52" i="4"/>
  <c r="BD155" i="4"/>
  <c r="BD42" i="4"/>
  <c r="G12" i="30"/>
  <c r="AE12" i="30"/>
  <c r="AE10" i="30"/>
  <c r="AE9" i="30"/>
  <c r="G9" i="30"/>
  <c r="AE8" i="30"/>
  <c r="G7" i="30"/>
  <c r="AE7" i="30"/>
  <c r="G8" i="30"/>
  <c r="AE11" i="30"/>
  <c r="G10" i="30"/>
  <c r="G11" i="30"/>
  <c r="Z196" i="29"/>
  <c r="T196" i="29"/>
  <c r="BC185" i="4"/>
  <c r="AF196" i="29"/>
  <c r="BC186" i="4"/>
  <c r="W196" i="29"/>
  <c r="AY185" i="4"/>
  <c r="BG185" i="4"/>
  <c r="BK185" i="4"/>
  <c r="AC196" i="29"/>
  <c r="AH195" i="29" l="1"/>
  <c r="R195" i="29" s="1"/>
  <c r="K189" i="3" s="1"/>
  <c r="M196" i="29"/>
  <c r="O190" i="3" s="1"/>
  <c r="AD196" i="29"/>
  <c r="N196" i="29" s="1"/>
  <c r="G196" i="29"/>
  <c r="X196" i="29"/>
  <c r="P196" i="29"/>
  <c r="L190" i="3" s="1"/>
  <c r="AG196" i="29"/>
  <c r="U196" i="29"/>
  <c r="V196" i="29" s="1"/>
  <c r="F196" i="29" s="1"/>
  <c r="B190" i="3" s="1"/>
  <c r="D196" i="29"/>
  <c r="C190" i="3" s="1"/>
  <c r="AA196" i="29"/>
  <c r="J196" i="29"/>
  <c r="B496" i="7"/>
  <c r="L496" i="7" s="1"/>
  <c r="G188" i="3"/>
  <c r="AR186" i="4"/>
  <c r="BF186" i="4" s="1"/>
  <c r="K195" i="29"/>
  <c r="AB195" i="29"/>
  <c r="L195" i="29" s="1"/>
  <c r="M188" i="3"/>
  <c r="AT186" i="4"/>
  <c r="BJ186" i="4" s="1"/>
  <c r="A528" i="7"/>
  <c r="I189" i="3"/>
  <c r="A188" i="3"/>
  <c r="AN186" i="4"/>
  <c r="AX186" i="4" s="1"/>
  <c r="E195" i="29"/>
  <c r="V195" i="29"/>
  <c r="F195" i="29" s="1"/>
  <c r="B189" i="3" s="1"/>
  <c r="Y195" i="29"/>
  <c r="I195" i="29" s="1"/>
  <c r="H195" i="29"/>
  <c r="AE195" i="29"/>
  <c r="O195" i="29" s="1"/>
  <c r="N189" i="3" s="1"/>
  <c r="N195" i="29"/>
  <c r="H188" i="3"/>
  <c r="C496" i="7"/>
  <c r="F189" i="3"/>
  <c r="A297" i="7"/>
  <c r="L270" i="7"/>
  <c r="E270" i="7"/>
  <c r="H270" i="7"/>
  <c r="J270" i="7"/>
  <c r="D270" i="7"/>
  <c r="I270" i="7"/>
  <c r="G270" i="7"/>
  <c r="K270" i="7"/>
  <c r="AE196" i="29"/>
  <c r="O196" i="29" s="1"/>
  <c r="N190" i="3" s="1"/>
  <c r="AV187" i="4"/>
  <c r="BN187" i="4" s="1"/>
  <c r="J189" i="3"/>
  <c r="AZ21" i="4"/>
  <c r="AZ7" i="4"/>
  <c r="AZ44" i="4"/>
  <c r="AZ51" i="4"/>
  <c r="AZ8" i="4"/>
  <c r="AZ34" i="4"/>
  <c r="AZ17" i="4"/>
  <c r="AZ26" i="4"/>
  <c r="AZ27" i="4"/>
  <c r="AZ43" i="4"/>
  <c r="AZ42" i="4"/>
  <c r="AZ5" i="4"/>
  <c r="AZ28" i="4"/>
  <c r="AZ54" i="4"/>
  <c r="AZ6" i="4"/>
  <c r="AZ48" i="4"/>
  <c r="AZ57" i="4"/>
  <c r="AZ31" i="4"/>
  <c r="AZ3" i="4"/>
  <c r="AZ55" i="4"/>
  <c r="AZ36" i="4"/>
  <c r="AZ47" i="4"/>
  <c r="AZ15" i="4"/>
  <c r="AZ53" i="4"/>
  <c r="AZ12" i="4"/>
  <c r="AZ19" i="4"/>
  <c r="AZ45" i="4"/>
  <c r="AZ39" i="4"/>
  <c r="AZ24" i="4"/>
  <c r="AZ20" i="4"/>
  <c r="AZ22" i="4"/>
  <c r="AZ29" i="4"/>
  <c r="AZ41" i="4"/>
  <c r="AZ13" i="4"/>
  <c r="AZ4" i="4"/>
  <c r="AZ11" i="4"/>
  <c r="AZ46" i="4"/>
  <c r="AZ30" i="4"/>
  <c r="AZ50" i="4"/>
  <c r="AZ2" i="4"/>
  <c r="AZ49" i="4"/>
  <c r="AZ10" i="4"/>
  <c r="AZ32" i="4"/>
  <c r="AZ33" i="4"/>
  <c r="AZ37" i="4"/>
  <c r="AZ16" i="4"/>
  <c r="AZ38" i="4"/>
  <c r="AZ61" i="4"/>
  <c r="AZ23" i="4"/>
  <c r="AZ9" i="4"/>
  <c r="AZ58" i="4"/>
  <c r="AZ62" i="4"/>
  <c r="AZ59" i="4"/>
  <c r="AZ14" i="4"/>
  <c r="AZ25" i="4"/>
  <c r="AZ35" i="4"/>
  <c r="AZ60" i="4"/>
  <c r="AZ18" i="4"/>
  <c r="AZ40" i="4"/>
  <c r="AZ52" i="4"/>
  <c r="AZ56" i="4"/>
  <c r="BL59" i="4"/>
  <c r="BL97" i="4"/>
  <c r="BL19" i="4"/>
  <c r="BL21" i="4"/>
  <c r="BL2" i="4"/>
  <c r="BL39" i="4"/>
  <c r="BL78" i="4"/>
  <c r="BL57" i="4"/>
  <c r="BL16" i="4"/>
  <c r="BL5" i="4"/>
  <c r="BL92" i="4"/>
  <c r="BL93" i="4"/>
  <c r="BL64" i="4"/>
  <c r="BL91" i="4"/>
  <c r="BL30" i="4"/>
  <c r="BL43" i="4"/>
  <c r="BL13" i="4"/>
  <c r="BL45" i="4"/>
  <c r="BL36" i="4"/>
  <c r="BL62" i="4"/>
  <c r="BL41" i="4"/>
  <c r="BL23" i="4"/>
  <c r="BL67" i="4"/>
  <c r="BL28" i="4"/>
  <c r="BL89" i="4"/>
  <c r="BL71" i="4"/>
  <c r="BL73" i="4"/>
  <c r="BL98" i="4"/>
  <c r="BL95" i="4"/>
  <c r="BL22" i="4"/>
  <c r="BL75" i="4"/>
  <c r="BL79" i="4"/>
  <c r="BL86" i="4"/>
  <c r="BL25" i="4"/>
  <c r="BL31" i="4"/>
  <c r="BL12" i="4"/>
  <c r="BL96" i="4"/>
  <c r="BL63" i="4"/>
  <c r="BL44" i="4"/>
  <c r="BL65" i="4"/>
  <c r="BL94" i="4"/>
  <c r="BL11" i="4"/>
  <c r="BL88" i="4"/>
  <c r="BL29" i="4"/>
  <c r="BL37" i="4"/>
  <c r="BL40" i="4"/>
  <c r="BL72" i="4"/>
  <c r="BL80" i="4"/>
  <c r="BL9" i="4"/>
  <c r="BL49" i="4"/>
  <c r="BL10" i="4"/>
  <c r="BL52" i="4"/>
  <c r="BL85" i="4"/>
  <c r="BL58" i="4"/>
  <c r="BL70" i="4"/>
  <c r="BL14" i="4"/>
  <c r="BL34" i="4"/>
  <c r="BL84" i="4"/>
  <c r="BL27" i="4"/>
  <c r="BL61" i="4"/>
  <c r="BL60" i="4"/>
  <c r="BL24" i="4"/>
  <c r="BL38" i="4"/>
  <c r="BL68" i="4"/>
  <c r="BL74" i="4"/>
  <c r="BL82" i="4"/>
  <c r="BL51" i="4"/>
  <c r="BL35" i="4"/>
  <c r="BL15" i="4"/>
  <c r="BL76" i="4"/>
  <c r="BL33" i="4"/>
  <c r="BL8" i="4"/>
  <c r="BL20" i="4"/>
  <c r="BL26" i="4"/>
  <c r="BL4" i="4"/>
  <c r="BL87" i="4"/>
  <c r="BL55" i="4"/>
  <c r="BL69" i="4"/>
  <c r="BL18" i="4"/>
  <c r="BL77" i="4"/>
  <c r="BL56" i="4"/>
  <c r="BL81" i="4"/>
  <c r="BL90" i="4"/>
  <c r="BL46" i="4"/>
  <c r="BL6" i="4"/>
  <c r="BL83" i="4"/>
  <c r="BL32" i="4"/>
  <c r="BL48" i="4"/>
  <c r="BL17" i="4"/>
  <c r="BL7" i="4"/>
  <c r="BL47" i="4"/>
  <c r="BL3" i="4"/>
  <c r="BL42" i="4"/>
  <c r="BL66" i="4"/>
  <c r="BL53" i="4"/>
  <c r="BL54" i="4"/>
  <c r="BL50" i="4"/>
  <c r="BH59" i="4"/>
  <c r="BH5" i="4"/>
  <c r="BH142" i="4"/>
  <c r="BH35" i="4"/>
  <c r="BH82" i="4"/>
  <c r="BH146" i="4"/>
  <c r="BH122" i="4"/>
  <c r="BH99" i="4"/>
  <c r="BH30" i="4"/>
  <c r="BH116" i="4"/>
  <c r="BH68" i="4"/>
  <c r="BH34" i="4"/>
  <c r="BH87" i="4"/>
  <c r="BH42" i="4"/>
  <c r="BH124" i="4"/>
  <c r="BH128" i="4"/>
  <c r="BH145" i="4"/>
  <c r="BH118" i="4"/>
  <c r="BH38" i="4"/>
  <c r="BH104" i="4"/>
  <c r="BH160" i="4"/>
  <c r="BH63" i="4"/>
  <c r="BH17" i="4"/>
  <c r="BH119" i="4"/>
  <c r="BH32" i="4"/>
  <c r="BH108" i="4"/>
  <c r="BH2" i="4"/>
  <c r="BH150" i="4"/>
  <c r="BH151" i="4"/>
  <c r="BH10" i="4"/>
  <c r="BH103" i="4"/>
  <c r="BH13" i="4"/>
  <c r="BH89" i="4"/>
  <c r="BH138" i="4"/>
  <c r="BH57" i="4"/>
  <c r="BH152" i="4"/>
  <c r="BH62" i="4"/>
  <c r="BH6" i="4"/>
  <c r="BH157" i="4"/>
  <c r="BH36" i="4"/>
  <c r="BH164" i="4"/>
  <c r="BH4" i="4"/>
  <c r="BH163" i="4"/>
  <c r="BH101" i="4"/>
  <c r="BH45" i="4"/>
  <c r="BH48" i="4"/>
  <c r="BH77" i="4"/>
  <c r="BH65" i="4"/>
  <c r="BH144" i="4"/>
  <c r="BH54" i="4"/>
  <c r="BH31" i="4"/>
  <c r="BH102" i="4"/>
  <c r="BH12" i="4"/>
  <c r="BH136" i="4"/>
  <c r="BH93" i="4"/>
  <c r="BH80" i="4"/>
  <c r="BH88" i="4"/>
  <c r="BH66" i="4"/>
  <c r="BH37" i="4"/>
  <c r="BH53" i="4"/>
  <c r="BH3" i="4"/>
  <c r="BH167" i="4"/>
  <c r="BH100" i="4"/>
  <c r="BH44" i="4"/>
  <c r="BH16" i="4"/>
  <c r="BH159" i="4"/>
  <c r="BH60" i="4"/>
  <c r="BH78" i="4"/>
  <c r="BH33" i="4"/>
  <c r="BH98" i="4"/>
  <c r="BH8" i="4"/>
  <c r="BH114" i="4"/>
  <c r="BH154" i="4"/>
  <c r="BH117" i="4"/>
  <c r="BH149" i="4"/>
  <c r="BH11" i="4"/>
  <c r="BH56" i="4"/>
  <c r="BH28" i="4"/>
  <c r="BH135" i="4"/>
  <c r="BH111" i="4"/>
  <c r="BH161" i="4"/>
  <c r="BH95" i="4"/>
  <c r="BH39" i="4"/>
  <c r="BH131" i="4"/>
  <c r="BH7" i="4"/>
  <c r="BH51" i="4"/>
  <c r="BH50" i="4"/>
  <c r="BH67" i="4"/>
  <c r="BH19" i="4"/>
  <c r="BH105" i="4"/>
  <c r="BH147" i="4"/>
  <c r="BH91" i="4"/>
  <c r="BH130" i="4"/>
  <c r="BH23" i="4"/>
  <c r="BH137" i="4"/>
  <c r="BH18" i="4"/>
  <c r="BH46" i="4"/>
  <c r="BH49" i="4"/>
  <c r="BH76" i="4"/>
  <c r="BH166" i="4"/>
  <c r="BH15" i="4"/>
  <c r="BH112" i="4"/>
  <c r="BH27" i="4"/>
  <c r="BH85" i="4"/>
  <c r="BH113" i="4"/>
  <c r="BH52" i="4"/>
  <c r="BH107" i="4"/>
  <c r="BH79" i="4"/>
  <c r="BH69" i="4"/>
  <c r="BH29" i="4"/>
  <c r="BH90" i="4"/>
  <c r="BH134" i="4"/>
  <c r="BH125" i="4"/>
  <c r="BH83" i="4"/>
  <c r="BH70" i="4"/>
  <c r="BH121" i="4"/>
  <c r="BH139" i="4"/>
  <c r="BH21" i="4"/>
  <c r="BH162" i="4"/>
  <c r="BH155" i="4"/>
  <c r="BH9" i="4"/>
  <c r="BH22" i="4"/>
  <c r="BH94" i="4"/>
  <c r="BH71" i="4"/>
  <c r="BH92" i="4"/>
  <c r="BH20" i="4"/>
  <c r="BH97" i="4"/>
  <c r="BH43" i="4"/>
  <c r="BH148" i="4"/>
  <c r="BH73" i="4"/>
  <c r="BH96" i="4"/>
  <c r="BH58" i="4"/>
  <c r="BH109" i="4"/>
  <c r="BH64" i="4"/>
  <c r="BH153" i="4"/>
  <c r="BH47" i="4"/>
  <c r="BH165" i="4"/>
  <c r="BH40" i="4"/>
  <c r="BH55" i="4"/>
  <c r="BH86" i="4"/>
  <c r="BH115" i="4"/>
  <c r="BH74" i="4"/>
  <c r="BH110" i="4"/>
  <c r="BH127" i="4"/>
  <c r="BH126" i="4"/>
  <c r="BH140" i="4"/>
  <c r="BH123" i="4"/>
  <c r="BH143" i="4"/>
  <c r="BH72" i="4"/>
  <c r="BH132" i="4"/>
  <c r="BH133" i="4"/>
  <c r="BH158" i="4"/>
  <c r="BH75" i="4"/>
  <c r="BH106" i="4"/>
  <c r="BH14" i="4"/>
  <c r="BH26" i="4"/>
  <c r="BH141" i="4"/>
  <c r="BH120" i="4"/>
  <c r="BH41" i="4"/>
  <c r="BH81" i="4"/>
  <c r="BH129" i="4"/>
  <c r="BH24" i="4"/>
  <c r="BH25" i="4"/>
  <c r="BH84" i="4"/>
  <c r="BH156" i="4"/>
  <c r="BH168" i="4"/>
  <c r="BH61" i="4"/>
  <c r="K593" i="17"/>
  <c r="J593" i="17"/>
  <c r="H593" i="17"/>
  <c r="AC197" i="29"/>
  <c r="W197" i="29"/>
  <c r="Z197" i="29"/>
  <c r="BG186" i="4"/>
  <c r="BK186" i="4"/>
  <c r="AY186" i="4"/>
  <c r="AF197" i="29"/>
  <c r="T197" i="29"/>
  <c r="E196" i="29" l="1"/>
  <c r="AN188" i="4" s="1"/>
  <c r="AX188" i="4" s="1"/>
  <c r="D197" i="29"/>
  <c r="C191" i="3" s="1"/>
  <c r="U197" i="29"/>
  <c r="P197" i="29"/>
  <c r="L191" i="3" s="1"/>
  <c r="AG197" i="29"/>
  <c r="AH197" i="29" s="1"/>
  <c r="R197" i="29" s="1"/>
  <c r="K191" i="3" s="1"/>
  <c r="AA197" i="29"/>
  <c r="J197" i="29"/>
  <c r="G197" i="29"/>
  <c r="X197" i="29"/>
  <c r="M197" i="29"/>
  <c r="O191" i="3" s="1"/>
  <c r="AD197" i="29"/>
  <c r="M189" i="3"/>
  <c r="AT187" i="4"/>
  <c r="BJ187" i="4" s="1"/>
  <c r="H189" i="3"/>
  <c r="C497" i="7"/>
  <c r="F190" i="3"/>
  <c r="A298" i="7"/>
  <c r="F270" i="7"/>
  <c r="AN187" i="4"/>
  <c r="AX187" i="4" s="1"/>
  <c r="A189" i="3"/>
  <c r="B497" i="7"/>
  <c r="L497" i="7" s="1"/>
  <c r="AR187" i="4"/>
  <c r="BF187" i="4" s="1"/>
  <c r="G189" i="3"/>
  <c r="A529" i="7"/>
  <c r="I190" i="3"/>
  <c r="M190" i="3"/>
  <c r="AT188" i="4"/>
  <c r="BJ188" i="4" s="1"/>
  <c r="D189" i="3"/>
  <c r="AP187" i="4"/>
  <c r="BB187" i="4" s="1"/>
  <c r="B271" i="7"/>
  <c r="L271" i="7" s="1"/>
  <c r="Y196" i="29"/>
  <c r="I196" i="29" s="1"/>
  <c r="H196" i="29"/>
  <c r="E189" i="3"/>
  <c r="C271" i="7"/>
  <c r="AB196" i="29"/>
  <c r="L196" i="29" s="1"/>
  <c r="K196" i="29"/>
  <c r="AH196" i="29"/>
  <c r="R196" i="29" s="1"/>
  <c r="K190" i="3" s="1"/>
  <c r="Q196" i="29"/>
  <c r="G49" i="7"/>
  <c r="I49" i="7"/>
  <c r="K594" i="17"/>
  <c r="H594" i="17"/>
  <c r="J594" i="17"/>
  <c r="AF198" i="29"/>
  <c r="Z198" i="29"/>
  <c r="BK188" i="4"/>
  <c r="BK187" i="4"/>
  <c r="BC187" i="4"/>
  <c r="T198" i="29"/>
  <c r="BG187" i="4"/>
  <c r="AC198" i="29"/>
  <c r="AY188" i="4"/>
  <c r="AY187" i="4"/>
  <c r="W198" i="29"/>
  <c r="A190" i="3" l="1"/>
  <c r="Q197" i="29"/>
  <c r="J191" i="3" s="1"/>
  <c r="X198" i="29"/>
  <c r="G198" i="29"/>
  <c r="AD198" i="29"/>
  <c r="M198" i="29"/>
  <c r="O192" i="3" s="1"/>
  <c r="U198" i="29"/>
  <c r="D198" i="29"/>
  <c r="C192" i="3" s="1"/>
  <c r="J198" i="29"/>
  <c r="AA198" i="29"/>
  <c r="AG198" i="29"/>
  <c r="P198" i="29"/>
  <c r="L192" i="3" s="1"/>
  <c r="AR188" i="4"/>
  <c r="BF188" i="4" s="1"/>
  <c r="B498" i="7"/>
  <c r="L498" i="7" s="1"/>
  <c r="G190" i="3"/>
  <c r="B272" i="7"/>
  <c r="L272" i="7" s="1"/>
  <c r="AP188" i="4"/>
  <c r="BB188" i="4" s="1"/>
  <c r="D190" i="3"/>
  <c r="A530" i="7"/>
  <c r="I191" i="3"/>
  <c r="C498" i="7"/>
  <c r="H190" i="3"/>
  <c r="E190" i="3"/>
  <c r="C272" i="7"/>
  <c r="Y197" i="29"/>
  <c r="I197" i="29" s="1"/>
  <c r="H197" i="29"/>
  <c r="AB197" i="29"/>
  <c r="L197" i="29" s="1"/>
  <c r="K197" i="29"/>
  <c r="V197" i="29"/>
  <c r="F197" i="29" s="1"/>
  <c r="B191" i="3" s="1"/>
  <c r="E197" i="29"/>
  <c r="AV188" i="4"/>
  <c r="BN188" i="4" s="1"/>
  <c r="J190" i="3"/>
  <c r="AE197" i="29"/>
  <c r="O197" i="29" s="1"/>
  <c r="N191" i="3" s="1"/>
  <c r="N197" i="29"/>
  <c r="F191" i="3"/>
  <c r="A299" i="7"/>
  <c r="H595" i="17"/>
  <c r="K596" i="17"/>
  <c r="J596" i="17"/>
  <c r="J536" i="17"/>
  <c r="K544" i="17"/>
  <c r="J551" i="17"/>
  <c r="K551" i="17"/>
  <c r="J597" i="17"/>
  <c r="K550" i="17"/>
  <c r="K574" i="17"/>
  <c r="J574" i="17"/>
  <c r="J587" i="17"/>
  <c r="K587" i="17"/>
  <c r="K595" i="17"/>
  <c r="K518" i="17"/>
  <c r="J595" i="17"/>
  <c r="J518" i="17"/>
  <c r="W199" i="29"/>
  <c r="AC199" i="29"/>
  <c r="Z199" i="29"/>
  <c r="AF199" i="29"/>
  <c r="T199" i="29"/>
  <c r="BG188" i="4"/>
  <c r="BC188" i="4"/>
  <c r="AV189" i="4" l="1"/>
  <c r="BN189" i="4" s="1"/>
  <c r="D199" i="29"/>
  <c r="C193" i="3" s="1"/>
  <c r="U199" i="29"/>
  <c r="E199" i="29" s="1"/>
  <c r="A193" i="3" s="1"/>
  <c r="AG199" i="29"/>
  <c r="AH199" i="29" s="1"/>
  <c r="R199" i="29" s="1"/>
  <c r="K193" i="3" s="1"/>
  <c r="P199" i="29"/>
  <c r="L193" i="3" s="1"/>
  <c r="J199" i="29"/>
  <c r="AA199" i="29"/>
  <c r="AD199" i="29"/>
  <c r="AE199" i="29" s="1"/>
  <c r="O199" i="29" s="1"/>
  <c r="N193" i="3" s="1"/>
  <c r="M199" i="29"/>
  <c r="O193" i="3" s="1"/>
  <c r="X199" i="29"/>
  <c r="G199" i="29"/>
  <c r="F193" i="3" s="1"/>
  <c r="E191" i="3"/>
  <c r="C273" i="7"/>
  <c r="K198" i="29"/>
  <c r="AB198" i="29"/>
  <c r="L198" i="29" s="1"/>
  <c r="AE198" i="29"/>
  <c r="O198" i="29" s="1"/>
  <c r="N192" i="3" s="1"/>
  <c r="N198" i="29"/>
  <c r="B499" i="7"/>
  <c r="L499" i="7" s="1"/>
  <c r="G191" i="3"/>
  <c r="AR189" i="4"/>
  <c r="BF189" i="4" s="1"/>
  <c r="V198" i="29"/>
  <c r="F198" i="29" s="1"/>
  <c r="B192" i="3" s="1"/>
  <c r="E198" i="29"/>
  <c r="A300" i="7"/>
  <c r="F192" i="3"/>
  <c r="H191" i="3"/>
  <c r="C499" i="7"/>
  <c r="A531" i="7"/>
  <c r="I192" i="3"/>
  <c r="M191" i="3"/>
  <c r="AT189" i="4"/>
  <c r="BJ189" i="4" s="1"/>
  <c r="A191" i="3"/>
  <c r="AN189" i="4"/>
  <c r="AX189" i="4" s="1"/>
  <c r="B273" i="7"/>
  <c r="L273" i="7" s="1"/>
  <c r="D191" i="3"/>
  <c r="AP189" i="4"/>
  <c r="BB189" i="4" s="1"/>
  <c r="Q198" i="29"/>
  <c r="AH198" i="29"/>
  <c r="R198" i="29" s="1"/>
  <c r="K192" i="3" s="1"/>
  <c r="H198" i="29"/>
  <c r="Y198" i="29"/>
  <c r="I198" i="29" s="1"/>
  <c r="V199" i="29"/>
  <c r="F199" i="29" s="1"/>
  <c r="B193" i="3" s="1"/>
  <c r="K535" i="17"/>
  <c r="J529" i="17"/>
  <c r="K517" i="17"/>
  <c r="K539" i="17"/>
  <c r="J526" i="17"/>
  <c r="J545" i="17"/>
  <c r="K566" i="17"/>
  <c r="J566" i="17"/>
  <c r="K558" i="17"/>
  <c r="J560" i="17"/>
  <c r="K489" i="17"/>
  <c r="J489" i="17"/>
  <c r="K579" i="17"/>
  <c r="J579" i="17"/>
  <c r="K495" i="17"/>
  <c r="K526" i="17"/>
  <c r="J590" i="17"/>
  <c r="K545" i="17"/>
  <c r="K509" i="17"/>
  <c r="J528" i="17"/>
  <c r="J573" i="17"/>
  <c r="J514" i="17"/>
  <c r="J537" i="17"/>
  <c r="J517" i="17"/>
  <c r="K560" i="17"/>
  <c r="J580" i="17"/>
  <c r="J487" i="17"/>
  <c r="K559" i="17"/>
  <c r="K563" i="17"/>
  <c r="J492" i="17"/>
  <c r="K487" i="17"/>
  <c r="K592" i="17"/>
  <c r="J508" i="17"/>
  <c r="J533" i="17"/>
  <c r="J515" i="17"/>
  <c r="K530" i="17"/>
  <c r="K515" i="17"/>
  <c r="J491" i="17"/>
  <c r="K505" i="17"/>
  <c r="J505" i="17"/>
  <c r="J553" i="17"/>
  <c r="K553" i="17"/>
  <c r="J549" i="17"/>
  <c r="K549" i="17"/>
  <c r="K576" i="17"/>
  <c r="J576" i="17"/>
  <c r="K552" i="17"/>
  <c r="J552" i="17"/>
  <c r="K496" i="17"/>
  <c r="K546" i="17"/>
  <c r="J546" i="17"/>
  <c r="K562" i="17"/>
  <c r="J562" i="17"/>
  <c r="K555" i="17"/>
  <c r="J555" i="17"/>
  <c r="J513" i="17"/>
  <c r="K513" i="17"/>
  <c r="K591" i="17"/>
  <c r="K542" i="17"/>
  <c r="J542" i="17"/>
  <c r="J512" i="17"/>
  <c r="K512" i="17"/>
  <c r="J581" i="17"/>
  <c r="K581" i="17"/>
  <c r="K531" i="17"/>
  <c r="K490" i="17"/>
  <c r="J490" i="17"/>
  <c r="K507" i="17"/>
  <c r="J507" i="17"/>
  <c r="K497" i="17"/>
  <c r="J497" i="17"/>
  <c r="K589" i="17"/>
  <c r="J589" i="17"/>
  <c r="J501" i="17"/>
  <c r="K501" i="17"/>
  <c r="J588" i="17"/>
  <c r="K588" i="17"/>
  <c r="K494" i="17"/>
  <c r="J494" i="17"/>
  <c r="J531" i="17"/>
  <c r="J516" i="17"/>
  <c r="K516" i="17"/>
  <c r="K527" i="17"/>
  <c r="J527" i="17"/>
  <c r="K519" i="17"/>
  <c r="J519" i="17"/>
  <c r="K567" i="17"/>
  <c r="J567" i="17"/>
  <c r="K510" i="17"/>
  <c r="J510" i="17"/>
  <c r="J568" i="17"/>
  <c r="K568" i="17"/>
  <c r="J499" i="17"/>
  <c r="K499" i="17"/>
  <c r="K534" i="17"/>
  <c r="J534" i="17"/>
  <c r="K577" i="17"/>
  <c r="J577" i="17"/>
  <c r="K486" i="17"/>
  <c r="J486" i="17"/>
  <c r="J584" i="17"/>
  <c r="K584" i="17"/>
  <c r="K561" i="17"/>
  <c r="J561" i="17"/>
  <c r="K582" i="17"/>
  <c r="K492" i="17"/>
  <c r="J496" i="17"/>
  <c r="J575" i="17"/>
  <c r="J582" i="17"/>
  <c r="J530" i="17"/>
  <c r="K571" i="17"/>
  <c r="K586" i="17"/>
  <c r="J586" i="17"/>
  <c r="K488" i="17"/>
  <c r="K522" i="17"/>
  <c r="K506" i="17"/>
  <c r="J524" i="17"/>
  <c r="K580" i="17"/>
  <c r="J543" i="17"/>
  <c r="J564" i="17"/>
  <c r="J572" i="17"/>
  <c r="J520" i="17"/>
  <c r="J544" i="17"/>
  <c r="J583" i="17"/>
  <c r="K537" i="17"/>
  <c r="H556" i="17"/>
  <c r="J493" i="17"/>
  <c r="J578" i="17"/>
  <c r="J563" i="17"/>
  <c r="J565" i="17"/>
  <c r="K565" i="17"/>
  <c r="J504" i="17"/>
  <c r="K514" i="17"/>
  <c r="K556" i="17"/>
  <c r="K493" i="17"/>
  <c r="J522" i="17"/>
  <c r="K504" i="17"/>
  <c r="H572" i="17"/>
  <c r="J506" i="17"/>
  <c r="J540" i="17"/>
  <c r="K528" i="17"/>
  <c r="K578" i="17"/>
  <c r="K524" i="17"/>
  <c r="K572" i="17"/>
  <c r="K543" i="17"/>
  <c r="K536" i="17"/>
  <c r="K564" i="17"/>
  <c r="J539" i="17"/>
  <c r="K541" i="17"/>
  <c r="J488" i="17"/>
  <c r="J557" i="17"/>
  <c r="J558" i="17"/>
  <c r="K532" i="17"/>
  <c r="K529" i="17"/>
  <c r="J521" i="17"/>
  <c r="J554" i="17"/>
  <c r="J523" i="17"/>
  <c r="K573" i="17"/>
  <c r="K521" i="17"/>
  <c r="K585" i="17"/>
  <c r="J571" i="17"/>
  <c r="J511" i="17"/>
  <c r="J525" i="17"/>
  <c r="K533" i="17"/>
  <c r="J541" i="17"/>
  <c r="K554" i="17"/>
  <c r="J503" i="17"/>
  <c r="K491" i="17"/>
  <c r="K557" i="17"/>
  <c r="J585" i="17"/>
  <c r="K511" i="17"/>
  <c r="K520" i="17"/>
  <c r="K500" i="17"/>
  <c r="K525" i="17"/>
  <c r="J547" i="17"/>
  <c r="J532" i="17"/>
  <c r="K598" i="17"/>
  <c r="K583" i="17"/>
  <c r="K503" i="17"/>
  <c r="J500" i="17"/>
  <c r="K547" i="17"/>
  <c r="J495" i="17"/>
  <c r="J559" i="17"/>
  <c r="H570" i="17"/>
  <c r="J569" i="17"/>
  <c r="K548" i="17"/>
  <c r="H596" i="17"/>
  <c r="H598" i="17"/>
  <c r="J570" i="17"/>
  <c r="J502" i="17"/>
  <c r="J498" i="17"/>
  <c r="K569" i="17"/>
  <c r="J548" i="17"/>
  <c r="J535" i="17"/>
  <c r="J538" i="17"/>
  <c r="K570" i="17"/>
  <c r="K523" i="17"/>
  <c r="K508" i="17"/>
  <c r="K538" i="17"/>
  <c r="K502" i="17"/>
  <c r="K498" i="17"/>
  <c r="K540" i="17"/>
  <c r="J556" i="17"/>
  <c r="J598" i="17"/>
  <c r="AF200" i="29"/>
  <c r="Z200" i="29"/>
  <c r="T200" i="29"/>
  <c r="AC200" i="29"/>
  <c r="BK189" i="4"/>
  <c r="W200" i="29"/>
  <c r="BC189" i="4"/>
  <c r="BG189" i="4"/>
  <c r="AY189" i="4"/>
  <c r="Q199" i="29" l="1"/>
  <c r="N199" i="29"/>
  <c r="AN191" i="4"/>
  <c r="AX191" i="4" s="1"/>
  <c r="A301" i="7"/>
  <c r="G200" i="29"/>
  <c r="X200" i="29"/>
  <c r="Y200" i="29" s="1"/>
  <c r="I200" i="29" s="1"/>
  <c r="M200" i="29"/>
  <c r="O194" i="3" s="1"/>
  <c r="AD200" i="29"/>
  <c r="U200" i="29"/>
  <c r="D200" i="29"/>
  <c r="C194" i="3" s="1"/>
  <c r="J200" i="29"/>
  <c r="AA200" i="29"/>
  <c r="K200" i="29" s="1"/>
  <c r="AG200" i="29"/>
  <c r="P200" i="29"/>
  <c r="L194" i="3" s="1"/>
  <c r="J192" i="3"/>
  <c r="AV190" i="4"/>
  <c r="BN190" i="4" s="1"/>
  <c r="K199" i="29"/>
  <c r="AB199" i="29"/>
  <c r="L199" i="29" s="1"/>
  <c r="C274" i="7"/>
  <c r="E192" i="3"/>
  <c r="H192" i="3"/>
  <c r="C500" i="7"/>
  <c r="I193" i="3"/>
  <c r="A412" i="7"/>
  <c r="D192" i="3"/>
  <c r="B274" i="7"/>
  <c r="L274" i="7" s="1"/>
  <c r="AP190" i="4"/>
  <c r="BB190" i="4" s="1"/>
  <c r="AN190" i="4"/>
  <c r="AX190" i="4" s="1"/>
  <c r="A192" i="3"/>
  <c r="B500" i="7"/>
  <c r="L500" i="7" s="1"/>
  <c r="G192" i="3"/>
  <c r="AR190" i="4"/>
  <c r="BF190" i="4" s="1"/>
  <c r="AT190" i="4"/>
  <c r="BJ190" i="4" s="1"/>
  <c r="M192" i="3"/>
  <c r="H199" i="29"/>
  <c r="Y199" i="29"/>
  <c r="I199" i="29" s="1"/>
  <c r="AV191" i="4"/>
  <c r="BN191" i="4" s="1"/>
  <c r="J193" i="3"/>
  <c r="AT191" i="4"/>
  <c r="BJ191" i="4" s="1"/>
  <c r="M193" i="3"/>
  <c r="K575" i="17"/>
  <c r="T201" i="29"/>
  <c r="AY191" i="4"/>
  <c r="AY190" i="4"/>
  <c r="BG190" i="4"/>
  <c r="BK191" i="4"/>
  <c r="BC190" i="4"/>
  <c r="W201" i="29"/>
  <c r="AC201" i="29"/>
  <c r="BK190" i="4"/>
  <c r="AF201" i="29"/>
  <c r="Z201" i="29"/>
  <c r="AB200" i="29" l="1"/>
  <c r="L200" i="29" s="1"/>
  <c r="C502" i="7" s="1"/>
  <c r="H200" i="29"/>
  <c r="B276" i="7" s="1"/>
  <c r="L276" i="7" s="1"/>
  <c r="J201" i="29"/>
  <c r="AA201" i="29"/>
  <c r="AG201" i="29"/>
  <c r="P201" i="29"/>
  <c r="L195" i="3" s="1"/>
  <c r="AD201" i="29"/>
  <c r="M201" i="29"/>
  <c r="O195" i="3" s="1"/>
  <c r="G201" i="29"/>
  <c r="X201" i="29"/>
  <c r="D201" i="29"/>
  <c r="C195" i="3" s="1"/>
  <c r="U201" i="29"/>
  <c r="E201" i="29" s="1"/>
  <c r="AN193" i="4" s="1"/>
  <c r="AX193" i="4" s="1"/>
  <c r="D193" i="3"/>
  <c r="AP191" i="4"/>
  <c r="BB191" i="4" s="1"/>
  <c r="B275" i="7"/>
  <c r="L275" i="7" s="1"/>
  <c r="C501" i="7"/>
  <c r="H193" i="3"/>
  <c r="E200" i="29"/>
  <c r="V200" i="29"/>
  <c r="F200" i="29" s="1"/>
  <c r="B194" i="3" s="1"/>
  <c r="B501" i="7"/>
  <c r="L501" i="7" s="1"/>
  <c r="AR191" i="4"/>
  <c r="BF191" i="4" s="1"/>
  <c r="G193" i="3"/>
  <c r="I194" i="3"/>
  <c r="A460" i="7"/>
  <c r="C275" i="7"/>
  <c r="E193" i="3"/>
  <c r="Q200" i="29"/>
  <c r="AH200" i="29"/>
  <c r="R200" i="29" s="1"/>
  <c r="K194" i="3" s="1"/>
  <c r="N200" i="29"/>
  <c r="AE200" i="29"/>
  <c r="O200" i="29" s="1"/>
  <c r="N194" i="3" s="1"/>
  <c r="F194" i="3"/>
  <c r="A302" i="7"/>
  <c r="H194" i="3"/>
  <c r="AP192" i="4"/>
  <c r="BB192" i="4" s="1"/>
  <c r="D194" i="3"/>
  <c r="AR192" i="4"/>
  <c r="BF192" i="4" s="1"/>
  <c r="B502" i="7"/>
  <c r="L502" i="7" s="1"/>
  <c r="G194" i="3"/>
  <c r="C276" i="7"/>
  <c r="E194" i="3"/>
  <c r="J550" i="17"/>
  <c r="K590" i="17"/>
  <c r="J591" i="17"/>
  <c r="K597" i="17"/>
  <c r="J592" i="17"/>
  <c r="J509" i="17"/>
  <c r="Z202" i="29"/>
  <c r="BC191" i="4"/>
  <c r="AF202" i="29"/>
  <c r="W202" i="29"/>
  <c r="BG191" i="4"/>
  <c r="BC192" i="4"/>
  <c r="BG192" i="4"/>
  <c r="AC202" i="29"/>
  <c r="T202" i="29"/>
  <c r="A195" i="3" l="1"/>
  <c r="V201" i="29"/>
  <c r="F201" i="29" s="1"/>
  <c r="B195" i="3" s="1"/>
  <c r="U202" i="29"/>
  <c r="D202" i="29"/>
  <c r="C196" i="3" s="1"/>
  <c r="AD202" i="29"/>
  <c r="M202" i="29"/>
  <c r="O196" i="3" s="1"/>
  <c r="G202" i="29"/>
  <c r="X202" i="29"/>
  <c r="P202" i="29"/>
  <c r="L196" i="3" s="1"/>
  <c r="AG202" i="29"/>
  <c r="J202" i="29"/>
  <c r="AA202" i="29"/>
  <c r="M194" i="3"/>
  <c r="AT192" i="4"/>
  <c r="BJ192" i="4" s="1"/>
  <c r="Y201" i="29"/>
  <c r="I201" i="29" s="1"/>
  <c r="H201" i="29"/>
  <c r="AE201" i="29"/>
  <c r="O201" i="29" s="1"/>
  <c r="N195" i="3" s="1"/>
  <c r="N201" i="29"/>
  <c r="Q201" i="29"/>
  <c r="AH201" i="29"/>
  <c r="R201" i="29" s="1"/>
  <c r="K195" i="3" s="1"/>
  <c r="J194" i="3"/>
  <c r="AV192" i="4"/>
  <c r="BN192" i="4" s="1"/>
  <c r="I195" i="3"/>
  <c r="A373" i="7"/>
  <c r="F195" i="3"/>
  <c r="A303" i="7"/>
  <c r="AB201" i="29"/>
  <c r="L201" i="29" s="1"/>
  <c r="K201" i="29"/>
  <c r="A194" i="3"/>
  <c r="AN192" i="4"/>
  <c r="AX192" i="4" s="1"/>
  <c r="BL99" i="4"/>
  <c r="BL100" i="4"/>
  <c r="BL101" i="4"/>
  <c r="BL102" i="4"/>
  <c r="BL103" i="4"/>
  <c r="BL104" i="4"/>
  <c r="H544" i="17"/>
  <c r="BK192" i="4"/>
  <c r="AY193" i="4"/>
  <c r="AY192" i="4"/>
  <c r="AF203" i="29"/>
  <c r="AC203" i="29"/>
  <c r="T203" i="29"/>
  <c r="Z203" i="29"/>
  <c r="W203" i="29"/>
  <c r="G203" i="29" l="1"/>
  <c r="X203" i="29"/>
  <c r="H203" i="29" s="1"/>
  <c r="AP195" i="4" s="1"/>
  <c r="BB195" i="4" s="1"/>
  <c r="AA203" i="29"/>
  <c r="J203" i="29"/>
  <c r="D203" i="29"/>
  <c r="C197" i="3" s="1"/>
  <c r="U203" i="29"/>
  <c r="AD203" i="29"/>
  <c r="M203" i="29"/>
  <c r="O197" i="3" s="1"/>
  <c r="AG203" i="29"/>
  <c r="P203" i="29"/>
  <c r="L197" i="3" s="1"/>
  <c r="AR193" i="4"/>
  <c r="BF193" i="4" s="1"/>
  <c r="G195" i="3"/>
  <c r="B503" i="7"/>
  <c r="L503" i="7" s="1"/>
  <c r="D195" i="3"/>
  <c r="B277" i="7"/>
  <c r="L277" i="7" s="1"/>
  <c r="AP193" i="4"/>
  <c r="BB193" i="4" s="1"/>
  <c r="Q202" i="29"/>
  <c r="AH202" i="29"/>
  <c r="R202" i="29" s="1"/>
  <c r="K196" i="3" s="1"/>
  <c r="A304" i="7"/>
  <c r="F196" i="3"/>
  <c r="C503" i="7"/>
  <c r="H195" i="3"/>
  <c r="AV193" i="4"/>
  <c r="BN193" i="4" s="1"/>
  <c r="J195" i="3"/>
  <c r="C277" i="7"/>
  <c r="E195" i="3"/>
  <c r="AB202" i="29"/>
  <c r="L202" i="29" s="1"/>
  <c r="K202" i="29"/>
  <c r="AE202" i="29"/>
  <c r="O202" i="29" s="1"/>
  <c r="N196" i="3" s="1"/>
  <c r="N202" i="29"/>
  <c r="AT193" i="4"/>
  <c r="BJ193" i="4" s="1"/>
  <c r="M195" i="3"/>
  <c r="A462" i="7"/>
  <c r="I196" i="3"/>
  <c r="Y202" i="29"/>
  <c r="I202" i="29" s="1"/>
  <c r="H202" i="29"/>
  <c r="V202" i="29"/>
  <c r="F202" i="29" s="1"/>
  <c r="B196" i="3" s="1"/>
  <c r="E202" i="29"/>
  <c r="BH169" i="4"/>
  <c r="AZ63" i="4"/>
  <c r="BH170" i="4"/>
  <c r="BH171" i="4"/>
  <c r="BD182" i="4"/>
  <c r="BD183" i="4"/>
  <c r="BH172" i="4"/>
  <c r="BD184" i="4"/>
  <c r="BH173" i="4"/>
  <c r="BD185" i="4"/>
  <c r="BD186" i="4"/>
  <c r="AZ64" i="4"/>
  <c r="BH174" i="4"/>
  <c r="BH175" i="4"/>
  <c r="AZ65" i="4"/>
  <c r="W204" i="29"/>
  <c r="Z204" i="29"/>
  <c r="BC193" i="4"/>
  <c r="AC204" i="29"/>
  <c r="T204" i="29"/>
  <c r="AF204" i="29"/>
  <c r="BG193" i="4"/>
  <c r="BK193" i="4"/>
  <c r="Y203" i="29" l="1"/>
  <c r="I203" i="29" s="1"/>
  <c r="E197" i="3" s="1"/>
  <c r="B279" i="7"/>
  <c r="L279" i="7" s="1"/>
  <c r="D197" i="3"/>
  <c r="P204" i="29"/>
  <c r="L198" i="3" s="1"/>
  <c r="AG204" i="29"/>
  <c r="U204" i="29"/>
  <c r="D204" i="29"/>
  <c r="C198" i="3" s="1"/>
  <c r="AD204" i="29"/>
  <c r="M204" i="29"/>
  <c r="O198" i="3" s="1"/>
  <c r="J204" i="29"/>
  <c r="AA204" i="29"/>
  <c r="X204" i="29"/>
  <c r="G204" i="29"/>
  <c r="C278" i="7"/>
  <c r="E196" i="3"/>
  <c r="C504" i="7"/>
  <c r="H196" i="3"/>
  <c r="AB203" i="29"/>
  <c r="L203" i="29" s="1"/>
  <c r="K203" i="29"/>
  <c r="A196" i="3"/>
  <c r="AN194" i="4"/>
  <c r="AX194" i="4" s="1"/>
  <c r="AT194" i="4"/>
  <c r="BJ194" i="4" s="1"/>
  <c r="M196" i="3"/>
  <c r="N203" i="29"/>
  <c r="AE203" i="29"/>
  <c r="O203" i="29" s="1"/>
  <c r="N197" i="3" s="1"/>
  <c r="AV194" i="4"/>
  <c r="BN194" i="4" s="1"/>
  <c r="J196" i="3"/>
  <c r="I197" i="3"/>
  <c r="A448" i="7"/>
  <c r="A305" i="7"/>
  <c r="F197" i="3"/>
  <c r="B278" i="7"/>
  <c r="L278" i="7" s="1"/>
  <c r="D196" i="3"/>
  <c r="AP194" i="4"/>
  <c r="BB194" i="4" s="1"/>
  <c r="B504" i="7"/>
  <c r="L504" i="7" s="1"/>
  <c r="G196" i="3"/>
  <c r="AR194" i="4"/>
  <c r="BF194" i="4" s="1"/>
  <c r="AH203" i="29"/>
  <c r="R203" i="29" s="1"/>
  <c r="K197" i="3" s="1"/>
  <c r="Q203" i="29"/>
  <c r="E203" i="29"/>
  <c r="V203" i="29"/>
  <c r="F203" i="29" s="1"/>
  <c r="B197" i="3" s="1"/>
  <c r="AY194" i="4"/>
  <c r="T205" i="29"/>
  <c r="BK194" i="4"/>
  <c r="BC195" i="4"/>
  <c r="BC194" i="4"/>
  <c r="W205" i="29"/>
  <c r="AF205" i="29"/>
  <c r="BG194" i="4"/>
  <c r="Z205" i="29"/>
  <c r="AC205" i="29"/>
  <c r="C279" i="7" l="1"/>
  <c r="AD205" i="29"/>
  <c r="M205" i="29"/>
  <c r="O199" i="3" s="1"/>
  <c r="AA205" i="29"/>
  <c r="AB205" i="29" s="1"/>
  <c r="L205" i="29" s="1"/>
  <c r="J205" i="29"/>
  <c r="AG205" i="29"/>
  <c r="P205" i="29"/>
  <c r="L199" i="3" s="1"/>
  <c r="G205" i="29"/>
  <c r="X205" i="29"/>
  <c r="H205" i="29" s="1"/>
  <c r="D205" i="29"/>
  <c r="C199" i="3" s="1"/>
  <c r="U205" i="29"/>
  <c r="C505" i="7"/>
  <c r="H197" i="3"/>
  <c r="A197" i="3"/>
  <c r="AN195" i="4"/>
  <c r="AX195" i="4" s="1"/>
  <c r="AT195" i="4"/>
  <c r="BJ195" i="4" s="1"/>
  <c r="M197" i="3"/>
  <c r="I198" i="3"/>
  <c r="A398" i="7"/>
  <c r="Q204" i="29"/>
  <c r="AH204" i="29"/>
  <c r="R204" i="29" s="1"/>
  <c r="K198" i="3" s="1"/>
  <c r="F198" i="3"/>
  <c r="A219" i="7"/>
  <c r="K204" i="29"/>
  <c r="AB204" i="29"/>
  <c r="L204" i="29" s="1"/>
  <c r="AE204" i="29"/>
  <c r="O204" i="29" s="1"/>
  <c r="N198" i="3" s="1"/>
  <c r="N204" i="29"/>
  <c r="AV195" i="4"/>
  <c r="BN195" i="4" s="1"/>
  <c r="J197" i="3"/>
  <c r="B505" i="7"/>
  <c r="L505" i="7" s="1"/>
  <c r="AR195" i="4"/>
  <c r="BF195" i="4" s="1"/>
  <c r="G197" i="3"/>
  <c r="Y204" i="29"/>
  <c r="I204" i="29" s="1"/>
  <c r="H204" i="29"/>
  <c r="E204" i="29"/>
  <c r="V204" i="29"/>
  <c r="F204" i="29" s="1"/>
  <c r="B198" i="3" s="1"/>
  <c r="Y205" i="29"/>
  <c r="I205" i="29" s="1"/>
  <c r="T206" i="29"/>
  <c r="AC206" i="29"/>
  <c r="Z206" i="29"/>
  <c r="BK195" i="4"/>
  <c r="AF206" i="29"/>
  <c r="W206" i="29"/>
  <c r="AY195" i="4"/>
  <c r="BG195" i="4"/>
  <c r="G206" i="29" l="1"/>
  <c r="A221" i="7" s="1"/>
  <c r="X206" i="29"/>
  <c r="P206" i="29"/>
  <c r="L200" i="3" s="1"/>
  <c r="AG206" i="29"/>
  <c r="Q206" i="29" s="1"/>
  <c r="AV198" i="4" s="1"/>
  <c r="BN198" i="4" s="1"/>
  <c r="J206" i="29"/>
  <c r="AA206" i="29"/>
  <c r="M206" i="29"/>
  <c r="O200" i="3" s="1"/>
  <c r="AD206" i="29"/>
  <c r="AE206" i="29" s="1"/>
  <c r="O206" i="29" s="1"/>
  <c r="N200" i="3" s="1"/>
  <c r="D206" i="29"/>
  <c r="C200" i="3" s="1"/>
  <c r="U206" i="29"/>
  <c r="G198" i="3"/>
  <c r="B506" i="7"/>
  <c r="L506" i="7" s="1"/>
  <c r="AR196" i="4"/>
  <c r="BF196" i="4" s="1"/>
  <c r="J198" i="3"/>
  <c r="AV196" i="4"/>
  <c r="BN196" i="4" s="1"/>
  <c r="AH205" i="29"/>
  <c r="R205" i="29" s="1"/>
  <c r="K199" i="3" s="1"/>
  <c r="Q205" i="29"/>
  <c r="C507" i="7"/>
  <c r="H199" i="3"/>
  <c r="A198" i="3"/>
  <c r="AN196" i="4"/>
  <c r="AX196" i="4" s="1"/>
  <c r="M198" i="3"/>
  <c r="AT196" i="4"/>
  <c r="BJ196" i="4" s="1"/>
  <c r="E205" i="29"/>
  <c r="V205" i="29"/>
  <c r="F205" i="29" s="1"/>
  <c r="B199" i="3" s="1"/>
  <c r="D198" i="3"/>
  <c r="B280" i="7"/>
  <c r="L280" i="7" s="1"/>
  <c r="AP196" i="4"/>
  <c r="BB196" i="4" s="1"/>
  <c r="F199" i="3"/>
  <c r="A220" i="7"/>
  <c r="K205" i="29"/>
  <c r="B507" i="7" s="1"/>
  <c r="L507" i="7" s="1"/>
  <c r="C280" i="7"/>
  <c r="E198" i="3"/>
  <c r="C506" i="7"/>
  <c r="H198" i="3"/>
  <c r="A383" i="7"/>
  <c r="I199" i="3"/>
  <c r="AE205" i="29"/>
  <c r="O205" i="29" s="1"/>
  <c r="N199" i="3" s="1"/>
  <c r="N205" i="29"/>
  <c r="N206" i="29"/>
  <c r="C281" i="7"/>
  <c r="E199" i="3"/>
  <c r="B281" i="7"/>
  <c r="L281" i="7" s="1"/>
  <c r="D199" i="3"/>
  <c r="AP197" i="4"/>
  <c r="BB197" i="4" s="1"/>
  <c r="T207" i="29"/>
  <c r="BC196" i="4"/>
  <c r="BG196" i="4"/>
  <c r="AY196" i="4"/>
  <c r="W207" i="29"/>
  <c r="BC197" i="4"/>
  <c r="AF207" i="29"/>
  <c r="Z207" i="29"/>
  <c r="AC207" i="29"/>
  <c r="BK196" i="4"/>
  <c r="J200" i="3" l="1"/>
  <c r="AH206" i="29"/>
  <c r="R206" i="29" s="1"/>
  <c r="K200" i="3" s="1"/>
  <c r="AR197" i="4"/>
  <c r="BF197" i="4" s="1"/>
  <c r="G199" i="3"/>
  <c r="F200" i="3"/>
  <c r="M207" i="29"/>
  <c r="O201" i="3" s="1"/>
  <c r="AD207" i="29"/>
  <c r="AA207" i="29"/>
  <c r="J207" i="29"/>
  <c r="P207" i="29"/>
  <c r="L201" i="3" s="1"/>
  <c r="AG207" i="29"/>
  <c r="G207" i="29"/>
  <c r="X207" i="29"/>
  <c r="U207" i="29"/>
  <c r="D207" i="29"/>
  <c r="C201" i="3" s="1"/>
  <c r="AT197" i="4"/>
  <c r="BJ197" i="4" s="1"/>
  <c r="M199" i="3"/>
  <c r="V206" i="29"/>
  <c r="F206" i="29" s="1"/>
  <c r="B200" i="3" s="1"/>
  <c r="E206" i="29"/>
  <c r="I200" i="3"/>
  <c r="A442" i="7"/>
  <c r="J199" i="3"/>
  <c r="AV197" i="4"/>
  <c r="BN197" i="4" s="1"/>
  <c r="Y206" i="29"/>
  <c r="I206" i="29" s="1"/>
  <c r="H206" i="29"/>
  <c r="AN197" i="4"/>
  <c r="AX197" i="4" s="1"/>
  <c r="A199" i="3"/>
  <c r="K206" i="29"/>
  <c r="AB206" i="29"/>
  <c r="L206" i="29" s="1"/>
  <c r="M200" i="3"/>
  <c r="AT198" i="4"/>
  <c r="BJ198" i="4" s="1"/>
  <c r="H506" i="17"/>
  <c r="BG197" i="4"/>
  <c r="Z208" i="29"/>
  <c r="AF208" i="29"/>
  <c r="W208" i="29"/>
  <c r="T208" i="29"/>
  <c r="AY197" i="4"/>
  <c r="AC208" i="29"/>
  <c r="BK197" i="4"/>
  <c r="BK198" i="4"/>
  <c r="AD208" i="29" l="1"/>
  <c r="M208" i="29"/>
  <c r="O202" i="3" s="1"/>
  <c r="U208" i="29"/>
  <c r="E208" i="29" s="1"/>
  <c r="D208" i="29"/>
  <c r="C202" i="3" s="1"/>
  <c r="X208" i="29"/>
  <c r="G208" i="29"/>
  <c r="A223" i="7" s="1"/>
  <c r="P208" i="29"/>
  <c r="L202" i="3" s="1"/>
  <c r="AG208" i="29"/>
  <c r="J208" i="29"/>
  <c r="I202" i="3" s="1"/>
  <c r="AA208" i="29"/>
  <c r="B508" i="7"/>
  <c r="L508" i="7" s="1"/>
  <c r="G200" i="3"/>
  <c r="AR198" i="4"/>
  <c r="BF198" i="4" s="1"/>
  <c r="C282" i="7"/>
  <c r="E200" i="3"/>
  <c r="Y207" i="29"/>
  <c r="I207" i="29" s="1"/>
  <c r="H207" i="29"/>
  <c r="Q207" i="29"/>
  <c r="AH207" i="29"/>
  <c r="R207" i="29" s="1"/>
  <c r="K201" i="3" s="1"/>
  <c r="K207" i="29"/>
  <c r="AB207" i="29"/>
  <c r="L207" i="29" s="1"/>
  <c r="A200" i="3"/>
  <c r="AN198" i="4"/>
  <c r="AX198" i="4" s="1"/>
  <c r="A222" i="7"/>
  <c r="F201" i="3"/>
  <c r="A413" i="7"/>
  <c r="I201" i="3"/>
  <c r="AE207" i="29"/>
  <c r="O207" i="29" s="1"/>
  <c r="N201" i="3" s="1"/>
  <c r="N207" i="29"/>
  <c r="C508" i="7"/>
  <c r="H200" i="3"/>
  <c r="B282" i="7"/>
  <c r="L282" i="7" s="1"/>
  <c r="AP198" i="4"/>
  <c r="BB198" i="4" s="1"/>
  <c r="D200" i="3"/>
  <c r="V207" i="29"/>
  <c r="F207" i="29" s="1"/>
  <c r="B201" i="3" s="1"/>
  <c r="E207" i="29"/>
  <c r="A335" i="7"/>
  <c r="H538" i="17"/>
  <c r="H523" i="17"/>
  <c r="H557" i="17"/>
  <c r="H490" i="17"/>
  <c r="H521" i="17"/>
  <c r="H571" i="17"/>
  <c r="H497" i="17"/>
  <c r="H583" i="17"/>
  <c r="H516" i="17"/>
  <c r="H537" i="17"/>
  <c r="H573" i="17"/>
  <c r="H510" i="17"/>
  <c r="H513" i="17"/>
  <c r="H567" i="17"/>
  <c r="H591" i="17"/>
  <c r="H574" i="17"/>
  <c r="H549" i="17"/>
  <c r="H546" i="17"/>
  <c r="H592" i="17"/>
  <c r="AF209" i="29"/>
  <c r="AY198" i="4"/>
  <c r="AC209" i="29"/>
  <c r="T209" i="29"/>
  <c r="W209" i="29"/>
  <c r="Z209" i="29"/>
  <c r="BG198" i="4"/>
  <c r="BC198" i="4"/>
  <c r="V208" i="29" l="1"/>
  <c r="F208" i="29" s="1"/>
  <c r="B202" i="3" s="1"/>
  <c r="AA209" i="29"/>
  <c r="J209" i="29"/>
  <c r="X209" i="29"/>
  <c r="H209" i="29" s="1"/>
  <c r="G209" i="29"/>
  <c r="A224" i="7" s="1"/>
  <c r="D209" i="29"/>
  <c r="C203" i="3" s="1"/>
  <c r="U209" i="29"/>
  <c r="M209" i="29"/>
  <c r="O203" i="3" s="1"/>
  <c r="AD209" i="29"/>
  <c r="AG209" i="29"/>
  <c r="P209" i="29"/>
  <c r="L203" i="3" s="1"/>
  <c r="F202" i="3"/>
  <c r="AT199" i="4"/>
  <c r="BJ199" i="4" s="1"/>
  <c r="M201" i="3"/>
  <c r="C509" i="7"/>
  <c r="H201" i="3"/>
  <c r="D201" i="3"/>
  <c r="B283" i="7"/>
  <c r="L283" i="7" s="1"/>
  <c r="AP199" i="4"/>
  <c r="BB199" i="4" s="1"/>
  <c r="AN199" i="4"/>
  <c r="AX199" i="4" s="1"/>
  <c r="A201" i="3"/>
  <c r="B509" i="7"/>
  <c r="L509" i="7" s="1"/>
  <c r="G201" i="3"/>
  <c r="AR199" i="4"/>
  <c r="BF199" i="4" s="1"/>
  <c r="C283" i="7"/>
  <c r="E201" i="3"/>
  <c r="AV199" i="4"/>
  <c r="BN199" i="4" s="1"/>
  <c r="J201" i="3"/>
  <c r="K208" i="29"/>
  <c r="AB208" i="29"/>
  <c r="L208" i="29" s="1"/>
  <c r="Q208" i="29"/>
  <c r="AH208" i="29"/>
  <c r="R208" i="29" s="1"/>
  <c r="K202" i="3" s="1"/>
  <c r="H208" i="29"/>
  <c r="Y208" i="29"/>
  <c r="I208" i="29" s="1"/>
  <c r="AE208" i="29"/>
  <c r="O208" i="29" s="1"/>
  <c r="N202" i="3" s="1"/>
  <c r="N208" i="29"/>
  <c r="F203" i="3"/>
  <c r="Y209" i="29"/>
  <c r="I209" i="29" s="1"/>
  <c r="AN200" i="4"/>
  <c r="AX200" i="4" s="1"/>
  <c r="A202" i="3"/>
  <c r="H533" i="17"/>
  <c r="H509" i="17"/>
  <c r="H541" i="17"/>
  <c r="H528" i="17"/>
  <c r="H498" i="17"/>
  <c r="H535" i="17"/>
  <c r="H536" i="17"/>
  <c r="H500" i="17"/>
  <c r="H496" i="17"/>
  <c r="H543" i="17"/>
  <c r="H511" i="17"/>
  <c r="H492" i="17"/>
  <c r="H565" i="17"/>
  <c r="H491" i="17"/>
  <c r="H514" i="17"/>
  <c r="H504" i="17"/>
  <c r="H564" i="17"/>
  <c r="H488" i="17"/>
  <c r="H534" i="17"/>
  <c r="H558" i="17"/>
  <c r="H578" i="17"/>
  <c r="H568" i="17"/>
  <c r="H520" i="17"/>
  <c r="H495" i="17"/>
  <c r="H527" i="17"/>
  <c r="H547" i="17"/>
  <c r="H517" i="17"/>
  <c r="AC210" i="29"/>
  <c r="AF210" i="29"/>
  <c r="BC199" i="4"/>
  <c r="Z210" i="29"/>
  <c r="W210" i="29"/>
  <c r="AY199" i="4"/>
  <c r="BG199" i="4"/>
  <c r="AY200" i="4"/>
  <c r="T210" i="29"/>
  <c r="BK199" i="4"/>
  <c r="BL210" i="4" l="1"/>
  <c r="BL218" i="4"/>
  <c r="BL169" i="4"/>
  <c r="BL118" i="4"/>
  <c r="BL170" i="4"/>
  <c r="BL207" i="4"/>
  <c r="BL133" i="4"/>
  <c r="BL131" i="4"/>
  <c r="BL150" i="4"/>
  <c r="BL219" i="4"/>
  <c r="BL197" i="4"/>
  <c r="BL117" i="4"/>
  <c r="BL198" i="4"/>
  <c r="BL217" i="4"/>
  <c r="BL105" i="4"/>
  <c r="BL132" i="4"/>
  <c r="BL203" i="4"/>
  <c r="BL215" i="4"/>
  <c r="BL202" i="4"/>
  <c r="BL176" i="4"/>
  <c r="BL155" i="4"/>
  <c r="BL201" i="4"/>
  <c r="BL182" i="4"/>
  <c r="BL185" i="4"/>
  <c r="BL112" i="4"/>
  <c r="BL113" i="4"/>
  <c r="BL208" i="4"/>
  <c r="BL162" i="4"/>
  <c r="BL188" i="4"/>
  <c r="BL172" i="4"/>
  <c r="BL138" i="4"/>
  <c r="BL114" i="4"/>
  <c r="BL179" i="4"/>
  <c r="BL106" i="4"/>
  <c r="BL136" i="4"/>
  <c r="BL125" i="4"/>
  <c r="BL216" i="4"/>
  <c r="BL153" i="4"/>
  <c r="BL166" i="4"/>
  <c r="BL184" i="4"/>
  <c r="BL158" i="4"/>
  <c r="BL204" i="4"/>
  <c r="BL156" i="4"/>
  <c r="BL141" i="4"/>
  <c r="BL157" i="4"/>
  <c r="BL193" i="4"/>
  <c r="BL211" i="4"/>
  <c r="BL189" i="4"/>
  <c r="BL178" i="4"/>
  <c r="BL195" i="4"/>
  <c r="BL171" i="4"/>
  <c r="BL130" i="4"/>
  <c r="BL147" i="4"/>
  <c r="BL190" i="4"/>
  <c r="BL151" i="4"/>
  <c r="BL180" i="4"/>
  <c r="BL168" i="4"/>
  <c r="BL135" i="4"/>
  <c r="BL160" i="4"/>
  <c r="BL120" i="4"/>
  <c r="BL186" i="4"/>
  <c r="BL152" i="4"/>
  <c r="BL134" i="4"/>
  <c r="BL173" i="4"/>
  <c r="BL119" i="4"/>
  <c r="BL191" i="4"/>
  <c r="BL214" i="4"/>
  <c r="BL205" i="4"/>
  <c r="BL108" i="4"/>
  <c r="BL213" i="4"/>
  <c r="BL177" i="4"/>
  <c r="BL206" i="4"/>
  <c r="BL126" i="4"/>
  <c r="BL149" i="4"/>
  <c r="BL154" i="4"/>
  <c r="BL181" i="4"/>
  <c r="BL111" i="4"/>
  <c r="BL127" i="4"/>
  <c r="BL164" i="4"/>
  <c r="BL137" i="4"/>
  <c r="BL146" i="4"/>
  <c r="BL200" i="4"/>
  <c r="BL115" i="4"/>
  <c r="BL116" i="4"/>
  <c r="BL122" i="4"/>
  <c r="BL110" i="4"/>
  <c r="BL159" i="4"/>
  <c r="BL124" i="4"/>
  <c r="BL139" i="4"/>
  <c r="BL123" i="4"/>
  <c r="BL140" i="4"/>
  <c r="BL194" i="4"/>
  <c r="BL145" i="4"/>
  <c r="BL148" i="4"/>
  <c r="BL107" i="4"/>
  <c r="BL167" i="4"/>
  <c r="BL143" i="4"/>
  <c r="BL161" i="4"/>
  <c r="BL192" i="4"/>
  <c r="BL175" i="4"/>
  <c r="BL129" i="4"/>
  <c r="BL109" i="4"/>
  <c r="BL142" i="4"/>
  <c r="BL212" i="4"/>
  <c r="BL174" i="4"/>
  <c r="BL199" i="4"/>
  <c r="BL128" i="4"/>
  <c r="BL196" i="4"/>
  <c r="BL183" i="4"/>
  <c r="BL187" i="4"/>
  <c r="BL144" i="4"/>
  <c r="BL165" i="4"/>
  <c r="BL163" i="4"/>
  <c r="BL209" i="4"/>
  <c r="BL121" i="4"/>
  <c r="U210" i="29"/>
  <c r="V210" i="29" s="1"/>
  <c r="F210" i="29" s="1"/>
  <c r="B204" i="3" s="1"/>
  <c r="D210" i="29"/>
  <c r="C204" i="3" s="1"/>
  <c r="BH208" i="4"/>
  <c r="BH213" i="4"/>
  <c r="BH198" i="4"/>
  <c r="BH212" i="4"/>
  <c r="BH187" i="4"/>
  <c r="BH182" i="4"/>
  <c r="BH196" i="4"/>
  <c r="BH215" i="4"/>
  <c r="BH190" i="4"/>
  <c r="BH217" i="4"/>
  <c r="BH176" i="4"/>
  <c r="BH186" i="4"/>
  <c r="BH205" i="4"/>
  <c r="BH181" i="4"/>
  <c r="BH183" i="4"/>
  <c r="BH203" i="4"/>
  <c r="BH211" i="4"/>
  <c r="BH199" i="4"/>
  <c r="BH192" i="4"/>
  <c r="BH218" i="4"/>
  <c r="BH197" i="4"/>
  <c r="BH184" i="4"/>
  <c r="BH207" i="4"/>
  <c r="BH195" i="4"/>
  <c r="BH206" i="4"/>
  <c r="BH189" i="4"/>
  <c r="BH219" i="4"/>
  <c r="BH180" i="4"/>
  <c r="BH200" i="4"/>
  <c r="BH185" i="4"/>
  <c r="BH177" i="4"/>
  <c r="BH214" i="4"/>
  <c r="BH188" i="4"/>
  <c r="BH191" i="4"/>
  <c r="BH178" i="4"/>
  <c r="BH194" i="4"/>
  <c r="BH193" i="4"/>
  <c r="BH216" i="4"/>
  <c r="BH202" i="4"/>
  <c r="BH210" i="4"/>
  <c r="BH201" i="4"/>
  <c r="BH204" i="4"/>
  <c r="BH209" i="4"/>
  <c r="BH179" i="4"/>
  <c r="AZ129" i="4"/>
  <c r="AZ149" i="4"/>
  <c r="AZ211" i="4"/>
  <c r="AZ111" i="4"/>
  <c r="AZ101" i="4"/>
  <c r="AZ118" i="4"/>
  <c r="AZ159" i="4"/>
  <c r="AZ106" i="4"/>
  <c r="AZ150" i="4"/>
  <c r="AZ145" i="4"/>
  <c r="AZ86" i="4"/>
  <c r="AZ134" i="4"/>
  <c r="AZ178" i="4"/>
  <c r="AZ169" i="4"/>
  <c r="AZ215" i="4"/>
  <c r="AZ133" i="4"/>
  <c r="AZ176" i="4"/>
  <c r="AZ183" i="4"/>
  <c r="AZ140" i="4"/>
  <c r="AZ203" i="4"/>
  <c r="AZ155" i="4"/>
  <c r="AZ78" i="4"/>
  <c r="AZ146" i="4"/>
  <c r="AZ80" i="4"/>
  <c r="AZ193" i="4"/>
  <c r="AZ188" i="4"/>
  <c r="AZ195" i="4"/>
  <c r="AZ179" i="4"/>
  <c r="AZ161" i="4"/>
  <c r="AZ128" i="4"/>
  <c r="AZ173" i="4"/>
  <c r="AZ153" i="4"/>
  <c r="AZ217" i="4"/>
  <c r="AZ164" i="4"/>
  <c r="AZ210" i="4"/>
  <c r="AZ170" i="4"/>
  <c r="AZ182" i="4"/>
  <c r="AZ88" i="4"/>
  <c r="AZ79" i="4"/>
  <c r="AZ131" i="4"/>
  <c r="AZ116" i="4"/>
  <c r="AZ109" i="4"/>
  <c r="AZ139" i="4"/>
  <c r="AZ99" i="4"/>
  <c r="AZ76" i="4"/>
  <c r="AZ197" i="4"/>
  <c r="AZ206" i="4"/>
  <c r="AZ135" i="4"/>
  <c r="AZ154" i="4"/>
  <c r="AZ158" i="4"/>
  <c r="AZ119" i="4"/>
  <c r="AZ144" i="4"/>
  <c r="AZ81" i="4"/>
  <c r="AZ194" i="4"/>
  <c r="AZ75" i="4"/>
  <c r="AZ120" i="4"/>
  <c r="AZ71" i="4"/>
  <c r="AZ189" i="4"/>
  <c r="AZ100" i="4"/>
  <c r="AZ167" i="4"/>
  <c r="AZ185" i="4"/>
  <c r="AZ160" i="4"/>
  <c r="AZ190" i="4"/>
  <c r="AZ151" i="4"/>
  <c r="AZ130" i="4"/>
  <c r="AZ92" i="4"/>
  <c r="AZ132" i="4"/>
  <c r="AZ142" i="4"/>
  <c r="AZ141" i="4"/>
  <c r="AZ108" i="4"/>
  <c r="AZ72" i="4"/>
  <c r="AZ91" i="4"/>
  <c r="AZ192" i="4"/>
  <c r="AZ187" i="4"/>
  <c r="AZ199" i="4"/>
  <c r="AZ156" i="4"/>
  <c r="AZ107" i="4"/>
  <c r="AZ200" i="4"/>
  <c r="AZ66" i="4"/>
  <c r="AZ123" i="4"/>
  <c r="AZ152" i="4"/>
  <c r="AZ84" i="4"/>
  <c r="AZ162" i="4"/>
  <c r="AZ89" i="4"/>
  <c r="AZ209" i="4"/>
  <c r="AZ207" i="4"/>
  <c r="AZ90" i="4"/>
  <c r="AZ205" i="4"/>
  <c r="AZ68" i="4"/>
  <c r="AZ93" i="4"/>
  <c r="AZ177" i="4"/>
  <c r="AZ74" i="4"/>
  <c r="AZ218" i="4"/>
  <c r="AZ148" i="4"/>
  <c r="AZ77" i="4"/>
  <c r="AZ115" i="4"/>
  <c r="AZ163" i="4"/>
  <c r="AZ105" i="4"/>
  <c r="AZ201" i="4"/>
  <c r="AZ137" i="4"/>
  <c r="AZ114" i="4"/>
  <c r="AZ172" i="4"/>
  <c r="AZ73" i="4"/>
  <c r="AZ196" i="4"/>
  <c r="AZ69" i="4"/>
  <c r="AZ198" i="4"/>
  <c r="AZ204" i="4"/>
  <c r="AZ212" i="4"/>
  <c r="AZ82" i="4"/>
  <c r="AZ95" i="4"/>
  <c r="AZ97" i="4"/>
  <c r="AZ94" i="4"/>
  <c r="AZ214" i="4"/>
  <c r="AZ138" i="4"/>
  <c r="AZ216" i="4"/>
  <c r="AZ124" i="4"/>
  <c r="AZ181" i="4"/>
  <c r="AZ168" i="4"/>
  <c r="AZ113" i="4"/>
  <c r="AZ157" i="4"/>
  <c r="AZ213" i="4"/>
  <c r="AZ110" i="4"/>
  <c r="AZ186" i="4"/>
  <c r="AZ147" i="4"/>
  <c r="AZ202" i="4"/>
  <c r="AZ191" i="4"/>
  <c r="AZ143" i="4"/>
  <c r="AZ127" i="4"/>
  <c r="AZ136" i="4"/>
  <c r="AZ175" i="4"/>
  <c r="AZ121" i="4"/>
  <c r="AZ125" i="4"/>
  <c r="AZ87" i="4"/>
  <c r="AZ208" i="4"/>
  <c r="AZ103" i="4"/>
  <c r="AZ174" i="4"/>
  <c r="AZ67" i="4"/>
  <c r="AZ112" i="4"/>
  <c r="AZ98" i="4"/>
  <c r="AZ70" i="4"/>
  <c r="AZ85" i="4"/>
  <c r="AZ180" i="4"/>
  <c r="AZ219" i="4"/>
  <c r="AZ126" i="4"/>
  <c r="AZ104" i="4"/>
  <c r="AZ171" i="4"/>
  <c r="AZ166" i="4"/>
  <c r="AZ122" i="4"/>
  <c r="AZ83" i="4"/>
  <c r="AZ96" i="4"/>
  <c r="AZ165" i="4"/>
  <c r="AZ102" i="4"/>
  <c r="AZ117" i="4"/>
  <c r="AZ184" i="4"/>
  <c r="X210" i="29"/>
  <c r="G210" i="29"/>
  <c r="J210" i="29"/>
  <c r="AA210" i="29"/>
  <c r="BD212" i="4"/>
  <c r="BD193" i="4"/>
  <c r="BD217" i="4"/>
  <c r="BD202" i="4"/>
  <c r="BD214" i="4"/>
  <c r="BD203" i="4"/>
  <c r="BD211" i="4"/>
  <c r="BD190" i="4"/>
  <c r="BD194" i="4"/>
  <c r="BD216" i="4"/>
  <c r="BD204" i="4"/>
  <c r="BD189" i="4"/>
  <c r="BD192" i="4"/>
  <c r="BD197" i="4"/>
  <c r="BD198" i="4"/>
  <c r="BD187" i="4"/>
  <c r="BD188" i="4"/>
  <c r="BD210" i="4"/>
  <c r="BD205" i="4"/>
  <c r="BD213" i="4"/>
  <c r="BD191" i="4"/>
  <c r="BD200" i="4"/>
  <c r="BD215" i="4"/>
  <c r="BD199" i="4"/>
  <c r="BD196" i="4"/>
  <c r="BD218" i="4"/>
  <c r="BD206" i="4"/>
  <c r="BD207" i="4"/>
  <c r="BD195" i="4"/>
  <c r="BD209" i="4"/>
  <c r="BD201" i="4"/>
  <c r="BD219" i="4"/>
  <c r="BD208" i="4"/>
  <c r="P210" i="29"/>
  <c r="L204" i="3" s="1"/>
  <c r="AG210" i="29"/>
  <c r="M210" i="29"/>
  <c r="O204" i="3" s="1"/>
  <c r="AD210" i="29"/>
  <c r="B284" i="7"/>
  <c r="L284" i="7" s="1"/>
  <c r="D202" i="3"/>
  <c r="AP200" i="4"/>
  <c r="BB200" i="4" s="1"/>
  <c r="AR200" i="4"/>
  <c r="BF200" i="4" s="1"/>
  <c r="B510" i="7"/>
  <c r="L510" i="7" s="1"/>
  <c r="G202" i="3"/>
  <c r="AH209" i="29"/>
  <c r="R209" i="29" s="1"/>
  <c r="K203" i="3" s="1"/>
  <c r="Q209" i="29"/>
  <c r="AE209" i="29"/>
  <c r="O209" i="29" s="1"/>
  <c r="N203" i="3" s="1"/>
  <c r="N209" i="29"/>
  <c r="I203" i="3"/>
  <c r="A437" i="7"/>
  <c r="M202" i="3"/>
  <c r="AT200" i="4"/>
  <c r="BJ200" i="4" s="1"/>
  <c r="J202" i="3"/>
  <c r="AV200" i="4"/>
  <c r="BN200" i="4" s="1"/>
  <c r="E209" i="29"/>
  <c r="V209" i="29"/>
  <c r="F209" i="29" s="1"/>
  <c r="B203" i="3" s="1"/>
  <c r="K209" i="29"/>
  <c r="AB209" i="29"/>
  <c r="L209" i="29" s="1"/>
  <c r="E202" i="3"/>
  <c r="C284" i="7"/>
  <c r="C510" i="7"/>
  <c r="H202" i="3"/>
  <c r="E203" i="3"/>
  <c r="C285" i="7"/>
  <c r="D203" i="3"/>
  <c r="AP201" i="4"/>
  <c r="BB201" i="4" s="1"/>
  <c r="B285" i="7"/>
  <c r="L285" i="7" s="1"/>
  <c r="H579" i="17"/>
  <c r="H503" i="17"/>
  <c r="H515" i="17"/>
  <c r="H508" i="17"/>
  <c r="H519" i="17"/>
  <c r="H526" i="17"/>
  <c r="H582" i="17"/>
  <c r="H555" i="17"/>
  <c r="H532" i="17"/>
  <c r="H529" i="17"/>
  <c r="H586" i="17"/>
  <c r="H552" i="17"/>
  <c r="H486" i="17"/>
  <c r="H576" i="17"/>
  <c r="H554" i="17"/>
  <c r="H553" i="17"/>
  <c r="H505" i="17"/>
  <c r="H566" i="17"/>
  <c r="H512" i="17"/>
  <c r="H560" i="17"/>
  <c r="H489" i="17"/>
  <c r="H507" i="17"/>
  <c r="T211" i="29"/>
  <c r="Z211" i="29"/>
  <c r="AF211" i="29"/>
  <c r="BG200" i="4"/>
  <c r="W211" i="29"/>
  <c r="BK200" i="4"/>
  <c r="BC201" i="4"/>
  <c r="AC211" i="29"/>
  <c r="BC200" i="4"/>
  <c r="E210" i="29" l="1"/>
  <c r="AN202" i="4" s="1"/>
  <c r="AX202" i="4" s="1"/>
  <c r="M211" i="29"/>
  <c r="O205" i="3" s="1"/>
  <c r="AD211" i="29"/>
  <c r="X211" i="29"/>
  <c r="Y211" i="29" s="1"/>
  <c r="I211" i="29" s="1"/>
  <c r="G211" i="29"/>
  <c r="A226" i="7" s="1"/>
  <c r="P211" i="29"/>
  <c r="L205" i="3" s="1"/>
  <c r="AG211" i="29"/>
  <c r="AA211" i="29"/>
  <c r="K211" i="29" s="1"/>
  <c r="J211" i="29"/>
  <c r="I205" i="3" s="1"/>
  <c r="D211" i="29"/>
  <c r="C205" i="3" s="1"/>
  <c r="U211" i="29"/>
  <c r="AR201" i="4"/>
  <c r="BF201" i="4" s="1"/>
  <c r="G203" i="3"/>
  <c r="B511" i="7"/>
  <c r="L511" i="7" s="1"/>
  <c r="I204" i="3"/>
  <c r="A477" i="7"/>
  <c r="M203" i="3"/>
  <c r="AT201" i="4"/>
  <c r="BJ201" i="4" s="1"/>
  <c r="A203" i="3"/>
  <c r="AN201" i="4"/>
  <c r="AX201" i="4" s="1"/>
  <c r="Q210" i="29"/>
  <c r="AH210" i="29"/>
  <c r="R210" i="29" s="1"/>
  <c r="K204" i="3" s="1"/>
  <c r="K210" i="29"/>
  <c r="AB210" i="29"/>
  <c r="L210" i="29" s="1"/>
  <c r="A225" i="7"/>
  <c r="F204" i="3"/>
  <c r="C511" i="7"/>
  <c r="H203" i="3"/>
  <c r="J203" i="3"/>
  <c r="AV201" i="4"/>
  <c r="BN201" i="4" s="1"/>
  <c r="N210" i="29"/>
  <c r="AE210" i="29"/>
  <c r="O210" i="29" s="1"/>
  <c r="N204" i="3" s="1"/>
  <c r="Y210" i="29"/>
  <c r="I210" i="29" s="1"/>
  <c r="H210" i="29"/>
  <c r="A204" i="3"/>
  <c r="W212" i="29"/>
  <c r="T212" i="29"/>
  <c r="BK201" i="4"/>
  <c r="AC212" i="29"/>
  <c r="AF212" i="29"/>
  <c r="Z212" i="29"/>
  <c r="BG201" i="4"/>
  <c r="AY201" i="4"/>
  <c r="AY202" i="4"/>
  <c r="H211" i="29" l="1"/>
  <c r="D205" i="3" s="1"/>
  <c r="A397" i="7"/>
  <c r="AB211" i="29"/>
  <c r="L211" i="29" s="1"/>
  <c r="F205" i="3"/>
  <c r="AA212" i="29"/>
  <c r="AB212" i="29" s="1"/>
  <c r="L212" i="29" s="1"/>
  <c r="H206" i="3" s="1"/>
  <c r="J212" i="29"/>
  <c r="P212" i="29"/>
  <c r="L206" i="3" s="1"/>
  <c r="AG212" i="29"/>
  <c r="M212" i="29"/>
  <c r="O206" i="3" s="1"/>
  <c r="AD212" i="29"/>
  <c r="N212" i="29" s="1"/>
  <c r="D212" i="29"/>
  <c r="C206" i="3" s="1"/>
  <c r="U212" i="29"/>
  <c r="G212" i="29"/>
  <c r="X212" i="29"/>
  <c r="C512" i="7"/>
  <c r="H204" i="3"/>
  <c r="M204" i="3"/>
  <c r="AT202" i="4"/>
  <c r="BJ202" i="4" s="1"/>
  <c r="B512" i="7"/>
  <c r="L512" i="7" s="1"/>
  <c r="AR202" i="4"/>
  <c r="BF202" i="4" s="1"/>
  <c r="G204" i="3"/>
  <c r="E211" i="29"/>
  <c r="V211" i="29"/>
  <c r="F211" i="29" s="1"/>
  <c r="B205" i="3" s="1"/>
  <c r="G205" i="3"/>
  <c r="AR203" i="4"/>
  <c r="BF203" i="4" s="1"/>
  <c r="B513" i="7"/>
  <c r="L513" i="7" s="1"/>
  <c r="AE211" i="29"/>
  <c r="O211" i="29" s="1"/>
  <c r="N205" i="3" s="1"/>
  <c r="N211" i="29"/>
  <c r="AP202" i="4"/>
  <c r="BB202" i="4" s="1"/>
  <c r="D204" i="3"/>
  <c r="B286" i="7"/>
  <c r="L286" i="7" s="1"/>
  <c r="C286" i="7"/>
  <c r="E204" i="3"/>
  <c r="J204" i="3"/>
  <c r="AV202" i="4"/>
  <c r="BN202" i="4" s="1"/>
  <c r="AH211" i="29"/>
  <c r="R211" i="29" s="1"/>
  <c r="K205" i="3" s="1"/>
  <c r="Q211" i="29"/>
  <c r="C514" i="7"/>
  <c r="AE212" i="29"/>
  <c r="O212" i="29" s="1"/>
  <c r="N206" i="3" s="1"/>
  <c r="C287" i="7"/>
  <c r="E205" i="3"/>
  <c r="AF213" i="29"/>
  <c r="BG203" i="4"/>
  <c r="BG202" i="4"/>
  <c r="BC202" i="4"/>
  <c r="Z213" i="29"/>
  <c r="AC213" i="29"/>
  <c r="T213" i="29"/>
  <c r="W213" i="29"/>
  <c r="BK202" i="4"/>
  <c r="B287" i="7" l="1"/>
  <c r="L287" i="7" s="1"/>
  <c r="AP203" i="4"/>
  <c r="BB203" i="4" s="1"/>
  <c r="C513" i="7"/>
  <c r="H205" i="3"/>
  <c r="K212" i="29"/>
  <c r="G206" i="3" s="1"/>
  <c r="G213" i="29"/>
  <c r="X213" i="29"/>
  <c r="D213" i="29"/>
  <c r="C207" i="3" s="1"/>
  <c r="U213" i="29"/>
  <c r="M213" i="29"/>
  <c r="O207" i="3" s="1"/>
  <c r="AD213" i="29"/>
  <c r="AA213" i="29"/>
  <c r="AB213" i="29" s="1"/>
  <c r="L213" i="29" s="1"/>
  <c r="J213" i="29"/>
  <c r="P213" i="29"/>
  <c r="L207" i="3" s="1"/>
  <c r="AG213" i="29"/>
  <c r="V212" i="29"/>
  <c r="F212" i="29" s="1"/>
  <c r="B206" i="3" s="1"/>
  <c r="E212" i="29"/>
  <c r="A205" i="3"/>
  <c r="AN203" i="4"/>
  <c r="AX203" i="4" s="1"/>
  <c r="AV203" i="4"/>
  <c r="BN203" i="4" s="1"/>
  <c r="J205" i="3"/>
  <c r="H212" i="29"/>
  <c r="Y212" i="29"/>
  <c r="I212" i="29" s="1"/>
  <c r="Q212" i="29"/>
  <c r="AH212" i="29"/>
  <c r="R212" i="29" s="1"/>
  <c r="K206" i="3" s="1"/>
  <c r="I206" i="3"/>
  <c r="A389" i="7"/>
  <c r="AT203" i="4"/>
  <c r="BJ203" i="4" s="1"/>
  <c r="M205" i="3"/>
  <c r="F206" i="3"/>
  <c r="A227" i="7"/>
  <c r="AT204" i="4"/>
  <c r="BJ204" i="4" s="1"/>
  <c r="M206" i="3"/>
  <c r="BC203" i="4"/>
  <c r="W214" i="29"/>
  <c r="T214" i="29"/>
  <c r="AC214" i="29"/>
  <c r="AF214" i="29"/>
  <c r="Z214" i="29"/>
  <c r="AY203" i="4"/>
  <c r="BK203" i="4"/>
  <c r="BK204" i="4"/>
  <c r="K213" i="29" l="1"/>
  <c r="AR205" i="4" s="1"/>
  <c r="BF205" i="4" s="1"/>
  <c r="AR204" i="4"/>
  <c r="BF204" i="4" s="1"/>
  <c r="B514" i="7"/>
  <c r="L514" i="7" s="1"/>
  <c r="AA214" i="29"/>
  <c r="J214" i="29"/>
  <c r="AG214" i="29"/>
  <c r="P214" i="29"/>
  <c r="L208" i="3" s="1"/>
  <c r="M214" i="29"/>
  <c r="O208" i="3" s="1"/>
  <c r="AD214" i="29"/>
  <c r="D214" i="29"/>
  <c r="C208" i="3" s="1"/>
  <c r="U214" i="29"/>
  <c r="X214" i="29"/>
  <c r="G214" i="29"/>
  <c r="J206" i="3"/>
  <c r="AV204" i="4"/>
  <c r="BN204" i="4" s="1"/>
  <c r="I207" i="3"/>
  <c r="A387" i="7"/>
  <c r="AE213" i="29"/>
  <c r="O213" i="29" s="1"/>
  <c r="N207" i="3" s="1"/>
  <c r="N213" i="29"/>
  <c r="C288" i="7"/>
  <c r="E206" i="3"/>
  <c r="AH213" i="29"/>
  <c r="R213" i="29" s="1"/>
  <c r="K207" i="3" s="1"/>
  <c r="Q213" i="29"/>
  <c r="H213" i="29"/>
  <c r="Y213" i="29"/>
  <c r="I213" i="29" s="1"/>
  <c r="B288" i="7"/>
  <c r="L288" i="7" s="1"/>
  <c r="AP204" i="4"/>
  <c r="BB204" i="4" s="1"/>
  <c r="D206" i="3"/>
  <c r="H207" i="3"/>
  <c r="C515" i="7"/>
  <c r="V213" i="29"/>
  <c r="F213" i="29" s="1"/>
  <c r="B207" i="3" s="1"/>
  <c r="E213" i="29"/>
  <c r="F207" i="3"/>
  <c r="A228" i="7"/>
  <c r="A206" i="3"/>
  <c r="AN204" i="4"/>
  <c r="AX204" i="4" s="1"/>
  <c r="BG205" i="4"/>
  <c r="BG204" i="4"/>
  <c r="AF215" i="29"/>
  <c r="BC204" i="4"/>
  <c r="Z215" i="29"/>
  <c r="T215" i="29"/>
  <c r="W215" i="29"/>
  <c r="AY204" i="4"/>
  <c r="AC215" i="29"/>
  <c r="B515" i="7" l="1"/>
  <c r="L515" i="7" s="1"/>
  <c r="G207" i="3"/>
  <c r="M215" i="29"/>
  <c r="O209" i="3" s="1"/>
  <c r="AD215" i="29"/>
  <c r="G215" i="29"/>
  <c r="F209" i="3" s="1"/>
  <c r="X215" i="29"/>
  <c r="U215" i="29"/>
  <c r="V215" i="29" s="1"/>
  <c r="F215" i="29" s="1"/>
  <c r="B209" i="3" s="1"/>
  <c r="D215" i="29"/>
  <c r="C209" i="3" s="1"/>
  <c r="AA215" i="29"/>
  <c r="K215" i="29" s="1"/>
  <c r="G209" i="3" s="1"/>
  <c r="J215" i="29"/>
  <c r="AG215" i="29"/>
  <c r="P215" i="29"/>
  <c r="L209" i="3" s="1"/>
  <c r="E214" i="29"/>
  <c r="V214" i="29"/>
  <c r="F214" i="29" s="1"/>
  <c r="B208" i="3" s="1"/>
  <c r="Q214" i="29"/>
  <c r="AH214" i="29"/>
  <c r="R214" i="29" s="1"/>
  <c r="K208" i="3" s="1"/>
  <c r="C289" i="7"/>
  <c r="E207" i="3"/>
  <c r="F208" i="3"/>
  <c r="A229" i="7"/>
  <c r="I208" i="3"/>
  <c r="A330" i="7"/>
  <c r="A207" i="3"/>
  <c r="AN205" i="4"/>
  <c r="AX205" i="4" s="1"/>
  <c r="D207" i="3"/>
  <c r="B289" i="7"/>
  <c r="L289" i="7" s="1"/>
  <c r="AP205" i="4"/>
  <c r="BB205" i="4" s="1"/>
  <c r="J207" i="3"/>
  <c r="AV205" i="4"/>
  <c r="BN205" i="4" s="1"/>
  <c r="AT205" i="4"/>
  <c r="BJ205" i="4" s="1"/>
  <c r="M207" i="3"/>
  <c r="Y214" i="29"/>
  <c r="I214" i="29" s="1"/>
  <c r="H214" i="29"/>
  <c r="AE214" i="29"/>
  <c r="O214" i="29" s="1"/>
  <c r="N208" i="3" s="1"/>
  <c r="N214" i="29"/>
  <c r="K214" i="29"/>
  <c r="AB214" i="29"/>
  <c r="L214" i="29" s="1"/>
  <c r="AF216" i="29"/>
  <c r="BK205" i="4"/>
  <c r="BC205" i="4"/>
  <c r="AC216" i="29"/>
  <c r="T216" i="29"/>
  <c r="AY205" i="4"/>
  <c r="W216" i="29"/>
  <c r="Z216" i="29"/>
  <c r="E215" i="29" l="1"/>
  <c r="A209" i="3" s="1"/>
  <c r="B517" i="7"/>
  <c r="L517" i="7" s="1"/>
  <c r="AR207" i="4"/>
  <c r="BF207" i="4" s="1"/>
  <c r="A230" i="7"/>
  <c r="AB215" i="29"/>
  <c r="L215" i="29" s="1"/>
  <c r="C517" i="7" s="1"/>
  <c r="J216" i="29"/>
  <c r="A479" i="7" s="1"/>
  <c r="AA216" i="29"/>
  <c r="X216" i="29"/>
  <c r="G216" i="29"/>
  <c r="A231" i="7" s="1"/>
  <c r="D216" i="29"/>
  <c r="U216" i="29"/>
  <c r="AD216" i="29"/>
  <c r="M216" i="29"/>
  <c r="AG216" i="29"/>
  <c r="P216" i="29"/>
  <c r="H208" i="3"/>
  <c r="C516" i="7"/>
  <c r="AP206" i="4"/>
  <c r="BB206" i="4" s="1"/>
  <c r="B290" i="7"/>
  <c r="L290" i="7" s="1"/>
  <c r="D208" i="3"/>
  <c r="A208" i="3"/>
  <c r="AN206" i="4"/>
  <c r="AX206" i="4" s="1"/>
  <c r="G208" i="3"/>
  <c r="AR206" i="4"/>
  <c r="BF206" i="4" s="1"/>
  <c r="B516" i="7"/>
  <c r="L516" i="7" s="1"/>
  <c r="C290" i="7"/>
  <c r="E208" i="3"/>
  <c r="I209" i="3"/>
  <c r="A454" i="7"/>
  <c r="M208" i="3"/>
  <c r="AT206" i="4"/>
  <c r="BJ206" i="4" s="1"/>
  <c r="J208" i="3"/>
  <c r="AV206" i="4"/>
  <c r="BN206" i="4" s="1"/>
  <c r="Q215" i="29"/>
  <c r="AH215" i="29"/>
  <c r="R215" i="29" s="1"/>
  <c r="K209" i="3" s="1"/>
  <c r="Y215" i="29"/>
  <c r="I215" i="29" s="1"/>
  <c r="H215" i="29"/>
  <c r="N215" i="29"/>
  <c r="AE215" i="29"/>
  <c r="O215" i="29" s="1"/>
  <c r="N209" i="3" s="1"/>
  <c r="Z217" i="29"/>
  <c r="AF217" i="29"/>
  <c r="BC206" i="4"/>
  <c r="AY206" i="4"/>
  <c r="AC217" i="29"/>
  <c r="BK206" i="4"/>
  <c r="W217" i="29"/>
  <c r="T217" i="29"/>
  <c r="BG207" i="4"/>
  <c r="BG206" i="4"/>
  <c r="AN207" i="4" l="1"/>
  <c r="AX207" i="4" s="1"/>
  <c r="H209" i="3"/>
  <c r="D217" i="29"/>
  <c r="U217" i="29"/>
  <c r="G217" i="29"/>
  <c r="A232" i="7" s="1"/>
  <c r="X217" i="29"/>
  <c r="Y217" i="29" s="1"/>
  <c r="I217" i="29" s="1"/>
  <c r="C293" i="7" s="1"/>
  <c r="AD217" i="29"/>
  <c r="M217" i="29"/>
  <c r="P217" i="29"/>
  <c r="AG217" i="29"/>
  <c r="J217" i="29"/>
  <c r="A382" i="7" s="1"/>
  <c r="AA217" i="29"/>
  <c r="E209" i="3"/>
  <c r="C291" i="7"/>
  <c r="AB216" i="29"/>
  <c r="L216" i="29" s="1"/>
  <c r="C518" i="7" s="1"/>
  <c r="K216" i="29"/>
  <c r="AT207" i="4"/>
  <c r="BJ207" i="4" s="1"/>
  <c r="M209" i="3"/>
  <c r="AV207" i="4"/>
  <c r="BN207" i="4" s="1"/>
  <c r="J209" i="3"/>
  <c r="N216" i="29"/>
  <c r="AT208" i="4" s="1"/>
  <c r="BJ208" i="4" s="1"/>
  <c r="AE216" i="29"/>
  <c r="O216" i="29" s="1"/>
  <c r="B291" i="7"/>
  <c r="L291" i="7" s="1"/>
  <c r="D209" i="3"/>
  <c r="AP207" i="4"/>
  <c r="BB207" i="4" s="1"/>
  <c r="Q216" i="29"/>
  <c r="AV208" i="4" s="1"/>
  <c r="BN208" i="4" s="1"/>
  <c r="AH216" i="29"/>
  <c r="R216" i="29" s="1"/>
  <c r="E216" i="29"/>
  <c r="AN208" i="4" s="1"/>
  <c r="AX208" i="4" s="1"/>
  <c r="V216" i="29"/>
  <c r="F216" i="29" s="1"/>
  <c r="H216" i="29"/>
  <c r="Y216" i="29"/>
  <c r="I216" i="29" s="1"/>
  <c r="C292" i="7" s="1"/>
  <c r="H548" i="17"/>
  <c r="AY207" i="4"/>
  <c r="W218" i="29"/>
  <c r="AC218" i="29"/>
  <c r="Z218" i="29"/>
  <c r="T218" i="29"/>
  <c r="AY208" i="4"/>
  <c r="BC207" i="4"/>
  <c r="AF218" i="29"/>
  <c r="BK207" i="4"/>
  <c r="BK208" i="4"/>
  <c r="H217" i="29" l="1"/>
  <c r="AP209" i="4" s="1"/>
  <c r="BB209" i="4" s="1"/>
  <c r="P218" i="29"/>
  <c r="AG218" i="29"/>
  <c r="D218" i="29"/>
  <c r="U218" i="29"/>
  <c r="J218" i="29"/>
  <c r="A350" i="7" s="1"/>
  <c r="AA218" i="29"/>
  <c r="AB218" i="29" s="1"/>
  <c r="L218" i="29" s="1"/>
  <c r="C520" i="7" s="1"/>
  <c r="AD218" i="29"/>
  <c r="N218" i="29" s="1"/>
  <c r="AT210" i="4" s="1"/>
  <c r="BJ210" i="4" s="1"/>
  <c r="M218" i="29"/>
  <c r="G218" i="29"/>
  <c r="A233" i="7" s="1"/>
  <c r="X218" i="29"/>
  <c r="H218" i="29" s="1"/>
  <c r="B518" i="7"/>
  <c r="L518" i="7" s="1"/>
  <c r="AR208" i="4"/>
  <c r="BF208" i="4" s="1"/>
  <c r="AB217" i="29"/>
  <c r="L217" i="29" s="1"/>
  <c r="C519" i="7" s="1"/>
  <c r="K217" i="29"/>
  <c r="Q217" i="29"/>
  <c r="AV209" i="4" s="1"/>
  <c r="BN209" i="4" s="1"/>
  <c r="AH217" i="29"/>
  <c r="R217" i="29" s="1"/>
  <c r="N217" i="29"/>
  <c r="AT209" i="4" s="1"/>
  <c r="BJ209" i="4" s="1"/>
  <c r="AE217" i="29"/>
  <c r="O217" i="29" s="1"/>
  <c r="V217" i="29"/>
  <c r="F217" i="29" s="1"/>
  <c r="E217" i="29"/>
  <c r="AN209" i="4" s="1"/>
  <c r="AX209" i="4" s="1"/>
  <c r="AP208" i="4"/>
  <c r="BB208" i="4" s="1"/>
  <c r="B292" i="7"/>
  <c r="L292" i="7" s="1"/>
  <c r="AF219" i="29"/>
  <c r="BG208" i="4"/>
  <c r="AY209" i="4"/>
  <c r="T219" i="29"/>
  <c r="W219" i="29"/>
  <c r="BK209" i="4"/>
  <c r="BK210" i="4"/>
  <c r="BC209" i="4"/>
  <c r="BC208" i="4"/>
  <c r="Z219" i="29"/>
  <c r="AC219" i="29"/>
  <c r="Y218" i="29" l="1"/>
  <c r="I218" i="29" s="1"/>
  <c r="C294" i="7" s="1"/>
  <c r="B293" i="7"/>
  <c r="L293" i="7" s="1"/>
  <c r="K218" i="29"/>
  <c r="AR210" i="4" s="1"/>
  <c r="BF210" i="4" s="1"/>
  <c r="AE218" i="29"/>
  <c r="O218" i="29" s="1"/>
  <c r="M219" i="29"/>
  <c r="AD219" i="29"/>
  <c r="AA219" i="29"/>
  <c r="J219" i="29"/>
  <c r="A365" i="7" s="1"/>
  <c r="X219" i="29"/>
  <c r="G219" i="29"/>
  <c r="A234" i="7" s="1"/>
  <c r="D219" i="29"/>
  <c r="U219" i="29"/>
  <c r="AG219" i="29"/>
  <c r="P219" i="29"/>
  <c r="B519" i="7"/>
  <c r="L519" i="7" s="1"/>
  <c r="AR209" i="4"/>
  <c r="BF209" i="4" s="1"/>
  <c r="Q218" i="29"/>
  <c r="AV210" i="4" s="1"/>
  <c r="BN210" i="4" s="1"/>
  <c r="AH218" i="29"/>
  <c r="R218" i="29" s="1"/>
  <c r="E218" i="29"/>
  <c r="AN210" i="4" s="1"/>
  <c r="AX210" i="4" s="1"/>
  <c r="V218" i="29"/>
  <c r="F218" i="29" s="1"/>
  <c r="AP210" i="4"/>
  <c r="BB210" i="4" s="1"/>
  <c r="B294" i="7"/>
  <c r="L294" i="7" s="1"/>
  <c r="BG210" i="4"/>
  <c r="BG209" i="4"/>
  <c r="AF220" i="29"/>
  <c r="AC220" i="29"/>
  <c r="W220" i="29"/>
  <c r="AY210" i="4"/>
  <c r="BC210" i="4"/>
  <c r="Z220" i="29"/>
  <c r="T220" i="29"/>
  <c r="B520" i="7" l="1"/>
  <c r="L520" i="7" s="1"/>
  <c r="U220" i="29"/>
  <c r="V220" i="29" s="1"/>
  <c r="F220" i="29" s="1"/>
  <c r="D220" i="29"/>
  <c r="J220" i="29"/>
  <c r="A434" i="7" s="1"/>
  <c r="AA220" i="29"/>
  <c r="G220" i="29"/>
  <c r="A235" i="7" s="1"/>
  <c r="X220" i="29"/>
  <c r="AD220" i="29"/>
  <c r="N220" i="29" s="1"/>
  <c r="AT212" i="4" s="1"/>
  <c r="BJ212" i="4" s="1"/>
  <c r="M220" i="29"/>
  <c r="P220" i="29"/>
  <c r="AG220" i="29"/>
  <c r="H219" i="29"/>
  <c r="Y219" i="29"/>
  <c r="I219" i="29" s="1"/>
  <c r="C295" i="7" s="1"/>
  <c r="V219" i="29"/>
  <c r="F219" i="29" s="1"/>
  <c r="E219" i="29"/>
  <c r="AN211" i="4" s="1"/>
  <c r="AX211" i="4" s="1"/>
  <c r="AE219" i="29"/>
  <c r="O219" i="29" s="1"/>
  <c r="N219" i="29"/>
  <c r="AT211" i="4" s="1"/>
  <c r="BJ211" i="4" s="1"/>
  <c r="Q219" i="29"/>
  <c r="AV211" i="4" s="1"/>
  <c r="BN211" i="4" s="1"/>
  <c r="AH219" i="29"/>
  <c r="R219" i="29" s="1"/>
  <c r="K219" i="29"/>
  <c r="AB219" i="29"/>
  <c r="L219" i="29" s="1"/>
  <c r="C521" i="7" s="1"/>
  <c r="AE220" i="29"/>
  <c r="O220" i="29" s="1"/>
  <c r="W221" i="29"/>
  <c r="AF221" i="29"/>
  <c r="BK212" i="4"/>
  <c r="BK211" i="4"/>
  <c r="T221" i="29"/>
  <c r="AY211" i="4"/>
  <c r="Z221" i="29"/>
  <c r="AC221" i="29"/>
  <c r="E220" i="29" l="1"/>
  <c r="AN212" i="4" s="1"/>
  <c r="AX212" i="4" s="1"/>
  <c r="AD221" i="29"/>
  <c r="AE221" i="29" s="1"/>
  <c r="O221" i="29" s="1"/>
  <c r="M221" i="29"/>
  <c r="J221" i="29"/>
  <c r="A471" i="7" s="1"/>
  <c r="AA221" i="29"/>
  <c r="U221" i="29"/>
  <c r="D221" i="29"/>
  <c r="P221" i="29"/>
  <c r="AG221" i="29"/>
  <c r="AH221" i="29" s="1"/>
  <c r="R221" i="29" s="1"/>
  <c r="G221" i="29"/>
  <c r="A236" i="7" s="1"/>
  <c r="X221" i="29"/>
  <c r="Y221" i="29" s="1"/>
  <c r="I221" i="29" s="1"/>
  <c r="C297" i="7" s="1"/>
  <c r="B521" i="7"/>
  <c r="L521" i="7" s="1"/>
  <c r="AR211" i="4"/>
  <c r="BF211" i="4" s="1"/>
  <c r="AP211" i="4"/>
  <c r="BB211" i="4" s="1"/>
  <c r="B295" i="7"/>
  <c r="L295" i="7" s="1"/>
  <c r="Y220" i="29"/>
  <c r="I220" i="29" s="1"/>
  <c r="C296" i="7" s="1"/>
  <c r="H220" i="29"/>
  <c r="Q220" i="29"/>
  <c r="AV212" i="4" s="1"/>
  <c r="BN212" i="4" s="1"/>
  <c r="AH220" i="29"/>
  <c r="R220" i="29" s="1"/>
  <c r="K220" i="29"/>
  <c r="AB220" i="29"/>
  <c r="L220" i="29" s="1"/>
  <c r="C522" i="7" s="1"/>
  <c r="N221" i="29"/>
  <c r="AT213" i="4" s="1"/>
  <c r="BJ213" i="4" s="1"/>
  <c r="H221" i="29"/>
  <c r="AP213" i="4" s="1"/>
  <c r="BB213" i="4" s="1"/>
  <c r="AY212" i="4"/>
  <c r="Z222" i="29"/>
  <c r="T222" i="29"/>
  <c r="BG211" i="4"/>
  <c r="BC211" i="4"/>
  <c r="AC222" i="29"/>
  <c r="W222" i="29"/>
  <c r="AF222" i="29"/>
  <c r="BK213" i="4"/>
  <c r="Q221" i="29" l="1"/>
  <c r="AV213" i="4" s="1"/>
  <c r="BN213" i="4" s="1"/>
  <c r="B297" i="7"/>
  <c r="L297" i="7" s="1"/>
  <c r="P222" i="29"/>
  <c r="AG222" i="29"/>
  <c r="G222" i="29"/>
  <c r="A237" i="7" s="1"/>
  <c r="X222" i="29"/>
  <c r="M222" i="29"/>
  <c r="AD222" i="29"/>
  <c r="U222" i="29"/>
  <c r="D222" i="29"/>
  <c r="AA222" i="29"/>
  <c r="K222" i="29" s="1"/>
  <c r="J222" i="29"/>
  <c r="A443" i="7" s="1"/>
  <c r="B522" i="7"/>
  <c r="L522" i="7" s="1"/>
  <c r="AR212" i="4"/>
  <c r="BF212" i="4" s="1"/>
  <c r="E221" i="29"/>
  <c r="AN213" i="4" s="1"/>
  <c r="AX213" i="4" s="1"/>
  <c r="V221" i="29"/>
  <c r="F221" i="29" s="1"/>
  <c r="K221" i="29"/>
  <c r="AB221" i="29"/>
  <c r="L221" i="29" s="1"/>
  <c r="C523" i="7" s="1"/>
  <c r="B296" i="7"/>
  <c r="L296" i="7" s="1"/>
  <c r="AP212" i="4"/>
  <c r="BB212" i="4" s="1"/>
  <c r="AB222" i="29"/>
  <c r="L222" i="29" s="1"/>
  <c r="C524" i="7" s="1"/>
  <c r="AF223" i="29"/>
  <c r="W223" i="29"/>
  <c r="BG212" i="4"/>
  <c r="Z223" i="29"/>
  <c r="AY213" i="4"/>
  <c r="AC223" i="29"/>
  <c r="T223" i="29"/>
  <c r="BC213" i="4"/>
  <c r="BC212" i="4"/>
  <c r="D223" i="29" l="1"/>
  <c r="U223" i="29"/>
  <c r="M223" i="29"/>
  <c r="AD223" i="29"/>
  <c r="J223" i="29"/>
  <c r="A349" i="7" s="1"/>
  <c r="AA223" i="29"/>
  <c r="X223" i="29"/>
  <c r="G223" i="29"/>
  <c r="A238" i="7" s="1"/>
  <c r="AG223" i="29"/>
  <c r="AH223" i="29" s="1"/>
  <c r="R223" i="29" s="1"/>
  <c r="P223" i="29"/>
  <c r="AR213" i="4"/>
  <c r="BF213" i="4" s="1"/>
  <c r="B523" i="7"/>
  <c r="L523" i="7" s="1"/>
  <c r="Q222" i="29"/>
  <c r="AV214" i="4" s="1"/>
  <c r="BN214" i="4" s="1"/>
  <c r="AH222" i="29"/>
  <c r="R222" i="29" s="1"/>
  <c r="V222" i="29"/>
  <c r="F222" i="29" s="1"/>
  <c r="E222" i="29"/>
  <c r="AN214" i="4" s="1"/>
  <c r="AX214" i="4" s="1"/>
  <c r="Y222" i="29"/>
  <c r="I222" i="29" s="1"/>
  <c r="C298" i="7" s="1"/>
  <c r="H222" i="29"/>
  <c r="N222" i="29"/>
  <c r="AT214" i="4" s="1"/>
  <c r="BJ214" i="4" s="1"/>
  <c r="AE222" i="29"/>
  <c r="O222" i="29" s="1"/>
  <c r="Q223" i="29"/>
  <c r="AV215" i="4" s="1"/>
  <c r="BN215" i="4" s="1"/>
  <c r="B524" i="7"/>
  <c r="L524" i="7" s="1"/>
  <c r="AR214" i="4"/>
  <c r="BF214" i="4" s="1"/>
  <c r="AY214" i="4"/>
  <c r="T224" i="29"/>
  <c r="AF224" i="29"/>
  <c r="BG214" i="4"/>
  <c r="AC224" i="29"/>
  <c r="Z224" i="29"/>
  <c r="W224" i="29"/>
  <c r="BG213" i="4"/>
  <c r="BK214" i="4"/>
  <c r="G224" i="29" l="1"/>
  <c r="A239" i="7" s="1"/>
  <c r="X224" i="29"/>
  <c r="AA224" i="29"/>
  <c r="J224" i="29"/>
  <c r="A378" i="7" s="1"/>
  <c r="M224" i="29"/>
  <c r="AD224" i="29"/>
  <c r="P224" i="29"/>
  <c r="AG224" i="29"/>
  <c r="D224" i="29"/>
  <c r="U224" i="29"/>
  <c r="AP214" i="4"/>
  <c r="BB214" i="4" s="1"/>
  <c r="B298" i="7"/>
  <c r="L298" i="7" s="1"/>
  <c r="E223" i="29"/>
  <c r="AN215" i="4" s="1"/>
  <c r="AX215" i="4" s="1"/>
  <c r="V223" i="29"/>
  <c r="F223" i="29" s="1"/>
  <c r="Y223" i="29"/>
  <c r="I223" i="29" s="1"/>
  <c r="C299" i="7" s="1"/>
  <c r="H223" i="29"/>
  <c r="N223" i="29"/>
  <c r="AT215" i="4" s="1"/>
  <c r="BJ215" i="4" s="1"/>
  <c r="AE223" i="29"/>
  <c r="O223" i="29" s="1"/>
  <c r="AB223" i="29"/>
  <c r="L223" i="29" s="1"/>
  <c r="C525" i="7" s="1"/>
  <c r="K223" i="29"/>
  <c r="T225" i="29"/>
  <c r="Z225" i="29"/>
  <c r="AF225" i="29"/>
  <c r="AY215" i="4"/>
  <c r="BK215" i="4"/>
  <c r="W225" i="29"/>
  <c r="AC225" i="29"/>
  <c r="BC214" i="4"/>
  <c r="M225" i="29" l="1"/>
  <c r="AD225" i="29"/>
  <c r="X225" i="29"/>
  <c r="G225" i="29"/>
  <c r="A240" i="7" s="1"/>
  <c r="AG225" i="29"/>
  <c r="P225" i="29"/>
  <c r="AA225" i="29"/>
  <c r="J225" i="29"/>
  <c r="A433" i="7" s="1"/>
  <c r="U225" i="29"/>
  <c r="D225" i="29"/>
  <c r="Q224" i="29"/>
  <c r="AV216" i="4" s="1"/>
  <c r="BN216" i="4" s="1"/>
  <c r="AH224" i="29"/>
  <c r="R224" i="29" s="1"/>
  <c r="K224" i="29"/>
  <c r="AB224" i="29"/>
  <c r="L224" i="29" s="1"/>
  <c r="C526" i="7" s="1"/>
  <c r="V224" i="29"/>
  <c r="F224" i="29" s="1"/>
  <c r="E224" i="29"/>
  <c r="AN216" i="4" s="1"/>
  <c r="AX216" i="4" s="1"/>
  <c r="Y224" i="29"/>
  <c r="I224" i="29" s="1"/>
  <c r="C300" i="7" s="1"/>
  <c r="H224" i="29"/>
  <c r="B525" i="7"/>
  <c r="L525" i="7" s="1"/>
  <c r="AR215" i="4"/>
  <c r="BF215" i="4" s="1"/>
  <c r="B299" i="7"/>
  <c r="L299" i="7" s="1"/>
  <c r="AP215" i="4"/>
  <c r="BB215" i="4" s="1"/>
  <c r="AE224" i="29"/>
  <c r="O224" i="29" s="1"/>
  <c r="N224" i="29"/>
  <c r="AT216" i="4" s="1"/>
  <c r="BJ216" i="4" s="1"/>
  <c r="T226" i="29"/>
  <c r="AY216" i="4"/>
  <c r="BG215" i="4"/>
  <c r="BK216" i="4"/>
  <c r="AC226" i="29"/>
  <c r="BC215" i="4"/>
  <c r="W226" i="29"/>
  <c r="AF226" i="29"/>
  <c r="Z226" i="29"/>
  <c r="AA226" i="29" l="1"/>
  <c r="AB226" i="29" s="1"/>
  <c r="L226" i="29" s="1"/>
  <c r="C528" i="7" s="1"/>
  <c r="J226" i="29"/>
  <c r="A410" i="7" s="1"/>
  <c r="AG226" i="29"/>
  <c r="P226" i="29"/>
  <c r="X226" i="29"/>
  <c r="G226" i="29"/>
  <c r="A241" i="7" s="1"/>
  <c r="M226" i="29"/>
  <c r="AD226" i="29"/>
  <c r="D226" i="29"/>
  <c r="U226" i="29"/>
  <c r="B300" i="7"/>
  <c r="L300" i="7" s="1"/>
  <c r="AP216" i="4"/>
  <c r="BB216" i="4" s="1"/>
  <c r="AH225" i="29"/>
  <c r="R225" i="29" s="1"/>
  <c r="Q225" i="29"/>
  <c r="AV217" i="4" s="1"/>
  <c r="BN217" i="4" s="1"/>
  <c r="AE225" i="29"/>
  <c r="O225" i="29" s="1"/>
  <c r="N225" i="29"/>
  <c r="AT217" i="4" s="1"/>
  <c r="BJ217" i="4" s="1"/>
  <c r="AR216" i="4"/>
  <c r="BF216" i="4" s="1"/>
  <c r="B526" i="7"/>
  <c r="L526" i="7" s="1"/>
  <c r="E225" i="29"/>
  <c r="AN217" i="4" s="1"/>
  <c r="AX217" i="4" s="1"/>
  <c r="V225" i="29"/>
  <c r="F225" i="29" s="1"/>
  <c r="K225" i="29"/>
  <c r="AB225" i="29"/>
  <c r="L225" i="29" s="1"/>
  <c r="C527" i="7" s="1"/>
  <c r="H225" i="29"/>
  <c r="Y225" i="29"/>
  <c r="I225" i="29" s="1"/>
  <c r="C301" i="7" s="1"/>
  <c r="Q226" i="29"/>
  <c r="AV218" i="4" s="1"/>
  <c r="BN218" i="4" s="1"/>
  <c r="AH226" i="29"/>
  <c r="R226" i="29" s="1"/>
  <c r="K226" i="29"/>
  <c r="AF227" i="29"/>
  <c r="W227" i="29"/>
  <c r="BC216" i="4"/>
  <c r="BK217" i="4"/>
  <c r="Z227" i="29"/>
  <c r="BG216" i="4"/>
  <c r="T227" i="29"/>
  <c r="AC227" i="29"/>
  <c r="AY217" i="4"/>
  <c r="AD227" i="29" l="1"/>
  <c r="AE227" i="29" s="1"/>
  <c r="O227" i="29" s="1"/>
  <c r="M227" i="29"/>
  <c r="D227" i="29"/>
  <c r="U227" i="29"/>
  <c r="J227" i="29"/>
  <c r="A480" i="7" s="1"/>
  <c r="AA227" i="29"/>
  <c r="G227" i="29"/>
  <c r="A242" i="7" s="1"/>
  <c r="X227" i="29"/>
  <c r="AG227" i="29"/>
  <c r="P227" i="29"/>
  <c r="N226" i="29"/>
  <c r="AT218" i="4" s="1"/>
  <c r="BJ218" i="4" s="1"/>
  <c r="AE226" i="29"/>
  <c r="O226" i="29" s="1"/>
  <c r="Y226" i="29"/>
  <c r="I226" i="29" s="1"/>
  <c r="C302" i="7" s="1"/>
  <c r="H226" i="29"/>
  <c r="AP217" i="4"/>
  <c r="BB217" i="4" s="1"/>
  <c r="B301" i="7"/>
  <c r="L301" i="7" s="1"/>
  <c r="B527" i="7"/>
  <c r="L527" i="7" s="1"/>
  <c r="AR217" i="4"/>
  <c r="BF217" i="4" s="1"/>
  <c r="V226" i="29"/>
  <c r="F226" i="29" s="1"/>
  <c r="E226" i="29"/>
  <c r="AN218" i="4" s="1"/>
  <c r="AX218" i="4" s="1"/>
  <c r="N227" i="29"/>
  <c r="AT219" i="4" s="1"/>
  <c r="BJ219" i="4" s="1"/>
  <c r="B528" i="7"/>
  <c r="L528" i="7" s="1"/>
  <c r="AR218" i="4"/>
  <c r="BF218" i="4" s="1"/>
  <c r="AC228" i="29"/>
  <c r="AY219" i="4"/>
  <c r="AY218" i="4"/>
  <c r="T228" i="29"/>
  <c r="AF228" i="29"/>
  <c r="W228" i="29"/>
  <c r="BG217" i="4"/>
  <c r="BK219" i="4"/>
  <c r="Z228" i="29"/>
  <c r="BK218" i="4"/>
  <c r="BC217" i="4"/>
  <c r="BG218" i="4"/>
  <c r="AA228" i="29" l="1"/>
  <c r="J228" i="29"/>
  <c r="A388" i="7" s="1"/>
  <c r="X228" i="29"/>
  <c r="G228" i="29"/>
  <c r="A243" i="7" s="1"/>
  <c r="AG228" i="29"/>
  <c r="P228" i="29"/>
  <c r="D228" i="29"/>
  <c r="U228" i="29"/>
  <c r="M228" i="29"/>
  <c r="AD228" i="29"/>
  <c r="Y227" i="29"/>
  <c r="I227" i="29" s="1"/>
  <c r="C303" i="7" s="1"/>
  <c r="H227" i="29"/>
  <c r="AP218" i="4"/>
  <c r="BB218" i="4" s="1"/>
  <c r="B302" i="7"/>
  <c r="L302" i="7" s="1"/>
  <c r="Q227" i="29"/>
  <c r="AV219" i="4" s="1"/>
  <c r="BN219" i="4" s="1"/>
  <c r="AH227" i="29"/>
  <c r="R227" i="29" s="1"/>
  <c r="K227" i="29"/>
  <c r="AB227" i="29"/>
  <c r="L227" i="29" s="1"/>
  <c r="C529" i="7" s="1"/>
  <c r="V227" i="29"/>
  <c r="F227" i="29" s="1"/>
  <c r="E227" i="29"/>
  <c r="W229" i="29"/>
  <c r="Z229" i="29"/>
  <c r="BC218" i="4"/>
  <c r="AC229" i="29"/>
  <c r="AF229" i="29"/>
  <c r="T229" i="29"/>
  <c r="U229" i="29" l="1"/>
  <c r="V229" i="29" s="1"/>
  <c r="AG229" i="29"/>
  <c r="AH229" i="29" s="1"/>
  <c r="AD229" i="29"/>
  <c r="AE229" i="29" s="1"/>
  <c r="AA229" i="29"/>
  <c r="AB229" i="29" s="1"/>
  <c r="X229" i="29"/>
  <c r="Y229" i="29" s="1"/>
  <c r="H228" i="29"/>
  <c r="B304" i="7" s="1"/>
  <c r="L304" i="7" s="1"/>
  <c r="Y228" i="29"/>
  <c r="I228" i="29" s="1"/>
  <c r="C304" i="7" s="1"/>
  <c r="V228" i="29"/>
  <c r="F228" i="29" s="1"/>
  <c r="E228" i="29"/>
  <c r="AH228" i="29"/>
  <c r="R228" i="29" s="1"/>
  <c r="Q228" i="29"/>
  <c r="AR219" i="4"/>
  <c r="BF219" i="4" s="1"/>
  <c r="B529" i="7"/>
  <c r="L529" i="7" s="1"/>
  <c r="AE228" i="29"/>
  <c r="O228" i="29" s="1"/>
  <c r="N228" i="29"/>
  <c r="B303" i="7"/>
  <c r="AP219" i="4"/>
  <c r="BB219" i="4" s="1"/>
  <c r="AB228" i="29"/>
  <c r="L228" i="29" s="1"/>
  <c r="C530" i="7" s="1"/>
  <c r="K228" i="29"/>
  <c r="B530" i="7" s="1"/>
  <c r="L530" i="7" s="1"/>
  <c r="T230" i="29"/>
  <c r="AC230" i="29"/>
  <c r="W230" i="29"/>
  <c r="BG219" i="4"/>
  <c r="BC219" i="4"/>
  <c r="Z230" i="29"/>
  <c r="AF230" i="29"/>
  <c r="AG230" i="29" l="1"/>
  <c r="AH230" i="29" s="1"/>
  <c r="AA230" i="29"/>
  <c r="AB230" i="29" s="1"/>
  <c r="X230" i="29"/>
  <c r="Y230" i="29" s="1"/>
  <c r="AD230" i="29"/>
  <c r="AE230" i="29" s="1"/>
  <c r="U230" i="29"/>
  <c r="V230" i="29" s="1"/>
  <c r="A11" i="14"/>
  <c r="A76" i="16"/>
  <c r="H563" i="17" s="1"/>
  <c r="A15" i="15"/>
  <c r="A149" i="14"/>
  <c r="A104" i="14"/>
  <c r="A105" i="14"/>
  <c r="A23" i="15"/>
  <c r="A114" i="14"/>
  <c r="A139" i="15"/>
  <c r="A16" i="16"/>
  <c r="A124" i="14"/>
  <c r="A57" i="16"/>
  <c r="A80" i="16"/>
  <c r="A39" i="16"/>
  <c r="H540" i="17" s="1"/>
  <c r="A53" i="14"/>
  <c r="A141" i="15"/>
  <c r="A31" i="13"/>
  <c r="A11" i="15"/>
  <c r="A118" i="15"/>
  <c r="A7" i="15"/>
  <c r="A106" i="16"/>
  <c r="A47" i="15"/>
  <c r="A136" i="14"/>
  <c r="A64" i="14"/>
  <c r="A5" i="14"/>
  <c r="A111" i="14"/>
  <c r="A153" i="15"/>
  <c r="A124" i="15"/>
  <c r="A188" i="14"/>
  <c r="A21" i="13"/>
  <c r="A27" i="16"/>
  <c r="A86" i="16"/>
  <c r="A190" i="14"/>
  <c r="A6" i="13"/>
  <c r="A50" i="13"/>
  <c r="A150" i="14"/>
  <c r="A189" i="14"/>
  <c r="A49" i="16"/>
  <c r="H551" i="17" s="1"/>
  <c r="A174" i="14"/>
  <c r="A48" i="15"/>
  <c r="A6" i="14"/>
  <c r="A72" i="15"/>
  <c r="A60" i="15"/>
  <c r="A33" i="13"/>
  <c r="A56" i="15"/>
  <c r="A88" i="15"/>
  <c r="A109" i="15"/>
  <c r="A66" i="16"/>
  <c r="A92" i="15"/>
  <c r="A96" i="16"/>
  <c r="H584" i="17" s="1"/>
  <c r="A40" i="14"/>
  <c r="A104" i="15"/>
  <c r="A26" i="14"/>
  <c r="A115" i="15"/>
  <c r="A45" i="16"/>
  <c r="A30" i="13"/>
  <c r="A63" i="15"/>
  <c r="A38" i="15"/>
  <c r="A47" i="16"/>
  <c r="H531" i="17" s="1"/>
  <c r="A97" i="15"/>
  <c r="A137" i="14"/>
  <c r="A94" i="16"/>
  <c r="H581" i="17" s="1"/>
  <c r="A192" i="14"/>
  <c r="A12" i="14"/>
  <c r="A50" i="15"/>
  <c r="A164" i="15"/>
  <c r="A69" i="14"/>
  <c r="A8" i="14"/>
  <c r="A7" i="14"/>
  <c r="A42" i="16"/>
  <c r="A116" i="15"/>
  <c r="A71" i="14"/>
  <c r="A96" i="15"/>
  <c r="A29" i="16"/>
  <c r="A119" i="14"/>
  <c r="A172" i="14"/>
  <c r="A47" i="13"/>
  <c r="A119" i="15"/>
  <c r="A58" i="13"/>
  <c r="A16" i="13"/>
  <c r="A160" i="14"/>
  <c r="A79" i="15"/>
  <c r="A120" i="15"/>
  <c r="A43" i="13"/>
  <c r="A11" i="13"/>
  <c r="A20" i="13"/>
  <c r="A122" i="14"/>
  <c r="A42" i="14"/>
  <c r="A98" i="16"/>
  <c r="A108" i="15"/>
  <c r="A137" i="15"/>
  <c r="A139" i="14"/>
  <c r="A41" i="13"/>
  <c r="A156" i="14"/>
  <c r="A5" i="15"/>
  <c r="A29" i="14"/>
  <c r="A169" i="14"/>
  <c r="A60" i="14"/>
  <c r="A70" i="14"/>
  <c r="A112" i="14"/>
  <c r="A116" i="14"/>
  <c r="A18" i="13"/>
  <c r="L303" i="7"/>
  <c r="A195" i="14"/>
  <c r="A45" i="13"/>
  <c r="A61" i="15"/>
  <c r="A17" i="16"/>
  <c r="H501" i="17" s="1"/>
  <c r="A30" i="15"/>
  <c r="A101" i="14"/>
  <c r="A43" i="16"/>
  <c r="A68" i="15"/>
  <c r="A142" i="14"/>
  <c r="A125" i="14"/>
  <c r="A181" i="14"/>
  <c r="A4" i="14"/>
  <c r="A26" i="13"/>
  <c r="A168" i="14"/>
  <c r="A2" i="15"/>
  <c r="A20" i="14"/>
  <c r="A64" i="15"/>
  <c r="A13" i="14"/>
  <c r="A32" i="13"/>
  <c r="A62" i="16"/>
  <c r="H562" i="17" s="1"/>
  <c r="A97" i="14"/>
  <c r="A68" i="14"/>
  <c r="A35" i="16"/>
  <c r="A81" i="16"/>
  <c r="A14" i="15"/>
  <c r="A34" i="15"/>
  <c r="A32" i="14"/>
  <c r="A97" i="16"/>
  <c r="H585" i="17" s="1"/>
  <c r="A20" i="15"/>
  <c r="A40" i="15"/>
  <c r="A71" i="15"/>
  <c r="A41" i="16"/>
  <c r="H525" i="17" s="1"/>
  <c r="A147" i="15"/>
  <c r="A9" i="15"/>
  <c r="A79" i="14"/>
  <c r="A177" i="15"/>
  <c r="A15" i="16"/>
  <c r="H499" i="17" s="1"/>
  <c r="A106" i="15"/>
  <c r="A18" i="15"/>
  <c r="A113" i="15"/>
  <c r="A166" i="15"/>
  <c r="A93" i="15"/>
  <c r="A100" i="14"/>
  <c r="A131" i="14"/>
  <c r="A148" i="15"/>
  <c r="A83" i="15"/>
  <c r="A132" i="14"/>
  <c r="A25" i="16"/>
  <c r="A84" i="15"/>
  <c r="A185" i="14"/>
  <c r="A187" i="14"/>
  <c r="A140" i="14"/>
  <c r="A54" i="13"/>
  <c r="A75" i="14"/>
  <c r="A19" i="14"/>
  <c r="A50" i="14"/>
  <c r="A93" i="16"/>
  <c r="H580" i="17" s="1"/>
  <c r="A142" i="15"/>
  <c r="A103" i="14"/>
  <c r="A52" i="14"/>
  <c r="A15" i="14"/>
  <c r="A133" i="15"/>
  <c r="A115" i="14"/>
  <c r="A65" i="14"/>
  <c r="A144" i="14"/>
  <c r="A110" i="14"/>
  <c r="A28" i="14"/>
  <c r="A65" i="15"/>
  <c r="A12" i="15"/>
  <c r="A37" i="13"/>
  <c r="A152" i="15"/>
  <c r="A128" i="15"/>
  <c r="A7" i="16"/>
  <c r="H493" i="17" s="1"/>
  <c r="A46" i="16"/>
  <c r="H530" i="17" s="1"/>
  <c r="A193" i="14"/>
  <c r="A85" i="15"/>
  <c r="A33" i="16"/>
  <c r="A74" i="15"/>
  <c r="A61" i="16"/>
  <c r="H545" i="17" s="1"/>
  <c r="A181" i="15"/>
  <c r="A22" i="13"/>
  <c r="A98" i="15"/>
  <c r="A126" i="15"/>
  <c r="A196" i="14"/>
  <c r="A74" i="14"/>
  <c r="A43" i="15"/>
  <c r="A120" i="14"/>
  <c r="A67" i="14"/>
  <c r="A76" i="15"/>
  <c r="A69" i="16"/>
  <c r="A105" i="15"/>
  <c r="A30" i="16"/>
  <c r="A77" i="15"/>
  <c r="A80" i="15"/>
  <c r="A62" i="14"/>
  <c r="A73" i="15"/>
  <c r="A162" i="15"/>
  <c r="A33" i="15"/>
  <c r="A82" i="15"/>
  <c r="A17" i="13"/>
  <c r="A77" i="14"/>
  <c r="A133" i="14"/>
  <c r="A56" i="13"/>
  <c r="A136" i="15"/>
  <c r="A62" i="15"/>
  <c r="A31" i="16"/>
  <c r="A146" i="15"/>
  <c r="A18" i="16"/>
  <c r="H502" i="17" s="1"/>
  <c r="A80" i="14"/>
  <c r="A25" i="15"/>
  <c r="A17" i="15"/>
  <c r="A6" i="15"/>
  <c r="A82" i="14"/>
  <c r="A9" i="14"/>
  <c r="A179" i="14"/>
  <c r="A99" i="15"/>
  <c r="A30" i="14"/>
  <c r="A43" i="14"/>
  <c r="A36" i="16"/>
  <c r="H587" i="17" s="1"/>
  <c r="A88" i="16"/>
  <c r="H575" i="17" s="1"/>
  <c r="A48" i="16"/>
  <c r="A81" i="14"/>
  <c r="A72" i="14"/>
  <c r="A89" i="16"/>
  <c r="A64" i="16"/>
  <c r="A101" i="16"/>
  <c r="H589" i="17" s="1"/>
  <c r="A8" i="13"/>
  <c r="A68" i="16"/>
  <c r="A8" i="16"/>
  <c r="A4" i="16"/>
  <c r="A49" i="15"/>
  <c r="A163" i="15"/>
  <c r="A129" i="14"/>
  <c r="A10" i="14"/>
  <c r="A39" i="14"/>
  <c r="A87" i="15"/>
  <c r="A88" i="14"/>
  <c r="A185" i="15"/>
  <c r="A32" i="15"/>
  <c r="A35" i="15"/>
  <c r="A44" i="14"/>
  <c r="A107" i="14"/>
  <c r="A121" i="14"/>
  <c r="A170" i="15"/>
  <c r="A173" i="14"/>
  <c r="A54" i="14"/>
  <c r="A10" i="13"/>
  <c r="A73" i="16"/>
  <c r="H559" i="17" s="1"/>
  <c r="A63" i="14"/>
  <c r="A94" i="14"/>
  <c r="A101" i="15"/>
  <c r="A23" i="14"/>
  <c r="A27" i="14"/>
  <c r="A143" i="14"/>
  <c r="A42" i="15"/>
  <c r="A25" i="13"/>
  <c r="A72" i="16"/>
  <c r="A44" i="16"/>
  <c r="A26" i="16"/>
  <c r="A70" i="16"/>
  <c r="A57" i="13"/>
  <c r="A46" i="15"/>
  <c r="A14" i="14"/>
  <c r="A103" i="16"/>
  <c r="H588" i="17" s="1"/>
  <c r="A54" i="16"/>
  <c r="H522" i="17" s="1"/>
  <c r="A130" i="14"/>
  <c r="A9" i="13"/>
  <c r="A165" i="14"/>
  <c r="A61" i="13"/>
  <c r="A128" i="14"/>
  <c r="A52" i="15"/>
  <c r="A18" i="14"/>
  <c r="A51" i="16"/>
  <c r="A161" i="14"/>
  <c r="A32" i="16"/>
  <c r="A59" i="13"/>
  <c r="A51" i="15"/>
  <c r="A23" i="13"/>
  <c r="A194" i="14"/>
  <c r="A28" i="13"/>
  <c r="A118" i="14"/>
  <c r="A35" i="13"/>
  <c r="A143" i="15"/>
  <c r="A91" i="14"/>
  <c r="A50" i="16"/>
  <c r="H518" i="17" s="1"/>
  <c r="A134" i="15"/>
  <c r="A3" i="13"/>
  <c r="A112" i="15"/>
  <c r="A135" i="15"/>
  <c r="A55" i="16"/>
  <c r="H539" i="17" s="1"/>
  <c r="A92" i="14"/>
  <c r="A108" i="14"/>
  <c r="A39" i="15"/>
  <c r="A53" i="16"/>
  <c r="A138" i="14"/>
  <c r="A52" i="13"/>
  <c r="A36" i="14"/>
  <c r="A13" i="15"/>
  <c r="A89" i="15"/>
  <c r="A21" i="15"/>
  <c r="A19" i="16"/>
  <c r="A16" i="14"/>
  <c r="A63" i="13"/>
  <c r="A3" i="15"/>
  <c r="A60" i="13"/>
  <c r="A179" i="15"/>
  <c r="A85" i="14"/>
  <c r="A102" i="15"/>
  <c r="A71" i="16"/>
  <c r="A117" i="15"/>
  <c r="A100" i="15"/>
  <c r="A129" i="15"/>
  <c r="A46" i="13"/>
  <c r="A90" i="15"/>
  <c r="A158" i="14"/>
  <c r="A54" i="15"/>
  <c r="A78" i="15"/>
  <c r="A64" i="13"/>
  <c r="A125" i="15"/>
  <c r="A23" i="16"/>
  <c r="A29" i="15"/>
  <c r="A34" i="13"/>
  <c r="A160" i="15"/>
  <c r="A165" i="15"/>
  <c r="A94" i="15"/>
  <c r="A170" i="14"/>
  <c r="A140" i="15"/>
  <c r="A37" i="15"/>
  <c r="A75" i="15"/>
  <c r="A44" i="15"/>
  <c r="A38" i="14"/>
  <c r="A177" i="14"/>
  <c r="A6" i="16"/>
  <c r="H524" i="17" s="1"/>
  <c r="A49" i="13"/>
  <c r="A16" i="15"/>
  <c r="A169" i="15"/>
  <c r="A151" i="15"/>
  <c r="A4" i="13"/>
  <c r="A37" i="14"/>
  <c r="A84" i="14"/>
  <c r="A8" i="15"/>
  <c r="A74" i="16"/>
  <c r="A31" i="15"/>
  <c r="A44" i="13"/>
  <c r="A11" i="16"/>
  <c r="A157" i="15"/>
  <c r="A3" i="14"/>
  <c r="A59" i="14"/>
  <c r="A127" i="15"/>
  <c r="A186" i="14"/>
  <c r="A46" i="14"/>
  <c r="A107" i="15"/>
  <c r="A131" i="15"/>
  <c r="A5" i="16"/>
  <c r="A145" i="15"/>
  <c r="A178" i="15"/>
  <c r="A96" i="14"/>
  <c r="A76" i="14"/>
  <c r="A2" i="13"/>
  <c r="A123" i="14"/>
  <c r="A40" i="13"/>
  <c r="A59" i="15"/>
  <c r="A95" i="14"/>
  <c r="A82" i="16"/>
  <c r="H569" i="17" s="1"/>
  <c r="A113" i="14"/>
  <c r="A4" i="15"/>
  <c r="A14" i="13"/>
  <c r="A150" i="15"/>
  <c r="A99" i="14"/>
  <c r="A78" i="14"/>
  <c r="A12" i="16"/>
  <c r="A24" i="15"/>
  <c r="A164" i="14"/>
  <c r="A39" i="13"/>
  <c r="A161" i="15"/>
  <c r="A70" i="15"/>
  <c r="A114" i="15"/>
  <c r="A87" i="14"/>
  <c r="A41" i="15"/>
  <c r="A167" i="15"/>
  <c r="A159" i="15"/>
  <c r="A13" i="16"/>
  <c r="A93" i="14"/>
  <c r="A84" i="16"/>
  <c r="A121" i="15"/>
  <c r="A66" i="14"/>
  <c r="A2" i="14"/>
  <c r="A135" i="14"/>
  <c r="A153" i="14"/>
  <c r="A7" i="13"/>
  <c r="A58" i="16"/>
  <c r="H542" i="17" s="1"/>
  <c r="A146" i="14"/>
  <c r="A126" i="14"/>
  <c r="A90" i="14"/>
  <c r="A19" i="13"/>
  <c r="A171" i="14"/>
  <c r="A191" i="14"/>
  <c r="A180" i="14"/>
  <c r="A67" i="16"/>
  <c r="A184" i="14"/>
  <c r="A10" i="16"/>
  <c r="H494" i="17" s="1"/>
  <c r="A37" i="16"/>
  <c r="H550" i="17" s="1"/>
  <c r="A198" i="14"/>
  <c r="A56" i="14"/>
  <c r="A95" i="16"/>
  <c r="A33" i="14"/>
  <c r="A29" i="13"/>
  <c r="A102" i="16"/>
  <c r="H590" i="17" s="1"/>
  <c r="A3" i="16"/>
  <c r="H487" i="17" s="1"/>
  <c r="A167" i="14"/>
  <c r="A27" i="13"/>
  <c r="A100" i="16"/>
  <c r="A127" i="14"/>
  <c r="A182" i="14"/>
  <c r="A102" i="14"/>
  <c r="A175" i="15"/>
  <c r="A53" i="13"/>
  <c r="A92" i="16"/>
  <c r="A182" i="15"/>
  <c r="A24" i="14"/>
  <c r="A134" i="14"/>
  <c r="A141" i="14"/>
  <c r="A75" i="16"/>
  <c r="H561" i="17" s="1"/>
  <c r="A24" i="16"/>
  <c r="A35" i="14"/>
  <c r="A28" i="15"/>
  <c r="A183" i="15"/>
  <c r="A158" i="15"/>
  <c r="A19" i="15"/>
  <c r="A83" i="14"/>
  <c r="A21" i="16"/>
  <c r="A155" i="15"/>
  <c r="A111" i="15"/>
  <c r="A51" i="13"/>
  <c r="A36" i="13"/>
  <c r="A2" i="16"/>
  <c r="A55" i="14"/>
  <c r="A110" i="16"/>
  <c r="H597" i="17" s="1"/>
  <c r="A86" i="14"/>
  <c r="A109" i="14"/>
  <c r="A148" i="14"/>
  <c r="A154" i="15"/>
  <c r="A145" i="14"/>
  <c r="A95" i="15"/>
  <c r="A24" i="13"/>
  <c r="A90" i="16"/>
  <c r="H577" i="17" s="1"/>
  <c r="A166" i="14"/>
  <c r="A5" i="13"/>
  <c r="A117" i="14"/>
  <c r="A15" i="13"/>
  <c r="A42" i="13"/>
  <c r="A79" i="16"/>
  <c r="A48" i="13"/>
  <c r="A58" i="14"/>
  <c r="A10" i="15"/>
  <c r="A103" i="15"/>
  <c r="A62" i="13"/>
  <c r="A89" i="14"/>
  <c r="A58" i="15"/>
  <c r="A130" i="15"/>
  <c r="A13" i="13"/>
  <c r="A28" i="16"/>
  <c r="A106" i="14"/>
  <c r="A55" i="13"/>
  <c r="A22" i="15"/>
  <c r="A156" i="15"/>
  <c r="A81" i="15"/>
  <c r="A86" i="15"/>
  <c r="A154" i="14"/>
  <c r="A63" i="16"/>
  <c r="A12" i="13"/>
  <c r="AF231" i="29"/>
  <c r="W231" i="29"/>
  <c r="T231" i="29"/>
  <c r="AC231" i="29"/>
  <c r="Z231" i="29"/>
  <c r="AA231" i="29" l="1"/>
  <c r="AB231" i="29" s="1"/>
  <c r="AD231" i="29"/>
  <c r="AE231" i="29" s="1"/>
  <c r="U231" i="29"/>
  <c r="V231" i="29" s="1"/>
  <c r="X231" i="29"/>
  <c r="Y231" i="29" s="1"/>
  <c r="AG231" i="29"/>
  <c r="AH231" i="29" s="1"/>
  <c r="T232" i="29"/>
  <c r="Z232" i="29"/>
  <c r="AF232" i="29"/>
  <c r="AC232" i="29"/>
  <c r="W232" i="29"/>
  <c r="X232" i="29" l="1"/>
  <c r="Y232" i="29" s="1"/>
  <c r="AD232" i="29"/>
  <c r="AE232" i="29" s="1"/>
  <c r="AG232" i="29"/>
  <c r="AH232" i="29" s="1"/>
  <c r="AA232" i="29"/>
  <c r="AB232" i="29" s="1"/>
  <c r="U232" i="29"/>
  <c r="V232" i="29" s="1"/>
  <c r="T233" i="29"/>
  <c r="AF233" i="29"/>
  <c r="W233" i="29"/>
  <c r="AC233" i="29"/>
  <c r="Z233" i="29"/>
  <c r="AA233" i="29" l="1"/>
  <c r="AB233" i="29" s="1"/>
  <c r="AD233" i="29"/>
  <c r="AE233" i="29" s="1"/>
  <c r="X233" i="29"/>
  <c r="Y233" i="29" s="1"/>
  <c r="AG233" i="29"/>
  <c r="AH233" i="29" s="1"/>
  <c r="U233" i="29"/>
  <c r="V233" i="29" s="1"/>
  <c r="T234" i="29"/>
  <c r="Z234" i="29"/>
  <c r="W234" i="29"/>
  <c r="AC234" i="29"/>
  <c r="AF234" i="29"/>
  <c r="AG234" i="29" l="1"/>
  <c r="AH234" i="29" s="1"/>
  <c r="AD234" i="29"/>
  <c r="AE234" i="29" s="1"/>
  <c r="X234" i="29"/>
  <c r="Y234" i="29" s="1"/>
  <c r="AA234" i="29"/>
  <c r="AB234" i="29" s="1"/>
  <c r="U234" i="29"/>
  <c r="V234" i="29" s="1"/>
  <c r="T235" i="29"/>
  <c r="AF235" i="29"/>
  <c r="W235" i="29"/>
  <c r="AC235" i="29"/>
  <c r="Z235" i="29"/>
  <c r="AA235" i="29" l="1"/>
  <c r="AB235" i="29" s="1"/>
  <c r="AD235" i="29"/>
  <c r="AE235" i="29" s="1"/>
  <c r="X235" i="29"/>
  <c r="Y235" i="29" s="1"/>
  <c r="AG235" i="29"/>
  <c r="AH235" i="29" s="1"/>
  <c r="U235" i="29"/>
  <c r="V235" i="29" s="1"/>
  <c r="W236" i="29"/>
  <c r="T236" i="29"/>
  <c r="Z236" i="29"/>
  <c r="AF236" i="29"/>
  <c r="AC236" i="29"/>
  <c r="AD236" i="29" l="1"/>
  <c r="AE236" i="29" s="1"/>
  <c r="AG236" i="29"/>
  <c r="AH236" i="29" s="1"/>
  <c r="AA236" i="29"/>
  <c r="AB236" i="29" s="1"/>
  <c r="U236" i="29"/>
  <c r="V236" i="29" s="1"/>
  <c r="X236" i="29"/>
  <c r="Y236" i="29" s="1"/>
  <c r="W237" i="29"/>
  <c r="AC237" i="29"/>
  <c r="Z237" i="29"/>
  <c r="T237" i="29"/>
  <c r="AF237" i="29"/>
  <c r="AG237" i="29" l="1"/>
  <c r="AH237" i="29" s="1"/>
  <c r="U237" i="29"/>
  <c r="V237" i="29" s="1"/>
  <c r="AA237" i="29"/>
  <c r="AB237" i="29" s="1"/>
  <c r="AD237" i="29"/>
  <c r="AE237" i="29" s="1"/>
  <c r="X237" i="29"/>
  <c r="Y237" i="29" s="1"/>
  <c r="AF238" i="29"/>
  <c r="Z238" i="29"/>
  <c r="W238" i="29"/>
  <c r="AC238" i="29"/>
  <c r="T238" i="29"/>
  <c r="U238" i="29" l="1"/>
  <c r="V238" i="29" s="1"/>
  <c r="AD238" i="29"/>
  <c r="AE238" i="29" s="1"/>
  <c r="X238" i="29"/>
  <c r="Y238" i="29" s="1"/>
  <c r="AA238" i="29"/>
  <c r="AB238" i="29" s="1"/>
  <c r="AG238" i="29"/>
  <c r="AH238" i="29" s="1"/>
  <c r="W239" i="29"/>
  <c r="AF239" i="29"/>
  <c r="T239" i="29"/>
  <c r="AC239" i="29"/>
  <c r="Z239" i="29"/>
  <c r="AA239" i="29" l="1"/>
  <c r="AB239" i="29" s="1"/>
  <c r="AD239" i="29"/>
  <c r="AE239" i="29" s="1"/>
  <c r="U239" i="29"/>
  <c r="V239" i="29" s="1"/>
  <c r="AG239" i="29"/>
  <c r="AH239" i="29" s="1"/>
  <c r="X239" i="29"/>
  <c r="Y239" i="29" s="1"/>
  <c r="T240" i="29"/>
  <c r="Z240" i="29"/>
  <c r="W240" i="29"/>
  <c r="AC240" i="29"/>
  <c r="AF240" i="29"/>
  <c r="AG240" i="29" l="1"/>
  <c r="AH240" i="29" s="1"/>
  <c r="AD240" i="29"/>
  <c r="AE240" i="29" s="1"/>
  <c r="X240" i="29"/>
  <c r="Y240" i="29" s="1"/>
  <c r="AA240" i="29"/>
  <c r="AB240" i="29" s="1"/>
  <c r="U240" i="29"/>
  <c r="V240" i="29" s="1"/>
  <c r="AF241" i="29"/>
  <c r="T241" i="29"/>
  <c r="W241" i="29"/>
  <c r="Z241" i="29"/>
  <c r="AC241" i="29"/>
  <c r="AD241" i="29" l="1"/>
  <c r="AE241" i="29" s="1"/>
  <c r="AA241" i="29"/>
  <c r="AB241" i="29" s="1"/>
  <c r="X241" i="29"/>
  <c r="Y241" i="29" s="1"/>
  <c r="U241" i="29"/>
  <c r="V241" i="29" s="1"/>
  <c r="AG241" i="29"/>
  <c r="AH241" i="29" s="1"/>
  <c r="AC242" i="29"/>
  <c r="W242" i="29"/>
  <c r="AF242" i="29"/>
  <c r="T242" i="29"/>
  <c r="Z242" i="29"/>
  <c r="AA242" i="29" l="1"/>
  <c r="AB242" i="29" s="1"/>
  <c r="U242" i="29"/>
  <c r="V242" i="29" s="1"/>
  <c r="AG242" i="29"/>
  <c r="AH242" i="29" s="1"/>
  <c r="X242" i="29"/>
  <c r="Y242" i="29" s="1"/>
  <c r="AD242" i="29"/>
  <c r="AE242" i="29" s="1"/>
  <c r="Z243" i="29"/>
  <c r="AC243" i="29"/>
  <c r="AF243" i="29"/>
  <c r="T243" i="29"/>
  <c r="W243" i="29"/>
  <c r="X243" i="29" l="1"/>
  <c r="Y243" i="29" s="1"/>
  <c r="U243" i="29"/>
  <c r="V243" i="29" s="1"/>
  <c r="AG243" i="29"/>
  <c r="AH243" i="29" s="1"/>
  <c r="AD243" i="29"/>
  <c r="AE243" i="29" s="1"/>
  <c r="AA243" i="29"/>
  <c r="AB243" i="29" s="1"/>
  <c r="Z244" i="29"/>
  <c r="AF244" i="29"/>
  <c r="W244" i="29"/>
  <c r="AC244" i="29"/>
  <c r="T244" i="29"/>
  <c r="U244" i="29" l="1"/>
  <c r="V244" i="29" s="1"/>
  <c r="AD244" i="29"/>
  <c r="AE244" i="29" s="1"/>
  <c r="X244" i="29"/>
  <c r="Y244" i="29" s="1"/>
  <c r="AG244" i="29"/>
  <c r="AH244" i="29" s="1"/>
  <c r="AA244" i="29"/>
  <c r="AB244" i="29" s="1"/>
  <c r="T245" i="29"/>
  <c r="W245" i="29"/>
  <c r="Z245" i="29"/>
  <c r="AC245" i="29"/>
  <c r="AF245" i="29"/>
  <c r="AG245" i="29" l="1"/>
  <c r="AH245" i="29" s="1"/>
  <c r="AD245" i="29"/>
  <c r="AE245" i="29" s="1"/>
  <c r="AA245" i="29"/>
  <c r="AB245" i="29" s="1"/>
  <c r="X245" i="29"/>
  <c r="Y245" i="29" s="1"/>
  <c r="U245" i="29"/>
  <c r="V245" i="29" s="1"/>
  <c r="AF246" i="29"/>
  <c r="T246" i="29"/>
  <c r="Z246" i="29"/>
  <c r="AC246" i="29"/>
  <c r="W246" i="29"/>
  <c r="X246" i="29" l="1"/>
  <c r="Y246" i="29" s="1"/>
  <c r="AD246" i="29"/>
  <c r="AE246" i="29" s="1"/>
  <c r="AA246" i="29"/>
  <c r="AB246" i="29" s="1"/>
  <c r="U246" i="29"/>
  <c r="V246" i="29" s="1"/>
  <c r="AG246" i="29"/>
  <c r="AH246" i="29" s="1"/>
  <c r="Z247" i="29"/>
  <c r="W247" i="29"/>
  <c r="AF247" i="29"/>
  <c r="T247" i="29"/>
  <c r="AC247" i="29"/>
  <c r="AD247" i="29" l="1"/>
  <c r="AE247" i="29" s="1"/>
  <c r="U247" i="29"/>
  <c r="V247" i="29" s="1"/>
  <c r="AG247" i="29"/>
  <c r="AH247" i="29" s="1"/>
  <c r="X247" i="29"/>
  <c r="Y247" i="29" s="1"/>
  <c r="AA247" i="29"/>
  <c r="AB247" i="29" s="1"/>
  <c r="AC248" i="29"/>
  <c r="AF248" i="29"/>
  <c r="Z248" i="29"/>
  <c r="W248" i="29"/>
  <c r="T248" i="29"/>
  <c r="U248" i="29" l="1"/>
  <c r="V248" i="29" s="1"/>
  <c r="X248" i="29"/>
  <c r="Y248" i="29" s="1"/>
  <c r="AA248" i="29"/>
  <c r="AB248" i="29" s="1"/>
  <c r="AG248" i="29"/>
  <c r="AH248" i="29" s="1"/>
  <c r="AD248" i="29"/>
  <c r="AE248" i="29" s="1"/>
  <c r="T249" i="29"/>
  <c r="Z249" i="29"/>
  <c r="AC249" i="29"/>
  <c r="W249" i="29"/>
  <c r="AF249" i="29"/>
  <c r="AG249" i="29" l="1"/>
  <c r="AH249" i="29" s="1"/>
  <c r="X249" i="29"/>
  <c r="Y249" i="29" s="1"/>
  <c r="AD249" i="29"/>
  <c r="AE249" i="29" s="1"/>
  <c r="AA249" i="29"/>
  <c r="AB249" i="29" s="1"/>
  <c r="U249" i="29"/>
  <c r="V249" i="29" s="1"/>
  <c r="AF250" i="29"/>
  <c r="AC250" i="29"/>
  <c r="T250" i="29"/>
  <c r="W250" i="29"/>
  <c r="Z250" i="29"/>
  <c r="AA250" i="29" l="1"/>
  <c r="AB250" i="29" s="1"/>
  <c r="X250" i="29"/>
  <c r="Y250" i="29" s="1"/>
  <c r="U250" i="29"/>
  <c r="V250" i="29" s="1"/>
  <c r="AD250" i="29"/>
  <c r="AE250" i="29" s="1"/>
  <c r="AG250" i="29"/>
  <c r="AH250" i="29" s="1"/>
  <c r="Z251" i="29"/>
  <c r="T251" i="29"/>
  <c r="AF251" i="29"/>
  <c r="W251" i="29"/>
  <c r="AC251" i="29"/>
  <c r="AD251" i="29" l="1"/>
  <c r="AE251" i="29" s="1"/>
  <c r="X251" i="29"/>
  <c r="Y251" i="29" s="1"/>
  <c r="AG251" i="29"/>
  <c r="AH251" i="29" s="1"/>
  <c r="U251" i="29"/>
  <c r="V251" i="29" s="1"/>
  <c r="AA251" i="29"/>
  <c r="AB251" i="29" s="1"/>
  <c r="AC252" i="29"/>
  <c r="AF252" i="29"/>
  <c r="Z252" i="29"/>
  <c r="W252" i="29"/>
  <c r="T252" i="29"/>
  <c r="U252" i="29" l="1"/>
  <c r="V252" i="29" s="1"/>
  <c r="X252" i="29"/>
  <c r="Y252" i="29" s="1"/>
  <c r="AA252" i="29"/>
  <c r="AB252" i="29" s="1"/>
  <c r="AG252" i="29"/>
  <c r="AH252" i="29" s="1"/>
  <c r="AD252" i="29"/>
  <c r="AE252" i="29" s="1"/>
  <c r="AC253" i="29"/>
  <c r="T253" i="29"/>
  <c r="Z253" i="29"/>
  <c r="AF253" i="29"/>
  <c r="W253" i="29"/>
  <c r="X253" i="29" l="1"/>
  <c r="Y253" i="29" s="1"/>
  <c r="AG253" i="29"/>
  <c r="AH253" i="29" s="1"/>
  <c r="AA253" i="29"/>
  <c r="AB253" i="29" s="1"/>
  <c r="U253" i="29"/>
  <c r="V253" i="29" s="1"/>
  <c r="AD253" i="29"/>
  <c r="AE253" i="29" s="1"/>
  <c r="AC254" i="29"/>
  <c r="W254" i="29"/>
  <c r="Z254" i="29"/>
  <c r="T254" i="29"/>
  <c r="AF254" i="29"/>
  <c r="AG254" i="29" l="1"/>
  <c r="AH254" i="29" s="1"/>
  <c r="U254" i="29"/>
  <c r="V254" i="29" s="1"/>
  <c r="AA254" i="29"/>
  <c r="AB254" i="29" s="1"/>
  <c r="X254" i="29"/>
  <c r="Y254" i="29" s="1"/>
  <c r="AD254" i="29"/>
  <c r="AE254" i="29" s="1"/>
  <c r="AC255" i="29"/>
  <c r="AF255" i="29"/>
  <c r="Z255" i="29"/>
  <c r="W255" i="29"/>
  <c r="T255" i="29"/>
  <c r="U255" i="29" l="1"/>
  <c r="V255" i="29" s="1"/>
  <c r="X255" i="29"/>
  <c r="Y255" i="29" s="1"/>
  <c r="AA255" i="29"/>
  <c r="AB255" i="29" s="1"/>
  <c r="AG255" i="29"/>
  <c r="AH255" i="29" s="1"/>
  <c r="AD255" i="29"/>
  <c r="AE255" i="29" s="1"/>
  <c r="Z256" i="29"/>
  <c r="T256" i="29"/>
  <c r="AC256" i="29"/>
  <c r="W256" i="29"/>
  <c r="AF256" i="29"/>
  <c r="AG256" i="29" l="1"/>
  <c r="AH256" i="29" s="1"/>
  <c r="X256" i="29"/>
  <c r="Y256" i="29" s="1"/>
  <c r="AD256" i="29"/>
  <c r="AE256" i="29" s="1"/>
  <c r="U256" i="29"/>
  <c r="V256" i="29" s="1"/>
  <c r="AA256" i="29"/>
  <c r="AB256" i="29" s="1"/>
  <c r="AF257" i="29"/>
  <c r="Z257" i="29"/>
  <c r="AC257" i="29"/>
  <c r="W257" i="29"/>
  <c r="T257" i="29"/>
  <c r="U257" i="29" l="1"/>
  <c r="V257" i="29" s="1"/>
  <c r="X257" i="29"/>
  <c r="Y257" i="29" s="1"/>
  <c r="AD257" i="29"/>
  <c r="AE257" i="29" s="1"/>
  <c r="AA257" i="29"/>
  <c r="AB257" i="29" s="1"/>
  <c r="AG257" i="29"/>
  <c r="AH257" i="29" s="1"/>
  <c r="T258" i="29"/>
  <c r="AC258" i="29"/>
  <c r="AF258" i="29"/>
  <c r="W258" i="29"/>
  <c r="Z258" i="29"/>
  <c r="AA258" i="29" l="1"/>
  <c r="AB258" i="29" s="1"/>
  <c r="X258" i="29"/>
  <c r="Y258" i="29" s="1"/>
  <c r="AG258" i="29"/>
  <c r="AH258" i="29" s="1"/>
  <c r="AD258" i="29"/>
  <c r="AE258" i="29" s="1"/>
  <c r="U258" i="29"/>
  <c r="V258" i="29" s="1"/>
  <c r="Z259" i="29"/>
  <c r="AF259" i="29"/>
  <c r="T259" i="29"/>
  <c r="W259" i="29"/>
  <c r="AC259" i="29"/>
  <c r="AD259" i="29" l="1"/>
  <c r="AE259" i="29" s="1"/>
  <c r="X259" i="29"/>
  <c r="Y259" i="29" s="1"/>
  <c r="U259" i="29"/>
  <c r="V259" i="29" s="1"/>
  <c r="AG259" i="29"/>
  <c r="AH259" i="29" s="1"/>
  <c r="AA259" i="29"/>
  <c r="AB259" i="29" s="1"/>
  <c r="AC260" i="29"/>
  <c r="T260" i="29"/>
  <c r="Z260" i="29"/>
  <c r="W260" i="29"/>
  <c r="AF260" i="29"/>
  <c r="AG260" i="29" l="1"/>
  <c r="AH260" i="29" s="1"/>
  <c r="X260" i="29"/>
  <c r="Y260" i="29" s="1"/>
  <c r="AA260" i="29"/>
  <c r="AB260" i="29" s="1"/>
  <c r="U260" i="29"/>
  <c r="V260" i="29" s="1"/>
  <c r="AD260" i="29"/>
  <c r="AE260" i="29" s="1"/>
  <c r="AC261" i="29"/>
  <c r="AF261" i="29"/>
  <c r="Z261" i="29"/>
  <c r="W261" i="29"/>
  <c r="T261" i="29"/>
  <c r="U261" i="29" l="1"/>
  <c r="V261" i="29" s="1"/>
  <c r="X261" i="29"/>
  <c r="Y261" i="29" s="1"/>
  <c r="AA261" i="29"/>
  <c r="AB261" i="29" s="1"/>
  <c r="AG261" i="29"/>
  <c r="AH261" i="29" s="1"/>
  <c r="AD261" i="29"/>
  <c r="AE261" i="29" s="1"/>
  <c r="AC262" i="29"/>
  <c r="T262" i="29"/>
  <c r="Z262" i="29"/>
  <c r="W262" i="29"/>
  <c r="AF262" i="29"/>
  <c r="AG262" i="29" l="1"/>
  <c r="AH262" i="29" s="1"/>
  <c r="X262" i="29"/>
  <c r="Y262" i="29" s="1"/>
  <c r="AA262" i="29"/>
  <c r="AB262" i="29" s="1"/>
  <c r="U262" i="29"/>
  <c r="V262" i="29" s="1"/>
  <c r="AD262" i="29"/>
  <c r="AE262" i="29" s="1"/>
  <c r="AC263" i="29"/>
  <c r="AF263" i="29"/>
  <c r="Z263" i="29"/>
  <c r="W263" i="29"/>
  <c r="T263" i="29"/>
  <c r="U263" i="29" l="1"/>
  <c r="V263" i="29" s="1"/>
  <c r="X263" i="29"/>
  <c r="Y263" i="29" s="1"/>
  <c r="AA263" i="29"/>
  <c r="AB263" i="29" s="1"/>
  <c r="AG263" i="29"/>
  <c r="AH263" i="29" s="1"/>
  <c r="AD263" i="29"/>
  <c r="AE263" i="29" s="1"/>
  <c r="T264" i="29"/>
  <c r="Z264" i="29"/>
  <c r="AC264" i="29"/>
  <c r="W264" i="29"/>
  <c r="AF264" i="29"/>
  <c r="AG264" i="29" l="1"/>
  <c r="AH264" i="29" s="1"/>
  <c r="X264" i="29"/>
  <c r="Y264" i="29" s="1"/>
  <c r="AD264" i="29"/>
  <c r="AE264" i="29" s="1"/>
  <c r="AA264" i="29"/>
  <c r="AB264" i="29" s="1"/>
  <c r="U264" i="29"/>
  <c r="V264" i="29" s="1"/>
  <c r="AC265" i="29"/>
  <c r="T265" i="29"/>
  <c r="AF265" i="29"/>
  <c r="W265" i="29"/>
  <c r="Z265" i="29"/>
  <c r="AA265" i="29" l="1"/>
  <c r="AB265" i="29" s="1"/>
  <c r="X265" i="29"/>
  <c r="Y265" i="29" s="1"/>
  <c r="AG265" i="29"/>
  <c r="AH265" i="29" s="1"/>
  <c r="U265" i="29"/>
  <c r="V265" i="29" s="1"/>
  <c r="AD265" i="29"/>
  <c r="AE265" i="29" s="1"/>
  <c r="AF266" i="29"/>
  <c r="Z266" i="29"/>
  <c r="AC266" i="29"/>
  <c r="W266" i="29"/>
  <c r="T266" i="29"/>
  <c r="U266" i="29" l="1"/>
  <c r="V266" i="29" s="1"/>
  <c r="X266" i="29"/>
  <c r="Y266" i="29" s="1"/>
  <c r="AD266" i="29"/>
  <c r="AE266" i="29" s="1"/>
  <c r="AA266" i="29"/>
  <c r="AB266" i="29" s="1"/>
  <c r="AG266" i="29"/>
  <c r="AH266" i="29" s="1"/>
  <c r="T267" i="29"/>
  <c r="AC267" i="29"/>
  <c r="AF267" i="29"/>
  <c r="W267" i="29"/>
  <c r="Z267" i="29"/>
  <c r="AA267" i="29" l="1"/>
  <c r="AB267" i="29" s="1"/>
  <c r="X267" i="29"/>
  <c r="Y267" i="29" s="1"/>
  <c r="AG267" i="29"/>
  <c r="AH267" i="29" s="1"/>
  <c r="AD267" i="29"/>
  <c r="AE267" i="29" s="1"/>
  <c r="U267" i="29"/>
  <c r="V267" i="29" s="1"/>
  <c r="AF268" i="29"/>
  <c r="T268" i="29"/>
  <c r="Z268" i="29"/>
  <c r="W268" i="29"/>
  <c r="AC268" i="29"/>
  <c r="AD268" i="29" l="1"/>
  <c r="AE268" i="29" s="1"/>
  <c r="X268" i="29"/>
  <c r="Y268" i="29" s="1"/>
  <c r="AA268" i="29"/>
  <c r="AB268" i="29" s="1"/>
  <c r="U268" i="29"/>
  <c r="V268" i="29" s="1"/>
  <c r="AG268" i="29"/>
  <c r="AH268" i="29" s="1"/>
  <c r="Z269" i="29"/>
  <c r="AF269" i="29"/>
  <c r="AC269" i="29"/>
  <c r="T269" i="29"/>
  <c r="W269" i="29"/>
  <c r="X269" i="29" l="1"/>
  <c r="Y269" i="29" s="1"/>
  <c r="U269" i="29"/>
  <c r="V269" i="29" s="1"/>
  <c r="AD269" i="29"/>
  <c r="AE269" i="29" s="1"/>
  <c r="AG269" i="29"/>
  <c r="AH269" i="29" s="1"/>
  <c r="AA269" i="29"/>
  <c r="AB269" i="29" s="1"/>
  <c r="W270" i="29"/>
  <c r="Z270" i="29"/>
  <c r="AC270" i="29"/>
  <c r="AF270" i="29"/>
  <c r="T270" i="29"/>
  <c r="U270" i="29" l="1"/>
  <c r="V270" i="29" s="1"/>
  <c r="AG270" i="29"/>
  <c r="AH270" i="29" s="1"/>
  <c r="AD270" i="29"/>
  <c r="AE270" i="29" s="1"/>
  <c r="AA270" i="29"/>
  <c r="AB270" i="29" s="1"/>
  <c r="X270" i="29"/>
  <c r="Y270" i="29" s="1"/>
  <c r="W271" i="29"/>
  <c r="T271" i="29"/>
  <c r="AC271" i="29"/>
  <c r="AF271" i="29"/>
  <c r="Z271" i="29"/>
  <c r="AA271" i="29" l="1"/>
  <c r="AB271" i="29" s="1"/>
  <c r="AG271" i="29"/>
  <c r="AH271" i="29" s="1"/>
  <c r="AD271" i="29"/>
  <c r="AE271" i="29" s="1"/>
  <c r="U271" i="29"/>
  <c r="V271" i="29" s="1"/>
  <c r="X271" i="29"/>
  <c r="Y271" i="29" s="1"/>
  <c r="AC272" i="29"/>
  <c r="Z272" i="29"/>
  <c r="W272" i="29"/>
  <c r="T272" i="29"/>
  <c r="AF272" i="29"/>
  <c r="AG272" i="29" l="1"/>
  <c r="AH272" i="29" s="1"/>
  <c r="U272" i="29"/>
  <c r="V272" i="29" s="1"/>
  <c r="X272" i="29"/>
  <c r="Y272" i="29" s="1"/>
  <c r="AA272" i="29"/>
  <c r="AB272" i="29" s="1"/>
  <c r="AD272" i="29"/>
  <c r="AE272" i="29" s="1"/>
  <c r="AC273" i="29"/>
  <c r="AF273" i="29"/>
  <c r="W273" i="29"/>
  <c r="Z273" i="29"/>
  <c r="T273" i="29"/>
  <c r="U273" i="29" l="1"/>
  <c r="V273" i="29" s="1"/>
  <c r="AA273" i="29"/>
  <c r="AB273" i="29" s="1"/>
  <c r="X273" i="29"/>
  <c r="Y273" i="29" s="1"/>
  <c r="AG273" i="29"/>
  <c r="AH273" i="29" s="1"/>
  <c r="AD273" i="29"/>
  <c r="AE273" i="29" s="1"/>
  <c r="W274" i="29"/>
  <c r="AC274" i="29"/>
  <c r="T274" i="29"/>
  <c r="Z274" i="29"/>
  <c r="AF274" i="29"/>
  <c r="AG274" i="29" l="1"/>
  <c r="AH274" i="29" s="1"/>
  <c r="AA274" i="29"/>
  <c r="AB274" i="29" s="1"/>
  <c r="U274" i="29"/>
  <c r="V274" i="29" s="1"/>
  <c r="AD274" i="29"/>
  <c r="AE274" i="29" s="1"/>
  <c r="X274" i="29"/>
  <c r="Y274" i="29" s="1"/>
  <c r="AF275" i="29"/>
  <c r="T275" i="29"/>
  <c r="W275" i="29"/>
  <c r="Z275" i="29"/>
  <c r="AC275" i="29"/>
  <c r="AD275" i="29" l="1"/>
  <c r="AE275" i="29" s="1"/>
  <c r="AA275" i="29"/>
  <c r="AB275" i="29" s="1"/>
  <c r="X275" i="29"/>
  <c r="Y275" i="29" s="1"/>
  <c r="U275" i="29"/>
  <c r="V275" i="29" s="1"/>
  <c r="AG275" i="29"/>
  <c r="AH275" i="29" s="1"/>
  <c r="AC276" i="29"/>
  <c r="W276" i="29"/>
  <c r="AF276" i="29"/>
  <c r="Z276" i="29"/>
  <c r="T276" i="29"/>
  <c r="U276" i="29" l="1"/>
  <c r="V276" i="29" s="1"/>
  <c r="AA276" i="29"/>
  <c r="AB276" i="29" s="1"/>
  <c r="AG276" i="29"/>
  <c r="AH276" i="29" s="1"/>
  <c r="X276" i="29"/>
  <c r="Y276" i="29" s="1"/>
  <c r="AD276" i="29"/>
  <c r="AE276" i="29" s="1"/>
  <c r="Z277" i="29"/>
  <c r="T277" i="29"/>
  <c r="AF277" i="29"/>
  <c r="AC277" i="29"/>
  <c r="W277" i="29"/>
  <c r="X277" i="29" l="1"/>
  <c r="Y277" i="29" s="1"/>
  <c r="AD277" i="29"/>
  <c r="AE277" i="29" s="1"/>
  <c r="AG277" i="29"/>
  <c r="AH277" i="29" s="1"/>
  <c r="U277" i="29"/>
  <c r="V277" i="29" s="1"/>
  <c r="AA277" i="29"/>
  <c r="AB277" i="29" s="1"/>
  <c r="W278" i="29"/>
  <c r="Z278" i="29"/>
  <c r="AC278" i="29"/>
  <c r="AF278" i="29"/>
  <c r="T278" i="29"/>
  <c r="U278" i="29" l="1"/>
  <c r="V278" i="29" s="1"/>
  <c r="AG278" i="29"/>
  <c r="AH278" i="29" s="1"/>
  <c r="AD278" i="29"/>
  <c r="AE278" i="29" s="1"/>
  <c r="AA278" i="29"/>
  <c r="AB278" i="29" s="1"/>
  <c r="X278" i="29"/>
  <c r="Y278" i="29" s="1"/>
  <c r="T279" i="29"/>
  <c r="AC279" i="29"/>
  <c r="W279" i="29"/>
  <c r="AF279" i="29"/>
  <c r="Z279" i="29"/>
  <c r="AA279" i="29" l="1"/>
  <c r="AB279" i="29" s="1"/>
  <c r="AG279" i="29"/>
  <c r="AH279" i="29" s="1"/>
  <c r="X279" i="29"/>
  <c r="Y279" i="29" s="1"/>
  <c r="AD279" i="29"/>
  <c r="AE279" i="29" s="1"/>
  <c r="U279" i="29"/>
  <c r="V279" i="29" s="1"/>
  <c r="Z280" i="29"/>
  <c r="T280" i="29"/>
  <c r="AC280" i="29"/>
  <c r="W280" i="29"/>
  <c r="AF280" i="29"/>
  <c r="AG280" i="29" l="1"/>
  <c r="AH280" i="29" s="1"/>
  <c r="X280" i="29"/>
  <c r="Y280" i="29" s="1"/>
  <c r="AD280" i="29"/>
  <c r="AE280" i="29" s="1"/>
  <c r="U280" i="29"/>
  <c r="V280" i="29" s="1"/>
  <c r="AA280" i="29"/>
  <c r="AB280" i="29" s="1"/>
  <c r="AC281" i="29"/>
  <c r="AF281" i="29"/>
  <c r="Z281" i="29"/>
  <c r="T281" i="29"/>
  <c r="W281" i="29"/>
  <c r="X281" i="29" l="1"/>
  <c r="Y281" i="29" s="1"/>
  <c r="U281" i="29"/>
  <c r="V281" i="29" s="1"/>
  <c r="AA281" i="29"/>
  <c r="AB281" i="29" s="1"/>
  <c r="AG281" i="29"/>
  <c r="AH281" i="29" s="1"/>
  <c r="AD281" i="29"/>
  <c r="AE281" i="29" s="1"/>
  <c r="AC282" i="29"/>
  <c r="W282" i="29"/>
  <c r="Z282" i="29"/>
  <c r="T282" i="29"/>
  <c r="AF282" i="29"/>
  <c r="AG282" i="29" l="1"/>
  <c r="AH282" i="29" s="1"/>
  <c r="U282" i="29"/>
  <c r="V282" i="29" s="1"/>
  <c r="AA282" i="29"/>
  <c r="AB282" i="29" s="1"/>
  <c r="X282" i="29"/>
  <c r="Y282" i="29" s="1"/>
  <c r="AD282" i="29"/>
  <c r="AE282" i="29" s="1"/>
  <c r="AF283" i="29"/>
  <c r="Z283" i="29"/>
  <c r="T283" i="29"/>
  <c r="AC283" i="29"/>
  <c r="W283" i="29"/>
  <c r="X283" i="29" l="1"/>
  <c r="Y283" i="29" s="1"/>
  <c r="AD283" i="29"/>
  <c r="AE283" i="29" s="1"/>
  <c r="U283" i="29"/>
  <c r="V283" i="29" s="1"/>
  <c r="AA283" i="29"/>
  <c r="AB283" i="29" s="1"/>
  <c r="AG283" i="29"/>
  <c r="AH283" i="29" s="1"/>
  <c r="W284" i="29"/>
  <c r="T284" i="29"/>
  <c r="Z284" i="29"/>
  <c r="AF284" i="29"/>
  <c r="AC284" i="29"/>
  <c r="AD284" i="29" l="1"/>
  <c r="AE284" i="29" s="1"/>
  <c r="AG284" i="29"/>
  <c r="AH284" i="29" s="1"/>
  <c r="AA284" i="29"/>
  <c r="AB284" i="29" s="1"/>
  <c r="U284" i="29"/>
  <c r="V284" i="29" s="1"/>
  <c r="X284" i="29"/>
  <c r="Y284" i="29" s="1"/>
  <c r="AC285" i="29"/>
  <c r="Z285" i="29"/>
  <c r="AF285" i="29"/>
  <c r="W285" i="29"/>
  <c r="T285" i="29"/>
  <c r="U285" i="29" l="1"/>
  <c r="V285" i="29" s="1"/>
  <c r="X285" i="29"/>
  <c r="Y285" i="29" s="1"/>
  <c r="AG285" i="29"/>
  <c r="AH285" i="29" s="1"/>
  <c r="AA285" i="29"/>
  <c r="AB285" i="29" s="1"/>
  <c r="AD285" i="29"/>
  <c r="AE285" i="29" s="1"/>
  <c r="AC286" i="29"/>
  <c r="Z286" i="29"/>
  <c r="T286" i="29"/>
  <c r="AF286" i="29"/>
  <c r="W286" i="29"/>
  <c r="X286" i="29" l="1"/>
  <c r="Y286" i="29" s="1"/>
  <c r="AG286" i="29"/>
  <c r="AH286" i="29" s="1"/>
  <c r="U286" i="29"/>
  <c r="V286" i="29" s="1"/>
  <c r="AA286" i="29"/>
  <c r="AB286" i="29" s="1"/>
  <c r="AD286" i="29"/>
  <c r="AE286" i="29" s="1"/>
  <c r="AC287" i="29"/>
  <c r="Z287" i="29"/>
  <c r="W287" i="29"/>
  <c r="T287" i="29"/>
  <c r="AF287" i="29"/>
  <c r="AG287" i="29" l="1"/>
  <c r="AH287" i="29" s="1"/>
  <c r="U287" i="29"/>
  <c r="V287" i="29" s="1"/>
  <c r="X287" i="29"/>
  <c r="Y287" i="29" s="1"/>
  <c r="AA287" i="29"/>
  <c r="AB287" i="29" s="1"/>
  <c r="AD287" i="29"/>
  <c r="AE287" i="29" s="1"/>
  <c r="AF288" i="29"/>
  <c r="T288" i="29"/>
  <c r="W288" i="29"/>
  <c r="AC288" i="29"/>
  <c r="Z288" i="29"/>
  <c r="AA288" i="29" l="1"/>
  <c r="AB288" i="29" s="1"/>
  <c r="AD288" i="29"/>
  <c r="AE288" i="29" s="1"/>
  <c r="X288" i="29"/>
  <c r="Y288" i="29" s="1"/>
  <c r="U288" i="29"/>
  <c r="V288" i="29" s="1"/>
  <c r="AG288" i="29"/>
  <c r="AH288" i="29" s="1"/>
  <c r="Z289" i="29"/>
  <c r="W289" i="29"/>
  <c r="AF289" i="29"/>
  <c r="AC289" i="29"/>
  <c r="T289" i="29"/>
  <c r="U289" i="29" l="1"/>
  <c r="V289" i="29" s="1"/>
  <c r="AD289" i="29"/>
  <c r="AE289" i="29" s="1"/>
  <c r="AG289" i="29"/>
  <c r="AH289" i="29" s="1"/>
  <c r="X289" i="29"/>
  <c r="Y289" i="29" s="1"/>
  <c r="AA289" i="29"/>
  <c r="AB289" i="29" s="1"/>
  <c r="AF290" i="29"/>
  <c r="Z290" i="29"/>
  <c r="W290" i="29"/>
  <c r="T290" i="29"/>
  <c r="AC290" i="29"/>
  <c r="AD290" i="29" l="1"/>
  <c r="AE290" i="29" s="1"/>
  <c r="U290" i="29"/>
  <c r="V290" i="29" s="1"/>
  <c r="X290" i="29"/>
  <c r="Y290" i="29" s="1"/>
  <c r="AA290" i="29"/>
  <c r="AB290" i="29" s="1"/>
  <c r="AG290" i="29"/>
  <c r="AH290" i="29" s="1"/>
  <c r="W291" i="29"/>
  <c r="AC291" i="29"/>
  <c r="AF291" i="29"/>
  <c r="T291" i="29"/>
  <c r="Z291" i="29"/>
  <c r="AA291" i="29" l="1"/>
  <c r="AB291" i="29" s="1"/>
  <c r="U291" i="29"/>
  <c r="V291" i="29" s="1"/>
  <c r="AG291" i="29"/>
  <c r="AH291" i="29" s="1"/>
  <c r="AD291" i="29"/>
  <c r="AE291" i="29" s="1"/>
  <c r="X291" i="29"/>
  <c r="Y291" i="29" s="1"/>
  <c r="W292" i="29"/>
  <c r="Z292" i="29"/>
  <c r="AF292" i="29"/>
  <c r="AC292" i="29"/>
  <c r="T292" i="29"/>
  <c r="U292" i="29" l="1"/>
  <c r="V292" i="29" s="1"/>
  <c r="AD292" i="29"/>
  <c r="AE292" i="29" s="1"/>
  <c r="AG292" i="29"/>
  <c r="AH292" i="29" s="1"/>
  <c r="AA292" i="29"/>
  <c r="AB292" i="29" s="1"/>
  <c r="X292" i="29"/>
  <c r="Y292" i="29" s="1"/>
  <c r="T293" i="29"/>
  <c r="AF293" i="29"/>
  <c r="W293" i="29"/>
  <c r="Z293" i="29"/>
  <c r="AC293" i="29"/>
  <c r="AD293" i="29" l="1"/>
  <c r="AE293" i="29" s="1"/>
  <c r="AA293" i="29"/>
  <c r="AB293" i="29" s="1"/>
  <c r="X293" i="29"/>
  <c r="Y293" i="29" s="1"/>
  <c r="AG293" i="29"/>
  <c r="AH293" i="29" s="1"/>
  <c r="U293" i="29"/>
  <c r="V293" i="29" s="1"/>
  <c r="W294" i="29"/>
  <c r="T294" i="29"/>
  <c r="AC294" i="29"/>
  <c r="AF294" i="29"/>
  <c r="Z294" i="29"/>
  <c r="AA294" i="29" l="1"/>
  <c r="AB294" i="29" s="1"/>
  <c r="AG294" i="29"/>
  <c r="AH294" i="29" s="1"/>
  <c r="AD294" i="29"/>
  <c r="AE294" i="29" s="1"/>
  <c r="U294" i="29"/>
  <c r="V294" i="29" s="1"/>
  <c r="X294" i="29"/>
  <c r="Y294" i="29" s="1"/>
  <c r="Z295" i="29"/>
  <c r="AF295" i="29"/>
  <c r="AC295" i="29"/>
  <c r="W295" i="29"/>
  <c r="T295" i="29"/>
  <c r="U295" i="29" l="1"/>
  <c r="V295" i="29" s="1"/>
  <c r="X295" i="29"/>
  <c r="Y295" i="29" s="1"/>
  <c r="AD295" i="29"/>
  <c r="AE295" i="29" s="1"/>
  <c r="AG295" i="29"/>
  <c r="AH295" i="29" s="1"/>
  <c r="AA295" i="29"/>
  <c r="AB295" i="29" s="1"/>
  <c r="Z296" i="29"/>
  <c r="AC296" i="29"/>
  <c r="T296" i="29"/>
  <c r="W296" i="29"/>
  <c r="AF296" i="29"/>
  <c r="AG296" i="29" l="1"/>
  <c r="AH296" i="29" s="1"/>
  <c r="X296" i="29"/>
  <c r="Y296" i="29" s="1"/>
  <c r="U296" i="29"/>
  <c r="V296" i="29" s="1"/>
  <c r="AD296" i="29"/>
  <c r="AE296" i="29" s="1"/>
  <c r="AA296" i="29"/>
  <c r="AB296" i="29" s="1"/>
  <c r="T297" i="29"/>
  <c r="Z297" i="29"/>
  <c r="AF297" i="29"/>
  <c r="W297" i="29"/>
  <c r="AC297" i="29"/>
  <c r="AD297" i="29" l="1"/>
  <c r="AE297" i="29" s="1"/>
  <c r="X297" i="29"/>
  <c r="Y297" i="29" s="1"/>
  <c r="AG297" i="29"/>
  <c r="AH297" i="29" s="1"/>
  <c r="AA297" i="29"/>
  <c r="AB297" i="29" s="1"/>
  <c r="U297" i="29"/>
  <c r="V297" i="29" s="1"/>
  <c r="AF298" i="29"/>
  <c r="Z298" i="29"/>
  <c r="AC298" i="29"/>
  <c r="T298" i="29"/>
  <c r="W298" i="29"/>
  <c r="X298" i="29" l="1"/>
  <c r="Y298" i="29" s="1"/>
  <c r="U298" i="29"/>
  <c r="V298" i="29" s="1"/>
  <c r="AD298" i="29"/>
  <c r="AE298" i="29" s="1"/>
  <c r="AA298" i="29"/>
  <c r="AB298" i="29" s="1"/>
  <c r="AG298" i="29"/>
  <c r="AH298" i="29" s="1"/>
  <c r="W299" i="29"/>
  <c r="Z299" i="29"/>
  <c r="AC299" i="29"/>
  <c r="AF299" i="29"/>
  <c r="T299" i="29"/>
  <c r="U299" i="29" l="1"/>
  <c r="V299" i="29" s="1"/>
  <c r="AG299" i="29"/>
  <c r="AH299" i="29" s="1"/>
  <c r="AD299" i="29"/>
  <c r="AE299" i="29" s="1"/>
  <c r="AA299" i="29"/>
  <c r="AB299" i="29" s="1"/>
  <c r="X299" i="29"/>
  <c r="Y299" i="29" s="1"/>
  <c r="AC300" i="29"/>
  <c r="T300" i="29"/>
  <c r="W300" i="29"/>
  <c r="Z300" i="29"/>
  <c r="AF300" i="29"/>
  <c r="AG300" i="29" l="1"/>
  <c r="AH300" i="29" s="1"/>
  <c r="AA300" i="29"/>
  <c r="AB300" i="29" s="1"/>
  <c r="X300" i="29"/>
  <c r="Y300" i="29" s="1"/>
  <c r="U300" i="29"/>
  <c r="V300" i="29" s="1"/>
  <c r="AD300" i="29"/>
  <c r="AE300" i="29" s="1"/>
  <c r="AF301" i="29"/>
  <c r="W301" i="29"/>
  <c r="AC301" i="29"/>
  <c r="Z301" i="29"/>
  <c r="T301" i="29"/>
  <c r="U301" i="29" l="1"/>
  <c r="V301" i="29" s="1"/>
  <c r="AA301" i="29"/>
  <c r="AB301" i="29" s="1"/>
  <c r="AD301" i="29"/>
  <c r="AE301" i="29" s="1"/>
  <c r="X301" i="29"/>
  <c r="Y301" i="29" s="1"/>
  <c r="AG301" i="29"/>
  <c r="AH301" i="29" s="1"/>
  <c r="AF302" i="29"/>
  <c r="T302" i="29"/>
  <c r="AC302" i="29"/>
  <c r="W302" i="29"/>
  <c r="Z302" i="29"/>
  <c r="AA302" i="29" l="1"/>
  <c r="AB302" i="29" s="1"/>
  <c r="X302" i="29"/>
  <c r="Y302" i="29" s="1"/>
  <c r="AD302" i="29"/>
  <c r="AE302" i="29" s="1"/>
  <c r="U302" i="29"/>
  <c r="V302" i="29" s="1"/>
  <c r="AG302" i="29"/>
  <c r="AH302" i="29" s="1"/>
  <c r="Z303" i="29"/>
  <c r="AC303" i="29"/>
  <c r="AF303" i="29"/>
  <c r="T303" i="29"/>
  <c r="W303" i="29"/>
  <c r="X303" i="29" l="1"/>
  <c r="Y303" i="29" s="1"/>
  <c r="U303" i="29"/>
  <c r="V303" i="29" s="1"/>
  <c r="AG303" i="29"/>
  <c r="AH303" i="29" s="1"/>
  <c r="AD303" i="29"/>
  <c r="AE303" i="29" s="1"/>
  <c r="AA303" i="29"/>
  <c r="AB303" i="29" s="1"/>
  <c r="AF304" i="29"/>
  <c r="Z304" i="29"/>
  <c r="AC304" i="29"/>
  <c r="W304" i="29"/>
  <c r="T304" i="29"/>
  <c r="U304" i="29" l="1"/>
  <c r="V304" i="29" s="1"/>
  <c r="X304" i="29"/>
  <c r="Y304" i="29" s="1"/>
  <c r="AD304" i="29"/>
  <c r="AE304" i="29" s="1"/>
  <c r="AA304" i="29"/>
  <c r="AB304" i="29" s="1"/>
  <c r="AG304" i="29"/>
  <c r="AH304" i="29" s="1"/>
  <c r="T305" i="29"/>
  <c r="AF305" i="29"/>
  <c r="Z305" i="29"/>
  <c r="AC305" i="29"/>
  <c r="W305" i="29"/>
  <c r="X305" i="29" l="1"/>
  <c r="Y305" i="29" s="1"/>
  <c r="AD305" i="29"/>
  <c r="AE305" i="29" s="1"/>
  <c r="AA305" i="29"/>
  <c r="AB305" i="29" s="1"/>
  <c r="AG305" i="29"/>
  <c r="AH305" i="29" s="1"/>
  <c r="U305" i="29"/>
  <c r="V305" i="29" s="1"/>
  <c r="W306" i="29"/>
  <c r="Z306" i="29"/>
  <c r="AC306" i="29"/>
  <c r="T306" i="29"/>
  <c r="AF306" i="29"/>
  <c r="AG306" i="29" l="1"/>
  <c r="AH306" i="29" s="1"/>
  <c r="U306" i="29"/>
  <c r="V306" i="29" s="1"/>
  <c r="AD306" i="29"/>
  <c r="AE306" i="29" s="1"/>
  <c r="AA306" i="29"/>
  <c r="AB306" i="29" s="1"/>
  <c r="X306" i="29"/>
  <c r="Y306" i="29" s="1"/>
  <c r="T307" i="29"/>
  <c r="AF307" i="29"/>
  <c r="AC307" i="29"/>
  <c r="W307" i="29"/>
  <c r="Z307" i="29"/>
  <c r="AA307" i="29" l="1"/>
  <c r="AB307" i="29" s="1"/>
  <c r="X307" i="29"/>
  <c r="Y307" i="29" s="1"/>
  <c r="AD307" i="29"/>
  <c r="AE307" i="29" s="1"/>
  <c r="AG307" i="29"/>
  <c r="AH307" i="29" s="1"/>
  <c r="U307" i="29"/>
  <c r="V307" i="29" s="1"/>
  <c r="AC308" i="29"/>
  <c r="W308" i="29"/>
  <c r="Z308" i="29"/>
  <c r="T308" i="29"/>
  <c r="AF308" i="29"/>
  <c r="AG308" i="29" l="1"/>
  <c r="AH308" i="29" s="1"/>
  <c r="U308" i="29"/>
  <c r="V308" i="29" s="1"/>
  <c r="AA308" i="29"/>
  <c r="AB308" i="29" s="1"/>
  <c r="X308" i="29"/>
  <c r="Y308" i="29" s="1"/>
  <c r="AD308" i="29"/>
  <c r="AE308" i="29" s="1"/>
  <c r="AF309" i="29"/>
  <c r="Z309" i="29"/>
  <c r="AC309" i="29"/>
  <c r="T309" i="29"/>
  <c r="W309" i="29"/>
  <c r="X309" i="29" l="1"/>
  <c r="Y309" i="29" s="1"/>
  <c r="U309" i="29"/>
  <c r="V309" i="29" s="1"/>
  <c r="AD309" i="29"/>
  <c r="AE309" i="29" s="1"/>
  <c r="AA309" i="29"/>
  <c r="AB309" i="29" s="1"/>
  <c r="AG309" i="29"/>
  <c r="AH309" i="29" s="1"/>
  <c r="AC310" i="29"/>
  <c r="AF310" i="29"/>
  <c r="T310" i="29"/>
  <c r="W310" i="29"/>
  <c r="Z310" i="29"/>
  <c r="AA310" i="29" l="1"/>
  <c r="AB310" i="29" s="1"/>
  <c r="X310" i="29"/>
  <c r="Y310" i="29" s="1"/>
  <c r="U310" i="29"/>
  <c r="V310" i="29" s="1"/>
  <c r="AG310" i="29"/>
  <c r="AH310" i="29" s="1"/>
  <c r="AD310" i="29"/>
  <c r="AE310" i="29" s="1"/>
  <c r="Z311" i="29"/>
  <c r="T311" i="29"/>
  <c r="AF311" i="29"/>
  <c r="W311" i="29"/>
  <c r="AC311" i="29"/>
  <c r="AD311" i="29" l="1"/>
  <c r="AE311" i="29" s="1"/>
  <c r="X311" i="29"/>
  <c r="Y311" i="29" s="1"/>
  <c r="AG311" i="29"/>
  <c r="AH311" i="29" s="1"/>
  <c r="U311" i="29"/>
  <c r="V311" i="29" s="1"/>
  <c r="AA311" i="29"/>
  <c r="AB311" i="29" s="1"/>
  <c r="AF312" i="29"/>
  <c r="W312" i="29"/>
  <c r="AC312" i="29"/>
  <c r="Z312" i="29"/>
  <c r="T312" i="29"/>
  <c r="U312" i="29" l="1"/>
  <c r="V312" i="29" s="1"/>
  <c r="AA312" i="29"/>
  <c r="AB312" i="29" s="1"/>
  <c r="AD312" i="29"/>
  <c r="AE312" i="29" s="1"/>
  <c r="X312" i="29"/>
  <c r="Y312" i="29" s="1"/>
  <c r="AG312" i="29"/>
  <c r="AH312" i="29" s="1"/>
  <c r="AC313" i="29"/>
  <c r="Z313" i="29"/>
  <c r="T313" i="29"/>
  <c r="AF313" i="29"/>
  <c r="W313" i="29"/>
  <c r="X313" i="29" l="1"/>
  <c r="Y313" i="29" s="1"/>
  <c r="AG313" i="29"/>
  <c r="AH313" i="29" s="1"/>
  <c r="U313" i="29"/>
  <c r="V313" i="29" s="1"/>
  <c r="AA313" i="29"/>
  <c r="AB313" i="29" s="1"/>
  <c r="AD313" i="29"/>
  <c r="AE313" i="29" s="1"/>
  <c r="AC314" i="29"/>
  <c r="Z314" i="29"/>
  <c r="W314" i="29"/>
  <c r="T314" i="29"/>
  <c r="AF314" i="29"/>
  <c r="AG314" i="29" l="1"/>
  <c r="AH314" i="29" s="1"/>
  <c r="U314" i="29"/>
  <c r="V314" i="29" s="1"/>
  <c r="X314" i="29"/>
  <c r="Y314" i="29" s="1"/>
  <c r="AA314" i="29"/>
  <c r="AB314" i="29" s="1"/>
  <c r="AD314" i="29"/>
  <c r="AE314" i="29" s="1"/>
  <c r="AF315" i="29"/>
  <c r="W315" i="29"/>
  <c r="AC315" i="29"/>
  <c r="T315" i="29"/>
  <c r="Z315" i="29"/>
  <c r="AA315" i="29" l="1"/>
  <c r="AB315" i="29" s="1"/>
  <c r="U315" i="29"/>
  <c r="V315" i="29" s="1"/>
  <c r="AD315" i="29"/>
  <c r="AE315" i="29" s="1"/>
  <c r="X315" i="29"/>
  <c r="Y315" i="29" s="1"/>
  <c r="AG315" i="29"/>
  <c r="AH315" i="29" s="1"/>
  <c r="Z316" i="29"/>
  <c r="AC316" i="29"/>
  <c r="AF316" i="29"/>
  <c r="T316" i="29"/>
  <c r="W316" i="29"/>
  <c r="X316" i="29" l="1"/>
  <c r="Y316" i="29" s="1"/>
  <c r="U316" i="29"/>
  <c r="V316" i="29" s="1"/>
  <c r="AG316" i="29"/>
  <c r="AH316" i="29" s="1"/>
  <c r="AD316" i="29"/>
  <c r="AE316" i="29" s="1"/>
  <c r="AA316" i="29"/>
  <c r="AB316" i="29" s="1"/>
  <c r="W317" i="29"/>
  <c r="AF317" i="29"/>
  <c r="Z317" i="29"/>
  <c r="T317" i="29"/>
  <c r="AC317" i="29"/>
  <c r="AD317" i="29" l="1"/>
  <c r="AE317" i="29" s="1"/>
  <c r="U317" i="29"/>
  <c r="V317" i="29" s="1"/>
  <c r="AA317" i="29"/>
  <c r="AB317" i="29" s="1"/>
  <c r="AG317" i="29"/>
  <c r="AH317" i="29" s="1"/>
  <c r="X317" i="29"/>
  <c r="Y317" i="29" s="1"/>
  <c r="Z318" i="29"/>
  <c r="AF318" i="29"/>
  <c r="AC318" i="29"/>
  <c r="W318" i="29"/>
  <c r="T318" i="29"/>
  <c r="U318" i="29" l="1"/>
  <c r="V318" i="29" s="1"/>
  <c r="X318" i="29"/>
  <c r="Y318" i="29" s="1"/>
  <c r="AD318" i="29"/>
  <c r="AE318" i="29" s="1"/>
  <c r="AG318" i="29"/>
  <c r="AH318" i="29" s="1"/>
  <c r="AA318" i="29"/>
  <c r="AB318" i="29" s="1"/>
  <c r="AC319" i="29"/>
  <c r="Z319" i="29"/>
  <c r="T319" i="29"/>
  <c r="W319" i="29"/>
  <c r="AF319" i="29"/>
  <c r="AG319" i="29" l="1"/>
  <c r="AH319" i="29" s="1"/>
  <c r="X319" i="29"/>
  <c r="Y319" i="29" s="1"/>
  <c r="U319" i="29"/>
  <c r="V319" i="29" s="1"/>
  <c r="AA319" i="29"/>
  <c r="AB319" i="29" s="1"/>
  <c r="AD319" i="29"/>
  <c r="AE319" i="29" s="1"/>
  <c r="AF320" i="29"/>
  <c r="T320" i="29"/>
  <c r="AC320" i="29"/>
  <c r="Z320" i="29"/>
  <c r="W320" i="29"/>
  <c r="X320" i="29" l="1"/>
  <c r="Y320" i="29" s="1"/>
  <c r="AA320" i="29"/>
  <c r="AB320" i="29" s="1"/>
  <c r="AD320" i="29"/>
  <c r="AE320" i="29" s="1"/>
  <c r="U320" i="29"/>
  <c r="V320" i="29" s="1"/>
  <c r="AG320" i="29"/>
  <c r="AH320" i="29" s="1"/>
  <c r="AC321" i="29"/>
  <c r="AF321" i="29"/>
  <c r="W321" i="29"/>
  <c r="Z321" i="29"/>
  <c r="T321" i="29"/>
  <c r="U321" i="29" l="1"/>
  <c r="V321" i="29" s="1"/>
  <c r="AA321" i="29"/>
  <c r="AB321" i="29" s="1"/>
  <c r="X321" i="29"/>
  <c r="Y321" i="29" s="1"/>
  <c r="AG321" i="29"/>
  <c r="AH321" i="29" s="1"/>
  <c r="AD321" i="29"/>
  <c r="AE321" i="29" s="1"/>
  <c r="AC322" i="29"/>
  <c r="T322" i="29"/>
  <c r="W322" i="29"/>
  <c r="AF322" i="29"/>
  <c r="Z322" i="29"/>
  <c r="AA322" i="29" l="1"/>
  <c r="AB322" i="29" s="1"/>
  <c r="AG322" i="29"/>
  <c r="AH322" i="29" s="1"/>
  <c r="X322" i="29"/>
  <c r="Y322" i="29" s="1"/>
  <c r="U322" i="29"/>
  <c r="V322" i="29" s="1"/>
  <c r="AD322" i="29"/>
  <c r="AE322" i="29" s="1"/>
  <c r="Z323" i="29"/>
  <c r="AC323" i="29"/>
  <c r="W323" i="29"/>
  <c r="AF323" i="29"/>
  <c r="T323" i="29"/>
  <c r="U323" i="29" l="1"/>
  <c r="V323" i="29" s="1"/>
  <c r="AG323" i="29"/>
  <c r="AH323" i="29" s="1"/>
  <c r="X323" i="29"/>
  <c r="Y323" i="29" s="1"/>
  <c r="AD323" i="29"/>
  <c r="AE323" i="29" s="1"/>
  <c r="AA323" i="29"/>
  <c r="AB323" i="29" s="1"/>
  <c r="T324" i="29"/>
  <c r="Z324" i="29"/>
  <c r="W324" i="29"/>
  <c r="AC324" i="29"/>
  <c r="AF324" i="29"/>
  <c r="AG324" i="29" l="1"/>
  <c r="AH324" i="29" s="1"/>
  <c r="AD324" i="29"/>
  <c r="AE324" i="29" s="1"/>
  <c r="X324" i="29"/>
  <c r="Y324" i="29" s="1"/>
  <c r="AA324" i="29"/>
  <c r="AB324" i="29" s="1"/>
  <c r="U324" i="29"/>
  <c r="V324" i="29" s="1"/>
  <c r="AF325" i="29"/>
  <c r="W325" i="29"/>
  <c r="T325" i="29"/>
  <c r="AC325" i="29"/>
  <c r="Z325" i="29"/>
  <c r="AA325" i="29" l="1"/>
  <c r="AB325" i="29" s="1"/>
  <c r="AD325" i="29"/>
  <c r="AE325" i="29" s="1"/>
  <c r="U325" i="29"/>
  <c r="V325" i="29" s="1"/>
  <c r="X325" i="29"/>
  <c r="Y325" i="29" s="1"/>
  <c r="AG325" i="29"/>
  <c r="AH325" i="29" s="1"/>
  <c r="AF326" i="29"/>
  <c r="Z326" i="29"/>
  <c r="T326" i="29"/>
  <c r="AC326" i="29"/>
  <c r="W326" i="29"/>
  <c r="X326" i="29" l="1"/>
  <c r="Y326" i="29" s="1"/>
  <c r="AD326" i="29"/>
  <c r="AE326" i="29" s="1"/>
  <c r="U326" i="29"/>
  <c r="V326" i="29" s="1"/>
  <c r="AA326" i="29"/>
  <c r="AB326" i="29" s="1"/>
  <c r="AG326" i="29"/>
  <c r="AH326" i="29" s="1"/>
  <c r="W327" i="29"/>
  <c r="AF327" i="29"/>
  <c r="T327" i="29"/>
  <c r="AC327" i="29"/>
  <c r="Z327" i="29"/>
  <c r="AA327" i="29" l="1"/>
  <c r="AB327" i="29" s="1"/>
  <c r="AD327" i="29"/>
  <c r="AE327" i="29" s="1"/>
  <c r="U327" i="29"/>
  <c r="V327" i="29" s="1"/>
  <c r="AG327" i="29"/>
  <c r="AH327" i="29" s="1"/>
  <c r="X327" i="29"/>
  <c r="Y327" i="29" s="1"/>
  <c r="T328" i="29"/>
  <c r="Z328" i="29"/>
  <c r="W328" i="29"/>
  <c r="AC328" i="29"/>
  <c r="AF328" i="29"/>
  <c r="AG328" i="29" l="1"/>
  <c r="AH328" i="29" s="1"/>
  <c r="AD328" i="29"/>
  <c r="AE328" i="29" s="1"/>
  <c r="X328" i="29"/>
  <c r="Y328" i="29" s="1"/>
  <c r="AA328" i="29"/>
  <c r="AB328" i="29" s="1"/>
  <c r="U328" i="29"/>
  <c r="V328" i="29" s="1"/>
  <c r="AF329" i="29"/>
  <c r="W329" i="29"/>
  <c r="T329" i="29"/>
  <c r="AC329" i="29"/>
  <c r="Z329" i="29"/>
  <c r="AA329" i="29" l="1"/>
  <c r="AB329" i="29" s="1"/>
  <c r="AD329" i="29"/>
  <c r="AE329" i="29" s="1"/>
  <c r="U329" i="29"/>
  <c r="V329" i="29" s="1"/>
  <c r="X329" i="29"/>
  <c r="Y329" i="29" s="1"/>
  <c r="AG329" i="29"/>
  <c r="AH329" i="29" s="1"/>
  <c r="Z330" i="29"/>
  <c r="T330" i="29"/>
  <c r="AF330" i="29"/>
  <c r="AC330" i="29"/>
  <c r="W330" i="29"/>
  <c r="X330" i="29" l="1"/>
  <c r="Y330" i="29" s="1"/>
  <c r="AD330" i="29"/>
  <c r="AE330" i="29" s="1"/>
  <c r="AG330" i="29"/>
  <c r="AH330" i="29" s="1"/>
  <c r="U330" i="29"/>
  <c r="V330" i="29" s="1"/>
  <c r="AA330" i="29"/>
  <c r="AB330" i="29" s="1"/>
  <c r="W331" i="29"/>
  <c r="AF331" i="29"/>
  <c r="Z331" i="29"/>
  <c r="T331" i="29"/>
  <c r="AC331" i="29"/>
  <c r="AD331" i="29" l="1"/>
  <c r="AE331" i="29" s="1"/>
  <c r="U331" i="29"/>
  <c r="V331" i="29" s="1"/>
  <c r="AA331" i="29"/>
  <c r="AB331" i="29" s="1"/>
  <c r="AG331" i="29"/>
  <c r="AH331" i="29" s="1"/>
  <c r="X331" i="29"/>
  <c r="Y331" i="29" s="1"/>
  <c r="AC332" i="29"/>
  <c r="Z332" i="29"/>
  <c r="W332" i="29"/>
  <c r="T332" i="29"/>
  <c r="AF332" i="29"/>
  <c r="AG332" i="29" l="1"/>
  <c r="AH332" i="29" s="1"/>
  <c r="U332" i="29"/>
  <c r="V332" i="29" s="1"/>
  <c r="X332" i="29"/>
  <c r="Y332" i="29" s="1"/>
  <c r="AA332" i="29"/>
  <c r="AB332" i="29" s="1"/>
  <c r="AD332" i="29"/>
  <c r="AE332" i="29" s="1"/>
  <c r="W333" i="29"/>
  <c r="AF333" i="29"/>
  <c r="AC333" i="29"/>
  <c r="T333" i="29"/>
  <c r="Z333" i="29"/>
  <c r="AA333" i="29" l="1"/>
  <c r="AB333" i="29" s="1"/>
  <c r="U333" i="29"/>
  <c r="V333" i="29" s="1"/>
  <c r="AD333" i="29"/>
  <c r="AE333" i="29" s="1"/>
  <c r="AG333" i="29"/>
  <c r="AH333" i="29" s="1"/>
  <c r="X333" i="29"/>
  <c r="Y333" i="29" s="1"/>
  <c r="Z334" i="29"/>
  <c r="AC334" i="29"/>
  <c r="W334" i="29"/>
  <c r="AF334" i="29"/>
  <c r="T334" i="29"/>
  <c r="U334" i="29" l="1"/>
  <c r="V334" i="29" s="1"/>
  <c r="AG334" i="29"/>
  <c r="AH334" i="29" s="1"/>
  <c r="X334" i="29"/>
  <c r="Y334" i="29" s="1"/>
  <c r="AD334" i="29"/>
  <c r="AE334" i="29" s="1"/>
  <c r="AA334" i="29"/>
  <c r="AB334" i="29" s="1"/>
  <c r="T335" i="29"/>
  <c r="W335" i="29"/>
  <c r="Z335" i="29"/>
  <c r="AF335" i="29"/>
  <c r="AC335" i="29"/>
  <c r="AD335" i="29" l="1"/>
  <c r="AE335" i="29" s="1"/>
  <c r="AG335" i="29"/>
  <c r="AH335" i="29" s="1"/>
  <c r="AA335" i="29"/>
  <c r="AB335" i="29" s="1"/>
  <c r="X335" i="29"/>
  <c r="Y335" i="29" s="1"/>
  <c r="U335" i="29"/>
  <c r="V335" i="29" s="1"/>
  <c r="AC336" i="29"/>
  <c r="Z336" i="29"/>
  <c r="T336" i="29"/>
  <c r="W336" i="29"/>
  <c r="AF336" i="29"/>
  <c r="AG336" i="29" l="1"/>
  <c r="AH336" i="29" s="1"/>
  <c r="X336" i="29"/>
  <c r="Y336" i="29" s="1"/>
  <c r="U336" i="29"/>
  <c r="V336" i="29" s="1"/>
  <c r="AA336" i="29"/>
  <c r="AB336" i="29" s="1"/>
  <c r="AD336" i="29"/>
  <c r="AE336" i="29" s="1"/>
  <c r="AF337" i="29"/>
  <c r="AC337" i="29"/>
  <c r="T337" i="29"/>
  <c r="W337" i="29"/>
  <c r="Z337" i="29"/>
  <c r="AA337" i="29" l="1"/>
  <c r="AB337" i="29" s="1"/>
  <c r="X337" i="29"/>
  <c r="Y337" i="29" s="1"/>
  <c r="U337" i="29"/>
  <c r="V337" i="29" s="1"/>
  <c r="AD337" i="29"/>
  <c r="AE337" i="29" s="1"/>
  <c r="AG337" i="29"/>
  <c r="AH337" i="29" s="1"/>
  <c r="T338" i="29"/>
  <c r="AF338" i="29"/>
  <c r="Z338" i="29"/>
  <c r="W338" i="29"/>
  <c r="AC338" i="29"/>
  <c r="AD338" i="29" l="1"/>
  <c r="AE338" i="29" s="1"/>
  <c r="X338" i="29"/>
  <c r="Y338" i="29" s="1"/>
  <c r="AA338" i="29"/>
  <c r="AB338" i="29" s="1"/>
  <c r="AG338" i="29"/>
  <c r="AH338" i="29" s="1"/>
  <c r="U338" i="29"/>
  <c r="V338" i="29" s="1"/>
  <c r="T339" i="29"/>
  <c r="AC339" i="29"/>
  <c r="Z339" i="29"/>
  <c r="W339" i="29"/>
  <c r="AF339" i="29"/>
  <c r="AG339" i="29" l="1"/>
  <c r="AH339" i="29" s="1"/>
  <c r="X339" i="29"/>
  <c r="Y339" i="29" s="1"/>
  <c r="AA339" i="29"/>
  <c r="AB339" i="29" s="1"/>
  <c r="AD339" i="29"/>
  <c r="AE339" i="29" s="1"/>
  <c r="U339" i="29"/>
  <c r="V339" i="29" s="1"/>
  <c r="AF340" i="29"/>
  <c r="Z340" i="29"/>
  <c r="T340" i="29"/>
  <c r="W340" i="29"/>
  <c r="AC340" i="29"/>
  <c r="AD340" i="29" l="1"/>
  <c r="AE340" i="29" s="1"/>
  <c r="X340" i="29"/>
  <c r="Y340" i="29" s="1"/>
  <c r="U340" i="29"/>
  <c r="V340" i="29" s="1"/>
  <c r="AA340" i="29"/>
  <c r="AB340" i="29" s="1"/>
  <c r="AG340" i="29"/>
  <c r="AH340" i="29" s="1"/>
  <c r="AC341" i="29"/>
  <c r="T341" i="29"/>
  <c r="AF341" i="29"/>
  <c r="Z341" i="29"/>
  <c r="W341" i="29"/>
  <c r="X341" i="29" l="1"/>
  <c r="Y341" i="29" s="1"/>
  <c r="AA341" i="29"/>
  <c r="AB341" i="29" s="1"/>
  <c r="AG341" i="29"/>
  <c r="AH341" i="29" s="1"/>
  <c r="U341" i="29"/>
  <c r="V341" i="29" s="1"/>
  <c r="AD341" i="29"/>
  <c r="AE341" i="29" s="1"/>
  <c r="AC342" i="29"/>
  <c r="W342" i="29"/>
  <c r="AF342" i="29"/>
  <c r="Z342" i="29"/>
  <c r="T342" i="29"/>
  <c r="U342" i="29" l="1"/>
  <c r="V342" i="29" s="1"/>
  <c r="AA342" i="29"/>
  <c r="AB342" i="29" s="1"/>
  <c r="AG342" i="29"/>
  <c r="AH342" i="29" s="1"/>
  <c r="X342" i="29"/>
  <c r="Y342" i="29" s="1"/>
  <c r="AD342" i="29"/>
  <c r="AE342" i="29" s="1"/>
  <c r="T343" i="29"/>
  <c r="AC343" i="29"/>
  <c r="AF343" i="29"/>
  <c r="W343" i="29"/>
  <c r="Z343" i="29"/>
  <c r="AA343" i="29" l="1"/>
  <c r="AB343" i="29" s="1"/>
  <c r="X343" i="29"/>
  <c r="Y343" i="29" s="1"/>
  <c r="AG343" i="29"/>
  <c r="AH343" i="29" s="1"/>
  <c r="AD343" i="29"/>
  <c r="AE343" i="29" s="1"/>
  <c r="U343" i="29"/>
  <c r="V343" i="29" s="1"/>
  <c r="Z344" i="29"/>
  <c r="AF344" i="29"/>
  <c r="T344" i="29"/>
  <c r="AC344" i="29"/>
  <c r="W344" i="29"/>
  <c r="X344" i="29" l="1"/>
  <c r="Y344" i="29" s="1"/>
  <c r="AD344" i="29"/>
  <c r="AE344" i="29" s="1"/>
  <c r="U344" i="29"/>
  <c r="V344" i="29" s="1"/>
  <c r="AG344" i="29"/>
  <c r="AH344" i="29" s="1"/>
  <c r="AA344" i="29"/>
  <c r="AB344" i="29" s="1"/>
  <c r="W345" i="29"/>
  <c r="T345" i="29"/>
  <c r="Z345" i="29"/>
  <c r="AC345" i="29"/>
  <c r="AF345" i="29"/>
  <c r="AG345" i="29" l="1"/>
  <c r="AH345" i="29" s="1"/>
  <c r="AD345" i="29"/>
  <c r="AE345" i="29" s="1"/>
  <c r="AA345" i="29"/>
  <c r="AB345" i="29" s="1"/>
  <c r="U345" i="29"/>
  <c r="V345" i="29" s="1"/>
  <c r="X345" i="29"/>
  <c r="Y345" i="29" s="1"/>
  <c r="Z346" i="29"/>
  <c r="AF346" i="29"/>
  <c r="W346" i="29"/>
  <c r="T346" i="29"/>
  <c r="AC346" i="29"/>
  <c r="AD346" i="29" l="1"/>
  <c r="AE346" i="29" s="1"/>
  <c r="U346" i="29"/>
  <c r="V346" i="29" s="1"/>
  <c r="X346" i="29"/>
  <c r="Y346" i="29" s="1"/>
  <c r="AG346" i="29"/>
  <c r="AH346" i="29" s="1"/>
  <c r="AA346" i="29"/>
  <c r="AB346" i="29" s="1"/>
  <c r="W347" i="29"/>
  <c r="AC347" i="29"/>
  <c r="Z347" i="29"/>
  <c r="T347" i="29"/>
  <c r="AF347" i="29"/>
  <c r="AG347" i="29" l="1"/>
  <c r="AH347" i="29" s="1"/>
  <c r="U347" i="29"/>
  <c r="V347" i="29" s="1"/>
  <c r="AA347" i="29"/>
  <c r="AB347" i="29" s="1"/>
  <c r="AD347" i="29"/>
  <c r="AE347" i="29" s="1"/>
  <c r="X347" i="29"/>
  <c r="Y347" i="29" s="1"/>
  <c r="AF348" i="29"/>
  <c r="Z348" i="29"/>
  <c r="W348" i="29"/>
  <c r="AC348" i="29"/>
  <c r="T348" i="29"/>
  <c r="U348" i="29" l="1"/>
  <c r="V348" i="29" s="1"/>
  <c r="AD348" i="29"/>
  <c r="AE348" i="29" s="1"/>
  <c r="X348" i="29"/>
  <c r="Y348" i="29" s="1"/>
  <c r="AA348" i="29"/>
  <c r="AB348" i="29" s="1"/>
  <c r="AG348" i="29"/>
  <c r="AH348" i="29" s="1"/>
  <c r="W349" i="29"/>
  <c r="T349" i="29"/>
  <c r="AF349" i="29"/>
  <c r="AC349" i="29"/>
  <c r="Z349" i="29"/>
  <c r="AA349" i="29" l="1"/>
  <c r="AB349" i="29" s="1"/>
  <c r="AD349" i="29"/>
  <c r="AE349" i="29" s="1"/>
  <c r="AG349" i="29"/>
  <c r="AH349" i="29" s="1"/>
  <c r="U349" i="29"/>
  <c r="V349" i="29" s="1"/>
  <c r="X349" i="29"/>
  <c r="Y349" i="29" s="1"/>
  <c r="Z350" i="29"/>
  <c r="AF350" i="29"/>
  <c r="W350" i="29"/>
  <c r="AC350" i="29"/>
  <c r="T350" i="29"/>
  <c r="U350" i="29" l="1"/>
  <c r="V350" i="29" s="1"/>
  <c r="AD350" i="29"/>
  <c r="AE350" i="29" s="1"/>
  <c r="X350" i="29"/>
  <c r="Y350" i="29" s="1"/>
  <c r="AG350" i="29"/>
  <c r="AH350" i="29" s="1"/>
  <c r="AA350" i="29"/>
  <c r="AB350" i="29" s="1"/>
  <c r="Z351" i="29"/>
  <c r="T351" i="29"/>
  <c r="W351" i="29"/>
  <c r="AF351" i="29"/>
  <c r="AC351" i="29"/>
  <c r="AD351" i="29" l="1"/>
  <c r="AE351" i="29" s="1"/>
  <c r="AG351" i="29"/>
  <c r="AH351" i="29" s="1"/>
  <c r="X351" i="29"/>
  <c r="Y351" i="29" s="1"/>
  <c r="U351" i="29"/>
  <c r="V351" i="29" s="1"/>
  <c r="AA351" i="29"/>
  <c r="AB351" i="29" s="1"/>
  <c r="W352" i="29"/>
  <c r="AC352" i="29"/>
  <c r="Z352" i="29"/>
  <c r="AF352" i="29"/>
  <c r="T352" i="29"/>
  <c r="U352" i="29" l="1"/>
  <c r="V352" i="29" s="1"/>
  <c r="AG352" i="29"/>
  <c r="AH352" i="29" s="1"/>
  <c r="AA352" i="29"/>
  <c r="AB352" i="29" s="1"/>
  <c r="AD352" i="29"/>
  <c r="AE352" i="29" s="1"/>
  <c r="X352" i="29"/>
  <c r="Y352" i="29" s="1"/>
  <c r="T353" i="29"/>
  <c r="Z353" i="29"/>
  <c r="W353" i="29"/>
  <c r="AF353" i="29"/>
  <c r="AC353" i="29"/>
  <c r="AD353" i="29" l="1"/>
  <c r="AE353" i="29" s="1"/>
  <c r="AG353" i="29"/>
  <c r="AH353" i="29" s="1"/>
  <c r="X353" i="29"/>
  <c r="Y353" i="29" s="1"/>
  <c r="AA353" i="29"/>
  <c r="AB353" i="29" s="1"/>
  <c r="U353" i="29"/>
  <c r="V353" i="29" s="1"/>
  <c r="W354" i="29"/>
  <c r="T354" i="29"/>
  <c r="AC354" i="29"/>
  <c r="AF354" i="29"/>
  <c r="Z354" i="29"/>
  <c r="AA354" i="29" l="1"/>
  <c r="AB354" i="29" s="1"/>
  <c r="AG354" i="29"/>
  <c r="AH354" i="29" s="1"/>
  <c r="AD354" i="29"/>
  <c r="AE354" i="29" s="1"/>
  <c r="U354" i="29"/>
  <c r="V354" i="29" s="1"/>
  <c r="X354" i="29"/>
  <c r="Y354" i="29" s="1"/>
  <c r="Z355" i="29"/>
  <c r="AC355" i="29"/>
  <c r="W355" i="29"/>
  <c r="AF355" i="29"/>
  <c r="T355" i="29"/>
  <c r="U355" i="29" l="1"/>
  <c r="V355" i="29" s="1"/>
  <c r="AG355" i="29"/>
  <c r="AH355" i="29" s="1"/>
  <c r="X355" i="29"/>
  <c r="Y355" i="29" s="1"/>
  <c r="AD355" i="29"/>
  <c r="AE355" i="29" s="1"/>
  <c r="AA355" i="29"/>
  <c r="AB355" i="29" s="1"/>
  <c r="T356" i="29"/>
  <c r="W356" i="29"/>
  <c r="Z356" i="29"/>
  <c r="AF356" i="29"/>
  <c r="AC356" i="29"/>
  <c r="AD356" i="29" l="1"/>
  <c r="AE356" i="29" s="1"/>
  <c r="AG356" i="29"/>
  <c r="AH356" i="29" s="1"/>
  <c r="AA356" i="29"/>
  <c r="AB356" i="29" s="1"/>
  <c r="X356" i="29"/>
  <c r="Y356" i="29" s="1"/>
  <c r="U356" i="29"/>
  <c r="V356" i="29" s="1"/>
  <c r="AC357" i="29"/>
  <c r="Z357" i="29"/>
  <c r="T357" i="29"/>
  <c r="AF357" i="29"/>
  <c r="W357" i="29"/>
  <c r="X357" i="29" l="1"/>
  <c r="Y357" i="29" s="1"/>
  <c r="AG357" i="29"/>
  <c r="AH357" i="29" s="1"/>
  <c r="U357" i="29"/>
  <c r="V357" i="29" s="1"/>
  <c r="AA357" i="29"/>
  <c r="AB357" i="29" s="1"/>
  <c r="AD357" i="29"/>
  <c r="AE357" i="29" s="1"/>
  <c r="AC358" i="29"/>
  <c r="W358" i="29"/>
  <c r="T358" i="29"/>
  <c r="AF358" i="29"/>
  <c r="Z358" i="29"/>
  <c r="AA358" i="29" l="1"/>
  <c r="AB358" i="29" s="1"/>
  <c r="AG358" i="29"/>
  <c r="AH358" i="29" s="1"/>
  <c r="U358" i="29"/>
  <c r="V358" i="29" s="1"/>
  <c r="X358" i="29"/>
  <c r="Y358" i="29" s="1"/>
  <c r="AD358" i="29"/>
  <c r="AE358" i="29" s="1"/>
  <c r="AC359" i="29"/>
  <c r="Z359" i="29"/>
  <c r="T359" i="29"/>
  <c r="AF359" i="29"/>
  <c r="W359" i="29"/>
  <c r="X359" i="29" l="1"/>
  <c r="Y359" i="29" s="1"/>
  <c r="AG359" i="29"/>
  <c r="AH359" i="29" s="1"/>
  <c r="U359" i="29"/>
  <c r="V359" i="29" s="1"/>
  <c r="AA359" i="29"/>
  <c r="AB359" i="29" s="1"/>
  <c r="AD359" i="29"/>
  <c r="AE359" i="29" s="1"/>
  <c r="W360" i="29"/>
  <c r="T360" i="29"/>
  <c r="AC360" i="29"/>
  <c r="AF360" i="29"/>
  <c r="Z360" i="29"/>
  <c r="AA360" i="29" l="1"/>
  <c r="AB360" i="29" s="1"/>
  <c r="AG360" i="29"/>
  <c r="AH360" i="29" s="1"/>
  <c r="AD360" i="29"/>
  <c r="AE360" i="29" s="1"/>
  <c r="U360" i="29"/>
  <c r="V360" i="29" s="1"/>
  <c r="X360" i="29"/>
  <c r="Y360" i="29" s="1"/>
  <c r="Z361" i="29"/>
  <c r="W361" i="29"/>
  <c r="AC361" i="29"/>
  <c r="AF361" i="29"/>
  <c r="T361" i="29"/>
  <c r="U361" i="29" l="1"/>
  <c r="V361" i="29" s="1"/>
  <c r="AG361" i="29"/>
  <c r="AH361" i="29" s="1"/>
  <c r="AD361" i="29"/>
  <c r="AE361" i="29" s="1"/>
  <c r="X361" i="29"/>
  <c r="Y361" i="29" s="1"/>
  <c r="AA361" i="29"/>
  <c r="AB361" i="29" s="1"/>
  <c r="AC362" i="29"/>
  <c r="T362" i="29"/>
  <c r="Z362" i="29"/>
  <c r="W362" i="29"/>
  <c r="AF362" i="29"/>
  <c r="AG362" i="29" l="1"/>
  <c r="AH362" i="29" s="1"/>
  <c r="X362" i="29"/>
  <c r="Y362" i="29" s="1"/>
  <c r="AA362" i="29"/>
  <c r="AB362" i="29" s="1"/>
  <c r="U362" i="29"/>
  <c r="V362" i="29" s="1"/>
  <c r="AD362" i="29"/>
  <c r="AE362" i="29" s="1"/>
  <c r="Z363" i="29"/>
  <c r="AF363" i="29"/>
  <c r="AC363" i="29"/>
  <c r="W363" i="29"/>
  <c r="T363" i="29"/>
  <c r="U363" i="29" l="1"/>
  <c r="V363" i="29" s="1"/>
  <c r="X363" i="29"/>
  <c r="Y363" i="29" s="1"/>
  <c r="AD363" i="29"/>
  <c r="AE363" i="29" s="1"/>
  <c r="AG363" i="29"/>
  <c r="AH363" i="29" s="1"/>
  <c r="AA363" i="29"/>
  <c r="AB363" i="29" s="1"/>
  <c r="T364" i="29"/>
  <c r="Z364" i="29"/>
  <c r="AC364" i="29"/>
  <c r="W364" i="29"/>
  <c r="AF364" i="29"/>
  <c r="AG364" i="29" l="1"/>
  <c r="AH364" i="29" s="1"/>
  <c r="X364" i="29"/>
  <c r="Y364" i="29" s="1"/>
  <c r="AD364" i="29"/>
  <c r="AE364" i="29" s="1"/>
  <c r="AA364" i="29"/>
  <c r="AB364" i="29" s="1"/>
  <c r="U364" i="29"/>
  <c r="V364" i="29" s="1"/>
  <c r="AF365" i="29"/>
  <c r="AC365" i="29"/>
  <c r="T365" i="29"/>
  <c r="W365" i="29"/>
  <c r="Z365" i="29"/>
  <c r="AA365" i="29" l="1"/>
  <c r="AB365" i="29" s="1"/>
  <c r="X365" i="29"/>
  <c r="Y365" i="29" s="1"/>
  <c r="U365" i="29"/>
  <c r="V365" i="29" s="1"/>
  <c r="AD365" i="29"/>
  <c r="AE365" i="29" s="1"/>
  <c r="AG365" i="29"/>
  <c r="AH365" i="29" s="1"/>
  <c r="Z366" i="29"/>
  <c r="T366" i="29"/>
  <c r="AF366" i="29"/>
  <c r="AC366" i="29"/>
  <c r="W366" i="29"/>
  <c r="X366" i="29" l="1"/>
  <c r="Y366" i="29" s="1"/>
  <c r="AD366" i="29"/>
  <c r="AE366" i="29" s="1"/>
  <c r="AG366" i="29"/>
  <c r="AH366" i="29" s="1"/>
  <c r="U366" i="29"/>
  <c r="V366" i="29" s="1"/>
  <c r="AA366" i="29"/>
  <c r="AB366" i="29" s="1"/>
  <c r="AF367" i="29"/>
  <c r="W367" i="29"/>
  <c r="Z367" i="29"/>
  <c r="T367" i="29"/>
  <c r="AC367" i="29"/>
  <c r="AD367" i="29" l="1"/>
  <c r="AE367" i="29" s="1"/>
  <c r="U367" i="29"/>
  <c r="V367" i="29" s="1"/>
  <c r="AA367" i="29"/>
  <c r="AB367" i="29" s="1"/>
  <c r="X367" i="29"/>
  <c r="Y367" i="29" s="1"/>
  <c r="AG367" i="29"/>
  <c r="AH367" i="29" s="1"/>
  <c r="Z368" i="29"/>
  <c r="AF368" i="29"/>
  <c r="AC368" i="29"/>
  <c r="T368" i="29"/>
  <c r="W368" i="29"/>
  <c r="X368" i="29" l="1"/>
  <c r="Y368" i="29" s="1"/>
  <c r="U368" i="29"/>
  <c r="V368" i="29" s="1"/>
  <c r="AD368" i="29"/>
  <c r="AE368" i="29" s="1"/>
  <c r="AG368" i="29"/>
  <c r="AH368" i="29" s="1"/>
  <c r="AA368" i="29"/>
  <c r="AB368" i="29" s="1"/>
  <c r="AC369" i="29"/>
  <c r="W369" i="29"/>
  <c r="Z369" i="29"/>
  <c r="T369" i="29"/>
  <c r="AF369" i="29"/>
  <c r="AG369" i="29" l="1"/>
  <c r="AH369" i="29" s="1"/>
  <c r="U369" i="29"/>
  <c r="V369" i="29" s="1"/>
  <c r="AA369" i="29"/>
  <c r="AB369" i="29" s="1"/>
  <c r="X369" i="29"/>
  <c r="Y369" i="29" s="1"/>
  <c r="AD369" i="29"/>
  <c r="AE369" i="29" s="1"/>
  <c r="Z370" i="29"/>
  <c r="AF370" i="29"/>
  <c r="AC370" i="29"/>
  <c r="W370" i="29"/>
  <c r="T370" i="29"/>
  <c r="U370" i="29" l="1"/>
  <c r="V370" i="29" s="1"/>
  <c r="X370" i="29"/>
  <c r="Y370" i="29" s="1"/>
  <c r="AD370" i="29"/>
  <c r="AE370" i="29" s="1"/>
  <c r="AG370" i="29"/>
  <c r="AH370" i="29" s="1"/>
  <c r="AA370" i="29"/>
  <c r="AB370" i="29" s="1"/>
  <c r="AC371" i="29"/>
  <c r="T371" i="29"/>
  <c r="Z371" i="29"/>
  <c r="AF371" i="29"/>
  <c r="W371" i="29"/>
  <c r="X371" i="29" l="1"/>
  <c r="Y371" i="29" s="1"/>
  <c r="AG371" i="29"/>
  <c r="AH371" i="29" s="1"/>
  <c r="AA371" i="29"/>
  <c r="AB371" i="29" s="1"/>
  <c r="U371" i="29"/>
  <c r="V371" i="29" s="1"/>
  <c r="AD371" i="29"/>
  <c r="AE371" i="29" s="1"/>
  <c r="W372" i="29"/>
  <c r="Z372" i="29"/>
  <c r="AC372" i="29"/>
  <c r="T372" i="29"/>
  <c r="AF372" i="29"/>
  <c r="AG372" i="29" l="1"/>
  <c r="AH372" i="29" s="1"/>
  <c r="U372" i="29"/>
  <c r="V372" i="29" s="1"/>
  <c r="AD372" i="29"/>
  <c r="AE372" i="29" s="1"/>
  <c r="AA372" i="29"/>
  <c r="AB372" i="29" s="1"/>
  <c r="X372" i="29"/>
  <c r="Y372" i="29" s="1"/>
  <c r="AF373" i="29"/>
  <c r="AC373" i="29"/>
  <c r="W373" i="29"/>
  <c r="T373" i="29"/>
  <c r="Z373" i="29"/>
  <c r="AA373" i="29" l="1"/>
  <c r="AB373" i="29" s="1"/>
  <c r="U373" i="29"/>
  <c r="V373" i="29" s="1"/>
  <c r="X373" i="29"/>
  <c r="Y373" i="29" s="1"/>
  <c r="AD373" i="29"/>
  <c r="AE373" i="29" s="1"/>
  <c r="AG373" i="29"/>
  <c r="AH373" i="29" s="1"/>
  <c r="Z374" i="29"/>
  <c r="AF374" i="29"/>
  <c r="W374" i="29"/>
  <c r="AC374" i="29"/>
  <c r="T374" i="29"/>
  <c r="U374" i="29" l="1"/>
  <c r="V374" i="29" s="1"/>
  <c r="AD374" i="29"/>
  <c r="AE374" i="29" s="1"/>
  <c r="X374" i="29"/>
  <c r="Y374" i="29" s="1"/>
  <c r="AG374" i="29"/>
  <c r="AH374" i="29" s="1"/>
  <c r="AA374" i="29"/>
  <c r="AB374" i="29" s="1"/>
  <c r="T375" i="29"/>
  <c r="Z375" i="29"/>
  <c r="W375" i="29"/>
  <c r="AC375" i="29"/>
  <c r="AF375" i="29"/>
  <c r="AG375" i="29" l="1"/>
  <c r="AH375" i="29" s="1"/>
  <c r="AD375" i="29"/>
  <c r="AE375" i="29" s="1"/>
  <c r="X375" i="29"/>
  <c r="Y375" i="29" s="1"/>
  <c r="AA375" i="29"/>
  <c r="AB375" i="29" s="1"/>
  <c r="U375" i="29"/>
  <c r="V375" i="29" s="1"/>
  <c r="AF376" i="29"/>
  <c r="W376" i="29"/>
  <c r="T376" i="29"/>
  <c r="Z376" i="29"/>
  <c r="AC376" i="29"/>
  <c r="AD376" i="29" l="1"/>
  <c r="AE376" i="29" s="1"/>
  <c r="AA376" i="29"/>
  <c r="AB376" i="29" s="1"/>
  <c r="U376" i="29"/>
  <c r="V376" i="29" s="1"/>
  <c r="X376" i="29"/>
  <c r="Y376" i="29" s="1"/>
  <c r="AG376" i="29"/>
  <c r="AH376" i="29" s="1"/>
  <c r="AC377" i="29"/>
  <c r="T377" i="29"/>
  <c r="AF377" i="29"/>
  <c r="Z377" i="29"/>
  <c r="W377" i="29"/>
  <c r="X377" i="29" l="1"/>
  <c r="Y377" i="29" s="1"/>
  <c r="AA377" i="29"/>
  <c r="AB377" i="29" s="1"/>
  <c r="AG377" i="29"/>
  <c r="AH377" i="29" s="1"/>
  <c r="U377" i="29"/>
  <c r="V377" i="29" s="1"/>
  <c r="AD377" i="29"/>
  <c r="AE377" i="29" s="1"/>
  <c r="W378" i="29"/>
  <c r="AF378" i="29"/>
  <c r="AC378" i="29"/>
  <c r="Z378" i="29"/>
  <c r="T378" i="29"/>
  <c r="U378" i="29" l="1"/>
  <c r="V378" i="29" s="1"/>
  <c r="AA378" i="29"/>
  <c r="AB378" i="29" s="1"/>
  <c r="AD378" i="29"/>
  <c r="AE378" i="29" s="1"/>
  <c r="AG378" i="29"/>
  <c r="AH378" i="29" s="1"/>
  <c r="X378" i="29"/>
  <c r="Y378" i="29" s="1"/>
  <c r="T379" i="29"/>
  <c r="W379" i="29"/>
  <c r="AC379" i="29"/>
  <c r="AF379" i="29"/>
  <c r="Z379" i="29"/>
  <c r="AA379" i="29" l="1"/>
  <c r="AB379" i="29" s="1"/>
  <c r="AG379" i="29"/>
  <c r="AH379" i="29" s="1"/>
  <c r="AD379" i="29"/>
  <c r="AE379" i="29" s="1"/>
  <c r="X379" i="29"/>
  <c r="Y379" i="29" s="1"/>
  <c r="U379" i="29"/>
  <c r="V379" i="29" s="1"/>
  <c r="AC380" i="29"/>
  <c r="Z380" i="29"/>
  <c r="T380" i="29"/>
  <c r="AF380" i="29"/>
  <c r="W380" i="29"/>
  <c r="X380" i="29" l="1"/>
  <c r="Y380" i="29" s="1"/>
  <c r="AG380" i="29"/>
  <c r="AH380" i="29" s="1"/>
  <c r="U380" i="29"/>
  <c r="V380" i="29" s="1"/>
  <c r="AA380" i="29"/>
  <c r="AB380" i="29" s="1"/>
  <c r="AD380" i="29"/>
  <c r="AE380" i="29" s="1"/>
  <c r="W381" i="29"/>
  <c r="T381" i="29"/>
  <c r="AC381" i="29"/>
  <c r="Z381" i="29"/>
  <c r="AF381" i="29"/>
  <c r="AG381" i="29" l="1"/>
  <c r="AH381" i="29" s="1"/>
  <c r="AA381" i="29"/>
  <c r="AB381" i="29" s="1"/>
  <c r="AD381" i="29"/>
  <c r="AE381" i="29" s="1"/>
  <c r="U381" i="29"/>
  <c r="V381" i="29" s="1"/>
  <c r="X381" i="29"/>
  <c r="Y381" i="29" s="1"/>
  <c r="AC382" i="29"/>
  <c r="W382" i="29"/>
  <c r="AF382" i="29"/>
  <c r="Z382" i="29"/>
  <c r="T382" i="29"/>
  <c r="U382" i="29" l="1"/>
  <c r="V382" i="29" s="1"/>
  <c r="AA382" i="29"/>
  <c r="AB382" i="29" s="1"/>
  <c r="AG382" i="29"/>
  <c r="AH382" i="29" s="1"/>
  <c r="X382" i="29"/>
  <c r="Y382" i="29" s="1"/>
  <c r="AD382" i="29"/>
  <c r="AE382" i="29" s="1"/>
  <c r="T383" i="29"/>
  <c r="AF383" i="29"/>
  <c r="AC383" i="29"/>
  <c r="W383" i="29"/>
  <c r="Z383" i="29"/>
  <c r="AA383" i="29" l="1"/>
  <c r="AB383" i="29" s="1"/>
  <c r="X383" i="29"/>
  <c r="Y383" i="29" s="1"/>
  <c r="AD383" i="29"/>
  <c r="AE383" i="29" s="1"/>
  <c r="AG383" i="29"/>
  <c r="AH383" i="29" s="1"/>
  <c r="U383" i="29"/>
  <c r="V383" i="29" s="1"/>
  <c r="Z384" i="29"/>
  <c r="AC384" i="29"/>
  <c r="T384" i="29"/>
  <c r="W384" i="29"/>
  <c r="AF384" i="29"/>
  <c r="AG384" i="29" l="1"/>
  <c r="AH384" i="29" s="1"/>
  <c r="X384" i="29"/>
  <c r="Y384" i="29" s="1"/>
  <c r="U384" i="29"/>
  <c r="V384" i="29" s="1"/>
  <c r="AD384" i="29"/>
  <c r="AE384" i="29" s="1"/>
  <c r="AA384" i="29"/>
  <c r="AB384" i="29" s="1"/>
  <c r="AF385" i="29"/>
  <c r="T385" i="29"/>
  <c r="Z385" i="29"/>
  <c r="W385" i="29"/>
  <c r="AC385" i="29"/>
  <c r="AD385" i="29" l="1"/>
  <c r="AE385" i="29" s="1"/>
  <c r="X385" i="29"/>
  <c r="Y385" i="29" s="1"/>
  <c r="AA385" i="29"/>
  <c r="AB385" i="29" s="1"/>
  <c r="U385" i="29"/>
  <c r="V385" i="29" s="1"/>
  <c r="AG385" i="29"/>
  <c r="AH385" i="29" s="1"/>
  <c r="AF386" i="29"/>
  <c r="AC386" i="29"/>
  <c r="Z386" i="29"/>
  <c r="T386" i="29"/>
  <c r="W386" i="29"/>
  <c r="X386" i="29" l="1"/>
  <c r="Y386" i="29" s="1"/>
  <c r="U386" i="29"/>
  <c r="V386" i="29" s="1"/>
  <c r="AA386" i="29"/>
  <c r="AB386" i="29" s="1"/>
  <c r="AD386" i="29"/>
  <c r="AE386" i="29" s="1"/>
  <c r="AG386" i="29"/>
  <c r="AH386" i="29" s="1"/>
  <c r="W387" i="29"/>
  <c r="Z387" i="29"/>
  <c r="AF387" i="29"/>
  <c r="T387" i="29"/>
  <c r="AC387" i="29"/>
  <c r="AD387" i="29" l="1"/>
  <c r="AE387" i="29" s="1"/>
  <c r="U387" i="29"/>
  <c r="V387" i="29" s="1"/>
  <c r="AG387" i="29"/>
  <c r="AH387" i="29" s="1"/>
  <c r="AA387" i="29"/>
  <c r="AB387" i="29" s="1"/>
  <c r="X387" i="29"/>
  <c r="Y387" i="29" s="1"/>
  <c r="AC388" i="29"/>
  <c r="AF388" i="29"/>
  <c r="W388" i="29"/>
  <c r="Z388" i="29"/>
  <c r="T388" i="29"/>
  <c r="U388" i="29" l="1"/>
  <c r="V388" i="29" s="1"/>
  <c r="AA388" i="29"/>
  <c r="AB388" i="29" s="1"/>
  <c r="X388" i="29"/>
  <c r="Y388" i="29" s="1"/>
  <c r="AG388" i="29"/>
  <c r="AH388" i="29" s="1"/>
  <c r="AD388" i="29"/>
  <c r="AE388" i="29" s="1"/>
  <c r="T389" i="29"/>
  <c r="W389" i="29"/>
  <c r="AC389" i="29"/>
  <c r="Z389" i="29"/>
  <c r="AF389" i="29"/>
  <c r="AG389" i="29" l="1"/>
  <c r="AH389" i="29" s="1"/>
  <c r="AA389" i="29"/>
  <c r="AB389" i="29" s="1"/>
  <c r="AD389" i="29"/>
  <c r="AE389" i="29" s="1"/>
  <c r="X389" i="29"/>
  <c r="Y389" i="29" s="1"/>
  <c r="U389" i="29"/>
  <c r="V389" i="29" s="1"/>
  <c r="AF390" i="29"/>
  <c r="AC390" i="29"/>
  <c r="T390" i="29"/>
  <c r="Z390" i="29"/>
  <c r="W390" i="29"/>
  <c r="X390" i="29" l="1"/>
  <c r="Y390" i="29" s="1"/>
  <c r="AA390" i="29"/>
  <c r="AB390" i="29" s="1"/>
  <c r="U390" i="29"/>
  <c r="V390" i="29" s="1"/>
  <c r="AD390" i="29"/>
  <c r="AE390" i="29" s="1"/>
  <c r="AG390" i="29"/>
  <c r="AH390" i="29" s="1"/>
  <c r="W391" i="29"/>
  <c r="T391" i="29"/>
  <c r="AF391" i="29"/>
  <c r="Z391" i="29"/>
  <c r="AC391" i="29"/>
  <c r="AD391" i="29" l="1"/>
  <c r="AE391" i="29" s="1"/>
  <c r="AA391" i="29"/>
  <c r="AB391" i="29" s="1"/>
  <c r="AG391" i="29"/>
  <c r="AH391" i="29" s="1"/>
  <c r="U391" i="29"/>
  <c r="V391" i="29" s="1"/>
  <c r="X391" i="29"/>
  <c r="Y391" i="29" s="1"/>
  <c r="AC392" i="29"/>
  <c r="W392" i="29"/>
  <c r="AF392" i="29"/>
  <c r="Z392" i="29"/>
  <c r="T392" i="29"/>
  <c r="U392" i="29" l="1"/>
  <c r="V392" i="29" s="1"/>
  <c r="AA392" i="29"/>
  <c r="AB392" i="29" s="1"/>
  <c r="AG392" i="29"/>
  <c r="AH392" i="29" s="1"/>
  <c r="X392" i="29"/>
  <c r="Y392" i="29" s="1"/>
  <c r="AD392" i="29"/>
  <c r="AE392" i="29" s="1"/>
  <c r="AC393" i="29"/>
  <c r="T393" i="29"/>
  <c r="AF393" i="29"/>
  <c r="Z393" i="29"/>
  <c r="W393" i="29"/>
  <c r="X393" i="29" l="1"/>
  <c r="Y393" i="29" s="1"/>
  <c r="AA393" i="29"/>
  <c r="AB393" i="29" s="1"/>
  <c r="AG393" i="29"/>
  <c r="AH393" i="29" s="1"/>
  <c r="U393" i="29"/>
  <c r="V393" i="29" s="1"/>
  <c r="AD393" i="29"/>
  <c r="AE393" i="29" s="1"/>
  <c r="W394" i="29"/>
  <c r="AC394" i="29"/>
  <c r="AF394" i="29"/>
  <c r="T394" i="29"/>
  <c r="Z394" i="29"/>
  <c r="AA394" i="29" l="1"/>
  <c r="AB394" i="29" s="1"/>
  <c r="U394" i="29"/>
  <c r="V394" i="29" s="1"/>
  <c r="AG394" i="29"/>
  <c r="AH394" i="29" s="1"/>
  <c r="AD394" i="29"/>
  <c r="AE394" i="29" s="1"/>
  <c r="X394" i="29"/>
  <c r="Y394" i="29" s="1"/>
  <c r="Z395" i="29"/>
  <c r="AF395" i="29"/>
  <c r="W395" i="29"/>
  <c r="T395" i="29"/>
  <c r="AC395" i="29"/>
  <c r="AD395" i="29" l="1"/>
  <c r="AE395" i="29" s="1"/>
  <c r="U395" i="29"/>
  <c r="V395" i="29" s="1"/>
  <c r="X395" i="29"/>
  <c r="Y395" i="29" s="1"/>
  <c r="AG395" i="29"/>
  <c r="AH395" i="29" s="1"/>
  <c r="AA395" i="29"/>
  <c r="AB395" i="29" s="1"/>
  <c r="AC396" i="29"/>
  <c r="W396" i="29"/>
  <c r="Z396" i="29"/>
  <c r="T396" i="29"/>
  <c r="AF396" i="29"/>
  <c r="AG396" i="29" l="1"/>
  <c r="AH396" i="29" s="1"/>
  <c r="U396" i="29"/>
  <c r="V396" i="29" s="1"/>
  <c r="AA396" i="29"/>
  <c r="AB396" i="29" s="1"/>
  <c r="X396" i="29"/>
  <c r="Y396" i="29" s="1"/>
  <c r="AD396" i="29"/>
  <c r="AE396" i="29" s="1"/>
  <c r="AC397" i="29"/>
  <c r="AF397" i="29"/>
  <c r="Z397" i="29"/>
  <c r="W397" i="29"/>
  <c r="T397" i="29"/>
  <c r="U397" i="29" l="1"/>
  <c r="V397" i="29" s="1"/>
  <c r="X397" i="29"/>
  <c r="Y397" i="29" s="1"/>
  <c r="AA397" i="29"/>
  <c r="AB397" i="29" s="1"/>
  <c r="AG397" i="29"/>
  <c r="AH397" i="29" s="1"/>
  <c r="AD397" i="29"/>
  <c r="AE397" i="29" s="1"/>
  <c r="AC398" i="29"/>
  <c r="T398" i="29"/>
  <c r="Z398" i="29"/>
  <c r="W398" i="29"/>
  <c r="AF398" i="29"/>
  <c r="AG398" i="29" l="1"/>
  <c r="AH398" i="29" s="1"/>
  <c r="X398" i="29"/>
  <c r="Y398" i="29" s="1"/>
  <c r="AA398" i="29"/>
  <c r="AB398" i="29" s="1"/>
  <c r="U398" i="29"/>
  <c r="V398" i="29" s="1"/>
  <c r="AD398" i="29"/>
  <c r="AE398" i="29" s="1"/>
  <c r="AC399" i="29"/>
  <c r="AF399" i="29"/>
  <c r="Z399" i="29"/>
  <c r="W399" i="29"/>
  <c r="T399" i="29"/>
  <c r="U399" i="29" l="1"/>
  <c r="V399" i="29" s="1"/>
  <c r="X399" i="29"/>
  <c r="Y399" i="29" s="1"/>
  <c r="AA399" i="29"/>
  <c r="AB399" i="29" s="1"/>
  <c r="AG399" i="29"/>
  <c r="AH399" i="29" s="1"/>
  <c r="AD399" i="29"/>
  <c r="AE399" i="29" s="1"/>
  <c r="AC400" i="29"/>
  <c r="T400" i="29"/>
  <c r="Z400" i="29"/>
  <c r="W400" i="29"/>
  <c r="AF400" i="29"/>
  <c r="AG400" i="29" l="1"/>
  <c r="AH400" i="29" s="1"/>
  <c r="X400" i="29"/>
  <c r="Y400" i="29" s="1"/>
  <c r="AA400" i="29"/>
  <c r="AB400" i="29" s="1"/>
  <c r="U400" i="29"/>
  <c r="V400" i="29" s="1"/>
  <c r="AD400" i="29"/>
  <c r="AE400" i="29" s="1"/>
  <c r="AF401" i="29"/>
  <c r="Z401" i="29"/>
  <c r="AC401" i="29"/>
  <c r="T401" i="29"/>
  <c r="W401" i="29"/>
  <c r="X401" i="29" l="1"/>
  <c r="Y401" i="29" s="1"/>
  <c r="U401" i="29"/>
  <c r="V401" i="29" s="1"/>
  <c r="AD401" i="29"/>
  <c r="AE401" i="29" s="1"/>
  <c r="AA401" i="29"/>
  <c r="AB401" i="29" s="1"/>
  <c r="AG401" i="29"/>
  <c r="AH401" i="29" s="1"/>
  <c r="W402" i="29"/>
  <c r="AF402" i="29"/>
  <c r="AC402" i="29"/>
  <c r="T402" i="29"/>
  <c r="Z402" i="29"/>
  <c r="AA402" i="29" l="1"/>
  <c r="AB402" i="29" s="1"/>
  <c r="U402" i="29"/>
  <c r="V402" i="29" s="1"/>
  <c r="AD402" i="29"/>
  <c r="AE402" i="29" s="1"/>
  <c r="AG402" i="29"/>
  <c r="AH402" i="29" s="1"/>
  <c r="X402" i="29"/>
  <c r="Y402" i="29" s="1"/>
  <c r="AC403" i="29"/>
  <c r="W403" i="29"/>
  <c r="Z403" i="29"/>
  <c r="AF403" i="29"/>
  <c r="T403" i="29"/>
  <c r="U403" i="29" l="1"/>
  <c r="V403" i="29" s="1"/>
  <c r="AG403" i="29"/>
  <c r="AH403" i="29" s="1"/>
  <c r="AA403" i="29"/>
  <c r="AB403" i="29" s="1"/>
  <c r="X403" i="29"/>
  <c r="Y403" i="29" s="1"/>
  <c r="AD403" i="29"/>
  <c r="AE403" i="29" s="1"/>
  <c r="T404" i="29"/>
  <c r="Z404" i="29"/>
  <c r="AC404" i="29"/>
  <c r="W404" i="29"/>
  <c r="AF404" i="29"/>
  <c r="AG404" i="29" l="1"/>
  <c r="AH404" i="29" s="1"/>
  <c r="X404" i="29"/>
  <c r="Y404" i="29" s="1"/>
  <c r="AD404" i="29"/>
  <c r="AE404" i="29" s="1"/>
  <c r="AA404" i="29"/>
  <c r="AB404" i="29" s="1"/>
  <c r="U404" i="29"/>
  <c r="V404" i="29" s="1"/>
  <c r="AC405" i="29"/>
  <c r="AF405" i="29"/>
  <c r="T405" i="29"/>
  <c r="W405" i="29"/>
  <c r="Z405" i="29"/>
  <c r="AA405" i="29" l="1"/>
  <c r="AB405" i="29" s="1"/>
  <c r="X405" i="29"/>
  <c r="Y405" i="29" s="1"/>
  <c r="U405" i="29"/>
  <c r="V405" i="29" s="1"/>
  <c r="AG405" i="29"/>
  <c r="AH405" i="29" s="1"/>
  <c r="AD405" i="29"/>
  <c r="AE405" i="29" s="1"/>
  <c r="T406" i="29"/>
  <c r="Z406" i="29"/>
  <c r="AC406" i="29"/>
  <c r="W406" i="29"/>
  <c r="AF406" i="29"/>
  <c r="AG406" i="29" l="1"/>
  <c r="AH406" i="29" s="1"/>
  <c r="X406" i="29"/>
  <c r="Y406" i="29" s="1"/>
  <c r="AD406" i="29"/>
  <c r="AE406" i="29" s="1"/>
  <c r="AA406" i="29"/>
  <c r="AB406" i="29" s="1"/>
  <c r="U406" i="29"/>
  <c r="V406" i="29" s="1"/>
  <c r="AC407" i="29"/>
  <c r="AF407" i="29"/>
  <c r="T407" i="29"/>
  <c r="W407" i="29"/>
  <c r="Z407" i="29"/>
  <c r="AA407" i="29" l="1"/>
  <c r="AB407" i="29" s="1"/>
  <c r="X407" i="29"/>
  <c r="Y407" i="29" s="1"/>
  <c r="U407" i="29"/>
  <c r="V407" i="29" s="1"/>
  <c r="AG407" i="29"/>
  <c r="AH407" i="29" s="1"/>
  <c r="AD407" i="29"/>
  <c r="AE407" i="29" s="1"/>
  <c r="Z408" i="29"/>
  <c r="T408" i="29"/>
  <c r="AC408" i="29"/>
  <c r="W408" i="29"/>
  <c r="AF408" i="29"/>
  <c r="AG408" i="29" l="1"/>
  <c r="AH408" i="29" s="1"/>
  <c r="X408" i="29"/>
  <c r="Y408" i="29" s="1"/>
  <c r="AD408" i="29"/>
  <c r="AE408" i="29" s="1"/>
  <c r="U408" i="29"/>
  <c r="V408" i="29" s="1"/>
  <c r="AA408" i="29"/>
  <c r="AB408" i="29" s="1"/>
  <c r="AF409" i="29"/>
  <c r="AC409" i="29"/>
  <c r="Z409" i="29"/>
  <c r="T409" i="29"/>
  <c r="W409" i="29"/>
  <c r="X409" i="29" l="1"/>
  <c r="Y409" i="29" s="1"/>
  <c r="U409" i="29"/>
  <c r="V409" i="29" s="1"/>
  <c r="AA409" i="29"/>
  <c r="AB409" i="29" s="1"/>
  <c r="AD409" i="29"/>
  <c r="AE409" i="29" s="1"/>
  <c r="AG409" i="29"/>
  <c r="AH409" i="29" s="1"/>
  <c r="W410" i="29"/>
  <c r="Z410" i="29"/>
  <c r="AF410" i="29"/>
  <c r="AC410" i="29"/>
  <c r="T410" i="29"/>
  <c r="U410" i="29" l="1"/>
  <c r="V410" i="29" s="1"/>
  <c r="AD410" i="29"/>
  <c r="AE410" i="29" s="1"/>
  <c r="AG410" i="29"/>
  <c r="AH410" i="29" s="1"/>
  <c r="AA410" i="29"/>
  <c r="AB410" i="29" s="1"/>
  <c r="X410" i="29"/>
  <c r="Y410" i="29" s="1"/>
  <c r="T411" i="29"/>
  <c r="AF411" i="29"/>
  <c r="W411" i="29"/>
  <c r="AC411" i="29"/>
  <c r="Z411" i="29"/>
  <c r="AA411" i="29" l="1"/>
  <c r="AB411" i="29" s="1"/>
  <c r="AD411" i="29"/>
  <c r="AE411" i="29" s="1"/>
  <c r="X411" i="29"/>
  <c r="Y411" i="29" s="1"/>
  <c r="AG411" i="29"/>
  <c r="AH411" i="29" s="1"/>
  <c r="U411" i="29"/>
  <c r="V411" i="29" s="1"/>
  <c r="Z412" i="29"/>
  <c r="W412" i="29"/>
  <c r="T412" i="29"/>
  <c r="AF412" i="29"/>
  <c r="AC412" i="29"/>
  <c r="AD412" i="29" l="1"/>
  <c r="AE412" i="29" s="1"/>
  <c r="AG412" i="29"/>
  <c r="AH412" i="29" s="1"/>
  <c r="U412" i="29"/>
  <c r="V412" i="29" s="1"/>
  <c r="X412" i="29"/>
  <c r="Y412" i="29" s="1"/>
  <c r="AA412" i="29"/>
  <c r="AB412" i="29" s="1"/>
  <c r="AC413" i="29"/>
  <c r="T413" i="29"/>
  <c r="Z413" i="29"/>
  <c r="AF413" i="29"/>
  <c r="W413" i="29"/>
  <c r="X413" i="29" l="1"/>
  <c r="Y413" i="29" s="1"/>
  <c r="AG413" i="29"/>
  <c r="AH413" i="29" s="1"/>
  <c r="AA413" i="29"/>
  <c r="AB413" i="29" s="1"/>
  <c r="U413" i="29"/>
  <c r="V413" i="29" s="1"/>
  <c r="AD413" i="29"/>
  <c r="AE413" i="29" s="1"/>
  <c r="W414" i="29"/>
  <c r="Z414" i="29"/>
  <c r="AC414" i="29"/>
  <c r="T414" i="29"/>
  <c r="AF414" i="29"/>
  <c r="AG414" i="29" l="1"/>
  <c r="AH414" i="29" s="1"/>
  <c r="U414" i="29"/>
  <c r="V414" i="29" s="1"/>
  <c r="AD414" i="29"/>
  <c r="AE414" i="29" s="1"/>
  <c r="AA414" i="29"/>
  <c r="AB414" i="29" s="1"/>
  <c r="X414" i="29"/>
  <c r="Y414" i="29" s="1"/>
  <c r="AF415" i="29"/>
  <c r="AC415" i="29"/>
  <c r="W415" i="29"/>
  <c r="Z415" i="29"/>
  <c r="T415" i="29"/>
  <c r="U415" i="29" l="1"/>
  <c r="V415" i="29" s="1"/>
  <c r="AA415" i="29"/>
  <c r="AB415" i="29" s="1"/>
  <c r="X415" i="29"/>
  <c r="Y415" i="29" s="1"/>
  <c r="AD415" i="29"/>
  <c r="AE415" i="29" s="1"/>
  <c r="AG415" i="29"/>
  <c r="AH415" i="29" s="1"/>
  <c r="AF416" i="29"/>
  <c r="T416" i="29"/>
  <c r="W416" i="29"/>
  <c r="Z416" i="29"/>
  <c r="AC416" i="29"/>
  <c r="AD416" i="29" l="1"/>
  <c r="AE416" i="29" s="1"/>
  <c r="AA416" i="29"/>
  <c r="AB416" i="29" s="1"/>
  <c r="X416" i="29"/>
  <c r="Y416" i="29" s="1"/>
  <c r="U416" i="29"/>
  <c r="V416" i="29" s="1"/>
  <c r="AG416" i="29"/>
  <c r="AH416" i="29" s="1"/>
  <c r="AC417" i="29"/>
  <c r="W417" i="29"/>
  <c r="AF417" i="29"/>
  <c r="T417" i="29"/>
  <c r="Z417" i="29"/>
  <c r="AA417" i="29" l="1"/>
  <c r="AB417" i="29" s="1"/>
  <c r="U417" i="29"/>
  <c r="V417" i="29" s="1"/>
  <c r="AG417" i="29"/>
  <c r="AH417" i="29" s="1"/>
  <c r="X417" i="29"/>
  <c r="Y417" i="29" s="1"/>
  <c r="AD417" i="29"/>
  <c r="AE417" i="29" s="1"/>
  <c r="Z418" i="29"/>
  <c r="AF418" i="29"/>
  <c r="AC418" i="29"/>
  <c r="W418" i="29"/>
  <c r="T418" i="29"/>
  <c r="U418" i="29" l="1"/>
  <c r="V418" i="29" s="1"/>
  <c r="X418" i="29"/>
  <c r="Y418" i="29" s="1"/>
  <c r="AD418" i="29"/>
  <c r="AE418" i="29" s="1"/>
  <c r="AG418" i="29"/>
  <c r="AH418" i="29" s="1"/>
  <c r="AA418" i="29"/>
  <c r="AB418" i="29" s="1"/>
  <c r="Z419" i="29"/>
  <c r="T419" i="29"/>
  <c r="AC419" i="29"/>
  <c r="AF419" i="29"/>
  <c r="W419" i="29"/>
  <c r="X419" i="29" l="1"/>
  <c r="Y419" i="29" s="1"/>
  <c r="AG419" i="29"/>
  <c r="AH419" i="29" s="1"/>
  <c r="AD419" i="29"/>
  <c r="AE419" i="29" s="1"/>
  <c r="U419" i="29"/>
  <c r="V419" i="29" s="1"/>
  <c r="AA419" i="29"/>
  <c r="AB419" i="29" s="1"/>
  <c r="AC420" i="29"/>
  <c r="Z420" i="29"/>
  <c r="W420" i="29"/>
  <c r="AF420" i="29"/>
  <c r="T420" i="29"/>
  <c r="U420" i="29" l="1"/>
  <c r="V420" i="29" s="1"/>
  <c r="AG420" i="29"/>
  <c r="AH420" i="29" s="1"/>
  <c r="X420" i="29"/>
  <c r="Y420" i="29" s="1"/>
  <c r="AA420" i="29"/>
  <c r="AB420" i="29" s="1"/>
  <c r="AD420" i="29"/>
  <c r="AE420" i="29" s="1"/>
  <c r="T421" i="29"/>
  <c r="W421" i="29"/>
  <c r="AC421" i="29"/>
  <c r="Z421" i="29"/>
  <c r="AF421" i="29"/>
  <c r="AG421" i="29" l="1"/>
  <c r="AH421" i="29" s="1"/>
  <c r="AA421" i="29"/>
  <c r="AB421" i="29" s="1"/>
  <c r="AD421" i="29"/>
  <c r="AE421" i="29" s="1"/>
  <c r="X421" i="29"/>
  <c r="Y421" i="29" s="1"/>
  <c r="U421" i="29"/>
  <c r="V421" i="29" s="1"/>
  <c r="AF422" i="29"/>
  <c r="AC422" i="29"/>
  <c r="T422" i="29"/>
  <c r="Z422" i="29"/>
  <c r="W422" i="29"/>
  <c r="X422" i="29" l="1"/>
  <c r="Y422" i="29" s="1"/>
  <c r="AA422" i="29"/>
  <c r="AB422" i="29" s="1"/>
  <c r="U422" i="29"/>
  <c r="V422" i="29" s="1"/>
  <c r="AD422" i="29"/>
  <c r="AE422" i="29" s="1"/>
  <c r="AG422" i="29"/>
  <c r="AH422" i="29" s="1"/>
  <c r="W423" i="29"/>
  <c r="T423" i="29"/>
  <c r="AF423" i="29"/>
  <c r="Z423" i="29"/>
  <c r="AC423" i="29"/>
  <c r="AD423" i="29" l="1"/>
  <c r="AE423" i="29" s="1"/>
  <c r="AA423" i="29"/>
  <c r="AB423" i="29" s="1"/>
  <c r="AG423" i="29"/>
  <c r="AH423" i="29" s="1"/>
  <c r="U423" i="29"/>
  <c r="V423" i="29" s="1"/>
  <c r="X423" i="29"/>
  <c r="Y423" i="29" s="1"/>
  <c r="AC424" i="29"/>
  <c r="AF424" i="29"/>
  <c r="W424" i="29"/>
  <c r="Z424" i="29"/>
  <c r="T424" i="29"/>
  <c r="U424" i="29" l="1"/>
  <c r="V424" i="29" s="1"/>
  <c r="AA424" i="29"/>
  <c r="AB424" i="29" s="1"/>
  <c r="X424" i="29"/>
  <c r="Y424" i="29" s="1"/>
  <c r="AG424" i="29"/>
  <c r="AH424" i="29" s="1"/>
  <c r="AD424" i="29"/>
  <c r="AE424" i="29" s="1"/>
  <c r="T425" i="29"/>
  <c r="W425" i="29"/>
  <c r="AC425" i="29"/>
  <c r="AF425" i="29"/>
  <c r="Z425" i="29"/>
  <c r="AA425" i="29" l="1"/>
  <c r="AB425" i="29" s="1"/>
  <c r="AG425" i="29"/>
  <c r="AH425" i="29" s="1"/>
  <c r="AD425" i="29"/>
  <c r="AE425" i="29" s="1"/>
  <c r="X425" i="29"/>
  <c r="Y425" i="29" s="1"/>
  <c r="U425" i="29"/>
  <c r="V425" i="29" s="1"/>
  <c r="AC426" i="29"/>
  <c r="T426" i="29"/>
  <c r="Z426" i="29"/>
  <c r="W426" i="29"/>
  <c r="AF426" i="29"/>
  <c r="AG426" i="29" l="1"/>
  <c r="AH426" i="29" s="1"/>
  <c r="X426" i="29"/>
  <c r="Y426" i="29" s="1"/>
  <c r="AA426" i="29"/>
  <c r="AB426" i="29" s="1"/>
  <c r="U426" i="29"/>
  <c r="V426" i="29" s="1"/>
  <c r="AD426" i="29"/>
  <c r="AE426" i="29" s="1"/>
  <c r="AF427" i="29"/>
  <c r="Z427" i="29"/>
  <c r="AC427" i="29"/>
  <c r="W427" i="29"/>
  <c r="T427" i="29"/>
  <c r="U427" i="29" l="1"/>
  <c r="V427" i="29" s="1"/>
  <c r="X427" i="29"/>
  <c r="Y427" i="29" s="1"/>
  <c r="AD427" i="29"/>
  <c r="AE427" i="29" s="1"/>
  <c r="AA427" i="29"/>
  <c r="AB427" i="29" s="1"/>
  <c r="AG427" i="29"/>
  <c r="AH427" i="29" s="1"/>
  <c r="T428" i="29"/>
  <c r="AC428" i="29"/>
  <c r="AF428" i="29"/>
  <c r="W428" i="29"/>
  <c r="Z428" i="29"/>
  <c r="AA428" i="29" l="1"/>
  <c r="AB428" i="29" s="1"/>
  <c r="X428" i="29"/>
  <c r="Y428" i="29" s="1"/>
  <c r="AG428" i="29"/>
  <c r="AH428" i="29" s="1"/>
  <c r="AD428" i="29"/>
  <c r="AE428" i="29" s="1"/>
  <c r="U428" i="29"/>
  <c r="V428" i="29" s="1"/>
  <c r="Z429" i="29"/>
  <c r="AF429" i="29"/>
  <c r="T429" i="29"/>
  <c r="AC429" i="29"/>
  <c r="W429" i="29"/>
  <c r="X429" i="29" l="1"/>
  <c r="Y429" i="29" s="1"/>
  <c r="AD429" i="29"/>
  <c r="AE429" i="29" s="1"/>
  <c r="U429" i="29"/>
  <c r="V429" i="29" s="1"/>
  <c r="AG429" i="29"/>
  <c r="AH429" i="29" s="1"/>
  <c r="AA429" i="29"/>
  <c r="AB429" i="29" s="1"/>
  <c r="T430" i="29"/>
  <c r="W430" i="29"/>
  <c r="Z430" i="29"/>
  <c r="AF430" i="29"/>
  <c r="AC430" i="29"/>
  <c r="AD430" i="29" l="1"/>
  <c r="AE430" i="29" s="1"/>
  <c r="AG430" i="29"/>
  <c r="AH430" i="29" s="1"/>
  <c r="AA430" i="29"/>
  <c r="AB430" i="29" s="1"/>
  <c r="X430" i="29"/>
  <c r="Y430" i="29" s="1"/>
  <c r="U430" i="29"/>
  <c r="V430" i="29" s="1"/>
  <c r="T431" i="29"/>
  <c r="AC431" i="29"/>
  <c r="Z431" i="29"/>
  <c r="AF431" i="29"/>
  <c r="W431" i="29"/>
  <c r="X431" i="29" l="1"/>
  <c r="Y431" i="29" s="1"/>
  <c r="AG431" i="29"/>
  <c r="AH431" i="29" s="1"/>
  <c r="AA431" i="29"/>
  <c r="AB431" i="29" s="1"/>
  <c r="AD431" i="29"/>
  <c r="AE431" i="29" s="1"/>
  <c r="U431" i="29"/>
  <c r="V431" i="29" s="1"/>
  <c r="W432" i="29"/>
  <c r="Z432" i="29"/>
  <c r="T432" i="29"/>
  <c r="AF432" i="29"/>
  <c r="AC432" i="29"/>
  <c r="AD432" i="29" l="1"/>
  <c r="AE432" i="29" s="1"/>
  <c r="AG432" i="29"/>
  <c r="AH432" i="29" s="1"/>
  <c r="U432" i="29"/>
  <c r="V432" i="29" s="1"/>
  <c r="AA432" i="29"/>
  <c r="AB432" i="29" s="1"/>
  <c r="X432" i="29"/>
  <c r="Y432" i="29" s="1"/>
  <c r="W433" i="29"/>
  <c r="AC433" i="29"/>
  <c r="T433" i="29"/>
  <c r="AF433" i="29"/>
  <c r="Z433" i="29"/>
  <c r="AA433" i="29" l="1"/>
  <c r="AB433" i="29" s="1"/>
  <c r="AG433" i="29"/>
  <c r="AH433" i="29" s="1"/>
  <c r="U433" i="29"/>
  <c r="V433" i="29" s="1"/>
  <c r="AD433" i="29"/>
  <c r="AE433" i="29" s="1"/>
  <c r="X433" i="29"/>
  <c r="Y433" i="29" s="1"/>
  <c r="T434" i="29"/>
  <c r="Z434" i="29"/>
  <c r="W434" i="29"/>
  <c r="AF434" i="29"/>
  <c r="AC434" i="29"/>
  <c r="AD434" i="29" l="1"/>
  <c r="AE434" i="29" s="1"/>
  <c r="AG434" i="29"/>
  <c r="AH434" i="29" s="1"/>
  <c r="X434" i="29"/>
  <c r="Y434" i="29" s="1"/>
  <c r="AA434" i="29"/>
  <c r="AB434" i="29" s="1"/>
  <c r="U434" i="29"/>
  <c r="V434" i="29" s="1"/>
  <c r="AC435" i="29"/>
  <c r="W435" i="29"/>
  <c r="T435" i="29"/>
  <c r="AF435" i="29"/>
  <c r="Z435" i="29"/>
  <c r="AA435" i="29" l="1"/>
  <c r="AB435" i="29" s="1"/>
  <c r="AG435" i="29"/>
  <c r="AH435" i="29" s="1"/>
  <c r="U435" i="29"/>
  <c r="V435" i="29" s="1"/>
  <c r="X435" i="29"/>
  <c r="Y435" i="29" s="1"/>
  <c r="AD435" i="29"/>
  <c r="AE435" i="29" s="1"/>
  <c r="AC436" i="29"/>
  <c r="Z436" i="29"/>
  <c r="T436" i="29"/>
  <c r="AF436" i="29"/>
  <c r="W436" i="29"/>
  <c r="X436" i="29" l="1"/>
  <c r="Y436" i="29" s="1"/>
  <c r="AG436" i="29"/>
  <c r="AH436" i="29" s="1"/>
  <c r="U436" i="29"/>
  <c r="V436" i="29" s="1"/>
  <c r="AA436" i="29"/>
  <c r="AB436" i="29" s="1"/>
  <c r="AD436" i="29"/>
  <c r="AE436" i="29" s="1"/>
  <c r="T437" i="29"/>
  <c r="W437" i="29"/>
  <c r="AC437" i="29"/>
  <c r="AF437" i="29"/>
  <c r="Z437" i="29"/>
  <c r="AA437" i="29" l="1"/>
  <c r="AB437" i="29" s="1"/>
  <c r="AG437" i="29"/>
  <c r="AH437" i="29" s="1"/>
  <c r="AD437" i="29"/>
  <c r="AE437" i="29" s="1"/>
  <c r="X437" i="29"/>
  <c r="Y437" i="29" s="1"/>
  <c r="U437" i="29"/>
  <c r="V437" i="29" s="1"/>
  <c r="Z438" i="29"/>
  <c r="T438" i="29"/>
  <c r="AC438" i="29"/>
  <c r="AF438" i="29"/>
  <c r="W438" i="29"/>
  <c r="X438" i="29" l="1"/>
  <c r="Y438" i="29" s="1"/>
  <c r="AG438" i="29"/>
  <c r="AH438" i="29" s="1"/>
  <c r="AD438" i="29"/>
  <c r="AE438" i="29" s="1"/>
  <c r="U438" i="29"/>
  <c r="V438" i="29" s="1"/>
  <c r="AA438" i="29"/>
  <c r="AB438" i="29" s="1"/>
  <c r="Z439" i="29"/>
  <c r="W439" i="29"/>
  <c r="AC439" i="29"/>
  <c r="AF439" i="29"/>
  <c r="T439" i="29"/>
  <c r="U439" i="29" l="1"/>
  <c r="V439" i="29" s="1"/>
  <c r="AG439" i="29"/>
  <c r="AH439" i="29" s="1"/>
  <c r="AD439" i="29"/>
  <c r="AE439" i="29" s="1"/>
  <c r="X439" i="29"/>
  <c r="Y439" i="29" s="1"/>
  <c r="AA439" i="29"/>
  <c r="AB439" i="29" s="1"/>
  <c r="T440" i="29"/>
  <c r="AC440" i="29"/>
  <c r="Z440" i="29"/>
  <c r="AF440" i="29"/>
  <c r="W440" i="29"/>
  <c r="X440" i="29" l="1"/>
  <c r="Y440" i="29" s="1"/>
  <c r="AG440" i="29"/>
  <c r="AH440" i="29" s="1"/>
  <c r="AA440" i="29"/>
  <c r="AB440" i="29" s="1"/>
  <c r="AD440" i="29"/>
  <c r="AE440" i="29" s="1"/>
  <c r="U440" i="29"/>
  <c r="V440" i="29" s="1"/>
  <c r="Z441" i="29"/>
  <c r="T441" i="29"/>
  <c r="W441" i="29"/>
  <c r="AF441" i="29"/>
  <c r="AC441" i="29"/>
  <c r="AD441" i="29" l="1"/>
  <c r="AE441" i="29" s="1"/>
  <c r="AG441" i="29"/>
  <c r="AH441" i="29" s="1"/>
  <c r="X441" i="29"/>
  <c r="Y441" i="29" s="1"/>
  <c r="U441" i="29"/>
  <c r="V441" i="29" s="1"/>
  <c r="AA441" i="29"/>
  <c r="AB441" i="29" s="1"/>
  <c r="W442" i="29"/>
  <c r="AC442" i="29"/>
  <c r="Z442" i="29"/>
  <c r="AF442" i="29"/>
  <c r="T442" i="29"/>
  <c r="U442" i="29" l="1"/>
  <c r="V442" i="29" s="1"/>
  <c r="AG442" i="29"/>
  <c r="AH442" i="29" s="1"/>
  <c r="AA442" i="29"/>
  <c r="AB442" i="29" s="1"/>
  <c r="AD442" i="29"/>
  <c r="AE442" i="29" s="1"/>
  <c r="X442" i="29"/>
  <c r="Y442" i="29" s="1"/>
  <c r="T443" i="29"/>
  <c r="Z443" i="29"/>
  <c r="W443" i="29"/>
  <c r="AC443" i="29"/>
  <c r="AF443" i="29"/>
  <c r="AG443" i="29" l="1"/>
  <c r="AH443" i="29" s="1"/>
  <c r="AD443" i="29"/>
  <c r="AE443" i="29" s="1"/>
  <c r="X443" i="29"/>
  <c r="Y443" i="29" s="1"/>
  <c r="AA443" i="29"/>
  <c r="AB443" i="29" s="1"/>
  <c r="U443" i="29"/>
  <c r="V443" i="29" s="1"/>
  <c r="AF444" i="29"/>
  <c r="W444" i="29"/>
  <c r="T444" i="29"/>
  <c r="AC444" i="29"/>
  <c r="Z444" i="29"/>
  <c r="AA444" i="29" l="1"/>
  <c r="AB444" i="29" s="1"/>
  <c r="AD444" i="29"/>
  <c r="AE444" i="29" s="1"/>
  <c r="U444" i="29"/>
  <c r="V444" i="29" s="1"/>
  <c r="X444" i="29"/>
  <c r="Y444" i="29" s="1"/>
  <c r="AG444" i="29"/>
  <c r="AH444" i="29" s="1"/>
  <c r="T445" i="29"/>
  <c r="Z445" i="29"/>
  <c r="AF445" i="29"/>
  <c r="AC445" i="29"/>
  <c r="W445" i="29"/>
  <c r="X445" i="29" l="1"/>
  <c r="Y445" i="29" s="1"/>
  <c r="AD445" i="29"/>
  <c r="AE445" i="29" s="1"/>
  <c r="AG445" i="29"/>
  <c r="AH445" i="29" s="1"/>
  <c r="AA445" i="29"/>
  <c r="AB445" i="29" s="1"/>
  <c r="U445" i="29"/>
  <c r="V445" i="29" s="1"/>
  <c r="W446" i="29"/>
  <c r="AF446" i="29"/>
  <c r="T446" i="29"/>
  <c r="AC446" i="29"/>
  <c r="Z446" i="29"/>
  <c r="AA446" i="29" l="1"/>
  <c r="AB446" i="29" s="1"/>
  <c r="AD446" i="29"/>
  <c r="AE446" i="29" s="1"/>
  <c r="U446" i="29"/>
  <c r="V446" i="29" s="1"/>
  <c r="AG446" i="29"/>
  <c r="AH446" i="29" s="1"/>
  <c r="X446" i="29"/>
  <c r="Y446" i="29" s="1"/>
  <c r="T447" i="29"/>
  <c r="Z447" i="29"/>
  <c r="W447" i="29"/>
  <c r="AC447" i="29"/>
  <c r="AF447" i="29"/>
  <c r="AG447" i="29" l="1"/>
  <c r="AH447" i="29" s="1"/>
  <c r="AD447" i="29"/>
  <c r="AE447" i="29" s="1"/>
  <c r="X447" i="29"/>
  <c r="Y447" i="29" s="1"/>
  <c r="AA447" i="29"/>
  <c r="AB447" i="29" s="1"/>
  <c r="U447" i="29"/>
  <c r="V447" i="29" s="1"/>
  <c r="T448" i="29"/>
  <c r="AF448" i="29"/>
  <c r="W448" i="29"/>
  <c r="AC448" i="29"/>
  <c r="Z448" i="29"/>
  <c r="AA448" i="29" l="1"/>
  <c r="AB448" i="29" s="1"/>
  <c r="AD448" i="29"/>
  <c r="AE448" i="29" s="1"/>
  <c r="X448" i="29"/>
  <c r="Y448" i="29" s="1"/>
  <c r="AG448" i="29"/>
  <c r="AH448" i="29" s="1"/>
  <c r="U448" i="29"/>
  <c r="V448" i="29" s="1"/>
  <c r="Z449" i="29"/>
  <c r="W449" i="29"/>
  <c r="T449" i="29"/>
  <c r="AC449" i="29"/>
  <c r="AF449" i="29"/>
  <c r="AG449" i="29" l="1"/>
  <c r="AH449" i="29" s="1"/>
  <c r="AD449" i="29"/>
  <c r="AE449" i="29" s="1"/>
  <c r="U449" i="29"/>
  <c r="V449" i="29" s="1"/>
  <c r="X449" i="29"/>
  <c r="Y449" i="29" s="1"/>
  <c r="AA449" i="29"/>
  <c r="AB449" i="29" s="1"/>
  <c r="AF450" i="29"/>
  <c r="Z450" i="29"/>
  <c r="T450" i="29"/>
  <c r="AC450" i="29"/>
  <c r="W450" i="29"/>
  <c r="X450" i="29" l="1"/>
  <c r="Y450" i="29" s="1"/>
  <c r="AD450" i="29"/>
  <c r="AE450" i="29" s="1"/>
  <c r="U450" i="29"/>
  <c r="V450" i="29" s="1"/>
  <c r="AA450" i="29"/>
  <c r="AB450" i="29" s="1"/>
  <c r="AG450" i="29"/>
  <c r="AH450" i="29" s="1"/>
  <c r="W451" i="29"/>
  <c r="T451" i="29"/>
  <c r="AF451" i="29"/>
  <c r="AC451" i="29"/>
  <c r="Z451" i="29"/>
  <c r="AA451" i="29" l="1"/>
  <c r="AB451" i="29" s="1"/>
  <c r="AD451" i="29"/>
  <c r="AE451" i="29" s="1"/>
  <c r="AG451" i="29"/>
  <c r="AH451" i="29" s="1"/>
  <c r="U451" i="29"/>
  <c r="V451" i="29" s="1"/>
  <c r="X451" i="29"/>
  <c r="Y451" i="29" s="1"/>
  <c r="Z452" i="29"/>
  <c r="AF452" i="29"/>
  <c r="W452" i="29"/>
  <c r="AC452" i="29"/>
  <c r="T452" i="29"/>
  <c r="U452" i="29" l="1"/>
  <c r="V452" i="29" s="1"/>
  <c r="AD452" i="29"/>
  <c r="AE452" i="29" s="1"/>
  <c r="X452" i="29"/>
  <c r="Y452" i="29" s="1"/>
  <c r="AG452" i="29"/>
  <c r="AH452" i="29" s="1"/>
  <c r="AA452" i="29"/>
  <c r="AB452" i="29" s="1"/>
  <c r="T453" i="29"/>
  <c r="W453" i="29"/>
  <c r="Z453" i="29"/>
  <c r="AC453" i="29"/>
  <c r="AF453" i="29"/>
  <c r="AG453" i="29" l="1"/>
  <c r="AH453" i="29" s="1"/>
  <c r="AD453" i="29"/>
  <c r="AE453" i="29" s="1"/>
  <c r="AA453" i="29"/>
  <c r="AB453" i="29" s="1"/>
  <c r="X453" i="29"/>
  <c r="Y453" i="29" s="1"/>
  <c r="U453" i="29"/>
  <c r="V453" i="29" s="1"/>
  <c r="T454" i="29"/>
  <c r="AF454" i="29"/>
  <c r="Z454" i="29"/>
  <c r="AC454" i="29"/>
  <c r="W454" i="29"/>
  <c r="X454" i="29" l="1"/>
  <c r="Y454" i="29" s="1"/>
  <c r="AD454" i="29"/>
  <c r="AE454" i="29" s="1"/>
  <c r="AA454" i="29"/>
  <c r="AB454" i="29" s="1"/>
  <c r="AG454" i="29"/>
  <c r="AH454" i="29" s="1"/>
  <c r="U454" i="29"/>
  <c r="V454" i="29" s="1"/>
  <c r="T455" i="29"/>
  <c r="W455" i="29"/>
  <c r="Z455" i="29"/>
  <c r="AC455" i="29"/>
  <c r="AF455" i="29"/>
  <c r="AG455" i="29" l="1"/>
  <c r="AH455" i="29" s="1"/>
  <c r="AD455" i="29"/>
  <c r="AE455" i="29" s="1"/>
  <c r="AA455" i="29"/>
  <c r="AB455" i="29" s="1"/>
  <c r="X455" i="29"/>
  <c r="Y455" i="29" s="1"/>
  <c r="U455" i="29"/>
  <c r="V455" i="29" s="1"/>
  <c r="Z456" i="29"/>
  <c r="T456" i="29"/>
  <c r="AF456" i="29"/>
  <c r="W456" i="29"/>
  <c r="AC456" i="29"/>
  <c r="AD456" i="29" l="1"/>
  <c r="AE456" i="29" s="1"/>
  <c r="X456" i="29"/>
  <c r="Y456" i="29" s="1"/>
  <c r="AG456" i="29"/>
  <c r="AH456" i="29" s="1"/>
  <c r="U456" i="29"/>
  <c r="V456" i="29" s="1"/>
  <c r="AA456" i="29"/>
  <c r="AB456" i="29" s="1"/>
  <c r="AC457" i="29"/>
  <c r="AF457" i="29"/>
  <c r="Z457" i="29"/>
  <c r="W457" i="29"/>
  <c r="T457" i="29"/>
  <c r="U457" i="29" l="1"/>
  <c r="V457" i="29" s="1"/>
  <c r="X457" i="29"/>
  <c r="Y457" i="29" s="1"/>
  <c r="AA457" i="29"/>
  <c r="AB457" i="29" s="1"/>
  <c r="AG457" i="29"/>
  <c r="AH457" i="29" s="1"/>
  <c r="AD457" i="29"/>
  <c r="AE457" i="29" s="1"/>
  <c r="T458" i="29"/>
  <c r="Z458" i="29"/>
  <c r="AC458" i="29"/>
  <c r="W458" i="29"/>
  <c r="AF458" i="29"/>
  <c r="AG458" i="29" l="1"/>
  <c r="AH458" i="29" s="1"/>
  <c r="X458" i="29"/>
  <c r="Y458" i="29" s="1"/>
  <c r="AD458" i="29"/>
  <c r="AE458" i="29" s="1"/>
  <c r="AA458" i="29"/>
  <c r="AB458" i="29" s="1"/>
  <c r="U458" i="29"/>
  <c r="V458" i="29" s="1"/>
  <c r="AF459" i="29"/>
  <c r="AC459" i="29"/>
  <c r="T459" i="29"/>
  <c r="W459" i="29"/>
  <c r="Z459" i="29"/>
  <c r="AA459" i="29" l="1"/>
  <c r="AB459" i="29" s="1"/>
  <c r="X459" i="29"/>
  <c r="Y459" i="29" s="1"/>
  <c r="U459" i="29"/>
  <c r="V459" i="29" s="1"/>
  <c r="AD459" i="29"/>
  <c r="AE459" i="29" s="1"/>
  <c r="AG459" i="29"/>
  <c r="AH459" i="29" s="1"/>
  <c r="T460" i="29"/>
  <c r="Z460" i="29"/>
  <c r="AF460" i="29"/>
  <c r="W460" i="29"/>
  <c r="AC460" i="29"/>
  <c r="AD460" i="29" l="1"/>
  <c r="AE460" i="29" s="1"/>
  <c r="X460" i="29"/>
  <c r="Y460" i="29" s="1"/>
  <c r="AG460" i="29"/>
  <c r="AH460" i="29" s="1"/>
  <c r="AA460" i="29"/>
  <c r="AB460" i="29" s="1"/>
  <c r="U460" i="29"/>
  <c r="V460" i="29" s="1"/>
  <c r="AC461" i="29"/>
  <c r="AF461" i="29"/>
  <c r="T461" i="29"/>
  <c r="W461" i="29"/>
  <c r="Z461" i="29"/>
  <c r="AA461" i="29" l="1"/>
  <c r="AB461" i="29" s="1"/>
  <c r="X461" i="29"/>
  <c r="Y461" i="29" s="1"/>
  <c r="U461" i="29"/>
  <c r="V461" i="29" s="1"/>
  <c r="AG461" i="29"/>
  <c r="AH461" i="29" s="1"/>
  <c r="AD461" i="29"/>
  <c r="AE461" i="29" s="1"/>
  <c r="AC462" i="29"/>
  <c r="Z462" i="29"/>
  <c r="T462" i="29"/>
  <c r="W462" i="29"/>
  <c r="AF462" i="29"/>
  <c r="AG462" i="29" l="1"/>
  <c r="AH462" i="29" s="1"/>
  <c r="X462" i="29"/>
  <c r="Y462" i="29" s="1"/>
  <c r="U462" i="29"/>
  <c r="V462" i="29" s="1"/>
  <c r="AA462" i="29"/>
  <c r="AB462" i="29" s="1"/>
  <c r="AD462" i="29"/>
  <c r="AE462" i="29" s="1"/>
  <c r="AF463" i="29"/>
  <c r="T463" i="29"/>
  <c r="AC463" i="29"/>
  <c r="W463" i="29"/>
  <c r="Z463" i="29"/>
  <c r="AA463" i="29" l="1"/>
  <c r="AB463" i="29" s="1"/>
  <c r="X463" i="29"/>
  <c r="Y463" i="29" s="1"/>
  <c r="AD463" i="29"/>
  <c r="AE463" i="29" s="1"/>
  <c r="U463" i="29"/>
  <c r="V463" i="29" s="1"/>
  <c r="AG463" i="29"/>
  <c r="AH463" i="29" s="1"/>
  <c r="Z464" i="29"/>
  <c r="AC464" i="29"/>
  <c r="AF464" i="29"/>
  <c r="W464" i="29"/>
  <c r="T464" i="29"/>
  <c r="U464" i="29" l="1"/>
  <c r="V464" i="29" s="1"/>
  <c r="X464" i="29"/>
  <c r="Y464" i="29" s="1"/>
  <c r="AG464" i="29"/>
  <c r="AH464" i="29" s="1"/>
  <c r="AD464" i="29"/>
  <c r="AE464" i="29" s="1"/>
  <c r="AA464" i="29"/>
  <c r="AB464" i="29" s="1"/>
  <c r="T465" i="29"/>
  <c r="Z465" i="29"/>
  <c r="AF465" i="29"/>
  <c r="AC465" i="29"/>
  <c r="W465" i="29"/>
  <c r="X465" i="29" l="1"/>
  <c r="Y465" i="29" s="1"/>
  <c r="AD465" i="29"/>
  <c r="AE465" i="29" s="1"/>
  <c r="AG465" i="29"/>
  <c r="AH465" i="29" s="1"/>
  <c r="AA465" i="29"/>
  <c r="AB465" i="29" s="1"/>
  <c r="U465" i="29"/>
  <c r="V465" i="29" s="1"/>
  <c r="W466" i="29"/>
  <c r="AF466" i="29"/>
  <c r="T466" i="29"/>
  <c r="Z466" i="29"/>
  <c r="AC466" i="29"/>
  <c r="AD466" i="29" l="1"/>
  <c r="AE466" i="29" s="1"/>
  <c r="AA466" i="29"/>
  <c r="AB466" i="29" s="1"/>
  <c r="U466" i="29"/>
  <c r="V466" i="29" s="1"/>
  <c r="AG466" i="29"/>
  <c r="AH466" i="29" s="1"/>
  <c r="X466" i="29"/>
  <c r="Y466" i="29" s="1"/>
  <c r="T467" i="29"/>
  <c r="W467" i="29"/>
  <c r="AC467" i="29"/>
  <c r="Z467" i="29"/>
  <c r="AF467" i="29"/>
  <c r="AG467" i="29" l="1"/>
  <c r="AH467" i="29" s="1"/>
  <c r="AA467" i="29"/>
  <c r="AB467" i="29" s="1"/>
  <c r="AD467" i="29"/>
  <c r="AE467" i="29" s="1"/>
  <c r="X467" i="29"/>
  <c r="Y467" i="29" s="1"/>
  <c r="U467" i="29"/>
  <c r="V467" i="29" s="1"/>
  <c r="T468" i="29"/>
  <c r="AF468" i="29"/>
  <c r="AC468" i="29"/>
  <c r="Z468" i="29"/>
  <c r="W468" i="29"/>
  <c r="X468" i="29" l="1"/>
  <c r="Y468" i="29" s="1"/>
  <c r="AA468" i="29"/>
  <c r="AB468" i="29" s="1"/>
  <c r="AD468" i="29"/>
  <c r="AE468" i="29" s="1"/>
  <c r="AG468" i="29"/>
  <c r="AH468" i="29" s="1"/>
  <c r="U468" i="29"/>
  <c r="V468" i="29" s="1"/>
  <c r="AC469" i="29"/>
  <c r="W469" i="29"/>
  <c r="T469" i="29"/>
  <c r="AF469" i="29"/>
  <c r="Z469" i="29"/>
  <c r="AA469" i="29" l="1"/>
  <c r="AB469" i="29" s="1"/>
  <c r="AG469" i="29"/>
  <c r="AH469" i="29" s="1"/>
  <c r="U469" i="29"/>
  <c r="V469" i="29" s="1"/>
  <c r="X469" i="29"/>
  <c r="Y469" i="29" s="1"/>
  <c r="AD469" i="29"/>
  <c r="AE469" i="29" s="1"/>
  <c r="T470" i="29"/>
  <c r="Z470" i="29"/>
  <c r="AC470" i="29"/>
  <c r="AF470" i="29"/>
  <c r="W470" i="29"/>
  <c r="X470" i="29" l="1"/>
  <c r="Y470" i="29" s="1"/>
  <c r="AG470" i="29"/>
  <c r="AH470" i="29" s="1"/>
  <c r="AD470" i="29"/>
  <c r="AE470" i="29" s="1"/>
  <c r="AA470" i="29"/>
  <c r="AB470" i="29" s="1"/>
  <c r="U470" i="29"/>
  <c r="V470" i="29" s="1"/>
  <c r="T471" i="29"/>
  <c r="W471" i="29"/>
  <c r="AC471" i="29"/>
  <c r="AF471" i="29"/>
  <c r="Z471" i="29"/>
  <c r="AA471" i="29" l="1"/>
  <c r="AB471" i="29" s="1"/>
  <c r="AG471" i="29"/>
  <c r="AH471" i="29" s="1"/>
  <c r="AD471" i="29"/>
  <c r="AE471" i="29" s="1"/>
  <c r="X471" i="29"/>
  <c r="Y471" i="29" s="1"/>
  <c r="U471" i="29"/>
  <c r="V471" i="29" s="1"/>
  <c r="Z472" i="29"/>
  <c r="AC472" i="29"/>
  <c r="T472" i="29"/>
  <c r="W472" i="29"/>
  <c r="AF472" i="29"/>
  <c r="AG472" i="29" l="1"/>
  <c r="AH472" i="29" s="1"/>
  <c r="X472" i="29"/>
  <c r="Y472" i="29" s="1"/>
  <c r="U472" i="29"/>
  <c r="V472" i="29" s="1"/>
  <c r="AD472" i="29"/>
  <c r="AE472" i="29" s="1"/>
  <c r="AA472" i="29"/>
  <c r="AB472" i="29" s="1"/>
  <c r="T473" i="29"/>
  <c r="AF473" i="29"/>
  <c r="Z473" i="29"/>
  <c r="W473" i="29"/>
  <c r="AC473" i="29"/>
  <c r="AD473" i="29" l="1"/>
  <c r="AE473" i="29" s="1"/>
  <c r="X473" i="29"/>
  <c r="Y473" i="29" s="1"/>
  <c r="AA473" i="29"/>
  <c r="AB473" i="29" s="1"/>
  <c r="AG473" i="29"/>
  <c r="AH473" i="29" s="1"/>
  <c r="U473" i="29"/>
  <c r="V473" i="29" s="1"/>
  <c r="AC474" i="29"/>
  <c r="Z474" i="29"/>
  <c r="T474" i="29"/>
  <c r="W474" i="29"/>
  <c r="AF474" i="29"/>
  <c r="AG474" i="29" l="1"/>
  <c r="AH474" i="29" s="1"/>
  <c r="X474" i="29"/>
  <c r="Y474" i="29" s="1"/>
  <c r="U474" i="29"/>
  <c r="V474" i="29" s="1"/>
  <c r="AA474" i="29"/>
  <c r="AB474" i="29" s="1"/>
  <c r="AD474" i="29"/>
  <c r="AE474" i="29" s="1"/>
  <c r="T475" i="29"/>
  <c r="AC475" i="29"/>
  <c r="AF475" i="29"/>
  <c r="W475" i="29"/>
  <c r="Z475" i="29"/>
  <c r="AA475" i="29" l="1"/>
  <c r="AB475" i="29" s="1"/>
  <c r="X475" i="29"/>
  <c r="Y475" i="29" s="1"/>
  <c r="AG475" i="29"/>
  <c r="AH475" i="29" s="1"/>
  <c r="AD475" i="29"/>
  <c r="AE475" i="29" s="1"/>
  <c r="U475" i="29"/>
  <c r="V475" i="29" s="1"/>
  <c r="AF476" i="29"/>
  <c r="Z476" i="29"/>
  <c r="T476" i="29"/>
  <c r="W476" i="29"/>
  <c r="AC476" i="29"/>
  <c r="AD476" i="29" l="1"/>
  <c r="AE476" i="29" s="1"/>
  <c r="X476" i="29"/>
  <c r="Y476" i="29" s="1"/>
  <c r="U476" i="29"/>
  <c r="V476" i="29" s="1"/>
  <c r="AA476" i="29"/>
  <c r="AB476" i="29" s="1"/>
  <c r="AG476" i="29"/>
  <c r="AH476" i="29" s="1"/>
  <c r="AC477" i="29"/>
  <c r="T477" i="29"/>
  <c r="AF477" i="29"/>
  <c r="W477" i="29"/>
  <c r="Z477" i="29"/>
  <c r="AA477" i="29" l="1"/>
  <c r="AB477" i="29" s="1"/>
  <c r="X477" i="29"/>
  <c r="Y477" i="29" s="1"/>
  <c r="AG477" i="29"/>
  <c r="AH477" i="29" s="1"/>
  <c r="U477" i="29"/>
  <c r="V477" i="29" s="1"/>
  <c r="AD477" i="29"/>
  <c r="AE477" i="29" s="1"/>
  <c r="Z478" i="29"/>
  <c r="AF478" i="29"/>
  <c r="AC478" i="29"/>
  <c r="W478" i="29"/>
  <c r="T478" i="29"/>
  <c r="U478" i="29" l="1"/>
  <c r="V478" i="29" s="1"/>
  <c r="X478" i="29"/>
  <c r="Y478" i="29" s="1"/>
  <c r="AD478" i="29"/>
  <c r="AE478" i="29" s="1"/>
  <c r="AG478" i="29"/>
  <c r="AH478" i="29" s="1"/>
  <c r="AA478" i="29"/>
  <c r="AB478" i="29" s="1"/>
  <c r="Z479" i="29"/>
  <c r="T479" i="29"/>
  <c r="AC479" i="29"/>
  <c r="AF479" i="29"/>
  <c r="W479" i="29"/>
  <c r="X479" i="29" l="1"/>
  <c r="Y479" i="29" s="1"/>
  <c r="AG479" i="29"/>
  <c r="AH479" i="29" s="1"/>
  <c r="AD479" i="29"/>
  <c r="AE479" i="29" s="1"/>
  <c r="U479" i="29"/>
  <c r="V479" i="29" s="1"/>
  <c r="AA479" i="29"/>
  <c r="AB479" i="29" s="1"/>
  <c r="W480" i="29"/>
  <c r="Z480" i="29"/>
  <c r="AC480" i="29"/>
  <c r="AF480" i="29"/>
  <c r="T480" i="29"/>
  <c r="U480" i="29" l="1"/>
  <c r="V480" i="29" s="1"/>
  <c r="AG480" i="29"/>
  <c r="AH480" i="29" s="1"/>
  <c r="AD480" i="29"/>
  <c r="AE480" i="29" s="1"/>
  <c r="AA480" i="29"/>
  <c r="AB480" i="29" s="1"/>
  <c r="X480" i="29"/>
  <c r="Y480" i="29" s="1"/>
  <c r="AC481" i="29"/>
  <c r="T481" i="29"/>
  <c r="W481" i="29"/>
  <c r="AF481" i="29"/>
  <c r="Z481" i="29"/>
  <c r="AA481" i="29" l="1"/>
  <c r="AB481" i="29" s="1"/>
  <c r="AG481" i="29"/>
  <c r="AH481" i="29" s="1"/>
  <c r="X481" i="29"/>
  <c r="Y481" i="29" s="1"/>
  <c r="U481" i="29"/>
  <c r="V481" i="29" s="1"/>
  <c r="AD481" i="29"/>
  <c r="AE481" i="29" s="1"/>
  <c r="AC482" i="29"/>
  <c r="Z482" i="29"/>
  <c r="W482" i="29"/>
  <c r="T482" i="29"/>
  <c r="AF482" i="29"/>
  <c r="AG482" i="29" l="1"/>
  <c r="AH482" i="29" s="1"/>
  <c r="U482" i="29"/>
  <c r="V482" i="29" s="1"/>
  <c r="X482" i="29"/>
  <c r="Y482" i="29" s="1"/>
  <c r="AA482" i="29"/>
  <c r="AB482" i="29" s="1"/>
  <c r="AD482" i="29"/>
  <c r="AE482" i="29" s="1"/>
  <c r="AC483" i="29"/>
  <c r="AF483" i="29"/>
  <c r="W483" i="29"/>
  <c r="Z483" i="29"/>
  <c r="T483" i="29"/>
  <c r="U483" i="29" l="1"/>
  <c r="V483" i="29" s="1"/>
  <c r="AA483" i="29"/>
  <c r="AB483" i="29" s="1"/>
  <c r="X483" i="29"/>
  <c r="Y483" i="29" s="1"/>
  <c r="AG483" i="29"/>
  <c r="AH483" i="29" s="1"/>
  <c r="AD483" i="29"/>
  <c r="AE483" i="29" s="1"/>
  <c r="AC484" i="29"/>
  <c r="T484" i="29"/>
  <c r="W484" i="29"/>
  <c r="AF484" i="29"/>
  <c r="Z484" i="29"/>
  <c r="AA484" i="29" l="1"/>
  <c r="AB484" i="29" s="1"/>
  <c r="AG484" i="29"/>
  <c r="AH484" i="29" s="1"/>
  <c r="X484" i="29"/>
  <c r="Y484" i="29" s="1"/>
  <c r="U484" i="29"/>
  <c r="V484" i="29" s="1"/>
  <c r="AD484" i="29"/>
  <c r="AE484" i="29" s="1"/>
  <c r="W485" i="29"/>
  <c r="Z485" i="29"/>
  <c r="AC485" i="29"/>
  <c r="AF485" i="29"/>
  <c r="T485" i="29"/>
  <c r="U485" i="29" l="1"/>
  <c r="V485" i="29" s="1"/>
  <c r="AG485" i="29"/>
  <c r="AH485" i="29" s="1"/>
  <c r="AD485" i="29"/>
  <c r="AE485" i="29" s="1"/>
  <c r="AA485" i="29"/>
  <c r="AB485" i="29" s="1"/>
  <c r="X485" i="29"/>
  <c r="Y485" i="29" s="1"/>
  <c r="T486" i="29"/>
  <c r="AC486" i="29"/>
  <c r="W486" i="29"/>
  <c r="AF486" i="29"/>
  <c r="Z486" i="29"/>
  <c r="AA486" i="29" l="1"/>
  <c r="AB486" i="29" s="1"/>
  <c r="AG486" i="29"/>
  <c r="AH486" i="29" s="1"/>
  <c r="X486" i="29"/>
  <c r="Y486" i="29" s="1"/>
  <c r="AD486" i="29"/>
  <c r="AE486" i="29" s="1"/>
  <c r="U486" i="29"/>
  <c r="V486" i="29" s="1"/>
  <c r="Z487" i="29"/>
  <c r="T487" i="29"/>
  <c r="W487" i="29"/>
  <c r="AF487" i="29"/>
  <c r="AC487" i="29"/>
  <c r="AD487" i="29" l="1"/>
  <c r="AE487" i="29" s="1"/>
  <c r="AG487" i="29"/>
  <c r="AH487" i="29" s="1"/>
  <c r="X487" i="29"/>
  <c r="Y487" i="29" s="1"/>
  <c r="U487" i="29"/>
  <c r="V487" i="29" s="1"/>
  <c r="AA487" i="29"/>
  <c r="AB487" i="29" s="1"/>
  <c r="AC488" i="29"/>
  <c r="W488" i="29"/>
  <c r="Z488" i="29"/>
  <c r="AF488" i="29"/>
  <c r="T488" i="29"/>
  <c r="U488" i="29" l="1"/>
  <c r="V488" i="29" s="1"/>
  <c r="AG488" i="29"/>
  <c r="AH488" i="29" s="1"/>
  <c r="AA488" i="29"/>
  <c r="AB488" i="29" s="1"/>
  <c r="X488" i="29"/>
  <c r="Y488" i="29" s="1"/>
  <c r="AD488" i="29"/>
  <c r="AE488" i="29" s="1"/>
  <c r="T489" i="29"/>
  <c r="Z489" i="29"/>
  <c r="AC489" i="29"/>
  <c r="W489" i="29"/>
  <c r="AF489" i="29"/>
  <c r="AG489" i="29" l="1"/>
  <c r="AH489" i="29" s="1"/>
  <c r="X489" i="29"/>
  <c r="Y489" i="29" s="1"/>
  <c r="AD489" i="29"/>
  <c r="AE489" i="29" s="1"/>
  <c r="AA489" i="29"/>
  <c r="AB489" i="29" s="1"/>
  <c r="U489" i="29"/>
  <c r="V489" i="29" s="1"/>
  <c r="AC490" i="29"/>
  <c r="AF490" i="29"/>
  <c r="T490" i="29"/>
  <c r="Z490" i="29"/>
  <c r="W490" i="29"/>
  <c r="X490" i="29" l="1"/>
  <c r="Y490" i="29" s="1"/>
  <c r="AA490" i="29"/>
  <c r="AB490" i="29" s="1"/>
  <c r="U490" i="29"/>
  <c r="V490" i="29" s="1"/>
  <c r="AG490" i="29"/>
  <c r="AH490" i="29" s="1"/>
  <c r="AD490" i="29"/>
  <c r="AE490" i="29" s="1"/>
  <c r="AC491" i="29"/>
  <c r="W491" i="29"/>
  <c r="T491" i="29"/>
  <c r="AF491" i="29"/>
  <c r="Z491" i="29"/>
  <c r="AA491" i="29" l="1"/>
  <c r="AB491" i="29" s="1"/>
  <c r="AG491" i="29"/>
  <c r="AH491" i="29" s="1"/>
  <c r="U491" i="29"/>
  <c r="V491" i="29" s="1"/>
  <c r="X491" i="29"/>
  <c r="Y491" i="29" s="1"/>
  <c r="AD491" i="29"/>
  <c r="AE491" i="29" s="1"/>
  <c r="Z492" i="29"/>
  <c r="T492" i="29"/>
  <c r="AC492" i="29"/>
  <c r="AF492" i="29"/>
  <c r="W492" i="29"/>
  <c r="X492" i="29" l="1"/>
  <c r="Y492" i="29" s="1"/>
  <c r="AG492" i="29"/>
  <c r="AH492" i="29" s="1"/>
  <c r="AD492" i="29"/>
  <c r="AE492" i="29" s="1"/>
  <c r="U492" i="29"/>
  <c r="V492" i="29" s="1"/>
  <c r="AA492" i="29"/>
  <c r="AB492" i="29" s="1"/>
  <c r="AC493" i="29"/>
  <c r="W493" i="29"/>
  <c r="Z493" i="29"/>
  <c r="AF493" i="29"/>
  <c r="T493" i="29"/>
  <c r="U493" i="29" l="1"/>
  <c r="V493" i="29" s="1"/>
  <c r="AG493" i="29"/>
  <c r="AH493" i="29" s="1"/>
  <c r="AA493" i="29"/>
  <c r="AB493" i="29" s="1"/>
  <c r="X493" i="29"/>
  <c r="Y493" i="29" s="1"/>
  <c r="AD493" i="29"/>
  <c r="AE493" i="29" s="1"/>
  <c r="T494" i="29"/>
  <c r="Z494" i="29"/>
  <c r="AC494" i="29"/>
  <c r="W494" i="29"/>
  <c r="AF494" i="29"/>
  <c r="AG494" i="29" l="1"/>
  <c r="AH494" i="29" s="1"/>
  <c r="X494" i="29"/>
  <c r="Y494" i="29" s="1"/>
  <c r="AD494" i="29"/>
  <c r="AE494" i="29" s="1"/>
  <c r="AA494" i="29"/>
  <c r="AB494" i="29" s="1"/>
  <c r="U494" i="29"/>
  <c r="V494" i="29" s="1"/>
  <c r="AF495" i="29"/>
  <c r="AC495" i="29"/>
  <c r="T495" i="29"/>
  <c r="Z495" i="29"/>
  <c r="W495" i="29"/>
  <c r="X495" i="29" l="1"/>
  <c r="Y495" i="29" s="1"/>
  <c r="AA495" i="29"/>
  <c r="AB495" i="29" s="1"/>
  <c r="U495" i="29"/>
  <c r="V495" i="29" s="1"/>
  <c r="AD495" i="29"/>
  <c r="AE495" i="29" s="1"/>
  <c r="AG495" i="29"/>
  <c r="AH495" i="29" s="1"/>
  <c r="AF496" i="29"/>
  <c r="W496" i="29"/>
  <c r="T496" i="29"/>
  <c r="Z496" i="29"/>
  <c r="AC496" i="29"/>
  <c r="AD496" i="29" l="1"/>
  <c r="AE496" i="29" s="1"/>
  <c r="AA496" i="29"/>
  <c r="AB496" i="29" s="1"/>
  <c r="U496" i="29"/>
  <c r="V496" i="29" s="1"/>
  <c r="X496" i="29"/>
  <c r="Y496" i="29" s="1"/>
  <c r="AG496" i="29"/>
  <c r="AH496" i="29" s="1"/>
  <c r="T497" i="29"/>
  <c r="AF497" i="29"/>
  <c r="AC497" i="29"/>
  <c r="Z497" i="29"/>
  <c r="W497" i="29"/>
  <c r="X497" i="29" l="1"/>
  <c r="Y497" i="29" s="1"/>
  <c r="AA497" i="29"/>
  <c r="AB497" i="29" s="1"/>
  <c r="AD497" i="29"/>
  <c r="AE497" i="29" s="1"/>
  <c r="AG497" i="29"/>
  <c r="AH497" i="29" s="1"/>
  <c r="U497" i="29"/>
  <c r="V497" i="29" s="1"/>
  <c r="W498" i="29"/>
  <c r="AC498" i="29"/>
  <c r="T498" i="29"/>
  <c r="Z498" i="29"/>
  <c r="AF498" i="29"/>
  <c r="AG498" i="29" l="1"/>
  <c r="AH498" i="29" s="1"/>
  <c r="AA498" i="29"/>
  <c r="AB498" i="29" s="1"/>
  <c r="U498" i="29"/>
  <c r="V498" i="29" s="1"/>
  <c r="AD498" i="29"/>
  <c r="AE498" i="29" s="1"/>
  <c r="X498" i="29"/>
  <c r="Y498" i="29" s="1"/>
  <c r="AF499" i="29"/>
  <c r="T499" i="29"/>
  <c r="W499" i="29"/>
  <c r="Z499" i="29"/>
  <c r="AC499" i="29"/>
  <c r="AD499" i="29" l="1"/>
  <c r="AE499" i="29" s="1"/>
  <c r="AA499" i="29"/>
  <c r="AB499" i="29" s="1"/>
  <c r="X499" i="29"/>
  <c r="Y499" i="29" s="1"/>
  <c r="U499" i="29"/>
  <c r="V499" i="29" s="1"/>
  <c r="AG499" i="29"/>
  <c r="AH499" i="29" s="1"/>
  <c r="W500" i="29"/>
  <c r="Z500" i="29"/>
  <c r="AF500" i="29"/>
  <c r="T500" i="29"/>
  <c r="AC500" i="29"/>
  <c r="AD500" i="29" l="1"/>
  <c r="AE500" i="29" s="1"/>
  <c r="U500" i="29"/>
  <c r="V500" i="29" s="1"/>
  <c r="AG500" i="29"/>
  <c r="AH500" i="29" s="1"/>
  <c r="AA500" i="29"/>
  <c r="AB500" i="29" s="1"/>
  <c r="X500" i="29"/>
  <c r="Y500" i="29" s="1"/>
  <c r="AF501" i="29"/>
  <c r="W501" i="29"/>
  <c r="AC501" i="29"/>
  <c r="Z501" i="29"/>
  <c r="T501" i="29"/>
  <c r="U501" i="29" l="1"/>
  <c r="V501" i="29" s="1"/>
  <c r="AA501" i="29"/>
  <c r="AB501" i="29" s="1"/>
  <c r="AD501" i="29"/>
  <c r="AE501" i="29" s="1"/>
  <c r="X501" i="29"/>
  <c r="Y501" i="29" s="1"/>
  <c r="AG501" i="29"/>
  <c r="AH501" i="29" s="1"/>
  <c r="T502" i="29"/>
  <c r="AF502" i="29"/>
  <c r="AC502" i="29"/>
  <c r="Z502" i="29"/>
  <c r="W502" i="29"/>
  <c r="X502" i="29" l="1"/>
  <c r="Y502" i="29" s="1"/>
  <c r="AA502" i="29"/>
  <c r="AB502" i="29" s="1"/>
  <c r="AD502" i="29"/>
  <c r="AE502" i="29" s="1"/>
  <c r="AG502" i="29"/>
  <c r="AH502" i="29" s="1"/>
  <c r="U502" i="29"/>
  <c r="V502" i="29" s="1"/>
  <c r="T503" i="29"/>
  <c r="W503" i="29"/>
  <c r="AC503" i="29"/>
  <c r="Z503" i="29"/>
  <c r="AF503" i="29"/>
  <c r="AG503" i="29" l="1"/>
  <c r="AH503" i="29" s="1"/>
  <c r="AA503" i="29"/>
  <c r="AB503" i="29" s="1"/>
  <c r="AD503" i="29"/>
  <c r="AE503" i="29" s="1"/>
  <c r="X503" i="29"/>
  <c r="Y503" i="29" s="1"/>
  <c r="U503" i="29"/>
  <c r="V503" i="29" s="1"/>
  <c r="AC504" i="29"/>
  <c r="T504" i="29"/>
  <c r="AF504" i="29"/>
  <c r="Z504" i="29"/>
  <c r="W504" i="29"/>
  <c r="X504" i="29" l="1"/>
  <c r="Y504" i="29" s="1"/>
  <c r="AA504" i="29"/>
  <c r="AB504" i="29" s="1"/>
  <c r="AG504" i="29"/>
  <c r="AH504" i="29" s="1"/>
  <c r="U504" i="29"/>
  <c r="V504" i="29" s="1"/>
  <c r="AD504" i="29"/>
  <c r="AE504" i="29" s="1"/>
  <c r="W505" i="29"/>
  <c r="AC505" i="29"/>
  <c r="AF505" i="29"/>
  <c r="Z505" i="29"/>
  <c r="T505" i="29"/>
  <c r="U505" i="29" l="1"/>
  <c r="V505" i="29" s="1"/>
  <c r="AA505" i="29"/>
  <c r="AB505" i="29" s="1"/>
  <c r="AG505" i="29"/>
  <c r="AH505" i="29" s="1"/>
  <c r="AD505" i="29"/>
  <c r="AE505" i="29" s="1"/>
  <c r="X505" i="29"/>
  <c r="Y505" i="29" s="1"/>
  <c r="W506" i="29"/>
  <c r="T506" i="29"/>
  <c r="AF506" i="29"/>
  <c r="Z506" i="29"/>
  <c r="AC506" i="29"/>
  <c r="AD506" i="29" l="1"/>
  <c r="AE506" i="29" s="1"/>
  <c r="AA506" i="29"/>
  <c r="AB506" i="29" s="1"/>
  <c r="AG506" i="29"/>
  <c r="AH506" i="29" s="1"/>
  <c r="U506" i="29"/>
  <c r="V506" i="29" s="1"/>
  <c r="X506" i="29"/>
  <c r="Y506" i="29" s="1"/>
  <c r="AF507" i="29"/>
  <c r="AC507" i="29"/>
  <c r="W507" i="29"/>
  <c r="T507" i="29"/>
  <c r="Z507" i="29"/>
  <c r="AA507" i="29" l="1"/>
  <c r="AB507" i="29" s="1"/>
  <c r="U507" i="29"/>
  <c r="V507" i="29" s="1"/>
  <c r="X507" i="29"/>
  <c r="Y507" i="29" s="1"/>
  <c r="AD507" i="29"/>
  <c r="AE507" i="29" s="1"/>
  <c r="AG507" i="29"/>
  <c r="AH507" i="29" s="1"/>
  <c r="W508" i="29"/>
  <c r="AF508" i="29"/>
  <c r="Z508" i="29"/>
  <c r="T508" i="29"/>
  <c r="AC508" i="29"/>
  <c r="AD508" i="29" l="1"/>
  <c r="AE508" i="29" s="1"/>
  <c r="U508" i="29"/>
  <c r="V508" i="29" s="1"/>
  <c r="AA508" i="29"/>
  <c r="AB508" i="29" s="1"/>
  <c r="AG508" i="29"/>
  <c r="AH508" i="29" s="1"/>
  <c r="X508" i="29"/>
  <c r="Y508" i="29" s="1"/>
  <c r="Z509" i="29"/>
  <c r="W509" i="29"/>
  <c r="AC509" i="29"/>
  <c r="T509" i="29"/>
  <c r="AF509" i="29"/>
  <c r="AG509" i="29" l="1"/>
  <c r="AH509" i="29" s="1"/>
  <c r="U509" i="29"/>
  <c r="V509" i="29" s="1"/>
  <c r="AD509" i="29"/>
  <c r="AE509" i="29" s="1"/>
  <c r="X509" i="29"/>
  <c r="Y509" i="29" s="1"/>
  <c r="AA509" i="29"/>
  <c r="AB509" i="29" s="1"/>
  <c r="AC510" i="29"/>
  <c r="Z510" i="29"/>
  <c r="AF510" i="29"/>
  <c r="W510" i="29"/>
  <c r="T510" i="29"/>
  <c r="U510" i="29" l="1"/>
  <c r="V510" i="29" s="1"/>
  <c r="X510" i="29"/>
  <c r="Y510" i="29" s="1"/>
  <c r="AG510" i="29"/>
  <c r="AH510" i="29" s="1"/>
  <c r="AA510" i="29"/>
  <c r="AB510" i="29" s="1"/>
  <c r="AD510" i="29"/>
  <c r="AE510" i="29" s="1"/>
  <c r="AF511" i="29"/>
  <c r="T511" i="29"/>
  <c r="AC511" i="29"/>
  <c r="Z511" i="29"/>
  <c r="W511" i="29"/>
  <c r="X511" i="29" l="1"/>
  <c r="Y511" i="29" s="1"/>
  <c r="AA511" i="29"/>
  <c r="AB511" i="29" s="1"/>
  <c r="AD511" i="29"/>
  <c r="AE511" i="29" s="1"/>
  <c r="U511" i="29"/>
  <c r="V511" i="29" s="1"/>
  <c r="AG511" i="29"/>
  <c r="AH511" i="29" s="1"/>
  <c r="W512" i="29"/>
  <c r="AC512" i="29"/>
  <c r="AF512" i="29"/>
  <c r="T512" i="29"/>
  <c r="Z512" i="29"/>
  <c r="AA512" i="29" l="1"/>
  <c r="AB512" i="29" s="1"/>
  <c r="U512" i="29"/>
  <c r="V512" i="29" s="1"/>
  <c r="AG512" i="29"/>
  <c r="AH512" i="29" s="1"/>
  <c r="AD512" i="29"/>
  <c r="AE512" i="29" s="1"/>
  <c r="X512" i="29"/>
  <c r="Y512" i="29" s="1"/>
  <c r="AF513" i="29"/>
  <c r="Z513" i="29"/>
  <c r="W513" i="29"/>
  <c r="AC513" i="29"/>
  <c r="T513" i="29"/>
  <c r="U513" i="29" l="1"/>
  <c r="V513" i="29" s="1"/>
  <c r="AD513" i="29"/>
  <c r="AE513" i="29" s="1"/>
  <c r="X513" i="29"/>
  <c r="Y513" i="29" s="1"/>
  <c r="AA513" i="29"/>
  <c r="AB513" i="29" s="1"/>
  <c r="AG513" i="29"/>
  <c r="AH513" i="29" s="1"/>
  <c r="T514" i="29"/>
  <c r="W514" i="29"/>
  <c r="AF514" i="29"/>
  <c r="Z514" i="29"/>
  <c r="AC514" i="29"/>
  <c r="AD514" i="29" l="1"/>
  <c r="AE514" i="29" s="1"/>
  <c r="AA514" i="29"/>
  <c r="AB514" i="29" s="1"/>
  <c r="AG514" i="29"/>
  <c r="AH514" i="29" s="1"/>
  <c r="X514" i="29"/>
  <c r="Y514" i="29" s="1"/>
  <c r="U514" i="29"/>
  <c r="V514" i="29" s="1"/>
  <c r="AF515" i="29"/>
  <c r="AC515" i="29"/>
  <c r="T515" i="29"/>
  <c r="W515" i="29"/>
  <c r="Z515" i="29"/>
  <c r="AA515" i="29" l="1"/>
  <c r="AB515" i="29" s="1"/>
  <c r="X515" i="29"/>
  <c r="Y515" i="29" s="1"/>
  <c r="U515" i="29"/>
  <c r="V515" i="29" s="1"/>
  <c r="AD515" i="29"/>
  <c r="AE515" i="29" s="1"/>
  <c r="AG515" i="29"/>
  <c r="AH515" i="29" s="1"/>
  <c r="Z516" i="29"/>
  <c r="AF516" i="29"/>
  <c r="T516" i="29"/>
  <c r="AC516" i="29"/>
  <c r="W516" i="29"/>
  <c r="X516" i="29" l="1"/>
  <c r="Y516" i="29" s="1"/>
  <c r="AD516" i="29"/>
  <c r="AE516" i="29" s="1"/>
  <c r="U516" i="29"/>
  <c r="V516" i="29" s="1"/>
  <c r="AG516" i="29"/>
  <c r="AH516" i="29" s="1"/>
  <c r="AA516" i="29"/>
  <c r="AB516" i="29" s="1"/>
  <c r="W517" i="29"/>
  <c r="T517" i="29"/>
  <c r="Z517" i="29"/>
  <c r="AC517" i="29"/>
  <c r="AF517" i="29"/>
  <c r="AG517" i="29" l="1"/>
  <c r="AH517" i="29" s="1"/>
  <c r="AD517" i="29"/>
  <c r="AE517" i="29" s="1"/>
  <c r="AA517" i="29"/>
  <c r="AB517" i="29" s="1"/>
  <c r="U517" i="29"/>
  <c r="V517" i="29" s="1"/>
  <c r="X517" i="29"/>
  <c r="Y517" i="29" s="1"/>
  <c r="W518" i="29"/>
  <c r="AF518" i="29"/>
  <c r="Z518" i="29"/>
  <c r="AC518" i="29"/>
  <c r="T518" i="29"/>
  <c r="U518" i="29" l="1"/>
  <c r="V518" i="29" s="1"/>
  <c r="AD518" i="29"/>
  <c r="AE518" i="29" s="1"/>
  <c r="AA518" i="29"/>
  <c r="AB518" i="29" s="1"/>
  <c r="AG518" i="29"/>
  <c r="AH518" i="29" s="1"/>
  <c r="X518" i="29"/>
  <c r="Y518" i="29" s="1"/>
  <c r="T519" i="29"/>
  <c r="Z519" i="29"/>
  <c r="W519" i="29"/>
  <c r="AC519" i="29"/>
  <c r="AF519" i="29"/>
  <c r="AG519" i="29" l="1"/>
  <c r="AH519" i="29" s="1"/>
  <c r="AD519" i="29"/>
  <c r="AE519" i="29" s="1"/>
  <c r="X519" i="29"/>
  <c r="Y519" i="29" s="1"/>
  <c r="AA519" i="29"/>
  <c r="AB519" i="29" s="1"/>
  <c r="U519" i="29"/>
  <c r="V519" i="29" s="1"/>
  <c r="W520" i="29"/>
  <c r="AF520" i="29"/>
  <c r="T520" i="29"/>
  <c r="Z520" i="29"/>
  <c r="AC520" i="29"/>
  <c r="AD520" i="29" l="1"/>
  <c r="AE520" i="29" s="1"/>
  <c r="AA520" i="29"/>
  <c r="AB520" i="29" s="1"/>
  <c r="U520" i="29"/>
  <c r="V520" i="29" s="1"/>
  <c r="AG520" i="29"/>
  <c r="AH520" i="29" s="1"/>
  <c r="X520" i="29"/>
  <c r="Y520" i="29" s="1"/>
  <c r="W521" i="29"/>
  <c r="AC521" i="29"/>
  <c r="T521" i="29"/>
  <c r="Z521" i="29"/>
  <c r="AF521" i="29"/>
  <c r="AG521" i="29" l="1"/>
  <c r="AH521" i="29" s="1"/>
  <c r="AA521" i="29"/>
  <c r="AB521" i="29" s="1"/>
  <c r="U521" i="29"/>
  <c r="V521" i="29" s="1"/>
  <c r="AD521" i="29"/>
  <c r="AE521" i="29" s="1"/>
  <c r="X521" i="29"/>
  <c r="Y521" i="29" s="1"/>
  <c r="W522" i="29"/>
  <c r="AF522" i="29"/>
  <c r="T522" i="29"/>
  <c r="Z522" i="29"/>
  <c r="AC522" i="29"/>
  <c r="AD522" i="29" l="1"/>
  <c r="AE522" i="29" s="1"/>
  <c r="AA522" i="29"/>
  <c r="AB522" i="29" s="1"/>
  <c r="U522" i="29"/>
  <c r="V522" i="29" s="1"/>
  <c r="AG522" i="29"/>
  <c r="AH522" i="29" s="1"/>
  <c r="X522" i="29"/>
  <c r="Y522" i="29" s="1"/>
  <c r="AC523" i="29"/>
  <c r="T523" i="29"/>
  <c r="W523" i="29"/>
  <c r="Z523" i="29"/>
  <c r="AF523" i="29"/>
  <c r="AG523" i="29" l="1"/>
  <c r="AH523" i="29" s="1"/>
  <c r="AA523" i="29"/>
  <c r="AB523" i="29" s="1"/>
  <c r="X523" i="29"/>
  <c r="Y523" i="29" s="1"/>
  <c r="U523" i="29"/>
  <c r="V523" i="29" s="1"/>
  <c r="AD523" i="29"/>
  <c r="AE523" i="29" s="1"/>
  <c r="AF524" i="29"/>
  <c r="W524" i="29"/>
  <c r="AC524" i="29"/>
  <c r="Z524" i="29"/>
  <c r="T524" i="29"/>
  <c r="U524" i="29" l="1"/>
  <c r="V524" i="29" s="1"/>
  <c r="AA524" i="29"/>
  <c r="AB524" i="29" s="1"/>
  <c r="AD524" i="29"/>
  <c r="AE524" i="29" s="1"/>
  <c r="X524" i="29"/>
  <c r="Y524" i="29" s="1"/>
  <c r="AG524" i="29"/>
  <c r="AH524" i="29" s="1"/>
  <c r="AF525" i="29"/>
  <c r="T525" i="29"/>
  <c r="AC525" i="29"/>
  <c r="W525" i="29"/>
  <c r="Z525" i="29"/>
  <c r="AA525" i="29" l="1"/>
  <c r="AB525" i="29" s="1"/>
  <c r="X525" i="29"/>
  <c r="Y525" i="29" s="1"/>
  <c r="AD525" i="29"/>
  <c r="AE525" i="29" s="1"/>
  <c r="U525" i="29"/>
  <c r="V525" i="29" s="1"/>
  <c r="AG525" i="29"/>
  <c r="AH525" i="29" s="1"/>
  <c r="Z526" i="29"/>
  <c r="AC526" i="29"/>
  <c r="AF526" i="29"/>
  <c r="T526" i="29"/>
  <c r="W526" i="29"/>
  <c r="X526" i="29" l="1"/>
  <c r="Y526" i="29" s="1"/>
  <c r="U526" i="29"/>
  <c r="V526" i="29" s="1"/>
  <c r="AG526" i="29"/>
  <c r="AH526" i="29" s="1"/>
  <c r="AD526" i="29"/>
  <c r="AE526" i="29" s="1"/>
  <c r="AA526" i="29"/>
  <c r="AB526" i="29" s="1"/>
  <c r="W527" i="29"/>
  <c r="AF527" i="29"/>
  <c r="Z527" i="29"/>
  <c r="T527" i="29"/>
  <c r="AC527" i="29"/>
  <c r="AD527" i="29" l="1"/>
  <c r="AE527" i="29" s="1"/>
  <c r="U527" i="29"/>
  <c r="V527" i="29" s="1"/>
  <c r="AA527" i="29"/>
  <c r="AB527" i="29" s="1"/>
  <c r="AG527" i="29"/>
  <c r="AH527" i="29" s="1"/>
  <c r="X527" i="29"/>
  <c r="Y527" i="29" s="1"/>
  <c r="AC528" i="29"/>
  <c r="Z528" i="29"/>
  <c r="W528" i="29"/>
  <c r="AF528" i="29"/>
  <c r="T528" i="29"/>
  <c r="U528" i="29" l="1"/>
  <c r="V528" i="29" s="1"/>
  <c r="AG528" i="29"/>
  <c r="AH528" i="29" s="1"/>
  <c r="X528" i="29"/>
  <c r="Y528" i="29" s="1"/>
  <c r="AA528" i="29"/>
  <c r="AB528" i="29" s="1"/>
  <c r="AD528" i="29"/>
  <c r="AE528" i="29" s="1"/>
  <c r="T529" i="29"/>
  <c r="W529" i="29"/>
  <c r="AC529" i="29"/>
  <c r="AF529" i="29"/>
  <c r="Z529" i="29"/>
  <c r="AA529" i="29" l="1"/>
  <c r="AB529" i="29" s="1"/>
  <c r="AG529" i="29"/>
  <c r="AH529" i="29" s="1"/>
  <c r="AD529" i="29"/>
  <c r="AE529" i="29" s="1"/>
  <c r="X529" i="29"/>
  <c r="Y529" i="29" s="1"/>
  <c r="U529" i="29"/>
  <c r="V529" i="29" s="1"/>
  <c r="AC530" i="29"/>
  <c r="Z530" i="29"/>
  <c r="T530" i="29"/>
  <c r="W530" i="29"/>
  <c r="AF530" i="29"/>
  <c r="AG530" i="29" l="1"/>
  <c r="AH530" i="29" s="1"/>
  <c r="X530" i="29"/>
  <c r="Y530" i="29" s="1"/>
  <c r="U530" i="29"/>
  <c r="V530" i="29" s="1"/>
  <c r="AA530" i="29"/>
  <c r="AB530" i="29" s="1"/>
  <c r="AD530" i="29"/>
  <c r="AE530" i="29" s="1"/>
  <c r="AF531" i="29"/>
  <c r="T531" i="29"/>
  <c r="AC531" i="29"/>
  <c r="W531" i="29"/>
  <c r="Z531" i="29"/>
  <c r="AA531" i="29" l="1"/>
  <c r="AB531" i="29" s="1"/>
  <c r="X531" i="29"/>
  <c r="Y531" i="29" s="1"/>
  <c r="AD531" i="29"/>
  <c r="AE531" i="29" s="1"/>
  <c r="U531" i="29"/>
  <c r="V531" i="29" s="1"/>
  <c r="AG531" i="29"/>
  <c r="AH531" i="29" s="1"/>
  <c r="Z532" i="29"/>
  <c r="AC532" i="29"/>
  <c r="AF532" i="29"/>
  <c r="W532" i="29"/>
  <c r="T532" i="29"/>
  <c r="U532" i="29" l="1"/>
  <c r="V532" i="29" s="1"/>
  <c r="X532" i="29"/>
  <c r="Y532" i="29" s="1"/>
  <c r="AG532" i="29"/>
  <c r="AH532" i="29" s="1"/>
  <c r="AD532" i="29"/>
  <c r="AE532" i="29" s="1"/>
  <c r="AA532" i="29"/>
  <c r="AB532" i="29" s="1"/>
  <c r="Z533" i="29"/>
  <c r="T533" i="29"/>
  <c r="AF533" i="29"/>
  <c r="W533" i="29"/>
  <c r="AC533" i="29"/>
  <c r="AD533" i="29" l="1"/>
  <c r="AE533" i="29" s="1"/>
  <c r="X533" i="29"/>
  <c r="Y533" i="29" s="1"/>
  <c r="AG533" i="29"/>
  <c r="AH533" i="29" s="1"/>
  <c r="U533" i="29"/>
  <c r="V533" i="29" s="1"/>
  <c r="AA533" i="29"/>
  <c r="AB533" i="29" s="1"/>
  <c r="Z534" i="29"/>
  <c r="AC534" i="29"/>
  <c r="AF534" i="29"/>
  <c r="W534" i="29"/>
  <c r="T534" i="29"/>
  <c r="U534" i="29" l="1"/>
  <c r="V534" i="29" s="1"/>
  <c r="X534" i="29"/>
  <c r="Y534" i="29" s="1"/>
  <c r="AG534" i="29"/>
  <c r="AH534" i="29" s="1"/>
  <c r="AD534" i="29"/>
  <c r="AE534" i="29" s="1"/>
  <c r="AA534" i="29"/>
  <c r="AB534" i="29" s="1"/>
  <c r="T535" i="29"/>
  <c r="AF535" i="29"/>
  <c r="Z535" i="29"/>
  <c r="AC535" i="29"/>
  <c r="W535" i="29"/>
  <c r="X535" i="29" l="1"/>
  <c r="Y535" i="29" s="1"/>
  <c r="AD535" i="29"/>
  <c r="AE535" i="29" s="1"/>
  <c r="AA535" i="29"/>
  <c r="AB535" i="29" s="1"/>
  <c r="AG535" i="29"/>
  <c r="AH535" i="29" s="1"/>
  <c r="U535" i="29"/>
  <c r="V535" i="29" s="1"/>
  <c r="W536" i="29"/>
  <c r="Z536" i="29"/>
  <c r="T536" i="29"/>
  <c r="AC536" i="29"/>
  <c r="AF536" i="29"/>
  <c r="AG536" i="29" l="1"/>
  <c r="AH536" i="29" s="1"/>
  <c r="AD536" i="29"/>
  <c r="AE536" i="29" s="1"/>
  <c r="U536" i="29"/>
  <c r="V536" i="29" s="1"/>
  <c r="AA536" i="29"/>
  <c r="AB536" i="29" s="1"/>
  <c r="X536" i="29"/>
  <c r="Y536" i="29" s="1"/>
  <c r="T537" i="29"/>
  <c r="W537" i="29"/>
  <c r="AF537" i="29"/>
  <c r="AC537" i="29"/>
  <c r="Z537" i="29"/>
  <c r="AA537" i="29" l="1"/>
  <c r="AB537" i="29" s="1"/>
  <c r="AD537" i="29"/>
  <c r="AE537" i="29" s="1"/>
  <c r="AG537" i="29"/>
  <c r="AH537" i="29" s="1"/>
  <c r="X537" i="29"/>
  <c r="Y537" i="29" s="1"/>
  <c r="U537" i="29"/>
  <c r="V537" i="29" s="1"/>
  <c r="T538" i="29"/>
  <c r="Z538" i="29"/>
  <c r="AF538" i="29"/>
  <c r="AC538" i="29"/>
  <c r="W538" i="29"/>
  <c r="X538" i="29" l="1"/>
  <c r="Y538" i="29" s="1"/>
  <c r="AD538" i="29"/>
  <c r="AE538" i="29" s="1"/>
  <c r="AG538" i="29"/>
  <c r="AH538" i="29" s="1"/>
  <c r="AA538" i="29"/>
  <c r="AB538" i="29" s="1"/>
  <c r="U538" i="29"/>
  <c r="V538" i="29" s="1"/>
  <c r="N2" i="13"/>
  <c r="AF539" i="29"/>
  <c r="W539" i="29"/>
  <c r="T539" i="29"/>
  <c r="AC539" i="29"/>
  <c r="Z539" i="29"/>
  <c r="AA539" i="29" l="1"/>
  <c r="AB539" i="29" s="1"/>
  <c r="AD539" i="29"/>
  <c r="AE539" i="29" s="1"/>
  <c r="U539" i="29"/>
  <c r="V539" i="29" s="1"/>
  <c r="X539" i="29"/>
  <c r="Y539" i="29" s="1"/>
  <c r="AG539" i="29"/>
  <c r="AH539" i="29" s="1"/>
  <c r="N43" i="13"/>
  <c r="O43" i="13" s="1"/>
  <c r="N44" i="13"/>
  <c r="O44" i="13" s="1"/>
  <c r="N48" i="13"/>
  <c r="O48" i="13" s="1"/>
  <c r="N50" i="13"/>
  <c r="O50" i="13" s="1"/>
  <c r="N45" i="13"/>
  <c r="O45" i="13" s="1"/>
  <c r="N51" i="13"/>
  <c r="O51" i="13" s="1"/>
  <c r="N63" i="13"/>
  <c r="O63" i="13" s="1"/>
  <c r="N42" i="13"/>
  <c r="O42" i="13" s="1"/>
  <c r="N52" i="13"/>
  <c r="O52" i="13" s="1"/>
  <c r="E52" i="17" s="1"/>
  <c r="N3" i="13"/>
  <c r="O3" i="13" s="1"/>
  <c r="N46" i="13"/>
  <c r="O46" i="13" s="1"/>
  <c r="N62" i="13"/>
  <c r="O62" i="13" s="1"/>
  <c r="N65" i="13"/>
  <c r="O65" i="13" s="1"/>
  <c r="N27" i="13"/>
  <c r="O27" i="13" s="1"/>
  <c r="E44" i="17" s="1"/>
  <c r="N26" i="13"/>
  <c r="O26" i="13" s="1"/>
  <c r="N33" i="13"/>
  <c r="O33" i="13" s="1"/>
  <c r="E42" i="17" s="1"/>
  <c r="N37" i="13"/>
  <c r="O37" i="13" s="1"/>
  <c r="E43" i="17" s="1"/>
  <c r="N61" i="13"/>
  <c r="O61" i="13" s="1"/>
  <c r="N8" i="13"/>
  <c r="O8" i="13" s="1"/>
  <c r="E8" i="17" s="1"/>
  <c r="N54" i="13"/>
  <c r="O54" i="13" s="1"/>
  <c r="N32" i="13"/>
  <c r="O32" i="13" s="1"/>
  <c r="N38" i="13"/>
  <c r="O38" i="13" s="1"/>
  <c r="N47" i="13"/>
  <c r="O47" i="13" s="1"/>
  <c r="N11" i="13"/>
  <c r="O11" i="13" s="1"/>
  <c r="E11" i="17" s="1"/>
  <c r="N14" i="13"/>
  <c r="O14" i="13" s="1"/>
  <c r="N24" i="13"/>
  <c r="O24" i="13" s="1"/>
  <c r="E48" i="17"/>
  <c r="N10" i="13"/>
  <c r="O10" i="13" s="1"/>
  <c r="N56" i="13"/>
  <c r="O56" i="13" s="1"/>
  <c r="N58" i="13"/>
  <c r="O58" i="13" s="1"/>
  <c r="N7" i="13"/>
  <c r="O7" i="13" s="1"/>
  <c r="N15" i="13"/>
  <c r="O15" i="13" s="1"/>
  <c r="N36" i="13"/>
  <c r="O36" i="13" s="1"/>
  <c r="N66" i="13"/>
  <c r="O66" i="13" s="1"/>
  <c r="N59" i="13"/>
  <c r="O59" i="13" s="1"/>
  <c r="E59" i="17" s="1"/>
  <c r="N34" i="13"/>
  <c r="O34" i="13" s="1"/>
  <c r="N16" i="13"/>
  <c r="O16" i="13" s="1"/>
  <c r="E65" i="17"/>
  <c r="E64" i="17"/>
  <c r="N4" i="13"/>
  <c r="O4" i="13" s="1"/>
  <c r="N9" i="13"/>
  <c r="O9" i="13" s="1"/>
  <c r="E9" i="17" s="1"/>
  <c r="N49" i="13"/>
  <c r="O49" i="13" s="1"/>
  <c r="N39" i="13"/>
  <c r="O39" i="13" s="1"/>
  <c r="N31" i="13"/>
  <c r="O31" i="13" s="1"/>
  <c r="N18" i="13"/>
  <c r="O18" i="13" s="1"/>
  <c r="N41" i="13"/>
  <c r="O41" i="13" s="1"/>
  <c r="N30" i="13"/>
  <c r="O30" i="13" s="1"/>
  <c r="N21" i="13"/>
  <c r="O21" i="13" s="1"/>
  <c r="N22" i="13"/>
  <c r="O22" i="13" s="1"/>
  <c r="N28" i="13"/>
  <c r="O28" i="13" s="1"/>
  <c r="N53" i="13"/>
  <c r="O53" i="13" s="1"/>
  <c r="N64" i="13"/>
  <c r="O64" i="13" s="1"/>
  <c r="N6" i="13"/>
  <c r="O6" i="13" s="1"/>
  <c r="N40" i="13"/>
  <c r="O40" i="13" s="1"/>
  <c r="N25" i="13"/>
  <c r="O25" i="13" s="1"/>
  <c r="O2" i="13"/>
  <c r="N29" i="13"/>
  <c r="O29" i="13" s="1"/>
  <c r="N13" i="13"/>
  <c r="O13" i="13" s="1"/>
  <c r="E13" i="17" s="1"/>
  <c r="N5" i="13"/>
  <c r="O5" i="13" s="1"/>
  <c r="E4" i="17" s="1"/>
  <c r="N35" i="13"/>
  <c r="O35" i="13" s="1"/>
  <c r="N23" i="13"/>
  <c r="O23" i="13" s="1"/>
  <c r="N20" i="13"/>
  <c r="O20" i="13" s="1"/>
  <c r="N55" i="13"/>
  <c r="O55" i="13" s="1"/>
  <c r="N17" i="13"/>
  <c r="O17" i="13" s="1"/>
  <c r="N19" i="13"/>
  <c r="O19" i="13" s="1"/>
  <c r="N60" i="13"/>
  <c r="O60" i="13" s="1"/>
  <c r="N12" i="13"/>
  <c r="O12" i="13" s="1"/>
  <c r="E12" i="17" s="1"/>
  <c r="N57" i="13"/>
  <c r="O57" i="13" s="1"/>
  <c r="Z540" i="29"/>
  <c r="T540" i="29"/>
  <c r="AF540" i="29"/>
  <c r="AC540" i="29"/>
  <c r="W540" i="29"/>
  <c r="X540" i="29" l="1"/>
  <c r="Y540" i="29" s="1"/>
  <c r="AD540" i="29"/>
  <c r="AE540" i="29" s="1"/>
  <c r="AG540" i="29"/>
  <c r="AH540" i="29" s="1"/>
  <c r="U540" i="29"/>
  <c r="V540" i="29" s="1"/>
  <c r="AA540" i="29"/>
  <c r="AB540" i="29" s="1"/>
  <c r="E45" i="17"/>
  <c r="E38" i="17"/>
  <c r="E32" i="17"/>
  <c r="E37" i="17"/>
  <c r="E14" i="17"/>
  <c r="E27" i="17"/>
  <c r="E21" i="17"/>
  <c r="E31" i="17"/>
  <c r="E26" i="17"/>
  <c r="K23" i="7" s="1"/>
  <c r="E7" i="17"/>
  <c r="E46" i="17"/>
  <c r="E20" i="17"/>
  <c r="E33" i="17"/>
  <c r="E63" i="17"/>
  <c r="E40" i="17"/>
  <c r="E25" i="17"/>
  <c r="E29" i="17"/>
  <c r="E16" i="17"/>
  <c r="K69" i="7" s="1"/>
  <c r="E23" i="17"/>
  <c r="E6" i="17"/>
  <c r="E56" i="17"/>
  <c r="E51" i="17"/>
  <c r="E2" i="17"/>
  <c r="E18" i="17"/>
  <c r="E57" i="17"/>
  <c r="E50" i="17"/>
  <c r="E35" i="17"/>
  <c r="K63" i="7" s="1"/>
  <c r="E49" i="17"/>
  <c r="E58" i="17"/>
  <c r="E47" i="17"/>
  <c r="E54" i="17"/>
  <c r="E60" i="17"/>
  <c r="E19" i="17"/>
  <c r="E41" i="17"/>
  <c r="E34" i="17"/>
  <c r="K11" i="7" s="1"/>
  <c r="E62" i="17"/>
  <c r="E17" i="17"/>
  <c r="E39" i="17"/>
  <c r="E36" i="17"/>
  <c r="E5" i="17"/>
  <c r="K46" i="7" s="1"/>
  <c r="E30" i="17"/>
  <c r="E3" i="17"/>
  <c r="E15" i="17"/>
  <c r="E28" i="17"/>
  <c r="K9" i="7"/>
  <c r="E10" i="17"/>
  <c r="E55" i="17"/>
  <c r="K36" i="7" s="1"/>
  <c r="E22" i="17"/>
  <c r="E53" i="17"/>
  <c r="K7" i="7"/>
  <c r="E24" i="17"/>
  <c r="E61" i="17"/>
  <c r="W541" i="29"/>
  <c r="AF541" i="29"/>
  <c r="Z541" i="29"/>
  <c r="T541" i="29"/>
  <c r="AC541" i="29"/>
  <c r="AD541" i="29" l="1"/>
  <c r="AE541" i="29" s="1"/>
  <c r="U541" i="29"/>
  <c r="V541" i="29" s="1"/>
  <c r="AA541" i="29"/>
  <c r="AB541" i="29" s="1"/>
  <c r="AG541" i="29"/>
  <c r="AH541" i="29" s="1"/>
  <c r="X541" i="29"/>
  <c r="Y541" i="29" s="1"/>
  <c r="K50" i="7"/>
  <c r="K13" i="7"/>
  <c r="K48" i="7"/>
  <c r="K24" i="7"/>
  <c r="K22" i="7"/>
  <c r="K15" i="7"/>
  <c r="K55" i="7"/>
  <c r="K68" i="7"/>
  <c r="K25" i="7"/>
  <c r="K41" i="7"/>
  <c r="K34" i="7"/>
  <c r="K52" i="7"/>
  <c r="K30" i="7"/>
  <c r="K20" i="7"/>
  <c r="K64" i="7"/>
  <c r="K59" i="7"/>
  <c r="K14" i="7"/>
  <c r="K47" i="7"/>
  <c r="K28" i="7"/>
  <c r="K67" i="7"/>
  <c r="K31" i="7"/>
  <c r="K56" i="7"/>
  <c r="K54" i="7"/>
  <c r="K51" i="7"/>
  <c r="K60" i="7"/>
  <c r="K21" i="7"/>
  <c r="K43" i="7"/>
  <c r="K42" i="7"/>
  <c r="K37" i="7"/>
  <c r="K140" i="7"/>
  <c r="K70" i="7"/>
  <c r="K38" i="7"/>
  <c r="K66" i="7"/>
  <c r="K29" i="7"/>
  <c r="K57" i="7"/>
  <c r="K61" i="7"/>
  <c r="K35" i="7"/>
  <c r="K16" i="7"/>
  <c r="K33" i="7"/>
  <c r="K44" i="7"/>
  <c r="K26" i="7"/>
  <c r="K65" i="7"/>
  <c r="K39" i="7"/>
  <c r="K17" i="7"/>
  <c r="K40" i="7"/>
  <c r="K8" i="7"/>
  <c r="K62" i="7"/>
  <c r="K58" i="7"/>
  <c r="K53" i="7"/>
  <c r="K45" i="7"/>
  <c r="K10" i="7"/>
  <c r="K49" i="7"/>
  <c r="K19" i="7"/>
  <c r="K32" i="7"/>
  <c r="K12" i="7"/>
  <c r="K27" i="7"/>
  <c r="K18" i="7"/>
  <c r="AC542" i="29"/>
  <c r="Z542" i="29"/>
  <c r="W542" i="29"/>
  <c r="T542" i="29"/>
  <c r="AF542" i="29"/>
  <c r="AG542" i="29" l="1"/>
  <c r="AH542" i="29" s="1"/>
  <c r="U542" i="29"/>
  <c r="V542" i="29" s="1"/>
  <c r="X542" i="29"/>
  <c r="Y542" i="29" s="1"/>
  <c r="AA542" i="29"/>
  <c r="AB542" i="29" s="1"/>
  <c r="AD542" i="29"/>
  <c r="AE542" i="29" s="1"/>
  <c r="AF543" i="29"/>
  <c r="W543" i="29"/>
  <c r="AC543" i="29"/>
  <c r="T543" i="29"/>
  <c r="Z543" i="29"/>
  <c r="AA543" i="29" l="1"/>
  <c r="AB543" i="29" s="1"/>
  <c r="U543" i="29"/>
  <c r="V543" i="29" s="1"/>
  <c r="AD543" i="29"/>
  <c r="AE543" i="29" s="1"/>
  <c r="X543" i="29"/>
  <c r="Y543" i="29" s="1"/>
  <c r="AG543" i="29"/>
  <c r="AH543" i="29" s="1"/>
  <c r="Z544" i="29"/>
  <c r="AF544" i="29"/>
  <c r="AC544" i="29"/>
  <c r="T544" i="29"/>
  <c r="W544" i="29"/>
  <c r="X544" i="29" l="1"/>
  <c r="Y544" i="29" s="1"/>
  <c r="U544" i="29"/>
  <c r="V544" i="29" s="1"/>
  <c r="AD544" i="29"/>
  <c r="AE544" i="29" s="1"/>
  <c r="AG544" i="29"/>
  <c r="AH544" i="29" s="1"/>
  <c r="AA544" i="29"/>
  <c r="AB544" i="29" s="1"/>
  <c r="W545" i="29"/>
  <c r="AC545" i="29"/>
  <c r="Z545" i="29"/>
  <c r="AF545" i="29"/>
  <c r="T545" i="29"/>
  <c r="U545" i="29" l="1"/>
  <c r="V545" i="29" s="1"/>
  <c r="AG545" i="29"/>
  <c r="AH545" i="29" s="1"/>
  <c r="AA545" i="29"/>
  <c r="AB545" i="29" s="1"/>
  <c r="AD545" i="29"/>
  <c r="AE545" i="29" s="1"/>
  <c r="X545" i="29"/>
  <c r="Y545" i="29" s="1"/>
  <c r="S163" i="14"/>
  <c r="K235" i="17" s="1"/>
  <c r="D268" i="17"/>
  <c r="K267" i="17"/>
  <c r="L267" i="17"/>
  <c r="I266" i="17"/>
  <c r="H266" i="17"/>
  <c r="F266" i="17"/>
  <c r="L269" i="17"/>
  <c r="J266" i="17"/>
  <c r="T163" i="14"/>
  <c r="L235" i="17" s="1"/>
  <c r="H267" i="17"/>
  <c r="I269" i="17"/>
  <c r="E269" i="17"/>
  <c r="J269" i="17"/>
  <c r="H269" i="17"/>
  <c r="K269" i="17"/>
  <c r="F269" i="17"/>
  <c r="E266" i="17"/>
  <c r="D267" i="17"/>
  <c r="L268" i="17"/>
  <c r="K268" i="17"/>
  <c r="D269" i="17"/>
  <c r="F267" i="17"/>
  <c r="E267" i="17"/>
  <c r="I267" i="17"/>
  <c r="J268" i="17"/>
  <c r="Q163" i="14"/>
  <c r="H235" i="17" s="1"/>
  <c r="I268" i="17"/>
  <c r="E268" i="17"/>
  <c r="H268" i="17"/>
  <c r="F268" i="17"/>
  <c r="L266" i="17"/>
  <c r="K266" i="17"/>
  <c r="D266" i="17"/>
  <c r="J267" i="17"/>
  <c r="R163" i="14"/>
  <c r="J235" i="17" s="1"/>
  <c r="E513" i="28"/>
  <c r="F513" i="28" s="1"/>
  <c r="T546" i="29"/>
  <c r="Z546" i="29"/>
  <c r="W546" i="29"/>
  <c r="AF546" i="29"/>
  <c r="AC546" i="29"/>
  <c r="AD546" i="29" l="1"/>
  <c r="AE546" i="29" s="1"/>
  <c r="AG546" i="29"/>
  <c r="AH546" i="29" s="1"/>
  <c r="X546" i="29"/>
  <c r="Y546" i="29" s="1"/>
  <c r="AA546" i="29"/>
  <c r="AB546" i="29" s="1"/>
  <c r="U546" i="29"/>
  <c r="V546" i="29" s="1"/>
  <c r="K245" i="17"/>
  <c r="K240" i="17"/>
  <c r="J245" i="17"/>
  <c r="J240" i="17"/>
  <c r="H245" i="17"/>
  <c r="H240" i="17"/>
  <c r="G135" i="7" s="1"/>
  <c r="L245" i="17"/>
  <c r="L240" i="17"/>
  <c r="E149" i="28"/>
  <c r="F149" i="28" s="1"/>
  <c r="E157" i="28"/>
  <c r="F157" i="28" s="1"/>
  <c r="E109" i="28"/>
  <c r="F109" i="28" s="1"/>
  <c r="E203" i="28"/>
  <c r="F203" i="28" s="1"/>
  <c r="E139" i="28"/>
  <c r="F139" i="28" s="1"/>
  <c r="E231" i="28"/>
  <c r="F231" i="28" s="1"/>
  <c r="E196" i="28"/>
  <c r="F196" i="28" s="1"/>
  <c r="E163" i="28"/>
  <c r="F163" i="28" s="1"/>
  <c r="E262" i="28"/>
  <c r="F262" i="28" s="1"/>
  <c r="E140" i="28"/>
  <c r="F140" i="28" s="1"/>
  <c r="E218" i="28"/>
  <c r="F218" i="28" s="1"/>
  <c r="E213" i="28"/>
  <c r="F213" i="28" s="1"/>
  <c r="E158" i="28"/>
  <c r="F158" i="28" s="1"/>
  <c r="E69" i="28"/>
  <c r="F69" i="28" s="1"/>
  <c r="E146" i="28"/>
  <c r="F146" i="28" s="1"/>
  <c r="E166" i="28"/>
  <c r="F166" i="28" s="1"/>
  <c r="E99" i="28"/>
  <c r="F99" i="28" s="1"/>
  <c r="E107" i="28"/>
  <c r="F107" i="28" s="1"/>
  <c r="E182" i="28"/>
  <c r="F182" i="28" s="1"/>
  <c r="E132" i="28"/>
  <c r="F132" i="28" s="1"/>
  <c r="E83" i="28"/>
  <c r="F83" i="28" s="1"/>
  <c r="E183" i="28"/>
  <c r="F183" i="28" s="1"/>
  <c r="E249" i="28"/>
  <c r="F249" i="28" s="1"/>
  <c r="E122" i="28"/>
  <c r="F122" i="28" s="1"/>
  <c r="E259" i="28"/>
  <c r="F259" i="28" s="1"/>
  <c r="E84" i="28"/>
  <c r="F84" i="28" s="1"/>
  <c r="E192" i="28"/>
  <c r="F192" i="28" s="1"/>
  <c r="E220" i="28"/>
  <c r="F220" i="28" s="1"/>
  <c r="E263" i="28"/>
  <c r="F263" i="28" s="1"/>
  <c r="E176" i="28"/>
  <c r="F176" i="28" s="1"/>
  <c r="E221" i="28"/>
  <c r="F221" i="28" s="1"/>
  <c r="E228" i="28"/>
  <c r="F228" i="28" s="1"/>
  <c r="E227" i="28"/>
  <c r="F227" i="28" s="1"/>
  <c r="J87" i="7"/>
  <c r="E87" i="7"/>
  <c r="K87" i="7"/>
  <c r="G87" i="7"/>
  <c r="D87" i="7"/>
  <c r="H87" i="7"/>
  <c r="I87" i="7"/>
  <c r="I125" i="7"/>
  <c r="H125" i="7"/>
  <c r="D125" i="7"/>
  <c r="E125" i="7"/>
  <c r="J125" i="7"/>
  <c r="G125" i="7"/>
  <c r="K125" i="7"/>
  <c r="D136" i="7"/>
  <c r="G136" i="7"/>
  <c r="I136" i="7"/>
  <c r="K136" i="7"/>
  <c r="H136" i="7"/>
  <c r="J136" i="7"/>
  <c r="E136" i="7"/>
  <c r="D146" i="7"/>
  <c r="J153" i="7"/>
  <c r="D153" i="7"/>
  <c r="E153" i="7"/>
  <c r="G153" i="7"/>
  <c r="I153" i="7"/>
  <c r="K153" i="7"/>
  <c r="H153" i="7"/>
  <c r="H158" i="7"/>
  <c r="D158" i="7"/>
  <c r="J158" i="7"/>
  <c r="G158" i="7"/>
  <c r="E158" i="7"/>
  <c r="I158" i="7"/>
  <c r="K158" i="7"/>
  <c r="G159" i="7"/>
  <c r="D159" i="7"/>
  <c r="E159" i="7"/>
  <c r="J159" i="7"/>
  <c r="H159" i="7"/>
  <c r="I159" i="7"/>
  <c r="K159" i="7"/>
  <c r="K163" i="7"/>
  <c r="J163" i="7"/>
  <c r="H163" i="7"/>
  <c r="E163" i="7"/>
  <c r="I163" i="7"/>
  <c r="G163" i="7"/>
  <c r="D163" i="7"/>
  <c r="H170" i="7"/>
  <c r="I170" i="7"/>
  <c r="K170" i="7"/>
  <c r="J170" i="7"/>
  <c r="G170" i="7"/>
  <c r="E170" i="7"/>
  <c r="D170" i="7"/>
  <c r="D175" i="7"/>
  <c r="G175" i="7"/>
  <c r="E175" i="7"/>
  <c r="J175" i="7"/>
  <c r="I175" i="7"/>
  <c r="K175" i="7"/>
  <c r="H175" i="7"/>
  <c r="E178" i="7"/>
  <c r="G178" i="7"/>
  <c r="J178" i="7"/>
  <c r="K178" i="7"/>
  <c r="I178" i="7"/>
  <c r="D178" i="7"/>
  <c r="H178" i="7"/>
  <c r="E185" i="7"/>
  <c r="J185" i="7"/>
  <c r="I185" i="7"/>
  <c r="H185" i="7"/>
  <c r="K185" i="7"/>
  <c r="D185" i="7"/>
  <c r="G185" i="7"/>
  <c r="E187" i="7"/>
  <c r="D187" i="7"/>
  <c r="H187" i="7"/>
  <c r="K187" i="7"/>
  <c r="J187" i="7"/>
  <c r="G187" i="7"/>
  <c r="I187" i="7"/>
  <c r="I190" i="7"/>
  <c r="E190" i="7"/>
  <c r="G190" i="7"/>
  <c r="H190" i="7"/>
  <c r="K190" i="7"/>
  <c r="D190" i="7"/>
  <c r="F190" i="7" s="1"/>
  <c r="J190" i="7"/>
  <c r="I193" i="7"/>
  <c r="D193" i="7"/>
  <c r="H193" i="7"/>
  <c r="K193" i="7"/>
  <c r="J193" i="7"/>
  <c r="G193" i="7"/>
  <c r="E193" i="7"/>
  <c r="I202" i="7"/>
  <c r="J202" i="7"/>
  <c r="K202" i="7"/>
  <c r="D202" i="7"/>
  <c r="H202" i="7"/>
  <c r="E202" i="7"/>
  <c r="G202" i="7"/>
  <c r="E207" i="7"/>
  <c r="G207" i="7"/>
  <c r="J207" i="7"/>
  <c r="I207" i="7"/>
  <c r="H207" i="7"/>
  <c r="D207" i="7"/>
  <c r="K207" i="7"/>
  <c r="K214" i="7"/>
  <c r="E214" i="7"/>
  <c r="J214" i="7"/>
  <c r="G214" i="7"/>
  <c r="D214" i="7"/>
  <c r="H214" i="7"/>
  <c r="I214" i="7"/>
  <c r="G228" i="7"/>
  <c r="D228" i="7"/>
  <c r="I228" i="7"/>
  <c r="K228" i="7"/>
  <c r="E228" i="7"/>
  <c r="H228" i="7"/>
  <c r="J228" i="7"/>
  <c r="G230" i="7"/>
  <c r="J230" i="7"/>
  <c r="D230" i="7"/>
  <c r="K230" i="7"/>
  <c r="I230" i="7"/>
  <c r="H230" i="7"/>
  <c r="E230" i="7"/>
  <c r="E231" i="7"/>
  <c r="I231" i="7"/>
  <c r="D231" i="7"/>
  <c r="H231" i="7"/>
  <c r="K231" i="7"/>
  <c r="J231" i="7"/>
  <c r="G231" i="7"/>
  <c r="D263" i="7"/>
  <c r="J236" i="7"/>
  <c r="K236" i="7"/>
  <c r="E236" i="7"/>
  <c r="D236" i="7"/>
  <c r="H236" i="7"/>
  <c r="G236" i="7"/>
  <c r="I236" i="7"/>
  <c r="E269" i="7"/>
  <c r="J269" i="7"/>
  <c r="H269" i="7"/>
  <c r="I269" i="7"/>
  <c r="D269" i="7"/>
  <c r="F269" i="7" s="1"/>
  <c r="G269" i="7"/>
  <c r="K269" i="7"/>
  <c r="K239" i="7"/>
  <c r="H239" i="7"/>
  <c r="I239" i="7"/>
  <c r="E239" i="7"/>
  <c r="G239" i="7"/>
  <c r="J239" i="7"/>
  <c r="D239" i="7"/>
  <c r="K264" i="17"/>
  <c r="K241" i="17"/>
  <c r="E117" i="28"/>
  <c r="F117" i="28" s="1"/>
  <c r="E143" i="28"/>
  <c r="F143" i="28" s="1"/>
  <c r="E72" i="28"/>
  <c r="F72" i="28" s="1"/>
  <c r="E244" i="28"/>
  <c r="F244" i="28" s="1"/>
  <c r="E111" i="28"/>
  <c r="F111" i="28" s="1"/>
  <c r="E145" i="28"/>
  <c r="F145" i="28" s="1"/>
  <c r="E104" i="28"/>
  <c r="F104" i="28" s="1"/>
  <c r="E93" i="28"/>
  <c r="F93" i="28" s="1"/>
  <c r="J144" i="7"/>
  <c r="D144" i="7"/>
  <c r="K144" i="7"/>
  <c r="I144" i="7"/>
  <c r="E144" i="7"/>
  <c r="H144" i="7"/>
  <c r="G144" i="7"/>
  <c r="K145" i="7"/>
  <c r="E145" i="7"/>
  <c r="H145" i="7"/>
  <c r="I145" i="7"/>
  <c r="G145" i="7"/>
  <c r="D145" i="7"/>
  <c r="F145" i="7" s="1"/>
  <c r="J145" i="7"/>
  <c r="D147" i="7"/>
  <c r="G147" i="7"/>
  <c r="K147" i="7"/>
  <c r="J147" i="7"/>
  <c r="E147" i="7"/>
  <c r="I147" i="7"/>
  <c r="H147" i="7"/>
  <c r="G179" i="7"/>
  <c r="J179" i="7"/>
  <c r="E179" i="7"/>
  <c r="I179" i="7"/>
  <c r="K179" i="7"/>
  <c r="H179" i="7"/>
  <c r="D179" i="7"/>
  <c r="F179" i="7" s="1"/>
  <c r="D255" i="7"/>
  <c r="K256" i="7"/>
  <c r="E256" i="7"/>
  <c r="D256" i="7"/>
  <c r="J256" i="7"/>
  <c r="H256" i="7"/>
  <c r="I256" i="7"/>
  <c r="G256" i="7"/>
  <c r="H257" i="7"/>
  <c r="I257" i="7"/>
  <c r="D257" i="7"/>
  <c r="J257" i="7"/>
  <c r="E257" i="7"/>
  <c r="K257" i="7"/>
  <c r="G257" i="7"/>
  <c r="J264" i="17"/>
  <c r="I122" i="7" s="1"/>
  <c r="J241" i="17"/>
  <c r="H264" i="17"/>
  <c r="G122" i="7" s="1"/>
  <c r="H241" i="17"/>
  <c r="G131" i="7" s="1"/>
  <c r="L264" i="17"/>
  <c r="L241" i="17"/>
  <c r="E255" i="28"/>
  <c r="F255" i="28" s="1"/>
  <c r="E519" i="28"/>
  <c r="F519" i="28" s="1"/>
  <c r="E560" i="28"/>
  <c r="E447" i="28"/>
  <c r="F447" i="28" s="1"/>
  <c r="E539" i="28"/>
  <c r="E276" i="28"/>
  <c r="F276" i="28" s="1"/>
  <c r="E417" i="28"/>
  <c r="F417" i="28" s="1"/>
  <c r="E290" i="28"/>
  <c r="F290" i="28" s="1"/>
  <c r="E551" i="28"/>
  <c r="E420" i="28"/>
  <c r="F420" i="28" s="1"/>
  <c r="E435" i="28"/>
  <c r="F435" i="28" s="1"/>
  <c r="E450" i="28"/>
  <c r="F450" i="28" s="1"/>
  <c r="E484" i="28"/>
  <c r="F484" i="28" s="1"/>
  <c r="E557" i="28"/>
  <c r="F557" i="28" s="1"/>
  <c r="E466" i="28"/>
  <c r="F466" i="28" s="1"/>
  <c r="E499" i="28"/>
  <c r="F499" i="28" s="1"/>
  <c r="E391" i="28"/>
  <c r="F391" i="28" s="1"/>
  <c r="E279" i="28"/>
  <c r="F279" i="28" s="1"/>
  <c r="E311" i="28"/>
  <c r="F311" i="28" s="1"/>
  <c r="E478" i="28"/>
  <c r="F478" i="28" s="1"/>
  <c r="E546" i="28"/>
  <c r="E460" i="28"/>
  <c r="F460" i="28" s="1"/>
  <c r="E507" i="28"/>
  <c r="F507" i="28" s="1"/>
  <c r="E491" i="28"/>
  <c r="F491" i="28" s="1"/>
  <c r="E446" i="28"/>
  <c r="F446" i="28" s="1"/>
  <c r="E514" i="28"/>
  <c r="F514" i="28" s="1"/>
  <c r="E441" i="28"/>
  <c r="F441" i="28" s="1"/>
  <c r="E554" i="28"/>
  <c r="E534" i="28"/>
  <c r="F534" i="28" s="1"/>
  <c r="E332" i="28"/>
  <c r="F332" i="28" s="1"/>
  <c r="E558" i="28"/>
  <c r="F558" i="28" s="1"/>
  <c r="E535" i="28"/>
  <c r="E180" i="28"/>
  <c r="F180" i="28" s="1"/>
  <c r="E433" i="28"/>
  <c r="F433" i="28" s="1"/>
  <c r="E343" i="28"/>
  <c r="F343" i="28" s="1"/>
  <c r="E265" i="28"/>
  <c r="F265" i="28" s="1"/>
  <c r="E454" i="28"/>
  <c r="F454" i="28" s="1"/>
  <c r="E451" i="28"/>
  <c r="F451" i="28" s="1"/>
  <c r="E274" i="28"/>
  <c r="F274" i="28" s="1"/>
  <c r="E529" i="28"/>
  <c r="F529" i="28" s="1"/>
  <c r="E540" i="28"/>
  <c r="E553" i="28"/>
  <c r="F553" i="28" s="1"/>
  <c r="E556" i="28"/>
  <c r="E536" i="28"/>
  <c r="E459" i="28"/>
  <c r="F459" i="28" s="1"/>
  <c r="E482" i="28"/>
  <c r="F482" i="28" s="1"/>
  <c r="E542" i="28"/>
  <c r="E101" i="28"/>
  <c r="F101" i="28" s="1"/>
  <c r="E288" i="28"/>
  <c r="F288" i="28" s="1"/>
  <c r="E543" i="28"/>
  <c r="E541" i="28"/>
  <c r="E527" i="28"/>
  <c r="F527" i="28" s="1"/>
  <c r="E453" i="28"/>
  <c r="F453" i="28" s="1"/>
  <c r="E506" i="28"/>
  <c r="F506" i="28" s="1"/>
  <c r="E443" i="28"/>
  <c r="F443" i="28" s="1"/>
  <c r="E561" i="28"/>
  <c r="E512" i="28"/>
  <c r="F512" i="28" s="1"/>
  <c r="E537" i="28"/>
  <c r="E167" i="28"/>
  <c r="F167" i="28" s="1"/>
  <c r="E421" i="28"/>
  <c r="F421" i="28" s="1"/>
  <c r="E347" i="28"/>
  <c r="F347" i="28" s="1"/>
  <c r="E386" i="28"/>
  <c r="F386" i="28" s="1"/>
  <c r="E505" i="28"/>
  <c r="F505" i="28" s="1"/>
  <c r="E355" i="28"/>
  <c r="F355" i="28" s="1"/>
  <c r="E202" i="28"/>
  <c r="F202" i="28" s="1"/>
  <c r="E352" i="28"/>
  <c r="F352" i="28" s="1"/>
  <c r="E413" i="28"/>
  <c r="F413" i="28" s="1"/>
  <c r="E552" i="28"/>
  <c r="E412" i="28"/>
  <c r="F412" i="28" s="1"/>
  <c r="E458" i="28"/>
  <c r="F458" i="28" s="1"/>
  <c r="E544" i="28"/>
  <c r="E550" i="28"/>
  <c r="E508" i="28"/>
  <c r="F508" i="28" s="1"/>
  <c r="E270" i="28"/>
  <c r="F270" i="28" s="1"/>
  <c r="E364" i="28"/>
  <c r="F364" i="28" s="1"/>
  <c r="E333" i="28"/>
  <c r="F333" i="28" s="1"/>
  <c r="E547" i="28"/>
  <c r="F547" i="28" s="1"/>
  <c r="E242" i="28"/>
  <c r="F242" i="28" s="1"/>
  <c r="E179" i="28"/>
  <c r="F179" i="28" s="1"/>
  <c r="E282" i="28"/>
  <c r="F282" i="28" s="1"/>
  <c r="E480" i="28"/>
  <c r="F480" i="28" s="1"/>
  <c r="E269" i="28"/>
  <c r="F269" i="28" s="1"/>
  <c r="E549" i="28"/>
  <c r="E538" i="28"/>
  <c r="E555" i="28"/>
  <c r="F555" i="28" s="1"/>
  <c r="E398" i="28"/>
  <c r="F398" i="28" s="1"/>
  <c r="E442" i="28"/>
  <c r="F442" i="28" s="1"/>
  <c r="E531" i="28"/>
  <c r="F531" i="28" s="1"/>
  <c r="E548" i="28"/>
  <c r="E545" i="28"/>
  <c r="E174" i="28"/>
  <c r="F174" i="28" s="1"/>
  <c r="E371" i="28"/>
  <c r="F371" i="28" s="1"/>
  <c r="E444" i="28"/>
  <c r="F444" i="28" s="1"/>
  <c r="E510" i="28"/>
  <c r="F510" i="28" s="1"/>
  <c r="E559" i="28"/>
  <c r="E344" i="28"/>
  <c r="F344" i="28" s="1"/>
  <c r="D100" i="7"/>
  <c r="E71" i="7"/>
  <c r="J71" i="7"/>
  <c r="D71" i="7"/>
  <c r="G71" i="7"/>
  <c r="I71" i="7"/>
  <c r="H71" i="7"/>
  <c r="H142" i="7"/>
  <c r="K142" i="7"/>
  <c r="G142" i="7"/>
  <c r="I142" i="7"/>
  <c r="J142" i="7"/>
  <c r="E142" i="7"/>
  <c r="D142" i="7"/>
  <c r="H250" i="7"/>
  <c r="J250" i="7"/>
  <c r="D250" i="7"/>
  <c r="K250" i="7"/>
  <c r="I250" i="7"/>
  <c r="G250" i="7"/>
  <c r="E250" i="7"/>
  <c r="E251" i="7"/>
  <c r="D251" i="7"/>
  <c r="I251" i="7"/>
  <c r="K251" i="7"/>
  <c r="J251" i="7"/>
  <c r="H251" i="7"/>
  <c r="G251" i="7"/>
  <c r="D224" i="7"/>
  <c r="K225" i="7"/>
  <c r="D225" i="7"/>
  <c r="H225" i="7"/>
  <c r="E225" i="7"/>
  <c r="J225" i="7"/>
  <c r="G225" i="7"/>
  <c r="I225" i="7"/>
  <c r="H271" i="7"/>
  <c r="E271" i="7"/>
  <c r="J271" i="7"/>
  <c r="K271" i="7"/>
  <c r="G271" i="7"/>
  <c r="D271" i="7"/>
  <c r="F271" i="7" s="1"/>
  <c r="I271" i="7"/>
  <c r="K243" i="7"/>
  <c r="I243" i="7"/>
  <c r="J243" i="7"/>
  <c r="H243" i="7"/>
  <c r="D243" i="7"/>
  <c r="E243" i="7"/>
  <c r="G243" i="7"/>
  <c r="K71" i="7"/>
  <c r="K116" i="7"/>
  <c r="K224" i="7"/>
  <c r="H189" i="7"/>
  <c r="E177" i="7"/>
  <c r="F177" i="7" s="1"/>
  <c r="E100" i="7"/>
  <c r="K177" i="7"/>
  <c r="K100" i="7"/>
  <c r="I249" i="7"/>
  <c r="H146" i="7"/>
  <c r="H249" i="7"/>
  <c r="H116" i="7"/>
  <c r="H224" i="7"/>
  <c r="K189" i="7"/>
  <c r="H177" i="7"/>
  <c r="H100" i="7"/>
  <c r="E116" i="7"/>
  <c r="F116" i="7" s="1"/>
  <c r="E224" i="7"/>
  <c r="G177" i="7"/>
  <c r="G100" i="7"/>
  <c r="G189" i="7"/>
  <c r="E146" i="7"/>
  <c r="F146" i="7" s="1"/>
  <c r="E249" i="7"/>
  <c r="F249" i="7" s="1"/>
  <c r="J146" i="7"/>
  <c r="J249" i="7"/>
  <c r="G116" i="7"/>
  <c r="G224" i="7"/>
  <c r="I116" i="7"/>
  <c r="I224" i="7"/>
  <c r="J177" i="7"/>
  <c r="J100" i="7"/>
  <c r="K146" i="7"/>
  <c r="K249" i="7"/>
  <c r="I177" i="7"/>
  <c r="I100" i="7"/>
  <c r="G146" i="7"/>
  <c r="G249" i="7"/>
  <c r="J116" i="7"/>
  <c r="J224" i="7"/>
  <c r="I146" i="7"/>
  <c r="I191" i="7"/>
  <c r="I189" i="7"/>
  <c r="E191" i="7"/>
  <c r="E189" i="7"/>
  <c r="F189" i="7" s="1"/>
  <c r="J191" i="7"/>
  <c r="J189" i="7"/>
  <c r="E409" i="28"/>
  <c r="F409" i="28" s="1"/>
  <c r="J138" i="7"/>
  <c r="D138" i="7"/>
  <c r="E138" i="7"/>
  <c r="G138" i="7"/>
  <c r="H138" i="7"/>
  <c r="K138" i="7"/>
  <c r="I138" i="7"/>
  <c r="E169" i="7"/>
  <c r="J169" i="7"/>
  <c r="D169" i="7"/>
  <c r="G169" i="7"/>
  <c r="H169" i="7"/>
  <c r="K169" i="7"/>
  <c r="I169" i="7"/>
  <c r="I235" i="7"/>
  <c r="E235" i="7"/>
  <c r="D235" i="7"/>
  <c r="H235" i="7"/>
  <c r="G235" i="7"/>
  <c r="J235" i="7"/>
  <c r="K235" i="7"/>
  <c r="G261" i="7"/>
  <c r="G118" i="7"/>
  <c r="I261" i="7"/>
  <c r="I118" i="7"/>
  <c r="H191" i="7"/>
  <c r="H148" i="7"/>
  <c r="K191" i="7"/>
  <c r="G191" i="7"/>
  <c r="E148" i="7"/>
  <c r="D148" i="7"/>
  <c r="J180" i="7"/>
  <c r="I180" i="7"/>
  <c r="G180" i="7"/>
  <c r="H180" i="7"/>
  <c r="K180" i="7"/>
  <c r="E180" i="7"/>
  <c r="D180" i="7"/>
  <c r="D191" i="7"/>
  <c r="J148" i="7"/>
  <c r="K148" i="7"/>
  <c r="G148" i="7"/>
  <c r="I148" i="7"/>
  <c r="E77" i="7"/>
  <c r="H192" i="7"/>
  <c r="D192" i="7"/>
  <c r="G192" i="7"/>
  <c r="K192" i="7"/>
  <c r="J192" i="7"/>
  <c r="I192" i="7"/>
  <c r="E192" i="7"/>
  <c r="E296" i="28"/>
  <c r="F296" i="28" s="1"/>
  <c r="E407" i="28"/>
  <c r="F407" i="28" s="1"/>
  <c r="E317" i="28"/>
  <c r="F317" i="28" s="1"/>
  <c r="E456" i="28"/>
  <c r="F456" i="28" s="1"/>
  <c r="E313" i="28"/>
  <c r="F313" i="28" s="1"/>
  <c r="E455" i="28"/>
  <c r="F455" i="28" s="1"/>
  <c r="E498" i="28"/>
  <c r="F498" i="28" s="1"/>
  <c r="E372" i="28"/>
  <c r="F372" i="28" s="1"/>
  <c r="E359" i="28"/>
  <c r="F359" i="28" s="1"/>
  <c r="F548" i="28"/>
  <c r="E318" i="28"/>
  <c r="F318" i="28" s="1"/>
  <c r="E283" i="28"/>
  <c r="F283" i="28" s="1"/>
  <c r="E400" i="28"/>
  <c r="F400" i="28" s="1"/>
  <c r="E301" i="28"/>
  <c r="F301" i="28" s="1"/>
  <c r="E268" i="28"/>
  <c r="F268" i="28" s="1"/>
  <c r="F554" i="28"/>
  <c r="E297" i="28"/>
  <c r="F297" i="28" s="1"/>
  <c r="E307" i="28"/>
  <c r="F307" i="28" s="1"/>
  <c r="E376" i="28"/>
  <c r="F376" i="28" s="1"/>
  <c r="E445" i="28"/>
  <c r="F445" i="28" s="1"/>
  <c r="E509" i="28"/>
  <c r="F509" i="28" s="1"/>
  <c r="E304" i="28"/>
  <c r="F304" i="28" s="1"/>
  <c r="E474" i="28"/>
  <c r="F474" i="28" s="1"/>
  <c r="E486" i="28"/>
  <c r="F486" i="28" s="1"/>
  <c r="F537" i="28"/>
  <c r="E366" i="28"/>
  <c r="F366" i="28" s="1"/>
  <c r="E523" i="28"/>
  <c r="F523" i="28" s="1"/>
  <c r="E475" i="28"/>
  <c r="F475" i="28" s="1"/>
  <c r="E346" i="28"/>
  <c r="F346" i="28" s="1"/>
  <c r="E404" i="28"/>
  <c r="F404" i="28" s="1"/>
  <c r="F556" i="28"/>
  <c r="E353" i="28"/>
  <c r="F353" i="28" s="1"/>
  <c r="E383" i="28"/>
  <c r="F383" i="28" s="1"/>
  <c r="E469" i="28"/>
  <c r="F469" i="28" s="1"/>
  <c r="E396" i="28"/>
  <c r="F396" i="28" s="1"/>
  <c r="E526" i="28"/>
  <c r="F526" i="28" s="1"/>
  <c r="E515" i="28"/>
  <c r="F515" i="28" s="1"/>
  <c r="E308" i="28"/>
  <c r="F308" i="28" s="1"/>
  <c r="F540" i="28"/>
  <c r="E411" i="28"/>
  <c r="F411" i="28" s="1"/>
  <c r="E410" i="28"/>
  <c r="F410" i="28" s="1"/>
  <c r="E277" i="28"/>
  <c r="F277" i="28" s="1"/>
  <c r="E430" i="28"/>
  <c r="F430" i="28" s="1"/>
  <c r="E488" i="28"/>
  <c r="F488" i="28" s="1"/>
  <c r="E306" i="28"/>
  <c r="F306" i="28" s="1"/>
  <c r="E517" i="28"/>
  <c r="F517" i="28" s="1"/>
  <c r="E382" i="28"/>
  <c r="F382" i="28" s="1"/>
  <c r="E328" i="28"/>
  <c r="F328" i="28" s="1"/>
  <c r="E432" i="28"/>
  <c r="F432" i="28" s="1"/>
  <c r="E408" i="28"/>
  <c r="F408" i="28" s="1"/>
  <c r="E361" i="28"/>
  <c r="F361" i="28" s="1"/>
  <c r="E281" i="28"/>
  <c r="F281" i="28" s="1"/>
  <c r="E273" i="28"/>
  <c r="F273" i="28" s="1"/>
  <c r="E293" i="28"/>
  <c r="F293" i="28" s="1"/>
  <c r="E496" i="28"/>
  <c r="F496" i="28" s="1"/>
  <c r="E465" i="28"/>
  <c r="F465" i="28" s="1"/>
  <c r="F539" i="28"/>
  <c r="E285" i="28"/>
  <c r="F285" i="28" s="1"/>
  <c r="E390" i="28"/>
  <c r="F390" i="28" s="1"/>
  <c r="E339" i="28"/>
  <c r="F339" i="28" s="1"/>
  <c r="E356" i="28"/>
  <c r="F356" i="28" s="1"/>
  <c r="E381" i="28"/>
  <c r="F381" i="28" s="1"/>
  <c r="E464" i="28"/>
  <c r="F464" i="28" s="1"/>
  <c r="E497" i="28"/>
  <c r="F497" i="28" s="1"/>
  <c r="F535" i="28"/>
  <c r="E468" i="28"/>
  <c r="F468" i="28" s="1"/>
  <c r="F544" i="28"/>
  <c r="E463" i="28"/>
  <c r="F463" i="28" s="1"/>
  <c r="E319" i="28"/>
  <c r="F319" i="28" s="1"/>
  <c r="E272" i="28"/>
  <c r="F272" i="28" s="1"/>
  <c r="E324" i="28"/>
  <c r="F324" i="28" s="1"/>
  <c r="E511" i="28"/>
  <c r="F511" i="28" s="1"/>
  <c r="E429" i="28"/>
  <c r="F429" i="28" s="1"/>
  <c r="E369" i="28"/>
  <c r="F369" i="28" s="1"/>
  <c r="F552" i="28"/>
  <c r="E305" i="28"/>
  <c r="F305" i="28" s="1"/>
  <c r="E452" i="28"/>
  <c r="F452" i="28" s="1"/>
  <c r="E525" i="28"/>
  <c r="F525" i="28" s="1"/>
  <c r="E520" i="28"/>
  <c r="F520" i="28" s="1"/>
  <c r="E350" i="28"/>
  <c r="F350" i="28" s="1"/>
  <c r="E393" i="28"/>
  <c r="F393" i="28" s="1"/>
  <c r="E428" i="28"/>
  <c r="F428" i="28" s="1"/>
  <c r="E360" i="28"/>
  <c r="F360" i="28" s="1"/>
  <c r="E533" i="28"/>
  <c r="F533" i="28" s="1"/>
  <c r="E477" i="28"/>
  <c r="F477" i="28" s="1"/>
  <c r="E503" i="28"/>
  <c r="F503" i="28" s="1"/>
  <c r="E327" i="28"/>
  <c r="F327" i="28" s="1"/>
  <c r="E357" i="28"/>
  <c r="F357" i="28" s="1"/>
  <c r="E309" i="28"/>
  <c r="F309" i="28" s="1"/>
  <c r="F543" i="28"/>
  <c r="J76" i="7"/>
  <c r="K283" i="7"/>
  <c r="K282" i="7"/>
  <c r="K78" i="7"/>
  <c r="K294" i="7"/>
  <c r="G736" i="7"/>
  <c r="G687" i="7"/>
  <c r="G738" i="7"/>
  <c r="G725" i="7"/>
  <c r="G684" i="7"/>
  <c r="G693" i="7"/>
  <c r="G706" i="7"/>
  <c r="I667" i="7"/>
  <c r="I528" i="7"/>
  <c r="I686" i="7"/>
  <c r="I649" i="7"/>
  <c r="I748" i="7"/>
  <c r="G446" i="7"/>
  <c r="H303" i="7"/>
  <c r="I660" i="7"/>
  <c r="I396" i="7"/>
  <c r="I687" i="7"/>
  <c r="G464" i="7"/>
  <c r="H300" i="7"/>
  <c r="I355" i="7"/>
  <c r="H524" i="7"/>
  <c r="H520" i="7"/>
  <c r="I518" i="7"/>
  <c r="H289" i="7"/>
  <c r="G286" i="7"/>
  <c r="G510" i="7"/>
  <c r="H281" i="7"/>
  <c r="H278" i="7"/>
  <c r="H502" i="7"/>
  <c r="G273" i="7"/>
  <c r="G494" i="7"/>
  <c r="I489" i="7"/>
  <c r="G429" i="7"/>
  <c r="G388" i="7"/>
  <c r="I471" i="7"/>
  <c r="H479" i="7"/>
  <c r="I477" i="7"/>
  <c r="G398" i="7"/>
  <c r="I412" i="7"/>
  <c r="I315" i="7"/>
  <c r="H446" i="7"/>
  <c r="G737" i="7"/>
  <c r="G671" i="7"/>
  <c r="G655" i="7"/>
  <c r="G682" i="7"/>
  <c r="G673" i="7"/>
  <c r="G712" i="7"/>
  <c r="G716" i="7"/>
  <c r="I712" i="7"/>
  <c r="I737" i="7"/>
  <c r="I673" i="7"/>
  <c r="G379" i="7"/>
  <c r="I699" i="7"/>
  <c r="G437" i="7"/>
  <c r="I675" i="7"/>
  <c r="G385" i="7"/>
  <c r="I527" i="7"/>
  <c r="I316" i="7"/>
  <c r="K293" i="7"/>
  <c r="K277" i="7"/>
  <c r="K297" i="7"/>
  <c r="K295" i="7"/>
  <c r="G701" i="7"/>
  <c r="G743" i="7"/>
  <c r="G651" i="7"/>
  <c r="G675" i="7"/>
  <c r="G742" i="7"/>
  <c r="G721" i="7"/>
  <c r="G699" i="7"/>
  <c r="I746" i="7"/>
  <c r="H302" i="7"/>
  <c r="I717" i="7"/>
  <c r="G378" i="7"/>
  <c r="I710" i="7"/>
  <c r="I487" i="7"/>
  <c r="I664" i="7"/>
  <c r="I679" i="7"/>
  <c r="I651" i="7"/>
  <c r="I719" i="7"/>
  <c r="G459" i="7"/>
  <c r="G526" i="7"/>
  <c r="G355" i="7"/>
  <c r="G297" i="7"/>
  <c r="I294" i="7"/>
  <c r="G290" i="7"/>
  <c r="H288" i="7"/>
  <c r="I512" i="7"/>
  <c r="I508" i="7"/>
  <c r="H505" i="7"/>
  <c r="I277" i="7"/>
  <c r="G501" i="7"/>
  <c r="H272" i="7"/>
  <c r="G495" i="7"/>
  <c r="H488" i="7"/>
  <c r="I319" i="7"/>
  <c r="G480" i="7"/>
  <c r="I434" i="7"/>
  <c r="I454" i="7"/>
  <c r="H335" i="7"/>
  <c r="H448" i="7"/>
  <c r="I415" i="7"/>
  <c r="H328" i="7"/>
  <c r="H407" i="7"/>
  <c r="G681" i="7"/>
  <c r="G727" i="7"/>
  <c r="G657" i="7"/>
  <c r="G697" i="7"/>
  <c r="G728" i="7"/>
  <c r="G646" i="7"/>
  <c r="G645" i="7"/>
  <c r="I711" i="7"/>
  <c r="I725" i="7"/>
  <c r="I661" i="7"/>
  <c r="G527" i="7"/>
  <c r="I761" i="7"/>
  <c r="I682" i="7"/>
  <c r="I731" i="7"/>
  <c r="I702" i="7"/>
  <c r="G760" i="7"/>
  <c r="I446" i="7"/>
  <c r="G755" i="7"/>
  <c r="K77" i="7"/>
  <c r="K75" i="7"/>
  <c r="K303" i="7"/>
  <c r="K286" i="7"/>
  <c r="K285" i="7"/>
  <c r="G713" i="7"/>
  <c r="G711" i="7"/>
  <c r="G666" i="7"/>
  <c r="G715" i="7"/>
  <c r="G659" i="7"/>
  <c r="G723" i="7"/>
  <c r="G729" i="7"/>
  <c r="I745" i="7"/>
  <c r="I732" i="7"/>
  <c r="I397" i="7"/>
  <c r="I303" i="7"/>
  <c r="I693" i="7"/>
  <c r="I668" i="7"/>
  <c r="I718" i="7"/>
  <c r="I657" i="7"/>
  <c r="I658" i="7"/>
  <c r="I385" i="7"/>
  <c r="H527" i="7"/>
  <c r="I299" i="7"/>
  <c r="G298" i="7"/>
  <c r="I297" i="7"/>
  <c r="I293" i="7"/>
  <c r="G289" i="7"/>
  <c r="I514" i="7"/>
  <c r="I285" i="7"/>
  <c r="H509" i="7"/>
  <c r="I280" i="7"/>
  <c r="G277" i="7"/>
  <c r="G500" i="7"/>
  <c r="G272" i="7"/>
  <c r="H492" i="7"/>
  <c r="H424" i="7"/>
  <c r="I433" i="7"/>
  <c r="I365" i="7"/>
  <c r="G387" i="7"/>
  <c r="G413" i="7"/>
  <c r="G373" i="7"/>
  <c r="I451" i="7"/>
  <c r="G312" i="7"/>
  <c r="H313" i="7"/>
  <c r="G650" i="7"/>
  <c r="G658" i="7"/>
  <c r="G654" i="7"/>
  <c r="G664" i="7"/>
  <c r="G718" i="7"/>
  <c r="G733" i="7"/>
  <c r="I529" i="7"/>
  <c r="G302" i="7"/>
  <c r="I701" i="7"/>
  <c r="I692" i="7"/>
  <c r="I694" i="7"/>
  <c r="I751" i="7"/>
  <c r="I362" i="7"/>
  <c r="I759" i="7"/>
  <c r="I332" i="7"/>
  <c r="I734" i="7"/>
  <c r="I656" i="7"/>
  <c r="K292" i="7"/>
  <c r="K73" i="7"/>
  <c r="K291" i="7"/>
  <c r="K289" i="7"/>
  <c r="K72" i="7"/>
  <c r="G722" i="7"/>
  <c r="G708" i="7"/>
  <c r="G734" i="7"/>
  <c r="G648" i="7"/>
  <c r="G672" i="7"/>
  <c r="G745" i="7"/>
  <c r="G740" i="7"/>
  <c r="G530" i="7"/>
  <c r="I697" i="7"/>
  <c r="I713" i="7"/>
  <c r="I705" i="7"/>
  <c r="I690" i="7"/>
  <c r="I425" i="7"/>
  <c r="I662" i="7"/>
  <c r="G751" i="7"/>
  <c r="I726" i="7"/>
  <c r="I740" i="7"/>
  <c r="H526" i="7"/>
  <c r="H299" i="7"/>
  <c r="I296" i="7"/>
  <c r="H522" i="7"/>
  <c r="G518" i="7"/>
  <c r="I289" i="7"/>
  <c r="G513" i="7"/>
  <c r="G284" i="7"/>
  <c r="G281" i="7"/>
  <c r="H504" i="7"/>
  <c r="I502" i="7"/>
  <c r="H499" i="7"/>
  <c r="G496" i="7"/>
  <c r="G490" i="7"/>
  <c r="H486" i="7"/>
  <c r="I457" i="7"/>
  <c r="G349" i="7"/>
  <c r="H382" i="7"/>
  <c r="I389" i="7"/>
  <c r="H383" i="7"/>
  <c r="H460" i="7"/>
  <c r="H369" i="7"/>
  <c r="H332" i="7"/>
  <c r="G332" i="7"/>
  <c r="G741" i="7"/>
  <c r="G669" i="7"/>
  <c r="G705" i="7"/>
  <c r="G749" i="7"/>
  <c r="G732" i="7"/>
  <c r="G710" i="7"/>
  <c r="I735" i="7"/>
  <c r="H528" i="7"/>
  <c r="I670" i="7"/>
  <c r="I663" i="7"/>
  <c r="I669" i="7"/>
  <c r="I691" i="7"/>
  <c r="G450" i="7"/>
  <c r="I724" i="7"/>
  <c r="I378" i="7"/>
  <c r="I685" i="7"/>
  <c r="I698" i="7"/>
  <c r="I526" i="7"/>
  <c r="G752" i="7"/>
  <c r="G493" i="7"/>
  <c r="I524" i="7"/>
  <c r="H294" i="7"/>
  <c r="I292" i="7"/>
  <c r="G717" i="7"/>
  <c r="G739" i="7"/>
  <c r="G686" i="7"/>
  <c r="G731" i="7"/>
  <c r="G647" i="7"/>
  <c r="G735" i="7"/>
  <c r="G679" i="7"/>
  <c r="I302" i="7"/>
  <c r="I678" i="7"/>
  <c r="I754" i="7"/>
  <c r="I755" i="7"/>
  <c r="I681" i="7"/>
  <c r="I421" i="7"/>
  <c r="I758" i="7"/>
  <c r="I437" i="7"/>
  <c r="I652" i="7"/>
  <c r="I689" i="7"/>
  <c r="G759" i="7"/>
  <c r="I301" i="7"/>
  <c r="I298" i="7"/>
  <c r="H521" i="7"/>
  <c r="G519" i="7"/>
  <c r="G515" i="7"/>
  <c r="I513" i="7"/>
  <c r="G511" i="7"/>
  <c r="G507" i="7"/>
  <c r="G278" i="7"/>
  <c r="H503" i="7"/>
  <c r="I500" i="7"/>
  <c r="I496" i="7"/>
  <c r="H491" i="7"/>
  <c r="I486" i="7"/>
  <c r="G467" i="7"/>
  <c r="H433" i="7"/>
  <c r="I350" i="7"/>
  <c r="I387" i="7"/>
  <c r="G442" i="7"/>
  <c r="H373" i="7"/>
  <c r="G369" i="7"/>
  <c r="G414" i="7"/>
  <c r="I403" i="7"/>
  <c r="G683" i="7"/>
  <c r="G709" i="7"/>
  <c r="G704" i="7"/>
  <c r="G661" i="7"/>
  <c r="G644" i="7"/>
  <c r="G746" i="7"/>
  <c r="G678" i="7"/>
  <c r="I708" i="7"/>
  <c r="I688" i="7"/>
  <c r="I741" i="7"/>
  <c r="I653" i="7"/>
  <c r="I665" i="7"/>
  <c r="I676" i="7"/>
  <c r="I704" i="7"/>
  <c r="I677" i="7"/>
  <c r="I722" i="7"/>
  <c r="I752" i="7"/>
  <c r="G303" i="7"/>
  <c r="H525" i="7"/>
  <c r="G757" i="7"/>
  <c r="H297" i="7"/>
  <c r="I291" i="7"/>
  <c r="H511" i="7"/>
  <c r="G280" i="7"/>
  <c r="H500" i="7"/>
  <c r="H493" i="7"/>
  <c r="I467" i="7"/>
  <c r="G350" i="7"/>
  <c r="H442" i="7"/>
  <c r="H451" i="7"/>
  <c r="I313" i="7"/>
  <c r="I320" i="7"/>
  <c r="H468" i="7"/>
  <c r="H753" i="7"/>
  <c r="G336" i="7"/>
  <c r="I326" i="7"/>
  <c r="H741" i="7"/>
  <c r="H360" i="7"/>
  <c r="I631" i="7"/>
  <c r="I450" i="7"/>
  <c r="G756" i="7"/>
  <c r="G521" i="7"/>
  <c r="G294" i="7"/>
  <c r="G694" i="7"/>
  <c r="G724" i="7"/>
  <c r="G714" i="7"/>
  <c r="G653" i="7"/>
  <c r="G677" i="7"/>
  <c r="G703" i="7"/>
  <c r="G668" i="7"/>
  <c r="H529" i="7"/>
  <c r="I304" i="7"/>
  <c r="I733" i="7"/>
  <c r="G487" i="7"/>
  <c r="I716" i="7"/>
  <c r="I645" i="7"/>
  <c r="I646" i="7"/>
  <c r="I706" i="7"/>
  <c r="I672" i="7"/>
  <c r="I654" i="7"/>
  <c r="G443" i="7"/>
  <c r="I464" i="7"/>
  <c r="I525" i="7"/>
  <c r="G524" i="7"/>
  <c r="I522" i="7"/>
  <c r="H292" i="7"/>
  <c r="I515" i="7"/>
  <c r="I287" i="7"/>
  <c r="I511" i="7"/>
  <c r="I507" i="7"/>
  <c r="I506" i="7"/>
  <c r="G502" i="7"/>
  <c r="H274" i="7"/>
  <c r="H497" i="7"/>
  <c r="I490" i="7"/>
  <c r="I484" i="7"/>
  <c r="H457" i="7"/>
  <c r="H349" i="7"/>
  <c r="G382" i="7"/>
  <c r="H397" i="7"/>
  <c r="I383" i="7"/>
  <c r="G412" i="7"/>
  <c r="I386" i="7"/>
  <c r="H395" i="7"/>
  <c r="H409" i="7"/>
  <c r="G667" i="7"/>
  <c r="G719" i="7"/>
  <c r="G750" i="7"/>
  <c r="G652" i="7"/>
  <c r="G665" i="7"/>
  <c r="G702" i="7"/>
  <c r="G680" i="7"/>
  <c r="G528" i="7"/>
  <c r="I659" i="7"/>
  <c r="I703" i="7"/>
  <c r="I650" i="7"/>
  <c r="I671" i="7"/>
  <c r="I405" i="7"/>
  <c r="I728" i="7"/>
  <c r="I379" i="7"/>
  <c r="I695" i="7"/>
  <c r="I674" i="7"/>
  <c r="G300" i="7"/>
  <c r="G525" i="7"/>
  <c r="G523" i="7"/>
  <c r="I521" i="7"/>
  <c r="G516" i="7"/>
  <c r="I510" i="7"/>
  <c r="I278" i="7"/>
  <c r="G274" i="7"/>
  <c r="H489" i="7"/>
  <c r="H388" i="7"/>
  <c r="G479" i="7"/>
  <c r="I398" i="7"/>
  <c r="G315" i="7"/>
  <c r="G409" i="7"/>
  <c r="I762" i="7"/>
  <c r="H756" i="7"/>
  <c r="H374" i="7"/>
  <c r="G393" i="7"/>
  <c r="H363" i="7"/>
  <c r="I380" i="7"/>
  <c r="H633" i="7"/>
  <c r="H630" i="7"/>
  <c r="G301" i="7"/>
  <c r="H298" i="7"/>
  <c r="G522" i="7"/>
  <c r="H293" i="7"/>
  <c r="G649" i="7"/>
  <c r="G691" i="7"/>
  <c r="G670" i="7"/>
  <c r="G690" i="7"/>
  <c r="G726" i="7"/>
  <c r="G674" i="7"/>
  <c r="G696" i="7"/>
  <c r="I666" i="7"/>
  <c r="I530" i="7"/>
  <c r="I655" i="7"/>
  <c r="I720" i="7"/>
  <c r="I684" i="7"/>
  <c r="I744" i="7"/>
  <c r="I721" i="7"/>
  <c r="I648" i="7"/>
  <c r="I443" i="7"/>
  <c r="I742" i="7"/>
  <c r="G421" i="7"/>
  <c r="I756" i="7"/>
  <c r="I753" i="7"/>
  <c r="I523" i="7"/>
  <c r="I520" i="7"/>
  <c r="H517" i="7"/>
  <c r="H516" i="7"/>
  <c r="H286" i="7"/>
  <c r="I283" i="7"/>
  <c r="G282" i="7"/>
  <c r="G504" i="7"/>
  <c r="H501" i="7"/>
  <c r="I273" i="7"/>
  <c r="H494" i="7"/>
  <c r="G489" i="7"/>
  <c r="I429" i="7"/>
  <c r="I480" i="7"/>
  <c r="G471" i="7"/>
  <c r="G454" i="7"/>
  <c r="H437" i="7"/>
  <c r="I448" i="7"/>
  <c r="G324" i="7"/>
  <c r="H315" i="7"/>
  <c r="I427" i="7"/>
  <c r="G662" i="7"/>
  <c r="G707" i="7"/>
  <c r="G688" i="7"/>
  <c r="G656" i="7"/>
  <c r="G692" i="7"/>
  <c r="G695" i="7"/>
  <c r="G663" i="7"/>
  <c r="I736" i="7"/>
  <c r="G304" i="7"/>
  <c r="I700" i="7"/>
  <c r="G316" i="7"/>
  <c r="I683" i="7"/>
  <c r="I707" i="7"/>
  <c r="H530" i="7"/>
  <c r="G761" i="7"/>
  <c r="I729" i="7"/>
  <c r="I696" i="7"/>
  <c r="I730" i="7"/>
  <c r="G397" i="7"/>
  <c r="G299" i="7"/>
  <c r="H296" i="7"/>
  <c r="H295" i="7"/>
  <c r="G288" i="7"/>
  <c r="H507" i="7"/>
  <c r="H279" i="7"/>
  <c r="I272" i="7"/>
  <c r="H487" i="7"/>
  <c r="G433" i="7"/>
  <c r="H387" i="7"/>
  <c r="I373" i="7"/>
  <c r="I414" i="7"/>
  <c r="G438" i="7"/>
  <c r="H760" i="7"/>
  <c r="G431" i="7"/>
  <c r="I474" i="7"/>
  <c r="H747" i="7"/>
  <c r="H743" i="7"/>
  <c r="G635" i="7"/>
  <c r="G633" i="7"/>
  <c r="G333" i="7"/>
  <c r="I715" i="7"/>
  <c r="H301" i="7"/>
  <c r="G296" i="7"/>
  <c r="G295" i="7"/>
  <c r="H518" i="7"/>
  <c r="G730" i="7"/>
  <c r="G660" i="7"/>
  <c r="G643" i="7"/>
  <c r="G744" i="7"/>
  <c r="G362" i="7"/>
  <c r="G720" i="7"/>
  <c r="G685" i="7"/>
  <c r="G529" i="7"/>
  <c r="I747" i="7"/>
  <c r="I750" i="7"/>
  <c r="I459" i="7"/>
  <c r="I727" i="7"/>
  <c r="I714" i="7"/>
  <c r="I723" i="7"/>
  <c r="G754" i="7"/>
  <c r="G758" i="7"/>
  <c r="I643" i="7"/>
  <c r="I647" i="7"/>
  <c r="G753" i="7"/>
  <c r="I493" i="7"/>
  <c r="I295" i="7"/>
  <c r="I519" i="7"/>
  <c r="G517" i="7"/>
  <c r="I516" i="7"/>
  <c r="G512" i="7"/>
  <c r="H510" i="7"/>
  <c r="H280" i="7"/>
  <c r="G503" i="7"/>
  <c r="I501" i="7"/>
  <c r="I498" i="7"/>
  <c r="I492" i="7"/>
  <c r="I488" i="7"/>
  <c r="I424" i="7"/>
  <c r="I410" i="7"/>
  <c r="H365" i="7"/>
  <c r="I330" i="7"/>
  <c r="H413" i="7"/>
  <c r="I462" i="7"/>
  <c r="H415" i="7"/>
  <c r="H312" i="7"/>
  <c r="G407" i="7"/>
  <c r="G689" i="7"/>
  <c r="G748" i="7"/>
  <c r="G700" i="7"/>
  <c r="G747" i="7"/>
  <c r="G698" i="7"/>
  <c r="G676" i="7"/>
  <c r="G425" i="7"/>
  <c r="I709" i="7"/>
  <c r="H304" i="7"/>
  <c r="I743" i="7"/>
  <c r="G396" i="7"/>
  <c r="I749" i="7"/>
  <c r="I739" i="7"/>
  <c r="I738" i="7"/>
  <c r="I760" i="7"/>
  <c r="I680" i="7"/>
  <c r="I644" i="7"/>
  <c r="G405" i="7"/>
  <c r="I300" i="7"/>
  <c r="I757" i="7"/>
  <c r="H523" i="7"/>
  <c r="G292" i="7"/>
  <c r="G287" i="7"/>
  <c r="I282" i="7"/>
  <c r="I276" i="7"/>
  <c r="I494" i="7"/>
  <c r="H429" i="7"/>
  <c r="H443" i="7"/>
  <c r="H477" i="7"/>
  <c r="I324" i="7"/>
  <c r="G427" i="7"/>
  <c r="I394" i="7"/>
  <c r="I408" i="7"/>
  <c r="H483" i="7"/>
  <c r="G399" i="7"/>
  <c r="I423" i="7"/>
  <c r="H636" i="7"/>
  <c r="H357" i="7"/>
  <c r="H736" i="7"/>
  <c r="H627" i="7"/>
  <c r="H624" i="7"/>
  <c r="G366" i="7"/>
  <c r="H455" i="7"/>
  <c r="I618" i="7"/>
  <c r="H406" i="7"/>
  <c r="H720" i="7"/>
  <c r="I419" i="7"/>
  <c r="H464" i="7"/>
  <c r="I77" i="7"/>
  <c r="H445" i="7"/>
  <c r="G73" i="7"/>
  <c r="G440" i="7"/>
  <c r="H706" i="7"/>
  <c r="I478" i="7"/>
  <c r="I594" i="7"/>
  <c r="H592" i="7"/>
  <c r="I590" i="7"/>
  <c r="H694" i="7"/>
  <c r="I585" i="7"/>
  <c r="G367" i="7"/>
  <c r="G339" i="7"/>
  <c r="I578" i="7"/>
  <c r="I576" i="7"/>
  <c r="I453" i="7"/>
  <c r="G572" i="7"/>
  <c r="H396" i="7"/>
  <c r="H347" i="7"/>
  <c r="H449" i="7"/>
  <c r="G562" i="7"/>
  <c r="I559" i="7"/>
  <c r="I557" i="7"/>
  <c r="G554" i="7"/>
  <c r="I552" i="7"/>
  <c r="H550" i="7"/>
  <c r="H430" i="7"/>
  <c r="H652" i="7"/>
  <c r="G543" i="7"/>
  <c r="H647" i="7"/>
  <c r="H417" i="7"/>
  <c r="G520" i="7"/>
  <c r="H513" i="7"/>
  <c r="I281" i="7"/>
  <c r="H277" i="7"/>
  <c r="H496" i="7"/>
  <c r="G486" i="7"/>
  <c r="H378" i="7"/>
  <c r="G389" i="7"/>
  <c r="I460" i="7"/>
  <c r="H414" i="7"/>
  <c r="I438" i="7"/>
  <c r="G408" i="7"/>
  <c r="G483" i="7"/>
  <c r="G474" i="7"/>
  <c r="G423" i="7"/>
  <c r="G636" i="7"/>
  <c r="I351" i="7"/>
  <c r="H739" i="7"/>
  <c r="H325" i="7"/>
  <c r="H629" i="7"/>
  <c r="H626" i="7"/>
  <c r="G341" i="7"/>
  <c r="G620" i="7"/>
  <c r="G327" i="7"/>
  <c r="H311" i="7"/>
  <c r="I613" i="7"/>
  <c r="H718" i="7"/>
  <c r="I79" i="7"/>
  <c r="H607" i="7"/>
  <c r="H712" i="7"/>
  <c r="I603" i="7"/>
  <c r="G72" i="7"/>
  <c r="H707" i="7"/>
  <c r="H478" i="7"/>
  <c r="I595" i="7"/>
  <c r="G375" i="7"/>
  <c r="H436" i="7"/>
  <c r="H411" i="7"/>
  <c r="H587" i="7"/>
  <c r="G583" i="7"/>
  <c r="H370" i="7"/>
  <c r="I444" i="7"/>
  <c r="H576" i="7"/>
  <c r="H681" i="7"/>
  <c r="G472" i="7"/>
  <c r="G439" i="7"/>
  <c r="I624" i="7"/>
  <c r="I622" i="7"/>
  <c r="H619" i="7"/>
  <c r="G426" i="7"/>
  <c r="H722" i="7"/>
  <c r="I473" i="7"/>
  <c r="H485" i="7"/>
  <c r="H608" i="7"/>
  <c r="H606" i="7"/>
  <c r="G74" i="7"/>
  <c r="H603" i="7"/>
  <c r="H708" i="7"/>
  <c r="H450" i="7"/>
  <c r="G596" i="7"/>
  <c r="I338" i="7"/>
  <c r="G593" i="7"/>
  <c r="H696" i="7"/>
  <c r="G441" i="7"/>
  <c r="I584" i="7"/>
  <c r="H689" i="7"/>
  <c r="G581" i="7"/>
  <c r="H577" i="7"/>
  <c r="I575" i="7"/>
  <c r="G573" i="7"/>
  <c r="H345" i="7"/>
  <c r="H568" i="7"/>
  <c r="H466" i="7"/>
  <c r="G323" i="7"/>
  <c r="H561" i="7"/>
  <c r="H404" i="7"/>
  <c r="G317" i="7"/>
  <c r="I358" i="7"/>
  <c r="H329" i="7"/>
  <c r="G402" i="7"/>
  <c r="H653" i="7"/>
  <c r="H381" i="7"/>
  <c r="I542" i="7"/>
  <c r="I470" i="7"/>
  <c r="G537" i="7"/>
  <c r="I290" i="7"/>
  <c r="G285" i="7"/>
  <c r="H282" i="7"/>
  <c r="H275" i="7"/>
  <c r="I495" i="7"/>
  <c r="G319" i="7"/>
  <c r="H434" i="7"/>
  <c r="G335" i="7"/>
  <c r="H324" i="7"/>
  <c r="H427" i="7"/>
  <c r="G394" i="7"/>
  <c r="H759" i="7"/>
  <c r="I342" i="7"/>
  <c r="I399" i="7"/>
  <c r="G326" i="7"/>
  <c r="G400" i="7"/>
  <c r="G360" i="7"/>
  <c r="I416" i="7"/>
  <c r="H735" i="7"/>
  <c r="H439" i="7"/>
  <c r="H731" i="7"/>
  <c r="G622" i="7"/>
  <c r="I455" i="7"/>
  <c r="I426" i="7"/>
  <c r="H615" i="7"/>
  <c r="G613" i="7"/>
  <c r="H419" i="7"/>
  <c r="I610" i="7"/>
  <c r="H713" i="7"/>
  <c r="H605" i="7"/>
  <c r="G359" i="7"/>
  <c r="I601" i="7"/>
  <c r="H600" i="7"/>
  <c r="G478" i="7"/>
  <c r="H338" i="7"/>
  <c r="I592" i="7"/>
  <c r="I436" i="7"/>
  <c r="G586" i="7"/>
  <c r="H585" i="7"/>
  <c r="G582" i="7"/>
  <c r="H339" i="7"/>
  <c r="H580" i="7"/>
  <c r="H682" i="7"/>
  <c r="H680" i="7"/>
  <c r="H734" i="7"/>
  <c r="G318" i="7"/>
  <c r="I341" i="7"/>
  <c r="G621" i="7"/>
  <c r="I346" i="7"/>
  <c r="H616" i="7"/>
  <c r="I452" i="7"/>
  <c r="H612" i="7"/>
  <c r="I609" i="7"/>
  <c r="I78" i="7"/>
  <c r="G76" i="7"/>
  <c r="H435" i="7"/>
  <c r="I334" i="7"/>
  <c r="G344" i="7"/>
  <c r="H316" i="7"/>
  <c r="I596" i="7"/>
  <c r="G469" i="7"/>
  <c r="G314" i="7"/>
  <c r="I411" i="7"/>
  <c r="H441" i="7"/>
  <c r="I447" i="7"/>
  <c r="H337" i="7"/>
  <c r="H685" i="7"/>
  <c r="H432" i="7"/>
  <c r="H476" i="7"/>
  <c r="H573" i="7"/>
  <c r="H570" i="7"/>
  <c r="G568" i="7"/>
  <c r="G449" i="7"/>
  <c r="G321" i="7"/>
  <c r="H361" i="7"/>
  <c r="G559" i="7"/>
  <c r="I317" i="7"/>
  <c r="H660" i="7"/>
  <c r="G551" i="7"/>
  <c r="H364" i="7"/>
  <c r="I547" i="7"/>
  <c r="I544" i="7"/>
  <c r="H372" i="7"/>
  <c r="H376" i="7"/>
  <c r="H348" i="7"/>
  <c r="G291" i="7"/>
  <c r="H284" i="7"/>
  <c r="G506" i="7"/>
  <c r="G499" i="7"/>
  <c r="G491" i="7"/>
  <c r="H467" i="7"/>
  <c r="H350" i="7"/>
  <c r="I442" i="7"/>
  <c r="I369" i="7"/>
  <c r="G403" i="7"/>
  <c r="H762" i="7"/>
  <c r="G468" i="7"/>
  <c r="G342" i="7"/>
  <c r="H336" i="7"/>
  <c r="G363" i="7"/>
  <c r="G351" i="7"/>
  <c r="H634" i="7"/>
  <c r="H416" i="7"/>
  <c r="H472" i="7"/>
  <c r="I439" i="7"/>
  <c r="I352" i="7"/>
  <c r="I422" i="7"/>
  <c r="I619" i="7"/>
  <c r="I617" i="7"/>
  <c r="I615" i="7"/>
  <c r="H473" i="7"/>
  <c r="I485" i="7"/>
  <c r="G610" i="7"/>
  <c r="I606" i="7"/>
  <c r="I435" i="7"/>
  <c r="I73" i="7"/>
  <c r="H601" i="7"/>
  <c r="G600" i="7"/>
  <c r="G463" i="7"/>
  <c r="H701" i="7"/>
  <c r="I593" i="7"/>
  <c r="H589" i="7"/>
  <c r="H693" i="7"/>
  <c r="G584" i="7"/>
  <c r="H367" i="7"/>
  <c r="H686" i="7"/>
  <c r="H684" i="7"/>
  <c r="H458" i="7"/>
  <c r="H456" i="7"/>
  <c r="G416" i="7"/>
  <c r="I629" i="7"/>
  <c r="H732" i="7"/>
  <c r="I623" i="7"/>
  <c r="G455" i="7"/>
  <c r="H725" i="7"/>
  <c r="I616" i="7"/>
  <c r="I614" i="7"/>
  <c r="H461" i="7"/>
  <c r="G609" i="7"/>
  <c r="I607" i="7"/>
  <c r="G445" i="7"/>
  <c r="H710" i="7"/>
  <c r="I72" i="7"/>
  <c r="I344" i="7"/>
  <c r="I597" i="7"/>
  <c r="G595" i="7"/>
  <c r="H375" i="7"/>
  <c r="G590" i="7"/>
  <c r="H695" i="7"/>
  <c r="G585" i="7"/>
  <c r="I583" i="7"/>
  <c r="G370" i="7"/>
  <c r="G580" i="7"/>
  <c r="H683" i="7"/>
  <c r="G476" i="7"/>
  <c r="H678" i="7"/>
  <c r="G322" i="7"/>
  <c r="G391" i="7"/>
  <c r="G566" i="7"/>
  <c r="I563" i="7"/>
  <c r="H560" i="7"/>
  <c r="H558" i="7"/>
  <c r="H459" i="7"/>
  <c r="H353" i="7"/>
  <c r="G356" i="7"/>
  <c r="G430" i="7"/>
  <c r="G546" i="7"/>
  <c r="G377" i="7"/>
  <c r="G465" i="7"/>
  <c r="I539" i="7"/>
  <c r="H401" i="7"/>
  <c r="I288" i="7"/>
  <c r="H283" i="7"/>
  <c r="G279" i="7"/>
  <c r="H273" i="7"/>
  <c r="H480" i="7"/>
  <c r="H454" i="7"/>
  <c r="G448" i="7"/>
  <c r="I328" i="7"/>
  <c r="G392" i="7"/>
  <c r="I390" i="7"/>
  <c r="G475" i="7"/>
  <c r="H752" i="7"/>
  <c r="H393" i="7"/>
  <c r="H637" i="7"/>
  <c r="H742" i="7"/>
  <c r="I632" i="7"/>
  <c r="G630" i="7"/>
  <c r="H354" i="7"/>
  <c r="I625" i="7"/>
  <c r="H623" i="7"/>
  <c r="H621" i="7"/>
  <c r="H726" i="7"/>
  <c r="I311" i="7"/>
  <c r="H614" i="7"/>
  <c r="G461" i="7"/>
  <c r="H79" i="7"/>
  <c r="G608" i="7"/>
  <c r="G481" i="7"/>
  <c r="G75" i="7"/>
  <c r="H709" i="7"/>
  <c r="H344" i="7"/>
  <c r="G598" i="7"/>
  <c r="I420" i="7"/>
  <c r="H700" i="7"/>
  <c r="I591" i="7"/>
  <c r="G588" i="7"/>
  <c r="H586" i="7"/>
  <c r="G384" i="7"/>
  <c r="I337" i="7"/>
  <c r="G444" i="7"/>
  <c r="I432" i="7"/>
  <c r="G574" i="7"/>
  <c r="I573" i="7"/>
  <c r="I571" i="7"/>
  <c r="H569" i="7"/>
  <c r="I347" i="7"/>
  <c r="I565" i="7"/>
  <c r="H668" i="7"/>
  <c r="H559" i="7"/>
  <c r="H557" i="7"/>
  <c r="G358" i="7"/>
  <c r="G552" i="7"/>
  <c r="H402" i="7"/>
  <c r="I430" i="7"/>
  <c r="G343" i="7"/>
  <c r="H543" i="7"/>
  <c r="H540" i="7"/>
  <c r="I417" i="7"/>
  <c r="G531" i="7"/>
  <c r="H514" i="7"/>
  <c r="H508" i="7"/>
  <c r="I279" i="7"/>
  <c r="G498" i="7"/>
  <c r="H410" i="7"/>
  <c r="G330" i="7"/>
  <c r="H462" i="7"/>
  <c r="G328" i="7"/>
  <c r="I392" i="7"/>
  <c r="H390" i="7"/>
  <c r="H431" i="7"/>
  <c r="H751" i="7"/>
  <c r="H748" i="7"/>
  <c r="H744" i="7"/>
  <c r="H635" i="7"/>
  <c r="I633" i="7"/>
  <c r="H737" i="7"/>
  <c r="G354" i="7"/>
  <c r="H625" i="7"/>
  <c r="G623" i="7"/>
  <c r="H728" i="7"/>
  <c r="H327" i="7"/>
  <c r="H723" i="7"/>
  <c r="H721" i="7"/>
  <c r="H611" i="7"/>
  <c r="G485" i="7"/>
  <c r="G77" i="7"/>
  <c r="G606" i="7"/>
  <c r="H711" i="7"/>
  <c r="G604" i="7"/>
  <c r="G602" i="7"/>
  <c r="I598" i="7"/>
  <c r="H702" i="7"/>
  <c r="H469" i="7"/>
  <c r="H697" i="7"/>
  <c r="G411" i="7"/>
  <c r="I482" i="7"/>
  <c r="I384" i="7"/>
  <c r="G337" i="7"/>
  <c r="G579" i="7"/>
  <c r="G368" i="7"/>
  <c r="I476" i="7"/>
  <c r="I572" i="7"/>
  <c r="G570" i="7"/>
  <c r="H567" i="7"/>
  <c r="H565" i="7"/>
  <c r="I562" i="7"/>
  <c r="G560" i="7"/>
  <c r="I558" i="7"/>
  <c r="G556" i="7"/>
  <c r="H552" i="7"/>
  <c r="I356" i="7"/>
  <c r="I364" i="7"/>
  <c r="H418" i="7"/>
  <c r="H544" i="7"/>
  <c r="I541" i="7"/>
  <c r="I376" i="7"/>
  <c r="H538" i="7"/>
  <c r="H515" i="7"/>
  <c r="G283" i="7"/>
  <c r="I504" i="7"/>
  <c r="I499" i="7"/>
  <c r="H490" i="7"/>
  <c r="I388" i="7"/>
  <c r="I479" i="7"/>
  <c r="H398" i="7"/>
  <c r="I345" i="7"/>
  <c r="G567" i="7"/>
  <c r="G466" i="7"/>
  <c r="I323" i="7"/>
  <c r="I428" i="7"/>
  <c r="H340" i="7"/>
  <c r="H317" i="7"/>
  <c r="H555" i="7"/>
  <c r="I329" i="7"/>
  <c r="H548" i="7"/>
  <c r="H547" i="7"/>
  <c r="G381" i="7"/>
  <c r="G542" i="7"/>
  <c r="G470" i="7"/>
  <c r="I537" i="7"/>
  <c r="H519" i="7"/>
  <c r="H287" i="7"/>
  <c r="G509" i="7"/>
  <c r="H276" i="7"/>
  <c r="I497" i="7"/>
  <c r="G484" i="7"/>
  <c r="I349" i="7"/>
  <c r="H389" i="7"/>
  <c r="G460" i="7"/>
  <c r="G395" i="7"/>
  <c r="H438" i="7"/>
  <c r="H758" i="7"/>
  <c r="I483" i="7"/>
  <c r="H474" i="7"/>
  <c r="H746" i="7"/>
  <c r="H400" i="7"/>
  <c r="I357" i="7"/>
  <c r="G632" i="7"/>
  <c r="G325" i="7"/>
  <c r="I354" i="7"/>
  <c r="H318" i="7"/>
  <c r="H729" i="7"/>
  <c r="I620" i="7"/>
  <c r="I327" i="7"/>
  <c r="G616" i="7"/>
  <c r="H421" i="7"/>
  <c r="I611" i="7"/>
  <c r="H715" i="7"/>
  <c r="G607" i="7"/>
  <c r="G605" i="7"/>
  <c r="H73" i="7"/>
  <c r="I604" i="7"/>
  <c r="I599" i="7"/>
  <c r="G597" i="7"/>
  <c r="G420" i="7"/>
  <c r="G592" i="7"/>
  <c r="H591" i="7"/>
  <c r="H588" i="7"/>
  <c r="I587" i="7"/>
  <c r="H690" i="7"/>
  <c r="H687" i="7"/>
  <c r="I579" i="7"/>
  <c r="G576" i="7"/>
  <c r="H574" i="7"/>
  <c r="I371" i="7"/>
  <c r="H322" i="7"/>
  <c r="H673" i="7"/>
  <c r="G565" i="7"/>
  <c r="H562" i="7"/>
  <c r="I560" i="7"/>
  <c r="H331" i="7"/>
  <c r="I554" i="7"/>
  <c r="H553" i="7"/>
  <c r="I550" i="7"/>
  <c r="H549" i="7"/>
  <c r="G545" i="7"/>
  <c r="H377" i="7"/>
  <c r="I465" i="7"/>
  <c r="G539" i="7"/>
  <c r="G538" i="7"/>
  <c r="G514" i="7"/>
  <c r="G508" i="7"/>
  <c r="I503" i="7"/>
  <c r="H498" i="7"/>
  <c r="G488" i="7"/>
  <c r="G410" i="7"/>
  <c r="H330" i="7"/>
  <c r="G462" i="7"/>
  <c r="I312" i="7"/>
  <c r="H392" i="7"/>
  <c r="I570" i="7"/>
  <c r="I568" i="7"/>
  <c r="I449" i="7"/>
  <c r="G563" i="7"/>
  <c r="G361" i="7"/>
  <c r="H665" i="7"/>
  <c r="H556" i="7"/>
  <c r="G553" i="7"/>
  <c r="H551" i="7"/>
  <c r="G364" i="7"/>
  <c r="I546" i="7"/>
  <c r="G544" i="7"/>
  <c r="H541" i="7"/>
  <c r="H539" i="7"/>
  <c r="I401" i="7"/>
  <c r="I517" i="7"/>
  <c r="H512" i="7"/>
  <c r="G505" i="7"/>
  <c r="G275" i="7"/>
  <c r="H495" i="7"/>
  <c r="H319" i="7"/>
  <c r="G434" i="7"/>
  <c r="I335" i="7"/>
  <c r="G415" i="7"/>
  <c r="I407" i="7"/>
  <c r="H320" i="7"/>
  <c r="H757" i="7"/>
  <c r="H755" i="7"/>
  <c r="H399" i="7"/>
  <c r="H745" i="7"/>
  <c r="I636" i="7"/>
  <c r="I360" i="7"/>
  <c r="G631" i="7"/>
  <c r="I628" i="7"/>
  <c r="G627" i="7"/>
  <c r="G352" i="7"/>
  <c r="G422" i="7"/>
  <c r="H620" i="7"/>
  <c r="H617" i="7"/>
  <c r="G406" i="7"/>
  <c r="G612" i="7"/>
  <c r="H717" i="7"/>
  <c r="H78" i="7"/>
  <c r="I481" i="7"/>
  <c r="G435" i="7"/>
  <c r="G603" i="7"/>
  <c r="H440" i="7"/>
  <c r="I600" i="7"/>
  <c r="H704" i="7"/>
  <c r="H594" i="7"/>
  <c r="H593" i="7"/>
  <c r="H590" i="7"/>
  <c r="H482" i="7"/>
  <c r="H584" i="7"/>
  <c r="I582" i="7"/>
  <c r="I581" i="7"/>
  <c r="H444" i="7"/>
  <c r="G458" i="7"/>
  <c r="H453" i="7"/>
  <c r="H571" i="7"/>
  <c r="G569" i="7"/>
  <c r="I466" i="7"/>
  <c r="G564" i="7"/>
  <c r="G561" i="7"/>
  <c r="I340" i="7"/>
  <c r="G331" i="7"/>
  <c r="I555" i="7"/>
  <c r="G353" i="7"/>
  <c r="H656" i="7"/>
  <c r="I549" i="7"/>
  <c r="I545" i="7"/>
  <c r="G372" i="7"/>
  <c r="G540" i="7"/>
  <c r="H644" i="7"/>
  <c r="G293" i="7"/>
  <c r="I286" i="7"/>
  <c r="I509" i="7"/>
  <c r="G276" i="7"/>
  <c r="G497" i="7"/>
  <c r="H484" i="7"/>
  <c r="H471" i="7"/>
  <c r="G477" i="7"/>
  <c r="H412" i="7"/>
  <c r="I395" i="7"/>
  <c r="H371" i="7"/>
  <c r="H676" i="7"/>
  <c r="I567" i="7"/>
  <c r="H671" i="7"/>
  <c r="H563" i="7"/>
  <c r="I361" i="7"/>
  <c r="G557" i="7"/>
  <c r="H662" i="7"/>
  <c r="I353" i="7"/>
  <c r="H657" i="7"/>
  <c r="H654" i="7"/>
  <c r="H343" i="7"/>
  <c r="I543" i="7"/>
  <c r="H648" i="7"/>
  <c r="H645" i="7"/>
  <c r="I538" i="7"/>
  <c r="H291" i="7"/>
  <c r="I284" i="7"/>
  <c r="H506" i="7"/>
  <c r="I274" i="7"/>
  <c r="I491" i="7"/>
  <c r="G457" i="7"/>
  <c r="I382" i="7"/>
  <c r="G383" i="7"/>
  <c r="H386" i="7"/>
  <c r="H403" i="7"/>
  <c r="G762" i="7"/>
  <c r="H475" i="7"/>
  <c r="I374" i="7"/>
  <c r="H749" i="7"/>
  <c r="I363" i="7"/>
  <c r="I635" i="7"/>
  <c r="G357" i="7"/>
  <c r="I630" i="7"/>
  <c r="I472" i="7"/>
  <c r="I626" i="7"/>
  <c r="H352" i="7"/>
  <c r="H366" i="7"/>
  <c r="H346" i="7"/>
  <c r="H426" i="7"/>
  <c r="G452" i="7"/>
  <c r="I612" i="7"/>
  <c r="H609" i="7"/>
  <c r="H610" i="7"/>
  <c r="H481" i="7"/>
  <c r="H75" i="7"/>
  <c r="H334" i="7"/>
  <c r="G601" i="7"/>
  <c r="H705" i="7"/>
  <c r="H596" i="7"/>
  <c r="G594" i="7"/>
  <c r="H314" i="7"/>
  <c r="H405" i="7"/>
  <c r="I586" i="7"/>
  <c r="H691" i="7"/>
  <c r="I367" i="7"/>
  <c r="H579" i="7"/>
  <c r="I577" i="7"/>
  <c r="G575" i="7"/>
  <c r="G456" i="7"/>
  <c r="H677" i="7"/>
  <c r="H674" i="7"/>
  <c r="I566" i="7"/>
  <c r="H323" i="7"/>
  <c r="H428" i="7"/>
  <c r="H666" i="7"/>
  <c r="H663" i="7"/>
  <c r="H554" i="7"/>
  <c r="H658" i="7"/>
  <c r="I548" i="7"/>
  <c r="H546" i="7"/>
  <c r="I381" i="7"/>
  <c r="H542" i="7"/>
  <c r="H470" i="7"/>
  <c r="I348" i="7"/>
  <c r="H290" i="7"/>
  <c r="H285" i="7"/>
  <c r="I505" i="7"/>
  <c r="I275" i="7"/>
  <c r="G492" i="7"/>
  <c r="G424" i="7"/>
  <c r="G365" i="7"/>
  <c r="I413" i="7"/>
  <c r="G451" i="7"/>
  <c r="G313" i="7"/>
  <c r="H761" i="7"/>
  <c r="I409" i="7"/>
  <c r="H408" i="7"/>
  <c r="H754" i="7"/>
  <c r="H750" i="7"/>
  <c r="H423" i="7"/>
  <c r="I400" i="7"/>
  <c r="G634" i="7"/>
  <c r="H738" i="7"/>
  <c r="I325" i="7"/>
  <c r="H733" i="7"/>
  <c r="G625" i="7"/>
  <c r="I366" i="7"/>
  <c r="H727" i="7"/>
  <c r="H618" i="7"/>
  <c r="I406" i="7"/>
  <c r="H613" i="7"/>
  <c r="I461" i="7"/>
  <c r="H355" i="7"/>
  <c r="H714" i="7"/>
  <c r="I605" i="7"/>
  <c r="H359" i="7"/>
  <c r="H72" i="7"/>
  <c r="H599" i="7"/>
  <c r="H597" i="7"/>
  <c r="H595" i="7"/>
  <c r="I375" i="7"/>
  <c r="G591" i="7"/>
  <c r="I588" i="7"/>
  <c r="H692" i="7"/>
  <c r="H583" i="7"/>
  <c r="H581" i="7"/>
  <c r="G578" i="7"/>
  <c r="I368" i="7"/>
  <c r="G453" i="7"/>
  <c r="G571" i="7"/>
  <c r="I569" i="7"/>
  <c r="G347" i="7"/>
  <c r="I564" i="7"/>
  <c r="H669" i="7"/>
  <c r="I404" i="7"/>
  <c r="I331" i="7"/>
  <c r="H358" i="7"/>
  <c r="G329" i="7"/>
  <c r="G550" i="7"/>
  <c r="G549" i="7"/>
  <c r="I343" i="7"/>
  <c r="H646" i="7"/>
  <c r="D265" i="17"/>
  <c r="J223" i="7" s="1"/>
  <c r="G376" i="7"/>
  <c r="G417" i="7"/>
  <c r="H265" i="17"/>
  <c r="G223" i="7" s="1"/>
  <c r="L265" i="17"/>
  <c r="G305" i="7"/>
  <c r="K300" i="7"/>
  <c r="K284" i="7"/>
  <c r="K287" i="7"/>
  <c r="K280" i="7"/>
  <c r="K290" i="7"/>
  <c r="K305" i="7"/>
  <c r="H394" i="7"/>
  <c r="I468" i="7"/>
  <c r="H342" i="7"/>
  <c r="I336" i="7"/>
  <c r="H326" i="7"/>
  <c r="G380" i="7"/>
  <c r="I634" i="7"/>
  <c r="H631" i="7"/>
  <c r="G628" i="7"/>
  <c r="I627" i="7"/>
  <c r="G624" i="7"/>
  <c r="H422" i="7"/>
  <c r="G346" i="7"/>
  <c r="G617" i="7"/>
  <c r="G615" i="7"/>
  <c r="G473" i="7"/>
  <c r="G419" i="7"/>
  <c r="I608" i="7"/>
  <c r="I76" i="7"/>
  <c r="I74" i="7"/>
  <c r="I359" i="7"/>
  <c r="I440" i="7"/>
  <c r="G599" i="7"/>
  <c r="I463" i="7"/>
  <c r="G338" i="7"/>
  <c r="H698" i="7"/>
  <c r="G589" i="7"/>
  <c r="G482" i="7"/>
  <c r="G447" i="7"/>
  <c r="H582" i="7"/>
  <c r="I339" i="7"/>
  <c r="G577" i="7"/>
  <c r="I458" i="7"/>
  <c r="H679" i="7"/>
  <c r="G371" i="7"/>
  <c r="H675" i="7"/>
  <c r="H672" i="7"/>
  <c r="H670" i="7"/>
  <c r="I561" i="7"/>
  <c r="G404" i="7"/>
  <c r="H664" i="7"/>
  <c r="G555" i="7"/>
  <c r="I553" i="7"/>
  <c r="I402" i="7"/>
  <c r="I418" i="7"/>
  <c r="H545" i="7"/>
  <c r="H537" i="7"/>
  <c r="I531" i="7"/>
  <c r="G348" i="7"/>
  <c r="H643" i="7"/>
  <c r="F265" i="17"/>
  <c r="E223" i="7" s="1"/>
  <c r="I372" i="7"/>
  <c r="G265" i="17"/>
  <c r="D90" i="7" s="1"/>
  <c r="K272" i="7"/>
  <c r="K302" i="7"/>
  <c r="K79" i="7"/>
  <c r="K273" i="7"/>
  <c r="K275" i="7"/>
  <c r="K288" i="7"/>
  <c r="G320" i="7"/>
  <c r="I475" i="7"/>
  <c r="G374" i="7"/>
  <c r="I393" i="7"/>
  <c r="G637" i="7"/>
  <c r="H380" i="7"/>
  <c r="H740" i="7"/>
  <c r="I333" i="7"/>
  <c r="H628" i="7"/>
  <c r="I318" i="7"/>
  <c r="H730" i="7"/>
  <c r="H622" i="7"/>
  <c r="G619" i="7"/>
  <c r="H724" i="7"/>
  <c r="G614" i="7"/>
  <c r="H719" i="7"/>
  <c r="G79" i="7"/>
  <c r="G78" i="7"/>
  <c r="H76" i="7"/>
  <c r="I75" i="7"/>
  <c r="H604" i="7"/>
  <c r="I602" i="7"/>
  <c r="H598" i="7"/>
  <c r="H463" i="7"/>
  <c r="I469" i="7"/>
  <c r="I314" i="7"/>
  <c r="I589" i="7"/>
  <c r="I441" i="7"/>
  <c r="H447" i="7"/>
  <c r="H688" i="7"/>
  <c r="I580" i="7"/>
  <c r="G432" i="7"/>
  <c r="H575" i="7"/>
  <c r="I456" i="7"/>
  <c r="G345" i="7"/>
  <c r="I391" i="7"/>
  <c r="H566" i="7"/>
  <c r="H321" i="7"/>
  <c r="G428" i="7"/>
  <c r="G340" i="7"/>
  <c r="I556" i="7"/>
  <c r="H362" i="7"/>
  <c r="I551" i="7"/>
  <c r="H655" i="7"/>
  <c r="G418" i="7"/>
  <c r="H651" i="7"/>
  <c r="I305" i="7"/>
  <c r="H650" i="7"/>
  <c r="I377" i="7"/>
  <c r="H531" i="7"/>
  <c r="E265" i="17"/>
  <c r="K223" i="7" s="1"/>
  <c r="I540" i="7"/>
  <c r="K265" i="17"/>
  <c r="K296" i="7"/>
  <c r="K274" i="7"/>
  <c r="K76" i="7"/>
  <c r="K298" i="7"/>
  <c r="K299" i="7"/>
  <c r="K278" i="7"/>
  <c r="G386" i="7"/>
  <c r="G390" i="7"/>
  <c r="I431" i="7"/>
  <c r="H425" i="7"/>
  <c r="H385" i="7"/>
  <c r="I637" i="7"/>
  <c r="H351" i="7"/>
  <c r="H632" i="7"/>
  <c r="H333" i="7"/>
  <c r="G629" i="7"/>
  <c r="G626" i="7"/>
  <c r="H341" i="7"/>
  <c r="I621" i="7"/>
  <c r="G618" i="7"/>
  <c r="G311" i="7"/>
  <c r="H452" i="7"/>
  <c r="G611" i="7"/>
  <c r="H716" i="7"/>
  <c r="H77" i="7"/>
  <c r="I445" i="7"/>
  <c r="H74" i="7"/>
  <c r="G334" i="7"/>
  <c r="H602" i="7"/>
  <c r="H703" i="7"/>
  <c r="H420" i="7"/>
  <c r="H699" i="7"/>
  <c r="G436" i="7"/>
  <c r="H379" i="7"/>
  <c r="G587" i="7"/>
  <c r="H384" i="7"/>
  <c r="I370" i="7"/>
  <c r="H578" i="7"/>
  <c r="H368" i="7"/>
  <c r="I574" i="7"/>
  <c r="H572" i="7"/>
  <c r="I322" i="7"/>
  <c r="H391" i="7"/>
  <c r="H564" i="7"/>
  <c r="I321" i="7"/>
  <c r="H667" i="7"/>
  <c r="G558" i="7"/>
  <c r="H661" i="7"/>
  <c r="H659" i="7"/>
  <c r="H356" i="7"/>
  <c r="G548" i="7"/>
  <c r="G547" i="7"/>
  <c r="H649" i="7"/>
  <c r="I265" i="17"/>
  <c r="H223" i="7" s="1"/>
  <c r="H465" i="7"/>
  <c r="G541" i="7"/>
  <c r="H305" i="7"/>
  <c r="J265" i="17"/>
  <c r="G401" i="7"/>
  <c r="K281" i="7"/>
  <c r="K279" i="7"/>
  <c r="K301" i="7"/>
  <c r="K304" i="7"/>
  <c r="K74" i="7"/>
  <c r="K276" i="7"/>
  <c r="D526" i="7"/>
  <c r="D320" i="7"/>
  <c r="D331" i="7"/>
  <c r="D418" i="7"/>
  <c r="D449" i="7"/>
  <c r="D507" i="7"/>
  <c r="D357" i="7"/>
  <c r="D426" i="7"/>
  <c r="D311" i="7"/>
  <c r="D417" i="7"/>
  <c r="D473" i="7"/>
  <c r="D332" i="7"/>
  <c r="D335" i="7"/>
  <c r="D490" i="7"/>
  <c r="D489" i="7"/>
  <c r="D341" i="7"/>
  <c r="D372" i="7"/>
  <c r="D445" i="7"/>
  <c r="D355" i="7"/>
  <c r="D333" i="7"/>
  <c r="D353" i="7"/>
  <c r="D409" i="7"/>
  <c r="D458" i="7"/>
  <c r="D523" i="7"/>
  <c r="D380" i="7"/>
  <c r="D348" i="7"/>
  <c r="D470" i="7"/>
  <c r="D415" i="7"/>
  <c r="D408" i="7"/>
  <c r="D431" i="7"/>
  <c r="D525" i="7"/>
  <c r="D430" i="7"/>
  <c r="D421" i="7"/>
  <c r="D375" i="7"/>
  <c r="D497" i="7"/>
  <c r="D455" i="7"/>
  <c r="D405" i="7"/>
  <c r="D448" i="7"/>
  <c r="D453" i="7"/>
  <c r="D482" i="7"/>
  <c r="D499" i="7"/>
  <c r="D334" i="7"/>
  <c r="D435" i="7"/>
  <c r="D531" i="7"/>
  <c r="D486" i="7"/>
  <c r="D330" i="7"/>
  <c r="D345" i="7"/>
  <c r="D492" i="7"/>
  <c r="D517" i="7"/>
  <c r="D477" i="7"/>
  <c r="D484" i="7"/>
  <c r="D510" i="7"/>
  <c r="D395" i="7"/>
  <c r="D513" i="7"/>
  <c r="D481" i="7"/>
  <c r="D491" i="7"/>
  <c r="D521" i="7"/>
  <c r="D360" i="7"/>
  <c r="D424" i="7"/>
  <c r="D511" i="7"/>
  <c r="D504" i="7"/>
  <c r="D317" i="7"/>
  <c r="D316" i="7"/>
  <c r="D516" i="7"/>
  <c r="D350" i="7"/>
  <c r="D461" i="7"/>
  <c r="D420" i="7"/>
  <c r="D500" i="7"/>
  <c r="D460" i="7"/>
  <c r="D365" i="7"/>
  <c r="D371" i="7"/>
  <c r="D319" i="7"/>
  <c r="D315" i="7"/>
  <c r="D485" i="7"/>
  <c r="D376" i="7"/>
  <c r="D527" i="7"/>
  <c r="D524" i="7"/>
  <c r="D464" i="7"/>
  <c r="D412" i="7"/>
  <c r="D358" i="7"/>
  <c r="D425" i="7"/>
  <c r="D508" i="7"/>
  <c r="D406" i="7"/>
  <c r="D423" i="7"/>
  <c r="D364" i="7"/>
  <c r="D509" i="7"/>
  <c r="D378" i="7"/>
  <c r="D354" i="7"/>
  <c r="D388" i="7"/>
  <c r="D442" i="7"/>
  <c r="D419" i="7"/>
  <c r="D313" i="7"/>
  <c r="D342" i="7"/>
  <c r="D469" i="7"/>
  <c r="D403" i="7"/>
  <c r="D475" i="7"/>
  <c r="D367" i="7"/>
  <c r="D443" i="7"/>
  <c r="D468" i="7"/>
  <c r="D522" i="7"/>
  <c r="D436" i="7"/>
  <c r="D528" i="7"/>
  <c r="D394" i="7"/>
  <c r="D480" i="7"/>
  <c r="D459" i="7"/>
  <c r="D410" i="7"/>
  <c r="D501" i="7"/>
  <c r="D323" i="7"/>
  <c r="D494" i="7"/>
  <c r="D396" i="7"/>
  <c r="D463" i="7"/>
  <c r="D483" i="7"/>
  <c r="D324" i="7"/>
  <c r="D530" i="7"/>
  <c r="D529" i="7"/>
  <c r="D400" i="7"/>
  <c r="D457" i="7"/>
  <c r="D414" i="7"/>
  <c r="D434" i="7"/>
  <c r="D381" i="7"/>
  <c r="D337" i="7"/>
  <c r="D336" i="7"/>
  <c r="D377" i="7"/>
  <c r="D496" i="7"/>
  <c r="D370" i="7"/>
  <c r="D454" i="7"/>
  <c r="D411" i="7"/>
  <c r="D361" i="7"/>
  <c r="D446" i="7"/>
  <c r="D379" i="7"/>
  <c r="D404" i="7"/>
  <c r="D514" i="7"/>
  <c r="D427" i="7"/>
  <c r="D515" i="7"/>
  <c r="D314" i="7"/>
  <c r="D318" i="7"/>
  <c r="D487" i="7"/>
  <c r="D391" i="7"/>
  <c r="D503" i="7"/>
  <c r="D451" i="7"/>
  <c r="D393" i="7"/>
  <c r="D347" i="7"/>
  <c r="D356" i="7"/>
  <c r="D444" i="7"/>
  <c r="D476" i="7"/>
  <c r="D519" i="7"/>
  <c r="D438" i="7"/>
  <c r="D462" i="7"/>
  <c r="D321" i="7"/>
  <c r="D439" i="7"/>
  <c r="D326" i="7"/>
  <c r="D397" i="7"/>
  <c r="D472" i="7"/>
  <c r="D432" i="7"/>
  <c r="D339" i="7"/>
  <c r="D471" i="7"/>
  <c r="D344" i="7"/>
  <c r="D389" i="7"/>
  <c r="D440" i="7"/>
  <c r="D328" i="7"/>
  <c r="D466" i="7"/>
  <c r="D399" i="7"/>
  <c r="D366" i="7"/>
  <c r="D351" i="7"/>
  <c r="D433" i="7"/>
  <c r="D387" i="7"/>
  <c r="D340" i="7"/>
  <c r="D488" i="7"/>
  <c r="D465" i="7"/>
  <c r="D343" i="7"/>
  <c r="D452" i="7"/>
  <c r="D385" i="7"/>
  <c r="D369" i="7"/>
  <c r="D441" i="7"/>
  <c r="D518" i="7"/>
  <c r="D407" i="7"/>
  <c r="D495" i="7"/>
  <c r="D456" i="7"/>
  <c r="D359" i="7"/>
  <c r="D520" i="7"/>
  <c r="D505" i="7"/>
  <c r="D322" i="7"/>
  <c r="D384" i="7"/>
  <c r="D502" i="7"/>
  <c r="D352" i="7"/>
  <c r="D467" i="7"/>
  <c r="D368" i="7"/>
  <c r="D346" i="7"/>
  <c r="D478" i="7"/>
  <c r="D506" i="7"/>
  <c r="D450" i="7"/>
  <c r="D338" i="7"/>
  <c r="D401" i="7"/>
  <c r="D392" i="7"/>
  <c r="D474" i="7"/>
  <c r="D383" i="7"/>
  <c r="D390" i="7"/>
  <c r="D325" i="7"/>
  <c r="D349" i="7"/>
  <c r="D447" i="7"/>
  <c r="D413" i="7"/>
  <c r="D327" i="7"/>
  <c r="D422" i="7"/>
  <c r="D382" i="7"/>
  <c r="D428" i="7"/>
  <c r="D362" i="7"/>
  <c r="D512" i="7"/>
  <c r="D373" i="7"/>
  <c r="D374" i="7"/>
  <c r="D312" i="7"/>
  <c r="D386" i="7"/>
  <c r="D402" i="7"/>
  <c r="D329" i="7"/>
  <c r="D479" i="7"/>
  <c r="D437" i="7"/>
  <c r="D416" i="7"/>
  <c r="D498" i="7"/>
  <c r="D398" i="7"/>
  <c r="D363" i="7"/>
  <c r="D493" i="7"/>
  <c r="D429" i="7"/>
  <c r="D288" i="7"/>
  <c r="D303" i="7"/>
  <c r="D272" i="7"/>
  <c r="D294" i="7"/>
  <c r="D286" i="7"/>
  <c r="D293" i="7"/>
  <c r="D278" i="7"/>
  <c r="D273" i="7"/>
  <c r="D300" i="7"/>
  <c r="D277" i="7"/>
  <c r="D290" i="7"/>
  <c r="D275" i="7"/>
  <c r="D287" i="7"/>
  <c r="D282" i="7"/>
  <c r="D283" i="7"/>
  <c r="D304" i="7"/>
  <c r="D281" i="7"/>
  <c r="D297" i="7"/>
  <c r="D302" i="7"/>
  <c r="D285" i="7"/>
  <c r="D289" i="7"/>
  <c r="D295" i="7"/>
  <c r="D299" i="7"/>
  <c r="D274" i="7"/>
  <c r="D301" i="7"/>
  <c r="D276" i="7"/>
  <c r="D291" i="7"/>
  <c r="D298" i="7"/>
  <c r="D279" i="7"/>
  <c r="D296" i="7"/>
  <c r="D284" i="7"/>
  <c r="D280" i="7"/>
  <c r="D292" i="7"/>
  <c r="D305" i="7"/>
  <c r="E392" i="7"/>
  <c r="E518" i="7"/>
  <c r="E494" i="7"/>
  <c r="E528" i="7"/>
  <c r="E482" i="7"/>
  <c r="E333" i="7"/>
  <c r="E504" i="7"/>
  <c r="E339" i="7"/>
  <c r="E334" i="7"/>
  <c r="E409" i="7"/>
  <c r="E323" i="7"/>
  <c r="E400" i="7"/>
  <c r="E402" i="7"/>
  <c r="E344" i="7"/>
  <c r="E317" i="7"/>
  <c r="E370" i="7"/>
  <c r="E372" i="7"/>
  <c r="E519" i="7"/>
  <c r="E463" i="7"/>
  <c r="E516" i="7"/>
  <c r="J311" i="7"/>
  <c r="J336" i="7"/>
  <c r="J397" i="7"/>
  <c r="J389" i="7"/>
  <c r="J441" i="7"/>
  <c r="E470" i="7"/>
  <c r="E318" i="7"/>
  <c r="E358" i="7"/>
  <c r="E313" i="7"/>
  <c r="J451" i="7"/>
  <c r="E439" i="7"/>
  <c r="E522" i="7"/>
  <c r="E464" i="7"/>
  <c r="E445" i="7"/>
  <c r="J417" i="7"/>
  <c r="J423" i="7"/>
  <c r="K374" i="7"/>
  <c r="K484" i="7"/>
  <c r="E515" i="7"/>
  <c r="E423" i="7"/>
  <c r="E325" i="7"/>
  <c r="J460" i="7"/>
  <c r="J388" i="7"/>
  <c r="J454" i="7"/>
  <c r="J353" i="7"/>
  <c r="J511" i="7"/>
  <c r="J450" i="7"/>
  <c r="K334" i="7"/>
  <c r="E387" i="7"/>
  <c r="E422" i="7"/>
  <c r="E452" i="7"/>
  <c r="J396" i="7"/>
  <c r="J434" i="7"/>
  <c r="J361" i="7"/>
  <c r="J406" i="7"/>
  <c r="J314" i="7"/>
  <c r="J498" i="7"/>
  <c r="K411" i="7"/>
  <c r="K370" i="7"/>
  <c r="E348" i="7"/>
  <c r="E385" i="7"/>
  <c r="E403" i="7"/>
  <c r="E346" i="7"/>
  <c r="E447" i="7"/>
  <c r="E379" i="7"/>
  <c r="E442" i="7"/>
  <c r="J316" i="7"/>
  <c r="E526" i="7"/>
  <c r="J346" i="7"/>
  <c r="E507" i="7"/>
  <c r="J429" i="7"/>
  <c r="K371" i="7"/>
  <c r="E406" i="7"/>
  <c r="J344" i="7"/>
  <c r="K393" i="7"/>
  <c r="E511" i="7"/>
  <c r="K336" i="7"/>
  <c r="J463" i="7"/>
  <c r="J437" i="7"/>
  <c r="E354" i="7"/>
  <c r="J409" i="7"/>
  <c r="J320" i="7"/>
  <c r="K353" i="7"/>
  <c r="J315" i="7"/>
  <c r="J363" i="7"/>
  <c r="E483" i="7"/>
  <c r="J430" i="7"/>
  <c r="K494" i="7"/>
  <c r="K418" i="7"/>
  <c r="E336" i="7"/>
  <c r="E475" i="7"/>
  <c r="E415" i="7"/>
  <c r="E338" i="7"/>
  <c r="E449" i="7"/>
  <c r="E396" i="7"/>
  <c r="E514" i="7"/>
  <c r="E320" i="7"/>
  <c r="E455" i="7"/>
  <c r="E429" i="7"/>
  <c r="E428" i="7"/>
  <c r="E416" i="7"/>
  <c r="E458" i="7"/>
  <c r="E390" i="7"/>
  <c r="E419" i="7"/>
  <c r="E330" i="7"/>
  <c r="J392" i="7"/>
  <c r="J504" i="7"/>
  <c r="J367" i="7"/>
  <c r="J401" i="7"/>
  <c r="J319" i="7"/>
  <c r="E417" i="7"/>
  <c r="E321" i="7"/>
  <c r="E341" i="7"/>
  <c r="E384" i="7"/>
  <c r="J350" i="7"/>
  <c r="E448" i="7"/>
  <c r="E501" i="7"/>
  <c r="E531" i="7"/>
  <c r="E530" i="7"/>
  <c r="J503" i="7"/>
  <c r="J435" i="7"/>
  <c r="K463" i="7"/>
  <c r="K349" i="7"/>
  <c r="E497" i="7"/>
  <c r="E476" i="7"/>
  <c r="E440" i="7"/>
  <c r="J427" i="7"/>
  <c r="J381" i="7"/>
  <c r="J411" i="7"/>
  <c r="J359" i="7"/>
  <c r="J385" i="7"/>
  <c r="K472" i="7"/>
  <c r="K432" i="7"/>
  <c r="E435" i="7"/>
  <c r="E481" i="7"/>
  <c r="E523" i="7"/>
  <c r="J489" i="7"/>
  <c r="J528" i="7"/>
  <c r="J355" i="7"/>
  <c r="J483" i="7"/>
  <c r="J480" i="7"/>
  <c r="J448" i="7"/>
  <c r="K500" i="7"/>
  <c r="E340" i="7"/>
  <c r="E434" i="7"/>
  <c r="E376" i="7"/>
  <c r="E479" i="7"/>
  <c r="E508" i="7"/>
  <c r="E368" i="7"/>
  <c r="E361" i="7"/>
  <c r="J352" i="7"/>
  <c r="J518" i="7"/>
  <c r="E395" i="7"/>
  <c r="K503" i="7"/>
  <c r="E472" i="7"/>
  <c r="J428" i="7"/>
  <c r="K359" i="7"/>
  <c r="J335" i="7"/>
  <c r="J327" i="7"/>
  <c r="E461" i="7"/>
  <c r="J402" i="7"/>
  <c r="E517" i="7"/>
  <c r="J477" i="7"/>
  <c r="K345" i="7"/>
  <c r="J527" i="7"/>
  <c r="E365" i="7"/>
  <c r="J391" i="7"/>
  <c r="E420" i="7"/>
  <c r="J456" i="7"/>
  <c r="K343" i="7"/>
  <c r="J372" i="7"/>
  <c r="E432" i="7"/>
  <c r="J522" i="7"/>
  <c r="E498" i="7"/>
  <c r="E401" i="7"/>
  <c r="E388" i="7"/>
  <c r="E393" i="7"/>
  <c r="E496" i="7"/>
  <c r="E487" i="7"/>
  <c r="E484" i="7"/>
  <c r="E485" i="7"/>
  <c r="E350" i="7"/>
  <c r="E312" i="7"/>
  <c r="E412" i="7"/>
  <c r="E324" i="7"/>
  <c r="E349" i="7"/>
  <c r="E438" i="7"/>
  <c r="E408" i="7"/>
  <c r="E524" i="7"/>
  <c r="J415" i="7"/>
  <c r="J338" i="7"/>
  <c r="J383" i="7"/>
  <c r="J425" i="7"/>
  <c r="J424" i="7"/>
  <c r="E351" i="7"/>
  <c r="E319" i="7"/>
  <c r="E502" i="7"/>
  <c r="E510" i="7"/>
  <c r="J375" i="7"/>
  <c r="E488" i="7"/>
  <c r="E327" i="7"/>
  <c r="E353" i="7"/>
  <c r="E389" i="7"/>
  <c r="J449" i="7"/>
  <c r="J313" i="7"/>
  <c r="K362" i="7"/>
  <c r="K373" i="7"/>
  <c r="E503" i="7"/>
  <c r="E413" i="7"/>
  <c r="J318" i="7"/>
  <c r="J384" i="7"/>
  <c r="J436" i="7"/>
  <c r="J493" i="7"/>
  <c r="J510" i="7"/>
  <c r="J508" i="7"/>
  <c r="K354" i="7"/>
  <c r="K458" i="7"/>
  <c r="E391" i="7"/>
  <c r="E456" i="7"/>
  <c r="E315" i="7"/>
  <c r="J322" i="7"/>
  <c r="J445" i="7"/>
  <c r="J408" i="7"/>
  <c r="J379" i="7"/>
  <c r="J334" i="7"/>
  <c r="J486" i="7"/>
  <c r="K422" i="7"/>
  <c r="E527" i="7"/>
  <c r="E474" i="7"/>
  <c r="E529" i="7"/>
  <c r="E418" i="7"/>
  <c r="E462" i="7"/>
  <c r="E468" i="7"/>
  <c r="E397" i="7"/>
  <c r="J461" i="7"/>
  <c r="E359" i="7"/>
  <c r="E311" i="7"/>
  <c r="K358" i="7"/>
  <c r="J343" i="7"/>
  <c r="J501" i="7"/>
  <c r="E489" i="7"/>
  <c r="J351" i="7"/>
  <c r="J362" i="7"/>
  <c r="E471" i="7"/>
  <c r="J513" i="7"/>
  <c r="E316" i="7"/>
  <c r="J475" i="7"/>
  <c r="E410" i="7"/>
  <c r="J407" i="7"/>
  <c r="E491" i="7"/>
  <c r="J509" i="7"/>
  <c r="E373" i="7"/>
  <c r="J485" i="7"/>
  <c r="K372" i="7"/>
  <c r="J467" i="7"/>
  <c r="E377" i="7"/>
  <c r="J356" i="7"/>
  <c r="E357" i="7"/>
  <c r="E450" i="7"/>
  <c r="E414" i="7"/>
  <c r="E521" i="7"/>
  <c r="E347" i="7"/>
  <c r="E380" i="7"/>
  <c r="E424" i="7"/>
  <c r="E493" i="7"/>
  <c r="E453" i="7"/>
  <c r="E454" i="7"/>
  <c r="E509" i="7"/>
  <c r="E466" i="7"/>
  <c r="E480" i="7"/>
  <c r="E505" i="7"/>
  <c r="E364" i="7"/>
  <c r="E525" i="7"/>
  <c r="J478" i="7"/>
  <c r="J370" i="7"/>
  <c r="J530" i="7"/>
  <c r="J403" i="7"/>
  <c r="E405" i="7"/>
  <c r="E404" i="7"/>
  <c r="E375" i="7"/>
  <c r="E331" i="7"/>
  <c r="J358" i="7"/>
  <c r="J455" i="7"/>
  <c r="E381" i="7"/>
  <c r="E473" i="7"/>
  <c r="E426" i="7"/>
  <c r="E427" i="7"/>
  <c r="J433" i="7"/>
  <c r="J502" i="7"/>
  <c r="K322" i="7"/>
  <c r="E437" i="7"/>
  <c r="E337" i="7"/>
  <c r="E363" i="7"/>
  <c r="J382" i="7"/>
  <c r="J387" i="7"/>
  <c r="J512" i="7"/>
  <c r="J484" i="7"/>
  <c r="J446" i="7"/>
  <c r="J488" i="7"/>
  <c r="K518" i="7"/>
  <c r="K524" i="7"/>
  <c r="E382" i="7"/>
  <c r="E436" i="7"/>
  <c r="J405" i="7"/>
  <c r="J426" i="7"/>
  <c r="J523" i="7"/>
  <c r="J464" i="7"/>
  <c r="J505" i="7"/>
  <c r="J332" i="7"/>
  <c r="K447" i="7"/>
  <c r="K521" i="7"/>
  <c r="E394" i="7"/>
  <c r="E374" i="7"/>
  <c r="E326" i="7"/>
  <c r="E443" i="7"/>
  <c r="E356" i="7"/>
  <c r="E478" i="7"/>
  <c r="E383" i="7"/>
  <c r="J354" i="7"/>
  <c r="E425" i="7"/>
  <c r="J341" i="7"/>
  <c r="E398" i="7"/>
  <c r="J360" i="7"/>
  <c r="J394" i="7"/>
  <c r="E360" i="7"/>
  <c r="J479" i="7"/>
  <c r="K451" i="7"/>
  <c r="E441" i="7"/>
  <c r="K323" i="7"/>
  <c r="J476" i="7"/>
  <c r="J490" i="7"/>
  <c r="E490" i="7"/>
  <c r="J323" i="7"/>
  <c r="E444" i="7"/>
  <c r="K388" i="7"/>
  <c r="J321" i="7"/>
  <c r="J516" i="7"/>
  <c r="E446" i="7"/>
  <c r="J469" i="7"/>
  <c r="J507" i="7"/>
  <c r="J474" i="7"/>
  <c r="E335" i="7"/>
  <c r="E506" i="7"/>
  <c r="E451" i="7"/>
  <c r="E512" i="7"/>
  <c r="J431" i="7"/>
  <c r="J419" i="7"/>
  <c r="J393" i="7"/>
  <c r="J337" i="7"/>
  <c r="J325" i="7"/>
  <c r="J374" i="7"/>
  <c r="K434" i="7"/>
  <c r="K516" i="7"/>
  <c r="K389" i="7"/>
  <c r="K399" i="7"/>
  <c r="K522" i="7"/>
  <c r="K453" i="7"/>
  <c r="K481" i="7"/>
  <c r="K423" i="7"/>
  <c r="K479" i="7"/>
  <c r="J340" i="7"/>
  <c r="J399" i="7"/>
  <c r="J410" i="7"/>
  <c r="J515" i="7"/>
  <c r="K417" i="7"/>
  <c r="K361" i="7"/>
  <c r="K390" i="7"/>
  <c r="K386" i="7"/>
  <c r="K450" i="7"/>
  <c r="K419" i="7"/>
  <c r="K348" i="7"/>
  <c r="K397" i="7"/>
  <c r="K456" i="7"/>
  <c r="K330" i="7"/>
  <c r="J373" i="7"/>
  <c r="E469" i="7"/>
  <c r="E499" i="7"/>
  <c r="J386" i="7"/>
  <c r="J432" i="7"/>
  <c r="E314" i="7"/>
  <c r="E367" i="7"/>
  <c r="E378" i="7"/>
  <c r="E500" i="7"/>
  <c r="E386" i="7"/>
  <c r="J345" i="7"/>
  <c r="J443" i="7"/>
  <c r="J497" i="7"/>
  <c r="J506" i="7"/>
  <c r="J439" i="7"/>
  <c r="E352" i="7"/>
  <c r="E328" i="7"/>
  <c r="E465" i="7"/>
  <c r="J494" i="7"/>
  <c r="J491" i="7"/>
  <c r="J347" i="7"/>
  <c r="J499" i="7"/>
  <c r="J442" i="7"/>
  <c r="J517" i="7"/>
  <c r="K487" i="7"/>
  <c r="J414" i="7"/>
  <c r="K351" i="7"/>
  <c r="K528" i="7"/>
  <c r="K529" i="7"/>
  <c r="K471" i="7"/>
  <c r="K509" i="7"/>
  <c r="K436" i="7"/>
  <c r="K314" i="7"/>
  <c r="J495" i="7"/>
  <c r="J312" i="7"/>
  <c r="J420" i="7"/>
  <c r="K462" i="7"/>
  <c r="K335" i="7"/>
  <c r="K480" i="7"/>
  <c r="K407" i="7"/>
  <c r="K490" i="7"/>
  <c r="K469" i="7"/>
  <c r="K424" i="7"/>
  <c r="J487" i="7"/>
  <c r="K507" i="7"/>
  <c r="K442" i="7"/>
  <c r="K398" i="7"/>
  <c r="E520" i="7"/>
  <c r="J317" i="7"/>
  <c r="E366" i="7"/>
  <c r="J357" i="7"/>
  <c r="K391" i="7"/>
  <c r="E431" i="7"/>
  <c r="E345" i="7"/>
  <c r="E322" i="7"/>
  <c r="E332" i="7"/>
  <c r="J452" i="7"/>
  <c r="J371" i="7"/>
  <c r="J412" i="7"/>
  <c r="J519" i="7"/>
  <c r="J390" i="7"/>
  <c r="J438" i="7"/>
  <c r="K346" i="7"/>
  <c r="K429" i="7"/>
  <c r="K401" i="7"/>
  <c r="K477" i="7"/>
  <c r="K421" i="7"/>
  <c r="K427" i="7"/>
  <c r="K368" i="7"/>
  <c r="K437" i="7"/>
  <c r="K425" i="7"/>
  <c r="K324" i="7"/>
  <c r="K454" i="7"/>
  <c r="K506" i="7"/>
  <c r="K502" i="7"/>
  <c r="K435" i="7"/>
  <c r="J416" i="7"/>
  <c r="J465" i="7"/>
  <c r="J525" i="7"/>
  <c r="E343" i="7"/>
  <c r="K511" i="7"/>
  <c r="K384" i="7"/>
  <c r="J500" i="7"/>
  <c r="K448" i="7"/>
  <c r="K433" i="7"/>
  <c r="K489" i="7"/>
  <c r="K327" i="7"/>
  <c r="E362" i="7"/>
  <c r="E430" i="7"/>
  <c r="E371" i="7"/>
  <c r="J330" i="7"/>
  <c r="J339" i="7"/>
  <c r="J404" i="7"/>
  <c r="J514" i="7"/>
  <c r="J521" i="7"/>
  <c r="K316" i="7"/>
  <c r="K510" i="7"/>
  <c r="J447" i="7"/>
  <c r="K383" i="7"/>
  <c r="K415" i="7"/>
  <c r="K357" i="7"/>
  <c r="K457" i="7"/>
  <c r="K340" i="7"/>
  <c r="K483" i="7"/>
  <c r="J471" i="7"/>
  <c r="J378" i="7"/>
  <c r="J531" i="7"/>
  <c r="J376" i="7"/>
  <c r="K326" i="7"/>
  <c r="K473" i="7"/>
  <c r="K491" i="7"/>
  <c r="K328" i="7"/>
  <c r="K337" i="7"/>
  <c r="K488" i="7"/>
  <c r="K392" i="7"/>
  <c r="K331" i="7"/>
  <c r="K363" i="7"/>
  <c r="K444" i="7"/>
  <c r="K416" i="7"/>
  <c r="J458" i="7"/>
  <c r="J468" i="7"/>
  <c r="E457" i="7"/>
  <c r="E342" i="7"/>
  <c r="K356" i="7"/>
  <c r="E477" i="7"/>
  <c r="E421" i="7"/>
  <c r="E369" i="7"/>
  <c r="E459" i="7"/>
  <c r="J400" i="7"/>
  <c r="J462" i="7"/>
  <c r="J366" i="7"/>
  <c r="J418" i="7"/>
  <c r="J326" i="7"/>
  <c r="J348" i="7"/>
  <c r="D262" i="7"/>
  <c r="J529" i="7"/>
  <c r="K504" i="7"/>
  <c r="K413" i="7"/>
  <c r="K467" i="7"/>
  <c r="J466" i="7"/>
  <c r="K501" i="7"/>
  <c r="K378" i="7"/>
  <c r="E355" i="7"/>
  <c r="E460" i="7"/>
  <c r="J457" i="7"/>
  <c r="J331" i="7"/>
  <c r="J369" i="7"/>
  <c r="J444" i="7"/>
  <c r="J368" i="7"/>
  <c r="J472" i="7"/>
  <c r="K440" i="7"/>
  <c r="K321" i="7"/>
  <c r="K344" i="7"/>
  <c r="K403" i="7"/>
  <c r="K455" i="7"/>
  <c r="K377" i="7"/>
  <c r="K474" i="7"/>
  <c r="K332" i="7"/>
  <c r="K519" i="7"/>
  <c r="J520" i="7"/>
  <c r="J329" i="7"/>
  <c r="J524" i="7"/>
  <c r="J422" i="7"/>
  <c r="K508" i="7"/>
  <c r="K347" i="7"/>
  <c r="K470" i="7"/>
  <c r="K496" i="7"/>
  <c r="K514" i="7"/>
  <c r="K405" i="7"/>
  <c r="K499" i="7"/>
  <c r="K406" i="7"/>
  <c r="K339" i="7"/>
  <c r="K530" i="7"/>
  <c r="E486" i="7"/>
  <c r="J364" i="7"/>
  <c r="K445" i="7"/>
  <c r="K369" i="7"/>
  <c r="J342" i="7"/>
  <c r="E329" i="7"/>
  <c r="E433" i="7"/>
  <c r="E513" i="7"/>
  <c r="E467" i="7"/>
  <c r="E411" i="7"/>
  <c r="J496" i="7"/>
  <c r="J481" i="7"/>
  <c r="J453" i="7"/>
  <c r="J395" i="7"/>
  <c r="J492" i="7"/>
  <c r="J482" i="7"/>
  <c r="K329" i="7"/>
  <c r="K409" i="7"/>
  <c r="K459" i="7"/>
  <c r="J349" i="7"/>
  <c r="K431" i="7"/>
  <c r="K478" i="7"/>
  <c r="K520" i="7"/>
  <c r="K313" i="7"/>
  <c r="K379" i="7"/>
  <c r="K364" i="7"/>
  <c r="K428" i="7"/>
  <c r="K515" i="7"/>
  <c r="K410" i="7"/>
  <c r="E495" i="7"/>
  <c r="E399" i="7"/>
  <c r="K360" i="7"/>
  <c r="J440" i="7"/>
  <c r="E492" i="7"/>
  <c r="E407" i="7"/>
  <c r="K466" i="7"/>
  <c r="J377" i="7"/>
  <c r="K492" i="7"/>
  <c r="J459" i="7"/>
  <c r="K381" i="7"/>
  <c r="J380" i="7"/>
  <c r="K319" i="7"/>
  <c r="K404" i="7"/>
  <c r="K402" i="7"/>
  <c r="J473" i="7"/>
  <c r="K441" i="7"/>
  <c r="J328" i="7"/>
  <c r="K312" i="7"/>
  <c r="K505" i="7"/>
  <c r="K382" i="7"/>
  <c r="J324" i="7"/>
  <c r="K355" i="7"/>
  <c r="K350" i="7"/>
  <c r="K517" i="7"/>
  <c r="K412" i="7"/>
  <c r="K420" i="7"/>
  <c r="K525" i="7"/>
  <c r="K338" i="7"/>
  <c r="K426" i="7"/>
  <c r="K408" i="7"/>
  <c r="K365" i="7"/>
  <c r="K311" i="7"/>
  <c r="K394" i="7"/>
  <c r="K464" i="7"/>
  <c r="K460" i="7"/>
  <c r="J526" i="7"/>
  <c r="K475" i="7"/>
  <c r="K352" i="7"/>
  <c r="K485" i="7"/>
  <c r="J413" i="7"/>
  <c r="K396" i="7"/>
  <c r="K318" i="7"/>
  <c r="K526" i="7"/>
  <c r="K430" i="7"/>
  <c r="K317" i="7"/>
  <c r="K387" i="7"/>
  <c r="K320" i="7"/>
  <c r="K395" i="7"/>
  <c r="K512" i="7"/>
  <c r="K531" i="7"/>
  <c r="K497" i="7"/>
  <c r="K439" i="7"/>
  <c r="K452" i="7"/>
  <c r="K414" i="7"/>
  <c r="J398" i="7"/>
  <c r="K376" i="7"/>
  <c r="K400" i="7"/>
  <c r="K341" i="7"/>
  <c r="J421" i="7"/>
  <c r="K325" i="7"/>
  <c r="K342" i="7"/>
  <c r="K476" i="7"/>
  <c r="K438" i="7"/>
  <c r="K498" i="7"/>
  <c r="K446" i="7"/>
  <c r="K333" i="7"/>
  <c r="K468" i="7"/>
  <c r="K493" i="7"/>
  <c r="K375" i="7"/>
  <c r="J333" i="7"/>
  <c r="K380" i="7"/>
  <c r="K385" i="7"/>
  <c r="J365" i="7"/>
  <c r="K486" i="7"/>
  <c r="K523" i="7"/>
  <c r="K495" i="7"/>
  <c r="J470" i="7"/>
  <c r="K443" i="7"/>
  <c r="K527" i="7"/>
  <c r="K482" i="7"/>
  <c r="K461" i="7"/>
  <c r="K513" i="7"/>
  <c r="K315" i="7"/>
  <c r="K465" i="7"/>
  <c r="K367" i="7"/>
  <c r="K449" i="7"/>
  <c r="K366" i="7"/>
  <c r="J277" i="7"/>
  <c r="E275" i="7"/>
  <c r="E296" i="7"/>
  <c r="E301" i="7"/>
  <c r="E288" i="7"/>
  <c r="E274" i="7"/>
  <c r="J292" i="7"/>
  <c r="J293" i="7"/>
  <c r="J285" i="7"/>
  <c r="J274" i="7"/>
  <c r="E281" i="7"/>
  <c r="J305" i="7"/>
  <c r="E302" i="7"/>
  <c r="E292" i="7"/>
  <c r="E277" i="7"/>
  <c r="E286" i="7"/>
  <c r="J302" i="7"/>
  <c r="J276" i="7"/>
  <c r="J294" i="7"/>
  <c r="J262" i="7"/>
  <c r="J272" i="7"/>
  <c r="E293" i="7"/>
  <c r="J291" i="7"/>
  <c r="J283" i="7"/>
  <c r="J296" i="7"/>
  <c r="E280" i="7"/>
  <c r="J282" i="7"/>
  <c r="J273" i="7"/>
  <c r="E304" i="7"/>
  <c r="J288" i="7"/>
  <c r="E282" i="7"/>
  <c r="J290" i="7"/>
  <c r="J284" i="7"/>
  <c r="E299" i="7"/>
  <c r="J300" i="7"/>
  <c r="E295" i="7"/>
  <c r="J281" i="7"/>
  <c r="E290" i="7"/>
  <c r="E298" i="7"/>
  <c r="E262" i="7"/>
  <c r="E297" i="7"/>
  <c r="J280" i="7"/>
  <c r="E289" i="7"/>
  <c r="J289" i="7"/>
  <c r="J303" i="7"/>
  <c r="E279" i="7"/>
  <c r="E272" i="7"/>
  <c r="E285" i="7"/>
  <c r="E300" i="7"/>
  <c r="E287" i="7"/>
  <c r="J279" i="7"/>
  <c r="J275" i="7"/>
  <c r="J286" i="7"/>
  <c r="J299" i="7"/>
  <c r="E278" i="7"/>
  <c r="E291" i="7"/>
  <c r="J295" i="7"/>
  <c r="E305" i="7"/>
  <c r="J297" i="7"/>
  <c r="J301" i="7"/>
  <c r="J304" i="7"/>
  <c r="E284" i="7"/>
  <c r="E273" i="7"/>
  <c r="E283" i="7"/>
  <c r="E294" i="7"/>
  <c r="J278" i="7"/>
  <c r="E303" i="7"/>
  <c r="J298" i="7"/>
  <c r="J287" i="7"/>
  <c r="E276" i="7"/>
  <c r="D676" i="7"/>
  <c r="D665" i="7"/>
  <c r="D675" i="7"/>
  <c r="D701" i="7"/>
  <c r="D694" i="7"/>
  <c r="D682" i="7"/>
  <c r="D686" i="7"/>
  <c r="D654" i="7"/>
  <c r="D757" i="7"/>
  <c r="D708" i="7"/>
  <c r="D650" i="7"/>
  <c r="D674" i="7"/>
  <c r="D664" i="7"/>
  <c r="D734" i="7"/>
  <c r="D667" i="7"/>
  <c r="D677" i="7"/>
  <c r="D666" i="7"/>
  <c r="D743" i="7"/>
  <c r="D728" i="7"/>
  <c r="D746" i="7"/>
  <c r="D755" i="7"/>
  <c r="D655" i="7"/>
  <c r="D689" i="7"/>
  <c r="D754" i="7"/>
  <c r="D687" i="7"/>
  <c r="D735" i="7"/>
  <c r="D717" i="7"/>
  <c r="D693" i="7"/>
  <c r="D671" i="7"/>
  <c r="D718" i="7"/>
  <c r="D670" i="7"/>
  <c r="D672" i="7"/>
  <c r="D753" i="7"/>
  <c r="D697" i="7"/>
  <c r="D706" i="7"/>
  <c r="D696" i="7"/>
  <c r="D719" i="7"/>
  <c r="D680" i="7"/>
  <c r="D673" i="7"/>
  <c r="D646" i="7"/>
  <c r="D732" i="7"/>
  <c r="D653" i="7"/>
  <c r="D758" i="7"/>
  <c r="D699" i="7"/>
  <c r="D702" i="7"/>
  <c r="D747" i="7"/>
  <c r="D713" i="7"/>
  <c r="D658" i="7"/>
  <c r="D700" i="7"/>
  <c r="D716" i="7"/>
  <c r="D679" i="7"/>
  <c r="D715" i="7"/>
  <c r="D730" i="7"/>
  <c r="D714" i="7"/>
  <c r="D683" i="7"/>
  <c r="D740" i="7"/>
  <c r="D649" i="7"/>
  <c r="D645" i="7"/>
  <c r="D703" i="7"/>
  <c r="D748" i="7"/>
  <c r="D668" i="7"/>
  <c r="D736" i="7"/>
  <c r="D727" i="7"/>
  <c r="D692" i="7"/>
  <c r="D684" i="7"/>
  <c r="D720" i="7"/>
  <c r="D731" i="7"/>
  <c r="D724" i="7"/>
  <c r="D712" i="7"/>
  <c r="D678" i="7"/>
  <c r="D741" i="7"/>
  <c r="D647" i="7"/>
  <c r="D663" i="7"/>
  <c r="D651" i="7"/>
  <c r="D656" i="7"/>
  <c r="D688" i="7"/>
  <c r="D659" i="7"/>
  <c r="D739" i="7"/>
  <c r="D705" i="7"/>
  <c r="D704" i="7"/>
  <c r="D721" i="7"/>
  <c r="D752" i="7"/>
  <c r="D669" i="7"/>
  <c r="D742" i="7"/>
  <c r="D744" i="7"/>
  <c r="D729" i="7"/>
  <c r="D761" i="7"/>
  <c r="D690" i="7"/>
  <c r="D723" i="7"/>
  <c r="D749" i="7"/>
  <c r="D762" i="7"/>
  <c r="D660" i="7"/>
  <c r="D657" i="7"/>
  <c r="D695" i="7"/>
  <c r="D652" i="7"/>
  <c r="D707" i="7"/>
  <c r="D756" i="7"/>
  <c r="D760" i="7"/>
  <c r="D738" i="7"/>
  <c r="D648" i="7"/>
  <c r="D750" i="7"/>
  <c r="D759" i="7"/>
  <c r="D661" i="7"/>
  <c r="D681" i="7"/>
  <c r="D722" i="7"/>
  <c r="D725" i="7"/>
  <c r="D644" i="7"/>
  <c r="D737" i="7"/>
  <c r="D698" i="7"/>
  <c r="D751" i="7"/>
  <c r="D710" i="7"/>
  <c r="D745" i="7"/>
  <c r="D643" i="7"/>
  <c r="D691" i="7"/>
  <c r="D711" i="7"/>
  <c r="D709" i="7"/>
  <c r="D733" i="7"/>
  <c r="D662" i="7"/>
  <c r="D685" i="7"/>
  <c r="D726" i="7"/>
  <c r="K750" i="7"/>
  <c r="K720" i="7"/>
  <c r="K692" i="7"/>
  <c r="K719" i="7"/>
  <c r="K746" i="7"/>
  <c r="K678" i="7"/>
  <c r="K693" i="7"/>
  <c r="J728" i="7"/>
  <c r="J643" i="7"/>
  <c r="J742" i="7"/>
  <c r="J737" i="7"/>
  <c r="K698" i="7"/>
  <c r="K645" i="7"/>
  <c r="K759" i="7"/>
  <c r="K758" i="7"/>
  <c r="K726" i="7"/>
  <c r="K659" i="7"/>
  <c r="K650" i="7"/>
  <c r="K724" i="7"/>
  <c r="J727" i="7"/>
  <c r="J715" i="7"/>
  <c r="J681" i="7"/>
  <c r="J661" i="7"/>
  <c r="K653" i="7"/>
  <c r="K713" i="7"/>
  <c r="K694" i="7"/>
  <c r="K660" i="7"/>
  <c r="K733" i="7"/>
  <c r="K654" i="7"/>
  <c r="K700" i="7"/>
  <c r="J667" i="7"/>
  <c r="J761" i="7"/>
  <c r="J718" i="7"/>
  <c r="J724" i="7"/>
  <c r="K715" i="7"/>
  <c r="K668" i="7"/>
  <c r="K669" i="7"/>
  <c r="K688" i="7"/>
  <c r="K677" i="7"/>
  <c r="K741" i="7"/>
  <c r="K664" i="7"/>
  <c r="K743" i="7"/>
  <c r="J725" i="7"/>
  <c r="J676" i="7"/>
  <c r="J670" i="7"/>
  <c r="J688" i="7"/>
  <c r="J730" i="7"/>
  <c r="J713" i="7"/>
  <c r="J675" i="7"/>
  <c r="J677" i="7"/>
  <c r="J678" i="7"/>
  <c r="E676" i="7"/>
  <c r="E662" i="7"/>
  <c r="E689" i="7"/>
  <c r="E685" i="7"/>
  <c r="E749" i="7"/>
  <c r="E756" i="7"/>
  <c r="E751" i="7"/>
  <c r="E757" i="7"/>
  <c r="J707" i="7"/>
  <c r="J679" i="7"/>
  <c r="J699" i="7"/>
  <c r="J683" i="7"/>
  <c r="J720" i="7"/>
  <c r="E724" i="7"/>
  <c r="E714" i="7"/>
  <c r="E680" i="7"/>
  <c r="E722" i="7"/>
  <c r="E700" i="7"/>
  <c r="E650" i="7"/>
  <c r="E713" i="7"/>
  <c r="E684" i="7"/>
  <c r="E738" i="7"/>
  <c r="J673" i="7"/>
  <c r="J663" i="7"/>
  <c r="E690" i="7"/>
  <c r="E651" i="7"/>
  <c r="E728" i="7"/>
  <c r="E719" i="7"/>
  <c r="J751" i="7"/>
  <c r="E716" i="7"/>
  <c r="E748" i="7"/>
  <c r="E709" i="7"/>
  <c r="E711" i="7"/>
  <c r="E727" i="7"/>
  <c r="E687" i="7"/>
  <c r="J684" i="7"/>
  <c r="E672" i="7"/>
  <c r="E693" i="7"/>
  <c r="J746" i="7"/>
  <c r="K699" i="7"/>
  <c r="K711" i="7"/>
  <c r="K667" i="7"/>
  <c r="K701" i="7"/>
  <c r="K685" i="7"/>
  <c r="K716" i="7"/>
  <c r="K753" i="7"/>
  <c r="K702" i="7"/>
  <c r="J662" i="7"/>
  <c r="J669" i="7"/>
  <c r="J741" i="7"/>
  <c r="J702" i="7"/>
  <c r="K709" i="7"/>
  <c r="K684" i="7"/>
  <c r="K729" i="7"/>
  <c r="K655" i="7"/>
  <c r="K762" i="7"/>
  <c r="U15" i="30" s="1"/>
  <c r="K649" i="7"/>
  <c r="K651" i="7"/>
  <c r="J660" i="7"/>
  <c r="J726" i="7"/>
  <c r="J762" i="7"/>
  <c r="J649" i="7"/>
  <c r="K707" i="7"/>
  <c r="K661" i="7"/>
  <c r="K681" i="7"/>
  <c r="K725" i="7"/>
  <c r="K754" i="7"/>
  <c r="K695" i="7"/>
  <c r="K658" i="7"/>
  <c r="J721" i="7"/>
  <c r="J694" i="7"/>
  <c r="J743" i="7"/>
  <c r="J647" i="7"/>
  <c r="K676" i="7"/>
  <c r="K734" i="7"/>
  <c r="K663" i="7"/>
  <c r="K672" i="7"/>
  <c r="K656" i="7"/>
  <c r="K740" i="7"/>
  <c r="K683" i="7"/>
  <c r="K722" i="7"/>
  <c r="J654" i="7"/>
  <c r="J747" i="7"/>
  <c r="J745" i="7"/>
  <c r="J696" i="7"/>
  <c r="J701" i="7"/>
  <c r="J655" i="7"/>
  <c r="J719" i="7"/>
  <c r="J690" i="7"/>
  <c r="J736" i="7"/>
  <c r="E668" i="7"/>
  <c r="E726" i="7"/>
  <c r="J691" i="7"/>
  <c r="E755" i="7"/>
  <c r="E744" i="7"/>
  <c r="E758" i="7"/>
  <c r="E741" i="7"/>
  <c r="J650" i="7"/>
  <c r="E742" i="7"/>
  <c r="E657" i="7"/>
  <c r="E704" i="7"/>
  <c r="E743" i="7"/>
  <c r="E753" i="7"/>
  <c r="E652" i="7"/>
  <c r="E691" i="7"/>
  <c r="E674" i="7"/>
  <c r="E703" i="7"/>
  <c r="E720" i="7"/>
  <c r="E663" i="7"/>
  <c r="E675" i="7"/>
  <c r="E708" i="7"/>
  <c r="E746" i="7"/>
  <c r="J722" i="7"/>
  <c r="J716" i="7"/>
  <c r="E664" i="7"/>
  <c r="E737" i="7"/>
  <c r="E702" i="7"/>
  <c r="E646" i="7"/>
  <c r="J753" i="7"/>
  <c r="E659" i="7"/>
  <c r="E732" i="7"/>
  <c r="E739" i="7"/>
  <c r="E729" i="7"/>
  <c r="E735" i="7"/>
  <c r="E731" i="7"/>
  <c r="E692" i="7"/>
  <c r="E736" i="7"/>
  <c r="E762" i="7"/>
  <c r="J759" i="7"/>
  <c r="K703" i="7"/>
  <c r="K644" i="7"/>
  <c r="K696" i="7"/>
  <c r="K665" i="7"/>
  <c r="K714" i="7"/>
  <c r="K721" i="7"/>
  <c r="K687" i="7"/>
  <c r="K732" i="7"/>
  <c r="J664" i="7"/>
  <c r="J758" i="7"/>
  <c r="J658" i="7"/>
  <c r="J738" i="7"/>
  <c r="K657" i="7"/>
  <c r="K749" i="7"/>
  <c r="K671" i="7"/>
  <c r="K737" i="7"/>
  <c r="K662" i="7"/>
  <c r="K704" i="7"/>
  <c r="K689" i="7"/>
  <c r="J659" i="7"/>
  <c r="J750" i="7"/>
  <c r="J705" i="7"/>
  <c r="J680" i="7"/>
  <c r="K731" i="7"/>
  <c r="K673" i="7"/>
  <c r="K718" i="7"/>
  <c r="K742" i="7"/>
  <c r="K751" i="7"/>
  <c r="K712" i="7"/>
  <c r="K756" i="7"/>
  <c r="K755" i="7"/>
  <c r="J646" i="7"/>
  <c r="J656" i="7"/>
  <c r="J666" i="7"/>
  <c r="J729" i="7"/>
  <c r="K728" i="7"/>
  <c r="K646" i="7"/>
  <c r="K675" i="7"/>
  <c r="K727" i="7"/>
  <c r="K752" i="7"/>
  <c r="K730" i="7"/>
  <c r="K744" i="7"/>
  <c r="J697" i="7"/>
  <c r="J714" i="7"/>
  <c r="J756" i="7"/>
  <c r="J686" i="7"/>
  <c r="J692" i="7"/>
  <c r="J740" i="7"/>
  <c r="J739" i="7"/>
  <c r="J648" i="7"/>
  <c r="J755" i="7"/>
  <c r="J695" i="7"/>
  <c r="E717" i="7"/>
  <c r="E712" i="7"/>
  <c r="E647" i="7"/>
  <c r="E754" i="7"/>
  <c r="E678" i="7"/>
  <c r="E667" i="7"/>
  <c r="E688" i="7"/>
  <c r="J734" i="7"/>
  <c r="J700" i="7"/>
  <c r="J749" i="7"/>
  <c r="J712" i="7"/>
  <c r="J653" i="7"/>
  <c r="J674" i="7"/>
  <c r="E658" i="7"/>
  <c r="E725" i="7"/>
  <c r="E707" i="7"/>
  <c r="E750" i="7"/>
  <c r="E660" i="7"/>
  <c r="E677" i="7"/>
  <c r="E694" i="7"/>
  <c r="E666" i="7"/>
  <c r="J706" i="7"/>
  <c r="J754" i="7"/>
  <c r="E761" i="7"/>
  <c r="J760" i="7"/>
  <c r="E721" i="7"/>
  <c r="J709" i="7"/>
  <c r="E665" i="7"/>
  <c r="E683" i="7"/>
  <c r="E643" i="7"/>
  <c r="J651" i="7"/>
  <c r="E734" i="7"/>
  <c r="E661" i="7"/>
  <c r="E656" i="7"/>
  <c r="E745" i="7"/>
  <c r="J671" i="7"/>
  <c r="E730" i="7"/>
  <c r="E679" i="7"/>
  <c r="K761" i="7"/>
  <c r="K705" i="7"/>
  <c r="K647" i="7"/>
  <c r="K686" i="7"/>
  <c r="K648" i="7"/>
  <c r="K682" i="7"/>
  <c r="K691" i="7"/>
  <c r="J657" i="7"/>
  <c r="J757" i="7"/>
  <c r="J748" i="7"/>
  <c r="J704" i="7"/>
  <c r="K674" i="7"/>
  <c r="K690" i="7"/>
  <c r="K708" i="7"/>
  <c r="K745" i="7"/>
  <c r="K757" i="7"/>
  <c r="K748" i="7"/>
  <c r="K643" i="7"/>
  <c r="K706" i="7"/>
  <c r="J708" i="7"/>
  <c r="J703" i="7"/>
  <c r="J672" i="7"/>
  <c r="K717" i="7"/>
  <c r="K736" i="7"/>
  <c r="K739" i="7"/>
  <c r="K666" i="7"/>
  <c r="K697" i="7"/>
  <c r="K747" i="7"/>
  <c r="K760" i="7"/>
  <c r="K680" i="7"/>
  <c r="J732" i="7"/>
  <c r="J711" i="7"/>
  <c r="J693" i="7"/>
  <c r="J744" i="7"/>
  <c r="K679" i="7"/>
  <c r="K723" i="7"/>
  <c r="K652" i="7"/>
  <c r="K670" i="7"/>
  <c r="K710" i="7"/>
  <c r="K735" i="7"/>
  <c r="K738" i="7"/>
  <c r="J723" i="7"/>
  <c r="J710" i="7"/>
  <c r="J698" i="7"/>
  <c r="J652" i="7"/>
  <c r="J733" i="7"/>
  <c r="J687" i="7"/>
  <c r="J682" i="7"/>
  <c r="J668" i="7"/>
  <c r="J735" i="7"/>
  <c r="E747" i="7"/>
  <c r="E673" i="7"/>
  <c r="J689" i="7"/>
  <c r="E655" i="7"/>
  <c r="E681" i="7"/>
  <c r="E686" i="7"/>
  <c r="E669" i="7"/>
  <c r="J645" i="7"/>
  <c r="E649" i="7"/>
  <c r="E718" i="7"/>
  <c r="E654" i="7"/>
  <c r="E740" i="7"/>
  <c r="E752" i="7"/>
  <c r="E710" i="7"/>
  <c r="E699" i="7"/>
  <c r="E760" i="7"/>
  <c r="E715" i="7"/>
  <c r="E706" i="7"/>
  <c r="E701" i="7"/>
  <c r="E733" i="7"/>
  <c r="E698" i="7"/>
  <c r="E723" i="7"/>
  <c r="J731" i="7"/>
  <c r="J752" i="7"/>
  <c r="E697" i="7"/>
  <c r="J717" i="7"/>
  <c r="E648" i="7"/>
  <c r="J644" i="7"/>
  <c r="E682" i="7"/>
  <c r="J665" i="7"/>
  <c r="E695" i="7"/>
  <c r="E644" i="7"/>
  <c r="E671" i="7"/>
  <c r="E670" i="7"/>
  <c r="E759" i="7"/>
  <c r="E645" i="7"/>
  <c r="E653" i="7"/>
  <c r="J685" i="7"/>
  <c r="E705" i="7"/>
  <c r="E696" i="7"/>
  <c r="D566" i="7"/>
  <c r="D618" i="7"/>
  <c r="D573" i="7"/>
  <c r="D619" i="7"/>
  <c r="D622" i="7"/>
  <c r="D603" i="7"/>
  <c r="D614" i="7"/>
  <c r="D623" i="7"/>
  <c r="D558" i="7"/>
  <c r="D545" i="7"/>
  <c r="D602" i="7"/>
  <c r="D548" i="7"/>
  <c r="D627" i="7"/>
  <c r="D632" i="7"/>
  <c r="D565" i="7"/>
  <c r="D596" i="7"/>
  <c r="D583" i="7"/>
  <c r="D574" i="7"/>
  <c r="D582" i="7"/>
  <c r="D554" i="7"/>
  <c r="D549" i="7"/>
  <c r="D592" i="7"/>
  <c r="D542" i="7"/>
  <c r="D564" i="7"/>
  <c r="D551" i="7"/>
  <c r="D637" i="7"/>
  <c r="D578" i="7"/>
  <c r="D567" i="7"/>
  <c r="D585" i="7"/>
  <c r="D571" i="7"/>
  <c r="D537" i="7"/>
  <c r="D629" i="7"/>
  <c r="D553" i="7"/>
  <c r="D604" i="7"/>
  <c r="D613" i="7"/>
  <c r="D569" i="7"/>
  <c r="D633" i="7"/>
  <c r="D615" i="7"/>
  <c r="D588" i="7"/>
  <c r="D568" i="7"/>
  <c r="D624" i="7"/>
  <c r="D584" i="7"/>
  <c r="D552" i="7"/>
  <c r="D540" i="7"/>
  <c r="D607" i="7"/>
  <c r="D586" i="7"/>
  <c r="D546" i="7"/>
  <c r="D577" i="7"/>
  <c r="D561" i="7"/>
  <c r="D541" i="7"/>
  <c r="D576" i="7"/>
  <c r="D590" i="7"/>
  <c r="D610" i="7"/>
  <c r="D562" i="7"/>
  <c r="D579" i="7"/>
  <c r="D608" i="7"/>
  <c r="D609" i="7"/>
  <c r="D587" i="7"/>
  <c r="D543" i="7"/>
  <c r="D630" i="7"/>
  <c r="D555" i="7"/>
  <c r="D575" i="7"/>
  <c r="D547" i="7"/>
  <c r="D626" i="7"/>
  <c r="D620" i="7"/>
  <c r="D617" i="7"/>
  <c r="D556" i="7"/>
  <c r="D600" i="7"/>
  <c r="D606" i="7"/>
  <c r="D593" i="7"/>
  <c r="D559" i="7"/>
  <c r="D570" i="7"/>
  <c r="D597" i="7"/>
  <c r="D580" i="7"/>
  <c r="D589" i="7"/>
  <c r="D594" i="7"/>
  <c r="D599" i="7"/>
  <c r="D616" i="7"/>
  <c r="D539" i="7"/>
  <c r="D605" i="7"/>
  <c r="D634" i="7"/>
  <c r="D601" i="7"/>
  <c r="D560" i="7"/>
  <c r="D635" i="7"/>
  <c r="D612" i="7"/>
  <c r="D538" i="7"/>
  <c r="D550" i="7"/>
  <c r="D625" i="7"/>
  <c r="D595" i="7"/>
  <c r="D544" i="7"/>
  <c r="D628" i="7"/>
  <c r="D581" i="7"/>
  <c r="D557" i="7"/>
  <c r="D636" i="7"/>
  <c r="D631" i="7"/>
  <c r="D572" i="7"/>
  <c r="D591" i="7"/>
  <c r="D621" i="7"/>
  <c r="D598" i="7"/>
  <c r="D563" i="7"/>
  <c r="E583" i="7"/>
  <c r="E544" i="7"/>
  <c r="E539" i="7"/>
  <c r="E574" i="7"/>
  <c r="E569" i="7"/>
  <c r="E564" i="7"/>
  <c r="E622" i="7"/>
  <c r="E585" i="7"/>
  <c r="E558" i="7"/>
  <c r="E579" i="7"/>
  <c r="E580" i="7"/>
  <c r="E629" i="7"/>
  <c r="E584" i="7"/>
  <c r="E597" i="7"/>
  <c r="E560" i="7"/>
  <c r="E627" i="7"/>
  <c r="E635" i="7"/>
  <c r="E563" i="7"/>
  <c r="E593" i="7"/>
  <c r="E633" i="7"/>
  <c r="K552" i="7"/>
  <c r="K553" i="7"/>
  <c r="K621" i="7"/>
  <c r="K585" i="7"/>
  <c r="K568" i="7"/>
  <c r="K543" i="7"/>
  <c r="J563" i="7"/>
  <c r="J599" i="7"/>
  <c r="J578" i="7"/>
  <c r="J605" i="7"/>
  <c r="J607" i="7"/>
  <c r="J567" i="7"/>
  <c r="E620" i="7"/>
  <c r="E619" i="7"/>
  <c r="E545" i="7"/>
  <c r="K572" i="7"/>
  <c r="K567" i="7"/>
  <c r="K546" i="7"/>
  <c r="K625" i="7"/>
  <c r="K600" i="7"/>
  <c r="K571" i="7"/>
  <c r="J590" i="7"/>
  <c r="J635" i="7"/>
  <c r="J622" i="7"/>
  <c r="J550" i="7"/>
  <c r="J546" i="7"/>
  <c r="J575" i="7"/>
  <c r="E548" i="7"/>
  <c r="E600" i="7"/>
  <c r="E637" i="7"/>
  <c r="K628" i="7"/>
  <c r="K605" i="7"/>
  <c r="K548" i="7"/>
  <c r="K589" i="7"/>
  <c r="K580" i="7"/>
  <c r="K556" i="7"/>
  <c r="J620" i="7"/>
  <c r="J597" i="7"/>
  <c r="J545" i="7"/>
  <c r="J549" i="7"/>
  <c r="J589" i="7"/>
  <c r="J537" i="7"/>
  <c r="E618" i="7"/>
  <c r="K623" i="7"/>
  <c r="K608" i="7"/>
  <c r="K588" i="7"/>
  <c r="K566" i="7"/>
  <c r="K607" i="7"/>
  <c r="K635" i="7"/>
  <c r="K618" i="7"/>
  <c r="J552" i="7"/>
  <c r="J595" i="7"/>
  <c r="J623" i="7"/>
  <c r="J600" i="7"/>
  <c r="J601" i="7"/>
  <c r="J569" i="7"/>
  <c r="E537" i="7"/>
  <c r="E570" i="7"/>
  <c r="E628" i="7"/>
  <c r="E577" i="7"/>
  <c r="E616" i="7"/>
  <c r="E547" i="7"/>
  <c r="E623" i="7"/>
  <c r="E562" i="7"/>
  <c r="E586" i="7"/>
  <c r="E632" i="7"/>
  <c r="E571" i="7"/>
  <c r="E603" i="7"/>
  <c r="E594" i="7"/>
  <c r="E615" i="7"/>
  <c r="E596" i="7"/>
  <c r="E608" i="7"/>
  <c r="E587" i="7"/>
  <c r="E540" i="7"/>
  <c r="E567" i="7"/>
  <c r="E550" i="7"/>
  <c r="K626" i="7"/>
  <c r="K554" i="7"/>
  <c r="K603" i="7"/>
  <c r="K579" i="7"/>
  <c r="K537" i="7"/>
  <c r="K576" i="7"/>
  <c r="J571" i="7"/>
  <c r="J627" i="7"/>
  <c r="J585" i="7"/>
  <c r="J626" i="7"/>
  <c r="J547" i="7"/>
  <c r="J586" i="7"/>
  <c r="E606" i="7"/>
  <c r="E555" i="7"/>
  <c r="K539" i="7"/>
  <c r="K610" i="7"/>
  <c r="K542" i="7"/>
  <c r="K599" i="7"/>
  <c r="K614" i="7"/>
  <c r="K541" i="7"/>
  <c r="K627" i="7"/>
  <c r="J574" i="7"/>
  <c r="J629" i="7"/>
  <c r="J596" i="7"/>
  <c r="J598" i="7"/>
  <c r="J616" i="7"/>
  <c r="J568" i="7"/>
  <c r="E625" i="7"/>
  <c r="E590" i="7"/>
  <c r="K562" i="7"/>
  <c r="K540" i="7"/>
  <c r="K538" i="7"/>
  <c r="K624" i="7"/>
  <c r="K551" i="7"/>
  <c r="K597" i="7"/>
  <c r="K590" i="7"/>
  <c r="J609" i="7"/>
  <c r="J570" i="7"/>
  <c r="J554" i="7"/>
  <c r="J583" i="7"/>
  <c r="J559" i="7"/>
  <c r="J621" i="7"/>
  <c r="E605" i="7"/>
  <c r="E554" i="7"/>
  <c r="K545" i="7"/>
  <c r="K549" i="7"/>
  <c r="K609" i="7"/>
  <c r="K631" i="7"/>
  <c r="K612" i="7"/>
  <c r="K570" i="7"/>
  <c r="J588" i="7"/>
  <c r="J604" i="7"/>
  <c r="J573" i="7"/>
  <c r="J564" i="7"/>
  <c r="J625" i="7"/>
  <c r="J587" i="7"/>
  <c r="D611" i="7"/>
  <c r="E549" i="7"/>
  <c r="E578" i="7"/>
  <c r="E624" i="7"/>
  <c r="E552" i="7"/>
  <c r="E561" i="7"/>
  <c r="E607" i="7"/>
  <c r="E575" i="7"/>
  <c r="E634" i="7"/>
  <c r="E601" i="7"/>
  <c r="E573" i="7"/>
  <c r="E631" i="7"/>
  <c r="E612" i="7"/>
  <c r="E541" i="7"/>
  <c r="E538" i="7"/>
  <c r="E636" i="7"/>
  <c r="E598" i="7"/>
  <c r="E609" i="7"/>
  <c r="E553" i="7"/>
  <c r="E572" i="7"/>
  <c r="K604" i="7"/>
  <c r="K574" i="7"/>
  <c r="K561" i="7"/>
  <c r="K602" i="7"/>
  <c r="K598" i="7"/>
  <c r="K611" i="7"/>
  <c r="K596" i="7"/>
  <c r="J542" i="7"/>
  <c r="J543" i="7"/>
  <c r="J633" i="7"/>
  <c r="J603" i="7"/>
  <c r="J581" i="7"/>
  <c r="J539" i="7"/>
  <c r="E617" i="7"/>
  <c r="E610" i="7"/>
  <c r="K586" i="7"/>
  <c r="K615" i="7"/>
  <c r="K591" i="7"/>
  <c r="K557" i="7"/>
  <c r="K573" i="7"/>
  <c r="K619" i="7"/>
  <c r="K637" i="7"/>
  <c r="J560" i="7"/>
  <c r="J557" i="7"/>
  <c r="J562" i="7"/>
  <c r="J613" i="7"/>
  <c r="J580" i="7"/>
  <c r="J594" i="7"/>
  <c r="E630" i="7"/>
  <c r="E611" i="7"/>
  <c r="K606" i="7"/>
  <c r="K593" i="7"/>
  <c r="K620" i="7"/>
  <c r="K630" i="7"/>
  <c r="K584" i="7"/>
  <c r="K616" i="7"/>
  <c r="J561" i="7"/>
  <c r="J611" i="7"/>
  <c r="J593" i="7"/>
  <c r="J632" i="7"/>
  <c r="J608" i="7"/>
  <c r="J548" i="7"/>
  <c r="J636" i="7"/>
  <c r="E556" i="7"/>
  <c r="K555" i="7"/>
  <c r="K595" i="7"/>
  <c r="K577" i="7"/>
  <c r="K613" i="7"/>
  <c r="K544" i="7"/>
  <c r="K592" i="7"/>
  <c r="J558" i="7"/>
  <c r="J612" i="7"/>
  <c r="J579" i="7"/>
  <c r="J618" i="7"/>
  <c r="J610" i="7"/>
  <c r="J630" i="7"/>
  <c r="E576" i="7"/>
  <c r="E559" i="7"/>
  <c r="E557" i="7"/>
  <c r="E588" i="7"/>
  <c r="E613" i="7"/>
  <c r="E582" i="7"/>
  <c r="E604" i="7"/>
  <c r="E595" i="7"/>
  <c r="E592" i="7"/>
  <c r="E543" i="7"/>
  <c r="E566" i="7"/>
  <c r="E599" i="7"/>
  <c r="E568" i="7"/>
  <c r="E621" i="7"/>
  <c r="E602" i="7"/>
  <c r="E542" i="7"/>
  <c r="E591" i="7"/>
  <c r="E546" i="7"/>
  <c r="E581" i="7"/>
  <c r="K563" i="7"/>
  <c r="K581" i="7"/>
  <c r="K575" i="7"/>
  <c r="K629" i="7"/>
  <c r="K578" i="7"/>
  <c r="K550" i="7"/>
  <c r="J619" i="7"/>
  <c r="J606" i="7"/>
  <c r="J556" i="7"/>
  <c r="J582" i="7"/>
  <c r="J592" i="7"/>
  <c r="J584" i="7"/>
  <c r="J614" i="7"/>
  <c r="E626" i="7"/>
  <c r="E589" i="7"/>
  <c r="K636" i="7"/>
  <c r="K564" i="7"/>
  <c r="K594" i="7"/>
  <c r="K634" i="7"/>
  <c r="K565" i="7"/>
  <c r="K582" i="7"/>
  <c r="J602" i="7"/>
  <c r="J540" i="7"/>
  <c r="J576" i="7"/>
  <c r="J615" i="7"/>
  <c r="J577" i="7"/>
  <c r="J591" i="7"/>
  <c r="J541" i="7"/>
  <c r="E614" i="7"/>
  <c r="E551" i="7"/>
  <c r="K632" i="7"/>
  <c r="K601" i="7"/>
  <c r="K559" i="7"/>
  <c r="K569" i="7"/>
  <c r="K547" i="7"/>
  <c r="K583" i="7"/>
  <c r="J555" i="7"/>
  <c r="J544" i="7"/>
  <c r="J538" i="7"/>
  <c r="J617" i="7"/>
  <c r="J553" i="7"/>
  <c r="J628" i="7"/>
  <c r="J637" i="7"/>
  <c r="E565" i="7"/>
  <c r="K558" i="7"/>
  <c r="K587" i="7"/>
  <c r="K633" i="7"/>
  <c r="K622" i="7"/>
  <c r="K560" i="7"/>
  <c r="K617" i="7"/>
  <c r="J566" i="7"/>
  <c r="J634" i="7"/>
  <c r="J624" i="7"/>
  <c r="J631" i="7"/>
  <c r="J572" i="7"/>
  <c r="J551" i="7"/>
  <c r="J565" i="7"/>
  <c r="D77" i="7"/>
  <c r="D78" i="7"/>
  <c r="D74" i="7"/>
  <c r="D76" i="7"/>
  <c r="D75" i="7"/>
  <c r="D79" i="7"/>
  <c r="D73" i="7"/>
  <c r="E73" i="7"/>
  <c r="J73" i="7"/>
  <c r="E75" i="7"/>
  <c r="J77" i="7"/>
  <c r="E74" i="7"/>
  <c r="D72" i="7"/>
  <c r="J78" i="7"/>
  <c r="E72" i="7"/>
  <c r="J72" i="7"/>
  <c r="E323" i="28"/>
  <c r="F323" i="28" s="1"/>
  <c r="E473" i="28"/>
  <c r="F473" i="28" s="1"/>
  <c r="E424" i="28"/>
  <c r="F424" i="28" s="1"/>
  <c r="E423" i="28"/>
  <c r="F423" i="28" s="1"/>
  <c r="E490" i="28"/>
  <c r="F490" i="28" s="1"/>
  <c r="E524" i="28"/>
  <c r="F524" i="28" s="1"/>
  <c r="E462" i="28"/>
  <c r="F462" i="28" s="1"/>
  <c r="E322" i="28"/>
  <c r="F322" i="28" s="1"/>
  <c r="E402" i="28"/>
  <c r="F402" i="28" s="1"/>
  <c r="E399" i="28"/>
  <c r="F399" i="28" s="1"/>
  <c r="E342" i="28"/>
  <c r="F342" i="28" s="1"/>
  <c r="E338" i="28"/>
  <c r="F338" i="28" s="1"/>
  <c r="E214" i="28"/>
  <c r="F214" i="28" s="1"/>
  <c r="E354" i="28"/>
  <c r="F354" i="28" s="1"/>
  <c r="E487" i="28"/>
  <c r="F487" i="28" s="1"/>
  <c r="E504" i="28"/>
  <c r="F504" i="28" s="1"/>
  <c r="E436" i="28"/>
  <c r="F436" i="28" s="1"/>
  <c r="E329" i="28"/>
  <c r="F329" i="28" s="1"/>
  <c r="E358" i="28"/>
  <c r="F358" i="28" s="1"/>
  <c r="E439" i="28"/>
  <c r="F439" i="28" s="1"/>
  <c r="E367" i="28"/>
  <c r="F367" i="28" s="1"/>
  <c r="E295" i="28"/>
  <c r="F295" i="28" s="1"/>
  <c r="E457" i="28"/>
  <c r="F457" i="28" s="1"/>
  <c r="E425" i="28"/>
  <c r="F425" i="28" s="1"/>
  <c r="F536" i="28"/>
  <c r="E461" i="28"/>
  <c r="F461" i="28" s="1"/>
  <c r="E266" i="28"/>
  <c r="F266" i="28" s="1"/>
  <c r="E385" i="28"/>
  <c r="F385" i="28" s="1"/>
  <c r="E431" i="28"/>
  <c r="F431" i="28" s="1"/>
  <c r="E335" i="28"/>
  <c r="F335" i="28" s="1"/>
  <c r="E341" i="28"/>
  <c r="F341" i="28" s="1"/>
  <c r="E387" i="28"/>
  <c r="F387" i="28" s="1"/>
  <c r="E426" i="28"/>
  <c r="F426" i="28" s="1"/>
  <c r="E483" i="28"/>
  <c r="F483" i="28" s="1"/>
  <c r="E481" i="28"/>
  <c r="F481" i="28" s="1"/>
  <c r="E298" i="28"/>
  <c r="F298" i="28" s="1"/>
  <c r="E414" i="28"/>
  <c r="F414" i="28" s="1"/>
  <c r="F545" i="28"/>
  <c r="E472" i="28"/>
  <c r="F472" i="28" s="1"/>
  <c r="E518" i="28"/>
  <c r="F518" i="28" s="1"/>
  <c r="E284" i="28"/>
  <c r="F284" i="28" s="1"/>
  <c r="E388" i="28"/>
  <c r="F388" i="28" s="1"/>
  <c r="F560" i="28"/>
  <c r="E470" i="28"/>
  <c r="F470" i="28" s="1"/>
  <c r="E79" i="7"/>
  <c r="E76" i="7"/>
  <c r="E348" i="28"/>
  <c r="F348" i="28" s="1"/>
  <c r="E365" i="28"/>
  <c r="F365" i="28" s="1"/>
  <c r="E422" i="28"/>
  <c r="F422" i="28" s="1"/>
  <c r="E278" i="28"/>
  <c r="F278" i="28" s="1"/>
  <c r="F538" i="28"/>
  <c r="E345" i="28"/>
  <c r="F345" i="28" s="1"/>
  <c r="E437" i="28"/>
  <c r="F437" i="28" s="1"/>
  <c r="F541" i="28"/>
  <c r="E389" i="28"/>
  <c r="F389" i="28" s="1"/>
  <c r="E395" i="28"/>
  <c r="F395" i="28" s="1"/>
  <c r="E427" i="28"/>
  <c r="F427" i="28" s="1"/>
  <c r="E521" i="28"/>
  <c r="F521" i="28" s="1"/>
  <c r="E397" i="28"/>
  <c r="F397" i="28" s="1"/>
  <c r="E384" i="28"/>
  <c r="F384" i="28" s="1"/>
  <c r="E501" i="28"/>
  <c r="F501" i="28" s="1"/>
  <c r="E275" i="28"/>
  <c r="F275" i="28" s="1"/>
  <c r="E299" i="28"/>
  <c r="F299" i="28" s="1"/>
  <c r="E340" i="28"/>
  <c r="F340" i="28" s="1"/>
  <c r="E337" i="28"/>
  <c r="F337" i="28" s="1"/>
  <c r="E449" i="28"/>
  <c r="F449" i="28" s="1"/>
  <c r="E375" i="28"/>
  <c r="F375" i="28" s="1"/>
  <c r="E316" i="28"/>
  <c r="F316" i="28" s="1"/>
  <c r="E416" i="28"/>
  <c r="F416" i="28" s="1"/>
  <c r="E471" i="28"/>
  <c r="F471" i="28" s="1"/>
  <c r="E325" i="28"/>
  <c r="F325" i="28" s="1"/>
  <c r="E287" i="28"/>
  <c r="F287" i="28" s="1"/>
  <c r="E440" i="28"/>
  <c r="F440" i="28" s="1"/>
  <c r="E485" i="28"/>
  <c r="F485" i="28" s="1"/>
  <c r="E500" i="28"/>
  <c r="F500" i="28" s="1"/>
  <c r="E321" i="28"/>
  <c r="F321" i="28" s="1"/>
  <c r="E403" i="28"/>
  <c r="F403" i="28" s="1"/>
  <c r="E362" i="28"/>
  <c r="F362" i="28" s="1"/>
  <c r="F559" i="28"/>
  <c r="E448" i="28"/>
  <c r="F448" i="28" s="1"/>
  <c r="E303" i="28"/>
  <c r="F303" i="28" s="1"/>
  <c r="E377" i="28"/>
  <c r="F377" i="28" s="1"/>
  <c r="F542" i="28"/>
  <c r="E271" i="28"/>
  <c r="F271" i="28" s="1"/>
  <c r="E289" i="28"/>
  <c r="F289" i="28" s="1"/>
  <c r="E374" i="28"/>
  <c r="F374" i="28" s="1"/>
  <c r="E502" i="28"/>
  <c r="F502" i="28" s="1"/>
  <c r="E489" i="28"/>
  <c r="F489" i="28" s="1"/>
  <c r="E493" i="28"/>
  <c r="F493" i="28" s="1"/>
  <c r="E300" i="28"/>
  <c r="F300" i="28" s="1"/>
  <c r="E330" i="28"/>
  <c r="F330" i="28" s="1"/>
  <c r="F550" i="28"/>
  <c r="E280" i="28"/>
  <c r="F280" i="28" s="1"/>
  <c r="E373" i="28"/>
  <c r="F373" i="28" s="1"/>
  <c r="E368" i="28"/>
  <c r="F368" i="28" s="1"/>
  <c r="J79" i="7"/>
  <c r="J74" i="7"/>
  <c r="F551" i="28"/>
  <c r="F549" i="28"/>
  <c r="E349" i="28"/>
  <c r="F349" i="28" s="1"/>
  <c r="E415" i="28"/>
  <c r="F415" i="28" s="1"/>
  <c r="E406" i="28"/>
  <c r="F406" i="28" s="1"/>
  <c r="E302" i="28"/>
  <c r="F302" i="28" s="1"/>
  <c r="E336" i="28"/>
  <c r="F336" i="28" s="1"/>
  <c r="E476" i="28"/>
  <c r="F476" i="28" s="1"/>
  <c r="E312" i="28"/>
  <c r="F312" i="28" s="1"/>
  <c r="E495" i="28"/>
  <c r="F495" i="28" s="1"/>
  <c r="E467" i="28"/>
  <c r="F467" i="28" s="1"/>
  <c r="E294" i="28"/>
  <c r="F294" i="28" s="1"/>
  <c r="E326" i="28"/>
  <c r="F326" i="28" s="1"/>
  <c r="E479" i="28"/>
  <c r="F479" i="28" s="1"/>
  <c r="E434" i="28"/>
  <c r="F434" i="28" s="1"/>
  <c r="E370" i="28"/>
  <c r="F370" i="28" s="1"/>
  <c r="F561" i="28"/>
  <c r="E292" i="28"/>
  <c r="F292" i="28" s="1"/>
  <c r="E494" i="28"/>
  <c r="F494" i="28" s="1"/>
  <c r="E379" i="28"/>
  <c r="F379" i="28" s="1"/>
  <c r="E418" i="28"/>
  <c r="F418" i="28" s="1"/>
  <c r="E314" i="28"/>
  <c r="F314" i="28" s="1"/>
  <c r="E522" i="28"/>
  <c r="F522" i="28" s="1"/>
  <c r="E310" i="28"/>
  <c r="F310" i="28" s="1"/>
  <c r="E378" i="28"/>
  <c r="F378" i="28" s="1"/>
  <c r="E492" i="28"/>
  <c r="F492" i="28" s="1"/>
  <c r="E267" i="28"/>
  <c r="F267" i="28" s="1"/>
  <c r="E291" i="28"/>
  <c r="F291" i="28" s="1"/>
  <c r="E351" i="28"/>
  <c r="F351" i="28" s="1"/>
  <c r="E528" i="28"/>
  <c r="F528" i="28" s="1"/>
  <c r="E286" i="28"/>
  <c r="F286" i="28" s="1"/>
  <c r="E320" i="28"/>
  <c r="F320" i="28" s="1"/>
  <c r="E532" i="28"/>
  <c r="F532" i="28" s="1"/>
  <c r="E405" i="28"/>
  <c r="F405" i="28" s="1"/>
  <c r="E419" i="28"/>
  <c r="F419" i="28" s="1"/>
  <c r="F546" i="28"/>
  <c r="E334" i="28"/>
  <c r="F334" i="28" s="1"/>
  <c r="E530" i="28"/>
  <c r="F530" i="28" s="1"/>
  <c r="E392" i="28"/>
  <c r="F392" i="28" s="1"/>
  <c r="E315" i="28"/>
  <c r="F315" i="28" s="1"/>
  <c r="E516" i="28"/>
  <c r="F516" i="28" s="1"/>
  <c r="E394" i="28"/>
  <c r="F394" i="28" s="1"/>
  <c r="E438" i="28"/>
  <c r="F438" i="28" s="1"/>
  <c r="E401" i="28"/>
  <c r="F401" i="28" s="1"/>
  <c r="E363" i="28"/>
  <c r="F363" i="28" s="1"/>
  <c r="E78" i="7"/>
  <c r="J75" i="7"/>
  <c r="AC547" i="29"/>
  <c r="T547" i="29"/>
  <c r="W547" i="29"/>
  <c r="AF547" i="29"/>
  <c r="Z547" i="29"/>
  <c r="AA547" i="29" l="1"/>
  <c r="AB547" i="29" s="1"/>
  <c r="AG547" i="29"/>
  <c r="AH547" i="29" s="1"/>
  <c r="X547" i="29"/>
  <c r="Y547" i="29" s="1"/>
  <c r="U547" i="29"/>
  <c r="V547" i="29" s="1"/>
  <c r="AD547" i="29"/>
  <c r="AE547" i="29" s="1"/>
  <c r="H15" i="30"/>
  <c r="AB15" i="30"/>
  <c r="AE15" i="30"/>
  <c r="Z15" i="30"/>
  <c r="I150" i="7"/>
  <c r="G127" i="7"/>
  <c r="G150" i="7"/>
  <c r="I135" i="7"/>
  <c r="I127" i="7"/>
  <c r="I131" i="7"/>
  <c r="F100" i="7"/>
  <c r="I213" i="7"/>
  <c r="G164" i="7"/>
  <c r="G213" i="7"/>
  <c r="F185" i="7"/>
  <c r="F87" i="7"/>
  <c r="F158" i="7"/>
  <c r="F236" i="7"/>
  <c r="F178" i="7"/>
  <c r="F214" i="7"/>
  <c r="F193" i="7"/>
  <c r="F163" i="7"/>
  <c r="F125" i="7"/>
  <c r="F231" i="7"/>
  <c r="F170" i="7"/>
  <c r="F207" i="7"/>
  <c r="F187" i="7"/>
  <c r="I164" i="7"/>
  <c r="F239" i="7"/>
  <c r="F202" i="7"/>
  <c r="F136" i="7"/>
  <c r="F256" i="7"/>
  <c r="F230" i="7"/>
  <c r="F228" i="7"/>
  <c r="F175" i="7"/>
  <c r="F159" i="7"/>
  <c r="F153" i="7"/>
  <c r="F257" i="7"/>
  <c r="I123" i="7"/>
  <c r="F147" i="7"/>
  <c r="G123" i="7"/>
  <c r="J123" i="7"/>
  <c r="F144" i="7"/>
  <c r="K123" i="7"/>
  <c r="E123" i="7"/>
  <c r="H123" i="7"/>
  <c r="D123" i="7"/>
  <c r="F224" i="7"/>
  <c r="F225" i="7"/>
  <c r="F142" i="7"/>
  <c r="F71" i="7"/>
  <c r="I223" i="7"/>
  <c r="F251" i="7"/>
  <c r="F243" i="7"/>
  <c r="D223" i="7"/>
  <c r="F250" i="7"/>
  <c r="E263" i="7"/>
  <c r="F263" i="7" s="1"/>
  <c r="E255" i="7"/>
  <c r="F255" i="7" s="1"/>
  <c r="I263" i="7"/>
  <c r="I255" i="7"/>
  <c r="H90" i="7"/>
  <c r="H255" i="7"/>
  <c r="K90" i="7"/>
  <c r="K255" i="7"/>
  <c r="J263" i="7"/>
  <c r="J255" i="7"/>
  <c r="G90" i="7"/>
  <c r="G255" i="7"/>
  <c r="F191" i="7"/>
  <c r="G15" i="30"/>
  <c r="F138" i="7"/>
  <c r="F235" i="7"/>
  <c r="F169" i="7"/>
  <c r="F180" i="7"/>
  <c r="F148" i="7"/>
  <c r="F192" i="7"/>
  <c r="I90" i="7"/>
  <c r="J90" i="7"/>
  <c r="E90" i="7"/>
  <c r="H262" i="7"/>
  <c r="H263" i="7"/>
  <c r="K262" i="7"/>
  <c r="K263" i="7"/>
  <c r="G262" i="7"/>
  <c r="G263" i="7"/>
  <c r="AA76" i="7"/>
  <c r="X78" i="7"/>
  <c r="Z631" i="7"/>
  <c r="AA617" i="7"/>
  <c r="X551" i="7"/>
  <c r="X653" i="7"/>
  <c r="Z687" i="7"/>
  <c r="AA710" i="7"/>
  <c r="AA339" i="7"/>
  <c r="Z405" i="7"/>
  <c r="X513" i="7"/>
  <c r="I262" i="7"/>
  <c r="W75" i="7"/>
  <c r="F75" i="7"/>
  <c r="AA587" i="7"/>
  <c r="X626" i="7"/>
  <c r="X591" i="7"/>
  <c r="X576" i="7"/>
  <c r="Z608" i="7"/>
  <c r="Z562" i="7"/>
  <c r="Z543" i="7"/>
  <c r="X612" i="7"/>
  <c r="Z573" i="7"/>
  <c r="Z609" i="7"/>
  <c r="AA627" i="7"/>
  <c r="Z75" i="7"/>
  <c r="X79" i="7"/>
  <c r="F72" i="7"/>
  <c r="W62" i="7"/>
  <c r="W19" i="7"/>
  <c r="W41" i="7"/>
  <c r="W29" i="7"/>
  <c r="W51" i="7"/>
  <c r="W59" i="7"/>
  <c r="W49" i="7"/>
  <c r="W23" i="7"/>
  <c r="W57" i="7"/>
  <c r="W20" i="7"/>
  <c r="W31" i="7"/>
  <c r="W61" i="7"/>
  <c r="W52" i="7"/>
  <c r="W56" i="7"/>
  <c r="W66" i="7"/>
  <c r="W11" i="7"/>
  <c r="W69" i="7"/>
  <c r="W15" i="7"/>
  <c r="W34" i="7"/>
  <c r="W18" i="7"/>
  <c r="W68" i="7"/>
  <c r="W8" i="7"/>
  <c r="W36" i="7"/>
  <c r="W72" i="7"/>
  <c r="W44" i="7"/>
  <c r="W17" i="7"/>
  <c r="W38" i="7"/>
  <c r="W43" i="7"/>
  <c r="W70" i="7"/>
  <c r="W9" i="7"/>
  <c r="W14" i="7"/>
  <c r="W16" i="7"/>
  <c r="W25" i="7"/>
  <c r="W10" i="7"/>
  <c r="W35" i="7"/>
  <c r="W12" i="7"/>
  <c r="W48" i="7"/>
  <c r="W46" i="7"/>
  <c r="W30" i="7"/>
  <c r="W40" i="7"/>
  <c r="W21" i="7"/>
  <c r="W71" i="7"/>
  <c r="W39" i="7"/>
  <c r="W54" i="7"/>
  <c r="W22" i="7"/>
  <c r="W53" i="7"/>
  <c r="W47" i="7"/>
  <c r="W55" i="7"/>
  <c r="W26" i="7"/>
  <c r="W28" i="7"/>
  <c r="W45" i="7"/>
  <c r="W13" i="7"/>
  <c r="W50" i="7"/>
  <c r="W65" i="7"/>
  <c r="W33" i="7"/>
  <c r="W60" i="7"/>
  <c r="W37" i="7"/>
  <c r="W67" i="7"/>
  <c r="W27" i="7"/>
  <c r="W64" i="7"/>
  <c r="W42" i="7"/>
  <c r="W7" i="7"/>
  <c r="W32" i="7"/>
  <c r="W63" i="7"/>
  <c r="W24" i="7"/>
  <c r="W58" i="7"/>
  <c r="X75" i="7"/>
  <c r="W79" i="7"/>
  <c r="F79" i="7"/>
  <c r="W78" i="7"/>
  <c r="F78" i="7"/>
  <c r="Z572" i="7"/>
  <c r="Z566" i="7"/>
  <c r="AA633" i="7"/>
  <c r="Z637" i="7"/>
  <c r="Z538" i="7"/>
  <c r="AA547" i="7"/>
  <c r="AA632" i="7"/>
  <c r="Z591" i="7"/>
  <c r="Z540" i="7"/>
  <c r="AA634" i="7"/>
  <c r="X589" i="7"/>
  <c r="Z592" i="7"/>
  <c r="Z619" i="7"/>
  <c r="AA575" i="7"/>
  <c r="X546" i="7"/>
  <c r="X621" i="7"/>
  <c r="X543" i="7"/>
  <c r="X582" i="7"/>
  <c r="X559" i="7"/>
  <c r="Z618" i="7"/>
  <c r="AA592" i="7"/>
  <c r="AA595" i="7"/>
  <c r="Z548" i="7"/>
  <c r="Z611" i="7"/>
  <c r="AA630" i="7"/>
  <c r="X611" i="7"/>
  <c r="Z613" i="7"/>
  <c r="AA637" i="7"/>
  <c r="AA591" i="7"/>
  <c r="X617" i="7"/>
  <c r="Z633" i="7"/>
  <c r="AA611" i="7"/>
  <c r="AA574" i="7"/>
  <c r="X609" i="7"/>
  <c r="X541" i="7"/>
  <c r="X601" i="7"/>
  <c r="X561" i="7"/>
  <c r="X549" i="7"/>
  <c r="Z564" i="7"/>
  <c r="AA570" i="7"/>
  <c r="AA549" i="7"/>
  <c r="Z621" i="7"/>
  <c r="Z570" i="7"/>
  <c r="AA551" i="7"/>
  <c r="AA562" i="7"/>
  <c r="Z616" i="7"/>
  <c r="Z574" i="7"/>
  <c r="AA599" i="7"/>
  <c r="X555" i="7"/>
  <c r="Z626" i="7"/>
  <c r="AA576" i="7"/>
  <c r="AA554" i="7"/>
  <c r="X540" i="7"/>
  <c r="X615" i="7"/>
  <c r="X632" i="7"/>
  <c r="X547" i="7"/>
  <c r="X570" i="7"/>
  <c r="Z600" i="7"/>
  <c r="AA618" i="7"/>
  <c r="AA588" i="7"/>
  <c r="Z537" i="7"/>
  <c r="Z597" i="7"/>
  <c r="AA589" i="7"/>
  <c r="X637" i="7"/>
  <c r="Z546" i="7"/>
  <c r="Z590" i="7"/>
  <c r="AA546" i="7"/>
  <c r="X619" i="7"/>
  <c r="Z605" i="7"/>
  <c r="AA543" i="7"/>
  <c r="AA553" i="7"/>
  <c r="X563" i="7"/>
  <c r="Z73" i="7"/>
  <c r="AA569" i="7"/>
  <c r="AA594" i="7"/>
  <c r="AA581" i="7"/>
  <c r="X613" i="7"/>
  <c r="AA555" i="7"/>
  <c r="X630" i="7"/>
  <c r="Z539" i="7"/>
  <c r="X598" i="7"/>
  <c r="F611" i="7"/>
  <c r="W611" i="7"/>
  <c r="Z559" i="7"/>
  <c r="Z598" i="7"/>
  <c r="Z585" i="7"/>
  <c r="X587" i="7"/>
  <c r="X616" i="7"/>
  <c r="AA635" i="7"/>
  <c r="Z620" i="7"/>
  <c r="Z550" i="7"/>
  <c r="X620" i="7"/>
  <c r="Z578" i="7"/>
  <c r="AA568" i="7"/>
  <c r="AA552" i="7"/>
  <c r="X635" i="7"/>
  <c r="X584" i="7"/>
  <c r="X558" i="7"/>
  <c r="X569" i="7"/>
  <c r="X583" i="7"/>
  <c r="F591" i="7"/>
  <c r="W591" i="7"/>
  <c r="F557" i="7"/>
  <c r="W557" i="7"/>
  <c r="F595" i="7"/>
  <c r="W595" i="7"/>
  <c r="F612" i="7"/>
  <c r="W612" i="7"/>
  <c r="F634" i="7"/>
  <c r="W634" i="7"/>
  <c r="F599" i="7"/>
  <c r="W599" i="7"/>
  <c r="F597" i="7"/>
  <c r="W597" i="7"/>
  <c r="F606" i="7"/>
  <c r="W606" i="7"/>
  <c r="F620" i="7"/>
  <c r="W620" i="7"/>
  <c r="F555" i="7"/>
  <c r="W555" i="7"/>
  <c r="F609" i="7"/>
  <c r="W609" i="7"/>
  <c r="F610" i="7"/>
  <c r="W610" i="7"/>
  <c r="F561" i="7"/>
  <c r="W561" i="7"/>
  <c r="F607" i="7"/>
  <c r="W607" i="7"/>
  <c r="F624" i="7"/>
  <c r="W624" i="7"/>
  <c r="W633" i="7"/>
  <c r="F633" i="7"/>
  <c r="F553" i="7"/>
  <c r="W553" i="7"/>
  <c r="F585" i="7"/>
  <c r="W585" i="7"/>
  <c r="W551" i="7"/>
  <c r="F551" i="7"/>
  <c r="F549" i="7"/>
  <c r="W549" i="7"/>
  <c r="F583" i="7"/>
  <c r="W583" i="7"/>
  <c r="F627" i="7"/>
  <c r="W627" i="7"/>
  <c r="F558" i="7"/>
  <c r="W558" i="7"/>
  <c r="F622" i="7"/>
  <c r="W622" i="7"/>
  <c r="F566" i="7"/>
  <c r="W566" i="7"/>
  <c r="X671" i="7"/>
  <c r="X682" i="7"/>
  <c r="X697" i="7"/>
  <c r="X698" i="7"/>
  <c r="X715" i="7"/>
  <c r="X752" i="7"/>
  <c r="X649" i="7"/>
  <c r="X681" i="7"/>
  <c r="X747" i="7"/>
  <c r="Z710" i="7"/>
  <c r="AA679" i="7"/>
  <c r="Z732" i="7"/>
  <c r="AA697" i="7"/>
  <c r="AA717" i="7"/>
  <c r="AA706" i="7"/>
  <c r="AA745" i="7"/>
  <c r="Z704" i="7"/>
  <c r="AA691" i="7"/>
  <c r="AA647" i="7"/>
  <c r="X730" i="7"/>
  <c r="X661" i="7"/>
  <c r="X683" i="7"/>
  <c r="Z760" i="7"/>
  <c r="X666" i="7"/>
  <c r="X750" i="7"/>
  <c r="Z674" i="7"/>
  <c r="Z700" i="7"/>
  <c r="X678" i="7"/>
  <c r="X717" i="7"/>
  <c r="Z739" i="7"/>
  <c r="Z756" i="7"/>
  <c r="AA730" i="7"/>
  <c r="AA646" i="7"/>
  <c r="Z656" i="7"/>
  <c r="AA712" i="7"/>
  <c r="AA673" i="7"/>
  <c r="Z750" i="7"/>
  <c r="AA662" i="7"/>
  <c r="AA657" i="7"/>
  <c r="Z664" i="7"/>
  <c r="Z21" i="7"/>
  <c r="Z34" i="7"/>
  <c r="Z35" i="7"/>
  <c r="Z64" i="7"/>
  <c r="Z43" i="7"/>
  <c r="Z71" i="7"/>
  <c r="Z72" i="7"/>
  <c r="Z48" i="7"/>
  <c r="Z27" i="7"/>
  <c r="Z38" i="7"/>
  <c r="Z70" i="7"/>
  <c r="Z65" i="7"/>
  <c r="Z68" i="7"/>
  <c r="Z20" i="7"/>
  <c r="Z25" i="7"/>
  <c r="Z18" i="7"/>
  <c r="Z42" i="7"/>
  <c r="Z13" i="7"/>
  <c r="Z17" i="7"/>
  <c r="Z11" i="7"/>
  <c r="Z30" i="7"/>
  <c r="Z61" i="7"/>
  <c r="Z36" i="7"/>
  <c r="Z47" i="7"/>
  <c r="Z40" i="7"/>
  <c r="Z41" i="7"/>
  <c r="Z39" i="7"/>
  <c r="Z44" i="7"/>
  <c r="Z66" i="7"/>
  <c r="Z54" i="7"/>
  <c r="Z22" i="7"/>
  <c r="Z60" i="7"/>
  <c r="Z49" i="7"/>
  <c r="Z45" i="7"/>
  <c r="Z59" i="7"/>
  <c r="Z9" i="7"/>
  <c r="Z32" i="7"/>
  <c r="Z26" i="7"/>
  <c r="Z8" i="7"/>
  <c r="Z14" i="7"/>
  <c r="Z62" i="7"/>
  <c r="Z23" i="7"/>
  <c r="Z33" i="7"/>
  <c r="Z69" i="7"/>
  <c r="Z53" i="7"/>
  <c r="Z19" i="7"/>
  <c r="Z67" i="7"/>
  <c r="Z63" i="7"/>
  <c r="Z55" i="7"/>
  <c r="Z46" i="7"/>
  <c r="Z50" i="7"/>
  <c r="Z52" i="7"/>
  <c r="Z16" i="7"/>
  <c r="Z15" i="7"/>
  <c r="Z24" i="7"/>
  <c r="Z29" i="7"/>
  <c r="Z12" i="7"/>
  <c r="Z31" i="7"/>
  <c r="Z37" i="7"/>
  <c r="Z7" i="7"/>
  <c r="Z51" i="7"/>
  <c r="Z57" i="7"/>
  <c r="Z28" i="7"/>
  <c r="Z58" i="7"/>
  <c r="Z10" i="7"/>
  <c r="Z56" i="7"/>
  <c r="Z544" i="7"/>
  <c r="Z577" i="7"/>
  <c r="AA550" i="7"/>
  <c r="X568" i="7"/>
  <c r="AA544" i="7"/>
  <c r="AA620" i="7"/>
  <c r="AA619" i="7"/>
  <c r="AA598" i="7"/>
  <c r="X634" i="7"/>
  <c r="AA545" i="7"/>
  <c r="AA624" i="7"/>
  <c r="X606" i="7"/>
  <c r="AA626" i="7"/>
  <c r="X586" i="7"/>
  <c r="Z623" i="7"/>
  <c r="AA608" i="7"/>
  <c r="AA548" i="7"/>
  <c r="AA571" i="7"/>
  <c r="X10" i="7"/>
  <c r="X35" i="7"/>
  <c r="X34" i="7"/>
  <c r="X32" i="7"/>
  <c r="X12" i="7"/>
  <c r="X62" i="7"/>
  <c r="X67" i="7"/>
  <c r="X71" i="7"/>
  <c r="X38" i="7"/>
  <c r="X17" i="7"/>
  <c r="X29" i="7"/>
  <c r="X27" i="7"/>
  <c r="X44" i="7"/>
  <c r="X26" i="7"/>
  <c r="X30" i="7"/>
  <c r="X16" i="7"/>
  <c r="X54" i="7"/>
  <c r="X33" i="7"/>
  <c r="X50" i="7"/>
  <c r="X53" i="7"/>
  <c r="X11" i="7"/>
  <c r="X61" i="7"/>
  <c r="X25" i="7"/>
  <c r="X49" i="7"/>
  <c r="X14" i="7"/>
  <c r="X52" i="7"/>
  <c r="X8" i="7"/>
  <c r="X51" i="7"/>
  <c r="X23" i="7"/>
  <c r="X60" i="7"/>
  <c r="X39" i="7"/>
  <c r="X43" i="7"/>
  <c r="X41" i="7"/>
  <c r="X65" i="7"/>
  <c r="X28" i="7"/>
  <c r="X24" i="7"/>
  <c r="X70" i="7"/>
  <c r="X55" i="7"/>
  <c r="X22" i="7"/>
  <c r="X72" i="7"/>
  <c r="X31" i="7"/>
  <c r="X36" i="7"/>
  <c r="X48" i="7"/>
  <c r="X45" i="7"/>
  <c r="X19" i="7"/>
  <c r="X59" i="7"/>
  <c r="X58" i="7"/>
  <c r="X13" i="7"/>
  <c r="X15" i="7"/>
  <c r="X7" i="7"/>
  <c r="X46" i="7"/>
  <c r="X37" i="7"/>
  <c r="X9" i="7"/>
  <c r="X56" i="7"/>
  <c r="X57" i="7"/>
  <c r="X47" i="7"/>
  <c r="X21" i="7"/>
  <c r="X66" i="7"/>
  <c r="X69" i="7"/>
  <c r="X42" i="7"/>
  <c r="X64" i="7"/>
  <c r="X68" i="7"/>
  <c r="X20" i="7"/>
  <c r="X40" i="7"/>
  <c r="X63" i="7"/>
  <c r="X18" i="7"/>
  <c r="X77" i="7"/>
  <c r="Z77" i="7"/>
  <c r="X73" i="7"/>
  <c r="W76" i="7"/>
  <c r="F76" i="7"/>
  <c r="Z565" i="7"/>
  <c r="Z624" i="7"/>
  <c r="AA560" i="7"/>
  <c r="AA558" i="7"/>
  <c r="Z553" i="7"/>
  <c r="Z555" i="7"/>
  <c r="AA559" i="7"/>
  <c r="X614" i="7"/>
  <c r="Z615" i="7"/>
  <c r="AA582" i="7"/>
  <c r="AA564" i="7"/>
  <c r="Z614" i="7"/>
  <c r="Z556" i="7"/>
  <c r="AA578" i="7"/>
  <c r="AA563" i="7"/>
  <c r="X542" i="7"/>
  <c r="X599" i="7"/>
  <c r="X595" i="7"/>
  <c r="X588" i="7"/>
  <c r="Z630" i="7"/>
  <c r="Z612" i="7"/>
  <c r="AA613" i="7"/>
  <c r="X556" i="7"/>
  <c r="Z632" i="7"/>
  <c r="AA616" i="7"/>
  <c r="AA593" i="7"/>
  <c r="Z594" i="7"/>
  <c r="Z557" i="7"/>
  <c r="AA573" i="7"/>
  <c r="AA586" i="7"/>
  <c r="Z581" i="7"/>
  <c r="Z542" i="7"/>
  <c r="AA602" i="7"/>
  <c r="X572" i="7"/>
  <c r="X636" i="7"/>
  <c r="X631" i="7"/>
  <c r="X575" i="7"/>
  <c r="X624" i="7"/>
  <c r="Z587" i="7"/>
  <c r="Z604" i="7"/>
  <c r="AA631" i="7"/>
  <c r="X554" i="7"/>
  <c r="Z583" i="7"/>
  <c r="AA590" i="7"/>
  <c r="AA538" i="7"/>
  <c r="X625" i="7"/>
  <c r="Z596" i="7"/>
  <c r="AA541" i="7"/>
  <c r="AA610" i="7"/>
  <c r="Z586" i="7"/>
  <c r="Z627" i="7"/>
  <c r="AA579" i="7"/>
  <c r="X550" i="7"/>
  <c r="X608" i="7"/>
  <c r="X603" i="7"/>
  <c r="X562" i="7"/>
  <c r="X577" i="7"/>
  <c r="Z569" i="7"/>
  <c r="Z595" i="7"/>
  <c r="AA607" i="7"/>
  <c r="AA623" i="7"/>
  <c r="Z549" i="7"/>
  <c r="AA556" i="7"/>
  <c r="AA605" i="7"/>
  <c r="X548" i="7"/>
  <c r="Z622" i="7"/>
  <c r="AA600" i="7"/>
  <c r="AA572" i="7"/>
  <c r="Z567" i="7"/>
  <c r="Z599" i="7"/>
  <c r="AA585" i="7"/>
  <c r="X633" i="7"/>
  <c r="X627" i="7"/>
  <c r="X629" i="7"/>
  <c r="X585" i="7"/>
  <c r="X574" i="7"/>
  <c r="F563" i="7"/>
  <c r="W563" i="7"/>
  <c r="X74" i="7"/>
  <c r="F77" i="7"/>
  <c r="W77" i="7"/>
  <c r="Z628" i="7"/>
  <c r="Z602" i="7"/>
  <c r="Z582" i="7"/>
  <c r="X592" i="7"/>
  <c r="Z579" i="7"/>
  <c r="Z561" i="7"/>
  <c r="AA615" i="7"/>
  <c r="AA604" i="7"/>
  <c r="X552" i="7"/>
  <c r="AA612" i="7"/>
  <c r="X590" i="7"/>
  <c r="AA542" i="7"/>
  <c r="AA537" i="7"/>
  <c r="X594" i="7"/>
  <c r="X537" i="7"/>
  <c r="Z589" i="7"/>
  <c r="X600" i="7"/>
  <c r="AA567" i="7"/>
  <c r="Z74" i="7"/>
  <c r="Z79" i="7"/>
  <c r="X76" i="7"/>
  <c r="Z78" i="7"/>
  <c r="W73" i="7"/>
  <c r="F73" i="7"/>
  <c r="W74" i="7"/>
  <c r="F74" i="7"/>
  <c r="Z551" i="7"/>
  <c r="Z634" i="7"/>
  <c r="AA622" i="7"/>
  <c r="X565" i="7"/>
  <c r="Z617" i="7"/>
  <c r="AA583" i="7"/>
  <c r="AA601" i="7"/>
  <c r="Z541" i="7"/>
  <c r="Z576" i="7"/>
  <c r="AA565" i="7"/>
  <c r="AA636" i="7"/>
  <c r="Z584" i="7"/>
  <c r="Z606" i="7"/>
  <c r="AA629" i="7"/>
  <c r="X581" i="7"/>
  <c r="X602" i="7"/>
  <c r="X566" i="7"/>
  <c r="X604" i="7"/>
  <c r="X557" i="7"/>
  <c r="Z610" i="7"/>
  <c r="Z558" i="7"/>
  <c r="AA577" i="7"/>
  <c r="Z636" i="7"/>
  <c r="Z593" i="7"/>
  <c r="AA584" i="7"/>
  <c r="AA606" i="7"/>
  <c r="Z580" i="7"/>
  <c r="Z560" i="7"/>
  <c r="AA557" i="7"/>
  <c r="X610" i="7"/>
  <c r="Z603" i="7"/>
  <c r="AA596" i="7"/>
  <c r="AA561" i="7"/>
  <c r="X553" i="7"/>
  <c r="X538" i="7"/>
  <c r="X573" i="7"/>
  <c r="X607" i="7"/>
  <c r="X578" i="7"/>
  <c r="Z625" i="7"/>
  <c r="Z588" i="7"/>
  <c r="AA609" i="7"/>
  <c r="X605" i="7"/>
  <c r="Z554" i="7"/>
  <c r="AA597" i="7"/>
  <c r="AA540" i="7"/>
  <c r="Z568" i="7"/>
  <c r="Z629" i="7"/>
  <c r="AA614" i="7"/>
  <c r="AA539" i="7"/>
  <c r="Z547" i="7"/>
  <c r="Z571" i="7"/>
  <c r="AA603" i="7"/>
  <c r="X567" i="7"/>
  <c r="X596" i="7"/>
  <c r="X571" i="7"/>
  <c r="X623" i="7"/>
  <c r="X628" i="7"/>
  <c r="Z601" i="7"/>
  <c r="AA714" i="7"/>
  <c r="AA703" i="7"/>
  <c r="X692" i="7"/>
  <c r="X739" i="7"/>
  <c r="X646" i="7"/>
  <c r="Z716" i="7"/>
  <c r="X675" i="7"/>
  <c r="X674" i="7"/>
  <c r="X743" i="7"/>
  <c r="Z650" i="7"/>
  <c r="X755" i="7"/>
  <c r="Z736" i="7"/>
  <c r="Z701" i="7"/>
  <c r="Z654" i="7"/>
  <c r="AA656" i="7"/>
  <c r="AA676" i="7"/>
  <c r="Z721" i="7"/>
  <c r="AA725" i="7"/>
  <c r="Z649" i="7"/>
  <c r="AA651" i="7"/>
  <c r="AA729" i="7"/>
  <c r="Z741" i="7"/>
  <c r="AA753" i="7"/>
  <c r="AA667" i="7"/>
  <c r="X693" i="7"/>
  <c r="X727" i="7"/>
  <c r="X716" i="7"/>
  <c r="X651" i="7"/>
  <c r="X738" i="7"/>
  <c r="X700" i="7"/>
  <c r="X724" i="7"/>
  <c r="Z679" i="7"/>
  <c r="X756" i="7"/>
  <c r="X662" i="7"/>
  <c r="Z675" i="7"/>
  <c r="Z670" i="7"/>
  <c r="AA664" i="7"/>
  <c r="AA669" i="7"/>
  <c r="Z718" i="7"/>
  <c r="AA654" i="7"/>
  <c r="AA713" i="7"/>
  <c r="Z715" i="7"/>
  <c r="AA659" i="7"/>
  <c r="AA645" i="7"/>
  <c r="Z643" i="7"/>
  <c r="AA746" i="7"/>
  <c r="AA750" i="7"/>
  <c r="F733" i="7"/>
  <c r="W733" i="7"/>
  <c r="W643" i="7"/>
  <c r="F643" i="7"/>
  <c r="F698" i="7"/>
  <c r="W698" i="7"/>
  <c r="F722" i="7"/>
  <c r="W722" i="7"/>
  <c r="F750" i="7"/>
  <c r="W750" i="7"/>
  <c r="F756" i="7"/>
  <c r="W756" i="7"/>
  <c r="F657" i="7"/>
  <c r="W657" i="7"/>
  <c r="F723" i="7"/>
  <c r="W723" i="7"/>
  <c r="F744" i="7"/>
  <c r="W744" i="7"/>
  <c r="F721" i="7"/>
  <c r="W721" i="7"/>
  <c r="F659" i="7"/>
  <c r="W659" i="7"/>
  <c r="F663" i="7"/>
  <c r="W663" i="7"/>
  <c r="F712" i="7"/>
  <c r="W712" i="7"/>
  <c r="F684" i="7"/>
  <c r="W684" i="7"/>
  <c r="F668" i="7"/>
  <c r="W668" i="7"/>
  <c r="F649" i="7"/>
  <c r="W649" i="7"/>
  <c r="F730" i="7"/>
  <c r="W730" i="7"/>
  <c r="F700" i="7"/>
  <c r="W700" i="7"/>
  <c r="F702" i="7"/>
  <c r="W702" i="7"/>
  <c r="F732" i="7"/>
  <c r="W732" i="7"/>
  <c r="F719" i="7"/>
  <c r="W719" i="7"/>
  <c r="F753" i="7"/>
  <c r="W753" i="7"/>
  <c r="F671" i="7"/>
  <c r="W671" i="7"/>
  <c r="F687" i="7"/>
  <c r="W687" i="7"/>
  <c r="F755" i="7"/>
  <c r="W755" i="7"/>
  <c r="F666" i="7"/>
  <c r="W666" i="7"/>
  <c r="F664" i="7"/>
  <c r="W664" i="7"/>
  <c r="F757" i="7"/>
  <c r="W757" i="7"/>
  <c r="F694" i="7"/>
  <c r="W694" i="7"/>
  <c r="F676" i="7"/>
  <c r="W676" i="7"/>
  <c r="AA513" i="7"/>
  <c r="AA473" i="7"/>
  <c r="AA486" i="7"/>
  <c r="AA405" i="7"/>
  <c r="AA349" i="7"/>
  <c r="AA398" i="7"/>
  <c r="AA441" i="7"/>
  <c r="AA531" i="7"/>
  <c r="AA464" i="7"/>
  <c r="AA400" i="7"/>
  <c r="AA399" i="7"/>
  <c r="AA382" i="7"/>
  <c r="AA427" i="7"/>
  <c r="AA370" i="7"/>
  <c r="AA383" i="7"/>
  <c r="AA442" i="7"/>
  <c r="AA324" i="7"/>
  <c r="AA319" i="7"/>
  <c r="AA340" i="7"/>
  <c r="AA407" i="7"/>
  <c r="AA515" i="7"/>
  <c r="AA435" i="7"/>
  <c r="Z474" i="7"/>
  <c r="Z360" i="7"/>
  <c r="Z381" i="7"/>
  <c r="AA446" i="7"/>
  <c r="AA530" i="7"/>
  <c r="AA364" i="7"/>
  <c r="AA341" i="7"/>
  <c r="Z326" i="7"/>
  <c r="AA419" i="7"/>
  <c r="AA375" i="7"/>
  <c r="Z351" i="7"/>
  <c r="Z480" i="7"/>
  <c r="AA501" i="7"/>
  <c r="AA504" i="7"/>
  <c r="Z413" i="7"/>
  <c r="Z411" i="7"/>
  <c r="X461" i="7"/>
  <c r="Z426" i="7"/>
  <c r="AA412" i="7"/>
  <c r="AA356" i="7"/>
  <c r="AA413" i="7"/>
  <c r="Z472" i="7"/>
  <c r="AA408" i="7"/>
  <c r="AA510" i="7"/>
  <c r="Z334" i="7"/>
  <c r="X322" i="7"/>
  <c r="AA476" i="7"/>
  <c r="AA511" i="7"/>
  <c r="Z406" i="7"/>
  <c r="AA466" i="7"/>
  <c r="AA351" i="7"/>
  <c r="AA311" i="7"/>
  <c r="Z428" i="7"/>
  <c r="Z389" i="7"/>
  <c r="X424" i="7"/>
  <c r="Z331" i="7"/>
  <c r="AA507" i="7"/>
  <c r="AA490" i="7"/>
  <c r="AA453" i="7"/>
  <c r="AA366" i="7"/>
  <c r="AA529" i="7"/>
  <c r="AA487" i="7"/>
  <c r="Z341" i="7"/>
  <c r="X443" i="7"/>
  <c r="Z497" i="7"/>
  <c r="X500" i="7"/>
  <c r="Z352" i="7"/>
  <c r="Z452" i="7"/>
  <c r="AA312" i="7"/>
  <c r="AA428" i="7"/>
  <c r="Z477" i="7"/>
  <c r="AA414" i="7"/>
  <c r="AA418" i="7"/>
  <c r="Z421" i="7"/>
  <c r="Z385" i="7"/>
  <c r="X506" i="7"/>
  <c r="Z368" i="7"/>
  <c r="AA479" i="7"/>
  <c r="Z490" i="7"/>
  <c r="AA447" i="7"/>
  <c r="Z407" i="7"/>
  <c r="Z402" i="7"/>
  <c r="X473" i="7"/>
  <c r="AA521" i="7"/>
  <c r="Z382" i="7"/>
  <c r="X365" i="7"/>
  <c r="Z488" i="7"/>
  <c r="Z464" i="7"/>
  <c r="X460" i="7"/>
  <c r="X437" i="7"/>
  <c r="Z395" i="7"/>
  <c r="X334" i="7"/>
  <c r="Z355" i="7"/>
  <c r="X505" i="7"/>
  <c r="X466" i="7"/>
  <c r="X410" i="7"/>
  <c r="X374" i="7"/>
  <c r="Z481" i="7"/>
  <c r="Z509" i="7"/>
  <c r="Z425" i="7"/>
  <c r="Z328" i="7"/>
  <c r="Z320" i="7"/>
  <c r="Z386" i="7"/>
  <c r="X321" i="7"/>
  <c r="AA397" i="7"/>
  <c r="Z427" i="7"/>
  <c r="X347" i="7"/>
  <c r="Z508" i="7"/>
  <c r="Z358" i="7"/>
  <c r="AA452" i="7"/>
  <c r="X463" i="7"/>
  <c r="Z367" i="7"/>
  <c r="X409" i="7"/>
  <c r="Z369" i="7"/>
  <c r="X431" i="7"/>
  <c r="X442" i="7"/>
  <c r="X487" i="7"/>
  <c r="X311" i="7"/>
  <c r="Z317" i="7"/>
  <c r="Z342" i="7"/>
  <c r="Z461" i="7"/>
  <c r="Z393" i="7"/>
  <c r="X403" i="7"/>
  <c r="Z399" i="7"/>
  <c r="X467" i="7"/>
  <c r="AA500" i="7"/>
  <c r="Z383" i="7"/>
  <c r="X381" i="7"/>
  <c r="Z415" i="7"/>
  <c r="Z437" i="7"/>
  <c r="AA474" i="7"/>
  <c r="X530" i="7"/>
  <c r="Z469" i="7"/>
  <c r="X313" i="7"/>
  <c r="Z504" i="7"/>
  <c r="X428" i="7"/>
  <c r="X484" i="7"/>
  <c r="X343" i="7"/>
  <c r="X425" i="7"/>
  <c r="Z322" i="7"/>
  <c r="AA327" i="7"/>
  <c r="Z460" i="7"/>
  <c r="AA416" i="7"/>
  <c r="Z484" i="7"/>
  <c r="Z373" i="7"/>
  <c r="X394" i="7"/>
  <c r="AA355" i="7"/>
  <c r="Z390" i="7"/>
  <c r="X389" i="7"/>
  <c r="Z374" i="7"/>
  <c r="Z479" i="7"/>
  <c r="X515" i="7"/>
  <c r="Z313" i="7"/>
  <c r="X401" i="7"/>
  <c r="X400" i="7"/>
  <c r="Z462" i="7"/>
  <c r="X371" i="7"/>
  <c r="X331" i="7"/>
  <c r="X338" i="7"/>
  <c r="X504" i="7"/>
  <c r="X494" i="7"/>
  <c r="F292" i="7"/>
  <c r="F279" i="7"/>
  <c r="F301" i="7"/>
  <c r="F289" i="7"/>
  <c r="F281" i="7"/>
  <c r="F287" i="7"/>
  <c r="F300" i="7"/>
  <c r="F286" i="7"/>
  <c r="F288" i="7"/>
  <c r="F398" i="7"/>
  <c r="W455" i="7"/>
  <c r="F479" i="7"/>
  <c r="W467" i="7"/>
  <c r="W442" i="7"/>
  <c r="F312" i="7"/>
  <c r="F362" i="7"/>
  <c r="W328" i="7"/>
  <c r="F327" i="7"/>
  <c r="W393" i="7"/>
  <c r="F325" i="7"/>
  <c r="W404" i="7"/>
  <c r="F392" i="7"/>
  <c r="W432" i="7"/>
  <c r="F506" i="7"/>
  <c r="W506" i="7"/>
  <c r="F467" i="7"/>
  <c r="W481" i="7"/>
  <c r="F322" i="7"/>
  <c r="W344" i="7"/>
  <c r="F456" i="7"/>
  <c r="W347" i="7"/>
  <c r="F441" i="7"/>
  <c r="W361" i="7"/>
  <c r="F343" i="7"/>
  <c r="W320" i="7"/>
  <c r="F387" i="7"/>
  <c r="W464" i="7"/>
  <c r="F399" i="7"/>
  <c r="W418" i="7"/>
  <c r="F389" i="7"/>
  <c r="W463" i="7"/>
  <c r="F432" i="7"/>
  <c r="W352" i="7"/>
  <c r="F439" i="7"/>
  <c r="W401" i="7"/>
  <c r="F519" i="7"/>
  <c r="W519" i="7"/>
  <c r="F347" i="7"/>
  <c r="W341" i="7"/>
  <c r="F391" i="7"/>
  <c r="W342" i="7"/>
  <c r="F515" i="7"/>
  <c r="W515" i="7"/>
  <c r="F379" i="7"/>
  <c r="W363" i="7"/>
  <c r="F454" i="7"/>
  <c r="W466" i="7"/>
  <c r="F336" i="7"/>
  <c r="W417" i="7"/>
  <c r="F414" i="7"/>
  <c r="W441" i="7"/>
  <c r="F530" i="7"/>
  <c r="W530" i="7"/>
  <c r="F396" i="7"/>
  <c r="W343" i="7"/>
  <c r="F410" i="7"/>
  <c r="W477" i="7"/>
  <c r="F528" i="7"/>
  <c r="W528" i="7"/>
  <c r="F443" i="7"/>
  <c r="W473" i="7"/>
  <c r="F469" i="7"/>
  <c r="W368" i="7"/>
  <c r="F442" i="7"/>
  <c r="W457" i="7"/>
  <c r="F509" i="7"/>
  <c r="W509" i="7"/>
  <c r="F508" i="7"/>
  <c r="W508" i="7"/>
  <c r="F464" i="7"/>
  <c r="W382" i="7"/>
  <c r="F485" i="7"/>
  <c r="W384" i="7"/>
  <c r="F365" i="7"/>
  <c r="W470" i="7"/>
  <c r="F461" i="7"/>
  <c r="W386" i="7"/>
  <c r="F317" i="7"/>
  <c r="W331" i="7"/>
  <c r="W407" i="7"/>
  <c r="F360" i="7"/>
  <c r="F513" i="7"/>
  <c r="W513" i="7"/>
  <c r="W461" i="7"/>
  <c r="F477" i="7"/>
  <c r="W465" i="7"/>
  <c r="F330" i="7"/>
  <c r="W377" i="7"/>
  <c r="F334" i="7"/>
  <c r="W454" i="7"/>
  <c r="F448" i="7"/>
  <c r="F375" i="7"/>
  <c r="W367" i="7"/>
  <c r="W424" i="7"/>
  <c r="F431" i="7"/>
  <c r="W312" i="7"/>
  <c r="F348" i="7"/>
  <c r="W433" i="7"/>
  <c r="F409" i="7"/>
  <c r="W380" i="7"/>
  <c r="F445" i="7"/>
  <c r="F490" i="7"/>
  <c r="W490" i="7"/>
  <c r="F417" i="7"/>
  <c r="W313" i="7"/>
  <c r="W507" i="7"/>
  <c r="F507" i="7"/>
  <c r="F320" i="7"/>
  <c r="W429" i="7"/>
  <c r="AA60" i="7"/>
  <c r="AA40" i="7"/>
  <c r="AA64" i="7"/>
  <c r="AA39" i="7"/>
  <c r="AA32" i="7"/>
  <c r="AA26" i="7"/>
  <c r="AA65" i="7"/>
  <c r="AA63" i="7"/>
  <c r="AA7" i="7"/>
  <c r="AA69" i="7"/>
  <c r="AA25" i="7"/>
  <c r="AA38" i="7"/>
  <c r="AA56" i="7"/>
  <c r="AA67" i="7"/>
  <c r="AA51" i="7"/>
  <c r="AA42" i="7"/>
  <c r="AA17" i="7"/>
  <c r="AA50" i="7"/>
  <c r="AA57" i="7"/>
  <c r="AA62" i="7"/>
  <c r="AA35" i="7"/>
  <c r="AA31" i="7"/>
  <c r="AA23" i="7"/>
  <c r="AA49" i="7"/>
  <c r="AA11" i="7"/>
  <c r="AA53" i="7"/>
  <c r="AA41" i="7"/>
  <c r="AA18" i="7"/>
  <c r="AA21" i="7"/>
  <c r="AA66" i="7"/>
  <c r="AA71" i="7"/>
  <c r="AA29" i="7"/>
  <c r="AA13" i="7"/>
  <c r="AA70" i="7"/>
  <c r="AA9" i="7"/>
  <c r="AA28" i="7"/>
  <c r="AA34" i="7"/>
  <c r="AA59" i="7"/>
  <c r="AA46" i="7"/>
  <c r="AA47" i="7"/>
  <c r="AA37" i="7"/>
  <c r="AA20" i="7"/>
  <c r="AA48" i="7"/>
  <c r="AA72" i="7"/>
  <c r="AA55" i="7"/>
  <c r="AA15" i="7"/>
  <c r="AA24" i="7"/>
  <c r="AA68" i="7"/>
  <c r="AA33" i="7"/>
  <c r="AA44" i="7"/>
  <c r="AA27" i="7"/>
  <c r="AA52" i="7"/>
  <c r="AA8" i="7"/>
  <c r="AA61" i="7"/>
  <c r="AA19" i="7"/>
  <c r="AA58" i="7"/>
  <c r="AA10" i="7"/>
  <c r="AA45" i="7"/>
  <c r="AA43" i="7"/>
  <c r="AA54" i="7"/>
  <c r="AA22" i="7"/>
  <c r="AA12" i="7"/>
  <c r="AA14" i="7"/>
  <c r="AA36" i="7"/>
  <c r="AA30" i="7"/>
  <c r="AA16" i="7"/>
  <c r="F572" i="7"/>
  <c r="W572" i="7"/>
  <c r="F581" i="7"/>
  <c r="W581" i="7"/>
  <c r="F625" i="7"/>
  <c r="W625" i="7"/>
  <c r="F635" i="7"/>
  <c r="W635" i="7"/>
  <c r="F605" i="7"/>
  <c r="W605" i="7"/>
  <c r="F594" i="7"/>
  <c r="W594" i="7"/>
  <c r="F570" i="7"/>
  <c r="W570" i="7"/>
  <c r="F600" i="7"/>
  <c r="W600" i="7"/>
  <c r="F626" i="7"/>
  <c r="W626" i="7"/>
  <c r="F630" i="7"/>
  <c r="W630" i="7"/>
  <c r="F608" i="7"/>
  <c r="W608" i="7"/>
  <c r="F590" i="7"/>
  <c r="W590" i="7"/>
  <c r="F577" i="7"/>
  <c r="W577" i="7"/>
  <c r="F540" i="7"/>
  <c r="W540" i="7"/>
  <c r="F568" i="7"/>
  <c r="W568" i="7"/>
  <c r="F569" i="7"/>
  <c r="W569" i="7"/>
  <c r="F629" i="7"/>
  <c r="W629" i="7"/>
  <c r="F567" i="7"/>
  <c r="W567" i="7"/>
  <c r="F564" i="7"/>
  <c r="W564" i="7"/>
  <c r="F554" i="7"/>
  <c r="W554" i="7"/>
  <c r="F596" i="7"/>
  <c r="W596" i="7"/>
  <c r="F548" i="7"/>
  <c r="W548" i="7"/>
  <c r="W623" i="7"/>
  <c r="F623" i="7"/>
  <c r="F619" i="7"/>
  <c r="W619" i="7"/>
  <c r="X696" i="7"/>
  <c r="X645" i="7"/>
  <c r="X644" i="7"/>
  <c r="Z644" i="7"/>
  <c r="Z752" i="7"/>
  <c r="X733" i="7"/>
  <c r="X760" i="7"/>
  <c r="X740" i="7"/>
  <c r="Z645" i="7"/>
  <c r="X655" i="7"/>
  <c r="Z735" i="7"/>
  <c r="Z733" i="7"/>
  <c r="Z723" i="7"/>
  <c r="AA670" i="7"/>
  <c r="Z744" i="7"/>
  <c r="AA680" i="7"/>
  <c r="AA666" i="7"/>
  <c r="Z672" i="7"/>
  <c r="AA643" i="7"/>
  <c r="AA708" i="7"/>
  <c r="Z748" i="7"/>
  <c r="AA682" i="7"/>
  <c r="AA705" i="7"/>
  <c r="Z671" i="7"/>
  <c r="X734" i="7"/>
  <c r="X665" i="7"/>
  <c r="X761" i="7"/>
  <c r="X694" i="7"/>
  <c r="X707" i="7"/>
  <c r="Z653" i="7"/>
  <c r="Z734" i="7"/>
  <c r="X754" i="7"/>
  <c r="Z695" i="7"/>
  <c r="Z740" i="7"/>
  <c r="Z714" i="7"/>
  <c r="AA752" i="7"/>
  <c r="AA728" i="7"/>
  <c r="Z646" i="7"/>
  <c r="AA751" i="7"/>
  <c r="AA731" i="7"/>
  <c r="Z659" i="7"/>
  <c r="AA737" i="7"/>
  <c r="Z738" i="7"/>
  <c r="AA732" i="7"/>
  <c r="AA665" i="7"/>
  <c r="Z759" i="7"/>
  <c r="X731" i="7"/>
  <c r="X732" i="7"/>
  <c r="X702" i="7"/>
  <c r="Z722" i="7"/>
  <c r="X663" i="7"/>
  <c r="X691" i="7"/>
  <c r="X704" i="7"/>
  <c r="X741" i="7"/>
  <c r="Z691" i="7"/>
  <c r="Z690" i="7"/>
  <c r="Z696" i="7"/>
  <c r="AA722" i="7"/>
  <c r="AA672" i="7"/>
  <c r="Z647" i="7"/>
  <c r="AA658" i="7"/>
  <c r="AA681" i="7"/>
  <c r="Z762" i="7"/>
  <c r="AA649" i="7"/>
  <c r="AA684" i="7"/>
  <c r="Z669" i="7"/>
  <c r="AA716" i="7"/>
  <c r="AA711" i="7"/>
  <c r="X672" i="7"/>
  <c r="X711" i="7"/>
  <c r="Z751" i="7"/>
  <c r="X690" i="7"/>
  <c r="X684" i="7"/>
  <c r="X722" i="7"/>
  <c r="Z720" i="7"/>
  <c r="Z707" i="7"/>
  <c r="X749" i="7"/>
  <c r="X676" i="7"/>
  <c r="Z713" i="7"/>
  <c r="Z676" i="7"/>
  <c r="AA741" i="7"/>
  <c r="AA668" i="7"/>
  <c r="Z761" i="7"/>
  <c r="AA733" i="7"/>
  <c r="AA653" i="7"/>
  <c r="Z727" i="7"/>
  <c r="AA726" i="7"/>
  <c r="AA698" i="7"/>
  <c r="Z728" i="7"/>
  <c r="AA719" i="7"/>
  <c r="W726" i="7"/>
  <c r="F726" i="7"/>
  <c r="F709" i="7"/>
  <c r="W709" i="7"/>
  <c r="F745" i="7"/>
  <c r="W745" i="7"/>
  <c r="F737" i="7"/>
  <c r="W737" i="7"/>
  <c r="F681" i="7"/>
  <c r="W681" i="7"/>
  <c r="F648" i="7"/>
  <c r="W648" i="7"/>
  <c r="F707" i="7"/>
  <c r="W707" i="7"/>
  <c r="F660" i="7"/>
  <c r="W660" i="7"/>
  <c r="F690" i="7"/>
  <c r="W690" i="7"/>
  <c r="F742" i="7"/>
  <c r="W742" i="7"/>
  <c r="F704" i="7"/>
  <c r="W704" i="7"/>
  <c r="F688" i="7"/>
  <c r="W688" i="7"/>
  <c r="F647" i="7"/>
  <c r="W647" i="7"/>
  <c r="F724" i="7"/>
  <c r="W724" i="7"/>
  <c r="F692" i="7"/>
  <c r="W692" i="7"/>
  <c r="F748" i="7"/>
  <c r="W748" i="7"/>
  <c r="F740" i="7"/>
  <c r="W740" i="7"/>
  <c r="F715" i="7"/>
  <c r="W715" i="7"/>
  <c r="F658" i="7"/>
  <c r="W658" i="7"/>
  <c r="F699" i="7"/>
  <c r="W699" i="7"/>
  <c r="F646" i="7"/>
  <c r="W646" i="7"/>
  <c r="F696" i="7"/>
  <c r="W696" i="7"/>
  <c r="F672" i="7"/>
  <c r="W672" i="7"/>
  <c r="F693" i="7"/>
  <c r="W693" i="7"/>
  <c r="F754" i="7"/>
  <c r="W754" i="7"/>
  <c r="F746" i="7"/>
  <c r="W746" i="7"/>
  <c r="F677" i="7"/>
  <c r="W677" i="7"/>
  <c r="F674" i="7"/>
  <c r="W674" i="7"/>
  <c r="F654" i="7"/>
  <c r="W654" i="7"/>
  <c r="F701" i="7"/>
  <c r="W701" i="7"/>
  <c r="AA357" i="7"/>
  <c r="AA386" i="7"/>
  <c r="Z315" i="7"/>
  <c r="Z470" i="7"/>
  <c r="AA367" i="7"/>
  <c r="AA438" i="7"/>
  <c r="AA422" i="7"/>
  <c r="AA411" i="7"/>
  <c r="AA389" i="7"/>
  <c r="AA512" i="7"/>
  <c r="AA331" i="7"/>
  <c r="AA343" i="7"/>
  <c r="AA425" i="7"/>
  <c r="AA430" i="7"/>
  <c r="AA392" i="7"/>
  <c r="AA450" i="7"/>
  <c r="Z449" i="7"/>
  <c r="Z443" i="7"/>
  <c r="AA334" i="7"/>
  <c r="Z330" i="7"/>
  <c r="X436" i="7"/>
  <c r="X418" i="7"/>
  <c r="AA336" i="7"/>
  <c r="AA520" i="7"/>
  <c r="AA330" i="7"/>
  <c r="Z492" i="7"/>
  <c r="Z496" i="7"/>
  <c r="X476" i="7"/>
  <c r="AA380" i="7"/>
  <c r="AA354" i="7"/>
  <c r="AA514" i="7"/>
  <c r="AA508" i="7"/>
  <c r="Z520" i="7"/>
  <c r="AA318" i="7"/>
  <c r="AA337" i="7"/>
  <c r="Z353" i="7"/>
  <c r="X451" i="7"/>
  <c r="Z340" i="7"/>
  <c r="Z529" i="7"/>
  <c r="Z321" i="7"/>
  <c r="X330" i="7"/>
  <c r="AA325" i="7"/>
  <c r="Z350" i="7"/>
  <c r="AA332" i="7"/>
  <c r="AA443" i="7"/>
  <c r="Z314" i="7"/>
  <c r="AA423" i="7"/>
  <c r="AA448" i="7"/>
  <c r="AA373" i="7"/>
  <c r="Z354" i="7"/>
  <c r="X328" i="7"/>
  <c r="AA454" i="7"/>
  <c r="X320" i="7"/>
  <c r="AA379" i="7"/>
  <c r="AA449" i="7"/>
  <c r="AA437" i="7"/>
  <c r="AA484" i="7"/>
  <c r="Z519" i="7"/>
  <c r="X440" i="7"/>
  <c r="AA342" i="7"/>
  <c r="X520" i="7"/>
  <c r="Z487" i="7"/>
  <c r="AA436" i="7"/>
  <c r="Z370" i="7"/>
  <c r="AA365" i="7"/>
  <c r="AA528" i="7"/>
  <c r="Z517" i="7"/>
  <c r="Z491" i="7"/>
  <c r="X399" i="7"/>
  <c r="Z473" i="7"/>
  <c r="X475" i="7"/>
  <c r="Z445" i="7"/>
  <c r="AA465" i="7"/>
  <c r="AA385" i="7"/>
  <c r="AA335" i="7"/>
  <c r="Z418" i="7"/>
  <c r="AA381" i="7"/>
  <c r="AA463" i="7"/>
  <c r="Z404" i="7"/>
  <c r="Z424" i="7"/>
  <c r="X459" i="7"/>
  <c r="X438" i="7"/>
  <c r="X353" i="7"/>
  <c r="Z349" i="7"/>
  <c r="Z467" i="7"/>
  <c r="X455" i="7"/>
  <c r="X456" i="7"/>
  <c r="X413" i="7"/>
  <c r="AA359" i="7"/>
  <c r="Z523" i="7"/>
  <c r="X468" i="7"/>
  <c r="Z438" i="7"/>
  <c r="Z468" i="7"/>
  <c r="AA344" i="7"/>
  <c r="X392" i="7"/>
  <c r="Z329" i="7"/>
  <c r="X364" i="7"/>
  <c r="Z372" i="7"/>
  <c r="X478" i="7"/>
  <c r="X348" i="7"/>
  <c r="X341" i="7"/>
  <c r="X408" i="7"/>
  <c r="AA317" i="7"/>
  <c r="X491" i="7"/>
  <c r="X373" i="7"/>
  <c r="Z409" i="7"/>
  <c r="AA329" i="7"/>
  <c r="X462" i="7"/>
  <c r="X529" i="7"/>
  <c r="Z486" i="7"/>
  <c r="Z380" i="7"/>
  <c r="X342" i="7"/>
  <c r="Z510" i="7"/>
  <c r="Z400" i="7"/>
  <c r="AA328" i="7"/>
  <c r="X327" i="7"/>
  <c r="X510" i="7"/>
  <c r="Z482" i="7"/>
  <c r="Z448" i="7"/>
  <c r="X474" i="7"/>
  <c r="X469" i="7"/>
  <c r="X496" i="7"/>
  <c r="X498" i="7"/>
  <c r="AA320" i="7"/>
  <c r="X470" i="7"/>
  <c r="X517" i="7"/>
  <c r="Z459" i="7"/>
  <c r="AA503" i="7"/>
  <c r="X335" i="7"/>
  <c r="X314" i="7"/>
  <c r="Z454" i="7"/>
  <c r="Z528" i="7"/>
  <c r="X379" i="7"/>
  <c r="Z378" i="7"/>
  <c r="X376" i="7"/>
  <c r="AA371" i="7"/>
  <c r="X531" i="7"/>
  <c r="X358" i="7"/>
  <c r="Z483" i="7"/>
  <c r="Z432" i="7"/>
  <c r="X350" i="7"/>
  <c r="X395" i="7"/>
  <c r="X339" i="7"/>
  <c r="X417" i="7"/>
  <c r="X423" i="7"/>
  <c r="Z429" i="7"/>
  <c r="Z371" i="7"/>
  <c r="Z375" i="7"/>
  <c r="X507" i="7"/>
  <c r="X457" i="7"/>
  <c r="X434" i="7"/>
  <c r="AA362" i="7"/>
  <c r="Z335" i="7"/>
  <c r="X397" i="7"/>
  <c r="Z511" i="7"/>
  <c r="Z451" i="7"/>
  <c r="AA485" i="7"/>
  <c r="X380" i="7"/>
  <c r="Z447" i="7"/>
  <c r="X315" i="7"/>
  <c r="Z417" i="7"/>
  <c r="X519" i="7"/>
  <c r="X375" i="7"/>
  <c r="X433" i="7"/>
  <c r="X405" i="7"/>
  <c r="X518" i="7"/>
  <c r="F280" i="7"/>
  <c r="F298" i="7"/>
  <c r="F274" i="7"/>
  <c r="F285" i="7"/>
  <c r="F304" i="7"/>
  <c r="F275" i="7"/>
  <c r="F273" i="7"/>
  <c r="F294" i="7"/>
  <c r="F429" i="7"/>
  <c r="W484" i="7"/>
  <c r="F498" i="7"/>
  <c r="W498" i="7"/>
  <c r="F329" i="7"/>
  <c r="W326" i="7"/>
  <c r="F374" i="7"/>
  <c r="W421" i="7"/>
  <c r="F428" i="7"/>
  <c r="W336" i="7"/>
  <c r="F413" i="7"/>
  <c r="W458" i="7"/>
  <c r="F390" i="7"/>
  <c r="W428" i="7"/>
  <c r="W311" i="7"/>
  <c r="F401" i="7"/>
  <c r="F478" i="7"/>
  <c r="W372" i="7"/>
  <c r="F352" i="7"/>
  <c r="W399" i="7"/>
  <c r="F505" i="7"/>
  <c r="W505" i="7"/>
  <c r="F495" i="7"/>
  <c r="W495" i="7"/>
  <c r="F369" i="7"/>
  <c r="W446" i="7"/>
  <c r="F465" i="7"/>
  <c r="W316" i="7"/>
  <c r="F433" i="7"/>
  <c r="W476" i="7"/>
  <c r="F466" i="7"/>
  <c r="W340" i="7"/>
  <c r="F344" i="7"/>
  <c r="W375" i="7"/>
  <c r="F472" i="7"/>
  <c r="W403" i="7"/>
  <c r="F321" i="7"/>
  <c r="W337" i="7"/>
  <c r="F476" i="7"/>
  <c r="W349" i="7"/>
  <c r="F393" i="7"/>
  <c r="W416" i="7"/>
  <c r="F487" i="7"/>
  <c r="W487" i="7"/>
  <c r="F427" i="7"/>
  <c r="W437" i="7"/>
  <c r="F446" i="7"/>
  <c r="W438" i="7"/>
  <c r="F370" i="7"/>
  <c r="W355" i="7"/>
  <c r="F337" i="7"/>
  <c r="W356" i="7"/>
  <c r="F457" i="7"/>
  <c r="W480" i="7"/>
  <c r="F324" i="7"/>
  <c r="W449" i="7"/>
  <c r="F494" i="7"/>
  <c r="W494" i="7"/>
  <c r="F459" i="7"/>
  <c r="W330" i="7"/>
  <c r="F436" i="7"/>
  <c r="W365" i="7"/>
  <c r="F367" i="7"/>
  <c r="W357" i="7"/>
  <c r="W422" i="7"/>
  <c r="F342" i="7"/>
  <c r="F388" i="7"/>
  <c r="W479" i="7"/>
  <c r="F364" i="7"/>
  <c r="W323" i="7"/>
  <c r="F425" i="7"/>
  <c r="W420" i="7"/>
  <c r="F524" i="7"/>
  <c r="W524" i="7"/>
  <c r="F315" i="7"/>
  <c r="W444" i="7"/>
  <c r="F460" i="7"/>
  <c r="W451" i="7"/>
  <c r="F350" i="7"/>
  <c r="W469" i="7"/>
  <c r="F504" i="7"/>
  <c r="W504" i="7"/>
  <c r="W521" i="7"/>
  <c r="F521" i="7"/>
  <c r="F395" i="7"/>
  <c r="W439" i="7"/>
  <c r="W517" i="7"/>
  <c r="F517" i="7"/>
  <c r="F486" i="7"/>
  <c r="W486" i="7"/>
  <c r="W499" i="7"/>
  <c r="F499" i="7"/>
  <c r="W364" i="7"/>
  <c r="F405" i="7"/>
  <c r="F421" i="7"/>
  <c r="W388" i="7"/>
  <c r="F408" i="7"/>
  <c r="W427" i="7"/>
  <c r="F380" i="7"/>
  <c r="W410" i="7"/>
  <c r="W327" i="7"/>
  <c r="F353" i="7"/>
  <c r="F372" i="7"/>
  <c r="W317" i="7"/>
  <c r="W459" i="7"/>
  <c r="F335" i="7"/>
  <c r="F311" i="7"/>
  <c r="W391" i="7"/>
  <c r="F449" i="7"/>
  <c r="W339" i="7"/>
  <c r="F526" i="7"/>
  <c r="W526" i="7"/>
  <c r="Z76" i="7"/>
  <c r="Z552" i="7"/>
  <c r="AA566" i="7"/>
  <c r="X618" i="7"/>
  <c r="Z545" i="7"/>
  <c r="AA580" i="7"/>
  <c r="AA628" i="7"/>
  <c r="Z575" i="7"/>
  <c r="Z635" i="7"/>
  <c r="AA625" i="7"/>
  <c r="X545" i="7"/>
  <c r="Z607" i="7"/>
  <c r="Z563" i="7"/>
  <c r="AA621" i="7"/>
  <c r="X593" i="7"/>
  <c r="X560" i="7"/>
  <c r="X580" i="7"/>
  <c r="X622" i="7"/>
  <c r="X539" i="7"/>
  <c r="F598" i="7"/>
  <c r="W598" i="7"/>
  <c r="F631" i="7"/>
  <c r="W631" i="7"/>
  <c r="F628" i="7"/>
  <c r="W628" i="7"/>
  <c r="F550" i="7"/>
  <c r="W550" i="7"/>
  <c r="F560" i="7"/>
  <c r="W560" i="7"/>
  <c r="F539" i="7"/>
  <c r="W539" i="7"/>
  <c r="F589" i="7"/>
  <c r="W589" i="7"/>
  <c r="F559" i="7"/>
  <c r="W559" i="7"/>
  <c r="F556" i="7"/>
  <c r="W556" i="7"/>
  <c r="F547" i="7"/>
  <c r="W547" i="7"/>
  <c r="F543" i="7"/>
  <c r="W543" i="7"/>
  <c r="F579" i="7"/>
  <c r="W579" i="7"/>
  <c r="F576" i="7"/>
  <c r="W576" i="7"/>
  <c r="F546" i="7"/>
  <c r="W546" i="7"/>
  <c r="F552" i="7"/>
  <c r="W552" i="7"/>
  <c r="W588" i="7"/>
  <c r="F588" i="7"/>
  <c r="F613" i="7"/>
  <c r="W613" i="7"/>
  <c r="W537" i="7"/>
  <c r="F537" i="7"/>
  <c r="F578" i="7"/>
  <c r="W578" i="7"/>
  <c r="F542" i="7"/>
  <c r="W542" i="7"/>
  <c r="F582" i="7"/>
  <c r="W582" i="7"/>
  <c r="F565" i="7"/>
  <c r="W565" i="7"/>
  <c r="F602" i="7"/>
  <c r="W602" i="7"/>
  <c r="F614" i="7"/>
  <c r="W614" i="7"/>
  <c r="F573" i="7"/>
  <c r="W573" i="7"/>
  <c r="X705" i="7"/>
  <c r="X759" i="7"/>
  <c r="X695" i="7"/>
  <c r="X648" i="7"/>
  <c r="Z731" i="7"/>
  <c r="X701" i="7"/>
  <c r="X699" i="7"/>
  <c r="X654" i="7"/>
  <c r="X669" i="7"/>
  <c r="Z689" i="7"/>
  <c r="Z668" i="7"/>
  <c r="Z652" i="7"/>
  <c r="AA738" i="7"/>
  <c r="AA652" i="7"/>
  <c r="Z693" i="7"/>
  <c r="AA760" i="7"/>
  <c r="AA739" i="7"/>
  <c r="Z703" i="7"/>
  <c r="AA748" i="7"/>
  <c r="AA690" i="7"/>
  <c r="Z757" i="7"/>
  <c r="AA648" i="7"/>
  <c r="AA761" i="7"/>
  <c r="X745" i="7"/>
  <c r="Z651" i="7"/>
  <c r="Z709" i="7"/>
  <c r="Z754" i="7"/>
  <c r="X677" i="7"/>
  <c r="X725" i="7"/>
  <c r="Z712" i="7"/>
  <c r="X688" i="7"/>
  <c r="X647" i="7"/>
  <c r="Z755" i="7"/>
  <c r="Z692" i="7"/>
  <c r="Z697" i="7"/>
  <c r="AA727" i="7"/>
  <c r="Z729" i="7"/>
  <c r="AA755" i="7"/>
  <c r="AA742" i="7"/>
  <c r="Z680" i="7"/>
  <c r="AA689" i="7"/>
  <c r="AA671" i="7"/>
  <c r="Z658" i="7"/>
  <c r="AA687" i="7"/>
  <c r="AA696" i="7"/>
  <c r="X762" i="7"/>
  <c r="X735" i="7"/>
  <c r="X659" i="7"/>
  <c r="X737" i="7"/>
  <c r="X746" i="7"/>
  <c r="X720" i="7"/>
  <c r="X652" i="7"/>
  <c r="X657" i="7"/>
  <c r="X758" i="7"/>
  <c r="X726" i="7"/>
  <c r="Z719" i="7"/>
  <c r="Z745" i="7"/>
  <c r="AA683" i="7"/>
  <c r="AA663" i="7"/>
  <c r="Z743" i="7"/>
  <c r="AA695" i="7"/>
  <c r="AA661" i="7"/>
  <c r="Z726" i="7"/>
  <c r="AA762" i="7"/>
  <c r="AA709" i="7"/>
  <c r="Z662" i="7"/>
  <c r="AA685" i="7"/>
  <c r="AA699" i="7"/>
  <c r="Z684" i="7"/>
  <c r="X709" i="7"/>
  <c r="X719" i="7"/>
  <c r="Z663" i="7"/>
  <c r="X713" i="7"/>
  <c r="X680" i="7"/>
  <c r="Z683" i="7"/>
  <c r="X757" i="7"/>
  <c r="X685" i="7"/>
  <c r="Z678" i="7"/>
  <c r="Z730" i="7"/>
  <c r="Z725" i="7"/>
  <c r="AA677" i="7"/>
  <c r="AA715" i="7"/>
  <c r="Z667" i="7"/>
  <c r="AA660" i="7"/>
  <c r="Z661" i="7"/>
  <c r="AA724" i="7"/>
  <c r="AA758" i="7"/>
  <c r="Z737" i="7"/>
  <c r="AA693" i="7"/>
  <c r="AA692" i="7"/>
  <c r="F685" i="7"/>
  <c r="W685" i="7"/>
  <c r="F711" i="7"/>
  <c r="W711" i="7"/>
  <c r="F710" i="7"/>
  <c r="W710" i="7"/>
  <c r="F644" i="7"/>
  <c r="W644" i="7"/>
  <c r="F661" i="7"/>
  <c r="W661" i="7"/>
  <c r="F738" i="7"/>
  <c r="W738" i="7"/>
  <c r="F652" i="7"/>
  <c r="W652" i="7"/>
  <c r="F762" i="7"/>
  <c r="W762" i="7"/>
  <c r="F761" i="7"/>
  <c r="W761" i="7"/>
  <c r="F669" i="7"/>
  <c r="W669" i="7"/>
  <c r="F705" i="7"/>
  <c r="W705" i="7"/>
  <c r="F656" i="7"/>
  <c r="W656" i="7"/>
  <c r="F741" i="7"/>
  <c r="W741" i="7"/>
  <c r="F731" i="7"/>
  <c r="W731" i="7"/>
  <c r="F727" i="7"/>
  <c r="W727" i="7"/>
  <c r="F703" i="7"/>
  <c r="W703" i="7"/>
  <c r="F683" i="7"/>
  <c r="W683" i="7"/>
  <c r="W679" i="7"/>
  <c r="F679" i="7"/>
  <c r="AA15" i="30" s="1"/>
  <c r="F713" i="7"/>
  <c r="W713" i="7"/>
  <c r="F758" i="7"/>
  <c r="W758" i="7"/>
  <c r="F673" i="7"/>
  <c r="W673" i="7"/>
  <c r="F706" i="7"/>
  <c r="W706" i="7"/>
  <c r="F670" i="7"/>
  <c r="W670" i="7"/>
  <c r="F717" i="7"/>
  <c r="W717" i="7"/>
  <c r="F689" i="7"/>
  <c r="W689" i="7"/>
  <c r="F728" i="7"/>
  <c r="W728" i="7"/>
  <c r="F667" i="7"/>
  <c r="W667" i="7"/>
  <c r="F650" i="7"/>
  <c r="W650" i="7"/>
  <c r="F686" i="7"/>
  <c r="W686" i="7"/>
  <c r="F675" i="7"/>
  <c r="W675" i="7"/>
  <c r="AA316" i="7"/>
  <c r="AA360" i="7"/>
  <c r="AA495" i="7"/>
  <c r="AA415" i="7"/>
  <c r="AA493" i="7"/>
  <c r="AA498" i="7"/>
  <c r="AA404" i="7"/>
  <c r="AA314" i="7"/>
  <c r="AA401" i="7"/>
  <c r="AA439" i="7"/>
  <c r="AA322" i="7"/>
  <c r="Z458" i="7"/>
  <c r="Z526" i="7"/>
  <c r="AA391" i="7"/>
  <c r="AA369" i="7"/>
  <c r="AA517" i="7"/>
  <c r="AA468" i="7"/>
  <c r="AA361" i="7"/>
  <c r="AA483" i="7"/>
  <c r="AA492" i="7"/>
  <c r="X492" i="7"/>
  <c r="X495" i="7"/>
  <c r="AA323" i="7"/>
  <c r="AA372" i="7"/>
  <c r="AA433" i="7"/>
  <c r="Z439" i="7"/>
  <c r="X362" i="7"/>
  <c r="X326" i="7"/>
  <c r="Z323" i="7"/>
  <c r="AA390" i="7"/>
  <c r="AA496" i="7"/>
  <c r="Z397" i="7"/>
  <c r="AA519" i="7"/>
  <c r="AA395" i="7"/>
  <c r="AA376" i="7"/>
  <c r="Z446" i="7"/>
  <c r="X383" i="7"/>
  <c r="AA481" i="7"/>
  <c r="W255" i="7"/>
  <c r="W189" i="7"/>
  <c r="W109" i="7"/>
  <c r="W99" i="7"/>
  <c r="W89" i="7"/>
  <c r="F262" i="7"/>
  <c r="W169" i="7"/>
  <c r="Z396" i="7"/>
  <c r="X446" i="7"/>
  <c r="X422" i="7"/>
  <c r="AA406" i="7"/>
  <c r="AA432" i="7"/>
  <c r="AA491" i="7"/>
  <c r="Z531" i="7"/>
  <c r="AA333" i="7"/>
  <c r="AA456" i="7"/>
  <c r="Z521" i="7"/>
  <c r="Z465" i="7"/>
  <c r="AA393" i="7"/>
  <c r="Z500" i="7"/>
  <c r="Z525" i="7"/>
  <c r="AA502" i="7"/>
  <c r="AA420" i="7"/>
  <c r="AA388" i="7"/>
  <c r="AA394" i="7"/>
  <c r="Z450" i="7"/>
  <c r="X344" i="7"/>
  <c r="Z408" i="7"/>
  <c r="AA455" i="7"/>
  <c r="AA482" i="7"/>
  <c r="AA478" i="7"/>
  <c r="Z442" i="7"/>
  <c r="AA509" i="7"/>
  <c r="AA409" i="7"/>
  <c r="Z457" i="7"/>
  <c r="Z494" i="7"/>
  <c r="Z401" i="7"/>
  <c r="Z345" i="7"/>
  <c r="X357" i="7"/>
  <c r="X499" i="7"/>
  <c r="AA347" i="7"/>
  <c r="AA374" i="7"/>
  <c r="AA313" i="7"/>
  <c r="Z333" i="7"/>
  <c r="AA348" i="7"/>
  <c r="AA516" i="7"/>
  <c r="Z356" i="7"/>
  <c r="X512" i="7"/>
  <c r="Z419" i="7"/>
  <c r="Z516" i="7"/>
  <c r="Z338" i="7"/>
  <c r="AA338" i="7"/>
  <c r="X407" i="7"/>
  <c r="Z398" i="7"/>
  <c r="X372" i="7"/>
  <c r="X421" i="7"/>
  <c r="Z440" i="7"/>
  <c r="Z392" i="7"/>
  <c r="AA524" i="7"/>
  <c r="Z485" i="7"/>
  <c r="X412" i="7"/>
  <c r="Z502" i="7"/>
  <c r="X387" i="7"/>
  <c r="X332" i="7"/>
  <c r="Z434" i="7"/>
  <c r="X525" i="7"/>
  <c r="X340" i="7"/>
  <c r="X493" i="7"/>
  <c r="X521" i="7"/>
  <c r="Z325" i="7"/>
  <c r="Z384" i="7"/>
  <c r="Z436" i="7"/>
  <c r="Z513" i="7"/>
  <c r="X489" i="7"/>
  <c r="X391" i="7"/>
  <c r="X426" i="7"/>
  <c r="X419" i="7"/>
  <c r="Z377" i="7"/>
  <c r="Z344" i="7"/>
  <c r="AA350" i="7"/>
  <c r="Z493" i="7"/>
  <c r="X458" i="7"/>
  <c r="Z435" i="7"/>
  <c r="X393" i="7"/>
  <c r="X502" i="7"/>
  <c r="Z420" i="7"/>
  <c r="X524" i="7"/>
  <c r="X449" i="7"/>
  <c r="X384" i="7"/>
  <c r="X416" i="7"/>
  <c r="Z522" i="7"/>
  <c r="Z347" i="7"/>
  <c r="Z527" i="7"/>
  <c r="Z324" i="7"/>
  <c r="AA378" i="7"/>
  <c r="X439" i="7"/>
  <c r="X351" i="7"/>
  <c r="X471" i="7"/>
  <c r="Z478" i="7"/>
  <c r="Z489" i="7"/>
  <c r="AA352" i="7"/>
  <c r="Z362" i="7"/>
  <c r="X349" i="7"/>
  <c r="Z379" i="7"/>
  <c r="X501" i="7"/>
  <c r="X398" i="7"/>
  <c r="Z311" i="7"/>
  <c r="X465" i="7"/>
  <c r="X406" i="7"/>
  <c r="X429" i="7"/>
  <c r="X369" i="7"/>
  <c r="AA321" i="7"/>
  <c r="Z412" i="7"/>
  <c r="Z433" i="7"/>
  <c r="AA417" i="7"/>
  <c r="X390" i="7"/>
  <c r="Z394" i="7"/>
  <c r="X363" i="7"/>
  <c r="X415" i="7"/>
  <c r="Z498" i="7"/>
  <c r="Z471" i="7"/>
  <c r="X464" i="7"/>
  <c r="Z327" i="7"/>
  <c r="X404" i="7"/>
  <c r="AA421" i="7"/>
  <c r="X382" i="7"/>
  <c r="X435" i="7"/>
  <c r="Z361" i="7"/>
  <c r="Z391" i="7"/>
  <c r="X317" i="7"/>
  <c r="X324" i="7"/>
  <c r="X377" i="7"/>
  <c r="X360" i="7"/>
  <c r="X432" i="7"/>
  <c r="F284" i="7"/>
  <c r="F291" i="7"/>
  <c r="F299" i="7"/>
  <c r="F302" i="7"/>
  <c r="F283" i="7"/>
  <c r="F290" i="7"/>
  <c r="F278" i="7"/>
  <c r="F272" i="7"/>
  <c r="F493" i="7"/>
  <c r="W493" i="7"/>
  <c r="F416" i="7"/>
  <c r="W406" i="7"/>
  <c r="F402" i="7"/>
  <c r="W324" i="7"/>
  <c r="F373" i="7"/>
  <c r="W452" i="7"/>
  <c r="F382" i="7"/>
  <c r="W468" i="7"/>
  <c r="F447" i="7"/>
  <c r="W359" i="7"/>
  <c r="F383" i="7"/>
  <c r="W456" i="7"/>
  <c r="F338" i="7"/>
  <c r="W369" i="7"/>
  <c r="W394" i="7"/>
  <c r="F346" i="7"/>
  <c r="F502" i="7"/>
  <c r="W502" i="7"/>
  <c r="F520" i="7"/>
  <c r="W520" i="7"/>
  <c r="F407" i="7"/>
  <c r="W436" i="7"/>
  <c r="F385" i="7"/>
  <c r="W415" i="7"/>
  <c r="F488" i="7"/>
  <c r="W488" i="7"/>
  <c r="F351" i="7"/>
  <c r="W409" i="7"/>
  <c r="F328" i="7"/>
  <c r="W443" i="7"/>
  <c r="F471" i="7"/>
  <c r="W472" i="7"/>
  <c r="F397" i="7"/>
  <c r="W462" i="7"/>
  <c r="F462" i="7"/>
  <c r="W453" i="7"/>
  <c r="F444" i="7"/>
  <c r="W353" i="7"/>
  <c r="F451" i="7"/>
  <c r="W447" i="7"/>
  <c r="F318" i="7"/>
  <c r="W400" i="7"/>
  <c r="F514" i="7"/>
  <c r="W514" i="7"/>
  <c r="F361" i="7"/>
  <c r="W335" i="7"/>
  <c r="F496" i="7"/>
  <c r="W496" i="7"/>
  <c r="F381" i="7"/>
  <c r="W319" i="7"/>
  <c r="F400" i="7"/>
  <c r="W411" i="7"/>
  <c r="F483" i="7"/>
  <c r="W423" i="7"/>
  <c r="F323" i="7"/>
  <c r="W338" i="7"/>
  <c r="F480" i="7"/>
  <c r="W478" i="7"/>
  <c r="F522" i="7"/>
  <c r="W522" i="7"/>
  <c r="F475" i="7"/>
  <c r="W425" i="7"/>
  <c r="W435" i="7"/>
  <c r="F313" i="7"/>
  <c r="F354" i="7"/>
  <c r="W402" i="7"/>
  <c r="F423" i="7"/>
  <c r="W414" i="7"/>
  <c r="F358" i="7"/>
  <c r="W329" i="7"/>
  <c r="F527" i="7"/>
  <c r="W527" i="7"/>
  <c r="F319" i="7"/>
  <c r="W483" i="7"/>
  <c r="F500" i="7"/>
  <c r="W500" i="7"/>
  <c r="F516" i="7"/>
  <c r="W516" i="7"/>
  <c r="F511" i="7"/>
  <c r="W511" i="7"/>
  <c r="W491" i="7"/>
  <c r="F491" i="7"/>
  <c r="W510" i="7"/>
  <c r="F510" i="7"/>
  <c r="F492" i="7"/>
  <c r="W492" i="7"/>
  <c r="F531" i="7"/>
  <c r="W531" i="7"/>
  <c r="W360" i="7"/>
  <c r="F482" i="7"/>
  <c r="F455" i="7"/>
  <c r="W395" i="7"/>
  <c r="F430" i="7"/>
  <c r="W322" i="7"/>
  <c r="F415" i="7"/>
  <c r="W448" i="7"/>
  <c r="F523" i="7"/>
  <c r="W523" i="7"/>
  <c r="F333" i="7"/>
  <c r="W405" i="7"/>
  <c r="F341" i="7"/>
  <c r="W398" i="7"/>
  <c r="F332" i="7"/>
  <c r="W440" i="7"/>
  <c r="W392" i="7"/>
  <c r="F426" i="7"/>
  <c r="W321" i="7"/>
  <c r="F418" i="7"/>
  <c r="AA75" i="7"/>
  <c r="AA78" i="7"/>
  <c r="X597" i="7"/>
  <c r="X579" i="7"/>
  <c r="X564" i="7"/>
  <c r="X544" i="7"/>
  <c r="F621" i="7"/>
  <c r="W621" i="7"/>
  <c r="F636" i="7"/>
  <c r="W636" i="7"/>
  <c r="F544" i="7"/>
  <c r="W544" i="7"/>
  <c r="F538" i="7"/>
  <c r="W538" i="7"/>
  <c r="F601" i="7"/>
  <c r="W601" i="7"/>
  <c r="F616" i="7"/>
  <c r="W616" i="7"/>
  <c r="F580" i="7"/>
  <c r="W580" i="7"/>
  <c r="F593" i="7"/>
  <c r="W593" i="7"/>
  <c r="W617" i="7"/>
  <c r="F617" i="7"/>
  <c r="F575" i="7"/>
  <c r="W575" i="7"/>
  <c r="F587" i="7"/>
  <c r="W587" i="7"/>
  <c r="F562" i="7"/>
  <c r="W562" i="7"/>
  <c r="F541" i="7"/>
  <c r="W541" i="7"/>
  <c r="F586" i="7"/>
  <c r="W586" i="7"/>
  <c r="F584" i="7"/>
  <c r="W584" i="7"/>
  <c r="F615" i="7"/>
  <c r="W615" i="7"/>
  <c r="F604" i="7"/>
  <c r="W604" i="7"/>
  <c r="F571" i="7"/>
  <c r="W571" i="7"/>
  <c r="F637" i="7"/>
  <c r="W637" i="7"/>
  <c r="F592" i="7"/>
  <c r="W592" i="7"/>
  <c r="F574" i="7"/>
  <c r="W574" i="7"/>
  <c r="F632" i="7"/>
  <c r="W632" i="7"/>
  <c r="F545" i="7"/>
  <c r="W545" i="7"/>
  <c r="F603" i="7"/>
  <c r="W603" i="7"/>
  <c r="F618" i="7"/>
  <c r="W618" i="7"/>
  <c r="Z685" i="7"/>
  <c r="X670" i="7"/>
  <c r="Z665" i="7"/>
  <c r="Z717" i="7"/>
  <c r="X723" i="7"/>
  <c r="X706" i="7"/>
  <c r="X710" i="7"/>
  <c r="X718" i="7"/>
  <c r="X686" i="7"/>
  <c r="X673" i="7"/>
  <c r="Z682" i="7"/>
  <c r="Z698" i="7"/>
  <c r="AA735" i="7"/>
  <c r="AA723" i="7"/>
  <c r="Z711" i="7"/>
  <c r="AA747" i="7"/>
  <c r="AA736" i="7"/>
  <c r="Z708" i="7"/>
  <c r="AA757" i="7"/>
  <c r="AA674" i="7"/>
  <c r="Z657" i="7"/>
  <c r="AA686" i="7"/>
  <c r="X679" i="7"/>
  <c r="X656" i="7"/>
  <c r="X643" i="7"/>
  <c r="X721" i="7"/>
  <c r="Z706" i="7"/>
  <c r="X660" i="7"/>
  <c r="X658" i="7"/>
  <c r="Z749" i="7"/>
  <c r="X667" i="7"/>
  <c r="X712" i="7"/>
  <c r="Z648" i="7"/>
  <c r="Z686" i="7"/>
  <c r="AA744" i="7"/>
  <c r="AA675" i="7"/>
  <c r="Z666" i="7"/>
  <c r="AA756" i="7"/>
  <c r="AA718" i="7"/>
  <c r="Z705" i="7"/>
  <c r="AA704" i="7"/>
  <c r="AA749" i="7"/>
  <c r="Z758" i="7"/>
  <c r="AA721" i="7"/>
  <c r="AA644" i="7"/>
  <c r="X736" i="7"/>
  <c r="X729" i="7"/>
  <c r="Z753" i="7"/>
  <c r="X664" i="7"/>
  <c r="X708" i="7"/>
  <c r="X703" i="7"/>
  <c r="X753" i="7"/>
  <c r="X742" i="7"/>
  <c r="X744" i="7"/>
  <c r="X668" i="7"/>
  <c r="Z655" i="7"/>
  <c r="Z747" i="7"/>
  <c r="AA740" i="7"/>
  <c r="AA734" i="7"/>
  <c r="Z694" i="7"/>
  <c r="AA754" i="7"/>
  <c r="AA707" i="7"/>
  <c r="Z660" i="7"/>
  <c r="AA655" i="7"/>
  <c r="Z702" i="7"/>
  <c r="AA702" i="7"/>
  <c r="AA701" i="7"/>
  <c r="Z746" i="7"/>
  <c r="X687" i="7"/>
  <c r="X748" i="7"/>
  <c r="X728" i="7"/>
  <c r="Z673" i="7"/>
  <c r="X650" i="7"/>
  <c r="X714" i="7"/>
  <c r="Z699" i="7"/>
  <c r="X751" i="7"/>
  <c r="X689" i="7"/>
  <c r="Z677" i="7"/>
  <c r="Z688" i="7"/>
  <c r="AA743" i="7"/>
  <c r="AA688" i="7"/>
  <c r="Z724" i="7"/>
  <c r="AA700" i="7"/>
  <c r="AA694" i="7"/>
  <c r="Z681" i="7"/>
  <c r="AA650" i="7"/>
  <c r="AA759" i="7"/>
  <c r="Z742" i="7"/>
  <c r="AA678" i="7"/>
  <c r="AA720" i="7"/>
  <c r="F662" i="7"/>
  <c r="W662" i="7"/>
  <c r="F691" i="7"/>
  <c r="W691" i="7"/>
  <c r="F751" i="7"/>
  <c r="W751" i="7"/>
  <c r="F725" i="7"/>
  <c r="W725" i="7"/>
  <c r="F759" i="7"/>
  <c r="W759" i="7"/>
  <c r="F760" i="7"/>
  <c r="W760" i="7"/>
  <c r="F695" i="7"/>
  <c r="W695" i="7"/>
  <c r="F749" i="7"/>
  <c r="W749" i="7"/>
  <c r="F729" i="7"/>
  <c r="W729" i="7"/>
  <c r="F752" i="7"/>
  <c r="W752" i="7"/>
  <c r="F739" i="7"/>
  <c r="W739" i="7"/>
  <c r="F651" i="7"/>
  <c r="W651" i="7"/>
  <c r="F678" i="7"/>
  <c r="W678" i="7"/>
  <c r="F720" i="7"/>
  <c r="W720" i="7"/>
  <c r="F736" i="7"/>
  <c r="W736" i="7"/>
  <c r="F645" i="7"/>
  <c r="W645" i="7"/>
  <c r="F714" i="7"/>
  <c r="W714" i="7"/>
  <c r="W716" i="7"/>
  <c r="F716" i="7"/>
  <c r="F747" i="7"/>
  <c r="W747" i="7"/>
  <c r="F653" i="7"/>
  <c r="W653" i="7"/>
  <c r="F680" i="7"/>
  <c r="W680" i="7"/>
  <c r="F697" i="7"/>
  <c r="W697" i="7"/>
  <c r="F718" i="7"/>
  <c r="W718" i="7"/>
  <c r="F735" i="7"/>
  <c r="W735" i="7"/>
  <c r="F655" i="7"/>
  <c r="W655" i="7"/>
  <c r="F743" i="7"/>
  <c r="W743" i="7"/>
  <c r="F734" i="7"/>
  <c r="W734" i="7"/>
  <c r="F708" i="7"/>
  <c r="W708" i="7"/>
  <c r="F682" i="7"/>
  <c r="W682" i="7"/>
  <c r="F665" i="7"/>
  <c r="W665" i="7"/>
  <c r="AA396" i="7"/>
  <c r="AA444" i="7"/>
  <c r="AA527" i="7"/>
  <c r="AA523" i="7"/>
  <c r="AA410" i="7"/>
  <c r="AA426" i="7"/>
  <c r="AA431" i="7"/>
  <c r="Z388" i="7"/>
  <c r="Z455" i="7"/>
  <c r="AA497" i="7"/>
  <c r="AA429" i="7"/>
  <c r="AA526" i="7"/>
  <c r="AA384" i="7"/>
  <c r="AA451" i="7"/>
  <c r="AA470" i="7"/>
  <c r="AA525" i="7"/>
  <c r="AA469" i="7"/>
  <c r="AA505" i="7"/>
  <c r="Z387" i="7"/>
  <c r="Z410" i="7"/>
  <c r="Z318" i="7"/>
  <c r="Z376" i="7"/>
  <c r="AA477" i="7"/>
  <c r="AA363" i="7"/>
  <c r="AA424" i="7"/>
  <c r="AA326" i="7"/>
  <c r="Z348" i="7"/>
  <c r="X481" i="7"/>
  <c r="Z422" i="7"/>
  <c r="X486" i="7"/>
  <c r="AA499" i="7"/>
  <c r="AA315" i="7"/>
  <c r="Z524" i="7"/>
  <c r="AA440" i="7"/>
  <c r="AA434" i="7"/>
  <c r="Z403" i="7"/>
  <c r="Z332" i="7"/>
  <c r="AA475" i="7"/>
  <c r="AA458" i="7"/>
  <c r="Z312" i="7"/>
  <c r="Z453" i="7"/>
  <c r="X388" i="7"/>
  <c r="X480" i="7"/>
  <c r="AA353" i="7"/>
  <c r="AA488" i="7"/>
  <c r="AA387" i="7"/>
  <c r="Z475" i="7"/>
  <c r="AA480" i="7"/>
  <c r="Z359" i="7"/>
  <c r="Z514" i="7"/>
  <c r="X346" i="7"/>
  <c r="AA489" i="7"/>
  <c r="AA358" i="7"/>
  <c r="Z316" i="7"/>
  <c r="AA506" i="7"/>
  <c r="AA460" i="7"/>
  <c r="AA461" i="7"/>
  <c r="Z431" i="7"/>
  <c r="Z346" i="7"/>
  <c r="X345" i="7"/>
  <c r="X396" i="7"/>
  <c r="AA457" i="7"/>
  <c r="AA368" i="7"/>
  <c r="AA459" i="7"/>
  <c r="Z495" i="7"/>
  <c r="AA472" i="7"/>
  <c r="Z441" i="7"/>
  <c r="Z499" i="7"/>
  <c r="X316" i="7"/>
  <c r="Z506" i="7"/>
  <c r="X445" i="7"/>
  <c r="X366" i="7"/>
  <c r="X368" i="7"/>
  <c r="AA462" i="7"/>
  <c r="AA445" i="7"/>
  <c r="Z515" i="7"/>
  <c r="AA467" i="7"/>
  <c r="AA522" i="7"/>
  <c r="AA471" i="7"/>
  <c r="Z416" i="7"/>
  <c r="X447" i="7"/>
  <c r="Z507" i="7"/>
  <c r="Z337" i="7"/>
  <c r="X490" i="7"/>
  <c r="X361" i="7"/>
  <c r="Z430" i="7"/>
  <c r="X420" i="7"/>
  <c r="X325" i="7"/>
  <c r="X430" i="7"/>
  <c r="Z505" i="7"/>
  <c r="Z364" i="7"/>
  <c r="AA518" i="7"/>
  <c r="Z512" i="7"/>
  <c r="X356" i="7"/>
  <c r="Z476" i="7"/>
  <c r="X319" i="7"/>
  <c r="X367" i="7"/>
  <c r="Z530" i="7"/>
  <c r="X323" i="7"/>
  <c r="X509" i="7"/>
  <c r="X482" i="7"/>
  <c r="X441" i="7"/>
  <c r="X318" i="7"/>
  <c r="X452" i="7"/>
  <c r="X477" i="7"/>
  <c r="X472" i="7"/>
  <c r="Z501" i="7"/>
  <c r="X378" i="7"/>
  <c r="X453" i="7"/>
  <c r="X527" i="7"/>
  <c r="Z363" i="7"/>
  <c r="X444" i="7"/>
  <c r="AA402" i="7"/>
  <c r="Z365" i="7"/>
  <c r="X503" i="7"/>
  <c r="Z339" i="7"/>
  <c r="X488" i="7"/>
  <c r="X483" i="7"/>
  <c r="Z456" i="7"/>
  <c r="X427" i="7"/>
  <c r="X450" i="7"/>
  <c r="X485" i="7"/>
  <c r="X479" i="7"/>
  <c r="X352" i="7"/>
  <c r="X370" i="7"/>
  <c r="AA345" i="7"/>
  <c r="X386" i="7"/>
  <c r="Z336" i="7"/>
  <c r="Z518" i="7"/>
  <c r="X508" i="7"/>
  <c r="X333" i="7"/>
  <c r="Z423" i="7"/>
  <c r="X523" i="7"/>
  <c r="AA403" i="7"/>
  <c r="Z319" i="7"/>
  <c r="X497" i="7"/>
  <c r="Z503" i="7"/>
  <c r="X454" i="7"/>
  <c r="X337" i="7"/>
  <c r="Z357" i="7"/>
  <c r="X385" i="7"/>
  <c r="X336" i="7"/>
  <c r="X514" i="7"/>
  <c r="X448" i="7"/>
  <c r="AA494" i="7"/>
  <c r="Z444" i="7"/>
  <c r="X402" i="7"/>
  <c r="X511" i="7"/>
  <c r="AA346" i="7"/>
  <c r="X526" i="7"/>
  <c r="X359" i="7"/>
  <c r="X312" i="7"/>
  <c r="Z366" i="7"/>
  <c r="Z343" i="7"/>
  <c r="AA377" i="7"/>
  <c r="Z466" i="7"/>
  <c r="X414" i="7"/>
  <c r="Z414" i="7"/>
  <c r="X522" i="7"/>
  <c r="X329" i="7"/>
  <c r="Z463" i="7"/>
  <c r="X516" i="7"/>
  <c r="X355" i="7"/>
  <c r="X411" i="7"/>
  <c r="X354" i="7"/>
  <c r="X528" i="7"/>
  <c r="F305" i="7"/>
  <c r="F296" i="7"/>
  <c r="F276" i="7"/>
  <c r="F295" i="7"/>
  <c r="F297" i="7"/>
  <c r="F282" i="7"/>
  <c r="F277" i="7"/>
  <c r="F293" i="7"/>
  <c r="F303" i="7"/>
  <c r="F363" i="7"/>
  <c r="W412" i="7"/>
  <c r="F437" i="7"/>
  <c r="W460" i="7"/>
  <c r="W445" i="7"/>
  <c r="F386" i="7"/>
  <c r="F512" i="7"/>
  <c r="W512" i="7"/>
  <c r="F422" i="7"/>
  <c r="W397" i="7"/>
  <c r="F349" i="7"/>
  <c r="W474" i="7"/>
  <c r="F474" i="7"/>
  <c r="W419" i="7"/>
  <c r="F450" i="7"/>
  <c r="W374" i="7"/>
  <c r="F368" i="7"/>
  <c r="W351" i="7"/>
  <c r="F384" i="7"/>
  <c r="W358" i="7"/>
  <c r="F359" i="7"/>
  <c r="W378" i="7"/>
  <c r="F518" i="7"/>
  <c r="W518" i="7"/>
  <c r="F452" i="7"/>
  <c r="W389" i="7"/>
  <c r="F340" i="7"/>
  <c r="W333" i="7"/>
  <c r="F366" i="7"/>
  <c r="W396" i="7"/>
  <c r="F440" i="7"/>
  <c r="W376" i="7"/>
  <c r="F339" i="7"/>
  <c r="W354" i="7"/>
  <c r="F326" i="7"/>
  <c r="W413" i="7"/>
  <c r="F438" i="7"/>
  <c r="W431" i="7"/>
  <c r="F356" i="7"/>
  <c r="W325" i="7"/>
  <c r="F503" i="7"/>
  <c r="W503" i="7"/>
  <c r="F314" i="7"/>
  <c r="W366" i="7"/>
  <c r="F404" i="7"/>
  <c r="W334" i="7"/>
  <c r="F411" i="7"/>
  <c r="W362" i="7"/>
  <c r="F377" i="7"/>
  <c r="W318" i="7"/>
  <c r="W471" i="7"/>
  <c r="F434" i="7"/>
  <c r="F529" i="7"/>
  <c r="W529" i="7"/>
  <c r="F463" i="7"/>
  <c r="W371" i="7"/>
  <c r="F501" i="7"/>
  <c r="W501" i="7"/>
  <c r="F394" i="7"/>
  <c r="W430" i="7"/>
  <c r="F468" i="7"/>
  <c r="W426" i="7"/>
  <c r="F403" i="7"/>
  <c r="W434" i="7"/>
  <c r="F419" i="7"/>
  <c r="W385" i="7"/>
  <c r="F378" i="7"/>
  <c r="W475" i="7"/>
  <c r="F406" i="7"/>
  <c r="W390" i="7"/>
  <c r="F412" i="7"/>
  <c r="W450" i="7"/>
  <c r="F376" i="7"/>
  <c r="W314" i="7"/>
  <c r="F371" i="7"/>
  <c r="W346" i="7"/>
  <c r="F420" i="7"/>
  <c r="W370" i="7"/>
  <c r="F316" i="7"/>
  <c r="W373" i="7"/>
  <c r="F424" i="7"/>
  <c r="W482" i="7"/>
  <c r="F481" i="7"/>
  <c r="W381" i="7"/>
  <c r="W485" i="7"/>
  <c r="F484" i="7"/>
  <c r="W345" i="7"/>
  <c r="F345" i="7"/>
  <c r="W379" i="7"/>
  <c r="F435" i="7"/>
  <c r="W348" i="7"/>
  <c r="F453" i="7"/>
  <c r="F497" i="7"/>
  <c r="W497" i="7"/>
  <c r="W525" i="7"/>
  <c r="F525" i="7"/>
  <c r="F470" i="7"/>
  <c r="W315" i="7"/>
  <c r="F458" i="7"/>
  <c r="W350" i="7"/>
  <c r="F355" i="7"/>
  <c r="W383" i="7"/>
  <c r="W489" i="7"/>
  <c r="F489" i="7"/>
  <c r="F473" i="7"/>
  <c r="W387" i="7"/>
  <c r="F357" i="7"/>
  <c r="W408" i="7"/>
  <c r="F331" i="7"/>
  <c r="W332" i="7"/>
  <c r="AA74" i="7"/>
  <c r="AA79" i="7"/>
  <c r="AA73" i="7"/>
  <c r="AA77" i="7"/>
  <c r="H43" i="34"/>
  <c r="D42" i="34"/>
  <c r="H40" i="34"/>
  <c r="H38" i="34"/>
  <c r="D37" i="34"/>
  <c r="G43" i="34"/>
  <c r="C43" i="34"/>
  <c r="G42" i="34"/>
  <c r="C42" i="34"/>
  <c r="G41" i="34"/>
  <c r="C41" i="34"/>
  <c r="G40" i="34"/>
  <c r="C40" i="34"/>
  <c r="G39" i="34"/>
  <c r="C39" i="34"/>
  <c r="G38" i="34"/>
  <c r="C38" i="34"/>
  <c r="G37" i="34"/>
  <c r="C37" i="34"/>
  <c r="D43" i="34"/>
  <c r="H41" i="34"/>
  <c r="D40" i="34"/>
  <c r="D39" i="34"/>
  <c r="H37" i="34"/>
  <c r="F43" i="34"/>
  <c r="B43" i="34"/>
  <c r="F42" i="34"/>
  <c r="B42" i="34"/>
  <c r="F41" i="34"/>
  <c r="B41" i="34"/>
  <c r="F40" i="34"/>
  <c r="B40" i="34"/>
  <c r="F39" i="34"/>
  <c r="B39" i="34"/>
  <c r="F38" i="34"/>
  <c r="B38" i="34"/>
  <c r="F37" i="34"/>
  <c r="B37" i="34"/>
  <c r="H42" i="34"/>
  <c r="D41" i="34"/>
  <c r="H39" i="34"/>
  <c r="D38" i="34"/>
  <c r="E43" i="34"/>
  <c r="A43" i="34"/>
  <c r="E42" i="34"/>
  <c r="A42" i="34"/>
  <c r="E41" i="34"/>
  <c r="A41" i="34"/>
  <c r="E40" i="34"/>
  <c r="A40" i="34"/>
  <c r="E39" i="34"/>
  <c r="A39" i="34"/>
  <c r="E38" i="34"/>
  <c r="A38" i="34"/>
  <c r="E37" i="34"/>
  <c r="A37" i="34"/>
  <c r="E36" i="34"/>
  <c r="H36" i="34"/>
  <c r="D36" i="34"/>
  <c r="G36" i="34"/>
  <c r="C36" i="34"/>
  <c r="F36" i="34"/>
  <c r="B36" i="34"/>
  <c r="A36" i="34"/>
  <c r="H31" i="34"/>
  <c r="D30" i="34"/>
  <c r="D28" i="34"/>
  <c r="D27" i="34"/>
  <c r="D26" i="34"/>
  <c r="H24" i="34"/>
  <c r="G32" i="34"/>
  <c r="C32" i="34"/>
  <c r="G31" i="34"/>
  <c r="C31" i="34"/>
  <c r="G30" i="34"/>
  <c r="C30" i="34"/>
  <c r="G29" i="34"/>
  <c r="C29" i="34"/>
  <c r="G28" i="34"/>
  <c r="C28" i="34"/>
  <c r="G27" i="34"/>
  <c r="C27" i="34"/>
  <c r="G26" i="34"/>
  <c r="C26" i="34"/>
  <c r="G25" i="34"/>
  <c r="C25" i="34"/>
  <c r="G24" i="34"/>
  <c r="C24" i="34"/>
  <c r="H32" i="34"/>
  <c r="D31" i="34"/>
  <c r="H29" i="34"/>
  <c r="H28" i="34"/>
  <c r="H27" i="34"/>
  <c r="H25" i="34"/>
  <c r="D24" i="34"/>
  <c r="F32" i="34"/>
  <c r="B32" i="34"/>
  <c r="F31" i="34"/>
  <c r="B31" i="34"/>
  <c r="F30" i="34"/>
  <c r="B30" i="34"/>
  <c r="F29" i="34"/>
  <c r="B29" i="34"/>
  <c r="F28" i="34"/>
  <c r="B28" i="34"/>
  <c r="F27" i="34"/>
  <c r="B27" i="34"/>
  <c r="F26" i="34"/>
  <c r="B26" i="34"/>
  <c r="F25" i="34"/>
  <c r="B25" i="34"/>
  <c r="F24" i="34"/>
  <c r="B24" i="34"/>
  <c r="D32" i="34"/>
  <c r="H30" i="34"/>
  <c r="D29" i="34"/>
  <c r="H26" i="34"/>
  <c r="D25" i="34"/>
  <c r="E32" i="34"/>
  <c r="A32" i="34"/>
  <c r="E31" i="34"/>
  <c r="A31" i="34"/>
  <c r="E30" i="34"/>
  <c r="A30" i="34"/>
  <c r="E29" i="34"/>
  <c r="A29" i="34"/>
  <c r="E28" i="34"/>
  <c r="A28" i="34"/>
  <c r="E27" i="34"/>
  <c r="A27" i="34"/>
  <c r="E26" i="34"/>
  <c r="A26" i="34"/>
  <c r="E25" i="34"/>
  <c r="A25" i="34"/>
  <c r="E24" i="34"/>
  <c r="A24" i="34"/>
  <c r="D23" i="34"/>
  <c r="G23" i="34"/>
  <c r="C23" i="34"/>
  <c r="E23" i="34"/>
  <c r="H23" i="34"/>
  <c r="F23" i="34"/>
  <c r="B23" i="34"/>
  <c r="A23" i="34"/>
  <c r="H6" i="34"/>
  <c r="D5" i="34"/>
  <c r="G6" i="34"/>
  <c r="C6" i="34"/>
  <c r="G5" i="34"/>
  <c r="C5" i="34"/>
  <c r="H5" i="34"/>
  <c r="F6" i="34"/>
  <c r="B6" i="34"/>
  <c r="F5" i="34"/>
  <c r="B5" i="34"/>
  <c r="D6" i="34"/>
  <c r="E6" i="34"/>
  <c r="A6" i="34"/>
  <c r="E5" i="34"/>
  <c r="A5" i="34"/>
  <c r="E4" i="34"/>
  <c r="H4" i="34"/>
  <c r="D4" i="34"/>
  <c r="G4" i="34"/>
  <c r="C4" i="34"/>
  <c r="F4" i="34"/>
  <c r="B4" i="34"/>
  <c r="A4" i="34"/>
  <c r="R39" i="6"/>
  <c r="N39" i="6"/>
  <c r="Q38" i="6"/>
  <c r="T37" i="6"/>
  <c r="P37" i="6"/>
  <c r="O43" i="6"/>
  <c r="N42" i="6"/>
  <c r="P40" i="6"/>
  <c r="O39" i="6"/>
  <c r="N38" i="6"/>
  <c r="R43" i="6"/>
  <c r="Q42" i="6"/>
  <c r="T41" i="6"/>
  <c r="S40" i="6"/>
  <c r="Q43" i="6"/>
  <c r="T42" i="6"/>
  <c r="P42" i="6"/>
  <c r="S41" i="6"/>
  <c r="O41" i="6"/>
  <c r="R40" i="6"/>
  <c r="N40" i="6"/>
  <c r="Q39" i="6"/>
  <c r="T38" i="6"/>
  <c r="P38" i="6"/>
  <c r="S37" i="6"/>
  <c r="O37" i="6"/>
  <c r="S43" i="6"/>
  <c r="R42" i="6"/>
  <c r="Q41" i="6"/>
  <c r="T40" i="6"/>
  <c r="S39" i="6"/>
  <c r="R38" i="6"/>
  <c r="Q37" i="6"/>
  <c r="N43" i="6"/>
  <c r="P41" i="6"/>
  <c r="O40" i="6"/>
  <c r="T43" i="6"/>
  <c r="P43" i="6"/>
  <c r="S42" i="6"/>
  <c r="O42" i="6"/>
  <c r="R41" i="6"/>
  <c r="N41" i="6"/>
  <c r="Q40" i="6"/>
  <c r="T39" i="6"/>
  <c r="P39" i="6"/>
  <c r="S38" i="6"/>
  <c r="O38" i="6"/>
  <c r="R37" i="6"/>
  <c r="N37" i="6"/>
  <c r="T36" i="6"/>
  <c r="R36" i="6"/>
  <c r="Q36" i="6"/>
  <c r="P36" i="6"/>
  <c r="S36" i="6"/>
  <c r="O36" i="6"/>
  <c r="N36" i="6"/>
  <c r="M36" i="6"/>
  <c r="Q6" i="6"/>
  <c r="M5" i="6"/>
  <c r="T6" i="6"/>
  <c r="P6" i="6"/>
  <c r="T5" i="6"/>
  <c r="P5" i="6"/>
  <c r="Q5" i="6"/>
  <c r="S6" i="6"/>
  <c r="O6" i="6"/>
  <c r="S5" i="6"/>
  <c r="O5" i="6"/>
  <c r="M6" i="6"/>
  <c r="R6" i="6"/>
  <c r="N6" i="6"/>
  <c r="R5" i="6"/>
  <c r="N5" i="6"/>
  <c r="Q4" i="6"/>
  <c r="P4" i="6"/>
  <c r="S4" i="6"/>
  <c r="O4" i="6"/>
  <c r="T4" i="6"/>
  <c r="R4" i="6"/>
  <c r="N4" i="6"/>
  <c r="M4" i="6"/>
  <c r="Z548" i="29"/>
  <c r="AC548" i="29"/>
  <c r="W548" i="29"/>
  <c r="AF548" i="29"/>
  <c r="T548" i="29"/>
  <c r="U548" i="29" l="1"/>
  <c r="V548" i="29" s="1"/>
  <c r="AG548" i="29"/>
  <c r="AH548" i="29" s="1"/>
  <c r="X548" i="29"/>
  <c r="Y548" i="29" s="1"/>
  <c r="AD548" i="29"/>
  <c r="AE548" i="29" s="1"/>
  <c r="AA548" i="29"/>
  <c r="AB548" i="29" s="1"/>
  <c r="W162" i="7"/>
  <c r="W276" i="7"/>
  <c r="W157" i="7"/>
  <c r="W217" i="7"/>
  <c r="W246" i="7"/>
  <c r="W161" i="7"/>
  <c r="W85" i="7"/>
  <c r="W292" i="7"/>
  <c r="W297" i="7"/>
  <c r="W134" i="7"/>
  <c r="W239" i="7"/>
  <c r="W160" i="7"/>
  <c r="W132" i="7"/>
  <c r="W137" i="7"/>
  <c r="W185" i="7"/>
  <c r="W95" i="7"/>
  <c r="W277" i="7"/>
  <c r="W272" i="7"/>
  <c r="W105" i="7"/>
  <c r="W253" i="7"/>
  <c r="W104" i="7"/>
  <c r="W92" i="7"/>
  <c r="W261" i="7"/>
  <c r="Z183" i="7"/>
  <c r="W143" i="7"/>
  <c r="W269" i="7"/>
  <c r="W211" i="7"/>
  <c r="W107" i="7"/>
  <c r="W201" i="7"/>
  <c r="W216" i="7"/>
  <c r="W153" i="7"/>
  <c r="W268" i="7"/>
  <c r="W135" i="7"/>
  <c r="W96" i="7"/>
  <c r="W150" i="7"/>
  <c r="Z145" i="7"/>
  <c r="Z98" i="7"/>
  <c r="AA250" i="7"/>
  <c r="F223" i="7"/>
  <c r="W223" i="7"/>
  <c r="W289" i="7"/>
  <c r="W287" i="7"/>
  <c r="W286" i="7"/>
  <c r="W280" i="7"/>
  <c r="W274" i="7"/>
  <c r="W304" i="7"/>
  <c r="W273" i="7"/>
  <c r="W140" i="7"/>
  <c r="W226" i="7"/>
  <c r="W138" i="7"/>
  <c r="W94" i="7"/>
  <c r="W249" i="7"/>
  <c r="W91" i="7"/>
  <c r="W186" i="7"/>
  <c r="W265" i="7"/>
  <c r="W179" i="7"/>
  <c r="W232" i="7"/>
  <c r="W264" i="7"/>
  <c r="W183" i="7"/>
  <c r="W181" i="7"/>
  <c r="W245" i="7"/>
  <c r="W267" i="7"/>
  <c r="W180" i="7"/>
  <c r="W115" i="7"/>
  <c r="W266" i="7"/>
  <c r="W256" i="7"/>
  <c r="W252" i="7"/>
  <c r="W97" i="7"/>
  <c r="W120" i="7"/>
  <c r="W190" i="7"/>
  <c r="W110" i="7"/>
  <c r="W117" i="7"/>
  <c r="W149" i="7"/>
  <c r="W237" i="7"/>
  <c r="W142" i="7"/>
  <c r="W152" i="7"/>
  <c r="W230" i="7"/>
  <c r="W163" i="7"/>
  <c r="W270" i="7"/>
  <c r="W114" i="7"/>
  <c r="W156" i="7"/>
  <c r="W202" i="7"/>
  <c r="W227" i="7"/>
  <c r="W166" i="7"/>
  <c r="W198" i="7"/>
  <c r="W124" i="7"/>
  <c r="W167" i="7"/>
  <c r="W212" i="7"/>
  <c r="W242" i="7"/>
  <c r="W231" i="7"/>
  <c r="W119" i="7"/>
  <c r="W191" i="7"/>
  <c r="W229" i="7"/>
  <c r="W127" i="7"/>
  <c r="W284" i="7"/>
  <c r="W299" i="7"/>
  <c r="W283" i="7"/>
  <c r="W278" i="7"/>
  <c r="W294" i="7"/>
  <c r="W171" i="7"/>
  <c r="W164" i="7"/>
  <c r="W147" i="7"/>
  <c r="W262" i="7"/>
  <c r="W263" i="7"/>
  <c r="W215" i="7"/>
  <c r="W220" i="7"/>
  <c r="W106" i="7"/>
  <c r="W225" i="7"/>
  <c r="W136" i="7"/>
  <c r="W260" i="7"/>
  <c r="W125" i="7"/>
  <c r="W130" i="7"/>
  <c r="W129" i="7"/>
  <c r="W224" i="7"/>
  <c r="W122" i="7"/>
  <c r="W203" i="7"/>
  <c r="W123" i="7"/>
  <c r="W154" i="7"/>
  <c r="W101" i="7"/>
  <c r="W176" i="7"/>
  <c r="W177" i="7"/>
  <c r="W238" i="7"/>
  <c r="W210" i="7"/>
  <c r="W291" i="7"/>
  <c r="W88" i="7"/>
  <c r="W195" i="7"/>
  <c r="W208" i="7"/>
  <c r="W251" i="7"/>
  <c r="W151" i="7"/>
  <c r="W113" i="7"/>
  <c r="W250" i="7"/>
  <c r="W168" i="7"/>
  <c r="W213" i="7"/>
  <c r="W116" i="7"/>
  <c r="W235" i="7"/>
  <c r="W254" i="7"/>
  <c r="W244" i="7"/>
  <c r="W111" i="7"/>
  <c r="W112" i="7"/>
  <c r="W178" i="7"/>
  <c r="W172" i="7"/>
  <c r="W98" i="7"/>
  <c r="W174" i="7"/>
  <c r="W259" i="7"/>
  <c r="W159" i="7"/>
  <c r="W93" i="7"/>
  <c r="W236" i="7"/>
  <c r="W241" i="7"/>
  <c r="W206" i="7"/>
  <c r="W194" i="7"/>
  <c r="W218" i="7"/>
  <c r="W204" i="7"/>
  <c r="W144" i="7"/>
  <c r="W207" i="7"/>
  <c r="W248" i="7"/>
  <c r="W141" i="7"/>
  <c r="W128" i="7"/>
  <c r="W240" i="7"/>
  <c r="W121" i="7"/>
  <c r="W192" i="7"/>
  <c r="W131" i="7"/>
  <c r="W222" i="7"/>
  <c r="W247" i="7"/>
  <c r="W118" i="7"/>
  <c r="W108" i="7"/>
  <c r="W145" i="7"/>
  <c r="W209" i="7"/>
  <c r="W170" i="7"/>
  <c r="W173" i="7"/>
  <c r="W296" i="7"/>
  <c r="W295" i="7"/>
  <c r="W282" i="7"/>
  <c r="W293" i="7"/>
  <c r="W301" i="7"/>
  <c r="W281" i="7"/>
  <c r="W300" i="7"/>
  <c r="W288" i="7"/>
  <c r="W298" i="7"/>
  <c r="W285" i="7"/>
  <c r="W275" i="7"/>
  <c r="W234" i="7"/>
  <c r="W126" i="7"/>
  <c r="W193" i="7"/>
  <c r="W199" i="7"/>
  <c r="W228" i="7"/>
  <c r="W133" i="7"/>
  <c r="W200" i="7"/>
  <c r="W219" i="7"/>
  <c r="W197" i="7"/>
  <c r="W158" i="7"/>
  <c r="W188" i="7"/>
  <c r="W221" i="7"/>
  <c r="W102" i="7"/>
  <c r="W196" i="7"/>
  <c r="W187" i="7"/>
  <c r="W271" i="7"/>
  <c r="W182" i="7"/>
  <c r="W87" i="7"/>
  <c r="W214" i="7"/>
  <c r="W103" i="7"/>
  <c r="W86" i="7"/>
  <c r="W257" i="7"/>
  <c r="W205" i="7"/>
  <c r="W302" i="7"/>
  <c r="W290" i="7"/>
  <c r="W303" i="7"/>
  <c r="W305" i="7"/>
  <c r="Z109" i="7"/>
  <c r="W175" i="7"/>
  <c r="W258" i="7"/>
  <c r="W148" i="7"/>
  <c r="W165" i="7"/>
  <c r="W100" i="7"/>
  <c r="W243" i="7"/>
  <c r="W184" i="7"/>
  <c r="W139" i="7"/>
  <c r="W155" i="7"/>
  <c r="W90" i="7"/>
  <c r="W233" i="7"/>
  <c r="W146" i="7"/>
  <c r="W279" i="7"/>
  <c r="Z152" i="7"/>
  <c r="Z177" i="7"/>
  <c r="Z271" i="7"/>
  <c r="Z132" i="7"/>
  <c r="X91" i="7"/>
  <c r="Z151" i="7"/>
  <c r="Z173" i="7"/>
  <c r="Z99" i="7"/>
  <c r="Z293" i="7"/>
  <c r="Z181" i="7"/>
  <c r="Z86" i="7"/>
  <c r="F123" i="7"/>
  <c r="Z304" i="7"/>
  <c r="Z164" i="7"/>
  <c r="Z241" i="7"/>
  <c r="Z176" i="7"/>
  <c r="Z121" i="7"/>
  <c r="Z147" i="7"/>
  <c r="Z258" i="7"/>
  <c r="Z200" i="7"/>
  <c r="Z141" i="7"/>
  <c r="Z245" i="7"/>
  <c r="Z290" i="7"/>
  <c r="Z85" i="7"/>
  <c r="Z102" i="7"/>
  <c r="Z146" i="7"/>
  <c r="Z88" i="7"/>
  <c r="Z223" i="7"/>
  <c r="Z252" i="7"/>
  <c r="Z207" i="7"/>
  <c r="Z104" i="7"/>
  <c r="Z187" i="7"/>
  <c r="X110" i="7"/>
  <c r="Z296" i="7"/>
  <c r="Z108" i="7"/>
  <c r="Z144" i="7"/>
  <c r="Z266" i="7"/>
  <c r="Z171" i="7"/>
  <c r="Z233" i="7"/>
  <c r="Z289" i="7"/>
  <c r="X285" i="7"/>
  <c r="Z300" i="7"/>
  <c r="X149" i="7"/>
  <c r="X224" i="7"/>
  <c r="X243" i="7"/>
  <c r="X116" i="7"/>
  <c r="X267" i="7"/>
  <c r="X303" i="7"/>
  <c r="Z299" i="7"/>
  <c r="Z292" i="7"/>
  <c r="AA152" i="7"/>
  <c r="X181" i="7"/>
  <c r="X137" i="7"/>
  <c r="X177" i="7"/>
  <c r="X245" i="7"/>
  <c r="AA247" i="7"/>
  <c r="AA281" i="7"/>
  <c r="X146" i="7"/>
  <c r="X167" i="7"/>
  <c r="X101" i="7"/>
  <c r="X261" i="7"/>
  <c r="AA282" i="7"/>
  <c r="AA295" i="7"/>
  <c r="Z94" i="7"/>
  <c r="Z249" i="7"/>
  <c r="Z210" i="7"/>
  <c r="Z131" i="7"/>
  <c r="Z208" i="7"/>
  <c r="Z142" i="7"/>
  <c r="Z231" i="7"/>
  <c r="Z116" i="7"/>
  <c r="Z143" i="7"/>
  <c r="Z192" i="7"/>
  <c r="Z209" i="7"/>
  <c r="Z247" i="7"/>
  <c r="Z169" i="7"/>
  <c r="Z191" i="7"/>
  <c r="Z137" i="7"/>
  <c r="Z97" i="7"/>
  <c r="Z217" i="7"/>
  <c r="Z243" i="7"/>
  <c r="Z175" i="7"/>
  <c r="Z268" i="7"/>
  <c r="Z89" i="7"/>
  <c r="Z204" i="7"/>
  <c r="Z135" i="7"/>
  <c r="Z193" i="7"/>
  <c r="Z263" i="7"/>
  <c r="Z127" i="7"/>
  <c r="Z179" i="7"/>
  <c r="Z125" i="7"/>
  <c r="Z196" i="7"/>
  <c r="Z105" i="7"/>
  <c r="Z140" i="7"/>
  <c r="Z227" i="7"/>
  <c r="Z130" i="7"/>
  <c r="Z250" i="7"/>
  <c r="Z212" i="7"/>
  <c r="Z91" i="7"/>
  <c r="Z273" i="7"/>
  <c r="AA85" i="7"/>
  <c r="AA131" i="7"/>
  <c r="Z272" i="7"/>
  <c r="Z295" i="7"/>
  <c r="Z276" i="7"/>
  <c r="AA273" i="7"/>
  <c r="Z305" i="7"/>
  <c r="Z264" i="7"/>
  <c r="Z114" i="7"/>
  <c r="Z203" i="7"/>
  <c r="Z117" i="7"/>
  <c r="Z190" i="7"/>
  <c r="Z101" i="7"/>
  <c r="Z119" i="7"/>
  <c r="Z188" i="7"/>
  <c r="Z265" i="7"/>
  <c r="Z167" i="7"/>
  <c r="Z158" i="7"/>
  <c r="Z269" i="7"/>
  <c r="Z111" i="7"/>
  <c r="Z201" i="7"/>
  <c r="Z206" i="7"/>
  <c r="Z267" i="7"/>
  <c r="Z122" i="7"/>
  <c r="Z198" i="7"/>
  <c r="Z213" i="7"/>
  <c r="Z251" i="7"/>
  <c r="Z255" i="7"/>
  <c r="Z149" i="7"/>
  <c r="Z90" i="7"/>
  <c r="Z107" i="7"/>
  <c r="Z134" i="7"/>
  <c r="Z153" i="7"/>
  <c r="Z136" i="7"/>
  <c r="Z166" i="7"/>
  <c r="Z172" i="7"/>
  <c r="Z195" i="7"/>
  <c r="Z160" i="7"/>
  <c r="Z115" i="7"/>
  <c r="Z253" i="7"/>
  <c r="Z230" i="7"/>
  <c r="Z120" i="7"/>
  <c r="Z224" i="7"/>
  <c r="Z275" i="7"/>
  <c r="AA143" i="7"/>
  <c r="AA204" i="7"/>
  <c r="AA276" i="7"/>
  <c r="Z277" i="7"/>
  <c r="Z281" i="7"/>
  <c r="Z294" i="7"/>
  <c r="AA287" i="7"/>
  <c r="Z126" i="7"/>
  <c r="Z100" i="7"/>
  <c r="Z163" i="7"/>
  <c r="Z161" i="7"/>
  <c r="Z159" i="7"/>
  <c r="Z229" i="7"/>
  <c r="Z214" i="7"/>
  <c r="Z194" i="7"/>
  <c r="Z155" i="7"/>
  <c r="Z123" i="7"/>
  <c r="Z103" i="7"/>
  <c r="Z238" i="7"/>
  <c r="Z162" i="7"/>
  <c r="Z180" i="7"/>
  <c r="Z254" i="7"/>
  <c r="Z112" i="7"/>
  <c r="Z157" i="7"/>
  <c r="Z124" i="7"/>
  <c r="Z221" i="7"/>
  <c r="Z222" i="7"/>
  <c r="Z154" i="7"/>
  <c r="Z262" i="7"/>
  <c r="Z234" i="7"/>
  <c r="Z235" i="7"/>
  <c r="Z197" i="7"/>
  <c r="Z240" i="7"/>
  <c r="Z220" i="7"/>
  <c r="Z242" i="7"/>
  <c r="Z228" i="7"/>
  <c r="Z256" i="7"/>
  <c r="Z150" i="7"/>
  <c r="Z189" i="7"/>
  <c r="Z106" i="7"/>
  <c r="Z244" i="7"/>
  <c r="Z260" i="7"/>
  <c r="Z96" i="7"/>
  <c r="Z133" i="7"/>
  <c r="Z298" i="7"/>
  <c r="AA151" i="7"/>
  <c r="Z302" i="7"/>
  <c r="Z303" i="7"/>
  <c r="Z274" i="7"/>
  <c r="AA285" i="7"/>
  <c r="AA298" i="7"/>
  <c r="X286" i="7"/>
  <c r="X295" i="7"/>
  <c r="X194" i="7"/>
  <c r="X255" i="7"/>
  <c r="X210" i="7"/>
  <c r="X143" i="7"/>
  <c r="X175" i="7"/>
  <c r="X233" i="7"/>
  <c r="X178" i="7"/>
  <c r="X249" i="7"/>
  <c r="X184" i="7"/>
  <c r="X254" i="7"/>
  <c r="X250" i="7"/>
  <c r="X122" i="7"/>
  <c r="X180" i="7"/>
  <c r="X193" i="7"/>
  <c r="X165" i="7"/>
  <c r="X283" i="7"/>
  <c r="AA280" i="7"/>
  <c r="AA93" i="7"/>
  <c r="AA115" i="7"/>
  <c r="AA242" i="7"/>
  <c r="AA91" i="7"/>
  <c r="AA163" i="7"/>
  <c r="AA138" i="7"/>
  <c r="AA198" i="7"/>
  <c r="AA141" i="7"/>
  <c r="X294" i="7"/>
  <c r="X301" i="7"/>
  <c r="X256" i="7"/>
  <c r="X151" i="7"/>
  <c r="X94" i="7"/>
  <c r="X128" i="7"/>
  <c r="X223" i="7"/>
  <c r="X268" i="7"/>
  <c r="X204" i="7"/>
  <c r="X95" i="7"/>
  <c r="X134" i="7"/>
  <c r="X108" i="7"/>
  <c r="X206" i="7"/>
  <c r="X140" i="7"/>
  <c r="X201" i="7"/>
  <c r="X209" i="7"/>
  <c r="X246" i="7"/>
  <c r="AA94" i="7"/>
  <c r="AA209" i="7"/>
  <c r="AA270" i="7"/>
  <c r="AA169" i="7"/>
  <c r="AA184" i="7"/>
  <c r="AA181" i="7"/>
  <c r="AA197" i="7"/>
  <c r="AA185" i="7"/>
  <c r="AA244" i="7"/>
  <c r="X300" i="7"/>
  <c r="X192" i="7"/>
  <c r="X136" i="7"/>
  <c r="X211" i="7"/>
  <c r="X126" i="7"/>
  <c r="X145" i="7"/>
  <c r="X195" i="7"/>
  <c r="X85" i="7"/>
  <c r="X203" i="7"/>
  <c r="X230" i="7"/>
  <c r="X228" i="7"/>
  <c r="X212" i="7"/>
  <c r="X96" i="7"/>
  <c r="X188" i="7"/>
  <c r="X270" i="7"/>
  <c r="X208" i="7"/>
  <c r="AA129" i="7"/>
  <c r="AA267" i="7"/>
  <c r="AA191" i="7"/>
  <c r="AA165" i="7"/>
  <c r="AA192" i="7"/>
  <c r="AA112" i="7"/>
  <c r="AA271" i="7"/>
  <c r="AA210" i="7"/>
  <c r="X305" i="7"/>
  <c r="X280" i="7"/>
  <c r="X99" i="7"/>
  <c r="X222" i="7"/>
  <c r="X220" i="7"/>
  <c r="X164" i="7"/>
  <c r="X102" i="7"/>
  <c r="X248" i="7"/>
  <c r="X265" i="7"/>
  <c r="X252" i="7"/>
  <c r="X257" i="7"/>
  <c r="X87" i="7"/>
  <c r="X238" i="7"/>
  <c r="X241" i="7"/>
  <c r="X150" i="7"/>
  <c r="X170" i="7"/>
  <c r="X117" i="7"/>
  <c r="X90" i="7"/>
  <c r="X115" i="7"/>
  <c r="X156" i="7"/>
  <c r="X235" i="7"/>
  <c r="X205" i="7"/>
  <c r="X172" i="7"/>
  <c r="AA286" i="7"/>
  <c r="AA189" i="7"/>
  <c r="AA167" i="7"/>
  <c r="AA146" i="7"/>
  <c r="AA117" i="7"/>
  <c r="AA156" i="7"/>
  <c r="AA170" i="7"/>
  <c r="AA183" i="7"/>
  <c r="AA90" i="7"/>
  <c r="AA122" i="7"/>
  <c r="AA104" i="7"/>
  <c r="AA101" i="7"/>
  <c r="Z297" i="7"/>
  <c r="Z282" i="7"/>
  <c r="Z278" i="7"/>
  <c r="Z288" i="7"/>
  <c r="Z279" i="7"/>
  <c r="Z291" i="7"/>
  <c r="Z287" i="7"/>
  <c r="Z286" i="7"/>
  <c r="Z284" i="7"/>
  <c r="Z285" i="7"/>
  <c r="Z301" i="7"/>
  <c r="Z283" i="7"/>
  <c r="Z232" i="7"/>
  <c r="Z148" i="7"/>
  <c r="Z259" i="7"/>
  <c r="Z218" i="7"/>
  <c r="Z168" i="7"/>
  <c r="Z225" i="7"/>
  <c r="Z248" i="7"/>
  <c r="Z156" i="7"/>
  <c r="Z118" i="7"/>
  <c r="Z95" i="7"/>
  <c r="Z226" i="7"/>
  <c r="Z185" i="7"/>
  <c r="Z170" i="7"/>
  <c r="Z110" i="7"/>
  <c r="Z178" i="7"/>
  <c r="Z257" i="7"/>
  <c r="Z139" i="7"/>
  <c r="Z93" i="7"/>
  <c r="Z128" i="7"/>
  <c r="Z237" i="7"/>
  <c r="Z87" i="7"/>
  <c r="Z186" i="7"/>
  <c r="Z215" i="7"/>
  <c r="Z205" i="7"/>
  <c r="Z129" i="7"/>
  <c r="Z165" i="7"/>
  <c r="Z199" i="7"/>
  <c r="Z92" i="7"/>
  <c r="Z236" i="7"/>
  <c r="Z182" i="7"/>
  <c r="Z174" i="7"/>
  <c r="Z239" i="7"/>
  <c r="Z219" i="7"/>
  <c r="Z261" i="7"/>
  <c r="Z216" i="7"/>
  <c r="Z202" i="7"/>
  <c r="Z246" i="7"/>
  <c r="Z211" i="7"/>
  <c r="Z113" i="7"/>
  <c r="Z184" i="7"/>
  <c r="Z270" i="7"/>
  <c r="Z138" i="7"/>
  <c r="Z280" i="7"/>
  <c r="X298" i="7"/>
  <c r="AA288" i="7"/>
  <c r="AA297" i="7"/>
  <c r="AA301" i="7"/>
  <c r="AA272" i="7"/>
  <c r="AA303" i="7"/>
  <c r="AA279" i="7"/>
  <c r="AA149" i="7"/>
  <c r="AA103" i="7"/>
  <c r="AA237" i="7"/>
  <c r="AA86" i="7"/>
  <c r="AA105" i="7"/>
  <c r="AA186" i="7"/>
  <c r="AA217" i="7"/>
  <c r="AA153" i="7"/>
  <c r="AA87" i="7"/>
  <c r="AA130" i="7"/>
  <c r="AA121" i="7"/>
  <c r="AA127" i="7"/>
  <c r="AA182" i="7"/>
  <c r="AA262" i="7"/>
  <c r="AA264" i="7"/>
  <c r="AA232" i="7"/>
  <c r="AA265" i="7"/>
  <c r="AA111" i="7"/>
  <c r="AA177" i="7"/>
  <c r="AA239" i="7"/>
  <c r="AA116" i="7"/>
  <c r="AA160" i="7"/>
  <c r="AA259" i="7"/>
  <c r="AA215" i="7"/>
  <c r="AA97" i="7"/>
  <c r="AA161" i="7"/>
  <c r="AA139" i="7"/>
  <c r="AA257" i="7"/>
  <c r="AA179" i="7"/>
  <c r="AA98" i="7"/>
  <c r="AA196" i="7"/>
  <c r="AA208" i="7"/>
  <c r="AA195" i="7"/>
  <c r="AA212" i="7"/>
  <c r="AA207" i="7"/>
  <c r="AA205" i="7"/>
  <c r="AA269" i="7"/>
  <c r="AA243" i="7"/>
  <c r="AA261" i="7"/>
  <c r="AA166" i="7"/>
  <c r="AA108" i="7"/>
  <c r="AA120" i="7"/>
  <c r="AA176" i="7"/>
  <c r="AA246" i="7"/>
  <c r="AA249" i="7"/>
  <c r="AA214" i="7"/>
  <c r="AA225" i="7"/>
  <c r="AA291" i="7"/>
  <c r="AA304" i="7"/>
  <c r="AA302" i="7"/>
  <c r="AA283" i="7"/>
  <c r="AA278" i="7"/>
  <c r="AA290" i="7"/>
  <c r="AA277" i="7"/>
  <c r="AA299" i="7"/>
  <c r="AA235" i="7"/>
  <c r="AA162" i="7"/>
  <c r="AA188" i="7"/>
  <c r="AA305" i="7"/>
  <c r="AA292" i="7"/>
  <c r="AA274" i="7"/>
  <c r="AA300" i="7"/>
  <c r="AA294" i="7"/>
  <c r="AA296" i="7"/>
  <c r="AA92" i="7"/>
  <c r="AA99" i="7"/>
  <c r="AA233" i="7"/>
  <c r="AA142" i="7"/>
  <c r="AA221" i="7"/>
  <c r="AA236" i="7"/>
  <c r="AA229" i="7"/>
  <c r="AA256" i="7"/>
  <c r="AA118" i="7"/>
  <c r="AA224" i="7"/>
  <c r="AA145" i="7"/>
  <c r="AA258" i="7"/>
  <c r="AA124" i="7"/>
  <c r="AA240" i="7"/>
  <c r="AA159" i="7"/>
  <c r="AA88" i="7"/>
  <c r="AA230" i="7"/>
  <c r="AA203" i="7"/>
  <c r="AA157" i="7"/>
  <c r="AA245" i="7"/>
  <c r="AA223" i="7"/>
  <c r="AA263" i="7"/>
  <c r="AA113" i="7"/>
  <c r="AA135" i="7"/>
  <c r="AA226" i="7"/>
  <c r="AA171" i="7"/>
  <c r="AA107" i="7"/>
  <c r="AA228" i="7"/>
  <c r="AA199" i="7"/>
  <c r="AA110" i="7"/>
  <c r="AA164" i="7"/>
  <c r="AA213" i="7"/>
  <c r="AA218" i="7"/>
  <c r="AA251" i="7"/>
  <c r="AA123" i="7"/>
  <c r="AA133" i="7"/>
  <c r="AA154" i="7"/>
  <c r="AA168" i="7"/>
  <c r="AA158" i="7"/>
  <c r="AA219" i="7"/>
  <c r="AA173" i="7"/>
  <c r="AA95" i="7"/>
  <c r="AA268" i="7"/>
  <c r="AA201" i="7"/>
  <c r="AA202" i="7"/>
  <c r="AA100" i="7"/>
  <c r="AA155" i="7"/>
  <c r="AA293" i="7"/>
  <c r="F90" i="7"/>
  <c r="X296" i="7"/>
  <c r="X276" i="7"/>
  <c r="X290" i="7"/>
  <c r="X293" i="7"/>
  <c r="X274" i="7"/>
  <c r="X304" i="7"/>
  <c r="X302" i="7"/>
  <c r="X272" i="7"/>
  <c r="X282" i="7"/>
  <c r="X277" i="7"/>
  <c r="X287" i="7"/>
  <c r="X299" i="7"/>
  <c r="X275" i="7"/>
  <c r="X297" i="7"/>
  <c r="X273" i="7"/>
  <c r="X289" i="7"/>
  <c r="X281" i="7"/>
  <c r="X284" i="7"/>
  <c r="X279" i="7"/>
  <c r="X292" i="7"/>
  <c r="X288" i="7"/>
  <c r="X160" i="7"/>
  <c r="X93" i="7"/>
  <c r="X231" i="7"/>
  <c r="X106" i="7"/>
  <c r="X214" i="7"/>
  <c r="X207" i="7"/>
  <c r="X92" i="7"/>
  <c r="X89" i="7"/>
  <c r="X232" i="7"/>
  <c r="X173" i="7"/>
  <c r="X266" i="7"/>
  <c r="X259" i="7"/>
  <c r="X239" i="7"/>
  <c r="X114" i="7"/>
  <c r="X129" i="7"/>
  <c r="X191" i="7"/>
  <c r="X155" i="7"/>
  <c r="X104" i="7"/>
  <c r="X142" i="7"/>
  <c r="X271" i="7"/>
  <c r="X159" i="7"/>
  <c r="X121" i="7"/>
  <c r="X171" i="7"/>
  <c r="X269" i="7"/>
  <c r="X169" i="7"/>
  <c r="X154" i="7"/>
  <c r="X125" i="7"/>
  <c r="X118" i="7"/>
  <c r="X225" i="7"/>
  <c r="X139" i="7"/>
  <c r="X130" i="7"/>
  <c r="X215" i="7"/>
  <c r="X127" i="7"/>
  <c r="X242" i="7"/>
  <c r="X189" i="7"/>
  <c r="X162" i="7"/>
  <c r="X198" i="7"/>
  <c r="X227" i="7"/>
  <c r="X138" i="7"/>
  <c r="X234" i="7"/>
  <c r="X107" i="7"/>
  <c r="X112" i="7"/>
  <c r="X202" i="7"/>
  <c r="X158" i="7"/>
  <c r="X217" i="7"/>
  <c r="X264" i="7"/>
  <c r="X262" i="7"/>
  <c r="X166" i="7"/>
  <c r="X183" i="7"/>
  <c r="X105" i="7"/>
  <c r="X251" i="7"/>
  <c r="X133" i="7"/>
  <c r="X196" i="7"/>
  <c r="X111" i="7"/>
  <c r="X144" i="7"/>
  <c r="X157" i="7"/>
  <c r="X221" i="7"/>
  <c r="X86" i="7"/>
  <c r="X226" i="7"/>
  <c r="X103" i="7"/>
  <c r="X186" i="7"/>
  <c r="X199" i="7"/>
  <c r="X153" i="7"/>
  <c r="X98" i="7"/>
  <c r="X109" i="7"/>
  <c r="AA137" i="7"/>
  <c r="AA266" i="7"/>
  <c r="AA260" i="7"/>
  <c r="AA102" i="7"/>
  <c r="AA128" i="7"/>
  <c r="AA172" i="7"/>
  <c r="AA109" i="7"/>
  <c r="AA253" i="7"/>
  <c r="AA89" i="7"/>
  <c r="AA234" i="7"/>
  <c r="AA200" i="7"/>
  <c r="AA193" i="7"/>
  <c r="AA206" i="7"/>
  <c r="AA132" i="7"/>
  <c r="AA134" i="7"/>
  <c r="AA241" i="7"/>
  <c r="AA96" i="7"/>
  <c r="AA106" i="7"/>
  <c r="AA180" i="7"/>
  <c r="AA175" i="7"/>
  <c r="AA252" i="7"/>
  <c r="AA211" i="7"/>
  <c r="AA187" i="7"/>
  <c r="AA289" i="7"/>
  <c r="X278" i="7"/>
  <c r="X88" i="7"/>
  <c r="X135" i="7"/>
  <c r="X124" i="7"/>
  <c r="X258" i="7"/>
  <c r="X174" i="7"/>
  <c r="X147" i="7"/>
  <c r="X97" i="7"/>
  <c r="X197" i="7"/>
  <c r="X240" i="7"/>
  <c r="X263" i="7"/>
  <c r="X236" i="7"/>
  <c r="X190" i="7"/>
  <c r="X218" i="7"/>
  <c r="X213" i="7"/>
  <c r="X237" i="7"/>
  <c r="X120" i="7"/>
  <c r="X253" i="7"/>
  <c r="X131" i="7"/>
  <c r="X244" i="7"/>
  <c r="X229" i="7"/>
  <c r="X185" i="7"/>
  <c r="X119" i="7"/>
  <c r="X200" i="7"/>
  <c r="X182" i="7"/>
  <c r="X187" i="7"/>
  <c r="X168" i="7"/>
  <c r="X163" i="7"/>
  <c r="X141" i="7"/>
  <c r="X216" i="7"/>
  <c r="X100" i="7"/>
  <c r="X260" i="7"/>
  <c r="X113" i="7"/>
  <c r="X123" i="7"/>
  <c r="X152" i="7"/>
  <c r="X247" i="7"/>
  <c r="X179" i="7"/>
  <c r="X161" i="7"/>
  <c r="X219" i="7"/>
  <c r="X132" i="7"/>
  <c r="X148" i="7"/>
  <c r="X176" i="7"/>
  <c r="X291" i="7"/>
  <c r="AA231" i="7"/>
  <c r="AA227" i="7"/>
  <c r="AA126" i="7"/>
  <c r="AA248" i="7"/>
  <c r="AA254" i="7"/>
  <c r="AA178" i="7"/>
  <c r="AA148" i="7"/>
  <c r="AA190" i="7"/>
  <c r="AA140" i="7"/>
  <c r="AA150" i="7"/>
  <c r="AA114" i="7"/>
  <c r="AA136" i="7"/>
  <c r="AA125" i="7"/>
  <c r="AA216" i="7"/>
  <c r="AA194" i="7"/>
  <c r="AA174" i="7"/>
  <c r="AA238" i="7"/>
  <c r="AA222" i="7"/>
  <c r="AA147" i="7"/>
  <c r="AA220" i="7"/>
  <c r="AA255" i="7"/>
  <c r="AA144" i="7"/>
  <c r="AA119" i="7"/>
  <c r="AA275" i="7"/>
  <c r="AA284" i="7"/>
  <c r="Y74" i="7"/>
  <c r="Y716" i="7"/>
  <c r="Y332" i="7"/>
  <c r="Y617" i="7"/>
  <c r="Y387" i="7"/>
  <c r="Y497" i="7"/>
  <c r="Y370" i="7"/>
  <c r="Y390" i="7"/>
  <c r="Y426" i="7"/>
  <c r="Y529" i="7"/>
  <c r="Y334" i="7"/>
  <c r="Y354" i="7"/>
  <c r="Y440" i="7"/>
  <c r="Y405" i="7"/>
  <c r="Y448" i="7"/>
  <c r="Y395" i="7"/>
  <c r="Y531" i="7"/>
  <c r="Y511" i="7"/>
  <c r="Y500" i="7"/>
  <c r="Y527" i="7"/>
  <c r="Y414" i="7"/>
  <c r="Y522" i="7"/>
  <c r="Y338" i="7"/>
  <c r="Y411" i="7"/>
  <c r="Y496" i="7"/>
  <c r="Y514" i="7"/>
  <c r="Y447" i="7"/>
  <c r="Y453" i="7"/>
  <c r="Y472" i="7"/>
  <c r="Y409" i="7"/>
  <c r="Y415" i="7"/>
  <c r="Y520" i="7"/>
  <c r="Y456" i="7"/>
  <c r="Y468" i="7"/>
  <c r="Y324" i="7"/>
  <c r="Y493" i="7"/>
  <c r="Y679" i="7"/>
  <c r="Y537" i="7"/>
  <c r="Y588" i="7"/>
  <c r="Y459" i="7"/>
  <c r="Y327" i="7"/>
  <c r="Y364" i="7"/>
  <c r="Y422" i="7"/>
  <c r="Y726" i="7"/>
  <c r="Y507" i="7"/>
  <c r="Y433" i="7"/>
  <c r="Y424" i="7"/>
  <c r="Y454" i="7"/>
  <c r="Y465" i="7"/>
  <c r="Y643" i="7"/>
  <c r="Y77" i="7"/>
  <c r="Y76" i="7"/>
  <c r="Y566" i="7"/>
  <c r="Y558" i="7"/>
  <c r="Y583" i="7"/>
  <c r="Y553" i="7"/>
  <c r="Y624" i="7"/>
  <c r="Y561" i="7"/>
  <c r="Y609" i="7"/>
  <c r="Y620" i="7"/>
  <c r="Y597" i="7"/>
  <c r="Y634" i="7"/>
  <c r="Y595" i="7"/>
  <c r="Y591" i="7"/>
  <c r="Y39" i="7"/>
  <c r="Y7" i="7"/>
  <c r="Y10" i="7"/>
  <c r="Y55" i="7"/>
  <c r="Y64" i="7"/>
  <c r="Y44" i="7"/>
  <c r="Y62" i="7"/>
  <c r="Y49" i="7"/>
  <c r="Y43" i="7"/>
  <c r="Y70" i="7"/>
  <c r="Y41" i="7"/>
  <c r="Y34" i="7"/>
  <c r="Y26" i="7"/>
  <c r="Y18" i="7"/>
  <c r="Y30" i="7"/>
  <c r="Y24" i="7"/>
  <c r="Y50" i="7"/>
  <c r="Y54" i="7"/>
  <c r="Y59" i="7"/>
  <c r="Y68" i="7"/>
  <c r="Y8" i="7"/>
  <c r="Y22" i="7"/>
  <c r="Y20" i="7"/>
  <c r="Y29" i="7"/>
  <c r="Y52" i="7"/>
  <c r="Y35" i="7"/>
  <c r="Y21" i="7"/>
  <c r="Y32" i="7"/>
  <c r="Y67" i="7"/>
  <c r="Y72" i="7"/>
  <c r="Y63" i="7"/>
  <c r="Y28" i="7"/>
  <c r="Y57" i="7"/>
  <c r="Y61" i="7"/>
  <c r="Y12" i="7"/>
  <c r="Y42" i="7"/>
  <c r="Y66" i="7"/>
  <c r="Y13" i="7"/>
  <c r="Y40" i="7"/>
  <c r="Y58" i="7"/>
  <c r="Y9" i="7"/>
  <c r="Y38" i="7"/>
  <c r="Y27" i="7"/>
  <c r="Y47" i="7"/>
  <c r="Y53" i="7"/>
  <c r="Y14" i="7"/>
  <c r="Y23" i="7"/>
  <c r="Y36" i="7"/>
  <c r="Y69" i="7"/>
  <c r="Y48" i="7"/>
  <c r="Y60" i="7"/>
  <c r="Y11" i="7"/>
  <c r="Y16" i="7"/>
  <c r="Y45" i="7"/>
  <c r="Y46" i="7"/>
  <c r="Y19" i="7"/>
  <c r="Y51" i="7"/>
  <c r="Y15" i="7"/>
  <c r="Y65" i="7"/>
  <c r="Y33" i="7"/>
  <c r="Y17" i="7"/>
  <c r="Y56" i="7"/>
  <c r="Y71" i="7"/>
  <c r="Y37" i="7"/>
  <c r="Y31" i="7"/>
  <c r="Y25" i="7"/>
  <c r="Y383" i="7"/>
  <c r="Y315" i="7"/>
  <c r="Y482" i="7"/>
  <c r="Y314" i="7"/>
  <c r="Y385" i="7"/>
  <c r="Y501" i="7"/>
  <c r="Y318" i="7"/>
  <c r="Y503" i="7"/>
  <c r="Y431" i="7"/>
  <c r="Y396" i="7"/>
  <c r="Y389" i="7"/>
  <c r="Y378" i="7"/>
  <c r="Y351" i="7"/>
  <c r="Y419" i="7"/>
  <c r="Y397" i="7"/>
  <c r="Y412" i="7"/>
  <c r="Y489" i="7"/>
  <c r="Y525" i="7"/>
  <c r="Y348" i="7"/>
  <c r="Y345" i="7"/>
  <c r="Y471" i="7"/>
  <c r="Y682" i="7"/>
  <c r="Y734" i="7"/>
  <c r="Y655" i="7"/>
  <c r="Y718" i="7"/>
  <c r="Y680" i="7"/>
  <c r="Y747" i="7"/>
  <c r="Y714" i="7"/>
  <c r="Y736" i="7"/>
  <c r="Y678" i="7"/>
  <c r="Y739" i="7"/>
  <c r="Y729" i="7"/>
  <c r="Y695" i="7"/>
  <c r="Y759" i="7"/>
  <c r="Y751" i="7"/>
  <c r="Y662" i="7"/>
  <c r="Y618" i="7"/>
  <c r="Y545" i="7"/>
  <c r="Y574" i="7"/>
  <c r="Y637" i="7"/>
  <c r="Y604" i="7"/>
  <c r="Y584" i="7"/>
  <c r="Y541" i="7"/>
  <c r="Y587" i="7"/>
  <c r="Y580" i="7"/>
  <c r="Y601" i="7"/>
  <c r="Y544" i="7"/>
  <c r="Y621" i="7"/>
  <c r="Y392" i="7"/>
  <c r="Y360" i="7"/>
  <c r="Y491" i="7"/>
  <c r="Y675" i="7"/>
  <c r="Y650" i="7"/>
  <c r="Y728" i="7"/>
  <c r="Y717" i="7"/>
  <c r="Y706" i="7"/>
  <c r="Y758" i="7"/>
  <c r="Y703" i="7"/>
  <c r="Y731" i="7"/>
  <c r="Y656" i="7"/>
  <c r="Y669" i="7"/>
  <c r="Y762" i="7"/>
  <c r="Y738" i="7"/>
  <c r="Y644" i="7"/>
  <c r="Y711" i="7"/>
  <c r="Y614" i="7"/>
  <c r="Y565" i="7"/>
  <c r="Y542" i="7"/>
  <c r="Y546" i="7"/>
  <c r="Y579" i="7"/>
  <c r="Y547" i="7"/>
  <c r="Y559" i="7"/>
  <c r="Y539" i="7"/>
  <c r="Y550" i="7"/>
  <c r="Y631" i="7"/>
  <c r="Y339" i="7"/>
  <c r="Y427" i="7"/>
  <c r="Y486" i="7"/>
  <c r="Y439" i="7"/>
  <c r="Y504" i="7"/>
  <c r="Y451" i="7"/>
  <c r="Y524" i="7"/>
  <c r="Y323" i="7"/>
  <c r="Y365" i="7"/>
  <c r="Y494" i="7"/>
  <c r="Y480" i="7"/>
  <c r="Y355" i="7"/>
  <c r="Y437" i="7"/>
  <c r="Y416" i="7"/>
  <c r="Y337" i="7"/>
  <c r="Y375" i="7"/>
  <c r="Y476" i="7"/>
  <c r="Y446" i="7"/>
  <c r="Y505" i="7"/>
  <c r="Y372" i="7"/>
  <c r="Y428" i="7"/>
  <c r="Y336" i="7"/>
  <c r="Y326" i="7"/>
  <c r="Y484" i="7"/>
  <c r="Y654" i="7"/>
  <c r="Y677" i="7"/>
  <c r="Y754" i="7"/>
  <c r="Y672" i="7"/>
  <c r="Y646" i="7"/>
  <c r="Y658" i="7"/>
  <c r="Y740" i="7"/>
  <c r="Y692" i="7"/>
  <c r="Y647" i="7"/>
  <c r="Y704" i="7"/>
  <c r="Y690" i="7"/>
  <c r="Y707" i="7"/>
  <c r="Y681" i="7"/>
  <c r="Y745" i="7"/>
  <c r="Y619" i="7"/>
  <c r="Y548" i="7"/>
  <c r="Y554" i="7"/>
  <c r="Y567" i="7"/>
  <c r="Y569" i="7"/>
  <c r="Y540" i="7"/>
  <c r="Y590" i="7"/>
  <c r="Y630" i="7"/>
  <c r="Y600" i="7"/>
  <c r="Y594" i="7"/>
  <c r="Y635" i="7"/>
  <c r="Y581" i="7"/>
  <c r="Y490" i="7"/>
  <c r="Y513" i="7"/>
  <c r="Y331" i="7"/>
  <c r="Y470" i="7"/>
  <c r="Y382" i="7"/>
  <c r="Y509" i="7"/>
  <c r="Y368" i="7"/>
  <c r="Y528" i="7"/>
  <c r="Y343" i="7"/>
  <c r="Y441" i="7"/>
  <c r="Y466" i="7"/>
  <c r="Y515" i="7"/>
  <c r="Y341" i="7"/>
  <c r="Y401" i="7"/>
  <c r="Y463" i="7"/>
  <c r="Y464" i="7"/>
  <c r="Y361" i="7"/>
  <c r="Y344" i="7"/>
  <c r="Y506" i="7"/>
  <c r="Y404" i="7"/>
  <c r="Y328" i="7"/>
  <c r="Y467" i="7"/>
  <c r="Y676" i="7"/>
  <c r="Y757" i="7"/>
  <c r="Y666" i="7"/>
  <c r="Y687" i="7"/>
  <c r="Y753" i="7"/>
  <c r="Y732" i="7"/>
  <c r="Y700" i="7"/>
  <c r="Y649" i="7"/>
  <c r="Y684" i="7"/>
  <c r="Y663" i="7"/>
  <c r="Y721" i="7"/>
  <c r="Y723" i="7"/>
  <c r="Y756" i="7"/>
  <c r="Y722" i="7"/>
  <c r="Y633" i="7"/>
  <c r="Y78" i="7"/>
  <c r="Y408" i="7"/>
  <c r="Y366" i="7"/>
  <c r="Y413" i="7"/>
  <c r="Y518" i="7"/>
  <c r="Y398" i="7"/>
  <c r="Y523" i="7"/>
  <c r="Y322" i="7"/>
  <c r="Y492" i="7"/>
  <c r="Y516" i="7"/>
  <c r="Y483" i="7"/>
  <c r="Y329" i="7"/>
  <c r="Y402" i="7"/>
  <c r="Y425" i="7"/>
  <c r="Y478" i="7"/>
  <c r="Y423" i="7"/>
  <c r="Y319" i="7"/>
  <c r="Y335" i="7"/>
  <c r="Y400" i="7"/>
  <c r="Y353" i="7"/>
  <c r="Y462" i="7"/>
  <c r="Y443" i="7"/>
  <c r="Y488" i="7"/>
  <c r="Y436" i="7"/>
  <c r="Y502" i="7"/>
  <c r="Y369" i="7"/>
  <c r="Y359" i="7"/>
  <c r="Y452" i="7"/>
  <c r="Y406" i="7"/>
  <c r="Y499" i="7"/>
  <c r="Y517" i="7"/>
  <c r="Y521" i="7"/>
  <c r="Y311" i="7"/>
  <c r="Y623" i="7"/>
  <c r="Y380" i="7"/>
  <c r="Y312" i="7"/>
  <c r="Y377" i="7"/>
  <c r="Y461" i="7"/>
  <c r="Y407" i="7"/>
  <c r="Y442" i="7"/>
  <c r="Y622" i="7"/>
  <c r="Y627" i="7"/>
  <c r="Y549" i="7"/>
  <c r="Y585" i="7"/>
  <c r="Y607" i="7"/>
  <c r="Y610" i="7"/>
  <c r="Y555" i="7"/>
  <c r="Y606" i="7"/>
  <c r="Y599" i="7"/>
  <c r="Y612" i="7"/>
  <c r="Y557" i="7"/>
  <c r="Y75" i="7"/>
  <c r="Y350" i="7"/>
  <c r="Y381" i="7"/>
  <c r="Y373" i="7"/>
  <c r="Y346" i="7"/>
  <c r="Y450" i="7"/>
  <c r="Y475" i="7"/>
  <c r="Y434" i="7"/>
  <c r="Y430" i="7"/>
  <c r="Y371" i="7"/>
  <c r="Y362" i="7"/>
  <c r="Y325" i="7"/>
  <c r="Y376" i="7"/>
  <c r="Y333" i="7"/>
  <c r="Y358" i="7"/>
  <c r="Y374" i="7"/>
  <c r="Y474" i="7"/>
  <c r="Y512" i="7"/>
  <c r="Y460" i="7"/>
  <c r="Y379" i="7"/>
  <c r="Y485" i="7"/>
  <c r="Y445" i="7"/>
  <c r="Y665" i="7"/>
  <c r="Y708" i="7"/>
  <c r="Y743" i="7"/>
  <c r="Y735" i="7"/>
  <c r="Y697" i="7"/>
  <c r="Y653" i="7"/>
  <c r="Y645" i="7"/>
  <c r="Y720" i="7"/>
  <c r="Y651" i="7"/>
  <c r="Y752" i="7"/>
  <c r="Y749" i="7"/>
  <c r="Y760" i="7"/>
  <c r="Y725" i="7"/>
  <c r="Y691" i="7"/>
  <c r="Y603" i="7"/>
  <c r="Y632" i="7"/>
  <c r="Y592" i="7"/>
  <c r="Y571" i="7"/>
  <c r="Y615" i="7"/>
  <c r="Y586" i="7"/>
  <c r="Y562" i="7"/>
  <c r="Y575" i="7"/>
  <c r="Y593" i="7"/>
  <c r="Y616" i="7"/>
  <c r="Y538" i="7"/>
  <c r="Y636" i="7"/>
  <c r="Y321" i="7"/>
  <c r="Y510" i="7"/>
  <c r="Y435" i="7"/>
  <c r="Y394" i="7"/>
  <c r="Y686" i="7"/>
  <c r="Y667" i="7"/>
  <c r="Y689" i="7"/>
  <c r="Y670" i="7"/>
  <c r="Y673" i="7"/>
  <c r="Y713" i="7"/>
  <c r="Y683" i="7"/>
  <c r="Y727" i="7"/>
  <c r="Y741" i="7"/>
  <c r="Y705" i="7"/>
  <c r="Y761" i="7"/>
  <c r="Y652" i="7"/>
  <c r="Y661" i="7"/>
  <c r="Y710" i="7"/>
  <c r="Y685" i="7"/>
  <c r="Y573" i="7"/>
  <c r="Y602" i="7"/>
  <c r="Y582" i="7"/>
  <c r="Y578" i="7"/>
  <c r="Y613" i="7"/>
  <c r="Y552" i="7"/>
  <c r="Y576" i="7"/>
  <c r="Y543" i="7"/>
  <c r="Y556" i="7"/>
  <c r="Y589" i="7"/>
  <c r="Y560" i="7"/>
  <c r="Y628" i="7"/>
  <c r="Y598" i="7"/>
  <c r="Y526" i="7"/>
  <c r="Y391" i="7"/>
  <c r="Y317" i="7"/>
  <c r="Y410" i="7"/>
  <c r="Y388" i="7"/>
  <c r="Y469" i="7"/>
  <c r="Y444" i="7"/>
  <c r="Y420" i="7"/>
  <c r="Y479" i="7"/>
  <c r="Y357" i="7"/>
  <c r="Y330" i="7"/>
  <c r="Y449" i="7"/>
  <c r="Y356" i="7"/>
  <c r="Y438" i="7"/>
  <c r="Y487" i="7"/>
  <c r="Y349" i="7"/>
  <c r="Y403" i="7"/>
  <c r="Y340" i="7"/>
  <c r="Y316" i="7"/>
  <c r="Y495" i="7"/>
  <c r="Y399" i="7"/>
  <c r="Y458" i="7"/>
  <c r="Y421" i="7"/>
  <c r="Y498" i="7"/>
  <c r="Y701" i="7"/>
  <c r="Y674" i="7"/>
  <c r="Y746" i="7"/>
  <c r="Y693" i="7"/>
  <c r="Y696" i="7"/>
  <c r="Y699" i="7"/>
  <c r="Y715" i="7"/>
  <c r="Y748" i="7"/>
  <c r="Y724" i="7"/>
  <c r="Y688" i="7"/>
  <c r="Y742" i="7"/>
  <c r="Y660" i="7"/>
  <c r="Y648" i="7"/>
  <c r="Y737" i="7"/>
  <c r="Y709" i="7"/>
  <c r="Y596" i="7"/>
  <c r="Y564" i="7"/>
  <c r="Y629" i="7"/>
  <c r="Y568" i="7"/>
  <c r="Y577" i="7"/>
  <c r="Y608" i="7"/>
  <c r="Y626" i="7"/>
  <c r="Y570" i="7"/>
  <c r="Y605" i="7"/>
  <c r="Y625" i="7"/>
  <c r="Y572" i="7"/>
  <c r="Y429" i="7"/>
  <c r="Y313" i="7"/>
  <c r="Y367" i="7"/>
  <c r="Y386" i="7"/>
  <c r="Y384" i="7"/>
  <c r="Y508" i="7"/>
  <c r="Y457" i="7"/>
  <c r="Y473" i="7"/>
  <c r="Y477" i="7"/>
  <c r="Y530" i="7"/>
  <c r="Y417" i="7"/>
  <c r="Y363" i="7"/>
  <c r="Y342" i="7"/>
  <c r="Y519" i="7"/>
  <c r="Y352" i="7"/>
  <c r="Y418" i="7"/>
  <c r="Y320" i="7"/>
  <c r="Y347" i="7"/>
  <c r="Y481" i="7"/>
  <c r="Y432" i="7"/>
  <c r="Y393" i="7"/>
  <c r="Y455" i="7"/>
  <c r="Y694" i="7"/>
  <c r="Y664" i="7"/>
  <c r="Y755" i="7"/>
  <c r="Y671" i="7"/>
  <c r="Y719" i="7"/>
  <c r="Y702" i="7"/>
  <c r="Y730" i="7"/>
  <c r="Y668" i="7"/>
  <c r="Y712" i="7"/>
  <c r="Y659" i="7"/>
  <c r="Y744" i="7"/>
  <c r="Y657" i="7"/>
  <c r="Y750" i="7"/>
  <c r="Y698" i="7"/>
  <c r="Y733" i="7"/>
  <c r="Y73" i="7"/>
  <c r="Y563" i="7"/>
  <c r="Y551" i="7"/>
  <c r="Y611" i="7"/>
  <c r="Y79" i="7"/>
  <c r="R560" i="7"/>
  <c r="O546" i="7"/>
  <c r="O561" i="7"/>
  <c r="R576" i="7"/>
  <c r="O545" i="7"/>
  <c r="O576" i="7"/>
  <c r="R546" i="7"/>
  <c r="O560" i="7"/>
  <c r="R575" i="7"/>
  <c r="R561" i="7"/>
  <c r="O575" i="7"/>
  <c r="R545" i="7"/>
  <c r="D19" i="34"/>
  <c r="H17" i="34"/>
  <c r="D16" i="34"/>
  <c r="H14" i="34"/>
  <c r="H12" i="34"/>
  <c r="D11" i="34"/>
  <c r="G19" i="34"/>
  <c r="C19" i="34"/>
  <c r="G18" i="34"/>
  <c r="C18" i="34"/>
  <c r="G17" i="34"/>
  <c r="C17" i="34"/>
  <c r="G16" i="34"/>
  <c r="C16" i="34"/>
  <c r="G15" i="34"/>
  <c r="C15" i="34"/>
  <c r="G14" i="34"/>
  <c r="C14" i="34"/>
  <c r="G13" i="34"/>
  <c r="C13" i="34"/>
  <c r="G12" i="34"/>
  <c r="C12" i="34"/>
  <c r="G11" i="34"/>
  <c r="C11" i="34"/>
  <c r="H19" i="34"/>
  <c r="D18" i="34"/>
  <c r="H16" i="34"/>
  <c r="D15" i="34"/>
  <c r="H13" i="34"/>
  <c r="H11" i="34"/>
  <c r="F19" i="34"/>
  <c r="B19" i="34"/>
  <c r="F18" i="34"/>
  <c r="B18" i="34"/>
  <c r="F17" i="34"/>
  <c r="B17" i="34"/>
  <c r="F16" i="34"/>
  <c r="B16" i="34"/>
  <c r="F15" i="34"/>
  <c r="B15" i="34"/>
  <c r="F14" i="34"/>
  <c r="B14" i="34"/>
  <c r="F13" i="34"/>
  <c r="B13" i="34"/>
  <c r="F12" i="34"/>
  <c r="B12" i="34"/>
  <c r="F11" i="34"/>
  <c r="B11" i="34"/>
  <c r="H18" i="34"/>
  <c r="D17" i="34"/>
  <c r="H15" i="34"/>
  <c r="D14" i="34"/>
  <c r="D13" i="34"/>
  <c r="D12" i="34"/>
  <c r="E19" i="34"/>
  <c r="A19" i="34"/>
  <c r="E18" i="34"/>
  <c r="A18" i="34"/>
  <c r="E17" i="34"/>
  <c r="A17" i="34"/>
  <c r="E16" i="34"/>
  <c r="A16" i="34"/>
  <c r="E15" i="34"/>
  <c r="A15" i="34"/>
  <c r="E14" i="34"/>
  <c r="A14" i="34"/>
  <c r="E13" i="34"/>
  <c r="A13" i="34"/>
  <c r="E12" i="34"/>
  <c r="A12" i="34"/>
  <c r="E11" i="34"/>
  <c r="A11" i="34"/>
  <c r="E10" i="34"/>
  <c r="H10" i="34"/>
  <c r="D10" i="34"/>
  <c r="G10" i="34"/>
  <c r="C10" i="34"/>
  <c r="F10" i="34"/>
  <c r="B10" i="34"/>
  <c r="A10" i="34"/>
  <c r="M43" i="6"/>
  <c r="M42" i="6"/>
  <c r="M41" i="6"/>
  <c r="M40" i="6"/>
  <c r="M39" i="6"/>
  <c r="M38" i="6"/>
  <c r="M37" i="6"/>
  <c r="T32" i="6"/>
  <c r="P24" i="6"/>
  <c r="S32" i="6"/>
  <c r="O32" i="6"/>
  <c r="S31" i="6"/>
  <c r="O31" i="6"/>
  <c r="S30" i="6"/>
  <c r="O30" i="6"/>
  <c r="S29" i="6"/>
  <c r="O29" i="6"/>
  <c r="S28" i="6"/>
  <c r="O28" i="6"/>
  <c r="S27" i="6"/>
  <c r="O27" i="6"/>
  <c r="S26" i="6"/>
  <c r="O26" i="6"/>
  <c r="S25" i="6"/>
  <c r="O25" i="6"/>
  <c r="S24" i="6"/>
  <c r="O24" i="6"/>
  <c r="Q32" i="6"/>
  <c r="Q31" i="6"/>
  <c r="M30" i="6"/>
  <c r="Q29" i="6"/>
  <c r="Q28" i="6"/>
  <c r="Q27" i="6"/>
  <c r="P32" i="6"/>
  <c r="T31" i="6"/>
  <c r="P31" i="6"/>
  <c r="T30" i="6"/>
  <c r="P30" i="6"/>
  <c r="T29" i="6"/>
  <c r="P29" i="6"/>
  <c r="T28" i="6"/>
  <c r="P28" i="6"/>
  <c r="T27" i="6"/>
  <c r="P27" i="6"/>
  <c r="T26" i="6"/>
  <c r="P26" i="6"/>
  <c r="T25" i="6"/>
  <c r="P25" i="6"/>
  <c r="T24" i="6"/>
  <c r="R32" i="6"/>
  <c r="N32" i="6"/>
  <c r="R31" i="6"/>
  <c r="N31" i="6"/>
  <c r="R30" i="6"/>
  <c r="N30" i="6"/>
  <c r="R29" i="6"/>
  <c r="N29" i="6"/>
  <c r="R28" i="6"/>
  <c r="N28" i="6"/>
  <c r="R27" i="6"/>
  <c r="N27" i="6"/>
  <c r="R26" i="6"/>
  <c r="N26" i="6"/>
  <c r="R25" i="6"/>
  <c r="N25" i="6"/>
  <c r="R24" i="6"/>
  <c r="N24" i="6"/>
  <c r="M32" i="6"/>
  <c r="M31" i="6"/>
  <c r="Q30" i="6"/>
  <c r="M29" i="6"/>
  <c r="M28" i="6"/>
  <c r="M27" i="6"/>
  <c r="Q26" i="6"/>
  <c r="M26" i="6"/>
  <c r="Q25" i="6"/>
  <c r="M25" i="6"/>
  <c r="Q24" i="6"/>
  <c r="M24" i="6"/>
  <c r="T23" i="6"/>
  <c r="P23" i="6"/>
  <c r="Q23" i="6"/>
  <c r="S23" i="6"/>
  <c r="O23" i="6"/>
  <c r="R23" i="6"/>
  <c r="N23" i="6"/>
  <c r="M23" i="6"/>
  <c r="M11" i="6"/>
  <c r="P18" i="6"/>
  <c r="T16" i="6"/>
  <c r="T14" i="6"/>
  <c r="T12" i="6"/>
  <c r="T18" i="6"/>
  <c r="P16" i="6"/>
  <c r="P14" i="6"/>
  <c r="P11" i="6"/>
  <c r="S19" i="6"/>
  <c r="O18" i="6"/>
  <c r="S16" i="6"/>
  <c r="S15" i="6"/>
  <c r="O15" i="6"/>
  <c r="S14" i="6"/>
  <c r="O14" i="6"/>
  <c r="S13" i="6"/>
  <c r="O13" i="6"/>
  <c r="S12" i="6"/>
  <c r="O12" i="6"/>
  <c r="S11" i="6"/>
  <c r="O11" i="6"/>
  <c r="T19" i="6"/>
  <c r="P17" i="6"/>
  <c r="T15" i="6"/>
  <c r="P13" i="6"/>
  <c r="T11" i="6"/>
  <c r="O19" i="6"/>
  <c r="O17" i="6"/>
  <c r="O16" i="6"/>
  <c r="R19" i="6"/>
  <c r="N19" i="6"/>
  <c r="R18" i="6"/>
  <c r="N18" i="6"/>
  <c r="R17" i="6"/>
  <c r="N17" i="6"/>
  <c r="R16" i="6"/>
  <c r="N16" i="6"/>
  <c r="R15" i="6"/>
  <c r="N15" i="6"/>
  <c r="R14" i="6"/>
  <c r="N14" i="6"/>
  <c r="R13" i="6"/>
  <c r="N13" i="6"/>
  <c r="R12" i="6"/>
  <c r="N12" i="6"/>
  <c r="R11" i="6"/>
  <c r="N11" i="6"/>
  <c r="P19" i="6"/>
  <c r="T17" i="6"/>
  <c r="P15" i="6"/>
  <c r="T13" i="6"/>
  <c r="P12" i="6"/>
  <c r="S18" i="6"/>
  <c r="S17" i="6"/>
  <c r="Q19" i="6"/>
  <c r="M19" i="6"/>
  <c r="Q18" i="6"/>
  <c r="M18" i="6"/>
  <c r="Q17" i="6"/>
  <c r="M17" i="6"/>
  <c r="Q16" i="6"/>
  <c r="M16" i="6"/>
  <c r="Q15" i="6"/>
  <c r="M15" i="6"/>
  <c r="Q14" i="6"/>
  <c r="M14" i="6"/>
  <c r="Q13" i="6"/>
  <c r="M13" i="6"/>
  <c r="Q12" i="6"/>
  <c r="M12" i="6"/>
  <c r="Q11" i="6"/>
  <c r="T10" i="6"/>
  <c r="S10" i="6"/>
  <c r="O10" i="6"/>
  <c r="Q10" i="6"/>
  <c r="P10" i="6"/>
  <c r="R10" i="6"/>
  <c r="N10" i="6"/>
  <c r="M10" i="6"/>
  <c r="T549" i="29"/>
  <c r="AB10" i="7"/>
  <c r="AB76" i="7"/>
  <c r="AB37" i="7"/>
  <c r="AB69" i="7"/>
  <c r="R35" i="7"/>
  <c r="R49" i="7"/>
  <c r="AB13" i="7"/>
  <c r="O695" i="7"/>
  <c r="O677" i="7"/>
  <c r="O662" i="7"/>
  <c r="O650" i="7"/>
  <c r="O374" i="7"/>
  <c r="O363" i="7"/>
  <c r="O345" i="7"/>
  <c r="O330" i="7"/>
  <c r="O316" i="7"/>
  <c r="AB658" i="7"/>
  <c r="AB660" i="7"/>
  <c r="AB700" i="7"/>
  <c r="AB750" i="7"/>
  <c r="AB723" i="7"/>
  <c r="AB730" i="7"/>
  <c r="AB684" i="7"/>
  <c r="AB588" i="7"/>
  <c r="AB575" i="7"/>
  <c r="AB614" i="7"/>
  <c r="AB608" i="7"/>
  <c r="AB607" i="7"/>
  <c r="AB587" i="7"/>
  <c r="AB628" i="7"/>
  <c r="AB383" i="7"/>
  <c r="AB464" i="7"/>
  <c r="AB379" i="7"/>
  <c r="AB354" i="7"/>
  <c r="AB524" i="7"/>
  <c r="AB436" i="7"/>
  <c r="AB399" i="7"/>
  <c r="AB465" i="7"/>
  <c r="AB401" i="7"/>
  <c r="AB445" i="7"/>
  <c r="AB497" i="7"/>
  <c r="AB504" i="7"/>
  <c r="AB369" i="7"/>
  <c r="AB384" i="7"/>
  <c r="O567" i="7"/>
  <c r="AB40" i="7"/>
  <c r="AB42" i="7"/>
  <c r="AB8" i="7"/>
  <c r="O39" i="7"/>
  <c r="O50" i="7"/>
  <c r="AB70" i="7"/>
  <c r="R695" i="7"/>
  <c r="R680" i="7"/>
  <c r="R665" i="7"/>
  <c r="R650" i="7"/>
  <c r="R374" i="7"/>
  <c r="R363" i="7"/>
  <c r="R348" i="7"/>
  <c r="R333" i="7"/>
  <c r="R318" i="7"/>
  <c r="AB736" i="7"/>
  <c r="AB752" i="7"/>
  <c r="AB728" i="7"/>
  <c r="AB701" i="7"/>
  <c r="AB731" i="7"/>
  <c r="AB699" i="7"/>
  <c r="AB644" i="7"/>
  <c r="AB685" i="7"/>
  <c r="AB567" i="7"/>
  <c r="AB617" i="7"/>
  <c r="AB603" i="7"/>
  <c r="AB565" i="7"/>
  <c r="AB626" i="7"/>
  <c r="AB610" i="7"/>
  <c r="AB500" i="7"/>
  <c r="AB494" i="7"/>
  <c r="AB517" i="7"/>
  <c r="AB508" i="7"/>
  <c r="AB315" i="7"/>
  <c r="AB361" i="7"/>
  <c r="AB485" i="7"/>
  <c r="AB531" i="7"/>
  <c r="AB355" i="7"/>
  <c r="AB406" i="7"/>
  <c r="AB473" i="7"/>
  <c r="AB433" i="7"/>
  <c r="AB506" i="7"/>
  <c r="AB317" i="7"/>
  <c r="R542" i="7"/>
  <c r="O539" i="7"/>
  <c r="O552" i="7"/>
  <c r="AB65" i="7"/>
  <c r="AB19" i="7"/>
  <c r="AB9" i="7"/>
  <c r="O38" i="7"/>
  <c r="O56" i="7"/>
  <c r="AB72" i="7"/>
  <c r="R689" i="7"/>
  <c r="R674" i="7"/>
  <c r="R659" i="7"/>
  <c r="R644" i="7"/>
  <c r="R372" i="7"/>
  <c r="R357" i="7"/>
  <c r="R342" i="7"/>
  <c r="R327" i="7"/>
  <c r="R312" i="7"/>
  <c r="AB711" i="7"/>
  <c r="AB693" i="7"/>
  <c r="AB690" i="7"/>
  <c r="AB719" i="7"/>
  <c r="AB687" i="7"/>
  <c r="AB659" i="7"/>
  <c r="AB676" i="7"/>
  <c r="AB744" i="7"/>
  <c r="AB557" i="7"/>
  <c r="AB584" i="7"/>
  <c r="AB589" i="7"/>
  <c r="AB594" i="7"/>
  <c r="AB634" i="7"/>
  <c r="AB578" i="7"/>
  <c r="AB422" i="7"/>
  <c r="AB528" i="7"/>
  <c r="AB325" i="7"/>
  <c r="AB342" i="7"/>
  <c r="AB360" i="7"/>
  <c r="AB423" i="7"/>
  <c r="AB356" i="7"/>
  <c r="AB327" i="7"/>
  <c r="AB509" i="7"/>
  <c r="AB333" i="7"/>
  <c r="AB320" i="7"/>
  <c r="AB345" i="7"/>
  <c r="AB335" i="7"/>
  <c r="AB421" i="7"/>
  <c r="R573" i="7"/>
  <c r="O569" i="7"/>
  <c r="O572" i="7"/>
  <c r="O537" i="7"/>
  <c r="O543" i="7"/>
  <c r="R539" i="7"/>
  <c r="R568" i="7"/>
  <c r="R556" i="7"/>
  <c r="R538" i="7"/>
  <c r="AB23" i="7"/>
  <c r="AB47" i="7"/>
  <c r="AB67" i="7"/>
  <c r="O40" i="7"/>
  <c r="O51" i="7"/>
  <c r="AB54" i="7"/>
  <c r="R694" i="7"/>
  <c r="R679" i="7"/>
  <c r="R660" i="7"/>
  <c r="R649" i="7"/>
  <c r="R373" i="7"/>
  <c r="R362" i="7"/>
  <c r="R347" i="7"/>
  <c r="R332" i="7"/>
  <c r="R317" i="7"/>
  <c r="AB650" i="7"/>
  <c r="AB670" i="7"/>
  <c r="AB762" i="7"/>
  <c r="AB724" i="7"/>
  <c r="AB672" i="7"/>
  <c r="AB737" i="7"/>
  <c r="AB646" i="7"/>
  <c r="AB715" i="7"/>
  <c r="AB581" i="7"/>
  <c r="AB620" i="7"/>
  <c r="AB593" i="7"/>
  <c r="AB631" i="7"/>
  <c r="AB551" i="7"/>
  <c r="AB592" i="7"/>
  <c r="AB447" i="7"/>
  <c r="AB446" i="7"/>
  <c r="AB407" i="7"/>
  <c r="AB519" i="7"/>
  <c r="AB396" i="7"/>
  <c r="AB413" i="7"/>
  <c r="AB526" i="7"/>
  <c r="AB496" i="7"/>
  <c r="AB372" i="7"/>
  <c r="AB350" i="7"/>
  <c r="AB418" i="7"/>
  <c r="AB503" i="7"/>
  <c r="AB398" i="7"/>
  <c r="AB330" i="7"/>
  <c r="R572" i="7"/>
  <c r="O571" i="7"/>
  <c r="AB677" i="7"/>
  <c r="AB712" i="7"/>
  <c r="AB698" i="7"/>
  <c r="AB643" i="7"/>
  <c r="AB571" i="7"/>
  <c r="AB564" i="7"/>
  <c r="AB637" i="7"/>
  <c r="AB424" i="7"/>
  <c r="AB374" i="7"/>
  <c r="AB486" i="7"/>
  <c r="AB403" i="7"/>
  <c r="AB441" i="7"/>
  <c r="AB393" i="7"/>
  <c r="AB339" i="7"/>
  <c r="AB429" i="7"/>
  <c r="R569" i="7"/>
  <c r="O553" i="7"/>
  <c r="O680" i="7"/>
  <c r="O359" i="7"/>
  <c r="O333" i="7"/>
  <c r="O315" i="7"/>
  <c r="AB704" i="7"/>
  <c r="AB721" i="7"/>
  <c r="AB755" i="7"/>
  <c r="AB735" i="7"/>
  <c r="AB716" i="7"/>
  <c r="AB756" i="7"/>
  <c r="AB583" i="7"/>
  <c r="AB636" i="7"/>
  <c r="AB625" i="7"/>
  <c r="AB621" i="7"/>
  <c r="AB385" i="7"/>
  <c r="AB394" i="7"/>
  <c r="AB452" i="7"/>
  <c r="AB482" i="7"/>
  <c r="AB510" i="7"/>
  <c r="AB365" i="7"/>
  <c r="AB311" i="7"/>
  <c r="O574" i="7"/>
  <c r="AB21" i="7"/>
  <c r="AB43" i="7"/>
  <c r="R38" i="7"/>
  <c r="R56" i="7"/>
  <c r="AB56" i="7"/>
  <c r="O674" i="7"/>
  <c r="O644" i="7"/>
  <c r="O357" i="7"/>
  <c r="O327" i="7"/>
  <c r="AB722" i="7"/>
  <c r="AB673" i="7"/>
  <c r="AB705" i="7"/>
  <c r="AB580" i="7"/>
  <c r="AB633" i="7"/>
  <c r="AB576" i="7"/>
  <c r="AB392" i="7"/>
  <c r="AB493" i="7"/>
  <c r="AB491" i="7"/>
  <c r="AB368" i="7"/>
  <c r="AB74" i="7"/>
  <c r="R51" i="7"/>
  <c r="O679" i="7"/>
  <c r="O373" i="7"/>
  <c r="O332" i="7"/>
  <c r="AB657" i="7"/>
  <c r="AB760" i="7"/>
  <c r="AB595" i="7"/>
  <c r="AB566" i="7"/>
  <c r="AB559" i="7"/>
  <c r="AB523" i="7"/>
  <c r="AB312" i="7"/>
  <c r="AB469" i="7"/>
  <c r="AB381" i="7"/>
  <c r="W549" i="29"/>
  <c r="Z549" i="29"/>
  <c r="AB59" i="7"/>
  <c r="AB24" i="7"/>
  <c r="AB39" i="7"/>
  <c r="AB31" i="7"/>
  <c r="R37" i="7"/>
  <c r="R55" i="7"/>
  <c r="AB45" i="7"/>
  <c r="O692" i="7"/>
  <c r="O675" i="7"/>
  <c r="O661" i="7"/>
  <c r="O647" i="7"/>
  <c r="O375" i="7"/>
  <c r="O360" i="7"/>
  <c r="O343" i="7"/>
  <c r="O328" i="7"/>
  <c r="O317" i="7"/>
  <c r="AB732" i="7"/>
  <c r="AB726" i="7"/>
  <c r="AB749" i="7"/>
  <c r="AB734" i="7"/>
  <c r="AB667" i="7"/>
  <c r="AB729" i="7"/>
  <c r="AB651" i="7"/>
  <c r="AB618" i="7"/>
  <c r="AB556" i="7"/>
  <c r="AB569" i="7"/>
  <c r="AB624" i="7"/>
  <c r="AB616" i="7"/>
  <c r="AB554" i="7"/>
  <c r="AB537" i="7"/>
  <c r="AB489" i="7"/>
  <c r="AB483" i="7"/>
  <c r="AB449" i="7"/>
  <c r="AB453" i="7"/>
  <c r="AB326" i="7"/>
  <c r="AB442" i="7"/>
  <c r="AB352" i="7"/>
  <c r="AB397" i="7"/>
  <c r="AB492" i="7"/>
  <c r="AB357" i="7"/>
  <c r="AB522" i="7"/>
  <c r="AB428" i="7"/>
  <c r="AB475" i="7"/>
  <c r="O559" i="7"/>
  <c r="O573" i="7"/>
  <c r="O540" i="7"/>
  <c r="R555" i="7"/>
  <c r="R571" i="7"/>
  <c r="AB46" i="7"/>
  <c r="AB11" i="7"/>
  <c r="AB66" i="7"/>
  <c r="O41" i="7"/>
  <c r="O52" i="7"/>
  <c r="AB35" i="7"/>
  <c r="R693" i="7"/>
  <c r="R678" i="7"/>
  <c r="R663" i="7"/>
  <c r="R648" i="7"/>
  <c r="R376" i="7"/>
  <c r="R361" i="7"/>
  <c r="R346" i="7"/>
  <c r="R331" i="7"/>
  <c r="R316" i="7"/>
  <c r="AB669" i="7"/>
  <c r="AB652" i="7"/>
  <c r="AB740" i="7"/>
  <c r="AB694" i="7"/>
  <c r="AB707" i="7"/>
  <c r="AB702" i="7"/>
  <c r="AB681" i="7"/>
  <c r="AB709" i="7"/>
  <c r="AB555" i="7"/>
  <c r="AB545" i="7"/>
  <c r="AB552" i="7"/>
  <c r="AB540" i="7"/>
  <c r="AB561" i="7"/>
  <c r="AB538" i="7"/>
  <c r="AB324" i="7"/>
  <c r="AB470" i="7"/>
  <c r="AB434" i="7"/>
  <c r="AB455" i="7"/>
  <c r="AB525" i="7"/>
  <c r="AB329" i="7"/>
  <c r="AB479" i="7"/>
  <c r="AB456" i="7"/>
  <c r="AB513" i="7"/>
  <c r="AB371" i="7"/>
  <c r="AB477" i="7"/>
  <c r="AB412" i="7"/>
  <c r="AB425" i="7"/>
  <c r="AB316" i="7"/>
  <c r="R544" i="7"/>
  <c r="O555" i="7"/>
  <c r="AB41" i="7"/>
  <c r="AB49" i="7"/>
  <c r="AB73" i="7"/>
  <c r="AB51" i="7"/>
  <c r="R36" i="7"/>
  <c r="R54" i="7"/>
  <c r="AB14" i="7"/>
  <c r="O694" i="7"/>
  <c r="O676" i="7"/>
  <c r="O664" i="7"/>
  <c r="O649" i="7"/>
  <c r="O377" i="7"/>
  <c r="O362" i="7"/>
  <c r="O344" i="7"/>
  <c r="O329" i="7"/>
  <c r="O318" i="7"/>
  <c r="AB745" i="7"/>
  <c r="AB668" i="7"/>
  <c r="AB743" i="7"/>
  <c r="AB733" i="7"/>
  <c r="AB720" i="7"/>
  <c r="AB655" i="7"/>
  <c r="AB665" i="7"/>
  <c r="AB609" i="7"/>
  <c r="AB573" i="7"/>
  <c r="AB550" i="7"/>
  <c r="AB563" i="7"/>
  <c r="AB632" i="7"/>
  <c r="AB542" i="7"/>
  <c r="AB570" i="7"/>
  <c r="AB431" i="7"/>
  <c r="AB366" i="7"/>
  <c r="AB410" i="7"/>
  <c r="AB527" i="7"/>
  <c r="AB337" i="7"/>
  <c r="AB521" i="7"/>
  <c r="AB457" i="7"/>
  <c r="AB318" i="7"/>
  <c r="AB467" i="7"/>
  <c r="AB391" i="7"/>
  <c r="AB405" i="7"/>
  <c r="AB437" i="7"/>
  <c r="AB461" i="7"/>
  <c r="O541" i="7"/>
  <c r="R567" i="7"/>
  <c r="R543" i="7"/>
  <c r="R537" i="7"/>
  <c r="AB77" i="7"/>
  <c r="AB71" i="7"/>
  <c r="AB33" i="7"/>
  <c r="AB53" i="7"/>
  <c r="R34" i="7"/>
  <c r="O53" i="7"/>
  <c r="AB61" i="7"/>
  <c r="R688" i="7"/>
  <c r="R673" i="7"/>
  <c r="R658" i="7"/>
  <c r="R643" i="7"/>
  <c r="R371" i="7"/>
  <c r="R356" i="7"/>
  <c r="R341" i="7"/>
  <c r="R326" i="7"/>
  <c r="R311" i="7"/>
  <c r="AB748" i="7"/>
  <c r="AB666" i="7"/>
  <c r="AB649" i="7"/>
  <c r="AB753" i="7"/>
  <c r="AB601" i="7"/>
  <c r="AB622" i="7"/>
  <c r="AB543" i="7"/>
  <c r="AB515" i="7"/>
  <c r="AB390" i="7"/>
  <c r="AB353" i="7"/>
  <c r="AB507" i="7"/>
  <c r="AB512" i="7"/>
  <c r="AB443" i="7"/>
  <c r="R557" i="7"/>
  <c r="O665" i="7"/>
  <c r="O646" i="7"/>
  <c r="O378" i="7"/>
  <c r="O348" i="7"/>
  <c r="AB675" i="7"/>
  <c r="AB635" i="7"/>
  <c r="AB400" i="7"/>
  <c r="AB382" i="7"/>
  <c r="AB387" i="7"/>
  <c r="AB409" i="7"/>
  <c r="O538" i="7"/>
  <c r="R559" i="7"/>
  <c r="AB30" i="7"/>
  <c r="AB17" i="7"/>
  <c r="O690" i="7"/>
  <c r="O645" i="7"/>
  <c r="O347" i="7"/>
  <c r="AB757" i="7"/>
  <c r="AB679" i="7"/>
  <c r="AB697" i="7"/>
  <c r="AB619" i="7"/>
  <c r="AB611" i="7"/>
  <c r="AB411" i="7"/>
  <c r="AB417" i="7"/>
  <c r="AB518" i="7"/>
  <c r="AB476" i="7"/>
  <c r="R553" i="7"/>
  <c r="AF549" i="29"/>
  <c r="AC549" i="29"/>
  <c r="AB12" i="7"/>
  <c r="AB28" i="7"/>
  <c r="AB50" i="7"/>
  <c r="O35" i="7"/>
  <c r="O49" i="7"/>
  <c r="AB44" i="7"/>
  <c r="R692" i="7"/>
  <c r="R677" i="7"/>
  <c r="R662" i="7"/>
  <c r="R647" i="7"/>
  <c r="R378" i="7"/>
  <c r="R360" i="7"/>
  <c r="R345" i="7"/>
  <c r="R330" i="7"/>
  <c r="R315" i="7"/>
  <c r="AB718" i="7"/>
  <c r="AB653" i="7"/>
  <c r="AB759" i="7"/>
  <c r="AB661" i="7"/>
  <c r="AB717" i="7"/>
  <c r="AB674" i="7"/>
  <c r="AB656" i="7"/>
  <c r="AB761" i="7"/>
  <c r="AB539" i="7"/>
  <c r="AB605" i="7"/>
  <c r="AB606" i="7"/>
  <c r="AB544" i="7"/>
  <c r="AB629" i="7"/>
  <c r="AB627" i="7"/>
  <c r="AB448" i="7"/>
  <c r="AB451" i="7"/>
  <c r="AB359" i="7"/>
  <c r="AB313" i="7"/>
  <c r="AB454" i="7"/>
  <c r="AB341" i="7"/>
  <c r="AB474" i="7"/>
  <c r="AB440" i="7"/>
  <c r="AB323" i="7"/>
  <c r="AB502" i="7"/>
  <c r="AB386" i="7"/>
  <c r="AB364" i="7"/>
  <c r="AB463" i="7"/>
  <c r="AB435" i="7"/>
  <c r="R552" i="7"/>
  <c r="O570" i="7"/>
  <c r="O556" i="7"/>
  <c r="AB62" i="7"/>
  <c r="AB55" i="7"/>
  <c r="AB75" i="7"/>
  <c r="AB16" i="7"/>
  <c r="R39" i="7"/>
  <c r="R50" i="7"/>
  <c r="AB38" i="7"/>
  <c r="O691" i="7"/>
  <c r="AB60" i="7"/>
  <c r="AB36" i="7"/>
  <c r="AB57" i="7"/>
  <c r="O37" i="7"/>
  <c r="O55" i="7"/>
  <c r="AB22" i="7"/>
  <c r="R690" i="7"/>
  <c r="R675" i="7"/>
  <c r="R664" i="7"/>
  <c r="R645" i="7"/>
  <c r="R375" i="7"/>
  <c r="R358" i="7"/>
  <c r="R343" i="7"/>
  <c r="R328" i="7"/>
  <c r="R313" i="7"/>
  <c r="AB758" i="7"/>
  <c r="AB727" i="7"/>
  <c r="AB754" i="7"/>
  <c r="AB648" i="7"/>
  <c r="AB692" i="7"/>
  <c r="AB664" i="7"/>
  <c r="AB647" i="7"/>
  <c r="AB742" i="7"/>
  <c r="AB549" i="7"/>
  <c r="AB591" i="7"/>
  <c r="AB602" i="7"/>
  <c r="AB548" i="7"/>
  <c r="AB558" i="7"/>
  <c r="AB562" i="7"/>
  <c r="AB415" i="7"/>
  <c r="AB336" i="7"/>
  <c r="AB373" i="7"/>
  <c r="AB347" i="7"/>
  <c r="AB419" i="7"/>
  <c r="AB322" i="7"/>
  <c r="AB388" i="7"/>
  <c r="AB472" i="7"/>
  <c r="AB484" i="7"/>
  <c r="AB450" i="7"/>
  <c r="AB432" i="7"/>
  <c r="AB378" i="7"/>
  <c r="AB516" i="7"/>
  <c r="AB487" i="7"/>
  <c r="R570" i="7"/>
  <c r="AB20" i="7"/>
  <c r="AB68" i="7"/>
  <c r="AB64" i="7"/>
  <c r="AB78" i="7"/>
  <c r="R41" i="7"/>
  <c r="R52" i="7"/>
  <c r="AB15" i="7"/>
  <c r="O693" i="7"/>
  <c r="O678" i="7"/>
  <c r="O663" i="7"/>
  <c r="O648" i="7"/>
  <c r="O376" i="7"/>
  <c r="O361" i="7"/>
  <c r="O346" i="7"/>
  <c r="O331" i="7"/>
  <c r="O313" i="7"/>
  <c r="AB663" i="7"/>
  <c r="AB682" i="7"/>
  <c r="AB686" i="7"/>
  <c r="AB747" i="7"/>
  <c r="AB713" i="7"/>
  <c r="AB662" i="7"/>
  <c r="AB725" i="7"/>
  <c r="AB604" i="7"/>
  <c r="AB598" i="7"/>
  <c r="AB600" i="7"/>
  <c r="AB597" i="7"/>
  <c r="AB582" i="7"/>
  <c r="AB590" i="7"/>
  <c r="AB332" i="7"/>
  <c r="AB471" i="7"/>
  <c r="AB478" i="7"/>
  <c r="AB349" i="7"/>
  <c r="AB520" i="7"/>
  <c r="AB490" i="7"/>
  <c r="AB346" i="7"/>
  <c r="AB481" i="7"/>
  <c r="AB348" i="7"/>
  <c r="AB402" i="7"/>
  <c r="AB438" i="7"/>
  <c r="AB514" i="7"/>
  <c r="AB331" i="7"/>
  <c r="AB362" i="7"/>
  <c r="R558" i="7"/>
  <c r="R540" i="7"/>
  <c r="O568" i="7"/>
  <c r="O544" i="7"/>
  <c r="O542" i="7"/>
  <c r="AB27" i="7"/>
  <c r="AB58" i="7"/>
  <c r="AB52" i="7"/>
  <c r="O36" i="7"/>
  <c r="O54" i="7"/>
  <c r="AB18" i="7"/>
  <c r="R691" i="7"/>
  <c r="R676" i="7"/>
  <c r="R661" i="7"/>
  <c r="R646" i="7"/>
  <c r="R377" i="7"/>
  <c r="R359" i="7"/>
  <c r="R344" i="7"/>
  <c r="R329" i="7"/>
  <c r="R314" i="7"/>
  <c r="AB695" i="7"/>
  <c r="AB691" i="7"/>
  <c r="AB703" i="7"/>
  <c r="AB696" i="7"/>
  <c r="AB738" i="7"/>
  <c r="AB688" i="7"/>
  <c r="AB654" i="7"/>
  <c r="AB746" i="7"/>
  <c r="AB630" i="7"/>
  <c r="AB553" i="7"/>
  <c r="AB615" i="7"/>
  <c r="AB547" i="7"/>
  <c r="AB572" i="7"/>
  <c r="AB612" i="7"/>
  <c r="AB338" i="7"/>
  <c r="AB416" i="7"/>
  <c r="AB380" i="7"/>
  <c r="AB530" i="7"/>
  <c r="AB501" i="7"/>
  <c r="AB328" i="7"/>
  <c r="AB321" i="7"/>
  <c r="AB414" i="7"/>
  <c r="AB375" i="7"/>
  <c r="AB377" i="7"/>
  <c r="AB363" i="7"/>
  <c r="AB314" i="7"/>
  <c r="AB408" i="7"/>
  <c r="AB444" i="7"/>
  <c r="O557" i="7"/>
  <c r="R554" i="7"/>
  <c r="R574" i="7"/>
  <c r="O558" i="7"/>
  <c r="AB63" i="7"/>
  <c r="AB32" i="7"/>
  <c r="AB26" i="7"/>
  <c r="O34" i="7"/>
  <c r="AB7" i="7"/>
  <c r="R53" i="7"/>
  <c r="AB25" i="7"/>
  <c r="O688" i="7"/>
  <c r="O673" i="7"/>
  <c r="O658" i="7"/>
  <c r="O643" i="7"/>
  <c r="O371" i="7"/>
  <c r="O356" i="7"/>
  <c r="O341" i="7"/>
  <c r="O326" i="7"/>
  <c r="O311" i="7"/>
  <c r="AB708" i="7"/>
  <c r="AB678" i="7"/>
  <c r="AB741" i="7"/>
  <c r="AB751" i="7"/>
  <c r="AB710" i="7"/>
  <c r="AB706" i="7"/>
  <c r="AB683" i="7"/>
  <c r="AB546" i="7"/>
  <c r="AB577" i="7"/>
  <c r="AB585" i="7"/>
  <c r="AB541" i="7"/>
  <c r="AB560" i="7"/>
  <c r="AB623" i="7"/>
  <c r="AB334" i="7"/>
  <c r="AB427" i="7"/>
  <c r="AB488" i="7"/>
  <c r="AB498" i="7"/>
  <c r="AB459" i="7"/>
  <c r="AB343" i="7"/>
  <c r="AB376" i="7"/>
  <c r="AB426" i="7"/>
  <c r="AB439" i="7"/>
  <c r="AB462" i="7"/>
  <c r="AB458" i="7"/>
  <c r="AB468" i="7"/>
  <c r="AB466" i="7"/>
  <c r="AB460" i="7"/>
  <c r="O554" i="7"/>
  <c r="AB671" i="7"/>
  <c r="AB579" i="7"/>
  <c r="AB599" i="7"/>
  <c r="AB568" i="7"/>
  <c r="AB404" i="7"/>
  <c r="AB395" i="7"/>
  <c r="AB480" i="7"/>
  <c r="AB367" i="7"/>
  <c r="AB344" i="7"/>
  <c r="AB529" i="7"/>
  <c r="AB499" i="7"/>
  <c r="R541" i="7"/>
  <c r="AB29" i="7"/>
  <c r="AB79" i="7"/>
  <c r="O689" i="7"/>
  <c r="O659" i="7"/>
  <c r="O372" i="7"/>
  <c r="O342" i="7"/>
  <c r="O312" i="7"/>
  <c r="AB680" i="7"/>
  <c r="AB739" i="7"/>
  <c r="AB689" i="7"/>
  <c r="AB596" i="7"/>
  <c r="AB574" i="7"/>
  <c r="AB370" i="7"/>
  <c r="AB495" i="7"/>
  <c r="AB430" i="7"/>
  <c r="AB319" i="7"/>
  <c r="AB340" i="7"/>
  <c r="AB358" i="7"/>
  <c r="AB34" i="7"/>
  <c r="R40" i="7"/>
  <c r="AB48" i="7"/>
  <c r="O660" i="7"/>
  <c r="O358" i="7"/>
  <c r="O314" i="7"/>
  <c r="AB645" i="7"/>
  <c r="AB714" i="7"/>
  <c r="AB613" i="7"/>
  <c r="AB586" i="7"/>
  <c r="AB351" i="7"/>
  <c r="AB420" i="7"/>
  <c r="AB505" i="7"/>
  <c r="AB389" i="7"/>
  <c r="AB511" i="7"/>
  <c r="AD549" i="29" l="1"/>
  <c r="AE549" i="29" s="1"/>
  <c r="AG549" i="29"/>
  <c r="AH549" i="29" s="1"/>
  <c r="AA549" i="29"/>
  <c r="AB549" i="29" s="1"/>
  <c r="X549" i="29"/>
  <c r="Y549" i="29" s="1"/>
  <c r="U549" i="29"/>
  <c r="V549" i="29" s="1"/>
  <c r="AC15" i="30"/>
  <c r="Y301" i="7"/>
  <c r="Y278" i="7"/>
  <c r="Y286" i="7"/>
  <c r="Y249" i="7"/>
  <c r="Y87" i="7"/>
  <c r="Y169" i="7"/>
  <c r="Y294" i="7"/>
  <c r="Y215" i="7"/>
  <c r="Y257" i="7"/>
  <c r="Y247" i="7"/>
  <c r="Y213" i="7"/>
  <c r="Y233" i="7"/>
  <c r="Y122" i="7"/>
  <c r="Y90" i="7"/>
  <c r="Y261" i="7"/>
  <c r="Y141" i="7"/>
  <c r="Y299" i="7"/>
  <c r="Y216" i="7"/>
  <c r="Y132" i="7"/>
  <c r="Y193" i="7"/>
  <c r="Y234" i="7"/>
  <c r="Y190" i="7"/>
  <c r="Y164" i="7"/>
  <c r="Y186" i="7"/>
  <c r="Y131" i="7"/>
  <c r="Y116" i="7"/>
  <c r="Y134" i="7"/>
  <c r="Y103" i="7"/>
  <c r="Y191" i="7"/>
  <c r="Y280" i="7"/>
  <c r="Y282" i="7"/>
  <c r="Y158" i="7"/>
  <c r="Y95" i="7"/>
  <c r="Y91" i="7"/>
  <c r="Y202" i="7"/>
  <c r="Y144" i="7"/>
  <c r="Y255" i="7"/>
  <c r="Y107" i="7"/>
  <c r="Y105" i="7"/>
  <c r="Y110" i="7"/>
  <c r="Y104" i="7"/>
  <c r="Y120" i="7"/>
  <c r="Y291" i="7"/>
  <c r="Y295" i="7"/>
  <c r="Y244" i="7"/>
  <c r="Y208" i="7"/>
  <c r="Y154" i="7"/>
  <c r="Y113" i="7"/>
  <c r="Y128" i="7"/>
  <c r="Y241" i="7"/>
  <c r="Y232" i="7"/>
  <c r="Y123" i="7"/>
  <c r="Y94" i="7"/>
  <c r="Y265" i="7"/>
  <c r="Y148" i="7"/>
  <c r="Y305" i="7"/>
  <c r="Y287" i="7"/>
  <c r="Y275" i="7"/>
  <c r="Y277" i="7"/>
  <c r="Y217" i="7"/>
  <c r="Y146" i="7"/>
  <c r="Y156" i="7"/>
  <c r="Y171" i="7"/>
  <c r="Y92" i="7"/>
  <c r="Y229" i="7"/>
  <c r="Y226" i="7"/>
  <c r="Y178" i="7"/>
  <c r="Y133" i="7"/>
  <c r="Y227" i="7"/>
  <c r="Y176" i="7"/>
  <c r="Y106" i="7"/>
  <c r="Y239" i="7"/>
  <c r="Y207" i="7"/>
  <c r="Y250" i="7"/>
  <c r="Y152" i="7"/>
  <c r="Y111" i="7"/>
  <c r="Y185" i="7"/>
  <c r="Y173" i="7"/>
  <c r="Y99" i="7"/>
  <c r="Y254" i="7"/>
  <c r="Y130" i="7"/>
  <c r="Y143" i="7"/>
  <c r="Y242" i="7"/>
  <c r="Y115" i="7"/>
  <c r="Y151" i="7"/>
  <c r="Y209" i="7"/>
  <c r="Y161" i="7"/>
  <c r="Y86" i="7"/>
  <c r="Y97" i="7"/>
  <c r="Y236" i="7"/>
  <c r="Y197" i="7"/>
  <c r="Y137" i="7"/>
  <c r="Y270" i="7"/>
  <c r="Y101" i="7"/>
  <c r="Y252" i="7"/>
  <c r="Y93" i="7"/>
  <c r="Y268" i="7"/>
  <c r="Y153" i="7"/>
  <c r="Y224" i="7"/>
  <c r="Y124" i="7"/>
  <c r="Y221" i="7"/>
  <c r="Y248" i="7"/>
  <c r="Y211" i="7"/>
  <c r="Y199" i="7"/>
  <c r="Y262" i="7"/>
  <c r="Y163" i="7"/>
  <c r="Y272" i="7"/>
  <c r="Y292" i="7"/>
  <c r="Y288" i="7"/>
  <c r="Y273" i="7"/>
  <c r="Y296" i="7"/>
  <c r="Y284" i="7"/>
  <c r="Y298" i="7"/>
  <c r="Y150" i="7"/>
  <c r="Y174" i="7"/>
  <c r="Y177" i="7"/>
  <c r="Y235" i="7"/>
  <c r="Y223" i="7"/>
  <c r="Y121" i="7"/>
  <c r="Y149" i="7"/>
  <c r="Y200" i="7"/>
  <c r="Y259" i="7"/>
  <c r="Y179" i="7"/>
  <c r="Y237" i="7"/>
  <c r="Y264" i="7"/>
  <c r="Y245" i="7"/>
  <c r="Y145" i="7"/>
  <c r="Y89" i="7"/>
  <c r="Y142" i="7"/>
  <c r="Y271" i="7"/>
  <c r="Y166" i="7"/>
  <c r="Y125" i="7"/>
  <c r="Y172" i="7"/>
  <c r="Y194" i="7"/>
  <c r="Y119" i="7"/>
  <c r="Y206" i="7"/>
  <c r="Y228" i="7"/>
  <c r="Y162" i="7"/>
  <c r="Y140" i="7"/>
  <c r="Y225" i="7"/>
  <c r="Y118" i="7"/>
  <c r="Y230" i="7"/>
  <c r="Y102" i="7"/>
  <c r="Y175" i="7"/>
  <c r="Y222" i="7"/>
  <c r="Y192" i="7"/>
  <c r="Y256" i="7"/>
  <c r="Y260" i="7"/>
  <c r="Y139" i="7"/>
  <c r="Y167" i="7"/>
  <c r="Y269" i="7"/>
  <c r="Y218" i="7"/>
  <c r="Y136" i="7"/>
  <c r="Y251" i="7"/>
  <c r="Y240" i="7"/>
  <c r="Y187" i="7"/>
  <c r="Y182" i="7"/>
  <c r="Y117" i="7"/>
  <c r="Y181" i="7"/>
  <c r="Y246" i="7"/>
  <c r="Y302" i="7"/>
  <c r="Y297" i="7"/>
  <c r="Y281" i="7"/>
  <c r="Y274" i="7"/>
  <c r="Y283" i="7"/>
  <c r="Y293" i="7"/>
  <c r="Y279" i="7"/>
  <c r="Y289" i="7"/>
  <c r="Y285" i="7"/>
  <c r="Y276" i="7"/>
  <c r="Y168" i="7"/>
  <c r="Y210" i="7"/>
  <c r="Y188" i="7"/>
  <c r="Y212" i="7"/>
  <c r="Y204" i="7"/>
  <c r="Y109" i="7"/>
  <c r="Y180" i="7"/>
  <c r="Y135" i="7"/>
  <c r="Y114" i="7"/>
  <c r="Y184" i="7"/>
  <c r="Y147" i="7"/>
  <c r="Y160" i="7"/>
  <c r="Y214" i="7"/>
  <c r="Y155" i="7"/>
  <c r="Y263" i="7"/>
  <c r="Y126" i="7"/>
  <c r="Y159" i="7"/>
  <c r="Y88" i="7"/>
  <c r="Y127" i="7"/>
  <c r="Y138" i="7"/>
  <c r="Y201" i="7"/>
  <c r="Y203" i="7"/>
  <c r="Y170" i="7"/>
  <c r="Y196" i="7"/>
  <c r="Y220" i="7"/>
  <c r="Y129" i="7"/>
  <c r="Y96" i="7"/>
  <c r="Y100" i="7"/>
  <c r="Y189" i="7"/>
  <c r="Y195" i="7"/>
  <c r="Y258" i="7"/>
  <c r="Y253" i="7"/>
  <c r="Y205" i="7"/>
  <c r="Y231" i="7"/>
  <c r="Y112" i="7"/>
  <c r="Y198" i="7"/>
  <c r="Y266" i="7"/>
  <c r="Y219" i="7"/>
  <c r="Y165" i="7"/>
  <c r="Y267" i="7"/>
  <c r="Y108" i="7"/>
  <c r="Y157" i="7"/>
  <c r="Y183" i="7"/>
  <c r="Y98" i="7"/>
  <c r="Y238" i="7"/>
  <c r="Y243" i="7"/>
  <c r="Y85" i="7"/>
  <c r="Y290" i="7"/>
  <c r="Y303" i="7"/>
  <c r="Y300" i="7"/>
  <c r="Y304" i="7"/>
  <c r="L4" i="6"/>
  <c r="S365" i="7"/>
  <c r="P378" i="7"/>
  <c r="P332" i="7"/>
  <c r="L32" i="6"/>
  <c r="L27" i="6"/>
  <c r="S334" i="7"/>
  <c r="S378" i="7"/>
  <c r="S358" i="7"/>
  <c r="S314" i="7"/>
  <c r="I24" i="6"/>
  <c r="P314" i="7"/>
  <c r="S357" i="7"/>
  <c r="P373" i="7"/>
  <c r="H25" i="6"/>
  <c r="S315" i="7"/>
  <c r="P316" i="7"/>
  <c r="S344" i="7"/>
  <c r="P317" i="7"/>
  <c r="L23" i="6"/>
  <c r="P345" i="7"/>
  <c r="S375" i="7"/>
  <c r="S376" i="7"/>
  <c r="P327" i="7"/>
  <c r="S318" i="7"/>
  <c r="J31" i="6"/>
  <c r="P375" i="7"/>
  <c r="P362" i="7"/>
  <c r="S326" i="7"/>
  <c r="I23" i="6"/>
  <c r="K31" i="6"/>
  <c r="S328" i="7"/>
  <c r="K28" i="6"/>
  <c r="S327" i="7"/>
  <c r="I28" i="6"/>
  <c r="J25" i="6"/>
  <c r="P376" i="7"/>
  <c r="S341" i="7"/>
  <c r="I29" i="6"/>
  <c r="P333" i="7"/>
  <c r="S347" i="7"/>
  <c r="S330" i="7"/>
  <c r="J24" i="6"/>
  <c r="S343" i="7"/>
  <c r="S371" i="7"/>
  <c r="S374" i="7"/>
  <c r="H27" i="6"/>
  <c r="S311" i="7"/>
  <c r="S348" i="7"/>
  <c r="J30" i="6"/>
  <c r="P347" i="7"/>
  <c r="I31" i="6"/>
  <c r="P330" i="7"/>
  <c r="J26" i="6"/>
  <c r="H30" i="6"/>
  <c r="P358" i="7"/>
  <c r="S380" i="7"/>
  <c r="H29" i="6"/>
  <c r="P334" i="7"/>
  <c r="P319" i="7"/>
  <c r="H32" i="6"/>
  <c r="K26" i="6"/>
  <c r="K27" i="6"/>
  <c r="S379" i="7"/>
  <c r="P346" i="7"/>
  <c r="P349" i="7"/>
  <c r="S350" i="7"/>
  <c r="P326" i="7"/>
  <c r="P350" i="7"/>
  <c r="S316" i="7"/>
  <c r="S361" i="7"/>
  <c r="P363" i="7"/>
  <c r="P342" i="7"/>
  <c r="S362" i="7"/>
  <c r="P360" i="7"/>
  <c r="S342" i="7"/>
  <c r="S349" i="7"/>
  <c r="P365" i="7"/>
  <c r="L28" i="6"/>
  <c r="S356" i="7"/>
  <c r="L30" i="6"/>
  <c r="J28" i="6"/>
  <c r="S377" i="7"/>
  <c r="I25" i="6"/>
  <c r="P341" i="7"/>
  <c r="J29" i="6"/>
  <c r="P318" i="7"/>
  <c r="K32" i="6"/>
  <c r="P357" i="7"/>
  <c r="J27" i="6"/>
  <c r="S317" i="7"/>
  <c r="L24" i="6"/>
  <c r="H23" i="6"/>
  <c r="P380" i="7"/>
  <c r="S364" i="7"/>
  <c r="P372" i="7"/>
  <c r="K25" i="6"/>
  <c r="P335" i="7"/>
  <c r="P348" i="7"/>
  <c r="P343" i="7"/>
  <c r="H31" i="6"/>
  <c r="P356" i="7"/>
  <c r="S373" i="7"/>
  <c r="S320" i="7"/>
  <c r="K30" i="6"/>
  <c r="S360" i="7"/>
  <c r="J32" i="6"/>
  <c r="K23" i="6"/>
  <c r="L25" i="6"/>
  <c r="S312" i="7"/>
  <c r="I32" i="6"/>
  <c r="S329" i="7"/>
  <c r="S319" i="7"/>
  <c r="P361" i="7"/>
  <c r="S335" i="7"/>
  <c r="S359" i="7"/>
  <c r="P379" i="7"/>
  <c r="P313" i="7"/>
  <c r="P311" i="7"/>
  <c r="S346" i="7"/>
  <c r="I26" i="6"/>
  <c r="P312" i="7"/>
  <c r="P359" i="7"/>
  <c r="P329" i="7"/>
  <c r="S333" i="7"/>
  <c r="P377" i="7"/>
  <c r="I30" i="6"/>
  <c r="S372" i="7"/>
  <c r="S345" i="7"/>
  <c r="H26" i="6"/>
  <c r="P320" i="7"/>
  <c r="K29" i="6"/>
  <c r="H28" i="6"/>
  <c r="S313" i="7"/>
  <c r="S331" i="7"/>
  <c r="P374" i="7"/>
  <c r="L31" i="6"/>
  <c r="J23" i="6"/>
  <c r="P315" i="7"/>
  <c r="H24" i="6"/>
  <c r="L29" i="6"/>
  <c r="P371" i="7"/>
  <c r="P328" i="7"/>
  <c r="I27" i="6"/>
  <c r="P344" i="7"/>
  <c r="K24" i="6"/>
  <c r="S363" i="7"/>
  <c r="L26" i="6"/>
  <c r="P331" i="7"/>
  <c r="S332" i="7"/>
  <c r="P364" i="7"/>
  <c r="I6" i="6"/>
  <c r="P53" i="7"/>
  <c r="S56" i="7"/>
  <c r="K6" i="6"/>
  <c r="P36" i="7"/>
  <c r="S37" i="7"/>
  <c r="P34" i="7"/>
  <c r="P41" i="7"/>
  <c r="S52" i="7"/>
  <c r="P39" i="7"/>
  <c r="H4" i="6"/>
  <c r="P57" i="7"/>
  <c r="S40" i="7"/>
  <c r="P37" i="7"/>
  <c r="S42" i="7"/>
  <c r="P54" i="7"/>
  <c r="J5" i="6"/>
  <c r="P38" i="7"/>
  <c r="J4" i="6"/>
  <c r="S43" i="7"/>
  <c r="S38" i="7"/>
  <c r="J6" i="6"/>
  <c r="H6" i="6"/>
  <c r="K5" i="6"/>
  <c r="S53" i="7"/>
  <c r="S58" i="7"/>
  <c r="P50" i="7"/>
  <c r="L6" i="6"/>
  <c r="P56" i="7"/>
  <c r="P40" i="7"/>
  <c r="P49" i="7"/>
  <c r="P42" i="7"/>
  <c r="P58" i="7"/>
  <c r="S36" i="7"/>
  <c r="P51" i="7"/>
  <c r="S34" i="7"/>
  <c r="S49" i="7"/>
  <c r="P52" i="7"/>
  <c r="P55" i="7"/>
  <c r="S54" i="7"/>
  <c r="S39" i="7"/>
  <c r="P35" i="7"/>
  <c r="K4" i="6"/>
  <c r="H5" i="6"/>
  <c r="S51" i="7"/>
  <c r="S57" i="7"/>
  <c r="S50" i="7"/>
  <c r="S41" i="7"/>
  <c r="I5" i="6"/>
  <c r="S35" i="7"/>
  <c r="I4" i="6"/>
  <c r="P43" i="7"/>
  <c r="L5" i="6"/>
  <c r="S55" i="7"/>
  <c r="P658" i="7"/>
  <c r="S675" i="7"/>
  <c r="I37" i="6"/>
  <c r="P695" i="7"/>
  <c r="S697" i="7"/>
  <c r="S648" i="7"/>
  <c r="P696" i="7"/>
  <c r="H40" i="6"/>
  <c r="S645" i="7"/>
  <c r="I43" i="6"/>
  <c r="H43" i="6"/>
  <c r="S667" i="7"/>
  <c r="S693" i="7"/>
  <c r="P693" i="7"/>
  <c r="I36" i="6"/>
  <c r="K38" i="6"/>
  <c r="P678" i="7"/>
  <c r="S663" i="7"/>
  <c r="S665" i="7"/>
  <c r="P661" i="7"/>
  <c r="P688" i="7"/>
  <c r="J36" i="6"/>
  <c r="P650" i="7"/>
  <c r="P682" i="7"/>
  <c r="L36" i="6"/>
  <c r="S649" i="7"/>
  <c r="P652" i="7"/>
  <c r="L38" i="6"/>
  <c r="S680" i="7"/>
  <c r="S644" i="7"/>
  <c r="S690" i="7"/>
  <c r="S646" i="7"/>
  <c r="S659" i="7"/>
  <c r="I42" i="6"/>
  <c r="P662" i="7"/>
  <c r="K41" i="6"/>
  <c r="S666" i="7"/>
  <c r="S692" i="7"/>
  <c r="P675" i="7"/>
  <c r="S688" i="7"/>
  <c r="S664" i="7"/>
  <c r="H42" i="6"/>
  <c r="P679" i="7"/>
  <c r="P645" i="7"/>
  <c r="L41" i="6"/>
  <c r="J40" i="6"/>
  <c r="L40" i="6"/>
  <c r="H38" i="6"/>
  <c r="K40" i="6"/>
  <c r="P674" i="7"/>
  <c r="S691" i="7"/>
  <c r="S661" i="7"/>
  <c r="S660" i="7"/>
  <c r="P649" i="7"/>
  <c r="P691" i="7"/>
  <c r="S679" i="7"/>
  <c r="P677" i="7"/>
  <c r="H37" i="6"/>
  <c r="L42" i="6"/>
  <c r="K36" i="6"/>
  <c r="S689" i="7"/>
  <c r="P643" i="7"/>
  <c r="S643" i="7"/>
  <c r="J39" i="6"/>
  <c r="S647" i="7"/>
  <c r="P676" i="7"/>
  <c r="P680" i="7"/>
  <c r="S674" i="7"/>
  <c r="S694" i="7"/>
  <c r="L43" i="6"/>
  <c r="P697" i="7"/>
  <c r="S662" i="7"/>
  <c r="S652" i="7"/>
  <c r="H36" i="6"/>
  <c r="P681" i="7"/>
  <c r="H39" i="6"/>
  <c r="S678" i="7"/>
  <c r="P694" i="7"/>
  <c r="S695" i="7"/>
  <c r="H41" i="6"/>
  <c r="J37" i="6"/>
  <c r="P663" i="7"/>
  <c r="S681" i="7"/>
  <c r="S677" i="7"/>
  <c r="J41" i="6"/>
  <c r="P689" i="7"/>
  <c r="P666" i="7"/>
  <c r="P665" i="7"/>
  <c r="P646" i="7"/>
  <c r="P644" i="7"/>
  <c r="P667" i="7"/>
  <c r="P660" i="7"/>
  <c r="I40" i="6"/>
  <c r="K42" i="6"/>
  <c r="P647" i="7"/>
  <c r="K37" i="6"/>
  <c r="J38" i="6"/>
  <c r="S650" i="7"/>
  <c r="K43" i="6"/>
  <c r="P664" i="7"/>
  <c r="K39" i="6"/>
  <c r="L39" i="6"/>
  <c r="J42" i="6"/>
  <c r="P690" i="7"/>
  <c r="S651" i="7"/>
  <c r="P659" i="7"/>
  <c r="S658" i="7"/>
  <c r="P673" i="7"/>
  <c r="P648" i="7"/>
  <c r="P692" i="7"/>
  <c r="S682" i="7"/>
  <c r="S676" i="7"/>
  <c r="J43" i="6"/>
  <c r="I39" i="6"/>
  <c r="I41" i="6"/>
  <c r="S673" i="7"/>
  <c r="P651" i="7"/>
  <c r="L37" i="6"/>
  <c r="I38" i="6"/>
  <c r="S696" i="7"/>
  <c r="S553" i="7"/>
  <c r="P570" i="7"/>
  <c r="S556" i="7"/>
  <c r="P539" i="7"/>
  <c r="P553" i="7"/>
  <c r="P576" i="7"/>
  <c r="S567" i="7"/>
  <c r="P567" i="7"/>
  <c r="S569" i="7"/>
  <c r="S538" i="7"/>
  <c r="P544" i="7"/>
  <c r="P560" i="7"/>
  <c r="S558" i="7"/>
  <c r="P572" i="7"/>
  <c r="S557" i="7"/>
  <c r="P555" i="7"/>
  <c r="P568" i="7"/>
  <c r="P542" i="7"/>
  <c r="P574" i="7"/>
  <c r="P571" i="7"/>
  <c r="P561" i="7"/>
  <c r="S568" i="7"/>
  <c r="S552" i="7"/>
  <c r="S539" i="7"/>
  <c r="S574" i="7"/>
  <c r="S570" i="7"/>
  <c r="P538" i="7"/>
  <c r="S560" i="7"/>
  <c r="P557" i="7"/>
  <c r="P537" i="7"/>
  <c r="S540" i="7"/>
  <c r="S575" i="7"/>
  <c r="P545" i="7"/>
  <c r="P558" i="7"/>
  <c r="S542" i="7"/>
  <c r="S559" i="7"/>
  <c r="P573" i="7"/>
  <c r="S555" i="7"/>
  <c r="P540" i="7"/>
  <c r="S571" i="7"/>
  <c r="P546" i="7"/>
  <c r="P575" i="7"/>
  <c r="P569" i="7"/>
  <c r="P554" i="7"/>
  <c r="S546" i="7"/>
  <c r="P559" i="7"/>
  <c r="S541" i="7"/>
  <c r="P541" i="7"/>
  <c r="S572" i="7"/>
  <c r="S537" i="7"/>
  <c r="S545" i="7"/>
  <c r="S573" i="7"/>
  <c r="S554" i="7"/>
  <c r="P552" i="7"/>
  <c r="S544" i="7"/>
  <c r="S561" i="7"/>
  <c r="S543" i="7"/>
  <c r="P556" i="7"/>
  <c r="P543" i="7"/>
  <c r="S576" i="7"/>
  <c r="T550" i="29"/>
  <c r="R147" i="7"/>
  <c r="R133" i="7"/>
  <c r="R117" i="7"/>
  <c r="R104" i="7"/>
  <c r="R88" i="7"/>
  <c r="AB213" i="7"/>
  <c r="AB152" i="7"/>
  <c r="AB140" i="7"/>
  <c r="AB205" i="7"/>
  <c r="AB113" i="7"/>
  <c r="AB284" i="7"/>
  <c r="AB109" i="7"/>
  <c r="AB299" i="7"/>
  <c r="AB130" i="7"/>
  <c r="AB222" i="7"/>
  <c r="AB165" i="7"/>
  <c r="AB265" i="7"/>
  <c r="AB223" i="7"/>
  <c r="AB160" i="7"/>
  <c r="O132" i="7"/>
  <c r="AB232" i="7"/>
  <c r="AB305" i="7"/>
  <c r="AB207" i="7"/>
  <c r="AB273" i="7"/>
  <c r="O145" i="7"/>
  <c r="O130" i="7"/>
  <c r="O115" i="7"/>
  <c r="O100" i="7"/>
  <c r="O85" i="7"/>
  <c r="AB171" i="7"/>
  <c r="AB145" i="7"/>
  <c r="AB201" i="7"/>
  <c r="AB144" i="7"/>
  <c r="AB124" i="7"/>
  <c r="AB274" i="7"/>
  <c r="AB87" i="7"/>
  <c r="AB227" i="7"/>
  <c r="AB172" i="7"/>
  <c r="AB96" i="7"/>
  <c r="AB120" i="7"/>
  <c r="AB163" i="7"/>
  <c r="AB276" i="7"/>
  <c r="O104" i="7"/>
  <c r="AB256" i="7"/>
  <c r="AB195" i="7"/>
  <c r="AB280" i="7"/>
  <c r="O134" i="7"/>
  <c r="AB202" i="7"/>
  <c r="AB239" i="7"/>
  <c r="AB262" i="7"/>
  <c r="AB230" i="7"/>
  <c r="O150" i="7"/>
  <c r="O135" i="7"/>
  <c r="O120" i="7"/>
  <c r="O105" i="7"/>
  <c r="O90" i="7"/>
  <c r="AB148" i="7"/>
  <c r="AB121" i="7"/>
  <c r="AB214" i="7"/>
  <c r="AB103" i="7"/>
  <c r="AB137" i="7"/>
  <c r="AB187" i="7"/>
  <c r="AB300" i="7"/>
  <c r="AB146" i="7"/>
  <c r="AB264" i="7"/>
  <c r="AB127" i="7"/>
  <c r="AB91" i="7"/>
  <c r="AB153" i="7"/>
  <c r="AB297" i="7"/>
  <c r="R134" i="7"/>
  <c r="AB286" i="7"/>
  <c r="AB110" i="7"/>
  <c r="AB97" i="7"/>
  <c r="AB245" i="7"/>
  <c r="AB138" i="7"/>
  <c r="AB267" i="7"/>
  <c r="AB257" i="7"/>
  <c r="AC550" i="29"/>
  <c r="Z550" i="29"/>
  <c r="R146" i="7"/>
  <c r="R131" i="7"/>
  <c r="R116" i="7"/>
  <c r="R101" i="7"/>
  <c r="R86" i="7"/>
  <c r="AB134" i="7"/>
  <c r="AB197" i="7"/>
  <c r="AB240" i="7"/>
  <c r="AB303" i="7"/>
  <c r="AB92" i="7"/>
  <c r="AB89" i="7"/>
  <c r="AB203" i="7"/>
  <c r="AB95" i="7"/>
  <c r="AB268" i="7"/>
  <c r="AB302" i="7"/>
  <c r="AB169" i="7"/>
  <c r="AB176" i="7"/>
  <c r="AB194" i="7"/>
  <c r="AB100" i="7"/>
  <c r="O117" i="7"/>
  <c r="AB174" i="7"/>
  <c r="AB149" i="7"/>
  <c r="AB228" i="7"/>
  <c r="AB212" i="7"/>
  <c r="R149" i="7"/>
  <c r="R136" i="7"/>
  <c r="R119" i="7"/>
  <c r="R106" i="7"/>
  <c r="R91" i="7"/>
  <c r="AB261" i="7"/>
  <c r="AB99" i="7"/>
  <c r="AB102" i="7"/>
  <c r="AB266" i="7"/>
  <c r="AB123" i="7"/>
  <c r="AB177" i="7"/>
  <c r="AB184" i="7"/>
  <c r="AB234" i="7"/>
  <c r="AB151" i="7"/>
  <c r="AB139" i="7"/>
  <c r="AB183" i="7"/>
  <c r="AB275" i="7"/>
  <c r="AB259" i="7"/>
  <c r="AB126" i="7"/>
  <c r="R152" i="7"/>
  <c r="O89" i="7"/>
  <c r="AB186" i="7"/>
  <c r="AB287" i="7"/>
  <c r="AB101" i="7"/>
  <c r="R122" i="7"/>
  <c r="AB224" i="7"/>
  <c r="AB206" i="7"/>
  <c r="AB285" i="7"/>
  <c r="AB198" i="7"/>
  <c r="R151" i="7"/>
  <c r="R137" i="7"/>
  <c r="R121" i="7"/>
  <c r="R103" i="7"/>
  <c r="R92" i="7"/>
  <c r="AB294" i="7"/>
  <c r="AB106" i="7"/>
  <c r="AB119" i="7"/>
  <c r="AB189" i="7"/>
  <c r="AB295" i="7"/>
  <c r="AB292" i="7"/>
  <c r="AB210" i="7"/>
  <c r="AB122" i="7"/>
  <c r="AB185" i="7"/>
  <c r="AB118" i="7"/>
  <c r="AB112" i="7"/>
  <c r="AB241" i="7"/>
  <c r="AB150" i="7"/>
  <c r="AB135" i="7"/>
  <c r="R118" i="7"/>
  <c r="AB178" i="7"/>
  <c r="AB199" i="7"/>
  <c r="AB136" i="7"/>
  <c r="O149" i="7"/>
  <c r="AB156" i="7"/>
  <c r="W550" i="29"/>
  <c r="O148" i="7"/>
  <c r="O133" i="7"/>
  <c r="O118" i="7"/>
  <c r="O103" i="7"/>
  <c r="O88" i="7"/>
  <c r="AB291" i="7"/>
  <c r="AB272" i="7"/>
  <c r="AB168" i="7"/>
  <c r="AB141" i="7"/>
  <c r="AB254" i="7"/>
  <c r="AB175" i="7"/>
  <c r="AB219" i="7"/>
  <c r="AB128" i="7"/>
  <c r="AB298" i="7"/>
  <c r="AB180" i="7"/>
  <c r="AB190" i="7"/>
  <c r="AB209" i="7"/>
  <c r="AB167" i="7"/>
  <c r="AB98" i="7"/>
  <c r="O102" i="7"/>
  <c r="AB114" i="7"/>
  <c r="AB155" i="7"/>
  <c r="AB258" i="7"/>
  <c r="R145" i="7"/>
  <c r="R130" i="7"/>
  <c r="R115" i="7"/>
  <c r="R100" i="7"/>
  <c r="R85" i="7"/>
  <c r="AB282" i="7"/>
  <c r="AB252" i="7"/>
  <c r="AB181" i="7"/>
  <c r="AB249" i="7"/>
  <c r="AB133" i="7"/>
  <c r="AB125" i="7"/>
  <c r="AB129" i="7"/>
  <c r="AB255" i="7"/>
  <c r="AB221" i="7"/>
  <c r="AB283" i="7"/>
  <c r="AB247" i="7"/>
  <c r="AB250" i="7"/>
  <c r="AB162" i="7"/>
  <c r="AB253" i="7"/>
  <c r="R132" i="7"/>
  <c r="AB132" i="7"/>
  <c r="AB86" i="7"/>
  <c r="AB200" i="7"/>
  <c r="AB117" i="7"/>
  <c r="R102" i="7"/>
  <c r="AB281" i="7"/>
  <c r="AB243" i="7"/>
  <c r="AB90" i="7"/>
  <c r="R150" i="7"/>
  <c r="R135" i="7"/>
  <c r="R120" i="7"/>
  <c r="R105" i="7"/>
  <c r="R90" i="7"/>
  <c r="AB164" i="7"/>
  <c r="AB161" i="7"/>
  <c r="AB269" i="7"/>
  <c r="AB238" i="7"/>
  <c r="AB217" i="7"/>
  <c r="AB237" i="7"/>
  <c r="AB88" i="7"/>
  <c r="AB191" i="7"/>
  <c r="AB270" i="7"/>
  <c r="AB182" i="7"/>
  <c r="AB278" i="7"/>
  <c r="AB226" i="7"/>
  <c r="AB271" i="7"/>
  <c r="AB196" i="7"/>
  <c r="R107" i="7"/>
  <c r="AB166" i="7"/>
  <c r="AB289" i="7"/>
  <c r="AB304" i="7"/>
  <c r="AB216" i="7"/>
  <c r="AB220" i="7"/>
  <c r="AF550" i="29"/>
  <c r="O146" i="7"/>
  <c r="O131" i="7"/>
  <c r="O116" i="7"/>
  <c r="O101" i="7"/>
  <c r="O86" i="7"/>
  <c r="AB277" i="7"/>
  <c r="AB179" i="7"/>
  <c r="AB159" i="7"/>
  <c r="AB158" i="7"/>
  <c r="AB93" i="7"/>
  <c r="AB246" i="7"/>
  <c r="AB301" i="7"/>
  <c r="AB229" i="7"/>
  <c r="AB142" i="7"/>
  <c r="AB170" i="7"/>
  <c r="AB107" i="7"/>
  <c r="AB248" i="7"/>
  <c r="AB293" i="7"/>
  <c r="O147" i="7"/>
  <c r="O87" i="7"/>
  <c r="AB108" i="7"/>
  <c r="AB131" i="7"/>
  <c r="AB208" i="7"/>
  <c r="O151" i="7"/>
  <c r="O136" i="7"/>
  <c r="O121" i="7"/>
  <c r="O106" i="7"/>
  <c r="O91" i="7"/>
  <c r="AB154" i="7"/>
  <c r="AB296" i="7"/>
  <c r="AB204" i="7"/>
  <c r="AB193" i="7"/>
  <c r="AB115" i="7"/>
  <c r="AB260" i="7"/>
  <c r="AB157" i="7"/>
  <c r="AB94" i="7"/>
  <c r="AB235" i="7"/>
  <c r="AB147" i="7"/>
  <c r="AB116" i="7"/>
  <c r="AB236" i="7"/>
  <c r="AB251" i="7"/>
  <c r="AB290" i="7"/>
  <c r="O119" i="7"/>
  <c r="AB242" i="7"/>
  <c r="AB218" i="7"/>
  <c r="AB263" i="7"/>
  <c r="AB85" i="7"/>
  <c r="R148" i="7"/>
  <c r="R87" i="7"/>
  <c r="AB215" i="7"/>
  <c r="AB104" i="7"/>
  <c r="AB173" i="7"/>
  <c r="O152" i="7"/>
  <c r="O137" i="7"/>
  <c r="O122" i="7"/>
  <c r="O107" i="7"/>
  <c r="O92" i="7"/>
  <c r="AB105" i="7"/>
  <c r="AB211" i="7"/>
  <c r="AB279" i="7"/>
  <c r="AB233" i="7"/>
  <c r="AB111" i="7"/>
  <c r="AB225" i="7"/>
  <c r="AB231" i="7"/>
  <c r="AB244" i="7"/>
  <c r="AB288" i="7"/>
  <c r="AB188" i="7"/>
  <c r="AB143" i="7"/>
  <c r="AB192" i="7"/>
  <c r="R89" i="7"/>
  <c r="AG550" i="29" l="1"/>
  <c r="AH550" i="29" s="1"/>
  <c r="X550" i="29"/>
  <c r="Y550" i="29" s="1"/>
  <c r="AA550" i="29"/>
  <c r="AB550" i="29" s="1"/>
  <c r="AD550" i="29"/>
  <c r="AE550" i="29" s="1"/>
  <c r="U550" i="29"/>
  <c r="V550" i="29" s="1"/>
  <c r="S94" i="7"/>
  <c r="S123" i="7"/>
  <c r="S93" i="7"/>
  <c r="P153" i="7"/>
  <c r="P139" i="7"/>
  <c r="P93" i="7"/>
  <c r="S153" i="7"/>
  <c r="P108" i="7"/>
  <c r="S108" i="7"/>
  <c r="S154" i="7"/>
  <c r="P154" i="7"/>
  <c r="S124" i="7"/>
  <c r="S138" i="7"/>
  <c r="P124" i="7"/>
  <c r="S139" i="7"/>
  <c r="P123" i="7"/>
  <c r="S109" i="7"/>
  <c r="P109" i="7"/>
  <c r="P94" i="7"/>
  <c r="P138" i="7"/>
  <c r="S90" i="7"/>
  <c r="S118" i="7"/>
  <c r="S136" i="7"/>
  <c r="I12" i="6"/>
  <c r="L19" i="6"/>
  <c r="I14" i="6"/>
  <c r="K17" i="6"/>
  <c r="H12" i="6"/>
  <c r="P116" i="7"/>
  <c r="K13" i="6"/>
  <c r="L13" i="6"/>
  <c r="K12" i="6"/>
  <c r="S115" i="7"/>
  <c r="P89" i="7"/>
  <c r="P122" i="7"/>
  <c r="P117" i="7"/>
  <c r="S130" i="7"/>
  <c r="L10" i="6"/>
  <c r="L12" i="6"/>
  <c r="K15" i="6"/>
  <c r="P132" i="7"/>
  <c r="J18" i="6"/>
  <c r="H18" i="6"/>
  <c r="P148" i="7"/>
  <c r="S151" i="7"/>
  <c r="P119" i="7"/>
  <c r="H17" i="6"/>
  <c r="L14" i="6"/>
  <c r="S145" i="7"/>
  <c r="J17" i="6"/>
  <c r="S132" i="7"/>
  <c r="J19" i="6"/>
  <c r="P101" i="7"/>
  <c r="S122" i="7"/>
  <c r="P130" i="7"/>
  <c r="P107" i="7"/>
  <c r="I18" i="6"/>
  <c r="P145" i="7"/>
  <c r="S87" i="7"/>
  <c r="P92" i="7"/>
  <c r="P88" i="7"/>
  <c r="I19" i="6"/>
  <c r="S146" i="7"/>
  <c r="J16" i="6"/>
  <c r="K10" i="6"/>
  <c r="P90" i="7"/>
  <c r="S120" i="7"/>
  <c r="P136" i="7"/>
  <c r="S116" i="7"/>
  <c r="K14" i="6"/>
  <c r="S150" i="7"/>
  <c r="S148" i="7"/>
  <c r="P146" i="7"/>
  <c r="K18" i="6"/>
  <c r="K16" i="6"/>
  <c r="S100" i="7"/>
  <c r="H10" i="6"/>
  <c r="J14" i="6"/>
  <c r="P152" i="7"/>
  <c r="I15" i="6"/>
  <c r="P91" i="7"/>
  <c r="P85" i="7"/>
  <c r="S104" i="7"/>
  <c r="J12" i="6"/>
  <c r="H13" i="6"/>
  <c r="P120" i="7"/>
  <c r="P87" i="7"/>
  <c r="P104" i="7"/>
  <c r="P106" i="7"/>
  <c r="I17" i="6"/>
  <c r="S134" i="7"/>
  <c r="J11" i="6"/>
  <c r="I10" i="6"/>
  <c r="L18" i="6"/>
  <c r="H16" i="6"/>
  <c r="H19" i="6"/>
  <c r="S102" i="7"/>
  <c r="L16" i="6"/>
  <c r="P115" i="7"/>
  <c r="S103" i="7"/>
  <c r="P135" i="7"/>
  <c r="I16" i="6"/>
  <c r="P86" i="7"/>
  <c r="S152" i="7"/>
  <c r="J15" i="6"/>
  <c r="S135" i="7"/>
  <c r="I13" i="6"/>
  <c r="I11" i="6"/>
  <c r="H14" i="6"/>
  <c r="S149" i="7"/>
  <c r="P131" i="7"/>
  <c r="P121" i="7"/>
  <c r="L17" i="6"/>
  <c r="P150" i="7"/>
  <c r="P100" i="7"/>
  <c r="P118" i="7"/>
  <c r="P103" i="7"/>
  <c r="S86" i="7"/>
  <c r="L15" i="6"/>
  <c r="P147" i="7"/>
  <c r="K11" i="6"/>
  <c r="S131" i="7"/>
  <c r="S101" i="7"/>
  <c r="P134" i="7"/>
  <c r="S147" i="7"/>
  <c r="S92" i="7"/>
  <c r="S91" i="7"/>
  <c r="H11" i="6"/>
  <c r="H15" i="6"/>
  <c r="S89" i="7"/>
  <c r="P105" i="7"/>
  <c r="J10" i="6"/>
  <c r="S119" i="7"/>
  <c r="S85" i="7"/>
  <c r="S107" i="7"/>
  <c r="P133" i="7"/>
  <c r="S121" i="7"/>
  <c r="S105" i="7"/>
  <c r="J13" i="6"/>
  <c r="P137" i="7"/>
  <c r="P102" i="7"/>
  <c r="L11" i="6"/>
  <c r="P149" i="7"/>
  <c r="S117" i="7"/>
  <c r="S137" i="7"/>
  <c r="P151" i="7"/>
  <c r="S106" i="7"/>
  <c r="K19" i="6"/>
  <c r="S88" i="7"/>
  <c r="S133" i="7"/>
  <c r="AF551" i="29"/>
  <c r="Z551" i="29"/>
  <c r="T551" i="29"/>
  <c r="AC551" i="29"/>
  <c r="W551" i="29"/>
  <c r="X551" i="29" l="1"/>
  <c r="Y551" i="29" s="1"/>
  <c r="AD551" i="29"/>
  <c r="AE551" i="29" s="1"/>
  <c r="U551" i="29"/>
  <c r="V551" i="29" s="1"/>
  <c r="AA551" i="29"/>
  <c r="AB551" i="29" s="1"/>
  <c r="AG551" i="29"/>
  <c r="AH551" i="29" s="1"/>
  <c r="T552" i="29"/>
  <c r="AF552" i="29"/>
  <c r="W552" i="29"/>
  <c r="Z552" i="29"/>
  <c r="AC552" i="29"/>
  <c r="AD552" i="29" l="1"/>
  <c r="AE552" i="29" s="1"/>
  <c r="AA552" i="29"/>
  <c r="AB552" i="29" s="1"/>
  <c r="X552" i="29"/>
  <c r="Y552" i="29" s="1"/>
  <c r="AG552" i="29"/>
  <c r="AH552" i="29" s="1"/>
  <c r="U552" i="29"/>
  <c r="V552" i="29" s="1"/>
  <c r="T553" i="29"/>
  <c r="AC553" i="29"/>
  <c r="W553" i="29"/>
  <c r="AF553" i="29"/>
  <c r="Z553" i="29"/>
  <c r="AA553" i="29" l="1"/>
  <c r="AB553" i="29" s="1"/>
  <c r="AG553" i="29"/>
  <c r="AH553" i="29" s="1"/>
  <c r="X553" i="29"/>
  <c r="Y553" i="29" s="1"/>
  <c r="AD553" i="29"/>
  <c r="AE553" i="29" s="1"/>
  <c r="U553" i="29"/>
  <c r="V553" i="29" s="1"/>
  <c r="Z554" i="29"/>
  <c r="T554" i="29"/>
  <c r="W554" i="29"/>
  <c r="AC554" i="29"/>
  <c r="AF554" i="29"/>
  <c r="AG554" i="29" l="1"/>
  <c r="AH554" i="29" s="1"/>
  <c r="AD554" i="29"/>
  <c r="AE554" i="29" s="1"/>
  <c r="X554" i="29"/>
  <c r="Y554" i="29" s="1"/>
  <c r="U554" i="29"/>
  <c r="V554" i="29" s="1"/>
  <c r="AA554" i="29"/>
  <c r="AB554" i="29" s="1"/>
  <c r="AF555" i="29"/>
  <c r="W555" i="29"/>
  <c r="Z555" i="29"/>
  <c r="AC555" i="29"/>
  <c r="T555" i="29"/>
  <c r="U555" i="29" l="1"/>
  <c r="V555" i="29" s="1"/>
  <c r="AD555" i="29"/>
  <c r="AE555" i="29" s="1"/>
  <c r="AA555" i="29"/>
  <c r="AB555" i="29" s="1"/>
  <c r="X555" i="29"/>
  <c r="Y555" i="29" s="1"/>
  <c r="AG555" i="29"/>
  <c r="AH555" i="29" s="1"/>
  <c r="S200" i="14"/>
  <c r="T200" i="14"/>
  <c r="R200" i="14"/>
  <c r="Z556" i="29"/>
  <c r="T556" i="29"/>
  <c r="AF556" i="29"/>
  <c r="AC556" i="29"/>
  <c r="W556" i="29"/>
  <c r="X556" i="29" l="1"/>
  <c r="Y556" i="29" s="1"/>
  <c r="AD556" i="29"/>
  <c r="AE556" i="29" s="1"/>
  <c r="AG556" i="29"/>
  <c r="AH556" i="29" s="1"/>
  <c r="U556" i="29"/>
  <c r="V556" i="29" s="1"/>
  <c r="AA556" i="29"/>
  <c r="AB556" i="29" s="1"/>
  <c r="AF557" i="29"/>
  <c r="W557" i="29"/>
  <c r="Z557" i="29"/>
  <c r="T557" i="29"/>
  <c r="AC557" i="29"/>
  <c r="AD557" i="29" l="1"/>
  <c r="AE557" i="29" s="1"/>
  <c r="U557" i="29"/>
  <c r="V557" i="29" s="1"/>
  <c r="AA557" i="29"/>
  <c r="AB557" i="29" s="1"/>
  <c r="X557" i="29"/>
  <c r="Y557" i="29" s="1"/>
  <c r="AG557" i="29"/>
  <c r="AH557" i="29" s="1"/>
  <c r="Z558" i="29"/>
  <c r="AF558" i="29"/>
  <c r="AC558" i="29"/>
  <c r="T558" i="29"/>
  <c r="W558" i="29"/>
  <c r="X558" i="29" l="1"/>
  <c r="Y558" i="29" s="1"/>
  <c r="U558" i="29"/>
  <c r="V558" i="29" s="1"/>
  <c r="AD558" i="29"/>
  <c r="AE558" i="29" s="1"/>
  <c r="AG558" i="29"/>
  <c r="AH558" i="29" s="1"/>
  <c r="AA558" i="29"/>
  <c r="AB558" i="29" s="1"/>
  <c r="AC559" i="29"/>
  <c r="Z559" i="29"/>
  <c r="W559" i="29"/>
  <c r="AF559" i="29"/>
  <c r="T559" i="29"/>
  <c r="U559" i="29" l="1"/>
  <c r="V559" i="29" s="1"/>
  <c r="AG559" i="29"/>
  <c r="AH559" i="29" s="1"/>
  <c r="X559" i="29"/>
  <c r="Y559" i="29" s="1"/>
  <c r="AA559" i="29"/>
  <c r="AB559" i="29" s="1"/>
  <c r="AD559" i="29"/>
  <c r="AE559" i="29" s="1"/>
  <c r="W560" i="29"/>
  <c r="AC560" i="29"/>
  <c r="T560" i="29"/>
  <c r="Z560" i="29"/>
  <c r="AF560" i="29"/>
  <c r="AG560" i="29" l="1"/>
  <c r="AH560" i="29" s="1"/>
  <c r="AA560" i="29"/>
  <c r="AB560" i="29" s="1"/>
  <c r="U560" i="29"/>
  <c r="V560" i="29" s="1"/>
  <c r="AD560" i="29"/>
  <c r="AE560" i="29" s="1"/>
  <c r="X560" i="29"/>
  <c r="Y560" i="29" s="1"/>
  <c r="T561" i="29"/>
  <c r="W561" i="29"/>
  <c r="AF561" i="29"/>
  <c r="AC561" i="29"/>
  <c r="Z561" i="29"/>
  <c r="AA561" i="29" l="1"/>
  <c r="AB561" i="29" s="1"/>
  <c r="AD561" i="29"/>
  <c r="AE561" i="29" s="1"/>
  <c r="AG561" i="29"/>
  <c r="AH561" i="29" s="1"/>
  <c r="X561" i="29"/>
  <c r="Y561" i="29" s="1"/>
  <c r="U561" i="29"/>
  <c r="V561" i="29" s="1"/>
  <c r="Z562" i="29"/>
  <c r="AF562" i="29"/>
  <c r="T562" i="29"/>
  <c r="W562" i="29"/>
  <c r="AC562" i="29"/>
  <c r="AD562" i="29" l="1"/>
  <c r="AE562" i="29" s="1"/>
  <c r="X562" i="29"/>
  <c r="Y562" i="29" s="1"/>
  <c r="U562" i="29"/>
  <c r="V562" i="29" s="1"/>
  <c r="AG562" i="29"/>
  <c r="AH562" i="29" s="1"/>
  <c r="AA562" i="29"/>
  <c r="AB562" i="29" s="1"/>
  <c r="AC563" i="29"/>
  <c r="T563" i="29"/>
  <c r="Z563" i="29"/>
  <c r="AF563" i="29"/>
  <c r="W563" i="29"/>
  <c r="X563" i="29" l="1"/>
  <c r="Y563" i="29" s="1"/>
  <c r="AG563" i="29"/>
  <c r="AH563" i="29" s="1"/>
  <c r="AA563" i="29"/>
  <c r="AB563" i="29" s="1"/>
  <c r="U563" i="29"/>
  <c r="V563" i="29" s="1"/>
  <c r="AD563" i="29"/>
  <c r="AE563" i="29" s="1"/>
  <c r="Z564" i="29"/>
  <c r="AC564" i="29"/>
  <c r="W564" i="29"/>
  <c r="AF564" i="29"/>
  <c r="T564" i="29"/>
  <c r="U564" i="29" l="1"/>
  <c r="V564" i="29" s="1"/>
  <c r="AG564" i="29"/>
  <c r="AH564" i="29" s="1"/>
  <c r="X564" i="29"/>
  <c r="Y564" i="29" s="1"/>
  <c r="AD564" i="29"/>
  <c r="AE564" i="29" s="1"/>
  <c r="AA564" i="29"/>
  <c r="AB564" i="29" s="1"/>
  <c r="W565" i="29"/>
  <c r="T565" i="29"/>
  <c r="Z565" i="29"/>
  <c r="AC565" i="29"/>
  <c r="AF565" i="29"/>
  <c r="AG565" i="29" l="1"/>
  <c r="AH565" i="29" s="1"/>
  <c r="AD565" i="29"/>
  <c r="AE565" i="29" s="1"/>
  <c r="AA565" i="29"/>
  <c r="AB565" i="29" s="1"/>
  <c r="U565" i="29"/>
  <c r="V565" i="29" s="1"/>
  <c r="X565" i="29"/>
  <c r="Y565" i="29" s="1"/>
  <c r="AF566" i="29"/>
  <c r="W566" i="29"/>
  <c r="Z566" i="29"/>
  <c r="AC566" i="29"/>
  <c r="T566" i="29"/>
  <c r="U566" i="29" l="1"/>
  <c r="V566" i="29" s="1"/>
  <c r="AD566" i="29"/>
  <c r="AE566" i="29" s="1"/>
  <c r="AA566" i="29"/>
  <c r="AB566" i="29" s="1"/>
  <c r="X566" i="29"/>
  <c r="Y566" i="29" s="1"/>
  <c r="AG566" i="29"/>
  <c r="AH566" i="29" s="1"/>
  <c r="T567" i="29"/>
  <c r="Z567" i="29"/>
  <c r="AF567" i="29"/>
  <c r="W567" i="29"/>
  <c r="AC567" i="29"/>
  <c r="AD567" i="29" l="1"/>
  <c r="AE567" i="29" s="1"/>
  <c r="X567" i="29"/>
  <c r="Y567" i="29" s="1"/>
  <c r="AG567" i="29"/>
  <c r="AH567" i="29" s="1"/>
  <c r="AA567" i="29"/>
  <c r="AB567" i="29" s="1"/>
  <c r="U567" i="29"/>
  <c r="V567" i="29" s="1"/>
  <c r="AF568" i="29"/>
  <c r="AC568" i="29"/>
  <c r="T568" i="29"/>
  <c r="W568" i="29"/>
  <c r="Z568" i="29"/>
  <c r="AA568" i="29" l="1"/>
  <c r="AB568" i="29" s="1"/>
  <c r="X568" i="29"/>
  <c r="Y568" i="29" s="1"/>
  <c r="U568" i="29"/>
  <c r="V568" i="29" s="1"/>
  <c r="AD568" i="29"/>
  <c r="AE568" i="29" s="1"/>
  <c r="AG568" i="29"/>
  <c r="AH568" i="29" s="1"/>
  <c r="AF569" i="29"/>
  <c r="Z569" i="29"/>
  <c r="T569" i="29"/>
  <c r="W569" i="29"/>
  <c r="AC569" i="29"/>
  <c r="AD569" i="29" l="1"/>
  <c r="AE569" i="29" s="1"/>
  <c r="X569" i="29"/>
  <c r="Y569" i="29" s="1"/>
  <c r="U569" i="29"/>
  <c r="V569" i="29" s="1"/>
  <c r="AA569" i="29"/>
  <c r="AB569" i="29" s="1"/>
  <c r="AG569" i="29"/>
  <c r="AH569" i="29" s="1"/>
  <c r="T570" i="29"/>
  <c r="AC570" i="29"/>
  <c r="AF570" i="29"/>
  <c r="Z570" i="29"/>
  <c r="W570" i="29"/>
  <c r="X570" i="29" l="1"/>
  <c r="Y570" i="29" s="1"/>
  <c r="AA570" i="29"/>
  <c r="AB570" i="29" s="1"/>
  <c r="AG570" i="29"/>
  <c r="AH570" i="29" s="1"/>
  <c r="AD570" i="29"/>
  <c r="AE570" i="29" s="1"/>
  <c r="U570" i="29"/>
  <c r="V570" i="29" s="1"/>
  <c r="AF571" i="29"/>
  <c r="W571" i="29"/>
  <c r="T571" i="29"/>
  <c r="Z571" i="29"/>
  <c r="AC571" i="29"/>
  <c r="AD571" i="29" l="1"/>
  <c r="AE571" i="29" s="1"/>
  <c r="AA571" i="29"/>
  <c r="AB571" i="29" s="1"/>
  <c r="U571" i="29"/>
  <c r="V571" i="29" s="1"/>
  <c r="X571" i="29"/>
  <c r="Y571" i="29" s="1"/>
  <c r="AG571" i="29"/>
  <c r="AH571" i="29" s="1"/>
  <c r="AC572" i="29"/>
  <c r="T572" i="29"/>
  <c r="AF572" i="29"/>
  <c r="Z572" i="29"/>
  <c r="W572" i="29"/>
  <c r="X572" i="29" l="1"/>
  <c r="Y572" i="29" s="1"/>
  <c r="AA572" i="29"/>
  <c r="AB572" i="29" s="1"/>
  <c r="AG572" i="29"/>
  <c r="AH572" i="29" s="1"/>
  <c r="U572" i="29"/>
  <c r="V572" i="29" s="1"/>
  <c r="AD572" i="29"/>
  <c r="AE572" i="29" s="1"/>
  <c r="AC573" i="29"/>
  <c r="W573" i="29"/>
  <c r="AF573" i="29"/>
  <c r="Z573" i="29"/>
  <c r="T573" i="29"/>
  <c r="U573" i="29" l="1"/>
  <c r="V573" i="29" s="1"/>
  <c r="AA573" i="29"/>
  <c r="AB573" i="29" s="1"/>
  <c r="AG573" i="29"/>
  <c r="AH573" i="29" s="1"/>
  <c r="X573" i="29"/>
  <c r="Y573" i="29" s="1"/>
  <c r="AD573" i="29"/>
  <c r="AE57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Macchi</author>
  </authors>
  <commentList>
    <comment ref="G15" authorId="0" shapeId="0" xr:uid="{1DA3CFC2-6F78-495B-B47E-2BA788E3C507}">
      <text>
        <r>
          <rPr>
            <b/>
            <sz val="9"/>
            <color indexed="81"/>
            <rFont val="Tahoma"/>
            <family val="2"/>
          </rPr>
          <t xml:space="preserve">Paolo Macchi:
</t>
        </r>
        <r>
          <rPr>
            <sz val="9"/>
            <color indexed="81"/>
            <rFont val="Tahoma"/>
            <family val="2"/>
          </rPr>
          <t xml:space="preserve">Senza Modificatore
</t>
        </r>
      </text>
    </comment>
    <comment ref="H15" authorId="0" shapeId="0" xr:uid="{B8AAF29C-1761-4E73-BECD-4A195FFE34BD}">
      <text>
        <r>
          <rPr>
            <b/>
            <sz val="9"/>
            <color indexed="81"/>
            <rFont val="Tahoma"/>
            <family val="2"/>
          </rPr>
          <t>Paolo Macchi:</t>
        </r>
        <r>
          <rPr>
            <sz val="9"/>
            <color indexed="81"/>
            <rFont val="Tahoma"/>
            <family val="2"/>
          </rPr>
          <t xml:space="preserve">
Con Modificatore</t>
        </r>
      </text>
    </comment>
    <comment ref="U15" authorId="0" shapeId="0" xr:uid="{37F9ACEA-08EA-4F2D-A59A-4A5488C712C2}">
      <text>
        <r>
          <rPr>
            <b/>
            <sz val="9"/>
            <color indexed="81"/>
            <rFont val="Tahoma"/>
            <family val="2"/>
          </rPr>
          <t>Paolo Macchi:</t>
        </r>
        <r>
          <rPr>
            <sz val="9"/>
            <color indexed="81"/>
            <rFont val="Tahoma"/>
            <family val="2"/>
          </rPr>
          <t xml:space="preserve">
Media delle aste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Paolo Macchi</author>
  </authors>
  <commentList>
    <comment ref="B31" authorId="0" shapeId="0" xr:uid="{00000000-0006-0000-0A00-000001000000}">
      <text>
        <r>
          <rPr>
            <b/>
            <sz val="9"/>
            <color indexed="81"/>
            <rFont val="Tahoma"/>
            <family val="2"/>
          </rPr>
          <t>Paolo Macchi:</t>
        </r>
        <r>
          <rPr>
            <sz val="9"/>
            <color indexed="81"/>
            <rFont val="Tahoma"/>
            <family val="2"/>
          </rPr>
          <t xml:space="preserve">
Inserire l'attacante con la spesa massima</t>
        </r>
      </text>
    </comment>
    <comment ref="B32" authorId="0" shapeId="0" xr:uid="{00000000-0006-0000-0A00-000002000000}">
      <text>
        <r>
          <rPr>
            <b/>
            <sz val="9"/>
            <color indexed="81"/>
            <rFont val="Tahoma"/>
            <family val="2"/>
          </rPr>
          <t>Paolo Macchi:</t>
        </r>
        <r>
          <rPr>
            <sz val="9"/>
            <color indexed="81"/>
            <rFont val="Tahoma"/>
            <family val="2"/>
          </rPr>
          <t xml:space="preserve">
Inserire il centrocampista con la spesa più alta</t>
        </r>
      </text>
    </comment>
    <comment ref="B33" authorId="0" shapeId="0" xr:uid="{00000000-0006-0000-0A00-000003000000}">
      <text>
        <r>
          <rPr>
            <b/>
            <sz val="9"/>
            <color indexed="81"/>
            <rFont val="Tahoma"/>
            <family val="2"/>
          </rPr>
          <t>Paolo Macchi:</t>
        </r>
        <r>
          <rPr>
            <sz val="9"/>
            <color indexed="81"/>
            <rFont val="Tahoma"/>
            <family val="2"/>
          </rPr>
          <t xml:space="preserve">
Inserire il difensore con la spesa più alta</t>
        </r>
      </text>
    </comment>
    <comment ref="B34" authorId="0" shapeId="0" xr:uid="{00000000-0006-0000-0A00-000004000000}">
      <text>
        <r>
          <rPr>
            <b/>
            <sz val="9"/>
            <color indexed="81"/>
            <rFont val="Tahoma"/>
            <family val="2"/>
          </rPr>
          <t>Paolo Macchi:</t>
        </r>
        <r>
          <rPr>
            <sz val="9"/>
            <color indexed="81"/>
            <rFont val="Tahoma"/>
            <family val="2"/>
          </rPr>
          <t xml:space="preserve">
Inserire il portiere con la spesa più alta</t>
        </r>
      </text>
    </comment>
    <comment ref="B41" authorId="0" shapeId="0" xr:uid="{00000000-0006-0000-0A00-000005000000}">
      <text>
        <r>
          <rPr>
            <b/>
            <sz val="9"/>
            <color indexed="81"/>
            <rFont val="Tahoma"/>
            <family val="2"/>
          </rPr>
          <t xml:space="preserve">Paolo Macchi:
</t>
        </r>
        <r>
          <rPr>
            <sz val="9"/>
            <color indexed="81"/>
            <rFont val="Tahoma"/>
            <family val="2"/>
          </rPr>
          <t>Inserire l'attaccante con il punteggio più basso (ad esempio per una lega ad 8 con 6 attaccanti prenderò il 48° attacante nel foglio attaccanti)</t>
        </r>
      </text>
    </comment>
    <comment ref="B42" authorId="0" shapeId="0" xr:uid="{00000000-0006-0000-0A00-000006000000}">
      <text>
        <r>
          <rPr>
            <b/>
            <sz val="9"/>
            <color indexed="81"/>
            <rFont val="Tahoma"/>
            <family val="2"/>
          </rPr>
          <t>Paolo Macchi:</t>
        </r>
        <r>
          <rPr>
            <sz val="9"/>
            <color indexed="81"/>
            <rFont val="Tahoma"/>
            <family val="2"/>
          </rPr>
          <t xml:space="preserve">
Inserire il centrocampista con il punteggio più basso (ad esempio per una lega ad 8 con 8 centrocampisti prenderò il 64° attacante nel foglio centrocampisti)</t>
        </r>
      </text>
    </comment>
    <comment ref="B43" authorId="0" shapeId="0" xr:uid="{00000000-0006-0000-0A00-000007000000}">
      <text>
        <r>
          <rPr>
            <b/>
            <sz val="9"/>
            <color indexed="81"/>
            <rFont val="Tahoma"/>
            <family val="2"/>
          </rPr>
          <t>Paolo Macchi:</t>
        </r>
        <r>
          <rPr>
            <sz val="9"/>
            <color indexed="81"/>
            <rFont val="Tahoma"/>
            <family val="2"/>
          </rPr>
          <t xml:space="preserve">
Inserire ildifensore con il punteggio più basso (ad esempio per una lega ad 8 con 8 difensori prenderò il 64° difensore nel foglio difensori)</t>
        </r>
      </text>
    </comment>
    <comment ref="B44" authorId="0" shapeId="0" xr:uid="{00000000-0006-0000-0A00-000008000000}">
      <text>
        <r>
          <rPr>
            <b/>
            <sz val="9"/>
            <color indexed="81"/>
            <rFont val="Tahoma"/>
            <family val="2"/>
          </rPr>
          <t>Paolo Macchi:</t>
        </r>
        <r>
          <rPr>
            <sz val="9"/>
            <color indexed="81"/>
            <rFont val="Tahoma"/>
            <family val="2"/>
          </rPr>
          <t xml:space="preserve">
Inserire il portiere con il punteggio più basso (ad esempio per una lega ad 8 con 2 portieri prenderò il 16° portiere nel foglio portieri)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B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C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Q1" authorId="0" shapeId="0" xr:uid="{00000000-0006-0000-0D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N1" authorId="0" shapeId="0" xr:uid="{00000000-0006-0000-0E00-000001000000}">
      <text>
        <r>
          <rPr>
            <b/>
            <sz val="9"/>
            <color indexed="81"/>
            <rFont val="Tahoma"/>
            <family val="2"/>
          </rPr>
          <t>paolo:</t>
        </r>
        <r>
          <rPr>
            <sz val="9"/>
            <color indexed="81"/>
            <rFont val="Tahoma"/>
            <family val="2"/>
          </rPr>
          <t xml:space="preserve">
1  per COMSIGLIATO
0  per SORPRESA
-1 per SCONSIGLIATO</t>
        </r>
      </text>
    </comment>
  </commentList>
</comments>
</file>

<file path=xl/sharedStrings.xml><?xml version="1.0" encoding="utf-8"?>
<sst xmlns="http://schemas.openxmlformats.org/spreadsheetml/2006/main" count="16948" uniqueCount="2009">
  <si>
    <t>Indice</t>
  </si>
  <si>
    <t>Istruzioni</t>
  </si>
  <si>
    <t>Rose</t>
  </si>
  <si>
    <t>Come si utilizza questo file?</t>
  </si>
  <si>
    <t>Griglia per Ruolo</t>
  </si>
  <si>
    <t>Trattative</t>
  </si>
  <si>
    <t>Mia rosa + Org. Finanza</t>
  </si>
  <si>
    <t>I.A. + Fasce</t>
  </si>
  <si>
    <t>Griglia Portieri</t>
  </si>
  <si>
    <t>Griglia Difensori</t>
  </si>
  <si>
    <t>Formazioni Titolari GE</t>
  </si>
  <si>
    <t>Algoritmo</t>
  </si>
  <si>
    <t>Algoritmo Pesi</t>
  </si>
  <si>
    <t>Algoritmo Portieri</t>
  </si>
  <si>
    <t>Algoritmo Difensori</t>
  </si>
  <si>
    <t>Griglia per Ruoli</t>
  </si>
  <si>
    <t>Algoritmo Centrocampisti</t>
  </si>
  <si>
    <t>- Situazione dei giocatori comprati e da comprare</t>
  </si>
  <si>
    <t>Algoritmo Attaccanti</t>
  </si>
  <si>
    <t>Algoritmo Tutti Giocatori</t>
  </si>
  <si>
    <t>Algoritmo Squadre</t>
  </si>
  <si>
    <t>- E' possibile gestire la rosa per leghe che utilizzano rose diverse da 3-10-10-8.</t>
  </si>
  <si>
    <t>Algoritmo Fattore Casa</t>
  </si>
  <si>
    <t>Esempio lega 3-9-8-6: cancellare contenuto A23, A38, A39, A52, A53.</t>
  </si>
  <si>
    <t>Algoritmo Allenatore</t>
  </si>
  <si>
    <t>- Se si vogliono mantenere sempre tutti i giocatori nelle liste inserire 1 nella cella A1 del foglio Rose</t>
  </si>
  <si>
    <t>Algoritmo Copyright</t>
  </si>
  <si>
    <t>- Se si vogliono cancellare i giocatori già acquistati dalle liste inserire 2 nella cella A1 del foglio Rose</t>
  </si>
  <si>
    <t>- Se usate i trequartisti sostituite le C con le T nelle righe in cui pensate si inserire i trequartisti</t>
  </si>
  <si>
    <t>Giocatori FFC</t>
  </si>
  <si>
    <t>Giocatori Gazzetta Senza Trequartisti</t>
  </si>
  <si>
    <t>Giocatori Gazzetta Con Trequartisti</t>
  </si>
  <si>
    <t>Giocatori Pianeta Fantacalcio</t>
  </si>
  <si>
    <t>Legenda</t>
  </si>
  <si>
    <t>- E' possibile gestire leghe da 6  a 12 squadre.</t>
  </si>
  <si>
    <t>P</t>
  </si>
  <si>
    <t>PORTIERI</t>
  </si>
  <si>
    <t>D</t>
  </si>
  <si>
    <t>DIFENSORI</t>
  </si>
  <si>
    <t>C</t>
  </si>
  <si>
    <t>CENTROCAMPISTI</t>
  </si>
  <si>
    <t>T</t>
  </si>
  <si>
    <t>TREQUARTISTI</t>
  </si>
  <si>
    <t>A</t>
  </si>
  <si>
    <t>ATTACCANTI</t>
  </si>
  <si>
    <t>- E' possibile gestire leghe da 6 a 12 squadre.</t>
  </si>
  <si>
    <t xml:space="preserve">ESEMPIO: In una lega a 10 squadre cancellare il contenuto delle celle V3 e W3. </t>
  </si>
  <si>
    <t>In una lega a 8 squadre cancellare il contenuto delle celle T3, U3, V3 e W3.</t>
  </si>
  <si>
    <t>- Si possono utilizzare fasce personalizzate: incollate i giocatori nella sezione di competenza</t>
  </si>
  <si>
    <t>Foglio Algoritmo</t>
  </si>
  <si>
    <t>- Istruzioni su come impostare i pesi per l'algoritmo</t>
  </si>
  <si>
    <t>Diogo Figueiras</t>
  </si>
  <si>
    <t>Guilherme</t>
  </si>
  <si>
    <t>Panico</t>
  </si>
  <si>
    <t>Dodo</t>
  </si>
  <si>
    <t>Hallfredsson</t>
  </si>
  <si>
    <t>Pavoletti</t>
  </si>
  <si>
    <t>Domizzi</t>
  </si>
  <si>
    <t>Hamsik</t>
  </si>
  <si>
    <t>Pazzini</t>
  </si>
  <si>
    <t>Drame</t>
  </si>
  <si>
    <t>Hetemaj</t>
  </si>
  <si>
    <t>Pellissier</t>
  </si>
  <si>
    <t>Edenilson</t>
  </si>
  <si>
    <t>Hiljemark</t>
  </si>
  <si>
    <t>Perica</t>
  </si>
  <si>
    <t>El Kaoutari</t>
  </si>
  <si>
    <t>Iniguez</t>
  </si>
  <si>
    <t>Pinilla</t>
  </si>
  <si>
    <t>Emerson</t>
  </si>
  <si>
    <t>Ionita</t>
  </si>
  <si>
    <t>Piu</t>
  </si>
  <si>
    <t>Evra</t>
  </si>
  <si>
    <t>Iturra</t>
  </si>
  <si>
    <t>Ponce A.</t>
  </si>
  <si>
    <t>Ferrari</t>
  </si>
  <si>
    <t>Izco</t>
  </si>
  <si>
    <t>Ponce E.</t>
  </si>
  <si>
    <t>Frey</t>
  </si>
  <si>
    <t>Jajalo</t>
  </si>
  <si>
    <t>Pucciarelli</t>
  </si>
  <si>
    <t>Gabriel Silva</t>
  </si>
  <si>
    <t>Jorginho</t>
  </si>
  <si>
    <t>Quagliarella</t>
  </si>
  <si>
    <t>Gagliolo</t>
  </si>
  <si>
    <t>Keita S.</t>
  </si>
  <si>
    <t>Rebic</t>
  </si>
  <si>
    <t>Gamberini</t>
  </si>
  <si>
    <t>Khedira</t>
  </si>
  <si>
    <t>Rodriguez A.</t>
  </si>
  <si>
    <t>Gastaldello</t>
  </si>
  <si>
    <t>Kondogbia</t>
  </si>
  <si>
    <t>Rossi G.</t>
  </si>
  <si>
    <t>Gaston Silva</t>
  </si>
  <si>
    <t>Krivicic</t>
  </si>
  <si>
    <t>Thereau</t>
  </si>
  <si>
    <t>Gazzola</t>
  </si>
  <si>
    <t>Krsticic</t>
  </si>
  <si>
    <t>Toni</t>
  </si>
  <si>
    <t>Gentiletti</t>
  </si>
  <si>
    <t>Krunic</t>
  </si>
  <si>
    <t>Totti</t>
  </si>
  <si>
    <t>Ghoulam</t>
  </si>
  <si>
    <t>Kucka</t>
  </si>
  <si>
    <t>Wilczek</t>
  </si>
  <si>
    <t>Gilberto</t>
  </si>
  <si>
    <t>Kurtic</t>
  </si>
  <si>
    <t>Zapata D.</t>
  </si>
  <si>
    <t>Glik</t>
  </si>
  <si>
    <t>Laribi</t>
  </si>
  <si>
    <t>Zaza</t>
  </si>
  <si>
    <t>Gobbi</t>
  </si>
  <si>
    <t>Lazzari</t>
  </si>
  <si>
    <t>Goldaniga</t>
  </si>
  <si>
    <t>Lemina</t>
  </si>
  <si>
    <t>Gonzalez</t>
  </si>
  <si>
    <t>Lollo</t>
  </si>
  <si>
    <t>Helander</t>
  </si>
  <si>
    <t>Lulic K.</t>
  </si>
  <si>
    <t>Henrique</t>
  </si>
  <si>
    <t>Lulic S.</t>
  </si>
  <si>
    <t>Heurtaux</t>
  </si>
  <si>
    <t>Magnanelli</t>
  </si>
  <si>
    <t>Hoedt</t>
  </si>
  <si>
    <t>Maiello</t>
  </si>
  <si>
    <t>Hysaj</t>
  </si>
  <si>
    <t>Marchisio</t>
  </si>
  <si>
    <t>Izzo</t>
  </si>
  <si>
    <t>Maresca</t>
  </si>
  <si>
    <t>Jansson</t>
  </si>
  <si>
    <t>Marquinho</t>
  </si>
  <si>
    <t>Juan Jesus</t>
  </si>
  <si>
    <t>Marrone</t>
  </si>
  <si>
    <t>Konko</t>
  </si>
  <si>
    <t>Martinho</t>
  </si>
  <si>
    <t>Koulibaly</t>
  </si>
  <si>
    <t>Mauri J.</t>
  </si>
  <si>
    <t>Krafth</t>
  </si>
  <si>
    <t>Medel</t>
  </si>
  <si>
    <t>Kresic</t>
  </si>
  <si>
    <t>Merkel</t>
  </si>
  <si>
    <t>Laurini</t>
  </si>
  <si>
    <t>Migliaccio</t>
  </si>
  <si>
    <t>Lazaar</t>
  </si>
  <si>
    <t>Milinkovic-Savic</t>
  </si>
  <si>
    <t>Letizia</t>
  </si>
  <si>
    <t>Missiroli</t>
  </si>
  <si>
    <t>Lichtsteiner</t>
  </si>
  <si>
    <t>Montolivo</t>
  </si>
  <si>
    <t>Longhi</t>
  </si>
  <si>
    <t>Morrison</t>
  </si>
  <si>
    <t>Luperto</t>
  </si>
  <si>
    <t>Mounier</t>
  </si>
  <si>
    <t>Maggio</t>
  </si>
  <si>
    <t>Nainggolan</t>
  </si>
  <si>
    <t>Maicon</t>
  </si>
  <si>
    <t>Nocerino</t>
  </si>
  <si>
    <t>Maietta</t>
  </si>
  <si>
    <t>Ntcham</t>
  </si>
  <si>
    <t>Maksimovic</t>
  </si>
  <si>
    <t>Obi</t>
  </si>
  <si>
    <t>Manolas</t>
  </si>
  <si>
    <t>Oikonomidis</t>
  </si>
  <si>
    <t>Marchese</t>
  </si>
  <si>
    <t>Onazi</t>
  </si>
  <si>
    <t>Marcos Alonso</t>
  </si>
  <si>
    <t>Padoin</t>
  </si>
  <si>
    <t>Mario Rui</t>
  </si>
  <si>
    <t>Palombo</t>
  </si>
  <si>
    <t>Marquez</t>
  </si>
  <si>
    <t>Paredes</t>
  </si>
  <si>
    <t>Martinelli</t>
  </si>
  <si>
    <t>Parolo</t>
  </si>
  <si>
    <t>Masiello A.</t>
  </si>
  <si>
    <t>Pasciuti</t>
  </si>
  <si>
    <t>Masina</t>
  </si>
  <si>
    <t>Pellegrini</t>
  </si>
  <si>
    <t>Mattiello</t>
  </si>
  <si>
    <t>Pepe</t>
  </si>
  <si>
    <t>Mauricio</t>
  </si>
  <si>
    <t>Pinzi</t>
  </si>
  <si>
    <t>Mbaye I.</t>
  </si>
  <si>
    <t>Pjanic</t>
  </si>
  <si>
    <t>Mesbah</t>
  </si>
  <si>
    <t>Pogba</t>
  </si>
  <si>
    <t>Mexes</t>
  </si>
  <si>
    <t>Poli A.</t>
  </si>
  <si>
    <t>Miranda</t>
  </si>
  <si>
    <t>Prcic</t>
  </si>
  <si>
    <t>Moisander</t>
  </si>
  <si>
    <t>Pugliese</t>
  </si>
  <si>
    <t>Molinaro</t>
  </si>
  <si>
    <t>Pulgar</t>
  </si>
  <si>
    <t>Montoya</t>
  </si>
  <si>
    <t>Quaison</t>
  </si>
  <si>
    <t>Moras</t>
  </si>
  <si>
    <t>Radovanovic</t>
  </si>
  <si>
    <t>Moretti</t>
  </si>
  <si>
    <t>Rigoni L.</t>
  </si>
  <si>
    <t>Morganella</t>
  </si>
  <si>
    <t>Rigoni N.</t>
  </si>
  <si>
    <t>Morleo</t>
  </si>
  <si>
    <t>Rincon</t>
  </si>
  <si>
    <t>Munoz</t>
  </si>
  <si>
    <t>Rizzo</t>
  </si>
  <si>
    <t>Murillo</t>
  </si>
  <si>
    <t>Romulo</t>
  </si>
  <si>
    <t>Nagatomo</t>
  </si>
  <si>
    <t>Ronaldo</t>
  </si>
  <si>
    <t>Oikonomou</t>
  </si>
  <si>
    <t>Sala</t>
  </si>
  <si>
    <t>Paletta</t>
  </si>
  <si>
    <t>Sammarco</t>
  </si>
  <si>
    <t>Parente</t>
  </si>
  <si>
    <t>Serinelli</t>
  </si>
  <si>
    <t>Pasqual</t>
  </si>
  <si>
    <t>Silvestro</t>
  </si>
  <si>
    <t>Pasquale</t>
  </si>
  <si>
    <t>Soriano</t>
  </si>
  <si>
    <t>Patric</t>
  </si>
  <si>
    <t>Strootman</t>
  </si>
  <si>
    <t>Pavlovic</t>
  </si>
  <si>
    <t>Sturaro</t>
  </si>
  <si>
    <t>Peluso</t>
  </si>
  <si>
    <t>Suarez</t>
  </si>
  <si>
    <t>Pereira</t>
  </si>
  <si>
    <t>Tachtsidis</t>
  </si>
  <si>
    <t>Piris</t>
  </si>
  <si>
    <t>Taider</t>
  </si>
  <si>
    <t>Pirrello</t>
  </si>
  <si>
    <t>Tino Costa</t>
  </si>
  <si>
    <t>Pisano</t>
  </si>
  <si>
    <t>Tonev</t>
  </si>
  <si>
    <t>Popa</t>
  </si>
  <si>
    <t>Ucan</t>
  </si>
  <si>
    <t>Prce</t>
  </si>
  <si>
    <t>Vainqueur</t>
  </si>
  <si>
    <t>Radu</t>
  </si>
  <si>
    <t>Valdifiori</t>
  </si>
  <si>
    <t>Raimondi</t>
  </si>
  <si>
    <t>Vecino</t>
  </si>
  <si>
    <t>Ranocchia</t>
  </si>
  <si>
    <t>Verdu</t>
  </si>
  <si>
    <t>Regini</t>
  </si>
  <si>
    <t>Vives</t>
  </si>
  <si>
    <t>Rispoli</t>
  </si>
  <si>
    <t>Viviani</t>
  </si>
  <si>
    <t>Rodrigo Ely</t>
  </si>
  <si>
    <t>Wszolek</t>
  </si>
  <si>
    <t>Rodriguez</t>
  </si>
  <si>
    <t>Zaccagni</t>
  </si>
  <si>
    <t>Romagnoli A.</t>
  </si>
  <si>
    <t>Zuculini</t>
  </si>
  <si>
    <t>Romagnoli S.</t>
  </si>
  <si>
    <t>Roncaglia</t>
  </si>
  <si>
    <t>Rosi</t>
  </si>
  <si>
    <t>Rossettini</t>
  </si>
  <si>
    <t>Rudiger</t>
  </si>
  <si>
    <t>Rugani</t>
  </si>
  <si>
    <t>Russo</t>
  </si>
  <si>
    <t>Santon</t>
  </si>
  <si>
    <t>Sardo</t>
  </si>
  <si>
    <t>Silvestre</t>
  </si>
  <si>
    <t>Souprayen</t>
  </si>
  <si>
    <t>Spolli</t>
  </si>
  <si>
    <t>Stendardo</t>
  </si>
  <si>
    <t>Strinic</t>
  </si>
  <si>
    <t>Struna</t>
  </si>
  <si>
    <t>Suagher</t>
  </si>
  <si>
    <t>Tambe</t>
  </si>
  <si>
    <t>Telles</t>
  </si>
  <si>
    <t>Terranova</t>
  </si>
  <si>
    <t>Terzi</t>
  </si>
  <si>
    <t>Toloi</t>
  </si>
  <si>
    <t>Tomovic</t>
  </si>
  <si>
    <t>Tonelli</t>
  </si>
  <si>
    <t>Torosidis</t>
  </si>
  <si>
    <t>Vidic</t>
  </si>
  <si>
    <t>Vitiello</t>
  </si>
  <si>
    <t>Vrsaljko</t>
  </si>
  <si>
    <t>Wague</t>
  </si>
  <si>
    <t>Wallace</t>
  </si>
  <si>
    <t>Widmer</t>
  </si>
  <si>
    <t>Winck</t>
  </si>
  <si>
    <t>Zaccardo</t>
  </si>
  <si>
    <t>Zambelli</t>
  </si>
  <si>
    <t>Zapata C.</t>
  </si>
  <si>
    <t>Zappacosta</t>
  </si>
  <si>
    <t>Zukanovic</t>
  </si>
  <si>
    <t>Zuniga</t>
  </si>
  <si>
    <t>PORTA</t>
  </si>
  <si>
    <t>LINEA DIFESA</t>
  </si>
  <si>
    <t>LINEA DI CENTROCAMPO</t>
  </si>
  <si>
    <t>LINEA TREQUARTI</t>
  </si>
  <si>
    <t>LINEA D'ATTACCO</t>
  </si>
  <si>
    <t>NOME</t>
  </si>
  <si>
    <t>SQUADRA</t>
  </si>
  <si>
    <t>RUOLO</t>
  </si>
  <si>
    <t>ABATE</t>
  </si>
  <si>
    <t>ACQUAH</t>
  </si>
  <si>
    <t>ALISSON</t>
  </si>
  <si>
    <t>ACERBI</t>
  </si>
  <si>
    <t>ALLAN</t>
  </si>
  <si>
    <t>BABACAR</t>
  </si>
  <si>
    <t>ADNAN</t>
  </si>
  <si>
    <t>BACCA</t>
  </si>
  <si>
    <t>AJETI</t>
  </si>
  <si>
    <t>ARAMU</t>
  </si>
  <si>
    <t>ALBIOL</t>
  </si>
  <si>
    <t>ASAMOAH</t>
  </si>
  <si>
    <t>BELOTTI</t>
  </si>
  <si>
    <t>BERISHA</t>
  </si>
  <si>
    <t>ALEX SANDRO</t>
  </si>
  <si>
    <t>BADELJ</t>
  </si>
  <si>
    <t>BIZZARRI</t>
  </si>
  <si>
    <t>BERARDI</t>
  </si>
  <si>
    <t>BUFFON</t>
  </si>
  <si>
    <t>ANDREOLLI</t>
  </si>
  <si>
    <t>BALIC</t>
  </si>
  <si>
    <t>BORRIELLO</t>
  </si>
  <si>
    <t>CARRIZO</t>
  </si>
  <si>
    <t>ANGELLA</t>
  </si>
  <si>
    <t>ANSALDI</t>
  </si>
  <si>
    <t>BARBERIS</t>
  </si>
  <si>
    <t>BUDIMIR</t>
  </si>
  <si>
    <t>CONSIGLI</t>
  </si>
  <si>
    <t>ANTEI</t>
  </si>
  <si>
    <t>BARELLA</t>
  </si>
  <si>
    <t>CALLEJON</t>
  </si>
  <si>
    <t>CORDAZ</t>
  </si>
  <si>
    <t>ANTONELLI</t>
  </si>
  <si>
    <t>CAPRARI</t>
  </si>
  <si>
    <t>DA COSTA</t>
  </si>
  <si>
    <t>BASELLI</t>
  </si>
  <si>
    <t>DIEGO LOPEZ</t>
  </si>
  <si>
    <t>CHIESA</t>
  </si>
  <si>
    <t>ASTORI</t>
  </si>
  <si>
    <t>BENASSI</t>
  </si>
  <si>
    <t>DRAGOWSKI</t>
  </si>
  <si>
    <t>AVELAR</t>
  </si>
  <si>
    <t>BERNARDESCHI</t>
  </si>
  <si>
    <t>DEFREL</t>
  </si>
  <si>
    <t>FESTA</t>
  </si>
  <si>
    <t>BERTOLACCI</t>
  </si>
  <si>
    <t>DESTRO</t>
  </si>
  <si>
    <t>BARRECA</t>
  </si>
  <si>
    <t>BIGLIA</t>
  </si>
  <si>
    <t>DJORDJEVIC</t>
  </si>
  <si>
    <t>GABRIEL</t>
  </si>
  <si>
    <t>BARZAGLI</t>
  </si>
  <si>
    <t>BIONDINI</t>
  </si>
  <si>
    <t>DJURICIC</t>
  </si>
  <si>
    <t>GOMIS A</t>
  </si>
  <si>
    <t>BASTA</t>
  </si>
  <si>
    <t>BIRSA</t>
  </si>
  <si>
    <t>DYBALA</t>
  </si>
  <si>
    <t>HANDANOVIC</t>
  </si>
  <si>
    <t>BONAVENTURA</t>
  </si>
  <si>
    <t>DZEKO</t>
  </si>
  <si>
    <t>ICHAZO</t>
  </si>
  <si>
    <t>BENATIA</t>
  </si>
  <si>
    <t>BORJA VALERO</t>
  </si>
  <si>
    <t>EDER</t>
  </si>
  <si>
    <t>KARNEZIS</t>
  </si>
  <si>
    <t>BIRAGHI</t>
  </si>
  <si>
    <t>EL SHAARAWY</t>
  </si>
  <si>
    <t>LAMANNA</t>
  </si>
  <si>
    <t>BROZOVIC</t>
  </si>
  <si>
    <t>EWANDRO</t>
  </si>
  <si>
    <t>FALCINELLI</t>
  </si>
  <si>
    <t>LOBONT</t>
  </si>
  <si>
    <t>BONUCCI</t>
  </si>
  <si>
    <t>FARIAS</t>
  </si>
  <si>
    <t>MARCHETTI</t>
  </si>
  <si>
    <t>FLOCCARI</t>
  </si>
  <si>
    <t>MARSON</t>
  </si>
  <si>
    <t>BRIVIO</t>
  </si>
  <si>
    <t>BUCHEL</t>
  </si>
  <si>
    <t>CANDREVA</t>
  </si>
  <si>
    <t>MIRANTE</t>
  </si>
  <si>
    <t>BRUNO PERES</t>
  </si>
  <si>
    <t>GERSON</t>
  </si>
  <si>
    <t>NETO</t>
  </si>
  <si>
    <t>CAPEZZI</t>
  </si>
  <si>
    <t>GIANNETTI</t>
  </si>
  <si>
    <t>PADELLI</t>
  </si>
  <si>
    <t>CACCIATORE</t>
  </si>
  <si>
    <t>PEGOLO</t>
  </si>
  <si>
    <t>CALABRIA</t>
  </si>
  <si>
    <t>CASTRO</t>
  </si>
  <si>
    <t>CALDARA</t>
  </si>
  <si>
    <t>CATALDI</t>
  </si>
  <si>
    <t>PERIN</t>
  </si>
  <si>
    <t>HIGUAIN</t>
  </si>
  <si>
    <t>CANNAVARO</t>
  </si>
  <si>
    <t>CIGARINI</t>
  </si>
  <si>
    <t>ICARDI</t>
  </si>
  <si>
    <t>CAPUANO</t>
  </si>
  <si>
    <t>ILICIC</t>
  </si>
  <si>
    <t>CASTAN</t>
  </si>
  <si>
    <t>COFIE</t>
  </si>
  <si>
    <t>IMMOBILE</t>
  </si>
  <si>
    <t>PUGGIONI</t>
  </si>
  <si>
    <t>CECCHERINI</t>
  </si>
  <si>
    <t>CRISETIG</t>
  </si>
  <si>
    <t>INGLESE</t>
  </si>
  <si>
    <t>CEPPITELLI</t>
  </si>
  <si>
    <t>CRISTANTE</t>
  </si>
  <si>
    <t>INSIGNE</t>
  </si>
  <si>
    <t>RAFAEL</t>
  </si>
  <si>
    <t>CESAR</t>
  </si>
  <si>
    <t>ITURBE</t>
  </si>
  <si>
    <t>RAFAEL CABRAL</t>
  </si>
  <si>
    <t>CHERUBIN</t>
  </si>
  <si>
    <t>D'ALESSANDRO</t>
  </si>
  <si>
    <t>JOVETIC</t>
  </si>
  <si>
    <t>REINA</t>
  </si>
  <si>
    <t>CHIELLINI</t>
  </si>
  <si>
    <t>KALINIC</t>
  </si>
  <si>
    <t>CHIRICHES</t>
  </si>
  <si>
    <t>SCUFFET</t>
  </si>
  <si>
    <t>DE PAUL</t>
  </si>
  <si>
    <t>KISHNA</t>
  </si>
  <si>
    <t>SECULIN</t>
  </si>
  <si>
    <t>DE ROSSI</t>
  </si>
  <si>
    <t>LAPADULA</t>
  </si>
  <si>
    <t>SEPE</t>
  </si>
  <si>
    <t>DEIOLA</t>
  </si>
  <si>
    <t>SKORUPSKI</t>
  </si>
  <si>
    <t>CONTI</t>
  </si>
  <si>
    <t>DESSENA</t>
  </si>
  <si>
    <t>SORRENTINO</t>
  </si>
  <si>
    <t>SPORTIELLO</t>
  </si>
  <si>
    <t>MANDZUKIC</t>
  </si>
  <si>
    <t>STORARI</t>
  </si>
  <si>
    <t>COSTA F</t>
  </si>
  <si>
    <t>DIAKHATE</t>
  </si>
  <si>
    <t>DIAWARA</t>
  </si>
  <si>
    <t>MATOS</t>
  </si>
  <si>
    <t>TOZZO</t>
  </si>
  <si>
    <t>DAINELLI</t>
  </si>
  <si>
    <t>MATRI</t>
  </si>
  <si>
    <t>VARGIC</t>
  </si>
  <si>
    <t>D'AMBROSIO</t>
  </si>
  <si>
    <t>DONSAH</t>
  </si>
  <si>
    <t>MAXI LOPEZ</t>
  </si>
  <si>
    <t>VIVIANO</t>
  </si>
  <si>
    <t>DUNCAN</t>
  </si>
  <si>
    <t>ZIMA</t>
  </si>
  <si>
    <t>DANILO</t>
  </si>
  <si>
    <t>MEGGIORINI</t>
  </si>
  <si>
    <t>DE SCIGLIO</t>
  </si>
  <si>
    <t>MELCHIORRI</t>
  </si>
  <si>
    <t>DE SILVESTRI</t>
  </si>
  <si>
    <t>MILIK</t>
  </si>
  <si>
    <t>DE VRIJ</t>
  </si>
  <si>
    <t>FELIPE ANDERSON</t>
  </si>
  <si>
    <t>DELL'ORCO</t>
  </si>
  <si>
    <t>NALINI</t>
  </si>
  <si>
    <t>FOFANA</t>
  </si>
  <si>
    <t>DJIMSITI</t>
  </si>
  <si>
    <t>FREULER</t>
  </si>
  <si>
    <t>NIANG</t>
  </si>
  <si>
    <t>GAGLIARDINI</t>
  </si>
  <si>
    <t>DRAME'</t>
  </si>
  <si>
    <t>GAKPE'</t>
  </si>
  <si>
    <t>PALACIO</t>
  </si>
  <si>
    <t>EMERSON</t>
  </si>
  <si>
    <t>GIACCHERINI</t>
  </si>
  <si>
    <t>PALLADINO</t>
  </si>
  <si>
    <t>PALOSCHI</t>
  </si>
  <si>
    <t>PANDEV</t>
  </si>
  <si>
    <t>FARAONI</t>
  </si>
  <si>
    <t>GNOUKOURI</t>
  </si>
  <si>
    <t>PARIGINI</t>
  </si>
  <si>
    <t>FELIPE</t>
  </si>
  <si>
    <t>GOMEZ A</t>
  </si>
  <si>
    <t>PAVOLETTI</t>
  </si>
  <si>
    <t>FERRARI A</t>
  </si>
  <si>
    <t>GRASSI</t>
  </si>
  <si>
    <t>PELLISSIER</t>
  </si>
  <si>
    <t>FERRARI G</t>
  </si>
  <si>
    <t>HALLFREDSSON</t>
  </si>
  <si>
    <t>HAMSIK</t>
  </si>
  <si>
    <t>PERICA</t>
  </si>
  <si>
    <t>FLORENZI</t>
  </si>
  <si>
    <t>PETAGNA</t>
  </si>
  <si>
    <t>HETEMAJ</t>
  </si>
  <si>
    <t>HILJEMARK</t>
  </si>
  <si>
    <t>PJACA</t>
  </si>
  <si>
    <t>GAMBERINI</t>
  </si>
  <si>
    <t>PUCCIARELLI</t>
  </si>
  <si>
    <t>GASTALDELLO</t>
  </si>
  <si>
    <t>IAGO FALQUE</t>
  </si>
  <si>
    <t>QUAGLIARELLA</t>
  </si>
  <si>
    <t>RICCI</t>
  </si>
  <si>
    <t>GAZZOLA</t>
  </si>
  <si>
    <t>IONITA</t>
  </si>
  <si>
    <t>GENTILETTI</t>
  </si>
  <si>
    <t>SADIQ</t>
  </si>
  <si>
    <t>GHOULAM</t>
  </si>
  <si>
    <t>IZCO</t>
  </si>
  <si>
    <t>GOBBI</t>
  </si>
  <si>
    <t>GOLDANIGA</t>
  </si>
  <si>
    <t>JANKTO</t>
  </si>
  <si>
    <t>GONZALEZ G</t>
  </si>
  <si>
    <t>JOAO PEDRO</t>
  </si>
  <si>
    <t>SAU</t>
  </si>
  <si>
    <t>JORGINHO</t>
  </si>
  <si>
    <t>SCHICK</t>
  </si>
  <si>
    <t>HEURTAUX</t>
  </si>
  <si>
    <t>SIMY</t>
  </si>
  <si>
    <t>HOEDT</t>
  </si>
  <si>
    <t>KHEDIRA</t>
  </si>
  <si>
    <t>THEREAU</t>
  </si>
  <si>
    <t>HYSAJ</t>
  </si>
  <si>
    <t>KONDOGBIA</t>
  </si>
  <si>
    <t>IZZO</t>
  </si>
  <si>
    <t>KONE</t>
  </si>
  <si>
    <t>KREJCI</t>
  </si>
  <si>
    <t>TROTTA</t>
  </si>
  <si>
    <t>JUAN JESUS</t>
  </si>
  <si>
    <t>ZAPATA D</t>
  </si>
  <si>
    <t>KOULIBALY</t>
  </si>
  <si>
    <t>KRAFTH</t>
  </si>
  <si>
    <t>KURTIC</t>
  </si>
  <si>
    <t>LAXALT</t>
  </si>
  <si>
    <t>LAZOVIC</t>
  </si>
  <si>
    <t>LETSCHERT</t>
  </si>
  <si>
    <t>LICHTSTEINER</t>
  </si>
  <si>
    <t>LINETTY</t>
  </si>
  <si>
    <t>LIROLA</t>
  </si>
  <si>
    <t>LJAJIC</t>
  </si>
  <si>
    <t>LUKAKU</t>
  </si>
  <si>
    <t>MAGGIO</t>
  </si>
  <si>
    <t>MAIETTA</t>
  </si>
  <si>
    <t>LUKIC</t>
  </si>
  <si>
    <t>MAKSIMOVIC</t>
  </si>
  <si>
    <t>LULIC</t>
  </si>
  <si>
    <t>MANOLAS</t>
  </si>
  <si>
    <t>MAGNANELLI</t>
  </si>
  <si>
    <t>MANDRAGORA</t>
  </si>
  <si>
    <t>MARIO RUI</t>
  </si>
  <si>
    <t>MARCHISIO</t>
  </si>
  <si>
    <t>MARTELLA</t>
  </si>
  <si>
    <t>MARRONE</t>
  </si>
  <si>
    <t>MASINA</t>
  </si>
  <si>
    <t>MATTIELLO</t>
  </si>
  <si>
    <t>MAZZITELLI</t>
  </si>
  <si>
    <t>MEDEL</t>
  </si>
  <si>
    <t>MBAYE</t>
  </si>
  <si>
    <t>MIRANDA</t>
  </si>
  <si>
    <t>MERTENS</t>
  </si>
  <si>
    <t>MOLINARO</t>
  </si>
  <si>
    <t>MORETTI</t>
  </si>
  <si>
    <t>MILINKOVIC-SAVIC</t>
  </si>
  <si>
    <t>MISSIROLI</t>
  </si>
  <si>
    <t>MURILLO</t>
  </si>
  <si>
    <t>MURRU</t>
  </si>
  <si>
    <t>MONTOLIVO</t>
  </si>
  <si>
    <t>NAGATOMO</t>
  </si>
  <si>
    <t>MOUNIER</t>
  </si>
  <si>
    <t>PALETTA</t>
  </si>
  <si>
    <t>MURGIA</t>
  </si>
  <si>
    <t>PATRIC</t>
  </si>
  <si>
    <t>NAGY</t>
  </si>
  <si>
    <t>PAVLOVIC</t>
  </si>
  <si>
    <t>NAINGGOLAN</t>
  </si>
  <si>
    <t>PELUSO</t>
  </si>
  <si>
    <t>NINKOVIC</t>
  </si>
  <si>
    <t>PEZZELLA</t>
  </si>
  <si>
    <t>OBI</t>
  </si>
  <si>
    <t>PISACANE</t>
  </si>
  <si>
    <t>OIKONOMIDIS</t>
  </si>
  <si>
    <t>RADU</t>
  </si>
  <si>
    <t>PADOIN</t>
  </si>
  <si>
    <t>RANOCCHIA</t>
  </si>
  <si>
    <t>REGINI</t>
  </si>
  <si>
    <t>PAROLO</t>
  </si>
  <si>
    <t>PELLEGRINI</t>
  </si>
  <si>
    <t>PERISIC</t>
  </si>
  <si>
    <t>PEROTTI</t>
  </si>
  <si>
    <t>PJANIC</t>
  </si>
  <si>
    <t>ROSI</t>
  </si>
  <si>
    <t>POLI</t>
  </si>
  <si>
    <t>ROSSETTINI</t>
  </si>
  <si>
    <t>POLITANO</t>
  </si>
  <si>
    <t>PULGAR</t>
  </si>
  <si>
    <t>RUGANI</t>
  </si>
  <si>
    <t>SALAMON</t>
  </si>
  <si>
    <t>RADOVANOVIC</t>
  </si>
  <si>
    <t>SAMIR</t>
  </si>
  <si>
    <t>SAMPIRISI</t>
  </si>
  <si>
    <t>RIGONI N</t>
  </si>
  <si>
    <t>SANTON</t>
  </si>
  <si>
    <t>RINCON</t>
  </si>
  <si>
    <t>RIZZO</t>
  </si>
  <si>
    <t>SALA</t>
  </si>
  <si>
    <t>SILVESTRE</t>
  </si>
  <si>
    <t>SKRINIAR</t>
  </si>
  <si>
    <t>SAPONARA</t>
  </si>
  <si>
    <t>SPOLLI</t>
  </si>
  <si>
    <t>STRINIC</t>
  </si>
  <si>
    <t>SENSI</t>
  </si>
  <si>
    <t>SPINAZZOLA</t>
  </si>
  <si>
    <t>STOIAN</t>
  </si>
  <si>
    <t>STROOTMAN</t>
  </si>
  <si>
    <t>TOLOI</t>
  </si>
  <si>
    <t>STURARO</t>
  </si>
  <si>
    <t>TOMOVIC</t>
  </si>
  <si>
    <t>SUSO</t>
  </si>
  <si>
    <t>TONELLI</t>
  </si>
  <si>
    <t>TOROSIDIS</t>
  </si>
  <si>
    <t>TAIDER</t>
  </si>
  <si>
    <t>TONEV</t>
  </si>
  <si>
    <t>WAGUE</t>
  </si>
  <si>
    <t>TORREIRA</t>
  </si>
  <si>
    <t>WALLACE</t>
  </si>
  <si>
    <t>WIDMER</t>
  </si>
  <si>
    <t>VALDIFIORI</t>
  </si>
  <si>
    <t>VECINO</t>
  </si>
  <si>
    <t>VERDI</t>
  </si>
  <si>
    <t>VERRE</t>
  </si>
  <si>
    <t>ZAPATA C</t>
  </si>
  <si>
    <t>ZIELINSKI</t>
  </si>
  <si>
    <t>ZAPPACOSTA</t>
  </si>
  <si>
    <t>ZUKANOVIC</t>
  </si>
  <si>
    <t>Nome Presidente</t>
  </si>
  <si>
    <t>Spesa Reparto</t>
  </si>
  <si>
    <t>Attuale Spesa</t>
  </si>
  <si>
    <t>Offerta Massima</t>
  </si>
  <si>
    <t>diff. Mio bud</t>
  </si>
  <si>
    <t>RESTANTI</t>
  </si>
  <si>
    <t>CENTROCAMPO</t>
  </si>
  <si>
    <t>BUDGET INIZIALE</t>
  </si>
  <si>
    <t>Primavera</t>
  </si>
  <si>
    <t>Tagli</t>
  </si>
  <si>
    <t>Squadra</t>
  </si>
  <si>
    <t>Ruolo</t>
  </si>
  <si>
    <t>N°</t>
  </si>
  <si>
    <t>Giocatori Acquistati</t>
  </si>
  <si>
    <t>Costo</t>
  </si>
  <si>
    <t>Budget</t>
  </si>
  <si>
    <t>Differenza</t>
  </si>
  <si>
    <t>FM</t>
  </si>
  <si>
    <t>Stabilito</t>
  </si>
  <si>
    <t>%</t>
  </si>
  <si>
    <t>Obiettivi</t>
  </si>
  <si>
    <t>Spesa Portieri</t>
  </si>
  <si>
    <t>Spesa Attuale</t>
  </si>
  <si>
    <t>Spesa Difensori</t>
  </si>
  <si>
    <t>Spesa Centrocampo</t>
  </si>
  <si>
    <t>Spesa Attacco</t>
  </si>
  <si>
    <t>DA SPENDERE</t>
  </si>
  <si>
    <t>Totale Stabilito in fase pre-asta</t>
  </si>
  <si>
    <t>BUDGET ASTA FM</t>
  </si>
  <si>
    <t>PRIMAVERA</t>
  </si>
  <si>
    <t>Spesa Primavera</t>
  </si>
  <si>
    <t>I.A. Giocatori FG e Gruppo esperti + Suddivisione in fasce</t>
  </si>
  <si>
    <t>Portieri</t>
  </si>
  <si>
    <t>Difensori</t>
  </si>
  <si>
    <t>Centrocampisti</t>
  </si>
  <si>
    <t>Trequartisti</t>
  </si>
  <si>
    <t>Attaccanti</t>
  </si>
  <si>
    <t>Menù Ruoli - Clicca per andare al ruolo</t>
  </si>
  <si>
    <t>Prezzo</t>
  </si>
  <si>
    <t>FASCIA 1</t>
  </si>
  <si>
    <t>FASCIA 2</t>
  </si>
  <si>
    <t>Calciatore</t>
  </si>
  <si>
    <t>I.A. FG</t>
  </si>
  <si>
    <t>I.A. GE</t>
  </si>
  <si>
    <t>Info/Note</t>
  </si>
  <si>
    <t>Tit.</t>
  </si>
  <si>
    <t>C.P.</t>
  </si>
  <si>
    <t>No mod</t>
  </si>
  <si>
    <t>Mod</t>
  </si>
  <si>
    <t>Juventus</t>
  </si>
  <si>
    <t>Inter</t>
  </si>
  <si>
    <t>Milan</t>
  </si>
  <si>
    <t>Genoa</t>
  </si>
  <si>
    <t>Chievo</t>
  </si>
  <si>
    <t>Napoli</t>
  </si>
  <si>
    <t>Lazio</t>
  </si>
  <si>
    <t>Pescara</t>
  </si>
  <si>
    <t>Udinese</t>
  </si>
  <si>
    <t>Sassuolo</t>
  </si>
  <si>
    <t>Atalanta</t>
  </si>
  <si>
    <t>Torino</t>
  </si>
  <si>
    <t>Sampdoria</t>
  </si>
  <si>
    <t>FASCIA 3</t>
  </si>
  <si>
    <t>FASCIA 4</t>
  </si>
  <si>
    <t>Bologna</t>
  </si>
  <si>
    <t>Fiorentina</t>
  </si>
  <si>
    <t>Empoli</t>
  </si>
  <si>
    <t>INFO</t>
  </si>
  <si>
    <t>Roma</t>
  </si>
  <si>
    <t>Peso I.A. FG</t>
  </si>
  <si>
    <t>Peso I.A. GE</t>
  </si>
  <si>
    <t>Queste vengono poi inserite nel foglio "Mia rosa org. Finanza" per darvi una prospettiva corretta durante l'asta su quali giocatori puntare, non in base alle proprie preferenze ma in base ai dati consgiliati da diversi esperti.</t>
  </si>
  <si>
    <t>Per chi vuole seguirle ho creato 4 fasce per i portieri, 10 per i difensori, 10 per i centrocampisti e 8 per gli attaccanti, tutte da 12 calciatori ciascuna.</t>
  </si>
  <si>
    <t>Cagliari</t>
  </si>
  <si>
    <t>Crotone</t>
  </si>
  <si>
    <t>Questa suddivisione è ottimale per leghe a 10 squadre che seguono la composizione classica 3P 8D 8C 8A.</t>
  </si>
  <si>
    <t>Palermo</t>
  </si>
  <si>
    <t>Torna Su</t>
  </si>
  <si>
    <t>FASCIA 5</t>
  </si>
  <si>
    <t>FASCIA 6</t>
  </si>
  <si>
    <t>FASCIA 7</t>
  </si>
  <si>
    <t>FASCIA 8</t>
  </si>
  <si>
    <t>FASCIA 9</t>
  </si>
  <si>
    <t>FASCIA 10</t>
  </si>
  <si>
    <t>Incroci</t>
  </si>
  <si>
    <t>ATA</t>
  </si>
  <si>
    <t>BOL</t>
  </si>
  <si>
    <t>CAG</t>
  </si>
  <si>
    <t>CHI</t>
  </si>
  <si>
    <t>CRO</t>
  </si>
  <si>
    <t>FIO</t>
  </si>
  <si>
    <t>GEN</t>
  </si>
  <si>
    <t>INT</t>
  </si>
  <si>
    <t>JUV</t>
  </si>
  <si>
    <t>LAZ</t>
  </si>
  <si>
    <t>MIL</t>
  </si>
  <si>
    <t>NAP</t>
  </si>
  <si>
    <t>ROM</t>
  </si>
  <si>
    <t>SAM</t>
  </si>
  <si>
    <t>SAS</t>
  </si>
  <si>
    <t>TOR</t>
  </si>
  <si>
    <t>UDI</t>
  </si>
  <si>
    <t>Si incrociano 0 volte</t>
  </si>
  <si>
    <t>Si incrociano 6 volte</t>
  </si>
  <si>
    <t>Si incrociano 8 volte</t>
  </si>
  <si>
    <t>Si incrociano 2 volte</t>
  </si>
  <si>
    <t>Si incrociano 4 volte</t>
  </si>
  <si>
    <t>GRIGLIA INCROCI GIORNATA PER GIORNATA SQUADRE SERIE A</t>
  </si>
  <si>
    <t>ATALANTA</t>
  </si>
  <si>
    <t>BOLOGNA</t>
  </si>
  <si>
    <t>LAZIO</t>
  </si>
  <si>
    <t>CAGLIARI</t>
  </si>
  <si>
    <t>CROTONE</t>
  </si>
  <si>
    <t>CHIEVO</t>
  </si>
  <si>
    <t>INTER</t>
  </si>
  <si>
    <t>SAMPDORIA</t>
  </si>
  <si>
    <t>GENOA</t>
  </si>
  <si>
    <t>FIORENTINA</t>
  </si>
  <si>
    <t>JUVENTUS</t>
  </si>
  <si>
    <t>MILAN</t>
  </si>
  <si>
    <t>TORINO</t>
  </si>
  <si>
    <t>SASSUOLO</t>
  </si>
  <si>
    <t>NAPOLI</t>
  </si>
  <si>
    <t>ROMA</t>
  </si>
  <si>
    <t>UDINESE</t>
  </si>
  <si>
    <t>PRIMA GRIGLIA</t>
  </si>
  <si>
    <t>SECONDA GRIGLIA</t>
  </si>
  <si>
    <t>TERZA GRIGLIA</t>
  </si>
  <si>
    <t>QUARTA GRIGLIA</t>
  </si>
  <si>
    <t>DIFESA</t>
  </si>
  <si>
    <t>ATTACCO</t>
  </si>
  <si>
    <t>P1</t>
  </si>
  <si>
    <t>P2</t>
  </si>
  <si>
    <t>P3</t>
  </si>
  <si>
    <t>D1</t>
  </si>
  <si>
    <t>D2</t>
  </si>
  <si>
    <t>D3</t>
  </si>
  <si>
    <t>D4</t>
  </si>
  <si>
    <t>D5</t>
  </si>
  <si>
    <t>D6</t>
  </si>
  <si>
    <t>D7</t>
  </si>
  <si>
    <t>D8</t>
  </si>
  <si>
    <t>D9</t>
  </si>
  <si>
    <t>C1</t>
  </si>
  <si>
    <t>C2</t>
  </si>
  <si>
    <t>C3</t>
  </si>
  <si>
    <t>C4</t>
  </si>
  <si>
    <t>C5</t>
  </si>
  <si>
    <t>C6</t>
  </si>
  <si>
    <t>C7</t>
  </si>
  <si>
    <t>C8</t>
  </si>
  <si>
    <t>C9</t>
  </si>
  <si>
    <t>C10</t>
  </si>
  <si>
    <t>C11</t>
  </si>
  <si>
    <t>C12</t>
  </si>
  <si>
    <t>A1</t>
  </si>
  <si>
    <t>A2</t>
  </si>
  <si>
    <t>A3</t>
  </si>
  <si>
    <t>A4</t>
  </si>
  <si>
    <t>A5</t>
  </si>
  <si>
    <t>A6</t>
  </si>
  <si>
    <t>Algoritmo evilzzx</t>
  </si>
  <si>
    <t>Questo algortimo è nato per non lasciarsi scappare nessun giocatore in fase d'asta. Seguendo le schede di appetibilità</t>
  </si>
  <si>
    <r>
      <t xml:space="preserve">del sito </t>
    </r>
    <r>
      <rPr>
        <b/>
        <sz val="10"/>
        <rFont val="Arial"/>
        <family val="2"/>
      </rPr>
      <t>http://forum.gruppoesperti.it/</t>
    </r>
    <r>
      <rPr>
        <sz val="10"/>
        <rFont val="Arial"/>
        <family val="2"/>
      </rPr>
      <t xml:space="preserve"> ed altri fattori, riesce a stimare il valore un prezzo "giusto" da spendere per ogni singolo</t>
    </r>
  </si>
  <si>
    <t>giocatore.</t>
  </si>
  <si>
    <t>Utilizzo:</t>
  </si>
  <si>
    <r>
      <t>1)</t>
    </r>
    <r>
      <rPr>
        <sz val="10"/>
        <rFont val="Arial"/>
        <family val="2"/>
      </rPr>
      <t xml:space="preserve"> Nel foglio "Pesi e Budget Iniziale" potete inserire il vostro bugdet</t>
    </r>
  </si>
  <si>
    <r>
      <t>2)</t>
    </r>
    <r>
      <rPr>
        <sz val="10"/>
        <rFont val="Arial"/>
        <family val="2"/>
      </rPr>
      <t xml:space="preserve"> Ogni foglio Portieri - Difensori - Centrocampisti - Attaccanti ha dei valori di riferimento e il valore minimo utilizzato nella formula</t>
    </r>
  </si>
  <si>
    <t xml:space="preserve">    quindi nel caso voi pensiate che il livello di prezzi in un reparto sia diverso dalle percentuali inserite da me potete modificare la</t>
  </si>
  <si>
    <t xml:space="preserve">    percentuale modificando la percentuale nella formula del prezzo del giocatore di riferimento.</t>
  </si>
  <si>
    <r>
      <t>3)</t>
    </r>
    <r>
      <rPr>
        <sz val="10"/>
        <rFont val="Arial"/>
        <family val="2"/>
      </rPr>
      <t xml:space="preserve"> Per Stampare basterà selezionare le colonne che si intende stampare (tenendo premuto il tasto Ctrl)e cliccare su stampa selezione.</t>
    </r>
  </si>
  <si>
    <t>Ringraziamenti:</t>
  </si>
  <si>
    <t xml:space="preserve">Ringrazio tutto il forum di gruppoesperti, in particolare gli utenti: </t>
  </si>
  <si>
    <r>
      <t xml:space="preserve">prismaster85 </t>
    </r>
    <r>
      <rPr>
        <sz val="10"/>
        <rFont val="Arial"/>
        <family val="2"/>
      </rPr>
      <t>per avermi fornito importanti dati sul Fattore Casa delle stagioni precedenti a questa.</t>
    </r>
  </si>
  <si>
    <r>
      <t xml:space="preserve">Tutti gli esperti e il sito http://forum.gruppoesperti.it/ </t>
    </r>
    <r>
      <rPr>
        <sz val="10"/>
        <rFont val="Arial"/>
        <family val="2"/>
      </rPr>
      <t>per avermi fornito le basi da cui partire.</t>
    </r>
  </si>
  <si>
    <r>
      <t xml:space="preserve">Gli utenti </t>
    </r>
    <r>
      <rPr>
        <sz val="10"/>
        <rFont val="Arial"/>
        <family val="2"/>
      </rPr>
      <t>che hanno partecipato assegnando i valori, i pesi da dare alle variabili e i dati storici sul livello medio dei prezzi dei calciatori.</t>
    </r>
  </si>
  <si>
    <r>
      <t>L'art. 65 LDA prevede la libera riproduzione di articoli </t>
    </r>
    <r>
      <rPr>
        <u/>
        <sz val="8"/>
        <color indexed="8"/>
        <rFont val="Arial"/>
        <family val="2"/>
      </rPr>
      <t>se la riproduzione non è stata espressamente riservata</t>
    </r>
    <r>
      <rPr>
        <sz val="8"/>
        <color indexed="8"/>
        <rFont val="Arial"/>
        <family val="2"/>
      </rPr>
      <t>; ne è pertanto vietata la riproduzione parziale e/o totale in assenza della mia autorizzazione.</t>
    </r>
  </si>
  <si>
    <t>Alle violazioni si applicano le sanzioni previste dagli art. 171, 171-bis, 171-ter, 174-bis e 174-ter della legge 22 aprile 1941, n. 633.</t>
  </si>
  <si>
    <t>Come funziona l'algoritmo:</t>
  </si>
  <si>
    <t>Il prezzo di ogni giocatore è calcolato grazie alle tabelle appetibilità di Gruppo Esperti:</t>
  </si>
  <si>
    <t>•Salute</t>
  </si>
  <si>
    <t>•Titolarità</t>
  </si>
  <si>
    <t>•Voto</t>
  </si>
  <si>
    <t>•Bonus</t>
  </si>
  <si>
    <t>•No Malus</t>
  </si>
  <si>
    <t>•Consiglio</t>
  </si>
  <si>
    <t>Più 3 fattori fondamentali:</t>
  </si>
  <si>
    <t>•Squadra (più la squadra è forte, più probabile che il giocatore faccia bene)</t>
  </si>
  <si>
    <t>•Fattore Casa (se una squadra in casa rende bene, tutti i suoi giocatori ne guadagneranno)</t>
  </si>
  <si>
    <t>•Allenatore (alcuni allenatori curano molto la fase difensiva ed alcuni la fase offensiva).</t>
  </si>
  <si>
    <t>La somma di questi parametri ci restituirà una stima del prezzo massimo da pagare per quel giocatore.</t>
  </si>
  <si>
    <t>Inoltre l'algoritmo utilizza lo scarto tra il giocatore migliore e peggiore ruolo per ruolo per calcolare la stima.</t>
  </si>
  <si>
    <t>Quindi per poter personalizzare l'algoritmo potete andare nel foglio "Pesi" e modificare i valori presenti nelle caselle blu. Se questo non genera dei prezzi che vi sembrano coerenti vi potete inoltre muovere tra i fogli</t>
  </si>
  <si>
    <t>•Portieri</t>
  </si>
  <si>
    <t>•Difensori</t>
  </si>
  <si>
    <t>•Centrocampisti</t>
  </si>
  <si>
    <t>•Attaccanti</t>
  </si>
  <si>
    <t>e modificare il valore della colonna "Consiglio".</t>
  </si>
  <si>
    <t>Algoritmo:</t>
  </si>
  <si>
    <t>X*Salute + Y*Titolarità + Z*Voti + J*Bonus + K*NoMalus + H*Consiglio + L*Squadra + N*FattoreCasa + M*Allenatore</t>
  </si>
  <si>
    <t>Pesi Porta NoModif:</t>
  </si>
  <si>
    <t>Pesi Porta Modif:</t>
  </si>
  <si>
    <t>Pesi Difesa NoModif:</t>
  </si>
  <si>
    <t>Pesi Difesa Modif:</t>
  </si>
  <si>
    <t>X</t>
  </si>
  <si>
    <t>Y</t>
  </si>
  <si>
    <t>Z</t>
  </si>
  <si>
    <t>J</t>
  </si>
  <si>
    <t>K</t>
  </si>
  <si>
    <t>H</t>
  </si>
  <si>
    <t>L</t>
  </si>
  <si>
    <t>N</t>
  </si>
  <si>
    <t>M</t>
  </si>
  <si>
    <t>Pesi CC NoModif:</t>
  </si>
  <si>
    <t>Pesi CC Modif:</t>
  </si>
  <si>
    <t>Pesi Attaccanti:</t>
  </si>
  <si>
    <t>Budget Iniziale:</t>
  </si>
  <si>
    <t>Valore Max previsto per top di ruolo</t>
  </si>
  <si>
    <t>Attacco</t>
  </si>
  <si>
    <t>Crediti</t>
  </si>
  <si>
    <t>%Attacco</t>
  </si>
  <si>
    <t>Centrocampo</t>
  </si>
  <si>
    <t>%Centrocampo</t>
  </si>
  <si>
    <t>Difesa</t>
  </si>
  <si>
    <t>%Difesa</t>
  </si>
  <si>
    <t>%Portieri</t>
  </si>
  <si>
    <r>
      <t xml:space="preserve">Modificare </t>
    </r>
    <r>
      <rPr>
        <b/>
        <sz val="10"/>
        <rFont val="Arial"/>
        <family val="2"/>
      </rPr>
      <t>solo</t>
    </r>
    <r>
      <rPr>
        <sz val="10"/>
        <rFont val="Arial"/>
        <family val="2"/>
      </rPr>
      <t xml:space="preserve"> i campi</t>
    </r>
  </si>
  <si>
    <t>blu</t>
  </si>
  <si>
    <t>in modo da assegnare il budget della vostra fantalega, ed eventualmente quello che pensate possa essere il valore in fantamiliardi del top di reparto (alzando od abbassando i valori nelle celle blu!!!)</t>
  </si>
  <si>
    <t>Punteggio Min per ruolo</t>
  </si>
  <si>
    <t>Calcolato No Mod.</t>
  </si>
  <si>
    <t>No Mod.</t>
  </si>
  <si>
    <t>Calcolato Mod.</t>
  </si>
  <si>
    <t>Mod.</t>
  </si>
  <si>
    <t>Punteggio Max per ruolo</t>
  </si>
  <si>
    <t>in modo da assegnare il punteggio di quello che pensate possa essere il valore del peggiore di reparto (alzando od abbassando i valori nelle celle blu!!!)</t>
  </si>
  <si>
    <t>Controllo</t>
  </si>
  <si>
    <t>Salute</t>
  </si>
  <si>
    <t>Titolarità</t>
  </si>
  <si>
    <t>Voti</t>
  </si>
  <si>
    <t>Rigori</t>
  </si>
  <si>
    <t>No Gol</t>
  </si>
  <si>
    <t>Consiglio</t>
  </si>
  <si>
    <t>Punteggio no mod</t>
  </si>
  <si>
    <t>Prezzo Stimato no mod</t>
  </si>
  <si>
    <t>Punteggio mod</t>
  </si>
  <si>
    <t>Prezzo Stimato mod</t>
  </si>
  <si>
    <t>I.A.</t>
  </si>
  <si>
    <t>Pesi Variabili:</t>
  </si>
  <si>
    <t>X (Salute)</t>
  </si>
  <si>
    <t>Y (Titolarità)</t>
  </si>
  <si>
    <t>Z (Voti)</t>
  </si>
  <si>
    <t>J (Bonus)</t>
  </si>
  <si>
    <t>K (No Malus)</t>
  </si>
  <si>
    <t>H (Consiglio)</t>
  </si>
  <si>
    <t>W (Squadra)</t>
  </si>
  <si>
    <t>P (Fattore Squadra)</t>
  </si>
  <si>
    <t>O (Allenatore)</t>
  </si>
  <si>
    <t>BERNI</t>
  </si>
  <si>
    <t>SZCZESNY</t>
  </si>
  <si>
    <t>Bonus</t>
  </si>
  <si>
    <t>No Malus</t>
  </si>
  <si>
    <t>Punteggio nomod</t>
  </si>
  <si>
    <t>Prezzo no mod</t>
  </si>
  <si>
    <t>FREY</t>
  </si>
  <si>
    <t>Punteggio</t>
  </si>
  <si>
    <t>Prezzo Stimato</t>
  </si>
  <si>
    <t>GIOCATORI</t>
  </si>
  <si>
    <t>Prezzo Stimato 
no mod</t>
  </si>
  <si>
    <t>Prezzo Stimato 
mod</t>
  </si>
  <si>
    <t>Rig.</t>
  </si>
  <si>
    <t>Pun.</t>
  </si>
  <si>
    <t>Ang.</t>
  </si>
  <si>
    <t>SQUADRE</t>
  </si>
  <si>
    <t>Voti Media</t>
  </si>
  <si>
    <t>Esperti</t>
  </si>
  <si>
    <t>Valore Definitivo FC</t>
  </si>
  <si>
    <t>FattoreCasa passato</t>
  </si>
  <si>
    <t>FattoreCasa Presente media</t>
  </si>
  <si>
    <t>Allenatore Media</t>
  </si>
  <si>
    <t>Algoritmo Fantacalcio 2013 è un esclusiva di: http://forum.gruppoesperti.it/</t>
  </si>
  <si>
    <t>Il File che stai utilizzando è coperto da un doppio Copyright – Il File è registrato negli archivi della https://www.safecreative.org/work/1508134874744</t>
  </si>
  <si>
    <t>SafeCreative</t>
  </si>
  <si>
    <r>
      <t>Identifier:</t>
    </r>
    <r>
      <rPr>
        <sz val="10"/>
        <rFont val="Arial"/>
        <family val="2"/>
      </rPr>
      <t xml:space="preserve"> 1508134874744</t>
    </r>
  </si>
  <si>
    <r>
      <t>Entry date</t>
    </r>
    <r>
      <rPr>
        <sz val="10"/>
        <rFont val="Arial"/>
        <family val="2"/>
      </rPr>
      <t>: Aug 13, 2015 12:54 PM UTC</t>
    </r>
  </si>
  <si>
    <r>
      <t>License:</t>
    </r>
    <r>
      <rPr>
        <sz val="10"/>
        <rFont val="Arial"/>
        <family val="2"/>
      </rPr>
      <t xml:space="preserve"> All rights reserved</t>
    </r>
  </si>
  <si>
    <r>
      <t xml:space="preserve">Author: </t>
    </r>
    <r>
      <rPr>
        <sz val="10"/>
        <rFont val="Arial"/>
        <family val="2"/>
      </rPr>
      <t xml:space="preserve"> Polizzi Francesco </t>
    </r>
  </si>
  <si>
    <r>
      <t xml:space="preserve">email: </t>
    </r>
    <r>
      <rPr>
        <sz val="10"/>
        <rFont val="Arial"/>
        <family val="2"/>
      </rPr>
      <t>francesco_polizzi@yahoo.it</t>
    </r>
  </si>
  <si>
    <t>Work information</t>
  </si>
  <si>
    <r>
      <t>Work type:</t>
    </r>
    <r>
      <rPr>
        <sz val="10"/>
        <rFont val="Arial"/>
        <family val="2"/>
      </rPr>
      <t xml:space="preserve"> Literary, Technical</t>
    </r>
  </si>
  <si>
    <r>
      <t>Title:</t>
    </r>
    <r>
      <rPr>
        <sz val="10"/>
        <rFont val="Arial"/>
        <family val="2"/>
      </rPr>
      <t xml:space="preserve"> Algoritmo Fantacalcio 2015 v1.0</t>
    </r>
  </si>
  <si>
    <r>
      <t>Excerpt:</t>
    </r>
    <r>
      <rPr>
        <sz val="10"/>
        <rFont val="Arial"/>
        <family val="2"/>
      </rPr>
      <t xml:space="preserve"> Algoritmo per la stima previsionale dei prezzi dei calciatori della serie A da utilizzare nelle aste di fantacalcio</t>
    </r>
  </si>
  <si>
    <r>
      <t>Tags:</t>
    </r>
    <r>
      <rPr>
        <sz val="10"/>
        <rFont val="Arial"/>
        <family val="2"/>
      </rPr>
      <t xml:space="preserve"> stima, prezzi, fantacalcio, asta</t>
    </r>
  </si>
  <si>
    <t>Giocatore</t>
  </si>
  <si>
    <t>SATALINO</t>
  </si>
  <si>
    <t>FAZIO</t>
  </si>
  <si>
    <t>ROHDEN</t>
  </si>
  <si>
    <t>MARCHIZZA</t>
  </si>
  <si>
    <t>ERAMO</t>
  </si>
  <si>
    <t>HAGI</t>
  </si>
  <si>
    <t>Ata</t>
  </si>
  <si>
    <t>Bol</t>
  </si>
  <si>
    <t>Cag</t>
  </si>
  <si>
    <t>Emp</t>
  </si>
  <si>
    <t>Cro</t>
  </si>
  <si>
    <t>Fio</t>
  </si>
  <si>
    <t>Gen</t>
  </si>
  <si>
    <t>Int</t>
  </si>
  <si>
    <t>Juv</t>
  </si>
  <si>
    <t>Laz</t>
  </si>
  <si>
    <t>Mil</t>
  </si>
  <si>
    <t>Nap</t>
  </si>
  <si>
    <t>Pal</t>
  </si>
  <si>
    <t>Rom</t>
  </si>
  <si>
    <t>Sam</t>
  </si>
  <si>
    <t>Sas</t>
  </si>
  <si>
    <t>Tor</t>
  </si>
  <si>
    <t>Udi</t>
  </si>
  <si>
    <t>Pes</t>
  </si>
  <si>
    <t>Chi</t>
  </si>
  <si>
    <t>Da forum</t>
  </si>
  <si>
    <t>Diviso</t>
  </si>
  <si>
    <t>Atalanta 7 8 +3</t>
  </si>
  <si>
    <t>Bologna 7 5 +1</t>
  </si>
  <si>
    <t>Cagliari 7 6 0</t>
  </si>
  <si>
    <t>Chievo 5 7 -3</t>
  </si>
  <si>
    <t>Crotone 4 5 -4</t>
  </si>
  <si>
    <t>Empoli 7 6 -2</t>
  </si>
  <si>
    <t>Fiorentina 8 5 +3</t>
  </si>
  <si>
    <t>Genoa 7 7 +2</t>
  </si>
  <si>
    <t>Inter 9 8 -4</t>
  </si>
  <si>
    <t>Juventus 10 10 +3</t>
  </si>
  <si>
    <t>Lazio 7 5 +1</t>
  </si>
  <si>
    <t>Milan 7 4 +2</t>
  </si>
  <si>
    <t>Napoli 9 9 +4</t>
  </si>
  <si>
    <t>Palermo 4 5 -2</t>
  </si>
  <si>
    <t>Pescara 6 6 +3</t>
  </si>
  <si>
    <t>Roma 9 9 +5</t>
  </si>
  <si>
    <t>Sampdoria 5 6 -2</t>
  </si>
  <si>
    <t>Sassuolo 8 5 +4</t>
  </si>
  <si>
    <t>Torino 8 7 -3</t>
  </si>
  <si>
    <t>Udinese 5 4 -1</t>
  </si>
  <si>
    <t>Atalanta 5 7 1</t>
  </si>
  <si>
    <t>Bologna 5 6 0</t>
  </si>
  <si>
    <t>Cagliari 5 7 3</t>
  </si>
  <si>
    <t>Chievo 5 6 -3</t>
  </si>
  <si>
    <t>Crotone 1 8 3</t>
  </si>
  <si>
    <t>Empoli 4 6 1</t>
  </si>
  <si>
    <t>Fiorentina 7 7 2</t>
  </si>
  <si>
    <t>Genoa 5 8 2</t>
  </si>
  <si>
    <t>Inter 8 6 1</t>
  </si>
  <si>
    <t>Juventus 10 5 3</t>
  </si>
  <si>
    <t>Lazio 6 6 2</t>
  </si>
  <si>
    <t>Milan 6 6 2</t>
  </si>
  <si>
    <t>Napoli 8 7 4</t>
  </si>
  <si>
    <t>Palermo 1 6 0</t>
  </si>
  <si>
    <t>Pescara 2 7 3</t>
  </si>
  <si>
    <t>Roma 8 7 4</t>
  </si>
  <si>
    <t>Sampdoria 5 7 1</t>
  </si>
  <si>
    <t>Sassuolo 6 6 3</t>
  </si>
  <si>
    <t>Torino 6 7 0</t>
  </si>
  <si>
    <t>Udinese 5 7 -1</t>
  </si>
  <si>
    <t>Atalanta 5 7 +2</t>
  </si>
  <si>
    <t>Bologna 6 5 -4</t>
  </si>
  <si>
    <t>Cagliari 5 5 +1</t>
  </si>
  <si>
    <t>Chievo 5 6 -2</t>
  </si>
  <si>
    <t>Crotone 1 3 -2</t>
  </si>
  <si>
    <t>Empoli 3 4 0</t>
  </si>
  <si>
    <t>Fiorentina 7 8 -1</t>
  </si>
  <si>
    <t>Genoa 5 6 -3</t>
  </si>
  <si>
    <t>Inter 8 8 -2</t>
  </si>
  <si>
    <t>Juventus 10 10 0</t>
  </si>
  <si>
    <t>Lazio 6 6 +2</t>
  </si>
  <si>
    <t>Milan 6 5 +3</t>
  </si>
  <si>
    <t>Napoli 8 8 0</t>
  </si>
  <si>
    <t>Palermo 3 3 0</t>
  </si>
  <si>
    <t>Pescara 1 2 +3</t>
  </si>
  <si>
    <t>Roma 8 8 +3</t>
  </si>
  <si>
    <t>Sampdoria 5 6 -1</t>
  </si>
  <si>
    <t>Sassuolo 6 5 +2</t>
  </si>
  <si>
    <t>Torino 6 6 -2</t>
  </si>
  <si>
    <t>Udinese 5 4 0</t>
  </si>
  <si>
    <t>Atalanta 6 6 +3</t>
  </si>
  <si>
    <t>Bologna 5 5 +1</t>
  </si>
  <si>
    <t>Cagliari 5 5 +2</t>
  </si>
  <si>
    <t>Crotone 4 4 0</t>
  </si>
  <si>
    <t>Empoli 6 5 -1</t>
  </si>
  <si>
    <t>Fiorentina 7 7 +3</t>
  </si>
  <si>
    <t>Genoa 7 7 +4</t>
  </si>
  <si>
    <t>Inter 8 7 +2</t>
  </si>
  <si>
    <t>Juventus 9 10 +3</t>
  </si>
  <si>
    <t>Lazio 7 7 +2</t>
  </si>
  <si>
    <t>Milan 7 7 +3</t>
  </si>
  <si>
    <t>Napoli 8 9 +4</t>
  </si>
  <si>
    <t>Palermo 4 4 -2</t>
  </si>
  <si>
    <t>Pescara 4 4 +1</t>
  </si>
  <si>
    <t>Roma 8 8 +4</t>
  </si>
  <si>
    <t>Sampdoria 6 6 +1</t>
  </si>
  <si>
    <t>Sassuolo 7 7 +3</t>
  </si>
  <si>
    <t>Torino 7 7 +3</t>
  </si>
  <si>
    <t>Udinese 7 6 +1</t>
  </si>
  <si>
    <t>Atalanta 6 7 +3</t>
  </si>
  <si>
    <t>Bologna 6 7 +1</t>
  </si>
  <si>
    <t>Cagliari 6 7 +2</t>
  </si>
  <si>
    <t>Chievo 6 6 0</t>
  </si>
  <si>
    <t>Crotone 4 6 0</t>
  </si>
  <si>
    <t>Empoli 6 6 0</t>
  </si>
  <si>
    <t>Fiorentina 7 7 +2</t>
  </si>
  <si>
    <t>Genoa 7 7 +1</t>
  </si>
  <si>
    <t>Milan 7 6 +1</t>
  </si>
  <si>
    <t>Napoli 8 8 +3</t>
  </si>
  <si>
    <t>Pescara 5 6 +1</t>
  </si>
  <si>
    <t>Sassuolo 7 7 +1</t>
  </si>
  <si>
    <t>Torino 7 7 +1</t>
  </si>
  <si>
    <t>Udinese 6 7 0</t>
  </si>
  <si>
    <t>Atalanta 6 6 +2</t>
  </si>
  <si>
    <t>Bologna 7 7 -1</t>
  </si>
  <si>
    <t>Cagliari 5 6 +1</t>
  </si>
  <si>
    <t>Chievo 5 7 -4</t>
  </si>
  <si>
    <t>Crotone 4 5 -2</t>
  </si>
  <si>
    <t>Empoli 6 6 -1</t>
  </si>
  <si>
    <t>Fiorentina 8 8 +2</t>
  </si>
  <si>
    <t>Inter 9 7 -2</t>
  </si>
  <si>
    <t>Juventus 10 10 +2</t>
  </si>
  <si>
    <t>Lazio 7 7 +1</t>
  </si>
  <si>
    <t>Milan 7 7 +2</t>
  </si>
  <si>
    <t>Napoli 9 10 +3</t>
  </si>
  <si>
    <t>Palermo 4 6 -2</t>
  </si>
  <si>
    <t>Pescara 6 6 +2</t>
  </si>
  <si>
    <t>Roma 9 8 +3</t>
  </si>
  <si>
    <t>Sampdoria 6 7 -1</t>
  </si>
  <si>
    <t>Sassuolo 7 7 +2</t>
  </si>
  <si>
    <t>Torino 7 7 -3</t>
  </si>
  <si>
    <t>Udinese 6 7 -2</t>
  </si>
  <si>
    <t>Atalanta 5 6 +2</t>
  </si>
  <si>
    <t>Bologna 6 5 -1</t>
  </si>
  <si>
    <t>Cagliari 6 6 +1</t>
  </si>
  <si>
    <t>Crotone 3 5 +1</t>
  </si>
  <si>
    <t>Empoli 5 6 -1</t>
  </si>
  <si>
    <t>Fiorentina 8 7 +2</t>
  </si>
  <si>
    <t>Genoa 6 6 +2</t>
  </si>
  <si>
    <t>Juventus 10 10 +1</t>
  </si>
  <si>
    <t>Lazio 7 6 +2</t>
  </si>
  <si>
    <t>Napoli 9 9 +3</t>
  </si>
  <si>
    <t>Palermo 4 5 -1</t>
  </si>
  <si>
    <t>Pescara 4 6 +3</t>
  </si>
  <si>
    <t>Sampdoria 6 6 -1</t>
  </si>
  <si>
    <t>Torino 6 7 +1</t>
  </si>
  <si>
    <t>Udinese 6 6 -2</t>
  </si>
  <si>
    <t>Atalanta 6 6 1</t>
  </si>
  <si>
    <t>Bologna 6 6 2</t>
  </si>
  <si>
    <t>Cagliari 3 4 -1</t>
  </si>
  <si>
    <t>Chievo 6 7 -3</t>
  </si>
  <si>
    <t>Crotone 2 4 -1</t>
  </si>
  <si>
    <t>Fiorentina 8 8 3</t>
  </si>
  <si>
    <t>Genoa 5 6 -1</t>
  </si>
  <si>
    <t>Inter 9 8 2</t>
  </si>
  <si>
    <t>Lazio 7 7 2</t>
  </si>
  <si>
    <t>Milan 6 7 3</t>
  </si>
  <si>
    <t>Napoli 9 9 4</t>
  </si>
  <si>
    <t>Pescara 3 4 1</t>
  </si>
  <si>
    <t>Roma 9 9 4</t>
  </si>
  <si>
    <t>Sassuolo 7 7 1</t>
  </si>
  <si>
    <t>Torino 7 7 2</t>
  </si>
  <si>
    <t>Udinese 6 6 -1</t>
  </si>
  <si>
    <t>Atalanta 6 6 3</t>
  </si>
  <si>
    <t>Bologna 5 5 -2</t>
  </si>
  <si>
    <t>Cagliari 5 5 1</t>
  </si>
  <si>
    <t>Chievo 6 8 -2</t>
  </si>
  <si>
    <t>Genoa 6 7 0</t>
  </si>
  <si>
    <t>Inter 8 8 0</t>
  </si>
  <si>
    <t>Juventus 10 10 1</t>
  </si>
  <si>
    <t>Milan 7 7 2</t>
  </si>
  <si>
    <t>Napoli 9 9 3</t>
  </si>
  <si>
    <t>Palermo 4 4 0</t>
  </si>
  <si>
    <t>Pescara 4 4 1</t>
  </si>
  <si>
    <t>Roma 9 9 3</t>
  </si>
  <si>
    <t>Sampdoria 6 7 0</t>
  </si>
  <si>
    <t>Sassuolo 7 7 3</t>
  </si>
  <si>
    <t>Torino 8 7 0</t>
  </si>
  <si>
    <t>Bologna 5 6 +1</t>
  </si>
  <si>
    <t>Cagliari 4 7 0</t>
  </si>
  <si>
    <t>Chievo 5 6 0</t>
  </si>
  <si>
    <t>Empoli 6 5 0</t>
  </si>
  <si>
    <t>Fiorentina 7 8 +3</t>
  </si>
  <si>
    <t>Genoa 7 8 +3</t>
  </si>
  <si>
    <t>Inter 8 8 +2</t>
  </si>
  <si>
    <t>Lazio 7 6 0</t>
  </si>
  <si>
    <t>Milan 8 4 +5</t>
  </si>
  <si>
    <t>Napoli 9 8 +3</t>
  </si>
  <si>
    <t>Palermo 5 5 0</t>
  </si>
  <si>
    <t>Pescara 4 6 0</t>
  </si>
  <si>
    <t>Roma 9 8 0</t>
  </si>
  <si>
    <t>Sampdoria 6 6 0</t>
  </si>
  <si>
    <t>Sassuolo 8 8 -1</t>
  </si>
  <si>
    <t>Udinese 5 5 -1</t>
  </si>
  <si>
    <t>Atalanta 6 7 2</t>
  </si>
  <si>
    <t>Bologna 5 6 -1</t>
  </si>
  <si>
    <t>Cagliari 5 7 0</t>
  </si>
  <si>
    <t>Chievo 6 8 -3</t>
  </si>
  <si>
    <t>Crotone 3 5 -2</t>
  </si>
  <si>
    <t>Fiorentina 7 7 1</t>
  </si>
  <si>
    <t>Inter 7 7 1</t>
  </si>
  <si>
    <t>Lazio 7 7 -1</t>
  </si>
  <si>
    <t>Milan 6 7 2</t>
  </si>
  <si>
    <t>Napoli 8 9 2</t>
  </si>
  <si>
    <t>Palermo 5 6 1</t>
  </si>
  <si>
    <t>Pescara 4 5 0</t>
  </si>
  <si>
    <t>Sampdoria 6 6 1</t>
  </si>
  <si>
    <t>Sassuolo 7 8 2</t>
  </si>
  <si>
    <t>Torino 7 7 1</t>
  </si>
  <si>
    <t>Atalanta 6 7 +1</t>
  </si>
  <si>
    <t>Bologna 6 6 -2</t>
  </si>
  <si>
    <t>Cagliari 6 7 -3</t>
  </si>
  <si>
    <t>Chievo 6 8 -1</t>
  </si>
  <si>
    <t>Crotone 3 1 0</t>
  </si>
  <si>
    <t>Empoli 5 5 0</t>
  </si>
  <si>
    <t>Fiorentina 7 7 0</t>
  </si>
  <si>
    <t>Genoa 6 7 -1</t>
  </si>
  <si>
    <t>Juventus 10 10 -2</t>
  </si>
  <si>
    <t>Lazio 7 5 0</t>
  </si>
  <si>
    <t>Milan 7 6 2</t>
  </si>
  <si>
    <t>Napoli 9 9 1</t>
  </si>
  <si>
    <t>Palermo 4 6 -1</t>
  </si>
  <si>
    <t>Pescara 4 5 3</t>
  </si>
  <si>
    <t>Roma 9 8 3</t>
  </si>
  <si>
    <t>Sampdoria 6 6 -3</t>
  </si>
  <si>
    <t>Sassuolo 7 6 4</t>
  </si>
  <si>
    <t>Udinese 5 7 -2</t>
  </si>
  <si>
    <t>Atalanta 6 4 4</t>
  </si>
  <si>
    <t>Bologna 3 4 3</t>
  </si>
  <si>
    <t>Cagliari 7 5 6</t>
  </si>
  <si>
    <t>Chievo 5 8 5</t>
  </si>
  <si>
    <t>Crotone 2 4 5</t>
  </si>
  <si>
    <t>Empoli 7 7 7</t>
  </si>
  <si>
    <t>Fiorentina 8 7 8</t>
  </si>
  <si>
    <t>Genoa 7 7 8</t>
  </si>
  <si>
    <t>Inter 8 6 8</t>
  </si>
  <si>
    <t>Juventus 10 10 10</t>
  </si>
  <si>
    <t>Lazio 6 7 6</t>
  </si>
  <si>
    <t>Milan 6 7 5</t>
  </si>
  <si>
    <t>Napoli 8 8 8</t>
  </si>
  <si>
    <t>Palermo 4 4 5</t>
  </si>
  <si>
    <t>Pescara 6 5 4</t>
  </si>
  <si>
    <t>Roma 9 8 9</t>
  </si>
  <si>
    <t>Sampdoria 7 6 6</t>
  </si>
  <si>
    <t>Sassuolo 8 7 7</t>
  </si>
  <si>
    <t>Torino 7 7 6</t>
  </si>
  <si>
    <t>Udinese 6 8 5</t>
  </si>
  <si>
    <t>Atalanta 6 7 1</t>
  </si>
  <si>
    <t>Bologna 6 7 0</t>
  </si>
  <si>
    <t>Cagliari 6 7 0</t>
  </si>
  <si>
    <t>Chievo 6 6 -2</t>
  </si>
  <si>
    <t>Crotone 4 7 0</t>
  </si>
  <si>
    <t>Empoli 5 6 0</t>
  </si>
  <si>
    <t>Fiorentina 7 8 0</t>
  </si>
  <si>
    <t>Genoa 6 7 1</t>
  </si>
  <si>
    <t>Inter 9 7 -1</t>
  </si>
  <si>
    <t>Lazio 7 7 0</t>
  </si>
  <si>
    <t>Milan 7 7 1</t>
  </si>
  <si>
    <t>Napoli 9 10 0</t>
  </si>
  <si>
    <t>Palermo 4 6 0</t>
  </si>
  <si>
    <t>Pescara 5 7 1</t>
  </si>
  <si>
    <t>Roma 9 9 0</t>
  </si>
  <si>
    <t>Sassuolo 7 7 0</t>
  </si>
  <si>
    <t>Torino 7 8 -1</t>
  </si>
  <si>
    <t>Atalanta 6 6 4</t>
  </si>
  <si>
    <t>Bologna 5 5 0</t>
  </si>
  <si>
    <t>Cagliari 5 6 1</t>
  </si>
  <si>
    <t>Chievo 4 7 -1</t>
  </si>
  <si>
    <t>Crotone 2 4 0</t>
  </si>
  <si>
    <t>Empoli 4 6 0</t>
  </si>
  <si>
    <t>Fiorentina 6 5 1</t>
  </si>
  <si>
    <t>Genoa 6 4 -1</t>
  </si>
  <si>
    <t>Inter 8 6 0</t>
  </si>
  <si>
    <t>Lazio 6 5 3</t>
  </si>
  <si>
    <t>Napoli 8 9 3</t>
  </si>
  <si>
    <t>Palermo 2 3 -1</t>
  </si>
  <si>
    <t>Pescara 4 3 2</t>
  </si>
  <si>
    <t>Roma 8 8 3</t>
  </si>
  <si>
    <t>Sampdoria 5 6 0</t>
  </si>
  <si>
    <t>Sassuolo 7 7 2</t>
  </si>
  <si>
    <t>Torino 7 6 0</t>
  </si>
  <si>
    <t>Udinese 4 3 -2</t>
  </si>
  <si>
    <t>Atalanta 6 7 3</t>
  </si>
  <si>
    <t>Bologna 6 6 1</t>
  </si>
  <si>
    <t>Chievo 5 6 -1</t>
  </si>
  <si>
    <t>Fiorentina 7 8 3</t>
  </si>
  <si>
    <t>Genoa 6 8 2</t>
  </si>
  <si>
    <t>Inter 8 8 2</t>
  </si>
  <si>
    <t>Lazio 7 6 1</t>
  </si>
  <si>
    <t>Milan 7 5 3</t>
  </si>
  <si>
    <t>Napoli 9 8 3</t>
  </si>
  <si>
    <t>Palermo 4 5 1</t>
  </si>
  <si>
    <t>Roma 9 8 1</t>
  </si>
  <si>
    <t>Sassuolo 7 8 1</t>
  </si>
  <si>
    <t>Torino 7 7 0</t>
  </si>
  <si>
    <t>Udinese 6 7 -1</t>
  </si>
  <si>
    <t>Genoa 7 6 +1</t>
  </si>
  <si>
    <t>Juventus 10 9 +3</t>
  </si>
  <si>
    <t>Milan 7 6 +2</t>
  </si>
  <si>
    <t>Udinese 6 6 0</t>
  </si>
  <si>
    <t>Bologna 6 5 -2</t>
  </si>
  <si>
    <t>Cagliari 5 6 -1</t>
  </si>
  <si>
    <t>Crotone 5 6 2</t>
  </si>
  <si>
    <t>Empoli 6 6 3</t>
  </si>
  <si>
    <t>Genoa 7 7 4</t>
  </si>
  <si>
    <t>Juventus 10 9 3</t>
  </si>
  <si>
    <t>Milan 7 7 3</t>
  </si>
  <si>
    <t>Napoli 9 10 4</t>
  </si>
  <si>
    <t>Palermo 4 5 -3</t>
  </si>
  <si>
    <t>Pescara 5 6 2</t>
  </si>
  <si>
    <t>Sampdoria 6 6 2</t>
  </si>
  <si>
    <t>Torino 7 5 2</t>
  </si>
  <si>
    <t>Udinese 7 5 3</t>
  </si>
  <si>
    <t>Atalanta 6 7 4</t>
  </si>
  <si>
    <t>Bologna 6 5 1</t>
  </si>
  <si>
    <t>Cagliari 5 7 1</t>
  </si>
  <si>
    <t>Chievo 5 7 -1</t>
  </si>
  <si>
    <t>Crotone 2 8 2</t>
  </si>
  <si>
    <t>Empoli 5 6 1</t>
  </si>
  <si>
    <t>Fiorentina 7 6 1</t>
  </si>
  <si>
    <t>Genoa 6 8 3</t>
  </si>
  <si>
    <t>Inter 8 7 0</t>
  </si>
  <si>
    <t>Lazio 7 4 3</t>
  </si>
  <si>
    <t>Milan 7 4 4</t>
  </si>
  <si>
    <t>Palermo 1 7 0</t>
  </si>
  <si>
    <t>Pescara 3 7 3</t>
  </si>
  <si>
    <t>Roma 9 6 4</t>
  </si>
  <si>
    <t>Sampdoria 4 7 -1</t>
  </si>
  <si>
    <t>Sassuolo 6 7 2</t>
  </si>
  <si>
    <t>Torino 6 8 1</t>
  </si>
  <si>
    <t>Udinese 5 7 0</t>
  </si>
  <si>
    <t>Atalanta 7 6 2</t>
  </si>
  <si>
    <t>Bologna 7 6 2</t>
  </si>
  <si>
    <t>Cagliari 6 6 0</t>
  </si>
  <si>
    <t>Chievo 6 6 1</t>
  </si>
  <si>
    <t>Crotone 5 5 -2</t>
  </si>
  <si>
    <t>Fiorentina 7 7 3</t>
  </si>
  <si>
    <t>Genoa 7 8 3</t>
  </si>
  <si>
    <t>Juventus 10 10 4</t>
  </si>
  <si>
    <t>Lazio 7 6 3</t>
  </si>
  <si>
    <t>Milan 6 6 1</t>
  </si>
  <si>
    <t>Palermo 5 5 -2</t>
  </si>
  <si>
    <t>Pescara 6 7 2</t>
  </si>
  <si>
    <t>Sampdoria 6 5 0</t>
  </si>
  <si>
    <t>Sassuolo 7 8 3</t>
  </si>
  <si>
    <t>Torino 7 6 1</t>
  </si>
  <si>
    <t>D10</t>
  </si>
  <si>
    <t>D11</t>
  </si>
  <si>
    <t>ESEMPIO: Prendo le mie fasce di difensori e le incollo nella cella  B86</t>
  </si>
  <si>
    <t>In queste colonne vengono inseriti automaticamente i giocatori divisi in fasce in base ai loro I.A. 
ESEMPIO: In una lega a 10 squadre cancellare il contenuto delle celle V3 e W3. In una lega a 8 squadre cancellare il contenuto delle celle  T3, U3, V3 e W3.</t>
  </si>
  <si>
    <t>GUSTAFSON</t>
  </si>
  <si>
    <t>SANCHEZ</t>
  </si>
  <si>
    <t>GOMEZ G</t>
  </si>
  <si>
    <t>COSTA</t>
  </si>
  <si>
    <t>OIKONOMOU</t>
  </si>
  <si>
    <t>BAEZ</t>
  </si>
  <si>
    <t>PINAMONTI</t>
  </si>
  <si>
    <t>ADJAPONG</t>
  </si>
  <si>
    <t>LOMBARDI</t>
  </si>
  <si>
    <t>MIANGUE</t>
  </si>
  <si>
    <t>BASTOS</t>
  </si>
  <si>
    <t>DE MAIO</t>
  </si>
  <si>
    <t>SIMEONE</t>
  </si>
  <si>
    <t>BOYE'</t>
  </si>
  <si>
    <t>KEITA B</t>
  </si>
  <si>
    <t>DONNARUMMA G</t>
  </si>
  <si>
    <t>JOSE' SOSA</t>
  </si>
  <si>
    <t>ALVAREZ R</t>
  </si>
  <si>
    <t>ROMAGNOLI A</t>
  </si>
  <si>
    <t>FERNANDEZ M</t>
  </si>
  <si>
    <t>DI FRANCESCO F</t>
  </si>
  <si>
    <t>MIGUEL VELOSO</t>
  </si>
  <si>
    <t>DI GENNARO D</t>
  </si>
  <si>
    <t>MASIELLO A</t>
  </si>
  <si>
    <t>KESSIE'</t>
  </si>
  <si>
    <t>BARRETO E</t>
  </si>
  <si>
    <t>DODO'</t>
  </si>
  <si>
    <t>MAURI J</t>
  </si>
  <si>
    <t>LOCATELLI M</t>
  </si>
  <si>
    <t>D12</t>
  </si>
  <si>
    <t>Grazie a Nonno Anselmo che ha fatto partire il progetto. La sua base è stata utile per far evolvere questo file.</t>
  </si>
  <si>
    <t>Le zone in grigio possono essere modificate a piacere</t>
  </si>
  <si>
    <t>ESEMPIO: In una lega a 10 squadre cancellare il contenuto delle celle A18 e A19 per i difensori, stessa cosa per gli altri ruoli.</t>
  </si>
  <si>
    <t>In una lega a 8 squadre cancellare il contenuto delle celle A16, A17, A18 e A19  per i difensori, stessa cosa per gli altri ruoli.</t>
  </si>
  <si>
    <t>ESEMPIO: In una lega a 10 squadre cancellare il contenuto delle celle M17 e M18.</t>
  </si>
  <si>
    <t>In una lega a 8 squadre cancellare il contenuto delle celle M15, M16, M17 e M18.</t>
  </si>
  <si>
    <t>I.A. Media</t>
  </si>
  <si>
    <t>Ordinare tutti i ruoli in ordine alfabetico</t>
  </si>
  <si>
    <t>Le righe che rimangono bianche sono giocatori che non trovano corrispondenza nel foglio Tutti. Verificare prima di continuare.</t>
  </si>
  <si>
    <t>Asta</t>
  </si>
  <si>
    <t>Max</t>
  </si>
  <si>
    <t>Operazione</t>
  </si>
  <si>
    <t>Tutti</t>
  </si>
  <si>
    <t>Squadra Asta</t>
  </si>
  <si>
    <t>Squadra Trattativa</t>
  </si>
  <si>
    <t>Squadra Finale</t>
  </si>
  <si>
    <t>Compensazione 1</t>
  </si>
  <si>
    <t>Compensazione 2</t>
  </si>
  <si>
    <t>Squadra Provenienza</t>
  </si>
  <si>
    <t>Squadra Destinazione</t>
  </si>
  <si>
    <t>JOAO MARIO</t>
  </si>
  <si>
    <t>PRAET</t>
  </si>
  <si>
    <t>ROG</t>
  </si>
  <si>
    <t>RAGUSA</t>
  </si>
  <si>
    <t>DUSSENNE</t>
  </si>
  <si>
    <t>SALCEDO</t>
  </si>
  <si>
    <t>BASTIEN</t>
  </si>
  <si>
    <t>GABIGOL</t>
  </si>
  <si>
    <t>BIRASCHI</t>
  </si>
  <si>
    <t>CRISTOFORO</t>
  </si>
  <si>
    <t>CUADRADO</t>
  </si>
  <si>
    <t>LUIS ALBERTO</t>
  </si>
  <si>
    <t>IEMMELLO</t>
  </si>
  <si>
    <t>OLIVERA M</t>
  </si>
  <si>
    <t>HELANDER</t>
  </si>
  <si>
    <t>VIVIANI</t>
  </si>
  <si>
    <t>Info</t>
  </si>
  <si>
    <t>R</t>
  </si>
  <si>
    <t>Sq1Por</t>
  </si>
  <si>
    <t>Sq2Por</t>
  </si>
  <si>
    <t>Sq3Por</t>
  </si>
  <si>
    <t>Sq4Por</t>
  </si>
  <si>
    <t>Sq5Por</t>
  </si>
  <si>
    <t>Sq6Por</t>
  </si>
  <si>
    <t>Sq7Por</t>
  </si>
  <si>
    <t>Sq8Por</t>
  </si>
  <si>
    <t>Sq9Por</t>
  </si>
  <si>
    <t>Sq10Por</t>
  </si>
  <si>
    <t>Sq11Por</t>
  </si>
  <si>
    <t>Sq12Por</t>
  </si>
  <si>
    <t>Sq13Por</t>
  </si>
  <si>
    <t>Sq14Por</t>
  </si>
  <si>
    <t>Sq15Por</t>
  </si>
  <si>
    <t>Sq16Por</t>
  </si>
  <si>
    <t>Sq17Por</t>
  </si>
  <si>
    <t>Sq18Por</t>
  </si>
  <si>
    <t>Sq19Por</t>
  </si>
  <si>
    <t>Sq20Por</t>
  </si>
  <si>
    <t>Sq21Por</t>
  </si>
  <si>
    <t>Sq22Por</t>
  </si>
  <si>
    <t>Sq23Por</t>
  </si>
  <si>
    <t>Sq24Por</t>
  </si>
  <si>
    <t/>
  </si>
  <si>
    <t>Sq1Dif</t>
  </si>
  <si>
    <t>Sq2Dif</t>
  </si>
  <si>
    <t>Sq3Dif</t>
  </si>
  <si>
    <t>Sq4Dif</t>
  </si>
  <si>
    <t>Sq5Dif</t>
  </si>
  <si>
    <t>Sq6Dif</t>
  </si>
  <si>
    <t>Sq7Dif</t>
  </si>
  <si>
    <t>Sq8Dif</t>
  </si>
  <si>
    <t>Sq9Dif</t>
  </si>
  <si>
    <t>Sq10Dif</t>
  </si>
  <si>
    <t>Sq11Dif</t>
  </si>
  <si>
    <t>Sq12Dif</t>
  </si>
  <si>
    <t>Sq13Dif</t>
  </si>
  <si>
    <t>Sq14Dif</t>
  </si>
  <si>
    <t>Sq15Dif</t>
  </si>
  <si>
    <t>Sq16Dif</t>
  </si>
  <si>
    <t>Sq17Dif</t>
  </si>
  <si>
    <t>Sq18Dif</t>
  </si>
  <si>
    <t>Sq19Dif</t>
  </si>
  <si>
    <t>Sq20Dif</t>
  </si>
  <si>
    <t>Sq21Dif</t>
  </si>
  <si>
    <t>Sq22Dif</t>
  </si>
  <si>
    <t>Sq23Dif</t>
  </si>
  <si>
    <t>Sq24Dif</t>
  </si>
  <si>
    <t>Sq1Cen</t>
  </si>
  <si>
    <t>Sq2Cen</t>
  </si>
  <si>
    <t>Sq3Cen</t>
  </si>
  <si>
    <t>Sq4Cen</t>
  </si>
  <si>
    <t>Sq5Cen</t>
  </si>
  <si>
    <t>Sq6Cen</t>
  </si>
  <si>
    <t>Sq7Cen</t>
  </si>
  <si>
    <t>Sq8Cen</t>
  </si>
  <si>
    <t>Sq9Cen</t>
  </si>
  <si>
    <t>Sq10Cen</t>
  </si>
  <si>
    <t>Sq11Cen</t>
  </si>
  <si>
    <t>Sq12Cen</t>
  </si>
  <si>
    <t>Sq13Cen</t>
  </si>
  <si>
    <t>Sq14Cen</t>
  </si>
  <si>
    <t>Sq15Cen</t>
  </si>
  <si>
    <t>Sq16Cen</t>
  </si>
  <si>
    <t>Sq17Cen</t>
  </si>
  <si>
    <t>Sq18Cen</t>
  </si>
  <si>
    <t>Sq19Cen</t>
  </si>
  <si>
    <t>Sq20Cen</t>
  </si>
  <si>
    <t>Sq21Cen</t>
  </si>
  <si>
    <t>Sq22Cen</t>
  </si>
  <si>
    <t>Sq23Cen</t>
  </si>
  <si>
    <t>Sq24Cen</t>
  </si>
  <si>
    <t>Sq1Att</t>
  </si>
  <si>
    <t>Sq2Att</t>
  </si>
  <si>
    <t>Sq3Att</t>
  </si>
  <si>
    <t>Sq4Att</t>
  </si>
  <si>
    <t>Sq5Att</t>
  </si>
  <si>
    <t>Sq6Att</t>
  </si>
  <si>
    <t>Sq7Att</t>
  </si>
  <si>
    <t>Sq8Att</t>
  </si>
  <si>
    <t>Sq9Att</t>
  </si>
  <si>
    <t>Sq10Att</t>
  </si>
  <si>
    <t>Sq11Att</t>
  </si>
  <si>
    <t>Sq12Att</t>
  </si>
  <si>
    <t>Sq13Att</t>
  </si>
  <si>
    <t>Sq14Att</t>
  </si>
  <si>
    <t>Sq15Att</t>
  </si>
  <si>
    <t>Sq16Att</t>
  </si>
  <si>
    <t>Sq17Att</t>
  </si>
  <si>
    <t>Sq18Att</t>
  </si>
  <si>
    <t>Sq19Att</t>
  </si>
  <si>
    <t>Sq20Att</t>
  </si>
  <si>
    <t>Sq21Att</t>
  </si>
  <si>
    <t>Sq22Att</t>
  </si>
  <si>
    <t>Sq23Att</t>
  </si>
  <si>
    <t>Sq24Att</t>
  </si>
  <si>
    <t>STRAKOSHA</t>
  </si>
  <si>
    <t>Colonna1</t>
  </si>
  <si>
    <t>CEDE</t>
  </si>
  <si>
    <t>RICEVE</t>
  </si>
  <si>
    <t>Giocatori</t>
  </si>
  <si>
    <t>Rigoristi, Punizioni e Angoli</t>
  </si>
  <si>
    <t>- Incollare la lista dei giocatori nel foglio Giocatori</t>
  </si>
  <si>
    <t>- Verificare il giocatori che risultano non colorati (colore bianco)</t>
  </si>
  <si>
    <t>Solitamente non sono filtrati perché i nomi sono leggermente diversi da quelli già memorizzati (foglio Tutti)</t>
  </si>
  <si>
    <t>- Dopo questa operazione potete posizionarvi nel foglio "I.A + Fasce" ed ordinare le liste (premere sui pulsanti cin le frecce oppure ordinare manualemente).</t>
  </si>
  <si>
    <t>- Foglio che permette di gestire le varie fasi dell'asta</t>
  </si>
  <si>
    <t>- I fogli Rose, Mia Rosa + Org. Finanza e I.A. + Fasce verranno compilati automaticamente</t>
  </si>
  <si>
    <t>- Le celle in grigio contengono delle formule e non devono essere compilate</t>
  </si>
  <si>
    <t>- Compilare la tabella Asta inserendo la squadra che acquista il giocatore ed il relativo prezzo</t>
  </si>
  <si>
    <t>- Nel caso ci sia uno scambio è necessario compilare la tabella Trattative scegliendo la squadra che fa la cessione ed il giocatore che viene ceduto</t>
  </si>
  <si>
    <t>- Se oltre lo scambio esiste anche un compenso in denaro è necessario compilare un'ulteriore riga scegliendo la squadra che riceve il denaro.</t>
  </si>
  <si>
    <t>Solo in questo caso è necessario compilare la colonna costo.</t>
  </si>
  <si>
    <t>Tutte le trattative vengono riportate nel foglio Rose (sezione Trattative)</t>
  </si>
  <si>
    <t>Fasce</t>
  </si>
  <si>
    <t>Squadre</t>
  </si>
  <si>
    <t>Numero</t>
  </si>
  <si>
    <t>Per il calcolo della media degli I.A. potete agire modificando il valore della cella bianca</t>
  </si>
  <si>
    <t>Prezzo No mod</t>
  </si>
  <si>
    <t>Scegliete un criterio di ordinamento delle fasce</t>
  </si>
  <si>
    <t>Prezzo Mod</t>
  </si>
  <si>
    <t>Può essere ottimizzata per leghe con meno squadre semplicemente cancellando i valori nel range di celle M44 e M45</t>
  </si>
  <si>
    <t>ESEMPIO: In una lega a 10 squadre cancellare il contenuto delle celle M44 e M45. In una lega a 8 squadre cancellare il contenuto delle celle M42, M43, M44 e M45.</t>
  </si>
  <si>
    <t>Prezzo Consigliato</t>
  </si>
  <si>
    <t>Note</t>
  </si>
  <si>
    <t>I.A Media</t>
  </si>
  <si>
    <t>Griglia alternanza PORTIERI</t>
  </si>
  <si>
    <t>Fascia</t>
  </si>
  <si>
    <t>BENEVENTO</t>
  </si>
  <si>
    <t>SPAL</t>
  </si>
  <si>
    <t>VERONA</t>
  </si>
  <si>
    <t>BEN</t>
  </si>
  <si>
    <t>SPA</t>
  </si>
  <si>
    <t>VER</t>
  </si>
  <si>
    <t>ATALANTA - JUVENTUS</t>
  </si>
  <si>
    <t>BENEVENTO - SASSUOLO</t>
  </si>
  <si>
    <t>BENEVENTO - INTER</t>
  </si>
  <si>
    <t>CROTONE - GENOA</t>
  </si>
  <si>
    <t>CROTONE - MILAN</t>
  </si>
  <si>
    <t>CHIEVO - FIORENTINA</t>
  </si>
  <si>
    <t>VERONA - BOLOGNA</t>
  </si>
  <si>
    <t>VERONA - NAPOLI</t>
  </si>
  <si>
    <t>GENOA - BOLOGNA</t>
  </si>
  <si>
    <t>INTER - ATALANTA</t>
  </si>
  <si>
    <t>INTER - FIORENTINA</t>
  </si>
  <si>
    <t>LAZIO - SASSUOLO</t>
  </si>
  <si>
    <t>NAPOLI - MILAN</t>
  </si>
  <si>
    <t>JUVENTUS - CAGLIARI</t>
  </si>
  <si>
    <t>MILAN - ROMA</t>
  </si>
  <si>
    <t>ROMA - LAZIO</t>
  </si>
  <si>
    <t>LAZIO - SPAL</t>
  </si>
  <si>
    <t>NAPOLI - CAGLIARI</t>
  </si>
  <si>
    <t>SAMPDORIA - JUVENTUS</t>
  </si>
  <si>
    <t>SAMPDORIA - BENEVENTO</t>
  </si>
  <si>
    <t>SPAL - CROTONE</t>
  </si>
  <si>
    <t>SPAL - FIORENTINA</t>
  </si>
  <si>
    <t>SASSUOLO - GENOA</t>
  </si>
  <si>
    <t>TORINO - VERONA</t>
  </si>
  <si>
    <t>TORINO - CHIEVO</t>
  </si>
  <si>
    <t>UDINESE - CHIEVO</t>
  </si>
  <si>
    <t>UDINESE - SAMPDORIA</t>
  </si>
  <si>
    <t>UDINESE - CAGLIARI</t>
  </si>
  <si>
    <t>BENEVENTO - BOLOGNA</t>
  </si>
  <si>
    <t>BOLOGNA - SPAL</t>
  </si>
  <si>
    <t>ATALANTA - BENEVENTO</t>
  </si>
  <si>
    <t>CHIEVO - LAZIO</t>
  </si>
  <si>
    <t>CAGLIARI - GENOA</t>
  </si>
  <si>
    <t>BOLOGNA - SAMPDORIA</t>
  </si>
  <si>
    <t>CROTONE - VERONA</t>
  </si>
  <si>
    <t>CROTONE - TORINO</t>
  </si>
  <si>
    <t>CAGLIARI - INTER</t>
  </si>
  <si>
    <t>FIORENTINA - SAMPDORIA</t>
  </si>
  <si>
    <t>FIORENTINA - UDINESE</t>
  </si>
  <si>
    <t>CHIEVO - SPAL</t>
  </si>
  <si>
    <t>GENOA - JUVENTUS</t>
  </si>
  <si>
    <t>VERONA - BENEVENTO</t>
  </si>
  <si>
    <t>GENOA - ROMA</t>
  </si>
  <si>
    <t>MILAN - CAGLIARI</t>
  </si>
  <si>
    <t>INTER - MILAN</t>
  </si>
  <si>
    <t>JUVENTUS - CROTONE</t>
  </si>
  <si>
    <t>NAPOLI - ATALANTA</t>
  </si>
  <si>
    <t>JUVENTUS - LAZIO</t>
  </si>
  <si>
    <t>LAZIO - FIORENTINA</t>
  </si>
  <si>
    <t>ROMA - INTER</t>
  </si>
  <si>
    <t>ROMA - NAPOLI</t>
  </si>
  <si>
    <t>MILAN - TORINO</t>
  </si>
  <si>
    <t>SPAL - UDINESE</t>
  </si>
  <si>
    <t>SAMPDORIA - ATALANTA</t>
  </si>
  <si>
    <t>SASSUOLO - VERONA</t>
  </si>
  <si>
    <t>TORINO - SASSUOLO</t>
  </si>
  <si>
    <t>SASSUOLO - CHIEVO</t>
  </si>
  <si>
    <t>UDINESE - NAPOLI</t>
  </si>
  <si>
    <t>ATALANTA - SASSUOLO</t>
  </si>
  <si>
    <t>ATALANTA - BOLOGNA</t>
  </si>
  <si>
    <t>BENEVENTO - MILAN</t>
  </si>
  <si>
    <t>BENEVENTO - TORINO</t>
  </si>
  <si>
    <t>BENEVENTO - FIORENTINA</t>
  </si>
  <si>
    <t>BOLOGNA - CAGLIARI</t>
  </si>
  <si>
    <t>BOLOGNA - NAPOLI</t>
  </si>
  <si>
    <t>CHIEVO - VERONA</t>
  </si>
  <si>
    <t>CROTONE - UDINESE</t>
  </si>
  <si>
    <t>CAGLIARI - CROTONE</t>
  </si>
  <si>
    <t>LAZIO - CAGLIARI</t>
  </si>
  <si>
    <t>FIORENTINA - SASSUOLO</t>
  </si>
  <si>
    <t>VERONA - FIORENTINA</t>
  </si>
  <si>
    <t>MILAN - GENOA</t>
  </si>
  <si>
    <t>VERONA - GENOA</t>
  </si>
  <si>
    <t>INTER - SPAL</t>
  </si>
  <si>
    <t>NAPOLI - INTER</t>
  </si>
  <si>
    <t>INTER - CHIEVO</t>
  </si>
  <si>
    <t>JUVENTUS - CHIEVO</t>
  </si>
  <si>
    <t>SAMPDORIA - CROTONE</t>
  </si>
  <si>
    <t>NAPOLI - JUVENTUS</t>
  </si>
  <si>
    <t>LAZIO - MILAN</t>
  </si>
  <si>
    <t>SPAL - SASSUOLO</t>
  </si>
  <si>
    <t>ROMA - SPAL</t>
  </si>
  <si>
    <t>SAMPDORIA - ROMA</t>
  </si>
  <si>
    <t>TORINO - ROMA</t>
  </si>
  <si>
    <t>SAMPDORIA - LAZIO</t>
  </si>
  <si>
    <t>UDINESE - GENOA</t>
  </si>
  <si>
    <t>UDINESE - JUVENTUS</t>
  </si>
  <si>
    <t>TORINO - ATALANTA</t>
  </si>
  <si>
    <t>CHIEVO - ATALANTA</t>
  </si>
  <si>
    <t>ATALANTA - VERONA</t>
  </si>
  <si>
    <t>CAGLIARI - SAMPDORIA</t>
  </si>
  <si>
    <t>CROTONE - INTER</t>
  </si>
  <si>
    <t>BOLOGNA - LAZIO</t>
  </si>
  <si>
    <t>CHIEVO - ROMA</t>
  </si>
  <si>
    <t>FIORENTINA - BOLOGNA</t>
  </si>
  <si>
    <t>CAGLIARI - BENEVENTO</t>
  </si>
  <si>
    <t>GENOA - ATALANTA</t>
  </si>
  <si>
    <t>GENOA - LAZIO</t>
  </si>
  <si>
    <t>CHIEVO - MILAN</t>
  </si>
  <si>
    <t>JUVENTUS - INTER</t>
  </si>
  <si>
    <t>MILAN - UDINESE</t>
  </si>
  <si>
    <t>FIORENTINA - TORINO</t>
  </si>
  <si>
    <t>LAZIO - TORINO</t>
  </si>
  <si>
    <t>NAPOLI - BENEVENTO</t>
  </si>
  <si>
    <t>GENOA - NAPOLI</t>
  </si>
  <si>
    <t>MILAN - BOLOGNA</t>
  </si>
  <si>
    <t>ROMA - VERONA</t>
  </si>
  <si>
    <t>INTER - SAMPDORIA</t>
  </si>
  <si>
    <t>NAPOLI - FIORENTINA</t>
  </si>
  <si>
    <t>SASSUOLO - JUVENTUS</t>
  </si>
  <si>
    <t>JUVENTUS - SPAL</t>
  </si>
  <si>
    <t>SASSUOLO - CROTONE</t>
  </si>
  <si>
    <t>SPAL - CAGLIARI</t>
  </si>
  <si>
    <t>ROMA - CROTONE</t>
  </si>
  <si>
    <t>SPAL - VERONA</t>
  </si>
  <si>
    <t>TORINO - SAMPDORIA</t>
  </si>
  <si>
    <t>SASSUOLO - UDINESE</t>
  </si>
  <si>
    <t>UDINESE - BENEVENTO</t>
  </si>
  <si>
    <t>ATALANTA - CROTONE</t>
  </si>
  <si>
    <t>BENEVENTO - LAZIO</t>
  </si>
  <si>
    <t>ATALANTA - LAZIO</t>
  </si>
  <si>
    <t>BENEVENTO - ROMA</t>
  </si>
  <si>
    <t>CROTONE - FIORENTINA</t>
  </si>
  <si>
    <t>BENEVENTO - SPAL</t>
  </si>
  <si>
    <t>BOLOGNA - INTER</t>
  </si>
  <si>
    <t>VERONA - INTER</t>
  </si>
  <si>
    <t>BOLOGNA - JUVENTUS</t>
  </si>
  <si>
    <t>CAGLIARI - SASSUOLO</t>
  </si>
  <si>
    <t>MILAN - JUVENTUS</t>
  </si>
  <si>
    <t>CROTONE - CHIEVO</t>
  </si>
  <si>
    <t>GENOA - CHIEVO</t>
  </si>
  <si>
    <t>NAPOLI - SASSUOLO</t>
  </si>
  <si>
    <t>FIORENTINA - GENOA</t>
  </si>
  <si>
    <t>VERONA - SAMPDORIA</t>
  </si>
  <si>
    <t>ROMA - BOLOGNA</t>
  </si>
  <si>
    <t>VERONA - MILAN</t>
  </si>
  <si>
    <t>JUVENTUS - FIORENTINA</t>
  </si>
  <si>
    <t>SAMPDORIA - CHIEVO</t>
  </si>
  <si>
    <t>INTER - UDINESE</t>
  </si>
  <si>
    <t>LAZIO - NAPOLI</t>
  </si>
  <si>
    <t>SPAL - GENOA</t>
  </si>
  <si>
    <t>ROMA - CAGLIARI</t>
  </si>
  <si>
    <t>MILAN - SPAL</t>
  </si>
  <si>
    <t>TORINO - CAGLIARI</t>
  </si>
  <si>
    <t>SAMPDORIA - SASSUOLO</t>
  </si>
  <si>
    <t>UDINESE - TORINO</t>
  </si>
  <si>
    <t>UDINESE - ATALANTA</t>
  </si>
  <si>
    <t>TORINO - NAPOLI</t>
  </si>
  <si>
    <t>CAGLIARI - CHIEVO</t>
  </si>
  <si>
    <t>ATALANTA - SPAL</t>
  </si>
  <si>
    <t>CAGLIARI - FIORENTINA</t>
  </si>
  <si>
    <t>CROTONE - BENEVENTO</t>
  </si>
  <si>
    <t>BOLOGNA - CROTONE</t>
  </si>
  <si>
    <t>CHIEVO - BOLOGNA</t>
  </si>
  <si>
    <t>FIORENTINA - ATALANTA</t>
  </si>
  <si>
    <t>CAGLIARI - VERONA</t>
  </si>
  <si>
    <t>GENOA - BENEVENTO</t>
  </si>
  <si>
    <t>VERONA - LAZIO</t>
  </si>
  <si>
    <t>CHIEVO - NAPOLI</t>
  </si>
  <si>
    <t>JUVENTUS - ROMA</t>
  </si>
  <si>
    <t>INTER - GENOA</t>
  </si>
  <si>
    <t>FIORENTINA - ROMA</t>
  </si>
  <si>
    <t>LAZIO - CROTONE</t>
  </si>
  <si>
    <t>JUVENTUS - TORINO</t>
  </si>
  <si>
    <t>GENOA - SAMPDORIA</t>
  </si>
  <si>
    <t>MILAN - ATALANTA</t>
  </si>
  <si>
    <t>ROMA - UDINESE</t>
  </si>
  <si>
    <t>INTER - TORINO</t>
  </si>
  <si>
    <t>NAPOLI - SAMPDORIA</t>
  </si>
  <si>
    <t>SAMPDORIA - MILAN</t>
  </si>
  <si>
    <t>JUVENTUS - BENEVENTO</t>
  </si>
  <si>
    <t>SASSUOLO - INTER</t>
  </si>
  <si>
    <t>SASSUOLO - BOLOGNA</t>
  </si>
  <si>
    <t>LAZIO - UDINESE</t>
  </si>
  <si>
    <t>SPAL - TORINO</t>
  </si>
  <si>
    <t>SPAL - NAPOLI</t>
  </si>
  <si>
    <t>SASSUOLO - MILAN</t>
  </si>
  <si>
    <t>UDINESE - VERONA</t>
  </si>
  <si>
    <t>ATALANTA - CAGLIARI</t>
  </si>
  <si>
    <t>BENEVENTO - CHIEVO</t>
  </si>
  <si>
    <t>BOLOGNA - UDINESE</t>
  </si>
  <si>
    <t>CROTONE - NAPOLI</t>
  </si>
  <si>
    <t>FIORENTINA - MILAN</t>
  </si>
  <si>
    <t>VERONA - JUVENTUS</t>
  </si>
  <si>
    <t>INTER - LAZIO</t>
  </si>
  <si>
    <t>ROMA - SASSUOLO</t>
  </si>
  <si>
    <t>SAMPDORIA - SPAL</t>
  </si>
  <si>
    <t>TORINO - GENOA</t>
  </si>
  <si>
    <t>ATALANTA - ROMA</t>
  </si>
  <si>
    <t>BOLOGNA - TORINO</t>
  </si>
  <si>
    <t>Benevento</t>
  </si>
  <si>
    <t>Spal</t>
  </si>
  <si>
    <t>Verona</t>
  </si>
  <si>
    <t>MERET</t>
  </si>
  <si>
    <t>SIRIGU</t>
  </si>
  <si>
    <t>CRAGNO</t>
  </si>
  <si>
    <t>BELEC</t>
  </si>
  <si>
    <t>NICOLAS</t>
  </si>
  <si>
    <t>GOLLINI</t>
  </si>
  <si>
    <t>SILVESTRI</t>
  </si>
  <si>
    <t>SANTURRO</t>
  </si>
  <si>
    <t>PISCITELLI</t>
  </si>
  <si>
    <t>PINSOGLIO</t>
  </si>
  <si>
    <t>ROSSI</t>
  </si>
  <si>
    <t>GUERRIERI</t>
  </si>
  <si>
    <t>CROSTA</t>
  </si>
  <si>
    <t>CONFENTE</t>
  </si>
  <si>
    <t>VISCOVO</t>
  </si>
  <si>
    <t>COPPOLA</t>
  </si>
  <si>
    <t>POLUZZI</t>
  </si>
  <si>
    <t>KOLAROV</t>
  </si>
  <si>
    <t>ROMULO</t>
  </si>
  <si>
    <t>LETIZIA</t>
  </si>
  <si>
    <t>GASPAR</t>
  </si>
  <si>
    <t>LUCIONI</t>
  </si>
  <si>
    <t>HATEBOER</t>
  </si>
  <si>
    <t>MILENKOVIC</t>
  </si>
  <si>
    <t>DI CHIARA</t>
  </si>
  <si>
    <t>KARSDORP</t>
  </si>
  <si>
    <t>MUSACCHIO</t>
  </si>
  <si>
    <t>CASTAGNE</t>
  </si>
  <si>
    <t>NUYTINCK</t>
  </si>
  <si>
    <t>MARUSIC</t>
  </si>
  <si>
    <t>VENUTI</t>
  </si>
  <si>
    <t>CABRERA</t>
  </si>
  <si>
    <t>PALOMINO</t>
  </si>
  <si>
    <t>CACERES</t>
  </si>
  <si>
    <t>LYANCO</t>
  </si>
  <si>
    <t>GOSENS</t>
  </si>
  <si>
    <t>GYAMFI</t>
  </si>
  <si>
    <t>CAMPORESE</t>
  </si>
  <si>
    <t>MANCINI</t>
  </si>
  <si>
    <t>BONIFAZI</t>
  </si>
  <si>
    <t>BASTONI</t>
  </si>
  <si>
    <t>GRAVILLON</t>
  </si>
  <si>
    <t>DEPAOLI</t>
  </si>
  <si>
    <t>SOUPRAYEN</t>
  </si>
  <si>
    <t>BOCHNIEWICZ</t>
  </si>
  <si>
    <t>FELICIOLI</t>
  </si>
  <si>
    <t>VICARI</t>
  </si>
  <si>
    <t>ROMAGNA</t>
  </si>
  <si>
    <t>BERESZYNSKI</t>
  </si>
  <si>
    <t>PADELLA</t>
  </si>
  <si>
    <t>BROSCO</t>
  </si>
  <si>
    <t>BANI</t>
  </si>
  <si>
    <t>JAROSZYNSKI</t>
  </si>
  <si>
    <t>CREMONESI</t>
  </si>
  <si>
    <t>RIGIONE</t>
  </si>
  <si>
    <t>BIANCHETTI</t>
  </si>
  <si>
    <t>VAISANEN</t>
  </si>
  <si>
    <t>POLVANI</t>
  </si>
  <si>
    <t>GASPARETTO</t>
  </si>
  <si>
    <t>DOUGLAS COSTA</t>
  </si>
  <si>
    <t>CALHANOGLU</t>
  </si>
  <si>
    <t>CICIRETTI</t>
  </si>
  <si>
    <t>VERETOUT</t>
  </si>
  <si>
    <t>BERENGUER</t>
  </si>
  <si>
    <t>BESSA</t>
  </si>
  <si>
    <t>LUCAS LEIVA</t>
  </si>
  <si>
    <t>MORA</t>
  </si>
  <si>
    <t>INGELSSON</t>
  </si>
  <si>
    <t>VIOLA</t>
  </si>
  <si>
    <t>UNDER</t>
  </si>
  <si>
    <t>CHIBSAH</t>
  </si>
  <si>
    <t>HAAS</t>
  </si>
  <si>
    <t>ZEKHNINI</t>
  </si>
  <si>
    <t>SCHIATTARELLA</t>
  </si>
  <si>
    <t>PESSINA</t>
  </si>
  <si>
    <t>MOROSINI</t>
  </si>
  <si>
    <t>GARRITANO</t>
  </si>
  <si>
    <t>SCHETINO</t>
  </si>
  <si>
    <t>OMEONGA</t>
  </si>
  <si>
    <t>TAARABT</t>
  </si>
  <si>
    <t>FALLETTI</t>
  </si>
  <si>
    <t>GONALONS</t>
  </si>
  <si>
    <t>VALOTI</t>
  </si>
  <si>
    <t>ZACCAGNI</t>
  </si>
  <si>
    <t>MELEGONI</t>
  </si>
  <si>
    <t>FOSSATI</t>
  </si>
  <si>
    <t>MELARA</t>
  </si>
  <si>
    <t>COSSU</t>
  </si>
  <si>
    <t>BARAK</t>
  </si>
  <si>
    <t>FALCO</t>
  </si>
  <si>
    <t>GAUDINO</t>
  </si>
  <si>
    <t>PONTISSO</t>
  </si>
  <si>
    <t>KRAGL</t>
  </si>
  <si>
    <t>JOSE' MAURI</t>
  </si>
  <si>
    <t>VIGNATO</t>
  </si>
  <si>
    <t>DEL PINTO</t>
  </si>
  <si>
    <t>SULJIC</t>
  </si>
  <si>
    <t>CASSATA</t>
  </si>
  <si>
    <t>FRATTESI</t>
  </si>
  <si>
    <t>DE FALCO</t>
  </si>
  <si>
    <t>LANER</t>
  </si>
  <si>
    <t>SCHIAVON</t>
  </si>
  <si>
    <t>ANTENUCCI</t>
  </si>
  <si>
    <t>ANDRE' SILVA</t>
  </si>
  <si>
    <t>LASAGNA</t>
  </si>
  <si>
    <t>PAZZINI</t>
  </si>
  <si>
    <t>CORNELIUS</t>
  </si>
  <si>
    <t>CUTRONE</t>
  </si>
  <si>
    <t>BORINI</t>
  </si>
  <si>
    <t>PUSCAS</t>
  </si>
  <si>
    <t>CERCI</t>
  </si>
  <si>
    <t>GALABINOV</t>
  </si>
  <si>
    <t>CERAVOLO</t>
  </si>
  <si>
    <t>PELLEGRI</t>
  </si>
  <si>
    <t>VIDO</t>
  </si>
  <si>
    <t>ORSOLINI</t>
  </si>
  <si>
    <t>KEAN</t>
  </si>
  <si>
    <t>OUNAS</t>
  </si>
  <si>
    <t>VERDE</t>
  </si>
  <si>
    <t>KOWNACKI</t>
  </si>
  <si>
    <t>REBIC</t>
  </si>
  <si>
    <t>CAICEDO</t>
  </si>
  <si>
    <t>ACOSTY</t>
  </si>
  <si>
    <t>PETKOVIC</t>
  </si>
  <si>
    <t>PALOMBI</t>
  </si>
  <si>
    <t>LUPPI</t>
  </si>
  <si>
    <t>BONAZZOLI</t>
  </si>
  <si>
    <t>OKWONKWO</t>
  </si>
  <si>
    <t>COP</t>
  </si>
  <si>
    <t>KOTNIK</t>
  </si>
  <si>
    <t>VALENCIA</t>
  </si>
  <si>
    <t>PIERINI</t>
  </si>
  <si>
    <t>SCAMACCA</t>
  </si>
  <si>
    <t>LERIS</t>
  </si>
  <si>
    <t>FARES</t>
  </si>
  <si>
    <t>BAJIC</t>
  </si>
  <si>
    <t>LEANDRINHO</t>
  </si>
  <si>
    <t>COTTICELLI</t>
  </si>
  <si>
    <t>KRAPIKAS</t>
  </si>
  <si>
    <t>MARCHEGIANI</t>
  </si>
  <si>
    <t>RAVAGLIA</t>
  </si>
  <si>
    <t>ZACCAGNO</t>
  </si>
  <si>
    <t>BOCCAFOGLIA</t>
  </si>
  <si>
    <t>BRIGNANI</t>
  </si>
  <si>
    <t>CAPONE</t>
  </si>
  <si>
    <t>CUOMO</t>
  </si>
  <si>
    <t>ERLIC</t>
  </si>
  <si>
    <t>GABBIA</t>
  </si>
  <si>
    <t>HRISTOV</t>
  </si>
  <si>
    <t>ILLANES</t>
  </si>
  <si>
    <t>LEVERBE</t>
  </si>
  <si>
    <t>NICOLETTI</t>
  </si>
  <si>
    <t>NURA</t>
  </si>
  <si>
    <t>TOMIC</t>
  </si>
  <si>
    <t>UNTERSEE</t>
  </si>
  <si>
    <t>VANHEUSDEN</t>
  </si>
  <si>
    <t>KONATE</t>
  </si>
  <si>
    <t>ABUKAR</t>
  </si>
  <si>
    <t>AGYEI</t>
  </si>
  <si>
    <t>ARTIOLI</t>
  </si>
  <si>
    <t>BAUMGARTNER</t>
  </si>
  <si>
    <t>BENTANCUR</t>
  </si>
  <si>
    <t>CRECCO</t>
  </si>
  <si>
    <t>CROCIATA</t>
  </si>
  <si>
    <t>JAKIMOVSKI</t>
  </si>
  <si>
    <t>KIYINE</t>
  </si>
  <si>
    <t>TETTEH</t>
  </si>
  <si>
    <t>YAMGA</t>
  </si>
  <si>
    <t>CENTURION</t>
  </si>
  <si>
    <t>BALDE</t>
  </si>
  <si>
    <t>NGISSAH</t>
  </si>
  <si>
    <t>THIAM</t>
  </si>
  <si>
    <t>TUMMINELLO</t>
  </si>
  <si>
    <t>TUPTA</t>
  </si>
  <si>
    <t>LUIZ FELIPE</t>
  </si>
  <si>
    <t>VITOR HUGO</t>
  </si>
  <si>
    <t>MALLE'</t>
  </si>
  <si>
    <t>FARAGO'</t>
  </si>
  <si>
    <t>CODA M</t>
  </si>
  <si>
    <t>RODRIGUEZ A</t>
  </si>
  <si>
    <t>CISSE' K</t>
  </si>
  <si>
    <t>RIGONI L</t>
  </si>
  <si>
    <t>LAZZARI M</t>
  </si>
  <si>
    <t>JOAO SCHMIDT</t>
  </si>
  <si>
    <t>ZUCULINI B</t>
  </si>
  <si>
    <t>ZUCULINI F</t>
  </si>
  <si>
    <t>RODRIGUEZ R</t>
  </si>
  <si>
    <t>HECTOR MORENO</t>
  </si>
  <si>
    <t>CARACCIOLO A</t>
  </si>
  <si>
    <t>LOPEZ W</t>
  </si>
  <si>
    <t>SIMIC L</t>
  </si>
  <si>
    <t>ALBERTAZZI</t>
  </si>
  <si>
    <t>DONNARUMMA A</t>
  </si>
  <si>
    <t>MILINKOVIC-SAVIC V</t>
  </si>
  <si>
    <t>6.83</t>
  </si>
  <si>
    <t>Ben</t>
  </si>
  <si>
    <t>3.50</t>
  </si>
  <si>
    <t>4.83</t>
  </si>
  <si>
    <t>5.00</t>
  </si>
  <si>
    <t>5.67</t>
  </si>
  <si>
    <t>3.67</t>
  </si>
  <si>
    <t>6.00</t>
  </si>
  <si>
    <t>7.33</t>
  </si>
  <si>
    <t>9.50</t>
  </si>
  <si>
    <t>7.00</t>
  </si>
  <si>
    <t>8.00</t>
  </si>
  <si>
    <t>9.00</t>
  </si>
  <si>
    <t>5.83</t>
  </si>
  <si>
    <t>Spa</t>
  </si>
  <si>
    <t>6.67</t>
  </si>
  <si>
    <t>Ver</t>
  </si>
  <si>
    <t>7.17</t>
  </si>
  <si>
    <t>4.50</t>
  </si>
  <si>
    <t>6.17</t>
  </si>
  <si>
    <t>6.33</t>
  </si>
  <si>
    <t>7.83</t>
  </si>
  <si>
    <t>9.83</t>
  </si>
  <si>
    <t>8.83</t>
  </si>
  <si>
    <t>2.33</t>
  </si>
  <si>
    <t>-0.83</t>
  </si>
  <si>
    <t>0.00</t>
  </si>
  <si>
    <t>2.17</t>
  </si>
  <si>
    <t>-1.83</t>
  </si>
  <si>
    <t>-0.67</t>
  </si>
  <si>
    <t>0.67</t>
  </si>
  <si>
    <t>0.83</t>
  </si>
  <si>
    <t>2.50</t>
  </si>
  <si>
    <t>1.33</t>
  </si>
  <si>
    <t>2.00</t>
  </si>
  <si>
    <t>3.33</t>
  </si>
  <si>
    <t>-0.50</t>
  </si>
  <si>
    <t>-0.33</t>
  </si>
  <si>
    <t>0.17</t>
  </si>
  <si>
    <t>-0,84</t>
  </si>
  <si>
    <t>-0,05</t>
  </si>
  <si>
    <t>-1,29</t>
  </si>
  <si>
    <t>-0,63</t>
  </si>
  <si>
    <t>-0,53</t>
  </si>
  <si>
    <t>-0,02</t>
  </si>
  <si>
    <t>-0,09</t>
  </si>
  <si>
    <t xml:space="preserve"> </t>
  </si>
  <si>
    <t>Squadra1</t>
  </si>
  <si>
    <t>Squadra9</t>
  </si>
  <si>
    <t>Squadra10</t>
  </si>
  <si>
    <t>Mia Squadra</t>
  </si>
  <si>
    <t>BRIGNOLI</t>
  </si>
  <si>
    <t>DALBERT</t>
  </si>
  <si>
    <t>N'KOULOU</t>
  </si>
  <si>
    <t>RAMIREZ</t>
  </si>
  <si>
    <t>DE ROON</t>
  </si>
  <si>
    <t>EYSSERIC</t>
  </si>
  <si>
    <t>ANTONINI</t>
  </si>
  <si>
    <t>BORELLO</t>
  </si>
  <si>
    <t>CORLU</t>
  </si>
  <si>
    <t>EDERA</t>
  </si>
  <si>
    <t>FARAGÒ</t>
  </si>
  <si>
    <t>MBAYE M</t>
  </si>
  <si>
    <t>RODRIGUEZ T</t>
  </si>
  <si>
    <t>MANCINI G</t>
  </si>
  <si>
    <t>CEROFOLINI</t>
  </si>
  <si>
    <t>ROSSI F</t>
  </si>
  <si>
    <t>BALZANO</t>
  </si>
  <si>
    <t>GIL DIAS</t>
  </si>
  <si>
    <t>MATUIDI</t>
  </si>
  <si>
    <t>PEZZELLA GER</t>
  </si>
  <si>
    <t>BEHRAMI</t>
  </si>
  <si>
    <t>MIGLIORE</t>
  </si>
  <si>
    <t>PEZZELLA GIU</t>
  </si>
  <si>
    <t>c</t>
  </si>
  <si>
    <t>SALCEDO MORA</t>
  </si>
  <si>
    <t>BRUNO GASPAR</t>
  </si>
  <si>
    <t>LICHSTEINER</t>
  </si>
  <si>
    <t>ALVAREZ</t>
  </si>
  <si>
    <t>CARACCIOLO</t>
  </si>
  <si>
    <t>Nome</t>
  </si>
  <si>
    <t>QUAGIARELLA</t>
  </si>
  <si>
    <t>COLOMBATTO</t>
  </si>
  <si>
    <t>KESSIE</t>
  </si>
  <si>
    <t>BUDGET</t>
  </si>
  <si>
    <t>EXTRA</t>
  </si>
  <si>
    <t>CANCELO</t>
  </si>
  <si>
    <t>BRLEK</t>
  </si>
  <si>
    <t>STRYGER LARSEN</t>
  </si>
  <si>
    <t>ZANELLATO</t>
  </si>
  <si>
    <t>BRIGNOLA</t>
  </si>
  <si>
    <t>ROGERIO</t>
  </si>
  <si>
    <t>ANDERSEN</t>
  </si>
  <si>
    <t>VAN DER WIEL</t>
  </si>
  <si>
    <t>Cont.</t>
  </si>
  <si>
    <t>MEMUSHAJ</t>
  </si>
  <si>
    <t>LAURINI</t>
  </si>
  <si>
    <t>- Impostare il numero delle squadre, il budget iniziale, il numero delle fasce e della composizione delle rose</t>
  </si>
  <si>
    <t>Foglio Rose (queste istruzioni sono valide solo se non si vuole utilizzare il foglio Asta)</t>
  </si>
  <si>
    <t>Foglio Mia rosa + Org. Finanza  (queste istruzioni sono valide solo se non si vuole utilizzare il foglio Asta)</t>
  </si>
  <si>
    <t>Foglio I.A. + Fasce  (queste istruzioni sono valide solo se non si vuole utilizzare il foglio Asta)</t>
  </si>
  <si>
    <t>Foglio I.A. + Fasce  (queste istruzioni sono valide SEMPRE)</t>
  </si>
  <si>
    <t>- Impostare il peso per gli indici di appetibilità (cella O8)</t>
  </si>
  <si>
    <t>- Impostare il criterio di calcolo delle fasce nelle celle (O26, O27, O28, O29, O30)</t>
  </si>
  <si>
    <t>Giocatori FG</t>
  </si>
  <si>
    <t>Giocatori FG Alternativa</t>
  </si>
  <si>
    <t>Esempio: Giocatori FG</t>
  </si>
  <si>
    <t>- Incollare la lista dei giocatori nel foglio dedicato rispettando l'ordine delle colonne Ruolo, Giocatore, Squadra</t>
  </si>
  <si>
    <t>- Ordinare i giocatori in ordine alfabetico: premere sulla freccia della cella B8 e selezionare Ordina dalla A alla Z</t>
  </si>
  <si>
    <t>Potete verificare i nomi nei foglio Tutti e impostare i nomi corretti nel foglio Giocatori</t>
  </si>
  <si>
    <t>DELLA GIOVANNA</t>
  </si>
  <si>
    <t>ARMENTEROS</t>
  </si>
  <si>
    <t>HOWEDES</t>
  </si>
  <si>
    <t>NANI</t>
  </si>
  <si>
    <t>KARAMOH</t>
  </si>
  <si>
    <t>LAZAAR</t>
  </si>
  <si>
    <t>STEPINSKI</t>
  </si>
  <si>
    <t>LEE</t>
  </si>
  <si>
    <t>KEITA C</t>
  </si>
  <si>
    <t>BURDISSO</t>
  </si>
  <si>
    <t>LO FASO</t>
  </si>
  <si>
    <t>SIMIC S</t>
  </si>
  <si>
    <t>ROMERO</t>
  </si>
  <si>
    <t>MIKULIC</t>
  </si>
  <si>
    <t>VITALE</t>
  </si>
  <si>
    <t>verona</t>
  </si>
  <si>
    <t>PEDRO NETO</t>
  </si>
  <si>
    <t>BRUNO JORDAO</t>
  </si>
  <si>
    <t>VAINQUEUR</t>
  </si>
  <si>
    <t>Aste</t>
  </si>
  <si>
    <t>higuain</t>
  </si>
  <si>
    <t>Squadra2</t>
  </si>
  <si>
    <t>Squadra5</t>
  </si>
  <si>
    <t>Squadra3</t>
  </si>
  <si>
    <t>Squadra7</t>
  </si>
  <si>
    <t>Squadra11</t>
  </si>
  <si>
    <t>Squadra4</t>
  </si>
  <si>
    <t>Squadra6</t>
  </si>
  <si>
    <t>Squadra8</t>
  </si>
  <si>
    <t>Squadra12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</si>
</sst>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 &quot;* #,##0.00_-;&quot;-€ &quot;* #,##0.00_-;_-&quot;€ &quot;* \-??_-;_-@_-"/>
    <numFmt numFmtId="165" formatCode="0.0"/>
    <numFmt numFmtId="166" formatCode="0&quot; %&quot;"/>
    <numFmt numFmtId="167" formatCode="0;\-0;"/>
    <numFmt numFmtId="168" formatCode="0\ %"/>
  </numFmts>
  <fonts count="91">
    <font>
      <sz val="10"/>
      <name val="Arial"/>
      <family val="2"/>
    </font>
    <font>
      <u/>
      <sz val="10"/>
      <color indexed="12"/>
      <name val="Arial"/>
      <family val="2"/>
    </font>
    <font>
      <sz val="11"/>
      <color indexed="8"/>
      <name val="Calibri"/>
      <family val="2"/>
    </font>
    <font>
      <b/>
      <sz val="18"/>
      <color indexed="9"/>
      <name val="Arial"/>
      <family val="2"/>
    </font>
    <font>
      <b/>
      <sz val="10"/>
      <color indexed="63"/>
      <name val="Arial"/>
      <family val="2"/>
    </font>
    <font>
      <b/>
      <sz val="11"/>
      <color indexed="9"/>
      <name val="Arial"/>
      <family val="2"/>
    </font>
    <font>
      <sz val="11"/>
      <name val="Arial"/>
      <family val="2"/>
    </font>
    <font>
      <sz val="10"/>
      <color indexed="8"/>
      <name val="Arial"/>
      <family val="2"/>
    </font>
    <font>
      <b/>
      <sz val="8"/>
      <color indexed="63"/>
      <name val="Arial"/>
      <family val="2"/>
    </font>
    <font>
      <sz val="8"/>
      <color indexed="63"/>
      <name val="Arial"/>
      <family val="2"/>
    </font>
    <font>
      <b/>
      <sz val="9"/>
      <color indexed="9"/>
      <name val="Arial"/>
      <family val="2"/>
    </font>
    <font>
      <sz val="8"/>
      <name val="Arial"/>
      <family val="2"/>
    </font>
    <font>
      <sz val="8"/>
      <color indexed="8"/>
      <name val="Arial"/>
      <family val="2"/>
    </font>
    <font>
      <sz val="10"/>
      <color indexed="63"/>
      <name val="Arial"/>
      <family val="2"/>
    </font>
    <font>
      <b/>
      <sz val="8"/>
      <color indexed="9"/>
      <name val="Arial"/>
      <family val="2"/>
    </font>
    <font>
      <i/>
      <sz val="8"/>
      <color indexed="63"/>
      <name val="Arial"/>
      <family val="2"/>
    </font>
    <font>
      <sz val="8"/>
      <color indexed="9"/>
      <name val="Arial"/>
      <family val="2"/>
    </font>
    <font>
      <b/>
      <sz val="10"/>
      <color indexed="9"/>
      <name val="Arial"/>
      <family val="2"/>
    </font>
    <font>
      <b/>
      <sz val="8"/>
      <name val="Arial"/>
      <family val="2"/>
    </font>
    <font>
      <b/>
      <sz val="12"/>
      <name val="Arial"/>
      <family val="2"/>
    </font>
    <font>
      <b/>
      <sz val="24"/>
      <name val="Arial"/>
      <family val="2"/>
    </font>
    <font>
      <i/>
      <u/>
      <sz val="18"/>
      <color indexed="63"/>
      <name val="Arial"/>
      <family val="2"/>
    </font>
    <font>
      <i/>
      <sz val="9"/>
      <color indexed="63"/>
      <name val="Arial"/>
      <family val="2"/>
    </font>
    <font>
      <b/>
      <i/>
      <sz val="10"/>
      <color indexed="9"/>
      <name val="Arial"/>
      <family val="2"/>
    </font>
    <font>
      <sz val="9"/>
      <name val="Arial"/>
      <family val="2"/>
    </font>
    <font>
      <i/>
      <sz val="8"/>
      <color indexed="9"/>
      <name val="Arial"/>
      <family val="2"/>
    </font>
    <font>
      <b/>
      <i/>
      <sz val="8"/>
      <color indexed="9"/>
      <name val="Arial"/>
      <family val="2"/>
    </font>
    <font>
      <i/>
      <sz val="10"/>
      <color indexed="63"/>
      <name val="Arial"/>
      <family val="2"/>
    </font>
    <font>
      <b/>
      <i/>
      <sz val="12"/>
      <color indexed="9"/>
      <name val="Arial"/>
      <family val="2"/>
    </font>
    <font>
      <b/>
      <i/>
      <sz val="8"/>
      <color indexed="63"/>
      <name val="Arial"/>
      <family val="2"/>
    </font>
    <font>
      <b/>
      <i/>
      <sz val="10"/>
      <color indexed="63"/>
      <name val="Arial"/>
      <family val="2"/>
    </font>
    <font>
      <sz val="9"/>
      <color indexed="63"/>
      <name val="Arial"/>
      <family val="2"/>
    </font>
    <font>
      <b/>
      <sz val="11"/>
      <color indexed="63"/>
      <name val="Arial"/>
      <family val="2"/>
    </font>
    <font>
      <b/>
      <sz val="12"/>
      <color indexed="9"/>
      <name val="Arial"/>
      <family val="2"/>
    </font>
    <font>
      <b/>
      <sz val="9"/>
      <name val="Arial"/>
      <family val="2"/>
    </font>
    <font>
      <b/>
      <sz val="10"/>
      <color indexed="56"/>
      <name val="Arial"/>
      <family val="2"/>
    </font>
    <font>
      <b/>
      <sz val="10"/>
      <name val="Arial"/>
      <family val="2"/>
    </font>
    <font>
      <b/>
      <i/>
      <u/>
      <sz val="10"/>
      <name val="Arial"/>
      <family val="2"/>
    </font>
    <font>
      <b/>
      <sz val="13"/>
      <color indexed="9"/>
      <name val="Arial"/>
      <family val="2"/>
    </font>
    <font>
      <sz val="7"/>
      <name val="Roboto"/>
    </font>
    <font>
      <sz val="6"/>
      <name val="Roboto"/>
    </font>
    <font>
      <b/>
      <sz val="14"/>
      <color indexed="9"/>
      <name val="Arial"/>
      <family val="2"/>
    </font>
    <font>
      <sz val="10"/>
      <name val="Roboto"/>
    </font>
    <font>
      <sz val="10"/>
      <color indexed="9"/>
      <name val="Arial"/>
      <family val="2"/>
    </font>
    <font>
      <i/>
      <sz val="9"/>
      <color indexed="23"/>
      <name val="Arial"/>
      <family val="2"/>
    </font>
    <font>
      <i/>
      <sz val="9"/>
      <name val="Arial"/>
      <family val="2"/>
    </font>
    <font>
      <i/>
      <sz val="10"/>
      <name val="Arial"/>
      <family val="2"/>
    </font>
    <font>
      <sz val="14"/>
      <color indexed="34"/>
      <name val="Arial"/>
      <family val="2"/>
    </font>
    <font>
      <b/>
      <sz val="10"/>
      <color indexed="34"/>
      <name val="Arial"/>
      <family val="2"/>
    </font>
    <font>
      <u/>
      <sz val="8"/>
      <color indexed="8"/>
      <name val="Arial"/>
      <family val="2"/>
    </font>
    <font>
      <b/>
      <sz val="10"/>
      <color indexed="34"/>
      <name val="Bebas Neue Bold"/>
      <family val="2"/>
      <charset val="1"/>
    </font>
    <font>
      <b/>
      <sz val="10"/>
      <color indexed="63"/>
      <name val="Bebas Neue Bold"/>
      <family val="2"/>
      <charset val="1"/>
    </font>
    <font>
      <u/>
      <sz val="14"/>
      <color indexed="9"/>
      <name val="Times New Roman"/>
      <family val="1"/>
    </font>
    <font>
      <i/>
      <sz val="10"/>
      <color indexed="12"/>
      <name val="Arial"/>
      <family val="2"/>
    </font>
    <font>
      <sz val="10"/>
      <name val="Arial"/>
      <family val="2"/>
    </font>
    <font>
      <sz val="9"/>
      <color indexed="81"/>
      <name val="Tahoma"/>
      <family val="2"/>
    </font>
    <font>
      <b/>
      <sz val="9"/>
      <color indexed="81"/>
      <name val="Tahoma"/>
      <family val="2"/>
    </font>
    <font>
      <sz val="11"/>
      <name val="Calibri"/>
      <family val="2"/>
    </font>
    <font>
      <sz val="10"/>
      <color indexed="59"/>
      <name val="Arial"/>
      <family val="2"/>
    </font>
    <font>
      <b/>
      <sz val="11"/>
      <name val="Arial"/>
      <family val="2"/>
    </font>
    <font>
      <sz val="12"/>
      <name val="Arial"/>
      <family val="2"/>
    </font>
    <font>
      <sz val="18"/>
      <name val="Arial"/>
      <family val="2"/>
    </font>
    <font>
      <sz val="11"/>
      <name val="Calibri"/>
      <family val="2"/>
    </font>
    <font>
      <b/>
      <sz val="18"/>
      <name val="Arial"/>
      <family val="2"/>
    </font>
    <font>
      <sz val="14"/>
      <name val="Arial"/>
      <family val="2"/>
    </font>
    <font>
      <sz val="11"/>
      <color indexed="63"/>
      <name val="Arial"/>
      <family val="2"/>
    </font>
    <font>
      <b/>
      <sz val="12"/>
      <color indexed="63"/>
      <name val="Arial"/>
      <family val="2"/>
    </font>
    <font>
      <sz val="12"/>
      <color indexed="63"/>
      <name val="Arial"/>
      <family val="2"/>
    </font>
    <font>
      <sz val="10"/>
      <color rgb="FF000000"/>
      <name val="Arial"/>
      <family val="2"/>
    </font>
    <font>
      <sz val="10"/>
      <color rgb="FF555555"/>
      <name val="Arial"/>
      <family val="2"/>
    </font>
    <font>
      <b/>
      <sz val="12"/>
      <color theme="0"/>
      <name val="Arial"/>
      <family val="2"/>
    </font>
    <font>
      <sz val="11"/>
      <color rgb="FFFF0000"/>
      <name val="Arial"/>
      <family val="2"/>
    </font>
    <font>
      <sz val="11"/>
      <color rgb="FF000000"/>
      <name val="Arial"/>
      <family val="2"/>
    </font>
    <font>
      <b/>
      <sz val="28"/>
      <color rgb="FFFF0000"/>
      <name val="Arial"/>
      <family val="2"/>
    </font>
    <font>
      <i/>
      <sz val="11"/>
      <color theme="0"/>
      <name val="Arial"/>
      <family val="2"/>
    </font>
    <font>
      <sz val="10"/>
      <color theme="1"/>
      <name val="Arial"/>
      <family val="2"/>
    </font>
    <font>
      <sz val="8"/>
      <color theme="1"/>
      <name val="Arial"/>
      <family val="2"/>
    </font>
    <font>
      <b/>
      <sz val="11"/>
      <color rgb="FF000000"/>
      <name val="Calibri"/>
      <family val="2"/>
    </font>
    <font>
      <b/>
      <sz val="11"/>
      <color rgb="FFFFFFFF"/>
      <name val="Calibri"/>
      <family val="2"/>
    </font>
    <font>
      <sz val="11"/>
      <color theme="1"/>
      <name val="Calibri"/>
      <family val="2"/>
    </font>
    <font>
      <b/>
      <sz val="14"/>
      <color rgb="FF000000"/>
      <name val="Calibri"/>
      <family val="2"/>
    </font>
    <font>
      <sz val="12"/>
      <color rgb="FF000000"/>
      <name val="Arial"/>
      <family val="2"/>
    </font>
    <font>
      <b/>
      <sz val="18"/>
      <color rgb="FF000000"/>
      <name val="Calibri"/>
      <family val="2"/>
    </font>
    <font>
      <b/>
      <sz val="11"/>
      <color theme="0"/>
      <name val="Arial"/>
      <family val="2"/>
    </font>
    <font>
      <b/>
      <sz val="12"/>
      <color rgb="FFFF0000"/>
      <name val="Arial"/>
      <family val="2"/>
    </font>
    <font>
      <sz val="11"/>
      <color rgb="FF000000"/>
      <name val="Calibri"/>
      <family val="2"/>
    </font>
    <font>
      <sz val="11"/>
      <color theme="0"/>
      <name val="Calibri"/>
      <family val="2"/>
    </font>
    <font>
      <b/>
      <sz val="11"/>
      <name val="Calibri"/>
      <family val="2"/>
    </font>
    <font>
      <sz val="11"/>
      <name val="Calibri"/>
      <family val="2"/>
    </font>
    <font>
      <sz val="11"/>
      <name val="Calibri"/>
    </font>
    <font>
      <sz val="11"/>
      <name val="Calibri"/>
      <family val="2"/>
      <scheme val="minor"/>
    </font>
  </fonts>
  <fills count="37">
    <fill>
      <patternFill patternType="none"/>
    </fill>
    <fill>
      <patternFill patternType="gray125"/>
    </fill>
    <fill>
      <patternFill patternType="solid">
        <fgColor indexed="9"/>
        <bgColor indexed="26"/>
      </patternFill>
    </fill>
    <fill>
      <patternFill patternType="solid">
        <fgColor indexed="56"/>
        <bgColor indexed="62"/>
      </patternFill>
    </fill>
    <fill>
      <patternFill patternType="solid">
        <fgColor indexed="26"/>
        <bgColor indexed="9"/>
      </patternFill>
    </fill>
    <fill>
      <patternFill patternType="solid">
        <fgColor indexed="22"/>
        <bgColor indexed="31"/>
      </patternFill>
    </fill>
    <fill>
      <patternFill patternType="solid">
        <fgColor indexed="17"/>
        <bgColor indexed="21"/>
      </patternFill>
    </fill>
    <fill>
      <patternFill patternType="solid">
        <fgColor indexed="42"/>
        <bgColor indexed="27"/>
      </patternFill>
    </fill>
    <fill>
      <patternFill patternType="solid">
        <fgColor indexed="47"/>
        <bgColor indexed="22"/>
      </patternFill>
    </fill>
    <fill>
      <patternFill patternType="solid">
        <fgColor indexed="30"/>
        <bgColor indexed="21"/>
      </patternFill>
    </fill>
    <fill>
      <patternFill patternType="solid">
        <fgColor indexed="8"/>
        <bgColor indexed="58"/>
      </patternFill>
    </fill>
    <fill>
      <patternFill patternType="solid">
        <fgColor indexed="27"/>
        <bgColor indexed="41"/>
      </patternFill>
    </fill>
    <fill>
      <patternFill patternType="solid">
        <fgColor indexed="10"/>
        <bgColor indexed="16"/>
      </patternFill>
    </fill>
    <fill>
      <patternFill patternType="solid">
        <fgColor rgb="FFFFFF00"/>
        <bgColor indexed="64"/>
      </patternFill>
    </fill>
    <fill>
      <patternFill patternType="solid">
        <fgColor rgb="FFFFFF00"/>
        <bgColor indexed="34"/>
      </patternFill>
    </fill>
    <fill>
      <patternFill patternType="solid">
        <fgColor theme="4" tint="-0.499984740745262"/>
        <bgColor indexed="13"/>
      </patternFill>
    </fill>
    <fill>
      <patternFill patternType="solid">
        <fgColor theme="0"/>
        <bgColor indexed="13"/>
      </patternFill>
    </fill>
    <fill>
      <patternFill patternType="lightUp">
        <fgColor theme="0" tint="-0.24994659260841701"/>
        <bgColor indexed="9"/>
      </patternFill>
    </fill>
    <fill>
      <patternFill patternType="lightUp">
        <fgColor theme="0" tint="-0.24994659260841701"/>
        <bgColor indexed="65"/>
      </patternFill>
    </fill>
    <fill>
      <patternFill patternType="solid">
        <fgColor rgb="FFFFFFFF"/>
        <bgColor rgb="FFFFFFFF"/>
      </patternFill>
    </fill>
    <fill>
      <patternFill patternType="solid">
        <fgColor rgb="FFFFFF99"/>
        <bgColor rgb="FFFFFF99"/>
      </patternFill>
    </fill>
    <fill>
      <patternFill patternType="solid">
        <fgColor rgb="FF99CCFF"/>
        <bgColor rgb="FF99CCFF"/>
      </patternFill>
    </fill>
    <fill>
      <patternFill patternType="solid">
        <fgColor rgb="FFCCFFCC"/>
        <bgColor rgb="FFCCFFCC"/>
      </patternFill>
    </fill>
    <fill>
      <patternFill patternType="solid">
        <fgColor rgb="FFFFCC99"/>
        <bgColor rgb="FFFFCC99"/>
      </patternFill>
    </fill>
    <fill>
      <patternFill patternType="solid">
        <fgColor rgb="FF3F3F3F"/>
        <bgColor rgb="FF3F3F3F"/>
      </patternFill>
    </fill>
    <fill>
      <patternFill patternType="solid">
        <fgColor rgb="FFD8D8D8"/>
        <bgColor rgb="FFD8D8D8"/>
      </patternFill>
    </fill>
    <fill>
      <patternFill patternType="solid">
        <fgColor theme="0" tint="-0.249977111117893"/>
        <bgColor indexed="64"/>
      </patternFill>
    </fill>
    <fill>
      <patternFill patternType="solid">
        <fgColor theme="4" tint="0.39997558519241921"/>
        <bgColor indexed="13"/>
      </patternFill>
    </fill>
    <fill>
      <patternFill patternType="solid">
        <fgColor theme="4" tint="0.39997558519241921"/>
        <bgColor indexed="64"/>
      </patternFill>
    </fill>
    <fill>
      <patternFill patternType="solid">
        <fgColor theme="0" tint="-0.249977111117893"/>
        <bgColor indexed="13"/>
      </patternFill>
    </fill>
    <fill>
      <patternFill patternType="solid">
        <fgColor rgb="FFFFFFFF"/>
        <bgColor indexed="64"/>
      </patternFill>
    </fill>
    <fill>
      <patternFill patternType="solid">
        <fgColor rgb="FF434343"/>
        <bgColor indexed="64"/>
      </patternFill>
    </fill>
    <fill>
      <patternFill patternType="solid">
        <fgColor rgb="FFD9D9D9"/>
        <bgColor indexed="64"/>
      </patternFill>
    </fill>
    <fill>
      <patternFill patternType="solid">
        <fgColor rgb="FFCFE2F3"/>
        <bgColor indexed="64"/>
      </patternFill>
    </fill>
    <fill>
      <patternFill patternType="solid">
        <fgColor rgb="FF9FC5E8"/>
        <bgColor indexed="64"/>
      </patternFill>
    </fill>
    <fill>
      <patternFill patternType="solid">
        <fgColor rgb="FF3D85C6"/>
        <bgColor indexed="64"/>
      </patternFill>
    </fill>
    <fill>
      <patternFill patternType="solid">
        <fgColor rgb="FF6FA8DC"/>
        <bgColor indexed="64"/>
      </patternFill>
    </fill>
  </fills>
  <borders count="132">
    <border>
      <left/>
      <right/>
      <top/>
      <bottom/>
      <diagonal/>
    </border>
    <border>
      <left/>
      <right style="thin">
        <color indexed="8"/>
      </right>
      <top/>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medium">
        <color indexed="8"/>
      </left>
      <right style="medium">
        <color indexed="8"/>
      </right>
      <top style="medium">
        <color indexed="8"/>
      </top>
      <bottom style="medium">
        <color indexed="8"/>
      </bottom>
      <diagonal/>
    </border>
    <border>
      <left/>
      <right/>
      <top style="thin">
        <color indexed="9"/>
      </top>
      <bottom/>
      <diagonal/>
    </border>
    <border>
      <left style="medium">
        <color indexed="8"/>
      </left>
      <right/>
      <top/>
      <bottom/>
      <diagonal/>
    </border>
    <border>
      <left style="thin">
        <color indexed="8"/>
      </left>
      <right style="thin">
        <color indexed="8"/>
      </right>
      <top style="thin">
        <color indexed="8"/>
      </top>
      <bottom style="thin">
        <color indexed="8"/>
      </bottom>
      <diagonal/>
    </border>
    <border>
      <left style="medium">
        <color indexed="9"/>
      </left>
      <right style="medium">
        <color indexed="9"/>
      </right>
      <top/>
      <bottom style="medium">
        <color indexed="9"/>
      </bottom>
      <diagonal/>
    </border>
    <border>
      <left style="medium">
        <color indexed="56"/>
      </left>
      <right/>
      <top style="medium">
        <color indexed="9"/>
      </top>
      <bottom style="thin">
        <color indexed="22"/>
      </bottom>
      <diagonal/>
    </border>
    <border>
      <left style="thin">
        <color indexed="22"/>
      </left>
      <right style="thin">
        <color indexed="22"/>
      </right>
      <top style="medium">
        <color indexed="9"/>
      </top>
      <bottom style="thin">
        <color indexed="22"/>
      </bottom>
      <diagonal/>
    </border>
    <border>
      <left style="thin">
        <color indexed="22"/>
      </left>
      <right/>
      <top style="medium">
        <color indexed="9"/>
      </top>
      <bottom style="thin">
        <color indexed="22"/>
      </bottom>
      <diagonal/>
    </border>
    <border>
      <left style="thin">
        <color indexed="22"/>
      </left>
      <right style="medium">
        <color indexed="56"/>
      </right>
      <top style="medium">
        <color indexed="9"/>
      </top>
      <bottom style="thin">
        <color indexed="22"/>
      </bottom>
      <diagonal/>
    </border>
    <border>
      <left style="medium">
        <color indexed="56"/>
      </left>
      <right/>
      <top style="thin">
        <color indexed="22"/>
      </top>
      <bottom style="medium">
        <color indexed="56"/>
      </bottom>
      <diagonal/>
    </border>
    <border>
      <left style="medium">
        <color indexed="56"/>
      </left>
      <right style="thin">
        <color indexed="22"/>
      </right>
      <top style="thin">
        <color indexed="22"/>
      </top>
      <bottom style="medium">
        <color indexed="56"/>
      </bottom>
      <diagonal/>
    </border>
    <border>
      <left style="thin">
        <color indexed="22"/>
      </left>
      <right style="thin">
        <color indexed="22"/>
      </right>
      <top style="thin">
        <color indexed="22"/>
      </top>
      <bottom style="medium">
        <color indexed="56"/>
      </bottom>
      <diagonal/>
    </border>
    <border>
      <left style="thin">
        <color indexed="22"/>
      </left>
      <right/>
      <top style="thin">
        <color indexed="22"/>
      </top>
      <bottom style="medium">
        <color indexed="56"/>
      </bottom>
      <diagonal/>
    </border>
    <border>
      <left style="thin">
        <color indexed="22"/>
      </left>
      <right style="medium">
        <color indexed="56"/>
      </right>
      <top style="thin">
        <color indexed="22"/>
      </top>
      <bottom style="medium">
        <color indexed="56"/>
      </bottom>
      <diagonal/>
    </border>
    <border>
      <left style="medium">
        <color indexed="56"/>
      </left>
      <right/>
      <top style="medium">
        <color indexed="56"/>
      </top>
      <bottom style="thin">
        <color indexed="22"/>
      </bottom>
      <diagonal/>
    </border>
    <border>
      <left style="medium">
        <color indexed="56"/>
      </left>
      <right style="thin">
        <color indexed="22"/>
      </right>
      <top style="medium">
        <color indexed="56"/>
      </top>
      <bottom style="thin">
        <color indexed="22"/>
      </bottom>
      <diagonal/>
    </border>
    <border>
      <left style="thin">
        <color indexed="22"/>
      </left>
      <right style="thin">
        <color indexed="22"/>
      </right>
      <top style="medium">
        <color indexed="56"/>
      </top>
      <bottom style="thin">
        <color indexed="22"/>
      </bottom>
      <diagonal/>
    </border>
    <border>
      <left style="thin">
        <color indexed="22"/>
      </left>
      <right/>
      <top style="medium">
        <color indexed="56"/>
      </top>
      <bottom style="thin">
        <color indexed="22"/>
      </bottom>
      <diagonal/>
    </border>
    <border>
      <left style="thin">
        <color indexed="22"/>
      </left>
      <right style="medium">
        <color indexed="56"/>
      </right>
      <top style="medium">
        <color indexed="56"/>
      </top>
      <bottom style="thin">
        <color indexed="22"/>
      </bottom>
      <diagonal/>
    </border>
    <border>
      <left/>
      <right/>
      <top style="medium">
        <color indexed="56"/>
      </top>
      <bottom style="thin">
        <color indexed="22"/>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style="thin">
        <color indexed="64"/>
      </bottom>
      <diagonal/>
    </border>
    <border>
      <left/>
      <right style="thin">
        <color indexed="8"/>
      </right>
      <top/>
      <bottom style="thin">
        <color indexed="8"/>
      </bottom>
      <diagonal/>
    </border>
    <border>
      <left style="thin">
        <color indexed="9"/>
      </left>
      <right style="thin">
        <color indexed="8"/>
      </right>
      <top style="thin">
        <color indexed="8"/>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9"/>
      </left>
      <right style="thin">
        <color indexed="9"/>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top/>
      <bottom/>
      <diagonal/>
    </border>
    <border>
      <left style="thin">
        <color indexed="8"/>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9"/>
      </left>
      <right/>
      <top/>
      <bottom/>
      <diagonal/>
    </border>
    <border>
      <left/>
      <right/>
      <top/>
      <bottom style="thin">
        <color indexed="9"/>
      </bottom>
      <diagonal/>
    </border>
    <border>
      <left/>
      <right/>
      <top/>
      <bottom style="thin">
        <color indexed="8"/>
      </bottom>
      <diagonal/>
    </border>
    <border>
      <left style="medium">
        <color indexed="9"/>
      </left>
      <right style="medium">
        <color indexed="30"/>
      </right>
      <top/>
      <bottom style="medium">
        <color indexed="9"/>
      </bottom>
      <diagonal/>
    </border>
    <border>
      <left style="medium">
        <color indexed="30"/>
      </left>
      <right/>
      <top style="medium">
        <color indexed="30"/>
      </top>
      <bottom style="medium">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8"/>
      </left>
      <right/>
      <top style="thin">
        <color theme="8"/>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8"/>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style="medium">
        <color rgb="FF000000"/>
      </bottom>
      <diagonal/>
    </border>
    <border>
      <left style="medium">
        <color rgb="FF000000"/>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medium">
        <color rgb="FF000000"/>
      </right>
      <top/>
      <bottom/>
      <diagonal/>
    </border>
    <border>
      <left style="thin">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thin">
        <color rgb="FF000000"/>
      </left>
      <right style="medium">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theme="4" tint="0.39997558519241921"/>
      </left>
      <right/>
      <top style="thin">
        <color indexed="8"/>
      </top>
      <bottom/>
      <diagonal/>
    </border>
    <border>
      <left/>
      <right/>
      <top/>
      <bottom style="thin">
        <color theme="4" tint="0.39997558519241921"/>
      </bottom>
      <diagonal/>
    </border>
    <border>
      <left style="thin">
        <color rgb="FF000000"/>
      </left>
      <right style="thin">
        <color rgb="FFCCCCCC"/>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CCCCCC"/>
      </left>
      <right style="thin">
        <color rgb="FFCCCCCC"/>
      </right>
      <top style="thin">
        <color rgb="FF000000"/>
      </top>
      <bottom style="thin">
        <color rgb="FFCCCCCC"/>
      </bottom>
      <diagonal/>
    </border>
    <border>
      <left style="thin">
        <color rgb="FFCCCCCC"/>
      </left>
      <right style="thin">
        <color rgb="FF000000"/>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5">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9" fontId="54" fillId="0" borderId="0" applyFill="0" applyBorder="0" applyAlignment="0" applyProtection="0"/>
    <xf numFmtId="164" fontId="54" fillId="0" borderId="0" applyFill="0" applyBorder="0" applyAlignment="0" applyProtection="0"/>
    <xf numFmtId="0" fontId="88" fillId="0" borderId="0"/>
    <xf numFmtId="0" fontId="89" fillId="0" borderId="0"/>
  </cellStyleXfs>
  <cellXfs count="583">
    <xf numFmtId="0" fontId="0" fillId="0" borderId="0" xfId="0"/>
    <xf numFmtId="0" fontId="6" fillId="0" borderId="0" xfId="0" applyFont="1"/>
    <xf numFmtId="0" fontId="8" fillId="2" borderId="0" xfId="0" applyFont="1" applyFill="1" applyAlignment="1">
      <alignment horizontal="center" vertical="center"/>
    </xf>
    <xf numFmtId="0" fontId="9" fillId="2" borderId="0" xfId="0" applyFont="1" applyFill="1" applyBorder="1" applyAlignment="1">
      <alignment horizontal="center" vertical="center"/>
    </xf>
    <xf numFmtId="0" fontId="9" fillId="2" borderId="0" xfId="0" applyFont="1" applyFill="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wrapText="1"/>
    </xf>
    <xf numFmtId="0" fontId="13" fillId="2" borderId="0" xfId="0" applyFont="1" applyFill="1" applyProtection="1">
      <protection locked="0"/>
    </xf>
    <xf numFmtId="0" fontId="14" fillId="3" borderId="0" xfId="0" applyFont="1" applyFill="1" applyBorder="1" applyAlignment="1">
      <alignment horizontal="center" vertical="center"/>
    </xf>
    <xf numFmtId="0" fontId="9" fillId="0" borderId="0"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0" fontId="14" fillId="2" borderId="0" xfId="0" applyFont="1" applyFill="1" applyAlignment="1">
      <alignment horizontal="center" vertical="center"/>
    </xf>
    <xf numFmtId="0" fontId="15" fillId="4" borderId="0" xfId="0" applyFont="1" applyFill="1" applyBorder="1" applyAlignment="1">
      <alignment horizontal="center" vertical="center"/>
    </xf>
    <xf numFmtId="0" fontId="15" fillId="4" borderId="1" xfId="0" applyFont="1" applyFill="1" applyBorder="1" applyAlignment="1">
      <alignment horizontal="center" vertical="center"/>
    </xf>
    <xf numFmtId="0" fontId="16" fillId="2" borderId="0" xfId="0" applyFont="1" applyFill="1" applyAlignment="1">
      <alignment horizontal="center" vertical="center"/>
    </xf>
    <xf numFmtId="0" fontId="18" fillId="5" borderId="0" xfId="0" applyFont="1" applyFill="1" applyBorder="1" applyAlignment="1">
      <alignment horizontal="center" vertical="center"/>
    </xf>
    <xf numFmtId="0" fontId="12" fillId="2" borderId="0" xfId="0" applyFont="1" applyFill="1" applyAlignment="1">
      <alignment horizontal="center" vertical="center"/>
    </xf>
    <xf numFmtId="0" fontId="13" fillId="2" borderId="0" xfId="0" applyFont="1" applyFill="1" applyAlignment="1">
      <alignment horizontal="center" vertical="center"/>
    </xf>
    <xf numFmtId="0" fontId="21" fillId="0" borderId="0" xfId="0" applyFont="1" applyFill="1" applyBorder="1" applyAlignment="1">
      <alignment horizontal="left" vertical="center" indent="1"/>
    </xf>
    <xf numFmtId="0" fontId="22" fillId="2" borderId="0" xfId="0" applyFont="1" applyFill="1" applyBorder="1" applyAlignment="1" applyProtection="1">
      <alignment horizontal="left" vertical="center" wrapText="1"/>
      <protection locked="0"/>
    </xf>
    <xf numFmtId="0" fontId="0" fillId="2" borderId="0" xfId="0" applyFill="1"/>
    <xf numFmtId="0" fontId="21" fillId="2" borderId="0" xfId="0" applyFont="1" applyFill="1" applyBorder="1" applyAlignment="1">
      <alignment horizontal="left" vertical="center" indent="1"/>
    </xf>
    <xf numFmtId="0" fontId="14" fillId="3" borderId="0" xfId="0" applyFont="1" applyFill="1" applyAlignment="1">
      <alignment horizontal="center" vertical="center"/>
    </xf>
    <xf numFmtId="0" fontId="11" fillId="5" borderId="0" xfId="0" applyFont="1" applyFill="1" applyBorder="1" applyAlignment="1">
      <alignment horizontal="center" vertical="center"/>
    </xf>
    <xf numFmtId="0" fontId="18" fillId="5" borderId="2" xfId="0" applyFont="1" applyFill="1" applyBorder="1" applyAlignment="1">
      <alignment horizontal="center" vertical="center"/>
    </xf>
    <xf numFmtId="0" fontId="13"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17" fillId="3" borderId="0" xfId="0" applyFont="1" applyFill="1" applyAlignment="1" applyProtection="1">
      <alignment horizontal="center" vertical="center"/>
      <protection locked="0"/>
    </xf>
    <xf numFmtId="0" fontId="27" fillId="0"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2" fontId="22" fillId="5" borderId="0" xfId="0" applyNumberFormat="1" applyFont="1" applyFill="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1" fillId="0" borderId="0" xfId="0" applyFont="1" applyFill="1" applyAlignment="1" applyProtection="1">
      <alignment horizontal="center" vertical="center"/>
    </xf>
    <xf numFmtId="0" fontId="22" fillId="5" borderId="0"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27" fillId="0" borderId="0" xfId="0" applyFont="1" applyFill="1" applyBorder="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0" fillId="3" borderId="0" xfId="0" applyFont="1" applyFill="1" applyAlignment="1" applyProtection="1">
      <alignment horizontal="center" vertical="center"/>
    </xf>
    <xf numFmtId="0" fontId="15" fillId="0" borderId="5" xfId="0" applyFont="1" applyFill="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9" fillId="0" borderId="0" xfId="0" applyFont="1" applyFill="1" applyBorder="1" applyAlignment="1" applyProtection="1">
      <alignment horizontal="center" vertical="center"/>
      <protection locked="0"/>
    </xf>
    <xf numFmtId="0" fontId="11" fillId="0" borderId="0" xfId="0" applyFont="1" applyAlignment="1" applyProtection="1">
      <alignment horizontal="center" vertical="center"/>
    </xf>
    <xf numFmtId="0" fontId="13" fillId="0" borderId="0"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2" fillId="0" borderId="6" xfId="0" applyFont="1" applyFill="1" applyBorder="1" applyAlignment="1" applyProtection="1">
      <alignment horizontal="center" vertical="center"/>
      <protection locked="0"/>
    </xf>
    <xf numFmtId="0" fontId="14" fillId="0" borderId="0" xfId="0" applyFont="1" applyFill="1" applyBorder="1" applyAlignment="1" applyProtection="1">
      <alignment vertical="center" wrapText="1"/>
      <protection locked="0"/>
    </xf>
    <xf numFmtId="0" fontId="11" fillId="0" borderId="0" xfId="0" applyFont="1" applyAlignment="1">
      <alignment horizontal="center" vertical="center"/>
    </xf>
    <xf numFmtId="0" fontId="3" fillId="0" borderId="0" xfId="0" applyFont="1" applyFill="1" applyAlignment="1">
      <alignment horizontal="center" vertical="center"/>
    </xf>
    <xf numFmtId="0" fontId="11" fillId="0" borderId="0" xfId="0" applyFont="1" applyFill="1" applyAlignment="1">
      <alignment horizontal="center" vertical="center"/>
    </xf>
    <xf numFmtId="0" fontId="33" fillId="3" borderId="0" xfId="0" applyFont="1" applyFill="1" applyBorder="1" applyAlignment="1">
      <alignment horizontal="center" vertical="center"/>
    </xf>
    <xf numFmtId="0" fontId="24" fillId="0" borderId="0" xfId="0" applyFont="1" applyAlignment="1">
      <alignment horizontal="center" vertical="center"/>
    </xf>
    <xf numFmtId="0" fontId="10" fillId="3" borderId="0" xfId="0" applyFont="1" applyFill="1" applyAlignment="1">
      <alignment horizontal="center" vertical="center"/>
    </xf>
    <xf numFmtId="0" fontId="24" fillId="0" borderId="0" xfId="0" applyFont="1" applyFill="1" applyAlignment="1">
      <alignment horizontal="center" vertical="center"/>
    </xf>
    <xf numFmtId="0" fontId="10" fillId="0" borderId="0" xfId="0" applyFont="1" applyFill="1" applyAlignment="1">
      <alignment horizontal="center" vertical="center"/>
    </xf>
    <xf numFmtId="0" fontId="12" fillId="0" borderId="0" xfId="0" applyFont="1" applyAlignment="1">
      <alignment horizontal="center" vertical="center" wrapText="1"/>
    </xf>
    <xf numFmtId="1" fontId="11" fillId="0" borderId="0" xfId="0" applyNumberFormat="1" applyFont="1" applyAlignment="1">
      <alignment horizontal="center" vertical="center"/>
    </xf>
    <xf numFmtId="165" fontId="12" fillId="0" borderId="0" xfId="0" applyNumberFormat="1" applyFont="1" applyFill="1" applyBorder="1" applyAlignment="1">
      <alignment horizontal="center" vertical="center"/>
    </xf>
    <xf numFmtId="166" fontId="12" fillId="0" borderId="0" xfId="0" applyNumberFormat="1" applyFont="1" applyFill="1" applyBorder="1" applyAlignment="1">
      <alignment horizontal="center" vertical="center"/>
    </xf>
    <xf numFmtId="49"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Alignment="1">
      <alignment horizontal="center" vertical="center"/>
    </xf>
    <xf numFmtId="0" fontId="0" fillId="0" borderId="0" xfId="0" applyFont="1"/>
    <xf numFmtId="0" fontId="23" fillId="0" borderId="0" xfId="0" applyFont="1" applyFill="1" applyBorder="1" applyAlignment="1">
      <alignment vertical="center"/>
    </xf>
    <xf numFmtId="0" fontId="0" fillId="0" borderId="0" xfId="0" applyFont="1" applyAlignment="1">
      <alignment vertical="center"/>
    </xf>
    <xf numFmtId="0" fontId="0" fillId="0" borderId="0" xfId="0" applyFont="1" applyFill="1" applyAlignment="1">
      <alignment vertical="center"/>
    </xf>
    <xf numFmtId="0" fontId="0" fillId="0" borderId="0" xfId="0" applyFont="1" applyBorder="1" applyAlignment="1">
      <alignment vertical="center"/>
    </xf>
    <xf numFmtId="0" fontId="36" fillId="0" borderId="0" xfId="0" applyFont="1" applyAlignment="1">
      <alignment horizontal="center" vertical="center"/>
    </xf>
    <xf numFmtId="0" fontId="0" fillId="0" borderId="0" xfId="0" applyFont="1" applyFill="1"/>
    <xf numFmtId="0" fontId="37" fillId="0" borderId="0" xfId="0" applyFont="1" applyFill="1" applyBorder="1" applyAlignment="1">
      <alignment horizontal="center" vertical="center"/>
    </xf>
    <xf numFmtId="0" fontId="0" fillId="0" borderId="0" xfId="0" applyFont="1" applyAlignment="1"/>
    <xf numFmtId="0" fontId="38" fillId="0" borderId="0" xfId="0" applyFont="1" applyFill="1" applyBorder="1" applyAlignment="1">
      <alignment horizontal="center" vertical="center"/>
    </xf>
    <xf numFmtId="0" fontId="0" fillId="0" borderId="0" xfId="0" applyFill="1"/>
    <xf numFmtId="0" fontId="18" fillId="0" borderId="0" xfId="0" applyFont="1"/>
    <xf numFmtId="0" fontId="5" fillId="0" borderId="0" xfId="0" applyFont="1" applyFill="1" applyAlignment="1">
      <alignment horizontal="center"/>
    </xf>
    <xf numFmtId="0" fontId="39" fillId="0" borderId="0" xfId="0" applyFont="1"/>
    <xf numFmtId="0" fontId="40" fillId="0" borderId="0" xfId="0" applyFont="1"/>
    <xf numFmtId="0" fontId="41" fillId="0" borderId="0" xfId="0" applyFont="1" applyFill="1" applyBorder="1" applyAlignment="1">
      <alignment horizontal="center" vertical="center"/>
    </xf>
    <xf numFmtId="0" fontId="42" fillId="0" borderId="0" xfId="0" applyFont="1"/>
    <xf numFmtId="0" fontId="43" fillId="0" borderId="0" xfId="0" applyFont="1"/>
    <xf numFmtId="0" fontId="11" fillId="0" borderId="0" xfId="0" applyFont="1"/>
    <xf numFmtId="0" fontId="0" fillId="2" borderId="3" xfId="0" applyFill="1" applyBorder="1"/>
    <xf numFmtId="0" fontId="17" fillId="3" borderId="8" xfId="0" applyFont="1" applyFill="1" applyBorder="1" applyAlignment="1">
      <alignment horizontal="center" vertical="center"/>
    </xf>
    <xf numFmtId="0" fontId="24" fillId="0" borderId="9" xfId="0" applyFont="1" applyFill="1" applyBorder="1" applyProtection="1">
      <protection locked="0"/>
    </xf>
    <xf numFmtId="0" fontId="24" fillId="0" borderId="10" xfId="0" applyFont="1" applyFill="1" applyBorder="1" applyProtection="1">
      <protection locked="0"/>
    </xf>
    <xf numFmtId="0" fontId="24" fillId="0" borderId="11" xfId="0" applyFont="1" applyFill="1" applyBorder="1" applyProtection="1">
      <protection locked="0"/>
    </xf>
    <xf numFmtId="0" fontId="24" fillId="0" borderId="12" xfId="0" applyFont="1" applyFill="1" applyBorder="1" applyProtection="1">
      <protection locked="0"/>
    </xf>
    <xf numFmtId="0" fontId="0" fillId="0" borderId="0" xfId="0" applyFont="1" applyAlignment="1">
      <alignment wrapText="1"/>
    </xf>
    <xf numFmtId="0" fontId="0" fillId="0" borderId="0" xfId="0" applyAlignment="1">
      <alignment wrapText="1"/>
    </xf>
    <xf numFmtId="0" fontId="44" fillId="0" borderId="13" xfId="0" applyFont="1" applyFill="1" applyBorder="1" applyProtection="1">
      <protection locked="0"/>
    </xf>
    <xf numFmtId="0" fontId="44" fillId="0" borderId="14" xfId="0" applyFont="1" applyFill="1" applyBorder="1" applyProtection="1">
      <protection locked="0"/>
    </xf>
    <xf numFmtId="0" fontId="44" fillId="0" borderId="15" xfId="0" applyFont="1" applyFill="1" applyBorder="1" applyProtection="1">
      <protection locked="0"/>
    </xf>
    <xf numFmtId="0" fontId="44" fillId="0" borderId="16" xfId="0" applyFont="1" applyFill="1" applyBorder="1" applyProtection="1">
      <protection locked="0"/>
    </xf>
    <xf numFmtId="0" fontId="44" fillId="0" borderId="17" xfId="0" applyFont="1" applyFill="1" applyBorder="1" applyProtection="1">
      <protection locked="0"/>
    </xf>
    <xf numFmtId="0" fontId="0" fillId="0" borderId="0" xfId="0" applyFont="1" applyAlignment="1">
      <alignment horizontal="right" wrapText="1"/>
    </xf>
    <xf numFmtId="0" fontId="24" fillId="0" borderId="18" xfId="0" applyFont="1" applyFill="1" applyBorder="1" applyProtection="1">
      <protection locked="0"/>
    </xf>
    <xf numFmtId="0" fontId="24" fillId="0" borderId="19" xfId="0" applyFont="1" applyFill="1" applyBorder="1" applyProtection="1">
      <protection locked="0"/>
    </xf>
    <xf numFmtId="0" fontId="24" fillId="0" borderId="20" xfId="0" applyFont="1" applyFill="1" applyBorder="1" applyProtection="1">
      <protection locked="0"/>
    </xf>
    <xf numFmtId="0" fontId="24" fillId="0" borderId="21" xfId="0" applyFont="1" applyFill="1" applyBorder="1" applyProtection="1">
      <protection locked="0"/>
    </xf>
    <xf numFmtId="0" fontId="24" fillId="0" borderId="22" xfId="0" applyFont="1" applyFill="1" applyBorder="1" applyProtection="1">
      <protection locked="0"/>
    </xf>
    <xf numFmtId="0" fontId="11" fillId="0" borderId="0" xfId="0" applyFont="1" applyFill="1"/>
    <xf numFmtId="0" fontId="45" fillId="0" borderId="17" xfId="0" applyFont="1" applyFill="1" applyBorder="1" applyProtection="1">
      <protection locked="0"/>
    </xf>
    <xf numFmtId="0" fontId="46" fillId="2" borderId="0" xfId="0" applyFont="1" applyFill="1"/>
    <xf numFmtId="0" fontId="45" fillId="0" borderId="22" xfId="0" applyFont="1" applyFill="1" applyBorder="1" applyProtection="1">
      <protection locked="0"/>
    </xf>
    <xf numFmtId="0" fontId="0" fillId="0" borderId="0" xfId="0" applyFill="1" applyAlignment="1">
      <alignment wrapText="1"/>
    </xf>
    <xf numFmtId="0" fontId="24" fillId="0" borderId="23" xfId="0" applyFont="1" applyFill="1" applyBorder="1" applyProtection="1">
      <protection locked="0"/>
    </xf>
    <xf numFmtId="0" fontId="24" fillId="0" borderId="18" xfId="0" applyFont="1" applyFill="1" applyBorder="1"/>
    <xf numFmtId="0" fontId="24" fillId="0" borderId="19" xfId="0" applyFont="1" applyFill="1" applyBorder="1"/>
    <xf numFmtId="0" fontId="24" fillId="0" borderId="20" xfId="0" applyFont="1" applyFill="1" applyBorder="1"/>
    <xf numFmtId="0" fontId="24" fillId="0" borderId="21" xfId="0" applyFont="1" applyFill="1" applyBorder="1"/>
    <xf numFmtId="0" fontId="24" fillId="0" borderId="23" xfId="0" applyFont="1" applyFill="1" applyBorder="1"/>
    <xf numFmtId="0" fontId="24" fillId="0" borderId="22" xfId="0" applyFont="1" applyFill="1" applyBorder="1"/>
    <xf numFmtId="0" fontId="44" fillId="0" borderId="13" xfId="0" applyFont="1" applyFill="1" applyBorder="1"/>
    <xf numFmtId="0" fontId="44" fillId="0" borderId="14" xfId="0" applyFont="1" applyFill="1" applyBorder="1"/>
    <xf numFmtId="0" fontId="44" fillId="0" borderId="15" xfId="0" applyFont="1" applyFill="1" applyBorder="1"/>
    <xf numFmtId="0" fontId="44" fillId="0" borderId="16" xfId="0" applyFont="1" applyFill="1" applyBorder="1"/>
    <xf numFmtId="0" fontId="44" fillId="0" borderId="17" xfId="0" applyFont="1" applyFill="1" applyBorder="1"/>
    <xf numFmtId="0" fontId="43" fillId="2" borderId="0" xfId="0" applyFont="1" applyFill="1"/>
    <xf numFmtId="0" fontId="11" fillId="2" borderId="0" xfId="0" applyFont="1" applyFill="1"/>
    <xf numFmtId="0" fontId="0" fillId="0" borderId="0" xfId="0" applyAlignment="1">
      <alignment horizontal="left"/>
    </xf>
    <xf numFmtId="0" fontId="48" fillId="3" borderId="7" xfId="0" applyFont="1" applyFill="1" applyBorder="1"/>
    <xf numFmtId="0" fontId="36" fillId="0" borderId="0" xfId="0" applyFont="1" applyAlignment="1"/>
    <xf numFmtId="0" fontId="0" fillId="0" borderId="0" xfId="0" applyAlignment="1"/>
    <xf numFmtId="0" fontId="36" fillId="0" borderId="0" xfId="0" applyFont="1" applyAlignment="1">
      <alignment horizontal="left"/>
    </xf>
    <xf numFmtId="0" fontId="12" fillId="0" borderId="0" xfId="0" applyFont="1"/>
    <xf numFmtId="0" fontId="7" fillId="0" borderId="0" xfId="0" applyFont="1" applyAlignment="1">
      <alignment vertical="center"/>
    </xf>
    <xf numFmtId="0" fontId="0" fillId="0" borderId="0" xfId="0" applyAlignment="1">
      <alignment vertical="center"/>
    </xf>
    <xf numFmtId="0" fontId="7" fillId="0" borderId="0" xfId="0" applyFont="1"/>
    <xf numFmtId="0" fontId="0" fillId="0" borderId="0" xfId="0" applyAlignment="1">
      <alignment horizontal="center" vertical="center"/>
    </xf>
    <xf numFmtId="0" fontId="36" fillId="7" borderId="0" xfId="0" applyFont="1" applyFill="1" applyAlignment="1">
      <alignment horizontal="center" vertical="center"/>
    </xf>
    <xf numFmtId="0" fontId="36" fillId="0" borderId="0" xfId="0" applyFont="1" applyFill="1" applyAlignment="1">
      <alignment horizontal="center" vertical="center"/>
    </xf>
    <xf numFmtId="0" fontId="0" fillId="0" borderId="0" xfId="0" applyFill="1" applyAlignment="1">
      <alignment horizontal="center" vertical="center"/>
    </xf>
    <xf numFmtId="0" fontId="0" fillId="0" borderId="7" xfId="0" applyFont="1" applyBorder="1" applyAlignment="1">
      <alignment horizontal="center" vertical="center"/>
    </xf>
    <xf numFmtId="0" fontId="0" fillId="0" borderId="7" xfId="0" applyBorder="1" applyAlignment="1">
      <alignment horizontal="center" vertical="center"/>
    </xf>
    <xf numFmtId="0" fontId="0" fillId="0" borderId="7" xfId="0" applyFill="1" applyBorder="1" applyAlignment="1">
      <alignment horizontal="center" vertical="center"/>
    </xf>
    <xf numFmtId="0" fontId="0" fillId="0" borderId="0" xfId="0" applyBorder="1" applyAlignment="1">
      <alignment horizontal="center" vertical="center"/>
    </xf>
    <xf numFmtId="0" fontId="36" fillId="8" borderId="4" xfId="0" applyFont="1" applyFill="1" applyBorder="1" applyAlignment="1">
      <alignment horizontal="center" vertical="center"/>
    </xf>
    <xf numFmtId="1" fontId="17" fillId="9" borderId="0" xfId="0" applyNumberFormat="1" applyFont="1" applyFill="1" applyAlignment="1">
      <alignment horizontal="center"/>
    </xf>
    <xf numFmtId="9" fontId="0" fillId="0" borderId="0" xfId="11" applyFont="1" applyFill="1" applyBorder="1" applyAlignment="1" applyProtection="1"/>
    <xf numFmtId="0" fontId="43" fillId="9" borderId="0" xfId="0" applyFont="1" applyFill="1" applyAlignment="1">
      <alignment horizontal="center"/>
    </xf>
    <xf numFmtId="1" fontId="0" fillId="0" borderId="0" xfId="0" applyNumberFormat="1" applyFont="1" applyFill="1" applyAlignment="1">
      <alignment horizontal="center"/>
    </xf>
    <xf numFmtId="0" fontId="0" fillId="0" borderId="0" xfId="0" applyAlignment="1">
      <alignment horizontal="center"/>
    </xf>
    <xf numFmtId="0" fontId="50" fillId="3" borderId="24" xfId="3" applyFont="1" applyFill="1" applyBorder="1" applyAlignment="1">
      <alignment horizontal="center" vertical="center"/>
    </xf>
    <xf numFmtId="0" fontId="50" fillId="3" borderId="25" xfId="3" applyFont="1" applyFill="1" applyBorder="1" applyAlignment="1">
      <alignment horizontal="center" vertical="center"/>
    </xf>
    <xf numFmtId="0" fontId="50" fillId="3" borderId="26" xfId="3" applyFont="1" applyFill="1" applyBorder="1" applyAlignment="1">
      <alignment horizontal="center" vertical="center"/>
    </xf>
    <xf numFmtId="0" fontId="36" fillId="0" borderId="7" xfId="0" applyFont="1" applyFill="1" applyBorder="1"/>
    <xf numFmtId="0" fontId="51" fillId="2" borderId="7" xfId="3" applyFont="1" applyFill="1" applyBorder="1" applyAlignment="1">
      <alignment horizontal="left" vertical="center"/>
    </xf>
    <xf numFmtId="0" fontId="0" fillId="0" borderId="7" xfId="0" applyFont="1" applyBorder="1"/>
    <xf numFmtId="1" fontId="0" fillId="0" borderId="7" xfId="0" applyNumberFormat="1" applyBorder="1" applyAlignment="1">
      <alignment horizontal="center"/>
    </xf>
    <xf numFmtId="0" fontId="36" fillId="0" borderId="0" xfId="0" applyFont="1"/>
    <xf numFmtId="0" fontId="50" fillId="3" borderId="7" xfId="3" applyFont="1" applyFill="1" applyBorder="1" applyAlignment="1">
      <alignment horizontal="center" vertical="center"/>
    </xf>
    <xf numFmtId="0" fontId="51" fillId="2" borderId="7" xfId="0" applyFont="1" applyFill="1" applyBorder="1" applyAlignment="1">
      <alignment horizontal="left" vertical="center"/>
    </xf>
    <xf numFmtId="0" fontId="0" fillId="0" borderId="27" xfId="0" applyBorder="1" applyAlignment="1">
      <alignment horizontal="center"/>
    </xf>
    <xf numFmtId="0" fontId="0" fillId="0" borderId="7" xfId="0" applyBorder="1" applyAlignment="1">
      <alignment horizontal="center"/>
    </xf>
    <xf numFmtId="0" fontId="51" fillId="2" borderId="28" xfId="3" applyFont="1" applyFill="1" applyBorder="1" applyAlignment="1">
      <alignment horizontal="left" vertical="center"/>
    </xf>
    <xf numFmtId="0" fontId="0" fillId="0" borderId="28" xfId="0" applyFont="1" applyBorder="1"/>
    <xf numFmtId="1" fontId="0" fillId="0" borderId="28" xfId="0" applyNumberFormat="1" applyBorder="1" applyAlignment="1">
      <alignment horizontal="center"/>
    </xf>
    <xf numFmtId="0" fontId="50" fillId="3" borderId="25" xfId="3" applyFont="1" applyFill="1" applyBorder="1" applyAlignment="1">
      <alignment horizontal="center" vertical="center" wrapText="1"/>
    </xf>
    <xf numFmtId="0" fontId="50" fillId="3" borderId="26" xfId="3" applyFont="1" applyFill="1" applyBorder="1" applyAlignment="1">
      <alignment horizontal="center" vertical="center" wrapText="1"/>
    </xf>
    <xf numFmtId="1" fontId="0" fillId="0" borderId="0" xfId="0" applyNumberFormat="1"/>
    <xf numFmtId="0" fontId="48" fillId="3" borderId="7" xfId="0" applyFont="1" applyFill="1" applyBorder="1" applyAlignment="1">
      <alignment horizontal="center"/>
    </xf>
    <xf numFmtId="0" fontId="48" fillId="3" borderId="0" xfId="0" applyFont="1" applyFill="1" applyAlignment="1">
      <alignment horizontal="center"/>
    </xf>
    <xf numFmtId="0" fontId="36" fillId="0" borderId="0" xfId="0" applyFont="1" applyAlignment="1">
      <alignment horizontal="center"/>
    </xf>
    <xf numFmtId="0" fontId="48" fillId="3" borderId="7" xfId="0" applyFont="1" applyFill="1" applyBorder="1" applyAlignment="1">
      <alignment horizontal="center" vertical="center"/>
    </xf>
    <xf numFmtId="0" fontId="48" fillId="3" borderId="0" xfId="0" applyFont="1" applyFill="1" applyAlignment="1">
      <alignment horizontal="center" vertical="center"/>
    </xf>
    <xf numFmtId="2" fontId="0" fillId="0" borderId="7" xfId="0" applyNumberFormat="1" applyBorder="1" applyAlignment="1">
      <alignment horizontal="center" vertical="center"/>
    </xf>
    <xf numFmtId="2" fontId="0" fillId="0" borderId="29" xfId="0" applyNumberFormat="1" applyBorder="1" applyAlignment="1">
      <alignment horizontal="center" vertical="center"/>
    </xf>
    <xf numFmtId="0" fontId="0" fillId="0" borderId="30" xfId="0" applyFont="1" applyBorder="1" applyAlignment="1">
      <alignment horizontal="center" vertical="center"/>
    </xf>
    <xf numFmtId="0" fontId="0" fillId="0" borderId="0" xfId="0" applyFill="1" applyBorder="1" applyAlignment="1">
      <alignment horizontal="center" vertical="center"/>
    </xf>
    <xf numFmtId="0" fontId="52" fillId="10" borderId="0" xfId="2" applyNumberFormat="1" applyFont="1" applyFill="1" applyBorder="1" applyAlignment="1" applyProtection="1">
      <alignment horizontal="center" vertical="center"/>
    </xf>
    <xf numFmtId="0" fontId="53" fillId="0" borderId="0" xfId="0" applyFont="1" applyAlignment="1">
      <alignment vertical="center"/>
    </xf>
    <xf numFmtId="0" fontId="36" fillId="0" borderId="0" xfId="0" applyFont="1" applyAlignment="1">
      <alignment wrapText="1"/>
    </xf>
    <xf numFmtId="0" fontId="0" fillId="0" borderId="0" xfId="0" applyNumberFormat="1" applyFont="1"/>
    <xf numFmtId="0" fontId="0" fillId="0" borderId="0" xfId="0" applyFont="1" applyBorder="1"/>
    <xf numFmtId="0" fontId="68" fillId="0" borderId="0" xfId="0" applyFont="1" applyAlignment="1">
      <alignment vertical="center"/>
    </xf>
    <xf numFmtId="0" fontId="68" fillId="0" borderId="0" xfId="0" applyFont="1"/>
    <xf numFmtId="0" fontId="69" fillId="0" borderId="0" xfId="0" applyFont="1" applyAlignment="1">
      <alignment vertical="center"/>
    </xf>
    <xf numFmtId="0" fontId="69" fillId="0" borderId="0" xfId="0" applyFont="1"/>
    <xf numFmtId="0" fontId="0" fillId="0" borderId="0" xfId="0" applyNumberFormat="1"/>
    <xf numFmtId="2" fontId="0" fillId="0" borderId="0" xfId="0" applyNumberFormat="1"/>
    <xf numFmtId="0" fontId="0" fillId="0" borderId="0" xfId="0" applyNumberFormat="1" applyAlignment="1">
      <alignment horizontal="center" vertical="center"/>
    </xf>
    <xf numFmtId="2" fontId="36" fillId="11" borderId="7" xfId="0" applyNumberFormat="1" applyFont="1" applyFill="1" applyBorder="1" applyAlignment="1">
      <alignment horizontal="center"/>
    </xf>
    <xf numFmtId="0" fontId="0" fillId="13" borderId="0" xfId="0" applyFill="1" applyAlignment="1">
      <alignment horizontal="center"/>
    </xf>
    <xf numFmtId="0" fontId="0" fillId="14" borderId="0" xfId="0" applyFill="1" applyAlignment="1">
      <alignment horizontal="center"/>
    </xf>
    <xf numFmtId="2" fontId="36" fillId="11" borderId="27" xfId="0" applyNumberFormat="1" applyFont="1" applyFill="1" applyBorder="1" applyAlignment="1">
      <alignment horizontal="center"/>
    </xf>
    <xf numFmtId="0" fontId="0" fillId="14" borderId="0" xfId="0" applyFill="1" applyBorder="1" applyAlignment="1">
      <alignment horizontal="center"/>
    </xf>
    <xf numFmtId="0" fontId="57" fillId="0" borderId="0" xfId="4" applyNumberFormat="1" applyFont="1"/>
    <xf numFmtId="0" fontId="70" fillId="15" borderId="31" xfId="1" applyNumberFormat="1" applyFont="1" applyFill="1" applyBorder="1" applyAlignment="1" applyProtection="1">
      <alignment horizontal="center" vertical="center"/>
      <protection locked="0"/>
    </xf>
    <xf numFmtId="0" fontId="34" fillId="16" borderId="0" xfId="0" applyFont="1" applyFill="1" applyAlignment="1" applyProtection="1">
      <alignment horizontal="center" vertical="center"/>
      <protection locked="0"/>
    </xf>
    <xf numFmtId="0" fontId="57" fillId="0" borderId="0" xfId="10" applyNumberFormat="1" applyFont="1"/>
    <xf numFmtId="0" fontId="71" fillId="0" borderId="0" xfId="0" applyFont="1" applyFill="1" applyAlignment="1" applyProtection="1">
      <alignment horizontal="left" vertical="center"/>
      <protection locked="0"/>
    </xf>
    <xf numFmtId="0" fontId="71" fillId="0" borderId="0" xfId="0" applyFont="1" applyFill="1" applyAlignment="1" applyProtection="1">
      <alignment horizontal="center" vertical="center"/>
      <protection locked="0"/>
    </xf>
    <xf numFmtId="0" fontId="51" fillId="17" borderId="7" xfId="3" applyFont="1" applyFill="1" applyBorder="1" applyAlignment="1">
      <alignment horizontal="left" vertical="center"/>
    </xf>
    <xf numFmtId="0" fontId="0" fillId="18" borderId="27" xfId="0" applyFont="1" applyFill="1" applyBorder="1" applyProtection="1">
      <protection locked="0"/>
    </xf>
    <xf numFmtId="0" fontId="0" fillId="18" borderId="7" xfId="0" applyFont="1" applyFill="1" applyBorder="1" applyProtection="1">
      <protection locked="0"/>
    </xf>
    <xf numFmtId="0" fontId="51" fillId="17" borderId="7" xfId="0" applyFont="1" applyFill="1" applyBorder="1" applyAlignment="1">
      <alignment horizontal="left" vertical="center"/>
    </xf>
    <xf numFmtId="0" fontId="51" fillId="17" borderId="0" xfId="0" applyFont="1" applyFill="1" applyBorder="1" applyAlignment="1">
      <alignment horizontal="left" vertical="center"/>
    </xf>
    <xf numFmtId="0" fontId="50" fillId="3" borderId="30" xfId="3" applyFont="1" applyFill="1" applyBorder="1" applyAlignment="1">
      <alignment horizontal="center" vertical="center"/>
    </xf>
    <xf numFmtId="0" fontId="51" fillId="17" borderId="32" xfId="0" applyFont="1" applyFill="1" applyBorder="1" applyAlignment="1">
      <alignment horizontal="left" vertical="center"/>
    </xf>
    <xf numFmtId="0" fontId="51" fillId="17" borderId="32" xfId="3" applyFont="1" applyFill="1" applyBorder="1" applyAlignment="1">
      <alignment horizontal="left" vertical="center"/>
    </xf>
    <xf numFmtId="0" fontId="0" fillId="18" borderId="32" xfId="0" applyFill="1" applyBorder="1" applyAlignment="1">
      <alignment horizontal="center"/>
    </xf>
    <xf numFmtId="0" fontId="0" fillId="18" borderId="32" xfId="0" applyFill="1" applyBorder="1"/>
    <xf numFmtId="0" fontId="0" fillId="18" borderId="32" xfId="0" applyFill="1" applyBorder="1" applyAlignment="1"/>
    <xf numFmtId="0" fontId="0" fillId="0" borderId="27" xfId="0" applyFont="1" applyBorder="1"/>
    <xf numFmtId="0" fontId="51" fillId="17" borderId="32" xfId="0" applyFont="1" applyFill="1" applyBorder="1" applyAlignment="1">
      <alignment vertical="center"/>
    </xf>
    <xf numFmtId="0" fontId="51" fillId="17" borderId="32" xfId="3" applyFont="1" applyFill="1" applyBorder="1" applyAlignment="1">
      <alignment vertical="center"/>
    </xf>
    <xf numFmtId="0" fontId="0" fillId="18" borderId="32" xfId="0" applyFont="1" applyFill="1" applyBorder="1" applyAlignment="1" applyProtection="1">
      <alignment horizontal="center"/>
      <protection locked="0"/>
    </xf>
    <xf numFmtId="0" fontId="0" fillId="18" borderId="27" xfId="0" applyFill="1" applyBorder="1" applyAlignment="1" applyProtection="1">
      <alignment horizontal="center"/>
      <protection locked="0"/>
    </xf>
    <xf numFmtId="0" fontId="0" fillId="18" borderId="7" xfId="0" applyFill="1" applyBorder="1" applyAlignment="1" applyProtection="1">
      <alignment horizontal="center"/>
      <protection locked="0"/>
    </xf>
    <xf numFmtId="0" fontId="0" fillId="18" borderId="0" xfId="0" applyFill="1"/>
    <xf numFmtId="0" fontId="57" fillId="18" borderId="0" xfId="4" applyNumberFormat="1" applyFont="1" applyFill="1"/>
    <xf numFmtId="0" fontId="50" fillId="3" borderId="34" xfId="3" applyFont="1" applyFill="1" applyBorder="1" applyAlignment="1">
      <alignment horizontal="center" vertical="center"/>
    </xf>
    <xf numFmtId="0" fontId="0" fillId="0" borderId="32" xfId="0" applyBorder="1"/>
    <xf numFmtId="0" fontId="58" fillId="0" borderId="0" xfId="0" applyFont="1" applyAlignment="1">
      <alignment vertical="center"/>
    </xf>
    <xf numFmtId="0" fontId="72" fillId="0" borderId="0" xfId="0" applyFont="1"/>
    <xf numFmtId="0" fontId="73" fillId="0" borderId="0" xfId="0" applyFont="1" applyAlignment="1">
      <alignment horizontal="center"/>
    </xf>
    <xf numFmtId="0" fontId="59" fillId="0" borderId="32" xfId="0" applyFont="1" applyBorder="1"/>
    <xf numFmtId="0" fontId="59" fillId="0" borderId="35" xfId="0" applyFont="1" applyBorder="1"/>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57" fillId="0" borderId="0" xfId="4" applyNumberFormat="1" applyFont="1" applyBorder="1"/>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center" vertical="center" shrinkToFit="1"/>
    </xf>
    <xf numFmtId="0" fontId="75" fillId="0" borderId="86" xfId="0" applyNumberFormat="1" applyFont="1" applyBorder="1" applyAlignment="1">
      <alignment horizontal="center" vertical="center"/>
    </xf>
    <xf numFmtId="0" fontId="11" fillId="2" borderId="0" xfId="0" applyNumberFormat="1" applyFont="1" applyFill="1" applyAlignment="1">
      <alignment horizontal="center" vertical="center"/>
    </xf>
    <xf numFmtId="0" fontId="76" fillId="0" borderId="87" xfId="0" applyNumberFormat="1" applyFont="1" applyFill="1" applyBorder="1" applyAlignment="1">
      <alignment horizontal="center" vertical="center"/>
    </xf>
    <xf numFmtId="1" fontId="76" fillId="0" borderId="88" xfId="0" applyNumberFormat="1" applyFont="1" applyFill="1" applyBorder="1" applyAlignment="1">
      <alignment horizontal="center" vertical="center"/>
    </xf>
    <xf numFmtId="165" fontId="12" fillId="0" borderId="88" xfId="0" applyNumberFormat="1" applyFont="1" applyFill="1" applyBorder="1" applyAlignment="1">
      <alignment horizontal="center" vertical="center"/>
    </xf>
    <xf numFmtId="166" fontId="12" fillId="0" borderId="88" xfId="0" applyNumberFormat="1" applyFont="1" applyFill="1" applyBorder="1" applyAlignment="1">
      <alignment horizontal="center" vertical="center"/>
    </xf>
    <xf numFmtId="1" fontId="76" fillId="0" borderId="89" xfId="0" applyNumberFormat="1" applyFont="1" applyFill="1" applyBorder="1" applyAlignment="1">
      <alignment horizontal="center" vertical="center"/>
    </xf>
    <xf numFmtId="166" fontId="12" fillId="0" borderId="89" xfId="0" applyNumberFormat="1" applyFont="1" applyFill="1" applyBorder="1" applyAlignment="1">
      <alignment horizontal="center" vertical="center"/>
    </xf>
    <xf numFmtId="0" fontId="76" fillId="0" borderId="87" xfId="0" applyNumberFormat="1" applyFont="1" applyBorder="1" applyAlignment="1">
      <alignment horizontal="center" vertical="center"/>
    </xf>
    <xf numFmtId="0" fontId="76" fillId="0" borderId="90" xfId="0" applyNumberFormat="1" applyFont="1" applyBorder="1" applyAlignment="1">
      <alignment horizontal="center" vertical="center"/>
    </xf>
    <xf numFmtId="0" fontId="77" fillId="0" borderId="91" xfId="0" applyFont="1" applyBorder="1" applyAlignment="1">
      <alignment horizontal="center" vertical="center" wrapText="1"/>
    </xf>
    <xf numFmtId="0" fontId="77" fillId="0" borderId="92" xfId="0" applyFont="1" applyBorder="1" applyAlignment="1">
      <alignment horizontal="center" vertical="center" wrapText="1"/>
    </xf>
    <xf numFmtId="0" fontId="77" fillId="0" borderId="93" xfId="0" applyFont="1" applyBorder="1" applyAlignment="1">
      <alignment horizontal="center" vertical="center" wrapText="1"/>
    </xf>
    <xf numFmtId="0" fontId="77" fillId="19" borderId="94" xfId="0" applyFont="1" applyFill="1" applyBorder="1"/>
    <xf numFmtId="0" fontId="77" fillId="20" borderId="91" xfId="0" applyFont="1" applyFill="1" applyBorder="1" applyAlignment="1">
      <alignment horizontal="center"/>
    </xf>
    <xf numFmtId="0" fontId="77" fillId="21" borderId="92" xfId="0" applyFont="1" applyFill="1" applyBorder="1" applyAlignment="1">
      <alignment horizontal="center"/>
    </xf>
    <xf numFmtId="0" fontId="77" fillId="22" borderId="92" xfId="0" applyFont="1" applyFill="1" applyBorder="1" applyAlignment="1">
      <alignment horizontal="center"/>
    </xf>
    <xf numFmtId="0" fontId="77" fillId="23" borderId="93" xfId="0" applyFont="1" applyFill="1" applyBorder="1" applyAlignment="1">
      <alignment horizontal="center"/>
    </xf>
    <xf numFmtId="167" fontId="78" fillId="24" borderId="93" xfId="0" applyNumberFormat="1" applyFont="1" applyFill="1" applyBorder="1" applyAlignment="1">
      <alignment horizontal="center"/>
    </xf>
    <xf numFmtId="0" fontId="0" fillId="0" borderId="95" xfId="0" applyFont="1" applyBorder="1"/>
    <xf numFmtId="0" fontId="19" fillId="0" borderId="36" xfId="0" applyFont="1" applyBorder="1" applyAlignment="1">
      <alignment horizontal="center"/>
    </xf>
    <xf numFmtId="0" fontId="0" fillId="0" borderId="37" xfId="0" applyFont="1" applyBorder="1" applyAlignment="1">
      <alignment horizontal="center" wrapText="1"/>
    </xf>
    <xf numFmtId="0" fontId="0" fillId="0" borderId="38" xfId="0" applyFont="1" applyBorder="1" applyAlignment="1">
      <alignment horizontal="center" wrapText="1"/>
    </xf>
    <xf numFmtId="0" fontId="77" fillId="0" borderId="0" xfId="0" applyFont="1" applyBorder="1" applyAlignment="1">
      <alignment horizontal="center" vertical="center" wrapText="1"/>
    </xf>
    <xf numFmtId="0" fontId="0" fillId="25" borderId="0" xfId="0" applyFont="1" applyFill="1" applyBorder="1" applyAlignment="1">
      <alignment horizontal="center"/>
    </xf>
    <xf numFmtId="0" fontId="77" fillId="0" borderId="96" xfId="0" applyFont="1" applyBorder="1" applyAlignment="1">
      <alignment horizontal="center" vertical="center" wrapText="1"/>
    </xf>
    <xf numFmtId="0" fontId="0" fillId="0" borderId="38" xfId="0" applyBorder="1"/>
    <xf numFmtId="0" fontId="0" fillId="0" borderId="39" xfId="0" applyBorder="1"/>
    <xf numFmtId="0" fontId="0" fillId="0" borderId="40" xfId="0" applyBorder="1"/>
    <xf numFmtId="0" fontId="59" fillId="0" borderId="41" xfId="0" applyFont="1" applyBorder="1"/>
    <xf numFmtId="0" fontId="77" fillId="0" borderId="0" xfId="0" applyFont="1" applyFill="1" applyBorder="1" applyAlignment="1">
      <alignment horizontal="center" vertical="center" wrapText="1"/>
    </xf>
    <xf numFmtId="0" fontId="77" fillId="0" borderId="97" xfId="0" applyFont="1" applyBorder="1" applyAlignment="1">
      <alignment horizontal="center" vertical="center" wrapText="1"/>
    </xf>
    <xf numFmtId="0" fontId="77" fillId="0" borderId="98" xfId="0" applyFont="1" applyBorder="1" applyAlignment="1">
      <alignment horizontal="center" vertical="center" wrapText="1"/>
    </xf>
    <xf numFmtId="0" fontId="77" fillId="0" borderId="99" xfId="0" applyFont="1" applyBorder="1" applyAlignment="1">
      <alignment horizontal="center" vertical="center" wrapText="1"/>
    </xf>
    <xf numFmtId="0" fontId="77" fillId="0" borderId="100" xfId="0" applyFont="1" applyBorder="1" applyAlignment="1">
      <alignment horizontal="center" vertical="center" wrapText="1"/>
    </xf>
    <xf numFmtId="0" fontId="77" fillId="0" borderId="101" xfId="0" applyFont="1" applyBorder="1" applyAlignment="1">
      <alignment horizontal="center" vertical="center" wrapText="1"/>
    </xf>
    <xf numFmtId="0" fontId="0" fillId="0" borderId="39" xfId="0" applyFont="1" applyBorder="1" applyAlignment="1">
      <alignment horizontal="center" wrapText="1"/>
    </xf>
    <xf numFmtId="0" fontId="77" fillId="0" borderId="102" xfId="0" applyFont="1" applyBorder="1" applyAlignment="1">
      <alignment horizontal="center" vertical="center" wrapText="1"/>
    </xf>
    <xf numFmtId="0" fontId="77" fillId="0" borderId="103" xfId="0" applyFont="1" applyBorder="1" applyAlignment="1">
      <alignment horizontal="center" vertical="center" wrapText="1"/>
    </xf>
    <xf numFmtId="0" fontId="77" fillId="0" borderId="104" xfId="0" applyFont="1" applyBorder="1" applyAlignment="1">
      <alignment horizontal="center" vertical="center" wrapText="1"/>
    </xf>
    <xf numFmtId="0" fontId="77" fillId="19" borderId="105" xfId="0" applyFont="1" applyFill="1" applyBorder="1"/>
    <xf numFmtId="0" fontId="77" fillId="20" borderId="106" xfId="0" applyFont="1" applyFill="1" applyBorder="1" applyAlignment="1">
      <alignment horizontal="center"/>
    </xf>
    <xf numFmtId="0" fontId="77" fillId="21" borderId="107" xfId="0" applyFont="1" applyFill="1" applyBorder="1" applyAlignment="1">
      <alignment horizontal="center"/>
    </xf>
    <xf numFmtId="0" fontId="77" fillId="22" borderId="107" xfId="0" applyFont="1" applyFill="1" applyBorder="1" applyAlignment="1">
      <alignment horizontal="center"/>
    </xf>
    <xf numFmtId="0" fontId="77" fillId="23" borderId="108" xfId="0" applyFont="1" applyFill="1" applyBorder="1" applyAlignment="1">
      <alignment horizontal="center"/>
    </xf>
    <xf numFmtId="167" fontId="78" fillId="24" borderId="108" xfId="0" applyNumberFormat="1" applyFont="1" applyFill="1" applyBorder="1" applyAlignment="1">
      <alignment horizontal="center"/>
    </xf>
    <xf numFmtId="167" fontId="78" fillId="24" borderId="109" xfId="0" applyNumberFormat="1" applyFont="1" applyFill="1" applyBorder="1" applyAlignment="1">
      <alignment horizontal="center"/>
    </xf>
    <xf numFmtId="0" fontId="0" fillId="0" borderId="110" xfId="0" applyFont="1" applyBorder="1"/>
    <xf numFmtId="167" fontId="78" fillId="24" borderId="111" xfId="0" applyNumberFormat="1" applyFont="1" applyFill="1" applyBorder="1" applyAlignment="1">
      <alignment horizontal="center"/>
    </xf>
    <xf numFmtId="0" fontId="77" fillId="19" borderId="112" xfId="0" applyFont="1" applyFill="1" applyBorder="1"/>
    <xf numFmtId="0" fontId="0" fillId="0" borderId="113" xfId="0" applyFont="1" applyBorder="1"/>
    <xf numFmtId="167" fontId="78" fillId="24" borderId="114" xfId="0" applyNumberFormat="1" applyFont="1" applyFill="1" applyBorder="1" applyAlignment="1">
      <alignment horizontal="center"/>
    </xf>
    <xf numFmtId="167" fontId="78" fillId="24" borderId="115" xfId="0" applyNumberFormat="1" applyFont="1" applyFill="1" applyBorder="1" applyAlignment="1">
      <alignment horizontal="center"/>
    </xf>
    <xf numFmtId="0" fontId="77" fillId="20" borderId="116" xfId="0" applyFont="1" applyFill="1" applyBorder="1" applyAlignment="1">
      <alignment horizontal="center"/>
    </xf>
    <xf numFmtId="0" fontId="77" fillId="19" borderId="117" xfId="0" applyFont="1" applyFill="1" applyBorder="1"/>
    <xf numFmtId="0" fontId="0" fillId="0" borderId="43" xfId="0" applyFont="1" applyBorder="1"/>
    <xf numFmtId="0" fontId="0" fillId="0" borderId="37" xfId="0" applyFont="1" applyFill="1" applyBorder="1" applyAlignment="1">
      <alignment horizontal="center"/>
    </xf>
    <xf numFmtId="0" fontId="0" fillId="0" borderId="38" xfId="0" applyFont="1" applyFill="1" applyBorder="1" applyAlignment="1">
      <alignment horizontal="center"/>
    </xf>
    <xf numFmtId="0" fontId="0" fillId="0" borderId="39" xfId="0" applyFont="1" applyFill="1" applyBorder="1" applyAlignment="1">
      <alignment horizontal="center"/>
    </xf>
    <xf numFmtId="0" fontId="0" fillId="0" borderId="44" xfId="0" applyFont="1" applyFill="1" applyBorder="1" applyAlignment="1">
      <alignment horizontal="center"/>
    </xf>
    <xf numFmtId="0" fontId="0" fillId="0" borderId="45" xfId="0" applyFont="1" applyFill="1" applyBorder="1" applyAlignment="1">
      <alignment horizontal="center"/>
    </xf>
    <xf numFmtId="0" fontId="0" fillId="0" borderId="46" xfId="0" applyFont="1" applyFill="1" applyBorder="1" applyAlignment="1">
      <alignment horizontal="center"/>
    </xf>
    <xf numFmtId="0" fontId="0" fillId="0" borderId="47" xfId="0" applyBorder="1"/>
    <xf numFmtId="0" fontId="0" fillId="26" borderId="32" xfId="0" applyFont="1" applyFill="1" applyBorder="1" applyAlignment="1">
      <alignment horizontal="center" vertical="center" wrapText="1"/>
    </xf>
    <xf numFmtId="0" fontId="0" fillId="26" borderId="45" xfId="0" applyFont="1" applyFill="1" applyBorder="1" applyAlignment="1">
      <alignment horizontal="center" wrapText="1"/>
    </xf>
    <xf numFmtId="0" fontId="0" fillId="26" borderId="32" xfId="0" applyFont="1" applyFill="1" applyBorder="1" applyAlignment="1">
      <alignment horizontal="center" vertical="center"/>
    </xf>
    <xf numFmtId="0" fontId="0" fillId="26" borderId="45" xfId="0" applyFont="1" applyFill="1" applyBorder="1" applyAlignment="1">
      <alignment horizontal="center"/>
    </xf>
    <xf numFmtId="0" fontId="0" fillId="26" borderId="40" xfId="0" applyFont="1" applyFill="1" applyBorder="1" applyAlignment="1">
      <alignment horizontal="center" vertical="center"/>
    </xf>
    <xf numFmtId="0" fontId="0" fillId="26" borderId="46" xfId="0" applyFont="1" applyFill="1" applyBorder="1" applyAlignment="1">
      <alignment horizontal="center"/>
    </xf>
    <xf numFmtId="0" fontId="0" fillId="26" borderId="48" xfId="0" applyFont="1" applyFill="1" applyBorder="1" applyAlignment="1">
      <alignment horizontal="center" vertical="center" wrapText="1"/>
    </xf>
    <xf numFmtId="0" fontId="0" fillId="26" borderId="44" xfId="0" applyFont="1" applyFill="1" applyBorder="1" applyAlignment="1">
      <alignment horizontal="center" vertical="center" wrapText="1"/>
    </xf>
    <xf numFmtId="0" fontId="0" fillId="26" borderId="45" xfId="0" applyFont="1" applyFill="1" applyBorder="1" applyAlignment="1">
      <alignment horizontal="center" vertical="center" wrapText="1"/>
    </xf>
    <xf numFmtId="0" fontId="61" fillId="0" borderId="0" xfId="0" applyFont="1"/>
    <xf numFmtId="0" fontId="60" fillId="0" borderId="0" xfId="0" applyFont="1" applyAlignment="1">
      <alignment horizontal="center" vertical="center"/>
    </xf>
    <xf numFmtId="0" fontId="0" fillId="0" borderId="49" xfId="0" applyBorder="1"/>
    <xf numFmtId="0" fontId="0" fillId="0" borderId="41" xfId="0" applyBorder="1"/>
    <xf numFmtId="0" fontId="77" fillId="0" borderId="50" xfId="0" applyFont="1" applyBorder="1" applyAlignment="1">
      <alignment horizontal="center" vertical="center" wrapText="1"/>
    </xf>
    <xf numFmtId="0" fontId="77" fillId="0" borderId="51" xfId="0" applyFont="1" applyBorder="1" applyAlignment="1">
      <alignment vertical="center" wrapText="1"/>
    </xf>
    <xf numFmtId="0" fontId="77" fillId="0" borderId="51" xfId="0" applyFont="1" applyBorder="1" applyAlignment="1">
      <alignment horizontal="center" vertical="center" wrapText="1"/>
    </xf>
    <xf numFmtId="0" fontId="77" fillId="0" borderId="52" xfId="0" applyFont="1" applyBorder="1" applyAlignment="1">
      <alignment horizontal="center" vertical="center" wrapText="1"/>
    </xf>
    <xf numFmtId="0" fontId="62" fillId="18" borderId="0" xfId="4" applyNumberFormat="1" applyFont="1" applyFill="1"/>
    <xf numFmtId="1" fontId="76" fillId="0" borderId="88" xfId="0" applyNumberFormat="1" applyFont="1" applyBorder="1" applyAlignment="1">
      <alignment horizontal="center" vertical="center"/>
    </xf>
    <xf numFmtId="49" fontId="10" fillId="3" borderId="53" xfId="0" applyNumberFormat="1" applyFont="1" applyFill="1" applyBorder="1" applyAlignment="1">
      <alignment horizontal="left" vertical="center"/>
    </xf>
    <xf numFmtId="49" fontId="10" fillId="3" borderId="118" xfId="0" applyNumberFormat="1" applyFont="1" applyFill="1" applyBorder="1" applyAlignment="1">
      <alignment horizontal="left" vertical="center"/>
    </xf>
    <xf numFmtId="49" fontId="10" fillId="3" borderId="54" xfId="0" applyNumberFormat="1" applyFont="1" applyFill="1" applyBorder="1" applyAlignment="1">
      <alignment horizontal="left" vertical="center"/>
    </xf>
    <xf numFmtId="1" fontId="10" fillId="3" borderId="53" xfId="0" applyNumberFormat="1" applyFont="1" applyFill="1" applyBorder="1" applyAlignment="1">
      <alignment horizontal="left" vertical="center"/>
    </xf>
    <xf numFmtId="49" fontId="10" fillId="3" borderId="88" xfId="0" applyNumberFormat="1" applyFont="1" applyFill="1" applyBorder="1" applyAlignment="1">
      <alignment horizontal="left" vertical="center"/>
    </xf>
    <xf numFmtId="0" fontId="11" fillId="0" borderId="0" xfId="0" applyFont="1" applyAlignment="1">
      <alignment horizontal="left" vertical="center"/>
    </xf>
    <xf numFmtId="0" fontId="24" fillId="0" borderId="0" xfId="0" applyFont="1" applyFill="1" applyAlignment="1">
      <alignment horizontal="left" vertical="center"/>
    </xf>
    <xf numFmtId="0" fontId="10" fillId="0" borderId="0" xfId="0" applyFont="1" applyFill="1" applyAlignment="1">
      <alignment horizontal="left" vertical="center"/>
    </xf>
    <xf numFmtId="0" fontId="11" fillId="0" borderId="0" xfId="0" applyFont="1" applyFill="1" applyAlignment="1">
      <alignment horizontal="left" vertical="center"/>
    </xf>
    <xf numFmtId="49" fontId="10" fillId="3" borderId="0" xfId="0" applyNumberFormat="1" applyFont="1" applyFill="1" applyBorder="1" applyAlignment="1">
      <alignment horizontal="left" vertical="center"/>
    </xf>
    <xf numFmtId="0" fontId="79" fillId="0" borderId="0" xfId="4" applyNumberFormat="1" applyFont="1" applyFill="1" applyBorder="1" applyAlignment="1"/>
    <xf numFmtId="1" fontId="11" fillId="0" borderId="88" xfId="0" applyNumberFormat="1" applyFont="1" applyBorder="1" applyAlignment="1">
      <alignment horizontal="center" vertical="center"/>
    </xf>
    <xf numFmtId="1" fontId="76" fillId="0" borderId="0" xfId="0" applyNumberFormat="1" applyFont="1" applyFill="1" applyBorder="1" applyAlignment="1">
      <alignment horizontal="center" vertical="center"/>
    </xf>
    <xf numFmtId="1" fontId="11" fillId="0" borderId="0" xfId="0" applyNumberFormat="1" applyFont="1" applyBorder="1" applyAlignment="1">
      <alignment horizontal="center" vertical="center"/>
    </xf>
    <xf numFmtId="0" fontId="4" fillId="27" borderId="42" xfId="0" applyFont="1" applyFill="1" applyBorder="1" applyAlignment="1" applyProtection="1">
      <alignment horizontal="center" vertical="center"/>
      <protection locked="0"/>
    </xf>
    <xf numFmtId="0" fontId="4" fillId="27" borderId="55" xfId="0" applyFont="1" applyFill="1" applyBorder="1" applyAlignment="1" applyProtection="1">
      <alignment horizontal="center" vertical="center"/>
      <protection locked="0"/>
    </xf>
    <xf numFmtId="0" fontId="13" fillId="27" borderId="0" xfId="0" applyFont="1" applyFill="1" applyAlignment="1" applyProtection="1">
      <alignment horizontal="center" vertical="center"/>
      <protection locked="0"/>
    </xf>
    <xf numFmtId="0" fontId="15" fillId="27" borderId="0" xfId="0" applyFont="1" applyFill="1" applyAlignment="1" applyProtection="1">
      <alignment horizontal="center" vertical="center"/>
      <protection locked="0"/>
    </xf>
    <xf numFmtId="0" fontId="15" fillId="27" borderId="0" xfId="0" applyFont="1" applyFill="1" applyBorder="1" applyAlignment="1" applyProtection="1">
      <alignment horizontal="center" vertical="center"/>
      <protection locked="0"/>
    </xf>
    <xf numFmtId="0" fontId="25" fillId="27" borderId="0" xfId="0" applyFont="1" applyFill="1" applyBorder="1" applyAlignment="1" applyProtection="1">
      <alignment horizontal="center" vertical="center"/>
      <protection locked="0"/>
    </xf>
    <xf numFmtId="0" fontId="22" fillId="27" borderId="0" xfId="0" applyFont="1" applyFill="1" applyAlignment="1" applyProtection="1">
      <alignment horizontal="center" vertical="center"/>
      <protection locked="0"/>
    </xf>
    <xf numFmtId="2" fontId="22" fillId="27" borderId="0" xfId="0" applyNumberFormat="1" applyFont="1" applyFill="1" applyAlignment="1" applyProtection="1">
      <alignment horizontal="center" vertical="center"/>
      <protection locked="0"/>
    </xf>
    <xf numFmtId="0" fontId="22" fillId="27" borderId="0" xfId="0" applyFont="1" applyFill="1" applyBorder="1" applyAlignment="1" applyProtection="1">
      <alignment horizontal="center" vertical="center"/>
      <protection locked="0"/>
    </xf>
    <xf numFmtId="2" fontId="22" fillId="27" borderId="0" xfId="0" applyNumberFormat="1" applyFont="1" applyFill="1" applyBorder="1" applyAlignment="1" applyProtection="1">
      <alignment horizontal="center" vertical="center"/>
      <protection locked="0"/>
    </xf>
    <xf numFmtId="0" fontId="30" fillId="27" borderId="0" xfId="0" applyFont="1" applyFill="1" applyBorder="1" applyAlignment="1" applyProtection="1">
      <alignment horizontal="center" vertical="center"/>
      <protection locked="0"/>
    </xf>
    <xf numFmtId="0" fontId="13" fillId="28" borderId="0" xfId="0" applyFont="1" applyFill="1" applyBorder="1" applyAlignment="1" applyProtection="1">
      <alignment horizontal="center" vertical="center"/>
      <protection locked="0"/>
    </xf>
    <xf numFmtId="0" fontId="32" fillId="27" borderId="4" xfId="0" applyFont="1" applyFill="1" applyBorder="1" applyAlignment="1" applyProtection="1">
      <alignment horizontal="center" vertical="center"/>
      <protection locked="0"/>
    </xf>
    <xf numFmtId="0" fontId="8" fillId="27" borderId="0" xfId="0" applyFont="1" applyFill="1" applyAlignment="1" applyProtection="1">
      <alignment horizontal="center" vertical="center"/>
      <protection locked="0"/>
    </xf>
    <xf numFmtId="0" fontId="36" fillId="27" borderId="0" xfId="0" applyFont="1" applyFill="1" applyAlignment="1">
      <alignment horizontal="center"/>
    </xf>
    <xf numFmtId="0" fontId="18" fillId="27" borderId="0" xfId="0" applyFont="1" applyFill="1"/>
    <xf numFmtId="2" fontId="35" fillId="27" borderId="7" xfId="0" applyNumberFormat="1" applyFont="1" applyFill="1" applyBorder="1" applyAlignment="1">
      <alignment horizontal="center" vertical="center"/>
    </xf>
    <xf numFmtId="2" fontId="35" fillId="27" borderId="27" xfId="0" applyNumberFormat="1" applyFont="1" applyFill="1" applyBorder="1" applyAlignment="1">
      <alignment horizontal="center" vertical="center"/>
    </xf>
    <xf numFmtId="0" fontId="35" fillId="27" borderId="0" xfId="0" applyFont="1" applyFill="1" applyAlignment="1">
      <alignment horizontal="center" vertical="center"/>
    </xf>
    <xf numFmtId="0" fontId="58" fillId="0" borderId="0" xfId="0" quotePrefix="1" applyFont="1" applyAlignment="1">
      <alignment vertical="center"/>
    </xf>
    <xf numFmtId="0" fontId="0" fillId="0" borderId="0" xfId="0" quotePrefix="1" applyFont="1"/>
    <xf numFmtId="0" fontId="0" fillId="0" borderId="0" xfId="0" quotePrefix="1"/>
    <xf numFmtId="0" fontId="0" fillId="0" borderId="0" xfId="0" quotePrefix="1" applyFont="1" applyAlignment="1"/>
    <xf numFmtId="0" fontId="60" fillId="0" borderId="0" xfId="0" applyFont="1" applyFill="1" applyAlignment="1">
      <alignment horizontal="center" vertical="center"/>
    </xf>
    <xf numFmtId="0" fontId="61" fillId="0" borderId="0" xfId="0" applyFont="1" applyFill="1"/>
    <xf numFmtId="0" fontId="0" fillId="0" borderId="0" xfId="0" applyFont="1" applyFill="1" applyBorder="1" applyAlignment="1">
      <alignment horizontal="center"/>
    </xf>
    <xf numFmtId="0" fontId="0" fillId="0" borderId="45" xfId="0" applyBorder="1"/>
    <xf numFmtId="0" fontId="0" fillId="0" borderId="46" xfId="0" applyBorder="1"/>
    <xf numFmtId="0" fontId="0" fillId="0" borderId="56" xfId="0" applyBorder="1"/>
    <xf numFmtId="0" fontId="0" fillId="0" borderId="57" xfId="0" applyBorder="1"/>
    <xf numFmtId="0" fontId="0" fillId="0" borderId="58" xfId="0" applyBorder="1"/>
    <xf numFmtId="0" fontId="0" fillId="0" borderId="59" xfId="0" applyBorder="1"/>
    <xf numFmtId="0" fontId="64" fillId="0" borderId="0" xfId="0" applyFont="1"/>
    <xf numFmtId="0" fontId="80" fillId="0" borderId="102" xfId="0" applyFont="1" applyBorder="1" applyAlignment="1">
      <alignment horizontal="center" vertical="center" wrapText="1"/>
    </xf>
    <xf numFmtId="0" fontId="80" fillId="0" borderId="103" xfId="0" applyFont="1" applyBorder="1" applyAlignment="1">
      <alignment horizontal="center" vertical="center" wrapText="1"/>
    </xf>
    <xf numFmtId="0" fontId="80" fillId="0" borderId="104" xfId="0" applyFont="1" applyBorder="1" applyAlignment="1">
      <alignment horizontal="center" vertical="center" wrapText="1"/>
    </xf>
    <xf numFmtId="0" fontId="10" fillId="3" borderId="0" xfId="0" applyFont="1" applyFill="1" applyBorder="1" applyAlignment="1">
      <alignment vertical="center" wrapText="1"/>
    </xf>
    <xf numFmtId="0" fontId="10" fillId="0" borderId="0" xfId="0" applyFont="1" applyFill="1" applyBorder="1" applyAlignment="1">
      <alignment vertical="center" wrapText="1"/>
    </xf>
    <xf numFmtId="0" fontId="12" fillId="0" borderId="0" xfId="0" applyFont="1" applyFill="1" applyAlignment="1">
      <alignment horizontal="center" vertical="center" wrapText="1"/>
    </xf>
    <xf numFmtId="0" fontId="17" fillId="2" borderId="0" xfId="0" applyFont="1" applyFill="1" applyAlignment="1">
      <alignment horizontal="center" vertical="center"/>
    </xf>
    <xf numFmtId="0" fontId="0" fillId="2" borderId="0" xfId="0" applyNumberFormat="1" applyFont="1" applyFill="1" applyAlignment="1">
      <alignment horizontal="center" vertical="center"/>
    </xf>
    <xf numFmtId="0" fontId="64" fillId="0" borderId="58" xfId="0" applyFont="1" applyBorder="1" applyAlignment="1">
      <alignment horizontal="center"/>
    </xf>
    <xf numFmtId="0" fontId="64" fillId="0" borderId="60" xfId="0" applyFont="1" applyBorder="1" applyAlignment="1">
      <alignment horizontal="center" vertical="center"/>
    </xf>
    <xf numFmtId="0" fontId="64" fillId="0" borderId="57" xfId="0" applyFont="1" applyBorder="1" applyAlignment="1">
      <alignment horizontal="center" vertical="center"/>
    </xf>
    <xf numFmtId="0" fontId="23" fillId="3" borderId="61" xfId="0" applyFont="1" applyFill="1" applyBorder="1" applyAlignment="1">
      <alignment horizontal="center" vertical="center"/>
    </xf>
    <xf numFmtId="0" fontId="67" fillId="0" borderId="0" xfId="0" applyFont="1" applyFill="1" applyAlignment="1">
      <alignment horizontal="center" vertical="center"/>
    </xf>
    <xf numFmtId="0" fontId="81" fillId="0" borderId="0" xfId="0" applyFont="1" applyFill="1"/>
    <xf numFmtId="0" fontId="60" fillId="0" borderId="0" xfId="0" applyNumberFormat="1" applyFont="1" applyFill="1" applyAlignment="1">
      <alignment horizontal="center" vertical="center"/>
    </xf>
    <xf numFmtId="0" fontId="60" fillId="0" borderId="0" xfId="0" applyFont="1" applyFill="1"/>
    <xf numFmtId="0" fontId="67" fillId="0" borderId="0" xfId="0" applyFont="1" applyFill="1" applyProtection="1">
      <protection locked="0"/>
    </xf>
    <xf numFmtId="0" fontId="5" fillId="2" borderId="0" xfId="0" applyFont="1" applyFill="1" applyAlignment="1">
      <alignment horizontal="center" vertical="center"/>
    </xf>
    <xf numFmtId="0" fontId="59" fillId="5" borderId="0" xfId="0" applyFont="1" applyFill="1" applyBorder="1" applyAlignment="1">
      <alignment horizontal="center" vertical="center"/>
    </xf>
    <xf numFmtId="0" fontId="59" fillId="5" borderId="1" xfId="0" applyFont="1" applyFill="1" applyBorder="1" applyAlignment="1">
      <alignment horizontal="center" vertical="center"/>
    </xf>
    <xf numFmtId="0" fontId="65" fillId="2" borderId="0" xfId="0" applyFont="1" applyFill="1" applyAlignment="1">
      <alignment horizontal="center" vertical="center"/>
    </xf>
    <xf numFmtId="0" fontId="6" fillId="2" borderId="0" xfId="0" applyNumberFormat="1" applyFont="1" applyFill="1" applyAlignment="1">
      <alignment horizontal="center" vertical="center"/>
    </xf>
    <xf numFmtId="0" fontId="65" fillId="2" borderId="0" xfId="0" applyFont="1" applyFill="1" applyProtection="1">
      <protection locked="0"/>
    </xf>
    <xf numFmtId="0" fontId="4" fillId="4" borderId="0" xfId="0" applyFont="1" applyFill="1" applyBorder="1" applyAlignment="1">
      <alignment horizontal="center" vertical="center"/>
    </xf>
    <xf numFmtId="0" fontId="4" fillId="0" borderId="1" xfId="0" applyFont="1" applyFill="1" applyBorder="1" applyAlignment="1">
      <alignment horizontal="center" vertical="center"/>
    </xf>
    <xf numFmtId="0" fontId="14" fillId="3" borderId="0" xfId="0" applyFont="1" applyFill="1" applyBorder="1" applyAlignment="1">
      <alignment horizontal="center" vertical="center"/>
    </xf>
    <xf numFmtId="0" fontId="57" fillId="30" borderId="120" xfId="0" applyFont="1" applyFill="1" applyBorder="1" applyAlignment="1">
      <alignment wrapText="1" readingOrder="1"/>
    </xf>
    <xf numFmtId="0" fontId="85" fillId="30" borderId="121" xfId="0" applyFont="1" applyFill="1" applyBorder="1" applyAlignment="1">
      <alignment wrapText="1" readingOrder="1"/>
    </xf>
    <xf numFmtId="0" fontId="85" fillId="30" borderId="126" xfId="0" applyFont="1" applyFill="1" applyBorder="1" applyAlignment="1">
      <alignment wrapText="1" readingOrder="1"/>
    </xf>
    <xf numFmtId="0" fontId="85" fillId="30" borderId="121" xfId="0" applyFont="1" applyFill="1" applyBorder="1" applyAlignment="1">
      <alignment horizontal="center" vertical="center" wrapText="1" readingOrder="1"/>
    </xf>
    <xf numFmtId="0" fontId="85" fillId="30" borderId="126" xfId="0" applyFont="1" applyFill="1" applyBorder="1" applyAlignment="1">
      <alignment horizontal="center" vertical="center" wrapText="1" readingOrder="1"/>
    </xf>
    <xf numFmtId="0" fontId="86" fillId="31" borderId="122" xfId="0" applyFont="1" applyFill="1" applyBorder="1" applyAlignment="1">
      <alignment horizontal="center" vertical="center" wrapText="1" readingOrder="1"/>
    </xf>
    <xf numFmtId="0" fontId="86" fillId="32" borderId="123" xfId="0" applyFont="1" applyFill="1" applyBorder="1" applyAlignment="1">
      <alignment horizontal="center" vertical="center" wrapText="1" readingOrder="1"/>
    </xf>
    <xf numFmtId="0" fontId="86" fillId="32" borderId="124" xfId="0" applyFont="1" applyFill="1" applyBorder="1" applyAlignment="1">
      <alignment horizontal="center" vertical="center" wrapText="1" readingOrder="1"/>
    </xf>
    <xf numFmtId="0" fontId="86" fillId="33" borderId="124" xfId="0" applyFont="1" applyFill="1" applyBorder="1" applyAlignment="1">
      <alignment horizontal="center" vertical="center" wrapText="1" readingOrder="1"/>
    </xf>
    <xf numFmtId="0" fontId="86" fillId="32" borderId="125" xfId="0" applyFont="1" applyFill="1" applyBorder="1" applyAlignment="1">
      <alignment horizontal="center" vertical="center" wrapText="1" readingOrder="1"/>
    </xf>
    <xf numFmtId="0" fontId="86" fillId="34" borderId="124" xfId="0" applyFont="1" applyFill="1" applyBorder="1" applyAlignment="1">
      <alignment horizontal="center" vertical="center" wrapText="1" readingOrder="1"/>
    </xf>
    <xf numFmtId="0" fontId="86" fillId="35" borderId="124" xfId="0" applyFont="1" applyFill="1" applyBorder="1" applyAlignment="1">
      <alignment horizontal="center" vertical="center" wrapText="1" readingOrder="1"/>
    </xf>
    <xf numFmtId="0" fontId="86" fillId="36" borderId="124" xfId="0" applyFont="1" applyFill="1" applyBorder="1" applyAlignment="1">
      <alignment horizontal="center" vertical="center" wrapText="1" readingOrder="1"/>
    </xf>
    <xf numFmtId="0" fontId="86" fillId="33" borderId="123" xfId="0" applyFont="1" applyFill="1" applyBorder="1" applyAlignment="1">
      <alignment horizontal="center" vertical="center" wrapText="1" readingOrder="1"/>
    </xf>
    <xf numFmtId="0" fontId="86" fillId="35" borderId="125" xfId="0" applyFont="1" applyFill="1" applyBorder="1" applyAlignment="1">
      <alignment horizontal="center" vertical="center" wrapText="1" readingOrder="1"/>
    </xf>
    <xf numFmtId="0" fontId="86" fillId="33" borderId="125" xfId="0" applyFont="1" applyFill="1" applyBorder="1" applyAlignment="1">
      <alignment horizontal="center" vertical="center" wrapText="1" readingOrder="1"/>
    </xf>
    <xf numFmtId="0" fontId="86" fillId="34" borderId="125" xfId="0" applyFont="1" applyFill="1" applyBorder="1" applyAlignment="1">
      <alignment horizontal="center" vertical="center" wrapText="1" readingOrder="1"/>
    </xf>
    <xf numFmtId="0" fontId="86" fillId="32" borderId="122" xfId="0" applyFont="1" applyFill="1" applyBorder="1" applyAlignment="1">
      <alignment horizontal="center" vertical="center" wrapText="1" readingOrder="1"/>
    </xf>
    <xf numFmtId="0" fontId="86" fillId="35" borderId="123" xfId="0" applyFont="1" applyFill="1" applyBorder="1" applyAlignment="1">
      <alignment horizontal="center" vertical="center" wrapText="1" readingOrder="1"/>
    </xf>
    <xf numFmtId="0" fontId="86" fillId="34" borderId="123" xfId="0" applyFont="1" applyFill="1" applyBorder="1" applyAlignment="1">
      <alignment horizontal="center" vertical="center" wrapText="1" readingOrder="1"/>
    </xf>
    <xf numFmtId="0" fontId="0"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ont="1" applyAlignment="1">
      <alignment horizontal="center" vertical="center"/>
    </xf>
    <xf numFmtId="0" fontId="57" fillId="0" borderId="129" xfId="0" applyFont="1" applyBorder="1" applyAlignment="1">
      <alignment wrapText="1" readingOrder="1"/>
    </xf>
    <xf numFmtId="0" fontId="57" fillId="0" borderId="124" xfId="0" applyFont="1" applyBorder="1" applyAlignment="1">
      <alignment wrapText="1" readingOrder="1"/>
    </xf>
    <xf numFmtId="0" fontId="57" fillId="0" borderId="125" xfId="0" applyFont="1" applyBorder="1" applyAlignment="1">
      <alignment wrapText="1" readingOrder="1"/>
    </xf>
    <xf numFmtId="0" fontId="87" fillId="0" borderId="129" xfId="0" applyFont="1" applyBorder="1" applyAlignment="1">
      <alignment wrapText="1" readingOrder="1"/>
    </xf>
    <xf numFmtId="0" fontId="87" fillId="0" borderId="124" xfId="0" applyFont="1" applyBorder="1" applyAlignment="1">
      <alignment wrapText="1" readingOrder="1"/>
    </xf>
    <xf numFmtId="0" fontId="87" fillId="0" borderId="125" xfId="0" applyFont="1" applyBorder="1" applyAlignment="1">
      <alignment wrapText="1" readingOrder="1"/>
    </xf>
    <xf numFmtId="0" fontId="57" fillId="0" borderId="122" xfId="0" applyFont="1" applyBorder="1" applyAlignment="1">
      <alignment wrapText="1" readingOrder="1"/>
    </xf>
    <xf numFmtId="0" fontId="57" fillId="0" borderId="120" xfId="0" applyFont="1" applyBorder="1" applyAlignment="1">
      <alignment wrapText="1" readingOrder="1"/>
    </xf>
    <xf numFmtId="0" fontId="57" fillId="0" borderId="127" xfId="0" applyFont="1" applyBorder="1" applyAlignment="1">
      <alignment wrapText="1" readingOrder="1"/>
    </xf>
    <xf numFmtId="0" fontId="57" fillId="0" borderId="128" xfId="0" applyFont="1" applyBorder="1" applyAlignment="1">
      <alignment wrapText="1" readingOrder="1"/>
    </xf>
    <xf numFmtId="2" fontId="36" fillId="11" borderId="7" xfId="0" quotePrefix="1" applyNumberFormat="1" applyFont="1" applyFill="1" applyBorder="1" applyAlignment="1">
      <alignment horizontal="center"/>
    </xf>
    <xf numFmtId="0" fontId="51" fillId="17" borderId="28" xfId="0" applyFont="1" applyFill="1" applyBorder="1" applyAlignment="1">
      <alignment horizontal="left" vertical="center"/>
    </xf>
    <xf numFmtId="0" fontId="0" fillId="0" borderId="0" xfId="0" applyBorder="1"/>
    <xf numFmtId="0" fontId="0" fillId="18" borderId="33" xfId="0" applyFill="1" applyBorder="1" applyAlignment="1" applyProtection="1">
      <alignment horizontal="center"/>
      <protection locked="0"/>
    </xf>
    <xf numFmtId="0" fontId="0" fillId="18" borderId="28" xfId="0" applyFill="1" applyBorder="1" applyAlignment="1" applyProtection="1">
      <alignment horizontal="center"/>
      <protection locked="0"/>
    </xf>
    <xf numFmtId="0" fontId="0" fillId="0" borderId="0" xfId="0" applyAlignment="1">
      <alignment horizontal="center" wrapText="1"/>
    </xf>
    <xf numFmtId="0" fontId="22" fillId="2" borderId="0" xfId="0" applyFont="1" applyFill="1" applyBorder="1" applyAlignment="1" applyProtection="1">
      <alignment horizontal="left" vertical="center" wrapText="1"/>
      <protection locked="0"/>
    </xf>
    <xf numFmtId="0" fontId="88" fillId="0" borderId="0" xfId="13" applyNumberFormat="1" applyFont="1"/>
    <xf numFmtId="0" fontId="57" fillId="0" borderId="0" xfId="10" applyNumberFormat="1" applyFont="1"/>
    <xf numFmtId="0" fontId="80" fillId="0" borderId="0" xfId="0" applyFont="1" applyBorder="1" applyAlignment="1">
      <alignment vertical="center" wrapText="1"/>
    </xf>
    <xf numFmtId="0" fontId="61" fillId="0" borderId="0" xfId="0" applyFont="1" applyBorder="1" applyAlignment="1">
      <alignment vertical="center" wrapText="1"/>
    </xf>
    <xf numFmtId="0" fontId="80" fillId="0" borderId="71" xfId="0" applyFont="1" applyBorder="1" applyAlignment="1">
      <alignment vertical="center" wrapText="1"/>
    </xf>
    <xf numFmtId="0" fontId="77" fillId="0" borderId="43" xfId="0" applyFont="1" applyBorder="1" applyAlignment="1">
      <alignment horizontal="center" vertical="center" wrapText="1"/>
    </xf>
    <xf numFmtId="0" fontId="64" fillId="0" borderId="43" xfId="0" applyFont="1" applyBorder="1" applyAlignment="1">
      <alignment horizontal="center" vertical="center"/>
    </xf>
    <xf numFmtId="0" fontId="26" fillId="3" borderId="0" xfId="0" applyFont="1" applyFill="1" applyBorder="1" applyAlignment="1" applyProtection="1">
      <alignment horizontal="center" vertical="center"/>
      <protection locked="0"/>
    </xf>
    <xf numFmtId="0" fontId="23" fillId="3" borderId="79"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2" xfId="0" applyFont="1" applyFill="1" applyBorder="1" applyAlignment="1">
      <alignment horizontal="center" vertical="center"/>
    </xf>
    <xf numFmtId="0" fontId="10" fillId="3" borderId="2" xfId="0" applyFont="1" applyFill="1" applyBorder="1" applyAlignment="1" applyProtection="1">
      <alignment horizontal="center" vertical="center"/>
      <protection locked="0"/>
    </xf>
    <xf numFmtId="0" fontId="66" fillId="27" borderId="0" xfId="0" applyFont="1" applyFill="1" applyBorder="1" applyAlignment="1" applyProtection="1">
      <alignment horizontal="center" vertical="center"/>
      <protection locked="0"/>
    </xf>
    <xf numFmtId="49" fontId="33" fillId="3" borderId="0" xfId="0" applyNumberFormat="1" applyFont="1" applyFill="1" applyBorder="1" applyAlignment="1">
      <alignment horizontal="left" vertical="center"/>
    </xf>
    <xf numFmtId="0" fontId="10" fillId="3" borderId="0" xfId="0" applyFont="1" applyFill="1" applyBorder="1" applyAlignment="1" applyProtection="1">
      <alignment horizontal="center" vertical="center"/>
      <protection locked="0"/>
    </xf>
    <xf numFmtId="0" fontId="57" fillId="18" borderId="7" xfId="4" applyNumberFormat="1" applyFont="1" applyFill="1" applyBorder="1"/>
    <xf numFmtId="0" fontId="57" fillId="18" borderId="32" xfId="4" applyNumberFormat="1" applyFont="1" applyFill="1" applyBorder="1"/>
    <xf numFmtId="0" fontId="88" fillId="0" borderId="32" xfId="13" applyNumberFormat="1" applyFont="1" applyBorder="1"/>
    <xf numFmtId="0" fontId="0" fillId="0" borderId="7" xfId="0" applyBorder="1"/>
    <xf numFmtId="0" fontId="0" fillId="0" borderId="27" xfId="0" applyBorder="1"/>
    <xf numFmtId="0" fontId="89" fillId="0" borderId="0" xfId="14" applyNumberFormat="1" applyFont="1"/>
    <xf numFmtId="0" fontId="89" fillId="0" borderId="0" xfId="14" applyNumberFormat="1" applyFont="1"/>
    <xf numFmtId="0" fontId="89" fillId="0" borderId="0" xfId="14" applyNumberFormat="1" applyFont="1"/>
    <xf numFmtId="0" fontId="64" fillId="0" borderId="52" xfId="0" applyFont="1" applyBorder="1" applyAlignment="1">
      <alignment horizontal="center" vertical="center"/>
    </xf>
    <xf numFmtId="1" fontId="60" fillId="0" borderId="65" xfId="0" applyNumberFormat="1" applyFont="1" applyBorder="1" applyAlignment="1">
      <alignment horizontal="center" vertical="center"/>
    </xf>
    <xf numFmtId="1" fontId="60" fillId="0" borderId="66" xfId="0" applyNumberFormat="1" applyFont="1" applyBorder="1" applyAlignment="1">
      <alignment horizontal="center" vertical="center"/>
    </xf>
    <xf numFmtId="1" fontId="60" fillId="0" borderId="74" xfId="0" applyNumberFormat="1" applyFont="1" applyBorder="1" applyAlignment="1">
      <alignment horizontal="center" vertical="center"/>
    </xf>
    <xf numFmtId="1" fontId="60" fillId="0" borderId="68" xfId="0" applyNumberFormat="1" applyFont="1" applyBorder="1" applyAlignment="1">
      <alignment horizontal="center" vertical="center"/>
    </xf>
    <xf numFmtId="0" fontId="64" fillId="0" borderId="51" xfId="0" applyFont="1" applyBorder="1" applyAlignment="1">
      <alignment horizontal="center" vertical="center"/>
    </xf>
    <xf numFmtId="0" fontId="14" fillId="3" borderId="0" xfId="0" applyFont="1" applyFill="1" applyBorder="1" applyAlignment="1">
      <alignment horizontal="center" vertical="center"/>
    </xf>
    <xf numFmtId="0" fontId="0" fillId="0" borderId="65" xfId="0" applyBorder="1"/>
    <xf numFmtId="0" fontId="61" fillId="0" borderId="65" xfId="0" applyFont="1" applyBorder="1"/>
    <xf numFmtId="0" fontId="0" fillId="0" borderId="74" xfId="0" applyBorder="1"/>
    <xf numFmtId="0" fontId="90" fillId="0" borderId="95" xfId="0" applyFont="1" applyBorder="1"/>
    <xf numFmtId="0" fontId="4" fillId="27" borderId="70" xfId="0" applyFont="1" applyFill="1" applyBorder="1" applyAlignment="1" applyProtection="1">
      <alignment horizontal="center" vertical="center"/>
      <protection locked="0"/>
    </xf>
    <xf numFmtId="0" fontId="4" fillId="27" borderId="68" xfId="0" applyFont="1" applyFill="1" applyBorder="1" applyAlignment="1" applyProtection="1">
      <alignment horizontal="center" vertical="center"/>
      <protection locked="0"/>
    </xf>
    <xf numFmtId="0" fontId="4" fillId="27" borderId="69" xfId="0" applyFont="1" applyFill="1" applyBorder="1" applyAlignment="1" applyProtection="1">
      <alignment horizontal="center" vertical="center"/>
      <protection locked="0"/>
    </xf>
    <xf numFmtId="0" fontId="4" fillId="27" borderId="63" xfId="0" applyFont="1" applyFill="1" applyBorder="1" applyAlignment="1" applyProtection="1">
      <alignment horizontal="center" vertical="center"/>
      <protection locked="0"/>
    </xf>
    <xf numFmtId="0" fontId="4" fillId="27" borderId="42" xfId="0" applyFont="1" applyFill="1" applyBorder="1" applyAlignment="1" applyProtection="1">
      <alignment horizontal="center" vertical="center"/>
      <protection locked="0"/>
    </xf>
    <xf numFmtId="0" fontId="4" fillId="27" borderId="1" xfId="0" applyFont="1" applyFill="1" applyBorder="1" applyAlignment="1" applyProtection="1">
      <alignment horizontal="center" vertical="center"/>
      <protection locked="0"/>
    </xf>
    <xf numFmtId="0" fontId="4" fillId="27" borderId="55" xfId="0" applyFont="1" applyFill="1" applyBorder="1" applyAlignment="1" applyProtection="1">
      <alignment horizontal="center" vertical="center"/>
      <protection locked="0"/>
    </xf>
    <xf numFmtId="0" fontId="4" fillId="27" borderId="67" xfId="0" applyFont="1" applyFill="1" applyBorder="1" applyAlignment="1" applyProtection="1">
      <alignment horizontal="center" vertical="center"/>
      <protection locked="0"/>
    </xf>
    <xf numFmtId="0" fontId="33" fillId="3" borderId="64" xfId="0" applyFont="1" applyFill="1" applyBorder="1" applyAlignment="1">
      <alignment horizontal="center" vertical="center"/>
    </xf>
    <xf numFmtId="0" fontId="33" fillId="3" borderId="65" xfId="0" applyFont="1" applyFill="1" applyBorder="1" applyAlignment="1">
      <alignment horizontal="center" vertical="center"/>
    </xf>
    <xf numFmtId="0" fontId="33" fillId="3" borderId="66" xfId="0" applyFont="1" applyFill="1" applyBorder="1" applyAlignment="1">
      <alignment horizontal="center" vertical="center"/>
    </xf>
    <xf numFmtId="0" fontId="4" fillId="27" borderId="62" xfId="0" applyFont="1" applyFill="1" applyBorder="1" applyAlignment="1" applyProtection="1">
      <alignment horizontal="center" vertical="center"/>
      <protection locked="0"/>
    </xf>
    <xf numFmtId="0" fontId="4" fillId="27" borderId="0" xfId="0" applyFont="1" applyFill="1" applyBorder="1" applyAlignment="1" applyProtection="1">
      <alignment horizontal="center" vertical="center"/>
      <protection locked="0"/>
    </xf>
    <xf numFmtId="49" fontId="33" fillId="3" borderId="0" xfId="0" applyNumberFormat="1" applyFont="1" applyFill="1" applyBorder="1" applyAlignment="1">
      <alignment horizontal="left" vertical="center"/>
    </xf>
    <xf numFmtId="0" fontId="3" fillId="3" borderId="0" xfId="0" applyFont="1" applyFill="1" applyBorder="1" applyAlignment="1">
      <alignment horizontal="center" vertical="center"/>
    </xf>
    <xf numFmtId="0" fontId="33" fillId="3" borderId="0" xfId="0" applyFont="1" applyFill="1" applyBorder="1" applyAlignment="1">
      <alignment horizontal="center" vertical="center"/>
    </xf>
    <xf numFmtId="1" fontId="60" fillId="0" borderId="64" xfId="0" applyNumberFormat="1" applyFont="1" applyBorder="1" applyAlignment="1">
      <alignment horizontal="center" vertical="center"/>
    </xf>
    <xf numFmtId="1" fontId="60" fillId="0" borderId="66" xfId="0" applyNumberFormat="1" applyFont="1" applyBorder="1" applyAlignment="1">
      <alignment horizontal="center" vertical="center"/>
    </xf>
    <xf numFmtId="1" fontId="60" fillId="0" borderId="73" xfId="0" applyNumberFormat="1" applyFont="1" applyBorder="1" applyAlignment="1">
      <alignment horizontal="center" vertical="center"/>
    </xf>
    <xf numFmtId="1" fontId="60" fillId="0" borderId="68" xfId="0" applyNumberFormat="1" applyFont="1" applyBorder="1" applyAlignment="1">
      <alignment horizontal="center" vertical="center"/>
    </xf>
    <xf numFmtId="0" fontId="64" fillId="0" borderId="50" xfId="0" applyFont="1" applyBorder="1" applyAlignment="1">
      <alignment horizontal="center" vertical="center"/>
    </xf>
    <xf numFmtId="0" fontId="64" fillId="0" borderId="52" xfId="0" applyFont="1" applyBorder="1" applyAlignment="1">
      <alignment horizontal="center" vertical="center"/>
    </xf>
    <xf numFmtId="0" fontId="63" fillId="0" borderId="50" xfId="0" applyFont="1" applyBorder="1" applyAlignment="1">
      <alignment horizontal="center"/>
    </xf>
    <xf numFmtId="0" fontId="63" fillId="0" borderId="51" xfId="0" applyFont="1" applyBorder="1" applyAlignment="1">
      <alignment horizontal="center"/>
    </xf>
    <xf numFmtId="0" fontId="63" fillId="0" borderId="52" xfId="0" applyFont="1" applyBorder="1" applyAlignment="1">
      <alignment horizontal="center"/>
    </xf>
    <xf numFmtId="0" fontId="82" fillId="23" borderId="71" xfId="0" applyFont="1" applyFill="1" applyBorder="1" applyAlignment="1">
      <alignment horizontal="center" vertical="center"/>
    </xf>
    <xf numFmtId="0" fontId="82" fillId="23" borderId="72" xfId="0" applyFont="1" applyFill="1" applyBorder="1" applyAlignment="1">
      <alignment horizontal="center" vertical="center"/>
    </xf>
    <xf numFmtId="0" fontId="82" fillId="21" borderId="71" xfId="0" applyFont="1" applyFill="1" applyBorder="1" applyAlignment="1">
      <alignment horizontal="center" vertical="center"/>
    </xf>
    <xf numFmtId="0" fontId="82" fillId="21" borderId="72" xfId="0" applyFont="1" applyFill="1" applyBorder="1" applyAlignment="1">
      <alignment horizontal="center" vertical="center"/>
    </xf>
    <xf numFmtId="0" fontId="61" fillId="0" borderId="64" xfId="0" applyFont="1" applyBorder="1" applyAlignment="1">
      <alignment horizontal="center" vertical="center"/>
    </xf>
    <xf numFmtId="0" fontId="61" fillId="0" borderId="73" xfId="0" applyFont="1" applyBorder="1" applyAlignment="1">
      <alignment horizontal="center" vertical="center"/>
    </xf>
    <xf numFmtId="1" fontId="60" fillId="0" borderId="77" xfId="0" applyNumberFormat="1" applyFont="1" applyBorder="1" applyAlignment="1">
      <alignment horizontal="center" vertical="center"/>
    </xf>
    <xf numFmtId="1" fontId="60" fillId="0" borderId="78" xfId="0" applyNumberFormat="1" applyFont="1" applyBorder="1" applyAlignment="1">
      <alignment horizontal="center" vertical="center"/>
    </xf>
    <xf numFmtId="1" fontId="60" fillId="0" borderId="75" xfId="0" applyNumberFormat="1" applyFont="1" applyBorder="1" applyAlignment="1">
      <alignment horizontal="center" vertical="center"/>
    </xf>
    <xf numFmtId="1" fontId="60" fillId="0" borderId="76" xfId="0" applyNumberFormat="1" applyFont="1" applyBorder="1" applyAlignment="1">
      <alignment horizontal="center" vertical="center"/>
    </xf>
    <xf numFmtId="0" fontId="82" fillId="20" borderId="64" xfId="0" applyFont="1" applyFill="1" applyBorder="1" applyAlignment="1">
      <alignment horizontal="center" vertical="center"/>
    </xf>
    <xf numFmtId="0" fontId="82" fillId="20" borderId="73" xfId="0" applyFont="1" applyFill="1" applyBorder="1" applyAlignment="1">
      <alignment horizontal="center" vertical="center"/>
    </xf>
    <xf numFmtId="0" fontId="82" fillId="22" borderId="65" xfId="0" applyFont="1" applyFill="1" applyBorder="1" applyAlignment="1">
      <alignment horizontal="center" vertical="center"/>
    </xf>
    <xf numFmtId="0" fontId="82" fillId="22" borderId="74" xfId="0" applyFont="1" applyFill="1" applyBorder="1" applyAlignment="1">
      <alignment horizontal="center" vertical="center"/>
    </xf>
    <xf numFmtId="1" fontId="54" fillId="0" borderId="71" xfId="11" applyNumberFormat="1" applyBorder="1" applyAlignment="1">
      <alignment horizontal="center" vertical="center"/>
    </xf>
    <xf numFmtId="1" fontId="54" fillId="0" borderId="72" xfId="11" applyNumberFormat="1" applyBorder="1" applyAlignment="1">
      <alignment horizontal="center" vertical="center"/>
    </xf>
    <xf numFmtId="0" fontId="60" fillId="0" borderId="37" xfId="0" applyFont="1" applyBorder="1" applyAlignment="1">
      <alignment horizontal="center" vertical="center"/>
    </xf>
    <xf numFmtId="0" fontId="60" fillId="0" borderId="48" xfId="0" applyFont="1" applyBorder="1" applyAlignment="1">
      <alignment horizontal="center" vertical="center"/>
    </xf>
    <xf numFmtId="0" fontId="60" fillId="0" borderId="39" xfId="0" applyFont="1" applyBorder="1" applyAlignment="1">
      <alignment horizontal="center" vertical="center"/>
    </xf>
    <xf numFmtId="0" fontId="60" fillId="0" borderId="40" xfId="0" applyFont="1" applyBorder="1" applyAlignment="1">
      <alignment horizontal="center" vertical="center"/>
    </xf>
    <xf numFmtId="0" fontId="64" fillId="0" borderId="50" xfId="0" applyFont="1" applyBorder="1" applyAlignment="1">
      <alignment horizontal="center"/>
    </xf>
    <xf numFmtId="0" fontId="64" fillId="0" borderId="51" xfId="0" applyFont="1" applyBorder="1" applyAlignment="1">
      <alignment horizontal="center"/>
    </xf>
    <xf numFmtId="0" fontId="64" fillId="0" borderId="52" xfId="0" applyFont="1" applyBorder="1" applyAlignment="1">
      <alignment horizontal="center"/>
    </xf>
    <xf numFmtId="0" fontId="80" fillId="0" borderId="50" xfId="0" applyFont="1" applyBorder="1" applyAlignment="1">
      <alignment horizontal="center" vertical="center" wrapText="1"/>
    </xf>
    <xf numFmtId="0" fontId="80" fillId="0" borderId="51" xfId="0" applyFont="1" applyBorder="1" applyAlignment="1">
      <alignment horizontal="center" vertical="center" wrapText="1"/>
    </xf>
    <xf numFmtId="0" fontId="61" fillId="0" borderId="71" xfId="0" applyFont="1" applyBorder="1" applyAlignment="1">
      <alignment horizontal="center" vertical="center" wrapText="1"/>
    </xf>
    <xf numFmtId="0" fontId="61" fillId="0" borderId="72" xfId="0" applyFont="1" applyBorder="1" applyAlignment="1">
      <alignment horizontal="center" vertical="center" wrapText="1"/>
    </xf>
    <xf numFmtId="0" fontId="80" fillId="0" borderId="52" xfId="0" applyFont="1" applyBorder="1" applyAlignment="1">
      <alignment horizontal="center" vertical="center" wrapText="1"/>
    </xf>
    <xf numFmtId="0" fontId="61" fillId="0" borderId="64" xfId="0" applyFont="1" applyBorder="1" applyAlignment="1">
      <alignment horizontal="center" vertical="center" wrapText="1"/>
    </xf>
    <xf numFmtId="0" fontId="61" fillId="0" borderId="65" xfId="0" applyFont="1" applyBorder="1" applyAlignment="1">
      <alignment horizontal="center" vertical="center" wrapText="1"/>
    </xf>
    <xf numFmtId="0" fontId="61" fillId="0" borderId="66" xfId="0" applyFont="1" applyBorder="1" applyAlignment="1">
      <alignment horizontal="center" vertical="center" wrapText="1"/>
    </xf>
    <xf numFmtId="0" fontId="61" fillId="0" borderId="73" xfId="0" applyFont="1" applyBorder="1" applyAlignment="1">
      <alignment horizontal="center" vertical="center" wrapText="1"/>
    </xf>
    <xf numFmtId="0" fontId="61" fillId="0" borderId="74" xfId="0" applyFont="1" applyBorder="1" applyAlignment="1">
      <alignment horizontal="center" vertical="center" wrapText="1"/>
    </xf>
    <xf numFmtId="0" fontId="61" fillId="0" borderId="68" xfId="0" applyFont="1" applyBorder="1" applyAlignment="1">
      <alignment horizontal="center" vertical="center" wrapText="1"/>
    </xf>
    <xf numFmtId="0" fontId="60" fillId="0" borderId="130" xfId="0" applyFont="1" applyBorder="1" applyAlignment="1">
      <alignment horizontal="center" vertical="center"/>
    </xf>
    <xf numFmtId="0" fontId="60" fillId="0" borderId="131" xfId="0" applyFont="1" applyBorder="1" applyAlignment="1">
      <alignment horizontal="center" vertical="center"/>
    </xf>
    <xf numFmtId="0" fontId="64" fillId="0" borderId="57" xfId="0" applyFont="1" applyBorder="1" applyAlignment="1">
      <alignment horizontal="center"/>
    </xf>
    <xf numFmtId="0" fontId="64" fillId="0" borderId="58" xfId="0" applyFont="1" applyBorder="1" applyAlignment="1">
      <alignment horizontal="center"/>
    </xf>
    <xf numFmtId="0" fontId="64" fillId="0" borderId="60" xfId="0" applyFont="1" applyBorder="1" applyAlignment="1">
      <alignment horizontal="center"/>
    </xf>
    <xf numFmtId="168" fontId="60" fillId="0" borderId="71" xfId="0" applyNumberFormat="1" applyFont="1" applyBorder="1" applyAlignment="1">
      <alignment horizontal="center" vertical="center"/>
    </xf>
    <xf numFmtId="168" fontId="60" fillId="0" borderId="72" xfId="0" applyNumberFormat="1" applyFont="1" applyBorder="1" applyAlignment="1">
      <alignment horizontal="center" vertical="center"/>
    </xf>
    <xf numFmtId="0" fontId="23" fillId="3" borderId="79"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2" xfId="0" applyFont="1" applyFill="1" applyBorder="1" applyAlignment="1">
      <alignment horizontal="center" vertical="center"/>
    </xf>
    <xf numFmtId="0" fontId="19" fillId="27" borderId="0" xfId="0" applyFont="1" applyFill="1" applyBorder="1" applyAlignment="1">
      <alignment horizontal="center" vertical="center" wrapText="1"/>
    </xf>
    <xf numFmtId="0" fontId="20" fillId="27" borderId="0" xfId="0" applyFont="1" applyFill="1" applyBorder="1" applyAlignment="1" applyProtection="1">
      <alignment horizontal="center" vertical="center" wrapText="1"/>
      <protection locked="0"/>
    </xf>
    <xf numFmtId="0" fontId="21" fillId="0" borderId="0" xfId="0" applyFont="1" applyFill="1" applyBorder="1" applyAlignment="1">
      <alignment horizontal="left" vertical="center" indent="1"/>
    </xf>
    <xf numFmtId="0" fontId="14" fillId="3" borderId="0"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61" xfId="0" applyFont="1" applyFill="1" applyBorder="1" applyAlignment="1">
      <alignment horizontal="center" vertical="center"/>
    </xf>
    <xf numFmtId="0" fontId="10" fillId="3" borderId="2" xfId="0" applyFont="1" applyFill="1" applyBorder="1" applyAlignment="1" applyProtection="1">
      <alignment horizontal="center" vertical="center"/>
      <protection locked="0"/>
    </xf>
    <xf numFmtId="0" fontId="66" fillId="27" borderId="1" xfId="0" applyFont="1" applyFill="1" applyBorder="1" applyAlignment="1" applyProtection="1">
      <alignment horizontal="center" vertical="center"/>
      <protection locked="0"/>
    </xf>
    <xf numFmtId="0" fontId="66" fillId="27" borderId="69" xfId="0" applyFont="1" applyFill="1" applyBorder="1" applyAlignment="1" applyProtection="1">
      <alignment horizontal="center" vertical="center"/>
      <protection locked="0"/>
    </xf>
    <xf numFmtId="0" fontId="66" fillId="27" borderId="0" xfId="0" applyFont="1" applyFill="1" applyBorder="1" applyAlignment="1" applyProtection="1">
      <alignment horizontal="center" vertical="center"/>
      <protection locked="0"/>
    </xf>
    <xf numFmtId="0" fontId="10" fillId="3" borderId="61" xfId="0" applyFont="1" applyFill="1" applyBorder="1" applyAlignment="1" applyProtection="1">
      <alignment horizontal="center" vertical="center"/>
      <protection locked="0"/>
    </xf>
    <xf numFmtId="0" fontId="5" fillId="3" borderId="0" xfId="0" applyFont="1" applyFill="1" applyBorder="1" applyAlignment="1">
      <alignment horizontal="center" vertical="center"/>
    </xf>
    <xf numFmtId="0" fontId="32" fillId="27" borderId="0" xfId="0" applyFont="1" applyFill="1" applyBorder="1" applyAlignment="1" applyProtection="1">
      <alignment horizontal="center" vertical="center"/>
      <protection locked="0"/>
    </xf>
    <xf numFmtId="0" fontId="26" fillId="3" borderId="0" xfId="0" applyFont="1" applyFill="1" applyBorder="1" applyAlignment="1" applyProtection="1">
      <alignment horizontal="center" vertical="center"/>
      <protection locked="0"/>
    </xf>
    <xf numFmtId="0" fontId="15" fillId="27" borderId="0" xfId="0" applyFont="1" applyFill="1" applyBorder="1" applyAlignment="1" applyProtection="1">
      <alignment horizontal="left" vertical="center" wrapText="1"/>
      <protection locked="0"/>
    </xf>
    <xf numFmtId="0" fontId="25" fillId="6" borderId="80" xfId="0" applyFont="1" applyFill="1" applyBorder="1" applyAlignment="1" applyProtection="1">
      <alignment horizontal="center" vertical="center"/>
      <protection locked="0"/>
    </xf>
    <xf numFmtId="0" fontId="29" fillId="5" borderId="0" xfId="0" applyFont="1" applyFill="1" applyBorder="1" applyAlignment="1" applyProtection="1">
      <alignment horizontal="center" vertical="center"/>
      <protection locked="0"/>
    </xf>
    <xf numFmtId="0" fontId="70" fillId="15" borderId="31" xfId="1" applyNumberFormat="1" applyFont="1" applyFill="1" applyBorder="1" applyAlignment="1" applyProtection="1">
      <alignment horizontal="center" vertical="center"/>
      <protection locked="0"/>
    </xf>
    <xf numFmtId="0" fontId="83" fillId="3" borderId="31" xfId="0" applyFont="1" applyFill="1" applyBorder="1" applyAlignment="1" applyProtection="1">
      <alignment horizontal="center" vertical="center"/>
      <protection locked="0"/>
    </xf>
    <xf numFmtId="0" fontId="70" fillId="27" borderId="31" xfId="1" applyNumberFormat="1" applyFont="1" applyFill="1" applyBorder="1" applyAlignment="1" applyProtection="1">
      <alignment horizontal="center" vertical="center"/>
      <protection locked="0"/>
    </xf>
    <xf numFmtId="0" fontId="33" fillId="3" borderId="81" xfId="0" applyFont="1" applyFill="1" applyBorder="1" applyAlignment="1">
      <alignment horizontal="center" vertical="center"/>
    </xf>
    <xf numFmtId="0" fontId="10" fillId="3" borderId="0" xfId="0" applyFont="1" applyFill="1" applyBorder="1" applyAlignment="1">
      <alignment horizontal="center" vertical="center"/>
    </xf>
    <xf numFmtId="0" fontId="14" fillId="3" borderId="119" xfId="0" applyFont="1" applyFill="1" applyBorder="1" applyAlignment="1">
      <alignment horizontal="center" vertical="center"/>
    </xf>
    <xf numFmtId="0" fontId="10" fillId="3" borderId="0" xfId="0" applyFont="1" applyFill="1" applyBorder="1" applyAlignment="1">
      <alignment horizontal="center" vertical="center" wrapText="1"/>
    </xf>
    <xf numFmtId="0" fontId="0" fillId="0" borderId="28" xfId="0" applyFont="1" applyBorder="1" applyAlignment="1">
      <alignment vertical="center"/>
    </xf>
    <xf numFmtId="0" fontId="36" fillId="29" borderId="0" xfId="0" applyFont="1" applyFill="1" applyBorder="1" applyAlignment="1">
      <alignment horizontal="center" vertical="center" wrapText="1"/>
    </xf>
    <xf numFmtId="0" fontId="36" fillId="29" borderId="0" xfId="0" applyFont="1" applyFill="1" applyBorder="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vertical="center"/>
    </xf>
    <xf numFmtId="0" fontId="38" fillId="3" borderId="0" xfId="0" applyFont="1" applyFill="1" applyBorder="1" applyAlignment="1">
      <alignment horizontal="center" vertical="center"/>
    </xf>
    <xf numFmtId="0" fontId="41" fillId="3" borderId="0" xfId="0" applyFont="1" applyFill="1" applyBorder="1" applyAlignment="1">
      <alignment horizontal="center" vertical="center"/>
    </xf>
    <xf numFmtId="0" fontId="10" fillId="3" borderId="83" xfId="0" applyFont="1" applyFill="1" applyBorder="1" applyAlignment="1">
      <alignment horizontal="center" vertical="center"/>
    </xf>
    <xf numFmtId="0" fontId="17" fillId="3" borderId="8" xfId="0" applyFont="1" applyFill="1" applyBorder="1" applyAlignment="1">
      <alignment horizontal="center" vertical="center"/>
    </xf>
    <xf numFmtId="0" fontId="17" fillId="3" borderId="82" xfId="0" applyFont="1" applyFill="1" applyBorder="1" applyAlignment="1">
      <alignment horizontal="center" vertical="center"/>
    </xf>
    <xf numFmtId="0" fontId="36" fillId="0" borderId="0" xfId="0" applyFont="1" applyBorder="1" applyAlignment="1">
      <alignment horizontal="left"/>
    </xf>
    <xf numFmtId="0" fontId="0" fillId="0" borderId="0" xfId="0" applyFont="1" applyBorder="1" applyAlignment="1">
      <alignment horizontal="left"/>
    </xf>
    <xf numFmtId="164" fontId="35" fillId="27" borderId="7" xfId="12" applyFont="1" applyFill="1" applyBorder="1" applyAlignment="1" applyProtection="1">
      <alignment horizontal="center"/>
    </xf>
    <xf numFmtId="0" fontId="47" fillId="3" borderId="6" xfId="0" applyFont="1" applyFill="1" applyBorder="1" applyAlignment="1">
      <alignment horizontal="center" vertical="center"/>
    </xf>
    <xf numFmtId="0" fontId="0" fillId="0" borderId="0" xfId="0" applyBorder="1" applyAlignment="1">
      <alignment horizontal="left"/>
    </xf>
    <xf numFmtId="0" fontId="0" fillId="0" borderId="0" xfId="0" applyFont="1" applyBorder="1" applyAlignment="1">
      <alignment horizontal="left" wrapText="1"/>
    </xf>
    <xf numFmtId="0" fontId="36" fillId="0" borderId="0" xfId="0" applyFont="1" applyBorder="1" applyAlignment="1">
      <alignment horizontal="center"/>
    </xf>
    <xf numFmtId="0" fontId="0" fillId="0" borderId="0" xfId="0" applyFont="1" applyBorder="1" applyAlignment="1">
      <alignment horizontal="center" wrapText="1"/>
    </xf>
    <xf numFmtId="0" fontId="36" fillId="11" borderId="7" xfId="0" applyFont="1" applyFill="1" applyBorder="1" applyAlignment="1">
      <alignment horizontal="center" vertical="center"/>
    </xf>
    <xf numFmtId="0" fontId="17" fillId="12" borderId="0" xfId="0" applyFont="1" applyFill="1" applyBorder="1" applyAlignment="1">
      <alignment horizontal="center" vertical="center"/>
    </xf>
    <xf numFmtId="0" fontId="36" fillId="7" borderId="0" xfId="0" applyFont="1" applyFill="1" applyBorder="1" applyAlignment="1">
      <alignment horizontal="center" vertical="center"/>
    </xf>
    <xf numFmtId="0" fontId="34" fillId="11" borderId="7" xfId="0" applyFont="1" applyFill="1" applyBorder="1" applyAlignment="1">
      <alignment horizontal="center" vertical="center"/>
    </xf>
    <xf numFmtId="0" fontId="0" fillId="0" borderId="0" xfId="0" applyFill="1" applyBorder="1" applyAlignment="1">
      <alignment horizontal="center" vertical="center" wrapText="1"/>
    </xf>
    <xf numFmtId="0" fontId="0" fillId="0" borderId="0" xfId="0" applyAlignment="1">
      <alignment horizontal="center"/>
    </xf>
    <xf numFmtId="0" fontId="19" fillId="0" borderId="84" xfId="0" applyFont="1" applyBorder="1" applyAlignment="1">
      <alignment horizontal="center"/>
    </xf>
    <xf numFmtId="0" fontId="19" fillId="0" borderId="36" xfId="0" applyFont="1" applyBorder="1" applyAlignment="1">
      <alignment horizontal="center"/>
    </xf>
    <xf numFmtId="0" fontId="19" fillId="0" borderId="85" xfId="0" applyFont="1" applyBorder="1" applyAlignment="1">
      <alignment horizontal="center"/>
    </xf>
    <xf numFmtId="0" fontId="73" fillId="0" borderId="0" xfId="0" applyFont="1" applyAlignment="1">
      <alignment horizontal="center"/>
    </xf>
    <xf numFmtId="0" fontId="84" fillId="0" borderId="0" xfId="0" applyFont="1" applyAlignment="1">
      <alignment horizontal="center"/>
    </xf>
  </cellXfs>
  <cellStyles count="15">
    <cellStyle name="Collegamento ipertestuale" xfId="1" builtinId="8"/>
    <cellStyle name="Collegamento ipertestuale 2" xfId="2" xr:uid="{00000000-0005-0000-0000-000001000000}"/>
    <cellStyle name="Excel Built-in Normal" xfId="3" xr:uid="{00000000-0005-0000-0000-000002000000}"/>
    <cellStyle name="Normal 2" xfId="4" xr:uid="{00000000-0005-0000-0000-000003000000}"/>
    <cellStyle name="Normale" xfId="0" builtinId="0"/>
    <cellStyle name="Normale 2" xfId="5" xr:uid="{00000000-0005-0000-0000-000005000000}"/>
    <cellStyle name="Normale 3" xfId="6" xr:uid="{00000000-0005-0000-0000-000006000000}"/>
    <cellStyle name="Normale 3 2" xfId="7" xr:uid="{00000000-0005-0000-0000-000007000000}"/>
    <cellStyle name="Normale 4" xfId="8" xr:uid="{00000000-0005-0000-0000-000008000000}"/>
    <cellStyle name="Normale 4 2" xfId="9" xr:uid="{00000000-0005-0000-0000-000009000000}"/>
    <cellStyle name="Normale 5" xfId="10" xr:uid="{00000000-0005-0000-0000-00000A000000}"/>
    <cellStyle name="Normale 6" xfId="13" xr:uid="{00000000-0005-0000-0000-00003B000000}"/>
    <cellStyle name="Normale 7" xfId="14" xr:uid="{00000000-0005-0000-0000-00003C000000}"/>
    <cellStyle name="Percentuale" xfId="11" builtinId="5"/>
    <cellStyle name="Valuta 2" xfId="12" xr:uid="{00000000-0005-0000-0000-00000C000000}"/>
  </cellStyles>
  <dxfs count="484">
    <dxf>
      <fill>
        <patternFill patternType="lightUp">
          <fgColor theme="0" tint="-0.24994659260841701"/>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ill>
        <patternFill patternType="lightUp">
          <fgColor theme="0" tint="-0.24994659260841701"/>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val="0"/>
        <condense val="0"/>
        <extend val="0"/>
      </font>
      <fill>
        <patternFill patternType="solid">
          <fgColor indexed="13"/>
          <bgColor indexed="34"/>
        </patternFill>
      </fill>
    </dxf>
    <dxf>
      <font>
        <color rgb="FF9C0006"/>
      </font>
      <fill>
        <patternFill>
          <bgColor rgb="FFFFC7CE"/>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alignment horizontal="center" vertical="bottom" textRotation="0" wrapText="1" indent="0" justifyLastLine="0" shrinkToFit="0" readingOrder="0"/>
    </dxf>
    <dxf>
      <border outline="0">
        <top style="thin">
          <color indexed="64"/>
        </top>
      </border>
    </dxf>
    <dxf>
      <font>
        <b val="0"/>
        <i val="0"/>
        <strike val="0"/>
        <condense val="0"/>
        <extend val="0"/>
        <outline val="0"/>
        <shadow val="0"/>
        <u val="none"/>
        <vertAlign val="baseline"/>
        <sz val="10"/>
        <color auto="1"/>
        <name val="Arial"/>
        <family val="2"/>
        <scheme val="none"/>
      </font>
      <alignment horizontal="center" vertical="bottom"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numFmt numFmtId="30" formatCode="@"/>
    </dxf>
    <dxf>
      <numFmt numFmtId="30" formatCode="@"/>
    </dxf>
    <dxf>
      <numFmt numFmtId="30" formatCode="@"/>
    </dxf>
    <dxf>
      <border outline="0">
        <top style="thin">
          <color indexed="64"/>
        </top>
      </border>
    </dxf>
    <dxf>
      <numFmt numFmtId="30" formatCode="@"/>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numFmt numFmtId="30" formatCode="@"/>
    </dxf>
    <dxf>
      <numFmt numFmtId="30" formatCode="@"/>
    </dxf>
    <dxf>
      <numFmt numFmtId="30" formatCode="@"/>
    </dxf>
    <dxf>
      <border outline="0">
        <top style="thin">
          <color indexed="64"/>
        </top>
      </border>
    </dxf>
    <dxf>
      <numFmt numFmtId="30" formatCode="@"/>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numFmt numFmtId="30" formatCode="@"/>
    </dxf>
    <dxf>
      <numFmt numFmtId="30" formatCode="@"/>
    </dxf>
    <dxf>
      <numFmt numFmtId="30" formatCode="@"/>
    </dxf>
    <dxf>
      <border outline="0">
        <top style="thin">
          <color indexed="64"/>
        </top>
      </border>
    </dxf>
    <dxf>
      <numFmt numFmtId="30" formatCode="@"/>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numFmt numFmtId="30" formatCode="@"/>
    </dxf>
    <dxf>
      <numFmt numFmtId="30" formatCode="@"/>
    </dxf>
    <dxf>
      <numFmt numFmtId="30" formatCode="@"/>
    </dxf>
    <dxf>
      <border outline="0">
        <top style="thin">
          <color indexed="64"/>
        </top>
      </border>
    </dxf>
    <dxf>
      <numFmt numFmtId="30" formatCode="@"/>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none"/>
      </font>
      <numFmt numFmtId="30" formatCode="@"/>
      <fill>
        <patternFill patternType="solid">
          <fgColor indexed="64"/>
          <bgColor theme="4" tint="0.79998168889431442"/>
        </patternFill>
      </fill>
      <alignment horizontal="general" vertical="bottom" textRotation="0" wrapText="0" indent="0" justifyLastLine="0" shrinkToFit="0" readingOrder="0"/>
    </dxf>
    <dxf>
      <border outline="0">
        <top style="thin">
          <color indexed="64"/>
        </top>
        <bottom style="thin">
          <color theme="4" tint="0.39997558519241921"/>
        </bottom>
      </border>
    </dxf>
    <dxf>
      <numFmt numFmtId="30" formatCode="@"/>
      <fill>
        <patternFill patternType="solid">
          <fgColor indexed="64"/>
        </patternFill>
      </fill>
    </dxf>
    <dxf>
      <border outline="0">
        <bottom style="thin">
          <color indexed="64"/>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style="thin">
          <color indexed="64"/>
        </right>
        <top/>
        <bottom/>
      </border>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val="0"/>
        <strike val="0"/>
        <condense val="0"/>
        <extend val="0"/>
      </font>
      <fill>
        <patternFill patternType="solid">
          <fgColor indexed="13"/>
          <bgColor theme="4" tint="0.39994506668294322"/>
        </patternFill>
      </fill>
    </dxf>
    <dxf>
      <font>
        <b/>
        <i val="0"/>
        <color rgb="FF00B050"/>
      </font>
    </dxf>
    <dxf>
      <font>
        <b/>
        <i val="0"/>
        <color theme="5" tint="-0.24994659260841701"/>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strike val="0"/>
        <condense val="0"/>
        <extend val="0"/>
      </font>
      <fill>
        <patternFill patternType="solid">
          <fgColor indexed="13"/>
          <bgColor indexed="34"/>
        </patternFill>
      </fill>
    </dxf>
    <dxf>
      <fill>
        <patternFill patternType="solid">
          <fgColor indexed="13"/>
          <bgColor indexed="34"/>
        </patternFill>
      </fill>
    </dxf>
    <dxf>
      <font>
        <color rgb="FF9C0006"/>
      </font>
      <fill>
        <patternFill>
          <bgColor rgb="FFFFC7CE"/>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ont>
        <color rgb="FF9C0006"/>
      </font>
      <fill>
        <patternFill>
          <bgColor rgb="FFFFC7CE"/>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ont>
        <color rgb="FF9C0006"/>
      </font>
      <fill>
        <patternFill>
          <bgColor rgb="FFFFC7CE"/>
        </patternFill>
      </fill>
    </dxf>
    <dxf>
      <fill>
        <patternFill patternType="solid">
          <fgColor indexed="13"/>
          <bgColor indexed="34"/>
        </patternFill>
      </fill>
    </dxf>
    <dxf>
      <fill>
        <patternFill patternType="solid">
          <fgColor indexed="16"/>
          <bgColor indexed="10"/>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3"/>
          <bgColor indexed="34"/>
        </patternFill>
      </fill>
    </dxf>
    <dxf>
      <fill>
        <patternFill patternType="solid">
          <fgColor indexed="16"/>
          <bgColor indexed="10"/>
        </patternFill>
      </fill>
    </dxf>
    <dxf>
      <fill>
        <patternFill patternType="solid">
          <fgColor indexed="16"/>
          <bgColor indexed="10"/>
        </patternFill>
      </fill>
    </dxf>
    <dxf>
      <fill>
        <patternFill>
          <bgColor theme="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strike/>
        <color theme="0"/>
      </font>
      <fill>
        <patternFill>
          <bgColor rgb="FFFF0000"/>
        </patternFill>
      </fill>
    </dxf>
    <dxf>
      <font>
        <color theme="0"/>
      </font>
      <fill>
        <patternFill>
          <bgColor rgb="FF00B050"/>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val="0"/>
        <condense val="0"/>
        <extend val="0"/>
      </font>
      <fill>
        <patternFill patternType="solid">
          <fgColor indexed="13"/>
          <bgColor indexed="34"/>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16"/>
          <bgColor indexed="10"/>
        </patternFill>
      </fill>
    </dxf>
    <dxf>
      <fill>
        <patternFill patternType="solid">
          <fgColor indexed="25"/>
          <bgColor indexed="60"/>
        </patternFill>
      </fill>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style="thin">
          <color theme="8"/>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0" formatCode="Genera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auto="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indexed="8"/>
        <name val="Arial"/>
        <family val="2"/>
        <scheme val="none"/>
      </font>
      <numFmt numFmtId="166" formatCode="0&quot; %&quo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indexed="8"/>
        <name val="Arial"/>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indexed="8"/>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theme="4" tint="0.39997558519241921"/>
        </left>
        <right/>
        <top style="thin">
          <color theme="4" tint="0.39997558519241921"/>
        </top>
        <bottom/>
      </border>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border>
    </dxf>
    <dxf>
      <border outline="0">
        <right style="thin">
          <color theme="4" tint="0.39997558519241921"/>
        </right>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9"/>
        <color indexed="9"/>
        <name val="Arial"/>
        <family val="2"/>
        <scheme val="none"/>
      </font>
      <numFmt numFmtId="30" formatCode="@"/>
      <fill>
        <patternFill patternType="solid">
          <fgColor indexed="62"/>
          <bgColor indexed="56"/>
        </patternFill>
      </fill>
      <alignment horizontal="left" vertical="center" textRotation="0" wrapText="0" indent="0" justifyLastLine="0" shrinkToFit="0" readingOrder="0"/>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color rgb="FFFF0000"/>
      </font>
    </dxf>
    <dxf>
      <font>
        <color theme="5"/>
      </font>
    </dxf>
    <dxf>
      <font>
        <b val="0"/>
        <condense val="0"/>
        <extend val="0"/>
        <color indexed="16"/>
      </font>
      <fill>
        <patternFill patternType="solid">
          <fgColor indexed="29"/>
          <bgColor indexed="45"/>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color rgb="FF00B050"/>
      </font>
    </dxf>
    <dxf>
      <font>
        <color rgb="FFFF0000"/>
      </font>
    </dxf>
    <dxf>
      <font>
        <color theme="5"/>
      </font>
    </dxf>
    <dxf>
      <font>
        <b val="0"/>
        <condense val="0"/>
        <extend val="0"/>
        <color indexed="16"/>
      </font>
      <fill>
        <patternFill patternType="solid">
          <fgColor indexed="29"/>
          <bgColor indexed="45"/>
        </patternFill>
      </fill>
    </dxf>
    <dxf>
      <font>
        <color rgb="FF00B050"/>
      </font>
    </dxf>
    <dxf>
      <font>
        <color rgb="FFFF0000"/>
      </font>
    </dxf>
    <dxf>
      <font>
        <color theme="5"/>
      </font>
    </dxf>
    <dxf>
      <font>
        <color rgb="FF00B050"/>
      </font>
    </dxf>
    <dxf>
      <font>
        <color rgb="FFFF0000"/>
      </font>
    </dxf>
    <dxf>
      <font>
        <color theme="5"/>
      </font>
    </dxf>
    <dxf>
      <font>
        <b val="0"/>
        <condense val="0"/>
        <extend val="0"/>
        <color indexed="17"/>
      </font>
    </dxf>
    <dxf>
      <font>
        <b val="0"/>
        <condense val="0"/>
        <extend val="0"/>
        <color indexed="51"/>
      </font>
    </dxf>
    <dxf>
      <font>
        <b val="0"/>
        <condense val="0"/>
        <extend val="0"/>
        <color indexed="30"/>
      </font>
    </dxf>
    <dxf>
      <font>
        <color rgb="FF00B05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condense val="0"/>
        <extend val="0"/>
        <color indexed="17"/>
      </font>
    </dxf>
    <dxf>
      <font>
        <b val="0"/>
        <condense val="0"/>
        <extend val="0"/>
        <color indexed="51"/>
      </font>
    </dxf>
    <dxf>
      <font>
        <b val="0"/>
        <condense val="0"/>
        <extend val="0"/>
        <color indexed="30"/>
      </font>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ont>
        <b val="0"/>
        <strike/>
        <condense val="0"/>
        <extend val="0"/>
        <color indexed="9"/>
      </font>
      <fill>
        <patternFill patternType="solid">
          <fgColor indexed="16"/>
          <bgColor indexed="10"/>
        </patternFill>
      </fill>
    </dxf>
    <dxf>
      <fill>
        <patternFill patternType="lightUp">
          <fgColor theme="0" tint="-0.24994659260841701"/>
        </patternFill>
      </fill>
    </dxf>
    <dxf>
      <font>
        <color rgb="FFC00000"/>
      </font>
      <fill>
        <patternFill>
          <bgColor theme="5" tint="0.39994506668294322"/>
        </patternFill>
      </fill>
    </dxf>
    <dxf>
      <font>
        <color rgb="FFC00000"/>
      </font>
      <fill>
        <patternFill>
          <bgColor theme="5" tint="0.39994506668294322"/>
        </patternFill>
      </fill>
    </dxf>
    <dxf>
      <font>
        <color rgb="FFC00000"/>
      </font>
      <fill>
        <patternFill>
          <bgColor theme="5" tint="0.39994506668294322"/>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strike val="0"/>
        <condense val="0"/>
        <extend val="0"/>
        <color indexed="9"/>
      </font>
      <fill>
        <patternFill patternType="solid">
          <fgColor indexed="21"/>
          <bgColor indexed="17"/>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1" readingOrder="0"/>
    </dxf>
    <dxf>
      <font>
        <b val="0"/>
        <i val="0"/>
        <strike val="0"/>
        <outline val="0"/>
        <shadow val="0"/>
        <u val="none"/>
        <vertAlign val="baseline"/>
        <sz val="10"/>
        <color auto="1"/>
        <name val="Arial"/>
        <family val="2"/>
        <scheme val="none"/>
      </font>
      <numFmt numFmtId="0" formatCode="General"/>
      <fill>
        <patternFill patternType="none">
          <fgColor indexed="64"/>
          <bgColor indexed="65"/>
        </patternFill>
      </fill>
    </dxf>
    <dxf>
      <font>
        <b val="0"/>
        <i/>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0" indent="0" justifyLastLine="0" shrinkToFit="0" readingOrder="0"/>
      <protection locked="0" hidden="0"/>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ill>
        <patternFill patternType="lightUp">
          <fgColor theme="0" tint="-0.24994659260841701"/>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patternType="lightUp">
          <fgColor theme="0" tint="-0.24994659260841701"/>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bgColor theme="4" tint="0.39994506668294322"/>
        </patternFill>
      </fill>
    </dxf>
    <dxf>
      <fill>
        <patternFill>
          <bgColor theme="4" tint="0.39994506668294322"/>
        </patternFill>
      </fill>
    </dxf>
    <dxf>
      <fill>
        <patternFill>
          <bgColor theme="4" tint="0.79998168889431442"/>
        </patternFill>
      </fill>
    </dxf>
    <dxf>
      <fill>
        <patternFill>
          <bgColor theme="4" tint="0.79998168889431442"/>
        </patternFill>
      </fill>
    </dxf>
    <dxf>
      <fill>
        <patternFill patternType="lightUp">
          <fgColor theme="0" tint="-0.24994659260841701"/>
        </patternFill>
      </fill>
    </dxf>
    <dxf>
      <fill>
        <patternFill patternType="lightUp">
          <fgColor theme="0" tint="-0.24994659260841701"/>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
      <font>
        <b val="0"/>
        <condense val="0"/>
        <extend val="0"/>
        <color indexed="9"/>
      </font>
      <fill>
        <patternFill patternType="solid">
          <fgColor indexed="21"/>
          <bgColor indexed="17"/>
        </patternFill>
      </fill>
    </dxf>
    <dxf>
      <font>
        <b val="0"/>
        <strike/>
        <condense val="0"/>
        <extend val="0"/>
        <color indexed="9"/>
      </font>
      <fill>
        <patternFill patternType="solid">
          <fgColor indexed="16"/>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5000B"/>
      <rgbColor rgb="00008000"/>
      <rgbColor rgb="00000080"/>
      <rgbColor rgb="00808000"/>
      <rgbColor rgb="00800080"/>
      <rgbColor rgb="00008080"/>
      <rgbColor rgb="00CCCCCC"/>
      <rgbColor rgb="00808080"/>
      <rgbColor rgb="009999FF"/>
      <rgbColor rgb="00993366"/>
      <rgbColor rgb="00E6E6E6"/>
      <rgbColor rgb="00CCFFFF"/>
      <rgbColor rgb="00660066"/>
      <rgbColor rgb="00FF8080"/>
      <rgbColor rgb="000084D1"/>
      <rgbColor rgb="00CCCCFF"/>
      <rgbColor rgb="00000080"/>
      <rgbColor rgb="00FF00FF"/>
      <rgbColor rgb="00E6E64C"/>
      <rgbColor rgb="0000FFFF"/>
      <rgbColor rgb="00800080"/>
      <rgbColor rgb="00800000"/>
      <rgbColor rgb="00008080"/>
      <rgbColor rgb="000000FF"/>
      <rgbColor rgb="0000B8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4C4C4C"/>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542925</xdr:colOff>
      <xdr:row>4</xdr:row>
      <xdr:rowOff>9525</xdr:rowOff>
    </xdr:from>
    <xdr:to>
      <xdr:col>12</xdr:col>
      <xdr:colOff>0</xdr:colOff>
      <xdr:row>9</xdr:row>
      <xdr:rowOff>161925</xdr:rowOff>
    </xdr:to>
    <xdr:pic>
      <xdr:nvPicPr>
        <xdr:cNvPr id="11696" name="Picture 1">
          <a:extLst>
            <a:ext uri="{FF2B5EF4-FFF2-40B4-BE49-F238E27FC236}">
              <a16:creationId xmlns:a16="http://schemas.microsoft.com/office/drawing/2014/main" id="{1AEC20C6-F387-4F75-890F-442FA9ED4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723900"/>
          <a:ext cx="2505075" cy="962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104775</xdr:rowOff>
    </xdr:from>
    <xdr:to>
      <xdr:col>0</xdr:col>
      <xdr:colOff>1152525</xdr:colOff>
      <xdr:row>1</xdr:row>
      <xdr:rowOff>438150</xdr:rowOff>
    </xdr:to>
    <xdr:pic>
      <xdr:nvPicPr>
        <xdr:cNvPr id="34063" name="Immagine 5">
          <a:extLst>
            <a:ext uri="{FF2B5EF4-FFF2-40B4-BE49-F238E27FC236}">
              <a16:creationId xmlns:a16="http://schemas.microsoft.com/office/drawing/2014/main" id="{2EEA9808-04E5-4EE0-A21A-2D46DDA30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66700"/>
          <a:ext cx="1057275" cy="3333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7686675</xdr:colOff>
      <xdr:row>1</xdr:row>
      <xdr:rowOff>85725</xdr:rowOff>
    </xdr:from>
    <xdr:to>
      <xdr:col>0</xdr:col>
      <xdr:colOff>8782050</xdr:colOff>
      <xdr:row>1</xdr:row>
      <xdr:rowOff>447675</xdr:rowOff>
    </xdr:to>
    <xdr:pic>
      <xdr:nvPicPr>
        <xdr:cNvPr id="34064" name="Immagine 6">
          <a:extLst>
            <a:ext uri="{FF2B5EF4-FFF2-40B4-BE49-F238E27FC236}">
              <a16:creationId xmlns:a16="http://schemas.microsoft.com/office/drawing/2014/main" id="{FC3B0C0D-B2EA-419A-AD66-99420A216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247650"/>
          <a:ext cx="1095375" cy="3619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2657475</xdr:colOff>
      <xdr:row>7</xdr:row>
      <xdr:rowOff>142875</xdr:rowOff>
    </xdr:from>
    <xdr:to>
      <xdr:col>0</xdr:col>
      <xdr:colOff>5981700</xdr:colOff>
      <xdr:row>16</xdr:row>
      <xdr:rowOff>152400</xdr:rowOff>
    </xdr:to>
    <xdr:pic>
      <xdr:nvPicPr>
        <xdr:cNvPr id="34065" name="Immagine 1">
          <a:extLst>
            <a:ext uri="{FF2B5EF4-FFF2-40B4-BE49-F238E27FC236}">
              <a16:creationId xmlns:a16="http://schemas.microsoft.com/office/drawing/2014/main" id="{23BE34BE-BFCA-41D8-A71C-D565E766F3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7475" y="1638300"/>
          <a:ext cx="3324225" cy="1466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a1" displayName="Tabella1" ref="A2:C209" totalsRowShown="0" headerRowDxfId="364" dataDxfId="363">
  <autoFilter ref="A2:C209" xr:uid="{00000000-0009-0000-0100-000001000000}"/>
  <sortState ref="A3:C209">
    <sortCondition ref="A2:A209"/>
  </sortState>
  <tableColumns count="3">
    <tableColumn id="1" xr3:uid="{00000000-0010-0000-0000-000001000000}" name="NOME" dataDxfId="362">
      <calculatedColumnFormula>IF(Giocatori!E9=0,"",Giocatori!E9)</calculatedColumnFormula>
    </tableColumn>
    <tableColumn id="2" xr3:uid="{00000000-0010-0000-0000-000002000000}" name="SQUADRA" dataDxfId="361">
      <calculatedColumnFormula>IF(Giocatori!F9=0,"",Giocatori!F9)</calculatedColumnFormula>
    </tableColumn>
    <tableColumn id="3" xr3:uid="{00000000-0010-0000-0000-000003000000}" name="RUOLO" dataDxfId="360">
      <calculatedColumnFormula>IF(Giocatori!D9=0,"",Giocatori!D9)</calculatedColumnFormula>
    </tableColumn>
  </tableColumns>
  <tableStyleInfo name="TableStyleLight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09000000}" name="Tabella201" displayName="Tabella201" ref="A536:K637" totalsRowShown="0" headerRowDxfId="193" dataDxfId="192">
  <autoFilter ref="A536:K637" xr:uid="{00000000-0009-0000-0100-0000C9000000}"/>
  <tableColumns count="11">
    <tableColumn id="1" xr3:uid="{00000000-0010-0000-0900-000001000000}" name="Ruolo" dataDxfId="191">
      <calculatedColumnFormula>IF(Giocatori!P9="","T",Giocatori!P9)</calculatedColumnFormula>
    </tableColumn>
    <tableColumn id="2" xr3:uid="{00000000-0010-0000-0900-000002000000}" name="Calciatore" dataDxfId="190">
      <calculatedColumnFormula>IF(Giocatori!Q9="","ZZZ" &amp; ROW(),Giocatori!Q9)</calculatedColumnFormula>
    </tableColumn>
    <tableColumn id="3" xr3:uid="{00000000-0010-0000-0900-000003000000}" name="Squadra" dataDxfId="189">
      <calculatedColumnFormula>IF(Giocatori!R9="","NDR" &amp; ROW(),Giocatori!R9)</calculatedColumnFormula>
    </tableColumn>
    <tableColumn id="4" xr3:uid="{00000000-0010-0000-0900-000004000000}" name="I.A. FG" dataDxfId="188">
      <calculatedColumnFormula>IF(ISNA(VLOOKUP($B537,TabAlgTutti,6,FALSE)),0,VLOOKUP($B537,TabAlgTutti,6,FALSE))+ROW()/100000</calculatedColumnFormula>
    </tableColumn>
    <tableColumn id="5" xr3:uid="{00000000-0010-0000-0900-000005000000}" name="I.A. GE" dataDxfId="187">
      <calculatedColumnFormula>IF(ISNA(VLOOKUP($B537,TabAlgTutti,5,FALSE)),0,VLOOKUP($B537,TabAlgTutti,5,FALSE))+ROW()/100000</calculatedColumnFormula>
    </tableColumn>
    <tableColumn id="6" xr3:uid="{00000000-0010-0000-0900-000006000000}" name="Colonna1" dataDxfId="186">
      <calculatedColumnFormula>($D537*$P$8+$E537*(1+$E537*100/60/100)*$S$8)/100+ROW()/100000</calculatedColumnFormula>
    </tableColumn>
    <tableColumn id="7" xr3:uid="{00000000-0010-0000-0900-000007000000}" name="Info/Note" dataDxfId="185">
      <calculatedColumnFormula>IF(ISNA(VLOOKUP($B537,TabAlgTutti,7,FALSE)),"",IF(VLOOKUP($B537,TabAlgTutti,7,FALSE)=-1,"SCONSIGLIATO",IF(VLOOKUP($B537,TabAlgTutti,7,FALSE)=0,"SORPRESA",IF(VLOOKUP($B537,TabAlgTutti,7,FALSE)=1,"CONSIGLIATO",""))))</calculatedColumnFormula>
    </tableColumn>
    <tableColumn id="8" xr3:uid="{00000000-0010-0000-0900-000008000000}" name="Tit." dataDxfId="184">
      <calculatedColumnFormula>IF(ISNA(VLOOKUP($B537,TabAlgTutti,8,FALSE)),"",VLOOKUP($B537,TabAlgTutti,8,FALSE))</calculatedColumnFormula>
    </tableColumn>
    <tableColumn id="9" xr3:uid="{00000000-0010-0000-0900-000009000000}" name="C.P." dataDxfId="183">
      <calculatedColumnFormula>IF(ISNA(VLOOKUP($B537,TabAlgTutti,9,FALSE)),"",IF(VLOOKUP($B537,TabAlgTutti,9,FALSE)=0,"",VLOOKUP($B537,TabAlgTutti,9,FALSE)&amp;"R "))&amp;IF(ISNA(VLOOKUP($B537,TabAlgTutti,10,FALSE)),"",IF(VLOOKUP($B537,TabAlgTutti,10,FALSE)=0,"",VLOOKUP($B537,TabAlgTutti,10,FALSE)&amp;"P "))&amp;IF(ISNA(VLOOKUP($B537,TabAlgTutti,11,FALSE)),"",IF(VLOOKUP($B537,TabAlgTutti,11,FALSE)=0,"",VLOOKUP($B537,TabAlgTutti,11,FALSE)&amp;"A"))</calculatedColumnFormula>
    </tableColumn>
    <tableColumn id="10" xr3:uid="{00000000-0010-0000-0900-00000A000000}" name="No mod" dataDxfId="182">
      <calculatedColumnFormula>IF(ISNA(VLOOKUP($B537,TabAlgTutti,3,FALSE)),0,VLOOKUP($B537,TabAlgTutti,3,FALSE))+ROW()/100000</calculatedColumnFormula>
    </tableColumn>
    <tableColumn id="11" xr3:uid="{00000000-0010-0000-0900-00000B000000}" name="Mod" dataDxfId="181">
      <calculatedColumnFormula>IF(ISNA(VLOOKUP($B537,TabAlgTutti,4,FALSE)),0,VLOOKUP($B537,TabAlgTutti,4,FALSE))+ROW()/100000</calculatedColumnFormula>
    </tableColumn>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0A000000}" name="Tabella108" displayName="Tabella108" ref="D8:F228" totalsRowShown="0" headerRowDxfId="51" dataDxfId="49" headerRowBorderDxfId="50" tableBorderDxfId="48">
  <autoFilter ref="D8:F228" xr:uid="{00000000-0009-0000-0100-00006C000000}"/>
  <sortState ref="D9:F228">
    <sortCondition ref="E8:E228"/>
  </sortState>
  <tableColumns count="3">
    <tableColumn id="1" xr3:uid="{00000000-0010-0000-0A00-000001000000}" name="Ruolo" dataDxfId="47" dataCellStyle="Normal 2"/>
    <tableColumn id="2" xr3:uid="{00000000-0010-0000-0A00-000002000000}" name="Giocatore" dataDxfId="46" dataCellStyle="Normal 2"/>
    <tableColumn id="3" xr3:uid="{00000000-0010-0000-0A00-000003000000}" name="Squadra" dataDxfId="45" dataCellStyle="Normal 2"/>
  </tableColumns>
  <tableStyleInfo name="TableStyleLight1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0B000000}" name="Tabella109" displayName="Tabella109" ref="G8:I228" totalsRowShown="0" headerRowDxfId="44" dataDxfId="42" headerRowBorderDxfId="43" tableBorderDxfId="41">
  <autoFilter ref="G8:I228" xr:uid="{00000000-0009-0000-0100-00006D000000}"/>
  <sortState ref="G9:I228">
    <sortCondition ref="H8:H228"/>
  </sortState>
  <tableColumns count="3">
    <tableColumn id="1" xr3:uid="{00000000-0010-0000-0B00-000001000000}" name="Ruolo" dataDxfId="40"/>
    <tableColumn id="2" xr3:uid="{00000000-0010-0000-0B00-000002000000}" name="Giocatore" dataDxfId="39"/>
    <tableColumn id="3" xr3:uid="{00000000-0010-0000-0B00-000003000000}" name="Squadra" dataDxfId="38"/>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C000000}" name="Tabella110" displayName="Tabella110" ref="J8:L228" totalsRowShown="0" headerRowDxfId="37" dataDxfId="35" headerRowBorderDxfId="36" tableBorderDxfId="34">
  <autoFilter ref="J8:L228" xr:uid="{00000000-0009-0000-0100-00006E000000}"/>
  <sortState ref="J9:L228">
    <sortCondition ref="K8:K228"/>
  </sortState>
  <tableColumns count="3">
    <tableColumn id="1" xr3:uid="{00000000-0010-0000-0C00-000001000000}" name="Ruolo" dataDxfId="33"/>
    <tableColumn id="2" xr3:uid="{00000000-0010-0000-0C00-000002000000}" name="Giocatore" dataDxfId="32"/>
    <tableColumn id="3" xr3:uid="{00000000-0010-0000-0C00-000003000000}" name="Squadra" dataDxfId="31"/>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D000000}" name="Tabella111" displayName="Tabella111" ref="M8:O228" totalsRowShown="0" headerRowDxfId="30" dataDxfId="28" headerRowBorderDxfId="29" tableBorderDxfId="27">
  <autoFilter ref="M8:O228" xr:uid="{00000000-0009-0000-0100-00006F000000}"/>
  <sortState ref="M9:O228">
    <sortCondition ref="N8:N228"/>
  </sortState>
  <tableColumns count="3">
    <tableColumn id="1" xr3:uid="{00000000-0010-0000-0D00-000001000000}" name="Ruolo" dataDxfId="26"/>
    <tableColumn id="2" xr3:uid="{00000000-0010-0000-0D00-000002000000}" name="Giocatore" dataDxfId="25"/>
    <tableColumn id="3" xr3:uid="{00000000-0010-0000-0D00-000003000000}" name="Squadra" dataDxfId="24"/>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E000000}" name="Tabella112" displayName="Tabella112" ref="P8:R228" totalsRowShown="0" headerRowDxfId="23" dataDxfId="21" headerRowBorderDxfId="22" tableBorderDxfId="20">
  <autoFilter ref="P8:R228" xr:uid="{00000000-0009-0000-0100-000070000000}"/>
  <sortState ref="P9:R228">
    <sortCondition ref="Q8:Q228"/>
  </sortState>
  <tableColumns count="3">
    <tableColumn id="1" xr3:uid="{00000000-0010-0000-0E00-000001000000}" name="Ruolo" dataDxfId="19">
      <calculatedColumnFormula>IF(ISNA(AF9),"",INDIRECT("A" &amp; AF9))</calculatedColumnFormula>
    </tableColumn>
    <tableColumn id="2" xr3:uid="{00000000-0010-0000-0E00-000002000000}" name="Giocatore" dataDxfId="18">
      <calculatedColumnFormula>IF(ISNA(AG9),"",INDIRECT("B" &amp; AG9))</calculatedColumnFormula>
    </tableColumn>
    <tableColumn id="3" xr3:uid="{00000000-0010-0000-0E00-000003000000}" name="Squadra" dataDxfId="17">
      <calculatedColumnFormula>IF(ISNA(AH9),"",INDIRECT("C" &amp; AH9))</calculatedColumnFormula>
    </tableColumn>
  </tableColumns>
  <tableStyleInfo name="TableStyleLight1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F000000}" name="Tabella142" displayName="Tabella142" ref="A8:C580" totalsRowShown="0" headerRowDxfId="16" dataDxfId="14" headerRowBorderDxfId="15" tableBorderDxfId="13">
  <autoFilter ref="A8:C580" xr:uid="{00000000-0009-0000-0100-00008E000000}"/>
  <sortState ref="A9:C580">
    <sortCondition ref="B8:B580"/>
  </sortState>
  <tableColumns count="3">
    <tableColumn id="1" xr3:uid="{00000000-0010-0000-0F00-000001000000}" name="Ruolo" dataDxfId="12"/>
    <tableColumn id="2" xr3:uid="{00000000-0010-0000-0F00-000002000000}" name="Giocatore" dataDxfId="11"/>
    <tableColumn id="3" xr3:uid="{00000000-0010-0000-0F00-000003000000}" name="Squadra" dataDxfId="10"/>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a2" displayName="Tabella2" ref="D2:F209" totalsRowShown="0" headerRowDxfId="359" dataDxfId="358">
  <autoFilter ref="D2:F209" xr:uid="{00000000-0009-0000-0100-000002000000}"/>
  <sortState ref="D3:F209">
    <sortCondition ref="D2:D209"/>
  </sortState>
  <tableColumns count="3">
    <tableColumn id="1" xr3:uid="{00000000-0010-0000-0100-000001000000}" name="NOME" dataDxfId="357">
      <calculatedColumnFormula>IF(Giocatori!H9=0,"",Giocatori!H9)</calculatedColumnFormula>
    </tableColumn>
    <tableColumn id="2" xr3:uid="{00000000-0010-0000-0100-000002000000}" name="SQUADRA" dataDxfId="356">
      <calculatedColumnFormula>IF(Giocatori!I9=0,"",Giocatori!I9)</calculatedColumnFormula>
    </tableColumn>
    <tableColumn id="3" xr3:uid="{00000000-0010-0000-0100-000003000000}" name="RUOLO" dataDxfId="355">
      <calculatedColumnFormula>IF(Giocatori!G9=0,"",Giocatori!G9)</calculatedColumnFormula>
    </tableColumn>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a3" displayName="Tabella3" ref="G2:I209" totalsRowShown="0" headerRowDxfId="354" dataDxfId="353">
  <autoFilter ref="G2:I209" xr:uid="{00000000-0009-0000-0100-000003000000}"/>
  <sortState ref="G3:I209">
    <sortCondition ref="G2:G209"/>
  </sortState>
  <tableColumns count="3">
    <tableColumn id="1" xr3:uid="{00000000-0010-0000-0200-000001000000}" name="NOME" dataDxfId="352">
      <calculatedColumnFormula>IF(Giocatori!K9=0,"",Giocatori!K9)</calculatedColumnFormula>
    </tableColumn>
    <tableColumn id="2" xr3:uid="{00000000-0010-0000-0200-000002000000}" name="SQUADRA" dataDxfId="351">
      <calculatedColumnFormula>IF(Giocatori!L9=0,"",Giocatori!L9)</calculatedColumnFormula>
    </tableColumn>
    <tableColumn id="3" xr3:uid="{00000000-0010-0000-0200-000003000000}" name="RUOLO" dataDxfId="350">
      <calculatedColumnFormula>IF(Giocatori!J9=0,"",Giocatori!J9)</calculatedColumnFormula>
    </tableColumn>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a4" displayName="Tabella4" ref="J2:L209" totalsRowShown="0" headerRowDxfId="349" dataDxfId="348">
  <autoFilter ref="J2:L209" xr:uid="{00000000-0009-0000-0100-000004000000}"/>
  <sortState ref="J3:L209">
    <sortCondition ref="J2:J209"/>
  </sortState>
  <tableColumns count="3">
    <tableColumn id="1" xr3:uid="{00000000-0010-0000-0300-000001000000}" name="NOME" dataDxfId="347">
      <calculatedColumnFormula>IF(Giocatori!Q9=0,"",Giocatori!Q9)</calculatedColumnFormula>
    </tableColumn>
    <tableColumn id="2" xr3:uid="{00000000-0010-0000-0300-000002000000}" name="SQUADRA" dataDxfId="346">
      <calculatedColumnFormula>IF(Giocatori!R9=0,"",Giocatori!R9)</calculatedColumnFormula>
    </tableColumn>
    <tableColumn id="3" xr3:uid="{00000000-0010-0000-0300-000003000000}" name="RUOLO" dataDxfId="345">
      <calculatedColumnFormula>IF(Giocatori!P9=0,"",Giocatori!P9)</calculatedColumnFormula>
    </tableColumn>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a5" displayName="Tabella5" ref="M2:O209" totalsRowShown="0" headerRowDxfId="344" dataDxfId="343">
  <autoFilter ref="M2:O209" xr:uid="{00000000-0009-0000-0100-000005000000}"/>
  <sortState ref="M3:O209">
    <sortCondition ref="M2:M209"/>
  </sortState>
  <tableColumns count="3">
    <tableColumn id="1" xr3:uid="{00000000-0010-0000-0400-000001000000}" name="NOME" dataDxfId="342">
      <calculatedColumnFormula>IF(Giocatori!N9=0,"",Giocatori!N9)</calculatedColumnFormula>
    </tableColumn>
    <tableColumn id="2" xr3:uid="{00000000-0010-0000-0400-000002000000}" name="SQUADRA" dataDxfId="341">
      <calculatedColumnFormula>IF(Giocatori!O9=0,"",Giocatori!O9)</calculatedColumnFormula>
    </tableColumn>
    <tableColumn id="3" xr3:uid="{00000000-0010-0000-0400-000003000000}" name="RUOLO" dataDxfId="340">
      <calculatedColumnFormula>IF(Giocatori!M9=0,"",Giocatori!M9)</calculatedColumnFormula>
    </tableColumn>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5000000}" name="Tabella94" displayName="Tabella94" ref="A6:L79" totalsRowShown="0" headerRowDxfId="250" dataDxfId="249" tableBorderDxfId="248">
  <autoFilter ref="A6:L79" xr:uid="{00000000-0009-0000-0100-00005E000000}"/>
  <sortState ref="A7:K79">
    <sortCondition ref="B6:B79"/>
  </sortState>
  <tableColumns count="12">
    <tableColumn id="2" xr3:uid="{00000000-0010-0000-0500-000002000000}" name="Ruolo" dataDxfId="247"/>
    <tableColumn id="3" xr3:uid="{00000000-0010-0000-0500-000003000000}" name="Calciatore" dataDxfId="246">
      <calculatedColumnFormula>IF(Giocatori!E9="","ZZZ" &amp; ROW(),Giocatori!E9)</calculatedColumnFormula>
    </tableColumn>
    <tableColumn id="4" xr3:uid="{00000000-0010-0000-0500-000004000000}" name="Squadra" dataDxfId="245"/>
    <tableColumn id="5" xr3:uid="{00000000-0010-0000-0500-000005000000}" name="I.A. FG" dataDxfId="244">
      <calculatedColumnFormula>IF(ISNA(VLOOKUP($B7,TabAlgTutti,6,FALSE)),0,VLOOKUP($B7,TabAlgTutti,6,FALSE))+ROW()/100000</calculatedColumnFormula>
    </tableColumn>
    <tableColumn id="6" xr3:uid="{00000000-0010-0000-0500-000006000000}" name="I.A. GE" dataDxfId="243">
      <calculatedColumnFormula>IF(ISNA(VLOOKUP($B7,TabAlgTutti,5,FALSE)),0,VLOOKUP($B7,TabAlgTutti,5,FALSE))+ROW()/100000</calculatedColumnFormula>
    </tableColumn>
    <tableColumn id="7" xr3:uid="{00000000-0010-0000-0500-000007000000}" name="I.A. Media" dataDxfId="242">
      <calculatedColumnFormula>($D7*$P$8+$E7*(1+$E7*100/60/100)*$S$8)/100+ROW()/100000</calculatedColumnFormula>
    </tableColumn>
    <tableColumn id="8" xr3:uid="{00000000-0010-0000-0500-000008000000}" name="Info/Note" dataDxfId="241">
      <calculatedColumnFormula>IF(ISNA(VLOOKUP($B7,TabAlgTutti,7,FALSE)),"",IF(VLOOKUP($B7,TabAlgTutti,7,FALSE)=-1,"SCONSIGLIATO",IF(VLOOKUP($B7,TabAlgTutti,7,FALSE)=0,"SORPRESA",IF(VLOOKUP($B7,TabAlgTutti,7,FALSE)=1,"CONSIGLIATO",""))))</calculatedColumnFormula>
    </tableColumn>
    <tableColumn id="9" xr3:uid="{00000000-0010-0000-0500-000009000000}" name="Tit." dataDxfId="240">
      <calculatedColumnFormula>IF(ISNA(VLOOKUP($B7,TabAlgTutti,8,FALSE)),"",VLOOKUP($B7,TabAlgTutti,8,FALSE))</calculatedColumnFormula>
    </tableColumn>
    <tableColumn id="10" xr3:uid="{00000000-0010-0000-0500-00000A000000}" name="C.P." dataDxfId="239">
      <calculatedColumnFormula>IF(ISNA(VLOOKUP($B7,TabAlgTutti,9,FALSE)),"",IF(VLOOKUP($B7,TabAlgTutti,9,FALSE)="","",VLOOKUP($B7,TabAlgTutti,9,FALSE)&amp;"R "))&amp;IF(ISNA(VLOOKUP($B7,TabAlgTutti,10,FALSE)),"",IF(VLOOKUP($B7,TabAlgTutti,10,FALSE)="","",VLOOKUP($B7,TabAlgTutti,10,FALSE)&amp;"P "))&amp;IF(ISNA(VLOOKUP($B7,TabAlgTutti,11,FALSE)),"",IF(VLOOKUP($B7,TabAlgTutti,11,FALSE)="","",VLOOKUP($B7,TabAlgTutti,11,FALSE)&amp;"A"))</calculatedColumnFormula>
    </tableColumn>
    <tableColumn id="11" xr3:uid="{00000000-0010-0000-0500-00000B000000}" name="No mod" dataDxfId="238">
      <calculatedColumnFormula>IF(ISNA(VLOOKUP($B7,TabAlgTutti,3,FALSE)),0,VLOOKUP($B7,TabAlgTutti,3,FALSE))+ROW()/100000</calculatedColumnFormula>
    </tableColumn>
    <tableColumn id="12" xr3:uid="{00000000-0010-0000-0500-00000C000000}" name="Mod" dataDxfId="237">
      <calculatedColumnFormula>IF(ISNA(VLOOKUP($B7,TabAlgTutti,4,FALSE)),0,VLOOKUP($B7,TabAlgTutti,4,FALSE))+ROW()/100000</calculatedColumnFormula>
    </tableColumn>
    <tableColumn id="1" xr3:uid="{7E676020-7E2F-41D2-8025-E44B774A1F02}" name="Aste" dataDxfId="236">
      <calculatedColumnFormula>VLOOKUP(Tabella94[[#This Row],[Calciatore]],'Raccolta Aste'!$A$2:$E$33,4,FALSE)*Asta!$U$3/100</calculatedColumnFormula>
    </tableColumn>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06000000}" name="Tabella113" displayName="Tabella113" ref="A84:L305" totalsRowShown="0" headerRowDxfId="235" dataDxfId="234">
  <autoFilter ref="A84:L305" xr:uid="{00000000-0009-0000-0100-000071000000}"/>
  <sortState ref="A85:K305">
    <sortCondition ref="B84:B305"/>
  </sortState>
  <tableColumns count="12">
    <tableColumn id="1" xr3:uid="{00000000-0010-0000-0600-000001000000}" name="Ruolo" dataDxfId="233"/>
    <tableColumn id="2" xr3:uid="{00000000-0010-0000-0600-000002000000}" name="Calciatore" dataDxfId="232">
      <calculatedColumnFormula>IF(Giocatori!H9="","ZZZ" &amp; ROW(),Giocatori!H9)</calculatedColumnFormula>
    </tableColumn>
    <tableColumn id="3" xr3:uid="{00000000-0010-0000-0600-000003000000}" name="Squadra" dataDxfId="231">
      <calculatedColumnFormula>IF(Giocatori!I9="","NDR" &amp; ROW(),Giocatori!I9)</calculatedColumnFormula>
    </tableColumn>
    <tableColumn id="4" xr3:uid="{00000000-0010-0000-0600-000004000000}" name="I.A. FG" dataDxfId="230">
      <calculatedColumnFormula>IF(ISNA(VLOOKUP($B85,TabAlgTutti,6,FALSE)),0,VLOOKUP($B85,TabAlgTutti,6,FALSE))+ROW()/100000</calculatedColumnFormula>
    </tableColumn>
    <tableColumn id="5" xr3:uid="{00000000-0010-0000-0600-000005000000}" name="I.A. GE" dataDxfId="229">
      <calculatedColumnFormula>IF(ISNA(VLOOKUP($B85,TabAlgTutti,5,FALSE)),0,VLOOKUP($B85,TabAlgTutti,5,FALSE))+ROW()/100000</calculatedColumnFormula>
    </tableColumn>
    <tableColumn id="6" xr3:uid="{00000000-0010-0000-0600-000006000000}" name="I.A. Media" dataDxfId="228">
      <calculatedColumnFormula>($D85*$P$8+$E85*(1+$E85*100/60/100)*$S$8)/100+ROW()/100000</calculatedColumnFormula>
    </tableColumn>
    <tableColumn id="7" xr3:uid="{00000000-0010-0000-0600-000007000000}" name="Info/Note" dataDxfId="227">
      <calculatedColumnFormula>IF(ISNA(VLOOKUP($B85,TabAlgTutti,7,FALSE)),"",IF(VLOOKUP($B85,TabAlgTutti,7,FALSE)=-1,"SCONSIGLIATO",IF(VLOOKUP($B85,TabAlgTutti,7,FALSE)=0,"SORPRESA",IF(VLOOKUP($B85,TabAlgTutti,7,FALSE)=1,"CONSIGLIATO",""))))</calculatedColumnFormula>
    </tableColumn>
    <tableColumn id="8" xr3:uid="{00000000-0010-0000-0600-000008000000}" name="Tit." dataDxfId="226">
      <calculatedColumnFormula>IF(ISNA(VLOOKUP($B85,TabAlgTutti,8,FALSE)),"",VLOOKUP($B85,TabAlgTutti,8,FALSE))</calculatedColumnFormula>
    </tableColumn>
    <tableColumn id="9" xr3:uid="{00000000-0010-0000-0600-000009000000}" name="C.P." dataDxfId="225">
      <calculatedColumnFormula>IF(ISNA(VLOOKUP($B85,TabAlgTutti,9,FALSE)),"",IF(VLOOKUP($B85,TabAlgTutti,9,FALSE)="","",VLOOKUP($B85,TabAlgTutti,9,FALSE)&amp;"R "))&amp;IF(ISNA(VLOOKUP($B85,TabAlgTutti,10,FALSE)),"",IF(VLOOKUP($B85,TabAlgTutti,10,FALSE)="","",VLOOKUP($B85,TabAlgTutti,10,FALSE)&amp;"P "))&amp;IF(ISNA(VLOOKUP($B85,TabAlgTutti,11,FALSE)),"",IF(VLOOKUP($B85,TabAlgTutti,11,FALSE)="","",VLOOKUP($B85,TabAlgTutti,11,FALSE)&amp;"A"))</calculatedColumnFormula>
    </tableColumn>
    <tableColumn id="10" xr3:uid="{00000000-0010-0000-0600-00000A000000}" name="No mod" dataDxfId="224">
      <calculatedColumnFormula>IF(ISNA(VLOOKUP($B85,TabAlgTutti,3,FALSE)),0,VLOOKUP($B85,TabAlgTutti,3,FALSE))+ROW()/100000</calculatedColumnFormula>
    </tableColumn>
    <tableColumn id="11" xr3:uid="{00000000-0010-0000-0600-00000B000000}" name="Mod" dataDxfId="223">
      <calculatedColumnFormula>IF(ISNA(VLOOKUP($B85,TabAlgTutti,4,FALSE)),0,VLOOKUP($B85,TabAlgTutti,4,FALSE))+ROW()/100000</calculatedColumnFormula>
    </tableColumn>
    <tableColumn id="12" xr3:uid="{EADD298A-7F6B-42FC-9053-6EA2D64B9C63}" name="Aste" dataDxfId="222">
      <calculatedColumnFormula>VLOOKUP(Tabella113[[#This Row],[Calciatore]],'Raccolta Aste'!$F$2:$J$33,4,FALSE)*Asta!$U$3/100</calculatedColumnFormula>
    </tableColumn>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07000000}" name="Tabella114" displayName="Tabella114" ref="A310:L531" totalsRowShown="0" headerRowDxfId="221" dataDxfId="220">
  <autoFilter ref="A310:L531" xr:uid="{00000000-0009-0000-0100-000072000000}"/>
  <sortState ref="A311:L531">
    <sortCondition descending="1" ref="F310:F531"/>
  </sortState>
  <tableColumns count="12">
    <tableColumn id="1" xr3:uid="{00000000-0010-0000-0700-000001000000}" name="Ruolo" dataDxfId="219"/>
    <tableColumn id="2" xr3:uid="{00000000-0010-0000-0700-000002000000}" name="Calciatore" dataDxfId="218">
      <calculatedColumnFormula>IF(Giocatori!K9="","ZZZ" &amp; ROW(),Giocatori!K9)</calculatedColumnFormula>
    </tableColumn>
    <tableColumn id="3" xr3:uid="{00000000-0010-0000-0700-000003000000}" name="Squadra" dataDxfId="217">
      <calculatedColumnFormula>IF(Giocatori!L9="","NDR" &amp; ROW(),Giocatori!L9)</calculatedColumnFormula>
    </tableColumn>
    <tableColumn id="4" xr3:uid="{00000000-0010-0000-0700-000004000000}" name="I.A. FG" dataDxfId="216">
      <calculatedColumnFormula>IF(ISNA(VLOOKUP($B311,TabAlgTutti,6,FALSE)),0,VLOOKUP($B311,TabAlgTutti,6,FALSE))+ROW()/100000</calculatedColumnFormula>
    </tableColumn>
    <tableColumn id="5" xr3:uid="{00000000-0010-0000-0700-000005000000}" name="I.A. GE" dataDxfId="215">
      <calculatedColumnFormula>IF(ISNA(VLOOKUP($B311,TabAlgTutti,5,FALSE)),0,VLOOKUP($B311,TabAlgTutti,5,FALSE))+ROW()/100000</calculatedColumnFormula>
    </tableColumn>
    <tableColumn id="6" xr3:uid="{00000000-0010-0000-0700-000006000000}" name="I.A. Media" dataDxfId="214">
      <calculatedColumnFormula>($D311*$P$8+$E311*(1+$E311*100/60/100)*$S$8)/100+ROW()/100000</calculatedColumnFormula>
    </tableColumn>
    <tableColumn id="7" xr3:uid="{00000000-0010-0000-0700-000007000000}" name="Info/Note" dataDxfId="213">
      <calculatedColumnFormula>IF(ISNA(VLOOKUP($B311,TabAlgTutti,7,FALSE)),"",IF(VLOOKUP($B311,TabAlgTutti,7,FALSE)=-1,"SCONSIGLIATO",IF(VLOOKUP($B311,TabAlgTutti,7,FALSE)=0,"SORPRESA",IF(VLOOKUP($B311,TabAlgTutti,7,FALSE)=1,"CONSIGLIATO",""))))</calculatedColumnFormula>
    </tableColumn>
    <tableColumn id="8" xr3:uid="{00000000-0010-0000-0700-000008000000}" name="Tit." dataDxfId="212">
      <calculatedColumnFormula>IF(ISNA(VLOOKUP($B311,TabAlgTutti,8,FALSE)),"",VLOOKUP($B311,TabAlgTutti,8,FALSE))</calculatedColumnFormula>
    </tableColumn>
    <tableColumn id="9" xr3:uid="{00000000-0010-0000-0700-000009000000}" name="C.P." dataDxfId="211">
      <calculatedColumnFormula>IF(ISNA(VLOOKUP($B311,TabAlgTutti,9,FALSE)),"",IF(VLOOKUP($B311,TabAlgTutti,9,FALSE)="","",VLOOKUP($B311,TabAlgTutti,9,FALSE)&amp;"R "))&amp;IF(ISNA(VLOOKUP($B311,TabAlgTutti,10,FALSE)),"",IF(VLOOKUP($B311,TabAlgTutti,10,FALSE)="","",VLOOKUP($B311,TabAlgTutti,10,FALSE)&amp;"P "))&amp;IF(ISNA(VLOOKUP($B311,TabAlgTutti,11,FALSE)),"",IF(VLOOKUP($B311,TabAlgTutti,11,FALSE)="","",VLOOKUP($B311,TabAlgTutti,11,FALSE)&amp;"A"))</calculatedColumnFormula>
    </tableColumn>
    <tableColumn id="10" xr3:uid="{00000000-0010-0000-0700-00000A000000}" name="No mod" dataDxfId="210">
      <calculatedColumnFormula>IF(ISNA(VLOOKUP($B311,TabAlgTutti,3,FALSE)),0,VLOOKUP($B311,TabAlgTutti,3,FALSE))+ROW()/100000</calculatedColumnFormula>
    </tableColumn>
    <tableColumn id="11" xr3:uid="{00000000-0010-0000-0700-00000B000000}" name="Mod" dataDxfId="209">
      <calculatedColumnFormula>IF(ISNA(VLOOKUP($B311,TabAlgTutti,4,FALSE)),0,VLOOKUP($B311,TabAlgTutti,4,FALSE))+ROW()/100000</calculatedColumnFormula>
    </tableColumn>
    <tableColumn id="12" xr3:uid="{171521D0-8508-4F19-A419-2591EF6BABBB}" name="Aste" dataDxfId="208">
      <calculatedColumnFormula>VLOOKUP(Tabella114[[#This Row],[Calciatore]],'Raccolta Aste'!$K$2:$O$33,4,FALSE)*Asta!$U$3/100</calculatedColumnFormula>
    </tableColumn>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08000000}" name="Tabella185" displayName="Tabella185" ref="A642:L762" totalsRowShown="0" headerRowDxfId="207" dataDxfId="206">
  <autoFilter ref="A642:L762" xr:uid="{00000000-0009-0000-0100-0000B9000000}"/>
  <sortState ref="A643:L762">
    <sortCondition ref="B642:B762"/>
  </sortState>
  <tableColumns count="12">
    <tableColumn id="1" xr3:uid="{00000000-0010-0000-0800-000001000000}" name="Ruolo" dataDxfId="205"/>
    <tableColumn id="2" xr3:uid="{00000000-0010-0000-0800-000002000000}" name="Calciatore" dataDxfId="204">
      <calculatedColumnFormula>IF(Giocatori!N9="","ZZZ" &amp; ROW(),Giocatori!N9)</calculatedColumnFormula>
    </tableColumn>
    <tableColumn id="3" xr3:uid="{00000000-0010-0000-0800-000003000000}" name="Squadra" dataDxfId="203">
      <calculatedColumnFormula>IF(Giocatori!O9="","NDR" &amp; ROW(),Giocatori!O9)</calculatedColumnFormula>
    </tableColumn>
    <tableColumn id="4" xr3:uid="{00000000-0010-0000-0800-000004000000}" name="I.A. FG" dataDxfId="202">
      <calculatedColumnFormula>IF(ISNA(VLOOKUP($B643,TabAlgTutti,6,FALSE)),0,VLOOKUP($B643,TabAlgTutti,6,FALSE))+ROW()/100000</calculatedColumnFormula>
    </tableColumn>
    <tableColumn id="5" xr3:uid="{00000000-0010-0000-0800-000005000000}" name="I.A. GE" dataDxfId="201">
      <calculatedColumnFormula>IF(ISNA(VLOOKUP($B643,TabAlgTutti,5,FALSE)),0,VLOOKUP($B643,TabAlgTutti,5,FALSE))+ROW()/100000</calculatedColumnFormula>
    </tableColumn>
    <tableColumn id="6" xr3:uid="{00000000-0010-0000-0800-000006000000}" name="I.A. Media" dataDxfId="200">
      <calculatedColumnFormula>($D643*$P$8+$E643*(1+$E643*100/60/100)*$S$8)/100+ROW()/100000</calculatedColumnFormula>
    </tableColumn>
    <tableColumn id="7" xr3:uid="{00000000-0010-0000-0800-000007000000}" name="Info/Note" dataDxfId="199">
      <calculatedColumnFormula>IF(ISNA(VLOOKUP($B643,TabAlgTutti,7,FALSE)),"",IF(VLOOKUP($B643,TabAlgTutti,7,FALSE)=-1,"SCONSIGLIATO",IF(VLOOKUP($B643,TabAlgTutti,7,FALSE)=0,"SORPRESA",IF(VLOOKUP($B643,TabAlgTutti,7,FALSE)=1,"CONSIGLIATO",""))))</calculatedColumnFormula>
    </tableColumn>
    <tableColumn id="8" xr3:uid="{00000000-0010-0000-0800-000008000000}" name="Tit." dataDxfId="198">
      <calculatedColumnFormula>IF(ISNA(VLOOKUP($B643,TabAlgTutti,8,FALSE)),"",VLOOKUP($B643,TabAlgTutti,8,FALSE))</calculatedColumnFormula>
    </tableColumn>
    <tableColumn id="9" xr3:uid="{00000000-0010-0000-0800-000009000000}" name="C.P." dataDxfId="197">
      <calculatedColumnFormula>IF(ISNA(VLOOKUP($B643,TabAlgTutti,9,FALSE)),"",IF(VLOOKUP($B643,TabAlgTutti,9,FALSE)="","",VLOOKUP($B643,TabAlgTutti,9,FALSE)&amp;"R "))&amp;IF(ISNA(VLOOKUP($B643,TabAlgTutti,10,FALSE)),"",IF(VLOOKUP($B643,TabAlgTutti,10,FALSE)="","",VLOOKUP($B643,TabAlgTutti,10,FALSE)&amp;"P "))&amp;IF(ISNA(VLOOKUP($B643,TabAlgTutti,11,FALSE)),"",IF(VLOOKUP($B643,TabAlgTutti,11,FALSE)="","",VLOOKUP($B643,TabAlgTutti,11,FALSE)&amp;"A"))</calculatedColumnFormula>
    </tableColumn>
    <tableColumn id="10" xr3:uid="{00000000-0010-0000-0800-00000A000000}" name="No mod" dataDxfId="196">
      <calculatedColumnFormula>IF(ISNA(VLOOKUP($B643,TabAlgTutti,3,FALSE)),0,VLOOKUP($B643,TabAlgTutti,3,FALSE))+ROW()/100000</calculatedColumnFormula>
    </tableColumn>
    <tableColumn id="11" xr3:uid="{00000000-0010-0000-0800-00000B000000}" name="Mod" dataDxfId="195">
      <calculatedColumnFormula>IF(ISNA(VLOOKUP($B643,TabAlgTutti,3,FALSE)),0,VLOOKUP($B643,TabAlgTutti,3,FALSE))+ROW()/100000</calculatedColumnFormula>
    </tableColumn>
    <tableColumn id="12" xr3:uid="{85523AF4-6DC9-4682-88C0-97FC8100ADC3}" name="Aste" dataDxfId="194">
      <calculatedColumnFormula>VLOOKUP(Tabella185[[#This Row],[Calciatore]],'Raccolta Aste'!$P$2:$T$33,4,FALSE)*Asta!$U$3/100</calculatedColumnFormula>
    </tableColumn>
  </tableColumns>
  <tableStyleInfo name="TableStyleLight13"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myfreecopyright.com/" TargetMode="External"/><Relationship Id="rId1" Type="http://schemas.openxmlformats.org/officeDocument/2006/relationships/hyperlink" Target="http://forum.gruppoesperti.it/" TargetMode="External"/><Relationship Id="rId4"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table" Target="../tables/table11.xml"/><Relationship Id="rId1" Type="http://schemas.openxmlformats.org/officeDocument/2006/relationships/printerSettings" Target="../printerSettings/printerSettings26.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8.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25">
    <tabColor rgb="FFFFCC99"/>
  </sheetPr>
  <dimension ref="B2:AD200"/>
  <sheetViews>
    <sheetView tabSelected="1" zoomScale="90" zoomScaleNormal="90" workbookViewId="0"/>
  </sheetViews>
  <sheetFormatPr defaultRowHeight="12.75"/>
  <cols>
    <col min="2" max="2" width="3.140625" customWidth="1"/>
    <col min="3" max="3" width="17.42578125" customWidth="1"/>
    <col min="4" max="4" width="18.28515625" customWidth="1"/>
    <col min="7" max="7" width="3.7109375" customWidth="1"/>
    <col min="8" max="8" width="21.7109375" customWidth="1"/>
    <col min="9" max="9" width="25.85546875" customWidth="1"/>
  </cols>
  <sheetData>
    <row r="2" spans="2:17" ht="23.25">
      <c r="B2" s="475" t="s">
        <v>1309</v>
      </c>
      <c r="C2" s="475"/>
      <c r="D2" s="475"/>
      <c r="E2" s="475"/>
      <c r="F2" s="475"/>
      <c r="G2" s="475"/>
      <c r="H2" s="475"/>
      <c r="I2" s="475"/>
      <c r="J2" s="475"/>
      <c r="K2" s="475"/>
      <c r="L2" s="475"/>
      <c r="M2" s="475"/>
      <c r="N2" s="475"/>
      <c r="O2" s="475"/>
      <c r="P2" s="475"/>
      <c r="Q2" s="475"/>
    </row>
    <row r="3" spans="2:17" ht="13.5" thickBot="1">
      <c r="B3" s="69"/>
      <c r="C3" s="69"/>
      <c r="D3" s="69"/>
      <c r="E3" s="69"/>
      <c r="F3" s="69"/>
      <c r="G3" s="69"/>
      <c r="H3" s="69"/>
      <c r="I3" s="69"/>
      <c r="J3" s="69"/>
      <c r="K3" s="69"/>
      <c r="L3" s="69"/>
      <c r="M3" s="69"/>
      <c r="N3" s="69"/>
      <c r="O3" s="69"/>
      <c r="P3" s="69"/>
      <c r="Q3" s="69"/>
    </row>
    <row r="4" spans="2:17" ht="15.75">
      <c r="B4" s="469" t="s">
        <v>0</v>
      </c>
      <c r="C4" s="470"/>
      <c r="D4" s="471"/>
      <c r="E4" s="69"/>
      <c r="F4" s="69"/>
      <c r="G4" s="476" t="s">
        <v>1</v>
      </c>
      <c r="H4" s="476"/>
      <c r="I4" s="476"/>
      <c r="J4" s="69"/>
      <c r="K4" s="69"/>
      <c r="L4" s="69"/>
      <c r="M4" s="69"/>
      <c r="N4" s="69"/>
      <c r="O4" s="69"/>
      <c r="P4" s="69"/>
      <c r="Q4" s="69"/>
    </row>
    <row r="5" spans="2:17">
      <c r="B5" s="472" t="s">
        <v>1318</v>
      </c>
      <c r="C5" s="473"/>
      <c r="D5" s="464"/>
      <c r="E5" s="69"/>
      <c r="F5" s="69"/>
      <c r="G5" s="220" t="s">
        <v>3</v>
      </c>
      <c r="H5" s="69"/>
      <c r="I5" s="69"/>
      <c r="J5" s="69"/>
      <c r="K5" s="69"/>
      <c r="L5" s="69"/>
      <c r="M5" s="69"/>
      <c r="N5" s="69"/>
      <c r="O5" s="69"/>
      <c r="P5" s="69"/>
      <c r="Q5" s="69"/>
    </row>
    <row r="6" spans="2:17">
      <c r="B6" s="472" t="s">
        <v>2</v>
      </c>
      <c r="C6" s="473"/>
      <c r="D6" s="464"/>
      <c r="E6" s="69"/>
      <c r="F6" s="69"/>
      <c r="G6" s="345" t="s">
        <v>1976</v>
      </c>
      <c r="H6" s="69"/>
      <c r="I6" s="69"/>
      <c r="J6" s="69"/>
      <c r="K6" s="69"/>
      <c r="L6" s="69"/>
      <c r="M6" s="69"/>
      <c r="N6" s="69"/>
      <c r="O6" s="69"/>
      <c r="P6" s="69"/>
      <c r="Q6" s="69"/>
    </row>
    <row r="7" spans="2:17">
      <c r="B7" s="472" t="s">
        <v>4</v>
      </c>
      <c r="C7" s="473"/>
      <c r="D7" s="464"/>
      <c r="E7" s="69"/>
      <c r="F7" s="69"/>
      <c r="G7" s="220"/>
      <c r="H7" s="220" t="s">
        <v>1975</v>
      </c>
      <c r="I7" s="69"/>
      <c r="J7" s="69"/>
      <c r="K7" s="69"/>
      <c r="L7" s="69"/>
      <c r="M7" s="69"/>
      <c r="N7" s="69"/>
      <c r="O7" s="69"/>
      <c r="P7" s="69"/>
      <c r="Q7" s="69"/>
    </row>
    <row r="8" spans="2:17">
      <c r="B8" s="472" t="s">
        <v>6</v>
      </c>
      <c r="C8" s="473"/>
      <c r="D8" s="464"/>
      <c r="E8" s="69"/>
      <c r="F8" s="69"/>
      <c r="G8" s="345" t="s">
        <v>1450</v>
      </c>
      <c r="H8" s="69"/>
      <c r="I8" s="69"/>
      <c r="J8" s="69"/>
      <c r="K8" s="69"/>
      <c r="L8" s="69"/>
      <c r="M8" s="69"/>
      <c r="N8" s="69"/>
      <c r="O8" s="69"/>
      <c r="P8" s="69"/>
      <c r="Q8" s="69"/>
    </row>
    <row r="9" spans="2:17">
      <c r="B9" s="472" t="s">
        <v>7</v>
      </c>
      <c r="C9" s="473"/>
      <c r="D9" s="464"/>
      <c r="E9" s="69"/>
      <c r="F9" s="69"/>
      <c r="G9" s="345" t="s">
        <v>1977</v>
      </c>
      <c r="H9" s="69"/>
      <c r="I9" s="69"/>
      <c r="J9" s="69"/>
      <c r="K9" s="69"/>
      <c r="L9" s="69"/>
      <c r="M9" s="69"/>
      <c r="N9" s="69"/>
      <c r="O9" s="69"/>
      <c r="P9" s="69"/>
      <c r="Q9" s="69"/>
    </row>
    <row r="10" spans="2:17">
      <c r="B10" s="472" t="s">
        <v>8</v>
      </c>
      <c r="C10" s="473"/>
      <c r="D10" s="464"/>
      <c r="E10" s="69"/>
      <c r="F10" s="69"/>
      <c r="G10" s="345" t="s">
        <v>1451</v>
      </c>
      <c r="I10" s="69"/>
      <c r="J10" s="69"/>
      <c r="K10" s="69"/>
      <c r="L10" s="69"/>
      <c r="M10" s="69"/>
      <c r="N10" s="69"/>
      <c r="O10" s="69"/>
      <c r="P10" s="69"/>
      <c r="Q10" s="69"/>
    </row>
    <row r="11" spans="2:17">
      <c r="B11" s="472" t="s">
        <v>9</v>
      </c>
      <c r="C11" s="473"/>
      <c r="D11" s="464"/>
      <c r="E11" s="69"/>
      <c r="F11" s="69"/>
      <c r="G11" s="69"/>
      <c r="H11" s="220" t="s">
        <v>1452</v>
      </c>
      <c r="I11" s="69"/>
      <c r="J11" s="69"/>
      <c r="K11" s="69"/>
      <c r="L11" s="69"/>
      <c r="M11" s="69"/>
      <c r="N11" s="69"/>
      <c r="O11" s="69"/>
      <c r="P11" s="69"/>
      <c r="Q11" s="69"/>
    </row>
    <row r="12" spans="2:17">
      <c r="B12" s="472" t="s">
        <v>10</v>
      </c>
      <c r="C12" s="473"/>
      <c r="D12" s="464"/>
      <c r="E12" s="69"/>
      <c r="F12" s="69"/>
      <c r="G12" s="220"/>
      <c r="H12" s="220" t="s">
        <v>1978</v>
      </c>
      <c r="I12" s="69"/>
      <c r="J12" s="69"/>
      <c r="K12" s="69"/>
      <c r="L12" s="69"/>
      <c r="M12" s="69"/>
      <c r="N12" s="69"/>
      <c r="O12" s="69"/>
      <c r="P12" s="69"/>
      <c r="Q12" s="69"/>
    </row>
    <row r="13" spans="2:17">
      <c r="B13" s="472" t="s">
        <v>11</v>
      </c>
      <c r="C13" s="473"/>
      <c r="D13" s="464"/>
      <c r="E13" s="69"/>
      <c r="F13" s="69"/>
      <c r="G13" s="345" t="s">
        <v>1453</v>
      </c>
      <c r="H13" s="220"/>
      <c r="I13" s="69"/>
      <c r="J13" s="69"/>
      <c r="K13" s="69"/>
      <c r="L13" s="69"/>
      <c r="M13" s="69"/>
      <c r="N13" s="69"/>
      <c r="O13" s="69"/>
      <c r="P13" s="69"/>
      <c r="Q13" s="69"/>
    </row>
    <row r="14" spans="2:17">
      <c r="B14" s="472" t="s">
        <v>12</v>
      </c>
      <c r="C14" s="473"/>
      <c r="D14" s="464"/>
      <c r="E14" s="69"/>
      <c r="F14" s="69"/>
      <c r="G14" s="345"/>
      <c r="H14" s="69"/>
      <c r="I14" s="69"/>
      <c r="J14" s="69"/>
      <c r="K14" s="69"/>
      <c r="L14" s="69"/>
      <c r="M14" s="69"/>
      <c r="N14" s="69"/>
      <c r="O14" s="69"/>
      <c r="P14" s="69"/>
      <c r="Q14" s="69"/>
    </row>
    <row r="15" spans="2:17">
      <c r="B15" s="472" t="s">
        <v>13</v>
      </c>
      <c r="C15" s="473"/>
      <c r="D15" s="464"/>
      <c r="E15" s="69"/>
      <c r="F15" s="69"/>
    </row>
    <row r="16" spans="2:17" ht="15.75">
      <c r="B16" s="472" t="s">
        <v>14</v>
      </c>
      <c r="C16" s="473"/>
      <c r="D16" s="464"/>
      <c r="E16" s="69"/>
      <c r="F16" s="69"/>
      <c r="G16" s="474" t="s">
        <v>1318</v>
      </c>
      <c r="H16" s="474"/>
      <c r="I16" s="474"/>
      <c r="J16" s="69"/>
      <c r="K16" s="69"/>
      <c r="L16" s="69"/>
      <c r="M16" s="69"/>
      <c r="N16" s="69"/>
      <c r="O16" s="69"/>
      <c r="P16" s="69"/>
      <c r="Q16" s="69"/>
    </row>
    <row r="17" spans="2:17">
      <c r="B17" s="472" t="s">
        <v>16</v>
      </c>
      <c r="C17" s="473"/>
      <c r="D17" s="464"/>
      <c r="E17" s="69"/>
      <c r="F17" s="69"/>
      <c r="G17" s="346" t="s">
        <v>1454</v>
      </c>
      <c r="H17" s="69"/>
      <c r="I17" s="69"/>
      <c r="J17" s="69"/>
      <c r="K17" s="69"/>
      <c r="L17" s="69"/>
      <c r="M17" s="69"/>
      <c r="N17" s="69"/>
      <c r="O17" s="69"/>
      <c r="P17" s="69"/>
      <c r="Q17" s="69"/>
    </row>
    <row r="18" spans="2:17">
      <c r="B18" s="472" t="s">
        <v>18</v>
      </c>
      <c r="C18" s="473"/>
      <c r="D18" s="464"/>
      <c r="E18" s="69"/>
      <c r="F18" s="69"/>
      <c r="G18" s="347" t="s">
        <v>1966</v>
      </c>
      <c r="J18" s="69"/>
      <c r="K18" s="69"/>
      <c r="L18" s="69"/>
      <c r="M18" s="69"/>
      <c r="N18" s="69"/>
      <c r="O18" s="69"/>
      <c r="P18" s="69"/>
      <c r="Q18" s="69"/>
    </row>
    <row r="19" spans="2:17">
      <c r="B19" s="472" t="s">
        <v>19</v>
      </c>
      <c r="C19" s="473"/>
      <c r="D19" s="464"/>
      <c r="E19" s="69"/>
      <c r="F19" s="69"/>
      <c r="G19" s="347" t="s">
        <v>1455</v>
      </c>
      <c r="J19" s="69"/>
      <c r="K19" s="69"/>
      <c r="L19" s="69"/>
      <c r="M19" s="69"/>
      <c r="N19" s="69"/>
      <c r="O19" s="69"/>
      <c r="P19" s="69"/>
      <c r="Q19" s="69"/>
    </row>
    <row r="20" spans="2:17">
      <c r="B20" s="472" t="s">
        <v>20</v>
      </c>
      <c r="C20" s="473"/>
      <c r="D20" s="464"/>
      <c r="E20" s="69"/>
      <c r="F20" s="69"/>
      <c r="G20" s="346" t="s">
        <v>1456</v>
      </c>
      <c r="H20" s="69"/>
      <c r="I20" s="69"/>
      <c r="J20" s="69"/>
      <c r="K20" s="69"/>
      <c r="L20" s="69"/>
      <c r="M20" s="69"/>
      <c r="N20" s="69"/>
      <c r="O20" s="69"/>
      <c r="P20" s="69"/>
      <c r="Q20" s="69"/>
    </row>
    <row r="21" spans="2:17">
      <c r="B21" s="472" t="s">
        <v>22</v>
      </c>
      <c r="C21" s="473"/>
      <c r="D21" s="464"/>
      <c r="E21" s="69"/>
      <c r="F21" s="69"/>
      <c r="G21" s="346" t="s">
        <v>1457</v>
      </c>
      <c r="J21" s="69"/>
      <c r="K21" s="69"/>
      <c r="L21" s="69"/>
      <c r="M21" s="69"/>
      <c r="N21" s="69"/>
      <c r="O21" s="69"/>
      <c r="P21" s="69"/>
      <c r="Q21" s="69"/>
    </row>
    <row r="22" spans="2:17">
      <c r="B22" s="472" t="s">
        <v>24</v>
      </c>
      <c r="C22" s="473"/>
      <c r="D22" s="464"/>
      <c r="E22" s="69"/>
      <c r="F22" s="69"/>
      <c r="G22" s="346" t="s">
        <v>1458</v>
      </c>
      <c r="J22" s="69"/>
      <c r="K22" s="69"/>
      <c r="L22" s="69"/>
      <c r="M22" s="69"/>
      <c r="N22" s="69"/>
      <c r="O22" s="69"/>
      <c r="P22" s="69"/>
      <c r="Q22" s="69"/>
    </row>
    <row r="23" spans="2:17">
      <c r="B23" s="465" t="s">
        <v>26</v>
      </c>
      <c r="C23" s="466"/>
      <c r="D23" s="464"/>
      <c r="E23" s="69"/>
      <c r="F23" s="69"/>
      <c r="G23" s="348" t="s">
        <v>1459</v>
      </c>
      <c r="J23" s="69"/>
      <c r="K23" s="69"/>
      <c r="L23" s="69"/>
      <c r="M23" s="69"/>
      <c r="N23" s="69"/>
      <c r="O23" s="69"/>
      <c r="P23" s="69"/>
      <c r="Q23" s="69"/>
    </row>
    <row r="24" spans="2:17">
      <c r="B24" s="472" t="s">
        <v>669</v>
      </c>
      <c r="C24" s="473"/>
      <c r="D24" s="464"/>
      <c r="E24" s="69"/>
      <c r="F24" s="69"/>
      <c r="H24" t="s">
        <v>1460</v>
      </c>
      <c r="J24" s="69"/>
      <c r="K24" s="69"/>
      <c r="L24" s="69"/>
      <c r="M24" s="69"/>
      <c r="N24" s="69"/>
      <c r="O24" s="69"/>
      <c r="P24" s="69"/>
      <c r="Q24" s="69"/>
    </row>
    <row r="25" spans="2:17">
      <c r="B25" s="472" t="s">
        <v>1449</v>
      </c>
      <c r="C25" s="473"/>
      <c r="D25" s="464"/>
      <c r="E25" s="69"/>
      <c r="F25" s="69"/>
      <c r="H25" t="s">
        <v>1461</v>
      </c>
      <c r="J25" s="69"/>
      <c r="K25" s="69"/>
      <c r="L25" s="69"/>
      <c r="M25" s="69"/>
      <c r="N25" s="69"/>
      <c r="O25" s="69"/>
      <c r="P25" s="69"/>
      <c r="Q25" s="69"/>
    </row>
    <row r="26" spans="2:17">
      <c r="B26" s="472" t="s">
        <v>1448</v>
      </c>
      <c r="C26" s="473"/>
      <c r="D26" s="464"/>
      <c r="E26" s="69"/>
      <c r="F26" s="69"/>
      <c r="J26" s="69"/>
      <c r="K26" s="69"/>
      <c r="L26" s="69"/>
      <c r="M26" s="69"/>
      <c r="N26" s="69"/>
      <c r="O26" s="69"/>
      <c r="P26" s="69"/>
      <c r="Q26" s="69"/>
    </row>
    <row r="27" spans="2:17" ht="15.75">
      <c r="B27" s="472" t="s">
        <v>1973</v>
      </c>
      <c r="C27" s="473"/>
      <c r="D27" s="464"/>
      <c r="E27" s="69"/>
      <c r="F27" s="69"/>
      <c r="G27" s="440" t="s">
        <v>15</v>
      </c>
      <c r="H27" s="440"/>
      <c r="I27" s="440"/>
      <c r="J27" s="69"/>
      <c r="K27" s="69"/>
      <c r="L27" s="69"/>
      <c r="M27" s="69"/>
      <c r="N27" s="69"/>
      <c r="O27" s="69"/>
      <c r="P27" s="69"/>
      <c r="Q27" s="69"/>
    </row>
    <row r="28" spans="2:17">
      <c r="B28" s="472" t="s">
        <v>1974</v>
      </c>
      <c r="C28" s="473"/>
      <c r="D28" s="464"/>
      <c r="E28" s="69"/>
      <c r="F28" s="69"/>
      <c r="G28" s="220" t="s">
        <v>17</v>
      </c>
      <c r="H28" s="69"/>
      <c r="I28" s="69"/>
      <c r="J28" s="69"/>
      <c r="K28" s="69"/>
      <c r="L28" s="69"/>
      <c r="M28" s="69"/>
      <c r="N28" s="69"/>
      <c r="O28" s="69"/>
      <c r="P28" s="69"/>
      <c r="Q28" s="69"/>
    </row>
    <row r="29" spans="2:17">
      <c r="B29" s="465" t="s">
        <v>29</v>
      </c>
      <c r="C29" s="466"/>
      <c r="D29" s="464"/>
      <c r="E29" s="69"/>
      <c r="F29" s="69"/>
      <c r="J29" s="69"/>
      <c r="K29" s="69"/>
      <c r="L29" s="69"/>
      <c r="M29" s="69"/>
      <c r="N29" s="69"/>
      <c r="O29" s="69"/>
      <c r="P29" s="69"/>
      <c r="Q29" s="69"/>
    </row>
    <row r="30" spans="2:17" ht="15.75">
      <c r="B30" s="465" t="s">
        <v>30</v>
      </c>
      <c r="C30" s="466"/>
      <c r="D30" s="464"/>
      <c r="E30" s="69"/>
      <c r="F30" s="69"/>
      <c r="G30" s="440" t="s">
        <v>1967</v>
      </c>
      <c r="H30" s="440"/>
      <c r="I30" s="440"/>
      <c r="J30" s="440"/>
      <c r="K30" s="440"/>
      <c r="L30" s="440"/>
      <c r="M30" s="440"/>
      <c r="N30" s="440"/>
      <c r="O30" s="440"/>
      <c r="P30" s="440"/>
      <c r="Q30" s="440"/>
    </row>
    <row r="31" spans="2:17">
      <c r="B31" s="465" t="s">
        <v>31</v>
      </c>
      <c r="C31" s="466"/>
      <c r="D31" s="464"/>
      <c r="E31" s="69"/>
      <c r="F31" s="69"/>
      <c r="G31" s="220" t="s">
        <v>21</v>
      </c>
      <c r="H31" s="69"/>
      <c r="I31" s="69"/>
      <c r="J31" s="69"/>
      <c r="K31" s="69"/>
      <c r="L31" s="69"/>
      <c r="M31" s="69"/>
      <c r="N31" s="69"/>
      <c r="O31" s="69"/>
      <c r="P31" s="69"/>
      <c r="Q31" s="69"/>
    </row>
    <row r="32" spans="2:17" ht="13.5" thickBot="1">
      <c r="B32" s="467" t="s">
        <v>32</v>
      </c>
      <c r="C32" s="468"/>
      <c r="D32" s="462"/>
      <c r="E32" s="69"/>
      <c r="F32" s="69"/>
      <c r="G32" s="69"/>
      <c r="H32" s="220" t="s">
        <v>23</v>
      </c>
      <c r="I32" s="69"/>
      <c r="J32" s="69"/>
      <c r="K32" s="69"/>
      <c r="L32" s="69"/>
      <c r="M32" s="69"/>
      <c r="N32" s="69"/>
      <c r="O32" s="69"/>
      <c r="P32" s="69"/>
      <c r="Q32" s="69"/>
    </row>
    <row r="33" spans="2:17" ht="13.5" thickBot="1">
      <c r="E33" s="69"/>
      <c r="F33" s="69"/>
      <c r="G33" s="220" t="s">
        <v>25</v>
      </c>
      <c r="H33" s="69"/>
      <c r="I33" s="69"/>
      <c r="J33" s="69"/>
      <c r="K33" s="69"/>
      <c r="L33" s="69"/>
      <c r="M33" s="69"/>
      <c r="N33" s="69"/>
      <c r="O33" s="69"/>
      <c r="P33" s="69"/>
      <c r="Q33" s="69"/>
    </row>
    <row r="34" spans="2:17" ht="15.75">
      <c r="B34" s="469" t="s">
        <v>33</v>
      </c>
      <c r="C34" s="470"/>
      <c r="D34" s="471"/>
      <c r="E34" s="69"/>
      <c r="F34" s="69"/>
      <c r="G34" s="220" t="s">
        <v>27</v>
      </c>
      <c r="H34" s="69"/>
      <c r="I34" s="69"/>
      <c r="J34" s="69"/>
      <c r="K34" s="69"/>
      <c r="L34" s="69"/>
      <c r="M34" s="69"/>
      <c r="N34" s="69"/>
      <c r="O34" s="69"/>
      <c r="P34" s="69"/>
      <c r="Q34" s="69"/>
    </row>
    <row r="35" spans="2:17">
      <c r="B35" s="326" t="s">
        <v>35</v>
      </c>
      <c r="C35" s="463" t="s">
        <v>36</v>
      </c>
      <c r="D35" s="464"/>
      <c r="E35" s="69"/>
      <c r="F35" s="69"/>
      <c r="G35" s="220" t="s">
        <v>28</v>
      </c>
      <c r="H35" s="69"/>
      <c r="I35" s="69"/>
      <c r="J35" s="69"/>
      <c r="K35" s="69"/>
      <c r="L35" s="69"/>
      <c r="M35" s="69"/>
      <c r="N35" s="69"/>
      <c r="O35" s="69"/>
      <c r="P35" s="69"/>
      <c r="Q35" s="69"/>
    </row>
    <row r="36" spans="2:17">
      <c r="B36" s="326" t="s">
        <v>37</v>
      </c>
      <c r="C36" s="463" t="s">
        <v>38</v>
      </c>
      <c r="D36" s="464"/>
      <c r="E36" s="69"/>
      <c r="F36" s="69"/>
      <c r="J36" s="69"/>
      <c r="K36" s="69"/>
      <c r="L36" s="69"/>
      <c r="M36" s="69"/>
      <c r="N36" s="69"/>
      <c r="O36" s="69"/>
      <c r="P36" s="69"/>
      <c r="Q36" s="69"/>
    </row>
    <row r="37" spans="2:17" ht="15.75">
      <c r="B37" s="326" t="s">
        <v>39</v>
      </c>
      <c r="C37" s="463" t="s">
        <v>40</v>
      </c>
      <c r="D37" s="464"/>
      <c r="E37" s="69"/>
      <c r="F37" s="69"/>
      <c r="G37" s="440" t="s">
        <v>1968</v>
      </c>
      <c r="H37" s="440"/>
      <c r="I37" s="440"/>
      <c r="J37" s="440"/>
      <c r="K37" s="440"/>
      <c r="L37" s="440"/>
      <c r="M37" s="440"/>
      <c r="N37" s="440"/>
      <c r="O37" s="440"/>
      <c r="P37" s="440"/>
      <c r="Q37" s="440"/>
    </row>
    <row r="38" spans="2:17">
      <c r="B38" s="326" t="s">
        <v>41</v>
      </c>
      <c r="C38" s="463" t="s">
        <v>42</v>
      </c>
      <c r="D38" s="464"/>
      <c r="E38" s="69"/>
      <c r="F38" s="69"/>
      <c r="G38" s="220" t="s">
        <v>21</v>
      </c>
      <c r="H38" s="69"/>
      <c r="I38" s="69"/>
      <c r="J38" s="69"/>
      <c r="K38" s="69"/>
      <c r="L38" s="69"/>
      <c r="M38" s="69"/>
      <c r="N38" s="69"/>
      <c r="O38" s="69"/>
      <c r="P38" s="69"/>
      <c r="Q38" s="69"/>
    </row>
    <row r="39" spans="2:17" ht="13.5" thickBot="1">
      <c r="B39" s="327" t="s">
        <v>43</v>
      </c>
      <c r="C39" s="461" t="s">
        <v>44</v>
      </c>
      <c r="D39" s="462"/>
      <c r="E39" s="69"/>
      <c r="F39" s="69"/>
      <c r="G39" s="220"/>
      <c r="H39" s="220" t="s">
        <v>1311</v>
      </c>
      <c r="I39" s="69"/>
      <c r="J39" s="69"/>
      <c r="K39" s="69"/>
      <c r="L39" s="69"/>
      <c r="M39" s="69"/>
      <c r="N39" s="69"/>
      <c r="O39" s="69"/>
      <c r="P39" s="69"/>
      <c r="Q39" s="69"/>
    </row>
    <row r="40" spans="2:17">
      <c r="E40" s="69"/>
      <c r="F40" s="69"/>
      <c r="G40" s="220"/>
      <c r="H40" s="220" t="s">
        <v>1312</v>
      </c>
      <c r="I40" s="69"/>
      <c r="J40" s="69"/>
      <c r="K40" s="69"/>
      <c r="L40" s="69"/>
      <c r="M40" s="69"/>
      <c r="N40" s="69"/>
      <c r="O40" s="69"/>
      <c r="P40" s="69"/>
      <c r="Q40" s="69"/>
    </row>
    <row r="41" spans="2:17">
      <c r="E41" s="69"/>
      <c r="F41" s="69"/>
      <c r="G41" s="220" t="s">
        <v>34</v>
      </c>
      <c r="H41" s="69"/>
      <c r="I41" s="69"/>
      <c r="J41" s="69"/>
      <c r="K41" s="69"/>
      <c r="L41" s="69"/>
      <c r="M41" s="69"/>
      <c r="N41" s="69"/>
      <c r="O41" s="69"/>
      <c r="P41" s="69"/>
      <c r="Q41" s="69"/>
    </row>
    <row r="42" spans="2:17">
      <c r="E42" s="69"/>
      <c r="F42" s="69"/>
      <c r="G42" s="69"/>
      <c r="H42" s="220" t="s">
        <v>46</v>
      </c>
      <c r="I42" s="69"/>
      <c r="J42" s="69"/>
      <c r="K42" s="69"/>
      <c r="L42" s="69"/>
      <c r="M42" s="69"/>
      <c r="N42" s="69"/>
      <c r="O42" s="69"/>
      <c r="P42" s="69"/>
      <c r="Q42" s="69"/>
    </row>
    <row r="43" spans="2:17">
      <c r="E43" s="69"/>
      <c r="F43" s="69"/>
      <c r="G43" s="69"/>
      <c r="H43" s="220" t="s">
        <v>47</v>
      </c>
      <c r="I43" s="69"/>
      <c r="J43" s="69"/>
      <c r="K43" s="69"/>
      <c r="L43" s="69"/>
      <c r="M43" s="69"/>
      <c r="N43" s="69"/>
      <c r="O43" s="69"/>
      <c r="P43" s="69"/>
      <c r="Q43" s="69"/>
    </row>
    <row r="44" spans="2:17">
      <c r="E44" s="69"/>
      <c r="F44" s="69"/>
      <c r="G44" s="220" t="s">
        <v>28</v>
      </c>
      <c r="H44" s="69"/>
      <c r="I44" s="69"/>
      <c r="J44" s="69"/>
      <c r="K44" s="69"/>
      <c r="L44" s="69"/>
      <c r="M44" s="69"/>
      <c r="N44" s="69"/>
      <c r="O44" s="69"/>
      <c r="P44" s="69"/>
      <c r="Q44" s="69"/>
    </row>
    <row r="45" spans="2:17">
      <c r="B45" s="69"/>
      <c r="C45" s="69"/>
      <c r="D45" s="69"/>
      <c r="E45" s="69"/>
      <c r="F45" s="69"/>
      <c r="J45" s="69"/>
      <c r="K45" s="69"/>
      <c r="L45" s="69"/>
      <c r="M45" s="69"/>
      <c r="N45" s="69"/>
      <c r="O45" s="69"/>
      <c r="P45" s="69"/>
      <c r="Q45" s="69"/>
    </row>
    <row r="46" spans="2:17" ht="15.75">
      <c r="B46" s="69"/>
      <c r="C46" s="69"/>
      <c r="D46" s="69"/>
      <c r="E46" s="69"/>
      <c r="F46" s="69"/>
      <c r="G46" s="440" t="s">
        <v>1969</v>
      </c>
      <c r="H46" s="440"/>
      <c r="I46" s="440"/>
      <c r="J46" s="440"/>
      <c r="K46" s="440"/>
      <c r="L46" s="440"/>
      <c r="M46" s="440"/>
      <c r="N46" s="440"/>
      <c r="O46" s="440"/>
      <c r="P46" s="440"/>
      <c r="Q46" s="440"/>
    </row>
    <row r="47" spans="2:17">
      <c r="B47" s="69"/>
      <c r="C47" s="69"/>
      <c r="D47" s="69"/>
      <c r="E47" s="69"/>
      <c r="F47" s="69"/>
      <c r="G47" s="220" t="s">
        <v>45</v>
      </c>
      <c r="H47" s="69"/>
      <c r="I47" s="69"/>
      <c r="J47" s="69"/>
      <c r="K47" s="69"/>
      <c r="L47" s="69"/>
      <c r="M47" s="69"/>
      <c r="N47" s="69"/>
      <c r="O47" s="69"/>
      <c r="P47" s="69"/>
      <c r="Q47" s="69"/>
    </row>
    <row r="48" spans="2:17">
      <c r="B48" s="69"/>
      <c r="C48" s="69"/>
      <c r="D48" s="69"/>
      <c r="E48" s="69"/>
      <c r="F48" s="69"/>
      <c r="G48" s="69"/>
      <c r="H48" s="220" t="s">
        <v>1313</v>
      </c>
      <c r="I48" s="69"/>
      <c r="J48" s="69"/>
      <c r="K48" s="69"/>
      <c r="L48" s="69"/>
      <c r="M48" s="69"/>
      <c r="N48" s="69"/>
      <c r="O48" s="69"/>
      <c r="P48" s="69"/>
      <c r="Q48" s="69"/>
    </row>
    <row r="49" spans="2:17">
      <c r="B49" s="69"/>
      <c r="C49" s="69"/>
      <c r="D49" s="69"/>
      <c r="E49" s="69"/>
      <c r="F49" s="69"/>
      <c r="G49" s="69"/>
      <c r="H49" s="220" t="s">
        <v>1314</v>
      </c>
      <c r="I49" s="69"/>
      <c r="J49" s="69"/>
      <c r="K49" s="69"/>
      <c r="L49" s="69"/>
      <c r="M49" s="69"/>
      <c r="N49" s="69"/>
      <c r="O49" s="69"/>
      <c r="P49" s="69"/>
      <c r="Q49" s="69"/>
    </row>
    <row r="50" spans="2:17">
      <c r="B50" s="69"/>
      <c r="C50" s="69"/>
      <c r="D50" s="69"/>
      <c r="E50" s="69"/>
      <c r="F50" s="69"/>
      <c r="G50" s="220" t="s">
        <v>48</v>
      </c>
      <c r="H50" s="220"/>
      <c r="I50" s="69"/>
      <c r="J50" s="69"/>
      <c r="K50" s="69"/>
      <c r="L50" s="69"/>
      <c r="M50" s="69"/>
      <c r="N50" s="69"/>
      <c r="O50" s="69"/>
      <c r="P50" s="69"/>
      <c r="Q50" s="69"/>
    </row>
    <row r="51" spans="2:17">
      <c r="G51" s="69"/>
      <c r="H51" s="220" t="s">
        <v>1277</v>
      </c>
      <c r="I51" s="69"/>
      <c r="J51" s="69"/>
      <c r="K51" s="69"/>
      <c r="L51" s="69"/>
      <c r="M51" s="69"/>
      <c r="N51" s="69"/>
      <c r="O51" s="69"/>
      <c r="P51" s="69"/>
      <c r="Q51" s="69"/>
    </row>
    <row r="53" spans="2:17" ht="15.75">
      <c r="G53" s="440" t="s">
        <v>1970</v>
      </c>
      <c r="H53" s="440"/>
      <c r="I53" s="440"/>
      <c r="J53" s="440"/>
      <c r="K53" s="440"/>
      <c r="L53" s="440"/>
      <c r="M53" s="440"/>
      <c r="N53" s="440"/>
      <c r="O53" s="440"/>
      <c r="P53" s="440"/>
      <c r="Q53" s="440"/>
    </row>
    <row r="54" spans="2:17">
      <c r="G54" s="347" t="s">
        <v>1971</v>
      </c>
    </row>
    <row r="55" spans="2:17">
      <c r="G55" s="347" t="s">
        <v>1972</v>
      </c>
    </row>
    <row r="57" spans="2:17" ht="15.75">
      <c r="G57" s="440" t="s">
        <v>49</v>
      </c>
      <c r="H57" s="440"/>
      <c r="I57" s="440"/>
    </row>
    <row r="58" spans="2:17">
      <c r="G58" s="220" t="s">
        <v>50</v>
      </c>
      <c r="H58" s="69"/>
      <c r="I58" s="69"/>
    </row>
    <row r="73" spans="28:30">
      <c r="AB73" t="s">
        <v>51</v>
      </c>
      <c r="AC73" t="s">
        <v>52</v>
      </c>
      <c r="AD73" t="s">
        <v>53</v>
      </c>
    </row>
    <row r="74" spans="28:30">
      <c r="AB74" t="s">
        <v>54</v>
      </c>
      <c r="AC74" t="s">
        <v>55</v>
      </c>
      <c r="AD74" t="s">
        <v>56</v>
      </c>
    </row>
    <row r="75" spans="28:30">
      <c r="AB75" t="s">
        <v>57</v>
      </c>
      <c r="AC75" t="s">
        <v>58</v>
      </c>
      <c r="AD75" t="s">
        <v>59</v>
      </c>
    </row>
    <row r="76" spans="28:30">
      <c r="AB76" t="s">
        <v>60</v>
      </c>
      <c r="AC76" t="s">
        <v>61</v>
      </c>
      <c r="AD76" t="s">
        <v>62</v>
      </c>
    </row>
    <row r="77" spans="28:30">
      <c r="AB77" t="s">
        <v>63</v>
      </c>
      <c r="AC77" t="s">
        <v>64</v>
      </c>
      <c r="AD77" t="s">
        <v>65</v>
      </c>
    </row>
    <row r="78" spans="28:30">
      <c r="AB78" t="s">
        <v>66</v>
      </c>
      <c r="AC78" t="s">
        <v>67</v>
      </c>
      <c r="AD78" t="s">
        <v>68</v>
      </c>
    </row>
    <row r="79" spans="28:30">
      <c r="AB79" t="s">
        <v>69</v>
      </c>
      <c r="AC79" t="s">
        <v>70</v>
      </c>
      <c r="AD79" t="s">
        <v>71</v>
      </c>
    </row>
    <row r="80" spans="28:30">
      <c r="AB80" t="s">
        <v>72</v>
      </c>
      <c r="AC80" t="s">
        <v>73</v>
      </c>
      <c r="AD80" t="s">
        <v>74</v>
      </c>
    </row>
    <row r="81" spans="28:30">
      <c r="AB81" t="s">
        <v>75</v>
      </c>
      <c r="AC81" t="s">
        <v>76</v>
      </c>
      <c r="AD81" t="s">
        <v>77</v>
      </c>
    </row>
    <row r="82" spans="28:30">
      <c r="AB82" t="s">
        <v>78</v>
      </c>
      <c r="AC82" t="s">
        <v>79</v>
      </c>
      <c r="AD82" t="s">
        <v>80</v>
      </c>
    </row>
    <row r="83" spans="28:30">
      <c r="AB83" t="s">
        <v>81</v>
      </c>
      <c r="AC83" t="s">
        <v>82</v>
      </c>
      <c r="AD83" t="s">
        <v>83</v>
      </c>
    </row>
    <row r="84" spans="28:30">
      <c r="AB84" t="s">
        <v>84</v>
      </c>
      <c r="AC84" t="s">
        <v>85</v>
      </c>
      <c r="AD84" t="s">
        <v>86</v>
      </c>
    </row>
    <row r="85" spans="28:30">
      <c r="AB85" t="s">
        <v>87</v>
      </c>
      <c r="AC85" t="s">
        <v>88</v>
      </c>
      <c r="AD85" t="s">
        <v>89</v>
      </c>
    </row>
    <row r="86" spans="28:30">
      <c r="AB86" t="s">
        <v>90</v>
      </c>
      <c r="AC86" t="s">
        <v>91</v>
      </c>
      <c r="AD86" t="s">
        <v>92</v>
      </c>
    </row>
    <row r="87" spans="28:30">
      <c r="AB87" t="s">
        <v>93</v>
      </c>
      <c r="AC87" t="s">
        <v>94</v>
      </c>
      <c r="AD87" t="s">
        <v>95</v>
      </c>
    </row>
    <row r="88" spans="28:30">
      <c r="AB88" t="s">
        <v>96</v>
      </c>
      <c r="AC88" t="s">
        <v>97</v>
      </c>
      <c r="AD88" t="s">
        <v>98</v>
      </c>
    </row>
    <row r="89" spans="28:30">
      <c r="AB89" t="s">
        <v>99</v>
      </c>
      <c r="AC89" t="s">
        <v>100</v>
      </c>
      <c r="AD89" t="s">
        <v>101</v>
      </c>
    </row>
    <row r="90" spans="28:30">
      <c r="AB90" t="s">
        <v>102</v>
      </c>
      <c r="AC90" t="s">
        <v>103</v>
      </c>
      <c r="AD90" t="s">
        <v>104</v>
      </c>
    </row>
    <row r="91" spans="28:30">
      <c r="AB91" t="s">
        <v>105</v>
      </c>
      <c r="AC91" t="s">
        <v>106</v>
      </c>
      <c r="AD91" t="s">
        <v>107</v>
      </c>
    </row>
    <row r="92" spans="28:30">
      <c r="AB92" t="s">
        <v>108</v>
      </c>
      <c r="AC92" t="s">
        <v>109</v>
      </c>
      <c r="AD92" t="s">
        <v>110</v>
      </c>
    </row>
    <row r="93" spans="28:30">
      <c r="AB93" t="s">
        <v>111</v>
      </c>
      <c r="AC93" t="s">
        <v>112</v>
      </c>
    </row>
    <row r="94" spans="28:30">
      <c r="AB94" t="s">
        <v>113</v>
      </c>
      <c r="AC94" t="s">
        <v>114</v>
      </c>
    </row>
    <row r="95" spans="28:30">
      <c r="AB95" t="s">
        <v>115</v>
      </c>
      <c r="AC95" t="s">
        <v>116</v>
      </c>
    </row>
    <row r="96" spans="28:30">
      <c r="AB96" t="s">
        <v>117</v>
      </c>
      <c r="AC96" t="s">
        <v>118</v>
      </c>
    </row>
    <row r="97" spans="28:29">
      <c r="AB97" t="s">
        <v>119</v>
      </c>
      <c r="AC97" t="s">
        <v>120</v>
      </c>
    </row>
    <row r="98" spans="28:29">
      <c r="AB98" t="s">
        <v>121</v>
      </c>
      <c r="AC98" t="s">
        <v>122</v>
      </c>
    </row>
    <row r="99" spans="28:29">
      <c r="AB99" t="s">
        <v>123</v>
      </c>
      <c r="AC99" t="s">
        <v>124</v>
      </c>
    </row>
    <row r="100" spans="28:29">
      <c r="AB100" t="s">
        <v>125</v>
      </c>
      <c r="AC100" t="s">
        <v>126</v>
      </c>
    </row>
    <row r="101" spans="28:29">
      <c r="AB101" t="s">
        <v>127</v>
      </c>
      <c r="AC101" t="s">
        <v>128</v>
      </c>
    </row>
    <row r="102" spans="28:29">
      <c r="AB102" t="s">
        <v>129</v>
      </c>
      <c r="AC102" t="s">
        <v>130</v>
      </c>
    </row>
    <row r="103" spans="28:29">
      <c r="AB103" t="s">
        <v>131</v>
      </c>
      <c r="AC103" t="s">
        <v>132</v>
      </c>
    </row>
    <row r="104" spans="28:29">
      <c r="AB104" t="s">
        <v>133</v>
      </c>
      <c r="AC104" t="s">
        <v>134</v>
      </c>
    </row>
    <row r="105" spans="28:29">
      <c r="AB105" t="s">
        <v>135</v>
      </c>
      <c r="AC105" t="s">
        <v>136</v>
      </c>
    </row>
    <row r="106" spans="28:29">
      <c r="AB106" t="s">
        <v>137</v>
      </c>
      <c r="AC106" t="s">
        <v>138</v>
      </c>
    </row>
    <row r="107" spans="28:29">
      <c r="AB107" t="s">
        <v>139</v>
      </c>
      <c r="AC107" t="s">
        <v>140</v>
      </c>
    </row>
    <row r="108" spans="28:29">
      <c r="AB108" t="s">
        <v>141</v>
      </c>
      <c r="AC108" t="s">
        <v>142</v>
      </c>
    </row>
    <row r="109" spans="28:29">
      <c r="AB109" t="s">
        <v>143</v>
      </c>
      <c r="AC109" t="s">
        <v>144</v>
      </c>
    </row>
    <row r="110" spans="28:29">
      <c r="AB110" t="s">
        <v>145</v>
      </c>
      <c r="AC110" t="s">
        <v>146</v>
      </c>
    </row>
    <row r="111" spans="28:29">
      <c r="AB111" t="s">
        <v>147</v>
      </c>
      <c r="AC111" t="s">
        <v>148</v>
      </c>
    </row>
    <row r="112" spans="28:29">
      <c r="AB112" t="s">
        <v>149</v>
      </c>
      <c r="AC112" t="s">
        <v>150</v>
      </c>
    </row>
    <row r="113" spans="28:29">
      <c r="AB113" t="s">
        <v>151</v>
      </c>
      <c r="AC113" t="s">
        <v>152</v>
      </c>
    </row>
    <row r="114" spans="28:29">
      <c r="AB114" t="s">
        <v>153</v>
      </c>
      <c r="AC114" t="s">
        <v>154</v>
      </c>
    </row>
    <row r="115" spans="28:29">
      <c r="AB115" t="s">
        <v>155</v>
      </c>
      <c r="AC115" t="s">
        <v>156</v>
      </c>
    </row>
    <row r="116" spans="28:29">
      <c r="AB116" t="s">
        <v>157</v>
      </c>
      <c r="AC116" t="s">
        <v>158</v>
      </c>
    </row>
    <row r="117" spans="28:29">
      <c r="AB117" t="s">
        <v>159</v>
      </c>
      <c r="AC117" t="s">
        <v>160</v>
      </c>
    </row>
    <row r="118" spans="28:29">
      <c r="AB118" t="s">
        <v>161</v>
      </c>
      <c r="AC118" t="s">
        <v>162</v>
      </c>
    </row>
    <row r="119" spans="28:29">
      <c r="AB119" t="s">
        <v>163</v>
      </c>
      <c r="AC119" t="s">
        <v>164</v>
      </c>
    </row>
    <row r="120" spans="28:29">
      <c r="AB120" t="s">
        <v>165</v>
      </c>
      <c r="AC120" t="s">
        <v>166</v>
      </c>
    </row>
    <row r="121" spans="28:29">
      <c r="AB121" t="s">
        <v>167</v>
      </c>
      <c r="AC121" t="s">
        <v>168</v>
      </c>
    </row>
    <row r="122" spans="28:29">
      <c r="AB122" t="s">
        <v>169</v>
      </c>
      <c r="AC122" t="s">
        <v>170</v>
      </c>
    </row>
    <row r="123" spans="28:29">
      <c r="AB123" t="s">
        <v>171</v>
      </c>
      <c r="AC123" t="s">
        <v>172</v>
      </c>
    </row>
    <row r="124" spans="28:29">
      <c r="AB124" t="s">
        <v>173</v>
      </c>
      <c r="AC124" t="s">
        <v>174</v>
      </c>
    </row>
    <row r="125" spans="28:29">
      <c r="AB125" t="s">
        <v>175</v>
      </c>
      <c r="AC125" t="s">
        <v>176</v>
      </c>
    </row>
    <row r="126" spans="28:29">
      <c r="AB126" t="s">
        <v>177</v>
      </c>
      <c r="AC126" t="s">
        <v>178</v>
      </c>
    </row>
    <row r="127" spans="28:29">
      <c r="AB127" t="s">
        <v>179</v>
      </c>
      <c r="AC127" t="s">
        <v>180</v>
      </c>
    </row>
    <row r="128" spans="28:29">
      <c r="AB128" t="s">
        <v>181</v>
      </c>
      <c r="AC128" t="s">
        <v>182</v>
      </c>
    </row>
    <row r="129" spans="28:29">
      <c r="AB129" t="s">
        <v>183</v>
      </c>
      <c r="AC129" t="s">
        <v>184</v>
      </c>
    </row>
    <row r="130" spans="28:29">
      <c r="AB130" t="s">
        <v>185</v>
      </c>
      <c r="AC130" t="s">
        <v>186</v>
      </c>
    </row>
    <row r="131" spans="28:29">
      <c r="AB131" t="s">
        <v>187</v>
      </c>
      <c r="AC131" t="s">
        <v>188</v>
      </c>
    </row>
    <row r="132" spans="28:29">
      <c r="AB132" t="s">
        <v>189</v>
      </c>
      <c r="AC132" t="s">
        <v>190</v>
      </c>
    </row>
    <row r="133" spans="28:29">
      <c r="AB133" t="s">
        <v>191</v>
      </c>
      <c r="AC133" t="s">
        <v>192</v>
      </c>
    </row>
    <row r="134" spans="28:29">
      <c r="AB134" t="s">
        <v>193</v>
      </c>
      <c r="AC134" t="s">
        <v>194</v>
      </c>
    </row>
    <row r="135" spans="28:29">
      <c r="AB135" t="s">
        <v>195</v>
      </c>
      <c r="AC135" t="s">
        <v>196</v>
      </c>
    </row>
    <row r="136" spans="28:29">
      <c r="AB136" t="s">
        <v>197</v>
      </c>
      <c r="AC136" t="s">
        <v>198</v>
      </c>
    </row>
    <row r="137" spans="28:29">
      <c r="AB137" t="s">
        <v>199</v>
      </c>
      <c r="AC137" t="s">
        <v>200</v>
      </c>
    </row>
    <row r="138" spans="28:29">
      <c r="AB138" t="s">
        <v>201</v>
      </c>
      <c r="AC138" t="s">
        <v>202</v>
      </c>
    </row>
    <row r="139" spans="28:29">
      <c r="AB139" t="s">
        <v>203</v>
      </c>
      <c r="AC139" t="s">
        <v>204</v>
      </c>
    </row>
    <row r="140" spans="28:29">
      <c r="AB140" t="s">
        <v>205</v>
      </c>
      <c r="AC140" t="s">
        <v>206</v>
      </c>
    </row>
    <row r="141" spans="28:29">
      <c r="AB141" t="s">
        <v>207</v>
      </c>
      <c r="AC141" t="s">
        <v>208</v>
      </c>
    </row>
    <row r="142" spans="28:29">
      <c r="AB142" t="s">
        <v>209</v>
      </c>
      <c r="AC142" t="s">
        <v>210</v>
      </c>
    </row>
    <row r="143" spans="28:29">
      <c r="AB143" t="s">
        <v>211</v>
      </c>
      <c r="AC143" t="s">
        <v>212</v>
      </c>
    </row>
    <row r="144" spans="28:29">
      <c r="AB144" t="s">
        <v>213</v>
      </c>
      <c r="AC144" t="s">
        <v>214</v>
      </c>
    </row>
    <row r="145" spans="28:29">
      <c r="AB145" t="s">
        <v>215</v>
      </c>
      <c r="AC145" t="s">
        <v>216</v>
      </c>
    </row>
    <row r="146" spans="28:29">
      <c r="AB146" t="s">
        <v>217</v>
      </c>
      <c r="AC146" t="s">
        <v>218</v>
      </c>
    </row>
    <row r="147" spans="28:29">
      <c r="AB147" t="s">
        <v>219</v>
      </c>
      <c r="AC147" t="s">
        <v>220</v>
      </c>
    </row>
    <row r="148" spans="28:29">
      <c r="AB148" t="s">
        <v>221</v>
      </c>
      <c r="AC148" t="s">
        <v>222</v>
      </c>
    </row>
    <row r="149" spans="28:29">
      <c r="AB149" t="s">
        <v>223</v>
      </c>
      <c r="AC149" t="s">
        <v>224</v>
      </c>
    </row>
    <row r="150" spans="28:29">
      <c r="AB150" t="s">
        <v>225</v>
      </c>
      <c r="AC150" t="s">
        <v>226</v>
      </c>
    </row>
    <row r="151" spans="28:29">
      <c r="AB151" t="s">
        <v>227</v>
      </c>
      <c r="AC151" t="s">
        <v>228</v>
      </c>
    </row>
    <row r="152" spans="28:29">
      <c r="AB152" t="s">
        <v>229</v>
      </c>
      <c r="AC152" t="s">
        <v>230</v>
      </c>
    </row>
    <row r="153" spans="28:29">
      <c r="AB153" t="s">
        <v>231</v>
      </c>
      <c r="AC153" t="s">
        <v>232</v>
      </c>
    </row>
    <row r="154" spans="28:29">
      <c r="AB154" t="s">
        <v>233</v>
      </c>
      <c r="AC154" t="s">
        <v>234</v>
      </c>
    </row>
    <row r="155" spans="28:29">
      <c r="AB155" t="s">
        <v>235</v>
      </c>
      <c r="AC155" t="s">
        <v>236</v>
      </c>
    </row>
    <row r="156" spans="28:29">
      <c r="AB156" t="s">
        <v>237</v>
      </c>
      <c r="AC156" t="s">
        <v>238</v>
      </c>
    </row>
    <row r="157" spans="28:29">
      <c r="AB157" t="s">
        <v>239</v>
      </c>
      <c r="AC157" t="s">
        <v>240</v>
      </c>
    </row>
    <row r="158" spans="28:29">
      <c r="AB158" t="s">
        <v>241</v>
      </c>
      <c r="AC158" t="s">
        <v>242</v>
      </c>
    </row>
    <row r="159" spans="28:29">
      <c r="AB159" t="s">
        <v>243</v>
      </c>
      <c r="AC159" t="s">
        <v>244</v>
      </c>
    </row>
    <row r="160" spans="28:29">
      <c r="AB160" t="s">
        <v>245</v>
      </c>
      <c r="AC160" t="s">
        <v>246</v>
      </c>
    </row>
    <row r="161" spans="28:29">
      <c r="AB161" t="s">
        <v>247</v>
      </c>
      <c r="AC161" t="s">
        <v>248</v>
      </c>
    </row>
    <row r="162" spans="28:29">
      <c r="AB162" t="s">
        <v>249</v>
      </c>
      <c r="AC162" t="s">
        <v>250</v>
      </c>
    </row>
    <row r="163" spans="28:29">
      <c r="AB163" t="s">
        <v>251</v>
      </c>
      <c r="AC163" t="s">
        <v>252</v>
      </c>
    </row>
    <row r="164" spans="28:29">
      <c r="AB164" t="s">
        <v>253</v>
      </c>
    </row>
    <row r="165" spans="28:29">
      <c r="AB165" t="s">
        <v>254</v>
      </c>
    </row>
    <row r="166" spans="28:29">
      <c r="AB166" t="s">
        <v>255</v>
      </c>
    </row>
    <row r="167" spans="28:29">
      <c r="AB167" t="s">
        <v>256</v>
      </c>
    </row>
    <row r="168" spans="28:29">
      <c r="AB168" t="s">
        <v>257</v>
      </c>
    </row>
    <row r="169" spans="28:29">
      <c r="AB169" t="s">
        <v>258</v>
      </c>
    </row>
    <row r="170" spans="28:29">
      <c r="AB170" t="s">
        <v>259</v>
      </c>
    </row>
    <row r="171" spans="28:29">
      <c r="AB171" t="s">
        <v>260</v>
      </c>
    </row>
    <row r="172" spans="28:29">
      <c r="AB172" t="s">
        <v>261</v>
      </c>
    </row>
    <row r="173" spans="28:29">
      <c r="AB173" t="s">
        <v>262</v>
      </c>
    </row>
    <row r="174" spans="28:29">
      <c r="AB174" t="s">
        <v>263</v>
      </c>
    </row>
    <row r="175" spans="28:29">
      <c r="AB175" t="s">
        <v>264</v>
      </c>
    </row>
    <row r="176" spans="28:29">
      <c r="AB176" t="s">
        <v>265</v>
      </c>
    </row>
    <row r="177" spans="28:28">
      <c r="AB177" t="s">
        <v>266</v>
      </c>
    </row>
    <row r="178" spans="28:28">
      <c r="AB178" t="s">
        <v>267</v>
      </c>
    </row>
    <row r="179" spans="28:28">
      <c r="AB179" t="s">
        <v>268</v>
      </c>
    </row>
    <row r="180" spans="28:28">
      <c r="AB180" t="s">
        <v>269</v>
      </c>
    </row>
    <row r="181" spans="28:28">
      <c r="AB181" t="s">
        <v>270</v>
      </c>
    </row>
    <row r="182" spans="28:28">
      <c r="AB182" t="s">
        <v>271</v>
      </c>
    </row>
    <row r="183" spans="28:28">
      <c r="AB183" t="s">
        <v>272</v>
      </c>
    </row>
    <row r="184" spans="28:28">
      <c r="AB184" t="s">
        <v>273</v>
      </c>
    </row>
    <row r="185" spans="28:28">
      <c r="AB185" t="s">
        <v>274</v>
      </c>
    </row>
    <row r="186" spans="28:28">
      <c r="AB186" t="s">
        <v>275</v>
      </c>
    </row>
    <row r="187" spans="28:28">
      <c r="AB187" t="s">
        <v>276</v>
      </c>
    </row>
    <row r="188" spans="28:28">
      <c r="AB188" t="s">
        <v>277</v>
      </c>
    </row>
    <row r="189" spans="28:28">
      <c r="AB189" t="s">
        <v>278</v>
      </c>
    </row>
    <row r="190" spans="28:28">
      <c r="AB190" t="s">
        <v>279</v>
      </c>
    </row>
    <row r="191" spans="28:28">
      <c r="AB191" t="s">
        <v>280</v>
      </c>
    </row>
    <row r="192" spans="28:28">
      <c r="AB192" t="s">
        <v>281</v>
      </c>
    </row>
    <row r="193" spans="28:28">
      <c r="AB193" t="s">
        <v>282</v>
      </c>
    </row>
    <row r="194" spans="28:28">
      <c r="AB194" t="s">
        <v>283</v>
      </c>
    </row>
    <row r="195" spans="28:28">
      <c r="AB195" t="s">
        <v>284</v>
      </c>
    </row>
    <row r="196" spans="28:28">
      <c r="AB196" t="s">
        <v>285</v>
      </c>
    </row>
    <row r="197" spans="28:28">
      <c r="AB197" t="s">
        <v>286</v>
      </c>
    </row>
    <row r="198" spans="28:28">
      <c r="AB198" t="s">
        <v>287</v>
      </c>
    </row>
    <row r="199" spans="28:28">
      <c r="AB199" t="s">
        <v>288</v>
      </c>
    </row>
    <row r="200" spans="28:28">
      <c r="AB200" t="s">
        <v>289</v>
      </c>
    </row>
  </sheetData>
  <sheetProtection selectLockedCells="1" selectUnlockedCells="1"/>
  <mergeCells count="38">
    <mergeCell ref="B7:D7"/>
    <mergeCell ref="B8:D8"/>
    <mergeCell ref="B2:Q2"/>
    <mergeCell ref="B4:D4"/>
    <mergeCell ref="G4:I4"/>
    <mergeCell ref="B6:D6"/>
    <mergeCell ref="B5:D5"/>
    <mergeCell ref="G16:I16"/>
    <mergeCell ref="B16:D16"/>
    <mergeCell ref="B9:D9"/>
    <mergeCell ref="B10:D10"/>
    <mergeCell ref="B11:D11"/>
    <mergeCell ref="B12:D12"/>
    <mergeCell ref="B15:D15"/>
    <mergeCell ref="B13:D13"/>
    <mergeCell ref="B14:D14"/>
    <mergeCell ref="B29:D29"/>
    <mergeCell ref="B23:D23"/>
    <mergeCell ref="B27:D27"/>
    <mergeCell ref="B20:D20"/>
    <mergeCell ref="B17:D17"/>
    <mergeCell ref="B18:D18"/>
    <mergeCell ref="B19:D19"/>
    <mergeCell ref="B21:D21"/>
    <mergeCell ref="B22:D22"/>
    <mergeCell ref="B28:D28"/>
    <mergeCell ref="B26:D26"/>
    <mergeCell ref="B24:D24"/>
    <mergeCell ref="B25:D25"/>
    <mergeCell ref="C39:D39"/>
    <mergeCell ref="C38:D38"/>
    <mergeCell ref="C37:D37"/>
    <mergeCell ref="B30:D30"/>
    <mergeCell ref="B31:D31"/>
    <mergeCell ref="C35:D35"/>
    <mergeCell ref="B32:D32"/>
    <mergeCell ref="C36:D36"/>
    <mergeCell ref="B34:D34"/>
  </mergeCells>
  <hyperlinks>
    <hyperlink ref="B6" location="Rose!A1" display="Rose" xr:uid="{00000000-0004-0000-0000-000000000000}"/>
    <hyperlink ref="B5" location="Battitore Asta!A1" display="Battistore Asta" xr:uid="{00000000-0004-0000-0000-000001000000}"/>
    <hyperlink ref="B7" location="Griglia per Ruolo!A1" display="Griglia per Ruolo" xr:uid="{00000000-0004-0000-0000-000002000000}"/>
    <hyperlink ref="B8" location="Mia rosa + Org! Finanza.A1" display="Mia rosa + Org. Finanza" xr:uid="{00000000-0004-0000-0000-000003000000}"/>
    <hyperlink ref="B9" location="I!A. + Fasce.A1" display="I.A. + Fasce" xr:uid="{00000000-0004-0000-0000-000004000000}"/>
    <hyperlink ref="B10" location="Griglia Portieri!A1" display="Griglia Portieri" xr:uid="{00000000-0004-0000-0000-000005000000}"/>
    <hyperlink ref="B11" location="Griglia Difensori!A1" display="Griglia Difensori" xr:uid="{00000000-0004-0000-0000-000006000000}"/>
    <hyperlink ref="B12" location="Formazioni Titolari GE!A1" display="Formazioni Titolari GE" xr:uid="{00000000-0004-0000-0000-000007000000}"/>
    <hyperlink ref="B13" location="Algoritmo by evilzzx!A1" display="Algoritmo" xr:uid="{00000000-0004-0000-0000-000008000000}"/>
    <hyperlink ref="B14" location="Pesi!A1" display="Algoritmo Pesi" xr:uid="{00000000-0004-0000-0000-000009000000}"/>
    <hyperlink ref="B15" location="Portieri!A1" display="Algoritmo Portieri" xr:uid="{00000000-0004-0000-0000-00000A000000}"/>
    <hyperlink ref="B16" location="Difensori!A1" display="Algoritmo Difensori" xr:uid="{00000000-0004-0000-0000-00000B000000}"/>
    <hyperlink ref="B17" location="Centrocampisti!A1" display="Algoritmo Centrocampisti" xr:uid="{00000000-0004-0000-0000-00000C000000}"/>
    <hyperlink ref="B18" location="Attaccanti!A1" display="Algoritmo Attaccanti" xr:uid="{00000000-0004-0000-0000-00000D000000}"/>
    <hyperlink ref="B19" location="Tutti!A1" display="Algoritmo Tutti Giocatori" xr:uid="{00000000-0004-0000-0000-00000E000000}"/>
    <hyperlink ref="B20" location="Squadre!A1" display="Algoritmo Squadre" xr:uid="{00000000-0004-0000-0000-00000F000000}"/>
    <hyperlink ref="B21" location="Fattore Casa!A1" display="Algoritmo Fattore Casa" xr:uid="{00000000-0004-0000-0000-000010000000}"/>
    <hyperlink ref="B22" location="Allenatore!A1" display="Algoritmo Allenatore" xr:uid="{00000000-0004-0000-0000-000011000000}"/>
    <hyperlink ref="B23" location="Copyright!A1" display="Algoritmo Copyright" xr:uid="{00000000-0004-0000-0000-000012000000}"/>
    <hyperlink ref="B27" location="Giocatori FG MI!A1" display="Giocatori FantaGazzetta MI" xr:uid="{00000000-0004-0000-0000-000013000000}"/>
    <hyperlink ref="B28" location="Giocatori FG NA!A1" display="Giocatori FantaGazzetta NA" xr:uid="{00000000-0004-0000-0000-000014000000}"/>
    <hyperlink ref="B29" location="Giocatori FFC!A1" display="Giocatori FFC" xr:uid="{00000000-0004-0000-0000-000015000000}"/>
    <hyperlink ref="B30" location="Giocatori Gazzetta No T!A1" display="Giocatori Gazzetta Senza Trequartisti" xr:uid="{00000000-0004-0000-0000-000016000000}"/>
    <hyperlink ref="B31" location="Giocatori Gazzetta Con T!A1" display="Giocatori Gazzetta Con Trequartisti" xr:uid="{00000000-0004-0000-0000-000017000000}"/>
    <hyperlink ref="B32" location="Giocatori PianetaFantacalcio!A1" display="Giocatori Pianeta Fantacalcio" xr:uid="{00000000-0004-0000-0000-000018000000}"/>
    <hyperlink ref="B27:D27" location="'Giocatori FG'!A1" display="Giocatori FG" xr:uid="{00000000-0004-0000-0000-000019000000}"/>
    <hyperlink ref="B28:D28" location="'Giocatori FG ALTERNATIVA'!A1" display="Giocatori FG Alternativa" xr:uid="{00000000-0004-0000-0000-00001A000000}"/>
    <hyperlink ref="B29:D29" location="'Giocatori FFC'!A1" display="Giocatori FFC" xr:uid="{00000000-0004-0000-0000-00001B000000}"/>
    <hyperlink ref="B30:D30" location="'Giocatori Gazzetta No T'!A1" display="Giocatori Gazzetta Senza Trequartisti" xr:uid="{00000000-0004-0000-0000-00001C000000}"/>
    <hyperlink ref="B31:D31" location="'Giocatori Gazzetta Con T'!A1" display="Giocatori Gazzetta Con Trequartisti" xr:uid="{00000000-0004-0000-0000-00001D000000}"/>
    <hyperlink ref="B32:D32" location="'Giocatori PianetaFantacalcio'!A1" display="Giocatori Pianeta Fantacalcio" xr:uid="{00000000-0004-0000-0000-00001E000000}"/>
    <hyperlink ref="B21:D21" location="'Fattore Casa'!A1" display="Algoritmo Fattore Casa" xr:uid="{00000000-0004-0000-0000-00001F000000}"/>
    <hyperlink ref="B13:D13" location="'Algoritmo by evilzzx'!A1" display="Algoritmo" xr:uid="{00000000-0004-0000-0000-000020000000}"/>
    <hyperlink ref="B12:D12" location="'Formazioni Titolari GE'!A1" display="Formazioni Titolari GE" xr:uid="{00000000-0004-0000-0000-000021000000}"/>
    <hyperlink ref="B11:D11" location="'Griglia Difensori'!A1" display="Griglia Difensori" xr:uid="{00000000-0004-0000-0000-000022000000}"/>
    <hyperlink ref="B10:D10" location="'Griglia Portieri'!A1" display="Griglia Portieri" xr:uid="{00000000-0004-0000-0000-000023000000}"/>
    <hyperlink ref="B9:D9" location="'I.A. + Fasce'!A1" display="I.A. + Fasce" xr:uid="{00000000-0004-0000-0000-000024000000}"/>
    <hyperlink ref="B8:D8" location="'Mia rosa + Org. Finanza'!A1" display="Mia rosa + Org. Finanza" xr:uid="{00000000-0004-0000-0000-000025000000}"/>
    <hyperlink ref="B7:D7" location="'Griglia per Ruolo'!A1" display="Griglia per Ruolo" xr:uid="{00000000-0004-0000-0000-000026000000}"/>
    <hyperlink ref="B26" location="Giocatori FG MI!A1" display="Giocatori FantaGazzetta MI" xr:uid="{00000000-0004-0000-0000-000027000000}"/>
    <hyperlink ref="B26:D26" location="Giocatori!A1" display="Giocatori" xr:uid="{00000000-0004-0000-0000-000028000000}"/>
    <hyperlink ref="B24" location="Giocatori FG MI!A1" display="Giocatori FantaGazzetta MI" xr:uid="{00000000-0004-0000-0000-000029000000}"/>
    <hyperlink ref="B24:D24" location="'IA FG'!A1" display="I.A. FG" xr:uid="{00000000-0004-0000-0000-00002A000000}"/>
    <hyperlink ref="B25" location="Giocatori FG MI!A1" display="Giocatori FantaGazzetta MI" xr:uid="{00000000-0004-0000-0000-00002B000000}"/>
    <hyperlink ref="B25:D25" location="C.P.!A1" display="Rigoristi, Punizioni e Angoli" xr:uid="{00000000-0004-0000-0000-00002C000000}"/>
    <hyperlink ref="B5:D5" location="Asta!A1" display="Asta" xr:uid="{00000000-0004-0000-0000-00002D000000}"/>
  </hyperlinks>
  <pageMargins left="0.7" right="0.7" top="0.75" bottom="0.75" header="0.51180555555555551" footer="0.51180555555555551"/>
  <pageSetup paperSize="9"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5">
    <tabColor indexed="63"/>
  </sheetPr>
  <dimension ref="A1:AB242"/>
  <sheetViews>
    <sheetView workbookViewId="0">
      <selection activeCell="V14" sqref="V14"/>
    </sheetView>
  </sheetViews>
  <sheetFormatPr defaultRowHeight="12.75"/>
  <cols>
    <col min="1" max="1" width="11.85546875" bestFit="1" customWidth="1"/>
    <col min="2" max="20" width="6" customWidth="1"/>
    <col min="21" max="21" width="10" customWidth="1"/>
    <col min="23" max="24" width="9.140625" hidden="1" customWidth="1"/>
    <col min="25" max="25" width="0" hidden="1" customWidth="1"/>
    <col min="26" max="26" width="24.7109375" hidden="1" customWidth="1"/>
    <col min="27" max="27" width="12.140625" hidden="1" customWidth="1"/>
    <col min="28" max="28" width="0" hidden="1" customWidth="1"/>
  </cols>
  <sheetData>
    <row r="1" spans="1:28" ht="30.75" customHeight="1">
      <c r="A1" s="559" t="s">
        <v>734</v>
      </c>
      <c r="B1" s="559"/>
      <c r="C1" s="559"/>
      <c r="D1" s="559"/>
      <c r="E1" s="559"/>
      <c r="F1" s="559"/>
      <c r="G1" s="559"/>
      <c r="H1" s="559"/>
      <c r="I1" s="559"/>
      <c r="J1" s="559"/>
      <c r="K1" s="559"/>
      <c r="L1" s="559"/>
      <c r="M1" s="559"/>
      <c r="N1" s="559"/>
      <c r="O1" s="559"/>
      <c r="P1" s="559"/>
      <c r="Q1" s="559"/>
      <c r="R1" s="559"/>
      <c r="S1" s="559"/>
      <c r="T1" s="559"/>
    </row>
    <row r="2" spans="1:28" s="79" customFormat="1" ht="8.25" customHeight="1">
      <c r="A2" s="78"/>
      <c r="B2" s="78"/>
      <c r="C2" s="78"/>
      <c r="D2" s="78"/>
      <c r="E2" s="78"/>
      <c r="F2" s="78"/>
      <c r="G2" s="78"/>
      <c r="H2" s="78"/>
      <c r="I2" s="78"/>
      <c r="J2" s="78"/>
      <c r="K2" s="78"/>
      <c r="L2" s="78"/>
      <c r="M2" s="78"/>
      <c r="N2" s="78"/>
      <c r="O2" s="78"/>
      <c r="P2" s="78"/>
      <c r="Q2" s="78"/>
      <c r="R2" s="78"/>
      <c r="S2" s="78"/>
      <c r="T2" s="78"/>
    </row>
    <row r="3" spans="1:28">
      <c r="A3" s="80"/>
      <c r="B3" s="340">
        <v>1</v>
      </c>
      <c r="C3" s="340">
        <v>2</v>
      </c>
      <c r="D3" s="340">
        <v>3</v>
      </c>
      <c r="E3" s="340">
        <v>4</v>
      </c>
      <c r="F3" s="340">
        <v>5</v>
      </c>
      <c r="G3" s="340">
        <v>6</v>
      </c>
      <c r="H3" s="340">
        <v>7</v>
      </c>
      <c r="I3" s="340">
        <v>8</v>
      </c>
      <c r="J3" s="340">
        <v>9</v>
      </c>
      <c r="K3" s="340">
        <v>10</v>
      </c>
      <c r="L3" s="340">
        <v>11</v>
      </c>
      <c r="M3" s="340">
        <v>12</v>
      </c>
      <c r="N3" s="340">
        <v>13</v>
      </c>
      <c r="O3" s="340">
        <v>14</v>
      </c>
      <c r="P3" s="340">
        <v>15</v>
      </c>
      <c r="Q3" s="340">
        <v>16</v>
      </c>
      <c r="R3" s="340">
        <v>17</v>
      </c>
      <c r="S3" s="340">
        <v>18</v>
      </c>
      <c r="T3" s="340">
        <v>19</v>
      </c>
    </row>
    <row r="4" spans="1:28" ht="15">
      <c r="A4" s="341" t="s">
        <v>735</v>
      </c>
      <c r="B4" s="81" t="str">
        <f t="shared" ref="B4:B23" ca="1" si="0">IF(ISNA(VLOOKUP($A4,INDIRECT(ADDRESS(MATCH("Giornata "&amp;$B$3,$W$1:$W$230,0)+1,23,1,1)&amp;":"&amp;ADDRESS(MATCH("Giornata "&amp;$B$3,$W$1:$W$230,0)+11,23,1,1)),1,FALSE)),"F","C")</f>
        <v>C</v>
      </c>
      <c r="C4" s="81" t="str">
        <f t="shared" ref="C4:C23" ca="1" si="1">IF(ISNA(VLOOKUP($A4,INDIRECT(ADDRESS(MATCH("Giornata "&amp;$C$3,$W$1:$W$230,0)+1,23,1,1)&amp;":"&amp;ADDRESS(MATCH("Giornata "&amp;$C$3,$W$1:$W$230,0)+11,23,1,1)),1,FALSE)),"F","C")</f>
        <v>F</v>
      </c>
      <c r="D4" s="81" t="str">
        <f t="shared" ref="D4:D23" ca="1" si="2">IF(ISNA(VLOOKUP($A4,INDIRECT(ADDRESS(MATCH("Giornata "&amp;$D$3,$W$1:$W$230,0)+1,23,1,1)&amp;":"&amp;ADDRESS(MATCH("Giornata "&amp;$D$3,$W$1:$W$230,0)+11,23,1,1)),1,FALSE)),"F","C")</f>
        <v>C</v>
      </c>
      <c r="E4" s="81" t="str">
        <f t="shared" ref="E4:E23" ca="1" si="3">IF(ISNA(VLOOKUP($A4,INDIRECT(ADDRESS(MATCH("Giornata "&amp;$E$3,$W$1:$W$230,0)+1,23,1,1)&amp;":"&amp;ADDRESS(MATCH("Giornata "&amp;$E$3,$W$1:$W$230,0)+11,23,1,1)),1,FALSE)),"F","C")</f>
        <v>F</v>
      </c>
      <c r="F4" s="81" t="str">
        <f t="shared" ref="F4:F23" ca="1" si="4">IF(ISNA(VLOOKUP($A4,INDIRECT(ADDRESS(MATCH("Giornata "&amp;$F$3,$W$1:$W$230,0)+1,23,1,1)&amp;":"&amp;ADDRESS(MATCH("Giornata "&amp;$F$3,$W$1:$W$230,0)+11,23,1,1)),1,FALSE)),"F","C")</f>
        <v>C</v>
      </c>
      <c r="G4" s="81" t="str">
        <f t="shared" ref="G4:G23" ca="1" si="5">IF(ISNA(VLOOKUP($A4,INDIRECT(ADDRESS(MATCH("Giornata "&amp;$G$3,$W$1:$W$230,0)+1,23,1,1)&amp;":"&amp;ADDRESS(MATCH("Giornata "&amp;$G$3,$W$1:$W$230,0)+11,23,1,1)),1,FALSE)),"F","C")</f>
        <v>F</v>
      </c>
      <c r="H4" s="81" t="str">
        <f t="shared" ref="H4:H23" ca="1" si="6">IF(ISNA(VLOOKUP($A4,INDIRECT(ADDRESS(MATCH("Giornata "&amp;$H$3,$W$1:$W$230,0)+1,23,1,1)&amp;":"&amp;ADDRESS(MATCH("Giornata "&amp;$H$3,$W$1:$W$230,0)+11,23,1,1)),1,FALSE)),"F","C")</f>
        <v>C</v>
      </c>
      <c r="I4" s="81" t="str">
        <f t="shared" ref="I4:I23" ca="1" si="7">IF(ISNA(VLOOKUP($A4,INDIRECT(ADDRESS(MATCH("Giornata "&amp;$I$3,$W$1:$W$230,0)+1,23,1,1)&amp;":"&amp;ADDRESS(MATCH("Giornata "&amp;$I$3,$W$1:$W$230,0)+11,23,1,1)),1,FALSE)),"F","C")</f>
        <v>F</v>
      </c>
      <c r="J4" s="81" t="str">
        <f t="shared" ref="J4:J23" ca="1" si="8">IF(ISNA(VLOOKUP($A4,INDIRECT(ADDRESS(MATCH("Giornata "&amp;$J$3,$W$1:$W$230,0)+1,23,1,1)&amp;":"&amp;ADDRESS(MATCH("Giornata "&amp;$J$3,$W$1:$W$230,0)+11,23,1,1)),1,FALSE)),"F","C")</f>
        <v>C</v>
      </c>
      <c r="K4" s="81" t="str">
        <f t="shared" ref="K4:K23" ca="1" si="9">IF(ISNA(VLOOKUP($A4,INDIRECT(ADDRESS(MATCH("Giornata "&amp;$K$3,$W$1:$W$230,0)+1,23,1,1)&amp;":"&amp;ADDRESS(MATCH("Giornata "&amp;$K$3,$W$1:$W$230,0)+11,23,1,1)),1,FALSE)),"F","C")</f>
        <v>C</v>
      </c>
      <c r="L4" s="81" t="str">
        <f t="shared" ref="L4:L23" ca="1" si="10">IF(ISNA(VLOOKUP($A4,INDIRECT(ADDRESS(MATCH("Giornata "&amp;$L$3,$W$1:$W$230,0)+1,23,1,1)&amp;":"&amp;ADDRESS(MATCH("Giornata "&amp;$L$3,$W$1:$W$230,0)+11,23,1,1)),1,FALSE)),"F","C")</f>
        <v>F</v>
      </c>
      <c r="M4" s="81" t="str">
        <f t="shared" ref="M4:M23" ca="1" si="11">IF(ISNA(VLOOKUP($A4,INDIRECT(ADDRESS(MATCH("Giornata "&amp;$M$3,$W$1:$W$230,0)+1,23,1,1)&amp;":"&amp;ADDRESS(MATCH("Giornata "&amp;$M$3,$W$1:$W$230,0)+11,23,1,1)),1,FALSE)),"F","C")</f>
        <v>C</v>
      </c>
      <c r="N4" s="81" t="str">
        <f t="shared" ref="N4:N23" ca="1" si="12">IF(ISNA(VLOOKUP($A4,INDIRECT(ADDRESS(MATCH("Giornata "&amp;$N$3,$W$1:$W$230,0)+1,23,1,1)&amp;":"&amp;ADDRESS(MATCH("Giornata "&amp;$N$3,$W$1:$W$230,0)+11,23,1,1)),1,FALSE)),"F","C")</f>
        <v>F</v>
      </c>
      <c r="O4" s="81" t="str">
        <f t="shared" ref="O4:O23" ca="1" si="13">IF(ISNA(VLOOKUP($A4,INDIRECT(ADDRESS(MATCH("Giornata "&amp;$O$3,$W$1:$W$230,0)+1,23,1,1)&amp;":"&amp;ADDRESS(MATCH("Giornata "&amp;$O$3,$W$1:$W$230,0)+11,23,1,1)),1,FALSE)),"F","C")</f>
        <v>C</v>
      </c>
      <c r="P4" s="81" t="str">
        <f t="shared" ref="P4:P23" ca="1" si="14">IF(ISNA(VLOOKUP($A4,INDIRECT(ADDRESS(MATCH("Giornata "&amp;$P$3,$W$1:$W$230,0)+1,23,1,1)&amp;":"&amp;ADDRESS(MATCH("Giornata "&amp;$P$3,$W$1:$W$230,0)+11,23,1,1)),1,FALSE)),"F","C")</f>
        <v>F</v>
      </c>
      <c r="Q4" s="81" t="str">
        <f t="shared" ref="Q4:Q23" ca="1" si="15">IF(ISNA(VLOOKUP($A4,INDIRECT(ADDRESS(MATCH("Giornata "&amp;$Q$3,$W$1:$W$230,0)+1,23,1,1)&amp;":"&amp;ADDRESS(MATCH("Giornata "&amp;$Q$3,$W$1:$W$230,0)+11,23,1,1)),1,FALSE)),"F","C")</f>
        <v>F</v>
      </c>
      <c r="R4" s="81" t="str">
        <f t="shared" ref="R4:R23" ca="1" si="16">IF(ISNA(VLOOKUP($A4,INDIRECT(ADDRESS(MATCH("Giornata "&amp;$R$3,$W$1:$W$230,0)+1,23,1,1)&amp;":"&amp;ADDRESS(MATCH("Giornata "&amp;$R$3,$W$1:$W$230,0)+11,23,1,1)),1,FALSE)),"F","C")</f>
        <v>C</v>
      </c>
      <c r="S4" s="81" t="str">
        <f t="shared" ref="S4:S23" ca="1" si="17">IF(ISNA(VLOOKUP($A4,INDIRECT(ADDRESS(MATCH("Giornata "&amp;$S$3,$W$1:$W$230,0)+1,23,1,1)&amp;":"&amp;ADDRESS(MATCH("Giornata "&amp;$S$3,$W$1:$W$230,0)+11,23,1,1)),1,FALSE)),"F","C")</f>
        <v>F</v>
      </c>
      <c r="T4" s="81" t="str">
        <f t="shared" ref="T4:T23" ca="1" si="18">IF(ISNA(VLOOKUP($A4,INDIRECT(ADDRESS(MATCH("Giornata "&amp;$T$3,$W$1:$W$230,0)+1,23,1,1)&amp;":"&amp;ADDRESS(MATCH("Giornata "&amp;$T$3,$W$1:$W$230,0)+11,23,1,1)),1,FALSE)),"F","C")</f>
        <v>C</v>
      </c>
      <c r="W4" s="82" t="str">
        <f>AA4</f>
        <v>Giornata 1</v>
      </c>
      <c r="X4" s="82"/>
      <c r="Z4" s="415">
        <v>1</v>
      </c>
      <c r="AA4" t="str">
        <f>"Giornata " &amp; Z4</f>
        <v>Giornata 1</v>
      </c>
    </row>
    <row r="5" spans="1:28" ht="15">
      <c r="A5" s="341" t="s">
        <v>1476</v>
      </c>
      <c r="B5" s="81" t="str">
        <f t="shared" ca="1" si="0"/>
        <v>F</v>
      </c>
      <c r="C5" s="81" t="str">
        <f t="shared" ca="1" si="1"/>
        <v>C</v>
      </c>
      <c r="D5" s="81" t="str">
        <f t="shared" ca="1" si="2"/>
        <v>C</v>
      </c>
      <c r="E5" s="81" t="str">
        <f t="shared" ca="1" si="3"/>
        <v>F</v>
      </c>
      <c r="F5" s="81" t="str">
        <f t="shared" ca="1" si="4"/>
        <v>C</v>
      </c>
      <c r="G5" s="81" t="str">
        <f t="shared" ca="1" si="5"/>
        <v>F</v>
      </c>
      <c r="H5" s="81" t="str">
        <f t="shared" ca="1" si="6"/>
        <v>C</v>
      </c>
      <c r="I5" s="81" t="str">
        <f t="shared" ca="1" si="7"/>
        <v>F</v>
      </c>
      <c r="J5" s="81" t="str">
        <f t="shared" ca="1" si="8"/>
        <v>C</v>
      </c>
      <c r="K5" s="81" t="str">
        <f t="shared" ca="1" si="9"/>
        <v>F</v>
      </c>
      <c r="L5" s="81" t="str">
        <f t="shared" ca="1" si="10"/>
        <v>C</v>
      </c>
      <c r="M5" s="81" t="str">
        <f t="shared" ca="1" si="11"/>
        <v>F</v>
      </c>
      <c r="N5" s="81" t="str">
        <f t="shared" ca="1" si="12"/>
        <v>C</v>
      </c>
      <c r="O5" s="81" t="str">
        <f t="shared" ca="1" si="13"/>
        <v>F</v>
      </c>
      <c r="P5" s="81" t="str">
        <f t="shared" ca="1" si="14"/>
        <v>C</v>
      </c>
      <c r="Q5" s="81" t="str">
        <f t="shared" ca="1" si="15"/>
        <v>F</v>
      </c>
      <c r="R5" s="81" t="str">
        <f t="shared" ca="1" si="16"/>
        <v>C</v>
      </c>
      <c r="S5" s="81" t="str">
        <f t="shared" ca="1" si="17"/>
        <v>F</v>
      </c>
      <c r="T5" s="81" t="str">
        <f t="shared" ca="1" si="18"/>
        <v>C</v>
      </c>
      <c r="W5" s="82" t="str">
        <f t="shared" ref="W5:W14" si="19">AA5</f>
        <v>ATALANTA</v>
      </c>
      <c r="X5" s="83" t="str">
        <f>AB5</f>
        <v>ROMA</v>
      </c>
      <c r="Z5" s="415" t="s">
        <v>1670</v>
      </c>
      <c r="AA5" t="str">
        <f>MID(Z5,1,FIND("-",Z5)-2)</f>
        <v>ATALANTA</v>
      </c>
      <c r="AB5" t="str">
        <f>MID(Z5,FIND("-",Z5)+2,30)</f>
        <v>ROMA</v>
      </c>
    </row>
    <row r="6" spans="1:28" ht="15">
      <c r="A6" s="341" t="s">
        <v>736</v>
      </c>
      <c r="B6" s="81" t="str">
        <f t="shared" ca="1" si="0"/>
        <v>C</v>
      </c>
      <c r="C6" s="81" t="str">
        <f t="shared" ca="1" si="1"/>
        <v>F</v>
      </c>
      <c r="D6" s="81" t="str">
        <f t="shared" ca="1" si="2"/>
        <v>C</v>
      </c>
      <c r="E6" s="81" t="str">
        <f t="shared" ca="1" si="3"/>
        <v>F</v>
      </c>
      <c r="F6" s="81" t="str">
        <f t="shared" ca="1" si="4"/>
        <v>C</v>
      </c>
      <c r="G6" s="81" t="str">
        <f t="shared" ca="1" si="5"/>
        <v>F</v>
      </c>
      <c r="H6" s="81" t="str">
        <f t="shared" ca="1" si="6"/>
        <v>F</v>
      </c>
      <c r="I6" s="81" t="str">
        <f t="shared" ca="1" si="7"/>
        <v>C</v>
      </c>
      <c r="J6" s="81" t="str">
        <f t="shared" ca="1" si="8"/>
        <v>F</v>
      </c>
      <c r="K6" s="81" t="str">
        <f t="shared" ca="1" si="9"/>
        <v>C</v>
      </c>
      <c r="L6" s="81" t="str">
        <f t="shared" ca="1" si="10"/>
        <v>F</v>
      </c>
      <c r="M6" s="81" t="str">
        <f t="shared" ca="1" si="11"/>
        <v>C</v>
      </c>
      <c r="N6" s="81" t="str">
        <f t="shared" ca="1" si="12"/>
        <v>F</v>
      </c>
      <c r="O6" s="81" t="str">
        <f t="shared" ca="1" si="13"/>
        <v>C</v>
      </c>
      <c r="P6" s="81" t="str">
        <f t="shared" ca="1" si="14"/>
        <v>C</v>
      </c>
      <c r="Q6" s="81" t="str">
        <f t="shared" ca="1" si="15"/>
        <v>F</v>
      </c>
      <c r="R6" s="81" t="str">
        <f t="shared" ca="1" si="16"/>
        <v>C</v>
      </c>
      <c r="S6" s="81" t="str">
        <f t="shared" ca="1" si="17"/>
        <v>F</v>
      </c>
      <c r="T6" s="81" t="str">
        <f t="shared" ca="1" si="18"/>
        <v>C</v>
      </c>
      <c r="W6" s="82" t="str">
        <f t="shared" si="19"/>
        <v>BOLOGNA</v>
      </c>
      <c r="X6" s="83" t="str">
        <f t="shared" ref="X6:X14" si="20">AB6</f>
        <v>TORINO</v>
      </c>
      <c r="Z6" s="408" t="s">
        <v>1671</v>
      </c>
      <c r="AA6" t="str">
        <f t="shared" ref="AA6:AA14" si="21">MID(Z6,1,FIND("-",Z6)-2)</f>
        <v>BOLOGNA</v>
      </c>
      <c r="AB6" t="str">
        <f t="shared" ref="AB6:AB14" si="22">MID(Z6,FIND("-",Z6)+2,30)</f>
        <v>TORINO</v>
      </c>
    </row>
    <row r="7" spans="1:28" ht="15">
      <c r="A7" s="341" t="s">
        <v>738</v>
      </c>
      <c r="B7" s="81" t="str">
        <f t="shared" ca="1" si="0"/>
        <v>F</v>
      </c>
      <c r="C7" s="81" t="str">
        <f t="shared" ca="1" si="1"/>
        <v>F</v>
      </c>
      <c r="D7" s="81" t="str">
        <f t="shared" ca="1" si="2"/>
        <v>C</v>
      </c>
      <c r="E7" s="81" t="str">
        <f t="shared" ca="1" si="3"/>
        <v>F</v>
      </c>
      <c r="F7" s="81" t="str">
        <f t="shared" ca="1" si="4"/>
        <v>C</v>
      </c>
      <c r="G7" s="81" t="str">
        <f t="shared" ca="1" si="5"/>
        <v>C</v>
      </c>
      <c r="H7" s="81" t="str">
        <f t="shared" ca="1" si="6"/>
        <v>F</v>
      </c>
      <c r="I7" s="81" t="str">
        <f t="shared" ca="1" si="7"/>
        <v>C</v>
      </c>
      <c r="J7" s="81" t="str">
        <f t="shared" ca="1" si="8"/>
        <v>F</v>
      </c>
      <c r="K7" s="81" t="str">
        <f t="shared" ca="1" si="9"/>
        <v>C</v>
      </c>
      <c r="L7" s="81" t="str">
        <f t="shared" ca="1" si="10"/>
        <v>F</v>
      </c>
      <c r="M7" s="81" t="str">
        <f t="shared" ca="1" si="11"/>
        <v>C</v>
      </c>
      <c r="N7" s="81" t="str">
        <f t="shared" ca="1" si="12"/>
        <v>F</v>
      </c>
      <c r="O7" s="81" t="str">
        <f t="shared" ca="1" si="13"/>
        <v>C</v>
      </c>
      <c r="P7" s="81" t="str">
        <f t="shared" ca="1" si="14"/>
        <v>F</v>
      </c>
      <c r="Q7" s="81" t="str">
        <f t="shared" ca="1" si="15"/>
        <v>C</v>
      </c>
      <c r="R7" s="81" t="str">
        <f t="shared" ca="1" si="16"/>
        <v>F</v>
      </c>
      <c r="S7" s="81" t="str">
        <f t="shared" ca="1" si="17"/>
        <v>C</v>
      </c>
      <c r="T7" s="81" t="str">
        <f t="shared" ca="1" si="18"/>
        <v>F</v>
      </c>
      <c r="W7" s="82" t="str">
        <f t="shared" si="19"/>
        <v>CROTONE</v>
      </c>
      <c r="X7" s="83" t="str">
        <f t="shared" si="20"/>
        <v>MILAN</v>
      </c>
      <c r="Z7" s="408" t="s">
        <v>1486</v>
      </c>
      <c r="AA7" t="str">
        <f t="shared" si="21"/>
        <v>CROTONE</v>
      </c>
      <c r="AB7" t="str">
        <f t="shared" si="22"/>
        <v>MILAN</v>
      </c>
    </row>
    <row r="8" spans="1:28" ht="15">
      <c r="A8" s="341" t="s">
        <v>740</v>
      </c>
      <c r="B8" s="81" t="str">
        <f t="shared" ca="1" si="0"/>
        <v>F</v>
      </c>
      <c r="C8" s="81" t="str">
        <f t="shared" ca="1" si="1"/>
        <v>C</v>
      </c>
      <c r="D8" s="81" t="str">
        <f t="shared" ca="1" si="2"/>
        <v>F</v>
      </c>
      <c r="E8" s="81" t="str">
        <f t="shared" ca="1" si="3"/>
        <v>C</v>
      </c>
      <c r="F8" s="81" t="str">
        <f t="shared" ca="1" si="4"/>
        <v>F</v>
      </c>
      <c r="G8" s="81" t="str">
        <f t="shared" ca="1" si="5"/>
        <v>F</v>
      </c>
      <c r="H8" s="81" t="str">
        <f t="shared" ca="1" si="6"/>
        <v>C</v>
      </c>
      <c r="I8" s="81" t="str">
        <f t="shared" ca="1" si="7"/>
        <v>F</v>
      </c>
      <c r="J8" s="81" t="str">
        <f t="shared" ca="1" si="8"/>
        <v>C</v>
      </c>
      <c r="K8" s="81" t="str">
        <f t="shared" ca="1" si="9"/>
        <v>C</v>
      </c>
      <c r="L8" s="81" t="str">
        <f t="shared" ca="1" si="10"/>
        <v>F</v>
      </c>
      <c r="M8" s="81" t="str">
        <f t="shared" ca="1" si="11"/>
        <v>C</v>
      </c>
      <c r="N8" s="81" t="str">
        <f t="shared" ca="1" si="12"/>
        <v>F</v>
      </c>
      <c r="O8" s="81" t="str">
        <f t="shared" ca="1" si="13"/>
        <v>C</v>
      </c>
      <c r="P8" s="81" t="str">
        <f t="shared" ca="1" si="14"/>
        <v>F</v>
      </c>
      <c r="Q8" s="81" t="str">
        <f t="shared" ca="1" si="15"/>
        <v>C</v>
      </c>
      <c r="R8" s="81" t="str">
        <f t="shared" ca="1" si="16"/>
        <v>F</v>
      </c>
      <c r="S8" s="81" t="str">
        <f t="shared" ca="1" si="17"/>
        <v>C</v>
      </c>
      <c r="T8" s="81" t="str">
        <f t="shared" ca="1" si="18"/>
        <v>F</v>
      </c>
      <c r="W8" s="82" t="str">
        <f t="shared" si="19"/>
        <v>VERONA</v>
      </c>
      <c r="X8" s="83" t="str">
        <f t="shared" si="20"/>
        <v>NAPOLI</v>
      </c>
      <c r="Z8" s="408" t="s">
        <v>1489</v>
      </c>
      <c r="AA8" t="str">
        <f t="shared" si="21"/>
        <v>VERONA</v>
      </c>
      <c r="AB8" t="str">
        <f t="shared" si="22"/>
        <v>NAPOLI</v>
      </c>
    </row>
    <row r="9" spans="1:28" ht="15">
      <c r="A9" s="341" t="s">
        <v>739</v>
      </c>
      <c r="B9" s="81" t="str">
        <f t="shared" ca="1" si="0"/>
        <v>C</v>
      </c>
      <c r="C9" s="81" t="str">
        <f t="shared" ca="1" si="1"/>
        <v>C</v>
      </c>
      <c r="D9" s="81" t="str">
        <f t="shared" ca="1" si="2"/>
        <v>F</v>
      </c>
      <c r="E9" s="81" t="str">
        <f t="shared" ca="1" si="3"/>
        <v>C</v>
      </c>
      <c r="F9" s="81" t="str">
        <f t="shared" ca="1" si="4"/>
        <v>F</v>
      </c>
      <c r="G9" s="81" t="str">
        <f t="shared" ca="1" si="5"/>
        <v>C</v>
      </c>
      <c r="H9" s="81" t="str">
        <f t="shared" ca="1" si="6"/>
        <v>F</v>
      </c>
      <c r="I9" s="81" t="str">
        <f t="shared" ca="1" si="7"/>
        <v>C</v>
      </c>
      <c r="J9" s="81" t="str">
        <f t="shared" ca="1" si="8"/>
        <v>F</v>
      </c>
      <c r="K9" s="81" t="str">
        <f t="shared" ca="1" si="9"/>
        <v>F</v>
      </c>
      <c r="L9" s="81" t="str">
        <f t="shared" ca="1" si="10"/>
        <v>C</v>
      </c>
      <c r="M9" s="81" t="str">
        <f t="shared" ca="1" si="11"/>
        <v>F</v>
      </c>
      <c r="N9" s="81" t="str">
        <f t="shared" ca="1" si="12"/>
        <v>C</v>
      </c>
      <c r="O9" s="81" t="str">
        <f t="shared" ca="1" si="13"/>
        <v>F</v>
      </c>
      <c r="P9" s="81" t="str">
        <f t="shared" ca="1" si="14"/>
        <v>C</v>
      </c>
      <c r="Q9" s="81" t="str">
        <f t="shared" ca="1" si="15"/>
        <v>F</v>
      </c>
      <c r="R9" s="81" t="str">
        <f t="shared" ca="1" si="16"/>
        <v>C</v>
      </c>
      <c r="S9" s="81" t="str">
        <f t="shared" ca="1" si="17"/>
        <v>F</v>
      </c>
      <c r="T9" s="81" t="str">
        <f t="shared" ca="1" si="18"/>
        <v>C</v>
      </c>
      <c r="W9" s="82" t="str">
        <f t="shared" si="19"/>
        <v>INTER</v>
      </c>
      <c r="X9" s="83" t="str">
        <f t="shared" si="20"/>
        <v>FIORENTINA</v>
      </c>
      <c r="Z9" s="408" t="s">
        <v>1492</v>
      </c>
      <c r="AA9" t="str">
        <f t="shared" si="21"/>
        <v>INTER</v>
      </c>
      <c r="AB9" t="str">
        <f t="shared" si="22"/>
        <v>FIORENTINA</v>
      </c>
    </row>
    <row r="10" spans="1:28" ht="15">
      <c r="A10" s="341" t="s">
        <v>744</v>
      </c>
      <c r="B10" s="81" t="str">
        <f t="shared" ca="1" si="0"/>
        <v>F</v>
      </c>
      <c r="C10" s="81" t="str">
        <f t="shared" ca="1" si="1"/>
        <v>C</v>
      </c>
      <c r="D10" s="81" t="str">
        <f t="shared" ca="1" si="2"/>
        <v>F</v>
      </c>
      <c r="E10" s="81" t="str">
        <f t="shared" ca="1" si="3"/>
        <v>C</v>
      </c>
      <c r="F10" s="81" t="str">
        <f t="shared" ca="1" si="4"/>
        <v>F</v>
      </c>
      <c r="G10" s="81" t="str">
        <f t="shared" ca="1" si="5"/>
        <v>C</v>
      </c>
      <c r="H10" s="81" t="str">
        <f t="shared" ca="1" si="6"/>
        <v>F</v>
      </c>
      <c r="I10" s="81" t="str">
        <f t="shared" ca="1" si="7"/>
        <v>C</v>
      </c>
      <c r="J10" s="81" t="str">
        <f t="shared" ca="1" si="8"/>
        <v>F</v>
      </c>
      <c r="K10" s="81" t="str">
        <f t="shared" ca="1" si="9"/>
        <v>C</v>
      </c>
      <c r="L10" s="81" t="str">
        <f t="shared" ca="1" si="10"/>
        <v>F</v>
      </c>
      <c r="M10" s="81" t="str">
        <f t="shared" ca="1" si="11"/>
        <v>C</v>
      </c>
      <c r="N10" s="81" t="str">
        <f t="shared" ca="1" si="12"/>
        <v>F</v>
      </c>
      <c r="O10" s="81" t="str">
        <f t="shared" ca="1" si="13"/>
        <v>F</v>
      </c>
      <c r="P10" s="81" t="str">
        <f t="shared" ca="1" si="14"/>
        <v>C</v>
      </c>
      <c r="Q10" s="81" t="str">
        <f t="shared" ca="1" si="15"/>
        <v>F</v>
      </c>
      <c r="R10" s="81" t="str">
        <f t="shared" ca="1" si="16"/>
        <v>C</v>
      </c>
      <c r="S10" s="81" t="str">
        <f t="shared" ca="1" si="17"/>
        <v>F</v>
      </c>
      <c r="T10" s="81" t="str">
        <f t="shared" ca="1" si="18"/>
        <v>C</v>
      </c>
      <c r="W10" s="82" t="str">
        <f t="shared" si="19"/>
        <v>JUVENTUS</v>
      </c>
      <c r="X10" s="83" t="str">
        <f t="shared" si="20"/>
        <v>CAGLIARI</v>
      </c>
      <c r="Z10" s="408" t="s">
        <v>1495</v>
      </c>
      <c r="AA10" t="str">
        <f t="shared" si="21"/>
        <v>JUVENTUS</v>
      </c>
      <c r="AB10" t="str">
        <f t="shared" si="22"/>
        <v>CAGLIARI</v>
      </c>
    </row>
    <row r="11" spans="1:28" ht="15">
      <c r="A11" s="341" t="s">
        <v>743</v>
      </c>
      <c r="B11" s="81" t="str">
        <f t="shared" ca="1" si="0"/>
        <v>F</v>
      </c>
      <c r="C11" s="81" t="str">
        <f t="shared" ca="1" si="1"/>
        <v>C</v>
      </c>
      <c r="D11" s="81" t="str">
        <f t="shared" ca="1" si="2"/>
        <v>F</v>
      </c>
      <c r="E11" s="81" t="str">
        <f t="shared" ca="1" si="3"/>
        <v>C</v>
      </c>
      <c r="F11" s="81" t="str">
        <f t="shared" ca="1" si="4"/>
        <v>C</v>
      </c>
      <c r="G11" s="81" t="str">
        <f t="shared" ca="1" si="5"/>
        <v>F</v>
      </c>
      <c r="H11" s="81" t="str">
        <f t="shared" ca="1" si="6"/>
        <v>C</v>
      </c>
      <c r="I11" s="81" t="str">
        <f t="shared" ca="1" si="7"/>
        <v>F</v>
      </c>
      <c r="J11" s="81" t="str">
        <f t="shared" ca="1" si="8"/>
        <v>F</v>
      </c>
      <c r="K11" s="81" t="str">
        <f t="shared" ca="1" si="9"/>
        <v>C</v>
      </c>
      <c r="L11" s="81" t="str">
        <f t="shared" ca="1" si="10"/>
        <v>F</v>
      </c>
      <c r="M11" s="81" t="str">
        <f t="shared" ca="1" si="11"/>
        <v>C</v>
      </c>
      <c r="N11" s="81" t="str">
        <f t="shared" ca="1" si="12"/>
        <v>F</v>
      </c>
      <c r="O11" s="81" t="str">
        <f t="shared" ca="1" si="13"/>
        <v>C</v>
      </c>
      <c r="P11" s="81" t="str">
        <f t="shared" ca="1" si="14"/>
        <v>F</v>
      </c>
      <c r="Q11" s="81" t="str">
        <f t="shared" ca="1" si="15"/>
        <v>C</v>
      </c>
      <c r="R11" s="81" t="str">
        <f t="shared" ca="1" si="16"/>
        <v>F</v>
      </c>
      <c r="S11" s="81" t="str">
        <f t="shared" ca="1" si="17"/>
        <v>C</v>
      </c>
      <c r="T11" s="81" t="str">
        <f t="shared" ca="1" si="18"/>
        <v>F</v>
      </c>
      <c r="W11" s="82" t="str">
        <f t="shared" si="19"/>
        <v>LAZIO</v>
      </c>
      <c r="X11" s="83" t="str">
        <f t="shared" si="20"/>
        <v>SPAL</v>
      </c>
      <c r="Z11" s="408" t="s">
        <v>1498</v>
      </c>
      <c r="AA11" t="str">
        <f t="shared" si="21"/>
        <v>LAZIO</v>
      </c>
      <c r="AB11" t="str">
        <f t="shared" si="22"/>
        <v>SPAL</v>
      </c>
    </row>
    <row r="12" spans="1:28" ht="15">
      <c r="A12" s="341" t="s">
        <v>741</v>
      </c>
      <c r="B12" s="81" t="str">
        <f t="shared" ca="1" si="0"/>
        <v>C</v>
      </c>
      <c r="C12" s="81" t="str">
        <f t="shared" ca="1" si="1"/>
        <v>F</v>
      </c>
      <c r="D12" s="81" t="str">
        <f t="shared" ca="1" si="2"/>
        <v>C</v>
      </c>
      <c r="E12" s="81" t="str">
        <f t="shared" ca="1" si="3"/>
        <v>F</v>
      </c>
      <c r="F12" s="81" t="str">
        <f t="shared" ca="1" si="4"/>
        <v>F</v>
      </c>
      <c r="G12" s="81" t="str">
        <f t="shared" ca="1" si="5"/>
        <v>C</v>
      </c>
      <c r="H12" s="81" t="str">
        <f t="shared" ca="1" si="6"/>
        <v>F</v>
      </c>
      <c r="I12" s="81" t="str">
        <f t="shared" ca="1" si="7"/>
        <v>C</v>
      </c>
      <c r="J12" s="81" t="str">
        <f t="shared" ca="1" si="8"/>
        <v>F</v>
      </c>
      <c r="K12" s="81" t="str">
        <f t="shared" ca="1" si="9"/>
        <v>C</v>
      </c>
      <c r="L12" s="81" t="str">
        <f t="shared" ca="1" si="10"/>
        <v>F</v>
      </c>
      <c r="M12" s="81" t="str">
        <f t="shared" ca="1" si="11"/>
        <v>C</v>
      </c>
      <c r="N12" s="81" t="str">
        <f t="shared" ca="1" si="12"/>
        <v>C</v>
      </c>
      <c r="O12" s="81" t="str">
        <f t="shared" ca="1" si="13"/>
        <v>F</v>
      </c>
      <c r="P12" s="81" t="str">
        <f t="shared" ca="1" si="14"/>
        <v>C</v>
      </c>
      <c r="Q12" s="81" t="str">
        <f t="shared" ca="1" si="15"/>
        <v>F</v>
      </c>
      <c r="R12" s="81" t="str">
        <f t="shared" ca="1" si="16"/>
        <v>C</v>
      </c>
      <c r="S12" s="81" t="str">
        <f t="shared" ca="1" si="17"/>
        <v>F</v>
      </c>
      <c r="T12" s="81" t="str">
        <f t="shared" ca="1" si="18"/>
        <v>C</v>
      </c>
      <c r="W12" s="82" t="str">
        <f t="shared" si="19"/>
        <v>SAMPDORIA</v>
      </c>
      <c r="X12" s="83" t="str">
        <f t="shared" si="20"/>
        <v>BENEVENTO</v>
      </c>
      <c r="Z12" s="408" t="s">
        <v>1501</v>
      </c>
      <c r="AA12" t="str">
        <f t="shared" si="21"/>
        <v>SAMPDORIA</v>
      </c>
      <c r="AB12" t="str">
        <f t="shared" si="22"/>
        <v>BENEVENTO</v>
      </c>
    </row>
    <row r="13" spans="1:28" ht="15">
      <c r="A13" s="341" t="s">
        <v>745</v>
      </c>
      <c r="B13" s="81" t="str">
        <f t="shared" ca="1" si="0"/>
        <v>C</v>
      </c>
      <c r="C13" s="81" t="str">
        <f t="shared" ca="1" si="1"/>
        <v>F</v>
      </c>
      <c r="D13" s="81" t="str">
        <f t="shared" ca="1" si="2"/>
        <v>C</v>
      </c>
      <c r="E13" s="81" t="str">
        <f t="shared" ca="1" si="3"/>
        <v>F</v>
      </c>
      <c r="F13" s="81" t="str">
        <f t="shared" ca="1" si="4"/>
        <v>C</v>
      </c>
      <c r="G13" s="81" t="str">
        <f t="shared" ca="1" si="5"/>
        <v>C</v>
      </c>
      <c r="H13" s="81" t="str">
        <f t="shared" ca="1" si="6"/>
        <v>F</v>
      </c>
      <c r="I13" s="81" t="str">
        <f t="shared" ca="1" si="7"/>
        <v>C</v>
      </c>
      <c r="J13" s="81" t="str">
        <f t="shared" ca="1" si="8"/>
        <v>F</v>
      </c>
      <c r="K13" s="81" t="str">
        <f t="shared" ca="1" si="9"/>
        <v>C</v>
      </c>
      <c r="L13" s="81" t="str">
        <f t="shared" ca="1" si="10"/>
        <v>F</v>
      </c>
      <c r="M13" s="81" t="str">
        <f t="shared" ca="1" si="11"/>
        <v>C</v>
      </c>
      <c r="N13" s="81" t="str">
        <f t="shared" ca="1" si="12"/>
        <v>F</v>
      </c>
      <c r="O13" s="81" t="str">
        <f t="shared" ca="1" si="13"/>
        <v>C</v>
      </c>
      <c r="P13" s="81" t="str">
        <f t="shared" ca="1" si="14"/>
        <v>F</v>
      </c>
      <c r="Q13" s="81" t="str">
        <f t="shared" ca="1" si="15"/>
        <v>C</v>
      </c>
      <c r="R13" s="81" t="str">
        <f t="shared" ca="1" si="16"/>
        <v>F</v>
      </c>
      <c r="S13" s="81" t="str">
        <f t="shared" ca="1" si="17"/>
        <v>C</v>
      </c>
      <c r="T13" s="81" t="str">
        <f t="shared" ca="1" si="18"/>
        <v>F</v>
      </c>
      <c r="W13" s="82" t="str">
        <f t="shared" si="19"/>
        <v>SASSUOLO</v>
      </c>
      <c r="X13" s="83" t="str">
        <f t="shared" si="20"/>
        <v>GENOA</v>
      </c>
      <c r="Z13" s="408" t="s">
        <v>1504</v>
      </c>
      <c r="AA13" t="str">
        <f t="shared" si="21"/>
        <v>SASSUOLO</v>
      </c>
      <c r="AB13" t="str">
        <f t="shared" si="22"/>
        <v>GENOA</v>
      </c>
    </row>
    <row r="14" spans="1:28" ht="15">
      <c r="A14" s="341" t="s">
        <v>737</v>
      </c>
      <c r="B14" s="81" t="str">
        <f t="shared" ca="1" si="0"/>
        <v>C</v>
      </c>
      <c r="C14" s="81" t="str">
        <f t="shared" ca="1" si="1"/>
        <v>F</v>
      </c>
      <c r="D14" s="81" t="str">
        <f t="shared" ca="1" si="2"/>
        <v>C</v>
      </c>
      <c r="E14" s="81" t="str">
        <f t="shared" ca="1" si="3"/>
        <v>F</v>
      </c>
      <c r="F14" s="81" t="str">
        <f t="shared" ca="1" si="4"/>
        <v>C</v>
      </c>
      <c r="G14" s="81" t="str">
        <f t="shared" ca="1" si="5"/>
        <v>F</v>
      </c>
      <c r="H14" s="81" t="str">
        <f t="shared" ca="1" si="6"/>
        <v>C</v>
      </c>
      <c r="I14" s="81" t="str">
        <f t="shared" ca="1" si="7"/>
        <v>F</v>
      </c>
      <c r="J14" s="81" t="str">
        <f t="shared" ca="1" si="8"/>
        <v>C</v>
      </c>
      <c r="K14" s="81" t="str">
        <f t="shared" ca="1" si="9"/>
        <v>F</v>
      </c>
      <c r="L14" s="81" t="str">
        <f t="shared" ca="1" si="10"/>
        <v>F</v>
      </c>
      <c r="M14" s="81" t="str">
        <f t="shared" ca="1" si="11"/>
        <v>C</v>
      </c>
      <c r="N14" s="81" t="str">
        <f t="shared" ca="1" si="12"/>
        <v>F</v>
      </c>
      <c r="O14" s="81" t="str">
        <f t="shared" ca="1" si="13"/>
        <v>C</v>
      </c>
      <c r="P14" s="81" t="str">
        <f t="shared" ca="1" si="14"/>
        <v>F</v>
      </c>
      <c r="Q14" s="81" t="str">
        <f t="shared" ca="1" si="15"/>
        <v>C</v>
      </c>
      <c r="R14" s="81" t="str">
        <f t="shared" ca="1" si="16"/>
        <v>F</v>
      </c>
      <c r="S14" s="81" t="str">
        <f t="shared" ca="1" si="17"/>
        <v>C</v>
      </c>
      <c r="T14" s="81" t="str">
        <f t="shared" ca="1" si="18"/>
        <v>F</v>
      </c>
      <c r="W14" s="82" t="str">
        <f t="shared" si="19"/>
        <v>UDINESE</v>
      </c>
      <c r="X14" s="83" t="str">
        <f t="shared" si="20"/>
        <v>CHIEVO</v>
      </c>
      <c r="Z14" s="408" t="s">
        <v>1507</v>
      </c>
      <c r="AA14" t="str">
        <f t="shared" si="21"/>
        <v>UDINESE</v>
      </c>
      <c r="AB14" t="str">
        <f t="shared" si="22"/>
        <v>CHIEVO</v>
      </c>
    </row>
    <row r="15" spans="1:28" ht="15">
      <c r="A15" s="341" t="s">
        <v>746</v>
      </c>
      <c r="B15" s="81" t="str">
        <f t="shared" ca="1" si="0"/>
        <v>F</v>
      </c>
      <c r="C15" s="81" t="str">
        <f t="shared" ca="1" si="1"/>
        <v>C</v>
      </c>
      <c r="D15" s="81" t="str">
        <f t="shared" ca="1" si="2"/>
        <v>F</v>
      </c>
      <c r="E15" s="81" t="str">
        <f t="shared" ca="1" si="3"/>
        <v>C</v>
      </c>
      <c r="F15" s="81" t="str">
        <f t="shared" ca="1" si="4"/>
        <v>C</v>
      </c>
      <c r="G15" s="81" t="str">
        <f t="shared" ca="1" si="5"/>
        <v>F</v>
      </c>
      <c r="H15" s="81" t="str">
        <f t="shared" ca="1" si="6"/>
        <v>C</v>
      </c>
      <c r="I15" s="81" t="str">
        <f t="shared" ca="1" si="7"/>
        <v>F</v>
      </c>
      <c r="J15" s="81" t="str">
        <f t="shared" ca="1" si="8"/>
        <v>C</v>
      </c>
      <c r="K15" s="81" t="str">
        <f t="shared" ca="1" si="9"/>
        <v>F</v>
      </c>
      <c r="L15" s="81" t="str">
        <f t="shared" ca="1" si="10"/>
        <v>C</v>
      </c>
      <c r="M15" s="81" t="str">
        <f t="shared" ca="1" si="11"/>
        <v>F</v>
      </c>
      <c r="N15" s="81" t="str">
        <f t="shared" ca="1" si="12"/>
        <v>F</v>
      </c>
      <c r="O15" s="81" t="str">
        <f t="shared" ca="1" si="13"/>
        <v>C</v>
      </c>
      <c r="P15" s="81" t="str">
        <f t="shared" ca="1" si="14"/>
        <v>F</v>
      </c>
      <c r="Q15" s="81" t="str">
        <f t="shared" ca="1" si="15"/>
        <v>C</v>
      </c>
      <c r="R15" s="81" t="str">
        <f t="shared" ca="1" si="16"/>
        <v>F</v>
      </c>
      <c r="S15" s="81" t="str">
        <f t="shared" ca="1" si="17"/>
        <v>C</v>
      </c>
      <c r="T15" s="81" t="str">
        <f t="shared" ca="1" si="18"/>
        <v>F</v>
      </c>
      <c r="W15" s="83"/>
      <c r="X15" s="83"/>
      <c r="Z15" s="408"/>
    </row>
    <row r="16" spans="1:28" ht="15">
      <c r="A16" s="341" t="s">
        <v>749</v>
      </c>
      <c r="B16" s="81" t="str">
        <f t="shared" ca="1" si="0"/>
        <v>F</v>
      </c>
      <c r="C16" s="81" t="str">
        <f t="shared" ca="1" si="1"/>
        <v>C</v>
      </c>
      <c r="D16" s="81" t="str">
        <f t="shared" ca="1" si="2"/>
        <v>F</v>
      </c>
      <c r="E16" s="81" t="str">
        <f t="shared" ca="1" si="3"/>
        <v>C</v>
      </c>
      <c r="F16" s="81" t="str">
        <f t="shared" ca="1" si="4"/>
        <v>F</v>
      </c>
      <c r="G16" s="81" t="str">
        <f t="shared" ca="1" si="5"/>
        <v>F</v>
      </c>
      <c r="H16" s="81" t="str">
        <f t="shared" ca="1" si="6"/>
        <v>C</v>
      </c>
      <c r="I16" s="81" t="str">
        <f t="shared" ca="1" si="7"/>
        <v>F</v>
      </c>
      <c r="J16" s="81" t="str">
        <f t="shared" ca="1" si="8"/>
        <v>C</v>
      </c>
      <c r="K16" s="81" t="str">
        <f t="shared" ca="1" si="9"/>
        <v>F</v>
      </c>
      <c r="L16" s="81" t="str">
        <f t="shared" ca="1" si="10"/>
        <v>C</v>
      </c>
      <c r="M16" s="81" t="str">
        <f t="shared" ca="1" si="11"/>
        <v>F</v>
      </c>
      <c r="N16" s="81" t="str">
        <f t="shared" ca="1" si="12"/>
        <v>C</v>
      </c>
      <c r="O16" s="81" t="str">
        <f t="shared" ca="1" si="13"/>
        <v>F</v>
      </c>
      <c r="P16" s="81" t="str">
        <f t="shared" ca="1" si="14"/>
        <v>C</v>
      </c>
      <c r="Q16" s="81" t="str">
        <f t="shared" ca="1" si="15"/>
        <v>C</v>
      </c>
      <c r="R16" s="81" t="str">
        <f t="shared" ca="1" si="16"/>
        <v>F</v>
      </c>
      <c r="S16" s="81" t="str">
        <f t="shared" ca="1" si="17"/>
        <v>C</v>
      </c>
      <c r="T16" s="81" t="str">
        <f t="shared" ca="1" si="18"/>
        <v>F</v>
      </c>
      <c r="W16" s="82" t="str">
        <f>AA16</f>
        <v>Giornata 2</v>
      </c>
      <c r="X16" s="82"/>
      <c r="Z16" s="411">
        <v>2</v>
      </c>
      <c r="AA16" t="str">
        <f>"Giornata " &amp; Z16</f>
        <v>Giornata 2</v>
      </c>
    </row>
    <row r="17" spans="1:28" ht="15">
      <c r="A17" s="341" t="s">
        <v>750</v>
      </c>
      <c r="B17" s="81" t="str">
        <f t="shared" ca="1" si="0"/>
        <v>F</v>
      </c>
      <c r="C17" s="81" t="str">
        <f t="shared" ca="1" si="1"/>
        <v>C</v>
      </c>
      <c r="D17" s="81" t="str">
        <f t="shared" ca="1" si="2"/>
        <v>F</v>
      </c>
      <c r="E17" s="81" t="str">
        <f t="shared" ca="1" si="3"/>
        <v>C</v>
      </c>
      <c r="F17" s="81" t="str">
        <f t="shared" ca="1" si="4"/>
        <v>F</v>
      </c>
      <c r="G17" s="81" t="str">
        <f t="shared" ca="1" si="5"/>
        <v>C</v>
      </c>
      <c r="H17" s="81" t="str">
        <f t="shared" ca="1" si="6"/>
        <v>F</v>
      </c>
      <c r="I17" s="81" t="str">
        <f t="shared" ca="1" si="7"/>
        <v>C</v>
      </c>
      <c r="J17" s="81" t="str">
        <f t="shared" ca="1" si="8"/>
        <v>F</v>
      </c>
      <c r="K17" s="81" t="str">
        <f t="shared" ca="1" si="9"/>
        <v>C</v>
      </c>
      <c r="L17" s="81" t="str">
        <f t="shared" ca="1" si="10"/>
        <v>C</v>
      </c>
      <c r="M17" s="81" t="str">
        <f t="shared" ca="1" si="11"/>
        <v>F</v>
      </c>
      <c r="N17" s="81" t="str">
        <f t="shared" ca="1" si="12"/>
        <v>C</v>
      </c>
      <c r="O17" s="81" t="str">
        <f t="shared" ca="1" si="13"/>
        <v>F</v>
      </c>
      <c r="P17" s="81" t="str">
        <f t="shared" ca="1" si="14"/>
        <v>C</v>
      </c>
      <c r="Q17" s="81" t="str">
        <f t="shared" ca="1" si="15"/>
        <v>F</v>
      </c>
      <c r="R17" s="81" t="str">
        <f t="shared" ca="1" si="16"/>
        <v>C</v>
      </c>
      <c r="S17" s="81" t="str">
        <f t="shared" ca="1" si="17"/>
        <v>F</v>
      </c>
      <c r="T17" s="81" t="str">
        <f t="shared" ca="1" si="18"/>
        <v>C</v>
      </c>
      <c r="W17" s="82" t="str">
        <f t="shared" ref="W17:W26" si="23">AA17</f>
        <v>BENEVENTO</v>
      </c>
      <c r="X17" s="83" t="str">
        <f>AB17</f>
        <v>BOLOGNA</v>
      </c>
      <c r="Z17" s="408" t="s">
        <v>1510</v>
      </c>
      <c r="AA17" t="str">
        <f>MID(Z17,1,FIND("-",Z17)-2)</f>
        <v>BENEVENTO</v>
      </c>
      <c r="AB17" t="str">
        <f>MID(Z17,FIND("-",Z17)+2,30)</f>
        <v>BOLOGNA</v>
      </c>
    </row>
    <row r="18" spans="1:28" ht="15">
      <c r="A18" s="341" t="s">
        <v>742</v>
      </c>
      <c r="B18" s="81" t="str">
        <f t="shared" ca="1" si="0"/>
        <v>C</v>
      </c>
      <c r="C18" s="81" t="str">
        <f t="shared" ca="1" si="1"/>
        <v>F</v>
      </c>
      <c r="D18" s="81" t="str">
        <f t="shared" ca="1" si="2"/>
        <v>C</v>
      </c>
      <c r="E18" s="81" t="str">
        <f t="shared" ca="1" si="3"/>
        <v>F</v>
      </c>
      <c r="F18" s="81" t="str">
        <f t="shared" ca="1" si="4"/>
        <v>F</v>
      </c>
      <c r="G18" s="81" t="str">
        <f t="shared" ca="1" si="5"/>
        <v>C</v>
      </c>
      <c r="H18" s="81" t="str">
        <f t="shared" ca="1" si="6"/>
        <v>F</v>
      </c>
      <c r="I18" s="81" t="str">
        <f t="shared" ca="1" si="7"/>
        <v>C</v>
      </c>
      <c r="J18" s="81" t="str">
        <f t="shared" ca="1" si="8"/>
        <v>C</v>
      </c>
      <c r="K18" s="81" t="str">
        <f t="shared" ca="1" si="9"/>
        <v>F</v>
      </c>
      <c r="L18" s="81" t="str">
        <f t="shared" ca="1" si="10"/>
        <v>C</v>
      </c>
      <c r="M18" s="81" t="str">
        <f t="shared" ca="1" si="11"/>
        <v>F</v>
      </c>
      <c r="N18" s="81" t="str">
        <f t="shared" ca="1" si="12"/>
        <v>C</v>
      </c>
      <c r="O18" s="81" t="str">
        <f t="shared" ca="1" si="13"/>
        <v>F</v>
      </c>
      <c r="P18" s="81" t="str">
        <f t="shared" ca="1" si="14"/>
        <v>C</v>
      </c>
      <c r="Q18" s="81" t="str">
        <f t="shared" ca="1" si="15"/>
        <v>F</v>
      </c>
      <c r="R18" s="81" t="str">
        <f t="shared" ca="1" si="16"/>
        <v>C</v>
      </c>
      <c r="S18" s="81" t="str">
        <f t="shared" ca="1" si="17"/>
        <v>F</v>
      </c>
      <c r="T18" s="81" t="str">
        <f t="shared" ca="1" si="18"/>
        <v>C</v>
      </c>
      <c r="W18" s="82" t="str">
        <f t="shared" si="23"/>
        <v>CHIEVO</v>
      </c>
      <c r="X18" s="83" t="str">
        <f t="shared" ref="X18:X26" si="24">AB18</f>
        <v>LAZIO</v>
      </c>
      <c r="Z18" s="408" t="s">
        <v>1513</v>
      </c>
      <c r="AA18" t="str">
        <f t="shared" ref="AA18:AA26" si="25">MID(Z18,1,FIND("-",Z18)-2)</f>
        <v>CHIEVO</v>
      </c>
      <c r="AB18" t="str">
        <f t="shared" ref="AB18:AB26" si="26">MID(Z18,FIND("-",Z18)+2,30)</f>
        <v>LAZIO</v>
      </c>
    </row>
    <row r="19" spans="1:28" ht="15">
      <c r="A19" s="341" t="s">
        <v>748</v>
      </c>
      <c r="B19" s="81" t="str">
        <f t="shared" ca="1" si="0"/>
        <v>C</v>
      </c>
      <c r="C19" s="81" t="str">
        <f t="shared" ca="1" si="1"/>
        <v>F</v>
      </c>
      <c r="D19" s="81" t="str">
        <f t="shared" ca="1" si="2"/>
        <v>F</v>
      </c>
      <c r="E19" s="81" t="str">
        <f t="shared" ca="1" si="3"/>
        <v>C</v>
      </c>
      <c r="F19" s="81" t="str">
        <f t="shared" ca="1" si="4"/>
        <v>F</v>
      </c>
      <c r="G19" s="81" t="str">
        <f t="shared" ca="1" si="5"/>
        <v>C</v>
      </c>
      <c r="H19" s="81" t="str">
        <f t="shared" ca="1" si="6"/>
        <v>F</v>
      </c>
      <c r="I19" s="81" t="str">
        <f t="shared" ca="1" si="7"/>
        <v>C</v>
      </c>
      <c r="J19" s="81" t="str">
        <f t="shared" ca="1" si="8"/>
        <v>F</v>
      </c>
      <c r="K19" s="81" t="str">
        <f t="shared" ca="1" si="9"/>
        <v>C</v>
      </c>
      <c r="L19" s="81" t="str">
        <f t="shared" ca="1" si="10"/>
        <v>F</v>
      </c>
      <c r="M19" s="81" t="str">
        <f t="shared" ca="1" si="11"/>
        <v>C</v>
      </c>
      <c r="N19" s="81" t="str">
        <f t="shared" ca="1" si="12"/>
        <v>F</v>
      </c>
      <c r="O19" s="81" t="str">
        <f t="shared" ca="1" si="13"/>
        <v>C</v>
      </c>
      <c r="P19" s="81" t="str">
        <f t="shared" ca="1" si="14"/>
        <v>F</v>
      </c>
      <c r="Q19" s="81" t="str">
        <f t="shared" ca="1" si="15"/>
        <v>C</v>
      </c>
      <c r="R19" s="81" t="str">
        <f t="shared" ca="1" si="16"/>
        <v>F</v>
      </c>
      <c r="S19" s="81" t="str">
        <f t="shared" ca="1" si="17"/>
        <v>C</v>
      </c>
      <c r="T19" s="81" t="str">
        <f t="shared" ca="1" si="18"/>
        <v>F</v>
      </c>
      <c r="W19" s="82" t="str">
        <f t="shared" si="23"/>
        <v>CROTONE</v>
      </c>
      <c r="X19" s="83" t="str">
        <f t="shared" si="24"/>
        <v>VERONA</v>
      </c>
      <c r="Z19" s="408" t="s">
        <v>1516</v>
      </c>
      <c r="AA19" t="str">
        <f t="shared" si="25"/>
        <v>CROTONE</v>
      </c>
      <c r="AB19" t="str">
        <f t="shared" si="26"/>
        <v>VERONA</v>
      </c>
    </row>
    <row r="20" spans="1:28" ht="15">
      <c r="A20" s="341" t="s">
        <v>1477</v>
      </c>
      <c r="B20" s="81" t="str">
        <f t="shared" ca="1" si="0"/>
        <v>F</v>
      </c>
      <c r="C20" s="81" t="str">
        <f t="shared" ca="1" si="1"/>
        <v>C</v>
      </c>
      <c r="D20" s="81" t="str">
        <f t="shared" ca="1" si="2"/>
        <v>F</v>
      </c>
      <c r="E20" s="81" t="str">
        <f t="shared" ca="1" si="3"/>
        <v>C</v>
      </c>
      <c r="F20" s="81" t="str">
        <f t="shared" ca="1" si="4"/>
        <v>F</v>
      </c>
      <c r="G20" s="81" t="str">
        <f t="shared" ca="1" si="5"/>
        <v>C</v>
      </c>
      <c r="H20" s="81" t="str">
        <f t="shared" ca="1" si="6"/>
        <v>C</v>
      </c>
      <c r="I20" s="81" t="str">
        <f t="shared" ca="1" si="7"/>
        <v>F</v>
      </c>
      <c r="J20" s="81" t="str">
        <f t="shared" ca="1" si="8"/>
        <v>C</v>
      </c>
      <c r="K20" s="81" t="str">
        <f t="shared" ca="1" si="9"/>
        <v>F</v>
      </c>
      <c r="L20" s="81" t="str">
        <f t="shared" ca="1" si="10"/>
        <v>C</v>
      </c>
      <c r="M20" s="81" t="str">
        <f t="shared" ca="1" si="11"/>
        <v>F</v>
      </c>
      <c r="N20" s="81" t="str">
        <f t="shared" ca="1" si="12"/>
        <v>C</v>
      </c>
      <c r="O20" s="81" t="str">
        <f t="shared" ca="1" si="13"/>
        <v>F</v>
      </c>
      <c r="P20" s="81" t="str">
        <f t="shared" ca="1" si="14"/>
        <v>F</v>
      </c>
      <c r="Q20" s="81" t="str">
        <f t="shared" ca="1" si="15"/>
        <v>C</v>
      </c>
      <c r="R20" s="81" t="str">
        <f t="shared" ca="1" si="16"/>
        <v>F</v>
      </c>
      <c r="S20" s="81" t="str">
        <f t="shared" ca="1" si="17"/>
        <v>C</v>
      </c>
      <c r="T20" s="81" t="str">
        <f t="shared" ca="1" si="18"/>
        <v>F</v>
      </c>
      <c r="W20" s="82" t="str">
        <f t="shared" si="23"/>
        <v>FIORENTINA</v>
      </c>
      <c r="X20" s="83" t="str">
        <f t="shared" si="24"/>
        <v>SAMPDORIA</v>
      </c>
      <c r="Z20" s="408" t="s">
        <v>1519</v>
      </c>
      <c r="AA20" t="str">
        <f t="shared" si="25"/>
        <v>FIORENTINA</v>
      </c>
      <c r="AB20" t="str">
        <f t="shared" si="26"/>
        <v>SAMPDORIA</v>
      </c>
    </row>
    <row r="21" spans="1:28" ht="15">
      <c r="A21" s="341" t="s">
        <v>747</v>
      </c>
      <c r="B21" s="81" t="str">
        <f t="shared" ca="1" si="0"/>
        <v>F</v>
      </c>
      <c r="C21" s="81" t="str">
        <f t="shared" ca="1" si="1"/>
        <v>C</v>
      </c>
      <c r="D21" s="81" t="str">
        <f t="shared" ca="1" si="2"/>
        <v>F</v>
      </c>
      <c r="E21" s="81" t="str">
        <f t="shared" ca="1" si="3"/>
        <v>C</v>
      </c>
      <c r="F21" s="81" t="str">
        <f t="shared" ca="1" si="4"/>
        <v>F</v>
      </c>
      <c r="G21" s="81" t="str">
        <f t="shared" ca="1" si="5"/>
        <v>F</v>
      </c>
      <c r="H21" s="81" t="str">
        <f t="shared" ca="1" si="6"/>
        <v>C</v>
      </c>
      <c r="I21" s="81" t="str">
        <f t="shared" ca="1" si="7"/>
        <v>F</v>
      </c>
      <c r="J21" s="81" t="str">
        <f t="shared" ca="1" si="8"/>
        <v>C</v>
      </c>
      <c r="K21" s="81" t="str">
        <f t="shared" ca="1" si="9"/>
        <v>F</v>
      </c>
      <c r="L21" s="81" t="str">
        <f t="shared" ca="1" si="10"/>
        <v>C</v>
      </c>
      <c r="M21" s="81" t="str">
        <f t="shared" ca="1" si="11"/>
        <v>F</v>
      </c>
      <c r="N21" s="81" t="str">
        <f t="shared" ca="1" si="12"/>
        <v>C</v>
      </c>
      <c r="O21" s="81" t="str">
        <f t="shared" ca="1" si="13"/>
        <v>F</v>
      </c>
      <c r="P21" s="81" t="str">
        <f t="shared" ca="1" si="14"/>
        <v>C</v>
      </c>
      <c r="Q21" s="81" t="str">
        <f t="shared" ca="1" si="15"/>
        <v>F</v>
      </c>
      <c r="R21" s="81" t="str">
        <f t="shared" ca="1" si="16"/>
        <v>C</v>
      </c>
      <c r="S21" s="81" t="str">
        <f t="shared" ca="1" si="17"/>
        <v>F</v>
      </c>
      <c r="T21" s="81" t="str">
        <f t="shared" ca="1" si="18"/>
        <v>C</v>
      </c>
      <c r="W21" s="82" t="str">
        <f t="shared" si="23"/>
        <v>GENOA</v>
      </c>
      <c r="X21" s="83" t="str">
        <f t="shared" si="24"/>
        <v>JUVENTUS</v>
      </c>
      <c r="Z21" s="408" t="s">
        <v>1522</v>
      </c>
      <c r="AA21" t="str">
        <f t="shared" si="25"/>
        <v>GENOA</v>
      </c>
      <c r="AB21" t="str">
        <f t="shared" si="26"/>
        <v>JUVENTUS</v>
      </c>
    </row>
    <row r="22" spans="1:28" ht="15">
      <c r="A22" s="341" t="s">
        <v>751</v>
      </c>
      <c r="B22" s="81" t="str">
        <f t="shared" ca="1" si="0"/>
        <v>C</v>
      </c>
      <c r="C22" s="81" t="str">
        <f t="shared" ca="1" si="1"/>
        <v>F</v>
      </c>
      <c r="D22" s="81" t="str">
        <f t="shared" ca="1" si="2"/>
        <v>C</v>
      </c>
      <c r="E22" s="81" t="str">
        <f t="shared" ca="1" si="3"/>
        <v>F</v>
      </c>
      <c r="F22" s="81" t="str">
        <f t="shared" ca="1" si="4"/>
        <v>C</v>
      </c>
      <c r="G22" s="81" t="str">
        <f t="shared" ca="1" si="5"/>
        <v>F</v>
      </c>
      <c r="H22" s="81" t="str">
        <f t="shared" ca="1" si="6"/>
        <v>C</v>
      </c>
      <c r="I22" s="81" t="str">
        <f t="shared" ca="1" si="7"/>
        <v>F</v>
      </c>
      <c r="J22" s="81" t="str">
        <f t="shared" ca="1" si="8"/>
        <v>C</v>
      </c>
      <c r="K22" s="81" t="str">
        <f t="shared" ca="1" si="9"/>
        <v>F</v>
      </c>
      <c r="L22" s="81" t="str">
        <f t="shared" ca="1" si="10"/>
        <v>C</v>
      </c>
      <c r="M22" s="81" t="str">
        <f t="shared" ca="1" si="11"/>
        <v>F</v>
      </c>
      <c r="N22" s="81" t="str">
        <f t="shared" ca="1" si="12"/>
        <v>C</v>
      </c>
      <c r="O22" s="81" t="str">
        <f t="shared" ca="1" si="13"/>
        <v>C</v>
      </c>
      <c r="P22" s="81" t="str">
        <f t="shared" ca="1" si="14"/>
        <v>F</v>
      </c>
      <c r="Q22" s="81" t="str">
        <f t="shared" ca="1" si="15"/>
        <v>C</v>
      </c>
      <c r="R22" s="81" t="str">
        <f t="shared" ca="1" si="16"/>
        <v>F</v>
      </c>
      <c r="S22" s="81" t="str">
        <f t="shared" ca="1" si="17"/>
        <v>C</v>
      </c>
      <c r="T22" s="81" t="str">
        <f t="shared" ca="1" si="18"/>
        <v>F</v>
      </c>
      <c r="W22" s="82" t="str">
        <f t="shared" si="23"/>
        <v>MILAN</v>
      </c>
      <c r="X22" s="83" t="str">
        <f t="shared" si="24"/>
        <v>CAGLIARI</v>
      </c>
      <c r="Z22" s="408" t="s">
        <v>1525</v>
      </c>
      <c r="AA22" t="str">
        <f t="shared" si="25"/>
        <v>MILAN</v>
      </c>
      <c r="AB22" t="str">
        <f t="shared" si="26"/>
        <v>CAGLIARI</v>
      </c>
    </row>
    <row r="23" spans="1:28" ht="15">
      <c r="A23" s="341" t="s">
        <v>1478</v>
      </c>
      <c r="B23" s="81" t="str">
        <f t="shared" ca="1" si="0"/>
        <v>C</v>
      </c>
      <c r="C23" s="81" t="str">
        <f t="shared" ca="1" si="1"/>
        <v>F</v>
      </c>
      <c r="D23" s="81" t="str">
        <f t="shared" ca="1" si="2"/>
        <v>C</v>
      </c>
      <c r="E23" s="81" t="str">
        <f t="shared" ca="1" si="3"/>
        <v>F</v>
      </c>
      <c r="F23" s="81" t="str">
        <f t="shared" ca="1" si="4"/>
        <v>C</v>
      </c>
      <c r="G23" s="81" t="str">
        <f t="shared" ca="1" si="5"/>
        <v>C</v>
      </c>
      <c r="H23" s="81" t="str">
        <f t="shared" ca="1" si="6"/>
        <v>F</v>
      </c>
      <c r="I23" s="81" t="str">
        <f t="shared" ca="1" si="7"/>
        <v>C</v>
      </c>
      <c r="J23" s="81" t="str">
        <f t="shared" ca="1" si="8"/>
        <v>F</v>
      </c>
      <c r="K23" s="81" t="str">
        <f t="shared" ca="1" si="9"/>
        <v>F</v>
      </c>
      <c r="L23" s="81" t="str">
        <f t="shared" ca="1" si="10"/>
        <v>C</v>
      </c>
      <c r="M23" s="81" t="str">
        <f t="shared" ca="1" si="11"/>
        <v>F</v>
      </c>
      <c r="N23" s="81" t="str">
        <f t="shared" ca="1" si="12"/>
        <v>C</v>
      </c>
      <c r="O23" s="81" t="str">
        <f t="shared" ca="1" si="13"/>
        <v>F</v>
      </c>
      <c r="P23" s="81" t="str">
        <f t="shared" ca="1" si="14"/>
        <v>C</v>
      </c>
      <c r="Q23" s="81" t="str">
        <f t="shared" ca="1" si="15"/>
        <v>F</v>
      </c>
      <c r="R23" s="81" t="str">
        <f t="shared" ca="1" si="16"/>
        <v>C</v>
      </c>
      <c r="S23" s="81" t="str">
        <f t="shared" ca="1" si="17"/>
        <v>F</v>
      </c>
      <c r="T23" s="81" t="str">
        <f t="shared" ca="1" si="18"/>
        <v>C</v>
      </c>
      <c r="W23" s="82" t="str">
        <f t="shared" si="23"/>
        <v>NAPOLI</v>
      </c>
      <c r="X23" s="83" t="str">
        <f t="shared" si="24"/>
        <v>ATALANTA</v>
      </c>
      <c r="Z23" s="408" t="s">
        <v>1528</v>
      </c>
      <c r="AA23" t="str">
        <f t="shared" si="25"/>
        <v>NAPOLI</v>
      </c>
      <c r="AB23" t="str">
        <f t="shared" si="26"/>
        <v>ATALANTA</v>
      </c>
    </row>
    <row r="24" spans="1:28" ht="15">
      <c r="W24" s="82" t="str">
        <f t="shared" si="23"/>
        <v>ROMA</v>
      </c>
      <c r="X24" s="83" t="str">
        <f t="shared" si="24"/>
        <v>INTER</v>
      </c>
      <c r="Z24" s="408" t="s">
        <v>1531</v>
      </c>
      <c r="AA24" t="str">
        <f t="shared" si="25"/>
        <v>ROMA</v>
      </c>
      <c r="AB24" t="str">
        <f t="shared" si="26"/>
        <v>INTER</v>
      </c>
    </row>
    <row r="25" spans="1:28" ht="26.25" customHeight="1">
      <c r="A25" s="560" t="s">
        <v>752</v>
      </c>
      <c r="B25" s="560"/>
      <c r="C25" s="560"/>
      <c r="D25" s="560"/>
      <c r="E25" s="560"/>
      <c r="F25" s="560"/>
      <c r="G25" s="560"/>
      <c r="H25" s="560"/>
      <c r="I25" s="560"/>
      <c r="J25" s="560"/>
      <c r="K25" s="560"/>
      <c r="L25" s="560"/>
      <c r="M25" s="560"/>
      <c r="N25" s="560"/>
      <c r="O25" s="560"/>
      <c r="P25" s="560"/>
      <c r="Q25" s="560"/>
      <c r="R25" s="560"/>
      <c r="S25" s="560"/>
      <c r="T25" s="560"/>
      <c r="W25" s="82" t="str">
        <f t="shared" si="23"/>
        <v>SPAL</v>
      </c>
      <c r="X25" s="83" t="str">
        <f t="shared" si="24"/>
        <v>UDINESE</v>
      </c>
      <c r="Z25" s="408" t="s">
        <v>1534</v>
      </c>
      <c r="AA25" t="str">
        <f t="shared" si="25"/>
        <v>SPAL</v>
      </c>
      <c r="AB25" t="str">
        <f t="shared" si="26"/>
        <v>UDINESE</v>
      </c>
    </row>
    <row r="26" spans="1:28" s="79" customFormat="1" ht="15" customHeight="1">
      <c r="A26" s="341" t="s">
        <v>1476</v>
      </c>
      <c r="B26" s="81" t="str">
        <f t="shared" ref="B26:B33" ca="1" si="27">IF(ISNA(VLOOKUP($A26,INDIRECT(ADDRESS(MATCH("Giornata "&amp;$B$3,$W$1:$W$230,0)+1,23,1,1)&amp;":"&amp;ADDRESS(MATCH("Giornata "&amp;$B$3,$W$1:$W$230,0)+11,23,1,1)),1,FALSE)),"F","C")</f>
        <v>F</v>
      </c>
      <c r="C26" s="81" t="str">
        <f t="shared" ref="C26:C33" ca="1" si="28">IF(ISNA(VLOOKUP($A26,INDIRECT(ADDRESS(MATCH("Giornata "&amp;$C$3,$W$1:$W$230,0)+1,23,1,1)&amp;":"&amp;ADDRESS(MATCH("Giornata "&amp;$C$3,$W$1:$W$230,0)+11,23,1,1)),1,FALSE)),"F","C")</f>
        <v>C</v>
      </c>
      <c r="D26" s="81" t="str">
        <f t="shared" ref="D26:D33" ca="1" si="29">IF(ISNA(VLOOKUP($A26,INDIRECT(ADDRESS(MATCH("Giornata "&amp;$D$3,$W$1:$W$230,0)+1,23,1,1)&amp;":"&amp;ADDRESS(MATCH("Giornata "&amp;$D$3,$W$1:$W$230,0)+11,23,1,1)),1,FALSE)),"F","C")</f>
        <v>C</v>
      </c>
      <c r="E26" s="81" t="str">
        <f t="shared" ref="E26:E33" ca="1" si="30">IF(ISNA(VLOOKUP($A26,INDIRECT(ADDRESS(MATCH("Giornata "&amp;$E$3,$W$1:$W$230,0)+1,23,1,1)&amp;":"&amp;ADDRESS(MATCH("Giornata "&amp;$E$3,$W$1:$W$230,0)+11,23,1,1)),1,FALSE)),"F","C")</f>
        <v>F</v>
      </c>
      <c r="F26" s="81" t="str">
        <f t="shared" ref="F26:F33" ca="1" si="31">IF(ISNA(VLOOKUP($A26,INDIRECT(ADDRESS(MATCH("Giornata "&amp;$F$3,$W$1:$W$230,0)+1,23,1,1)&amp;":"&amp;ADDRESS(MATCH("Giornata "&amp;$F$3,$W$1:$W$230,0)+11,23,1,1)),1,FALSE)),"F","C")</f>
        <v>C</v>
      </c>
      <c r="G26" s="81" t="str">
        <f t="shared" ref="G26:G33" ca="1" si="32">IF(ISNA(VLOOKUP($A26,INDIRECT(ADDRESS(MATCH("Giornata "&amp;$G$3,$W$1:$W$230,0)+1,23,1,1)&amp;":"&amp;ADDRESS(MATCH("Giornata "&amp;$G$3,$W$1:$W$230,0)+11,23,1,1)),1,FALSE)),"F","C")</f>
        <v>F</v>
      </c>
      <c r="H26" s="81" t="str">
        <f t="shared" ref="H26:H33" ca="1" si="33">IF(ISNA(VLOOKUP($A26,INDIRECT(ADDRESS(MATCH("Giornata "&amp;$H$3,$W$1:$W$230,0)+1,23,1,1)&amp;":"&amp;ADDRESS(MATCH("Giornata "&amp;$H$3,$W$1:$W$230,0)+11,23,1,1)),1,FALSE)),"F","C")</f>
        <v>C</v>
      </c>
      <c r="I26" s="81" t="str">
        <f t="shared" ref="I26:I33" ca="1" si="34">IF(ISNA(VLOOKUP($A26,INDIRECT(ADDRESS(MATCH("Giornata "&amp;$I$3,$W$1:$W$230,0)+1,23,1,1)&amp;":"&amp;ADDRESS(MATCH("Giornata "&amp;$I$3,$W$1:$W$230,0)+11,23,1,1)),1,FALSE)),"F","C")</f>
        <v>F</v>
      </c>
      <c r="J26" s="81" t="str">
        <f t="shared" ref="J26:J33" ca="1" si="35">IF(ISNA(VLOOKUP($A26,INDIRECT(ADDRESS(MATCH("Giornata "&amp;$J$3,$W$1:$W$230,0)+1,23,1,1)&amp;":"&amp;ADDRESS(MATCH("Giornata "&amp;$J$3,$W$1:$W$230,0)+11,23,1,1)),1,FALSE)),"F","C")</f>
        <v>C</v>
      </c>
      <c r="K26" s="81" t="str">
        <f t="shared" ref="K26:K33" ca="1" si="36">IF(ISNA(VLOOKUP($A26,INDIRECT(ADDRESS(MATCH("Giornata "&amp;$K$3,$W$1:$W$230,0)+1,23,1,1)&amp;":"&amp;ADDRESS(MATCH("Giornata "&amp;$K$3,$W$1:$W$230,0)+11,23,1,1)),1,FALSE)),"F","C")</f>
        <v>F</v>
      </c>
      <c r="L26" s="81" t="str">
        <f t="shared" ref="L26:L33" ca="1" si="37">IF(ISNA(VLOOKUP($A26,INDIRECT(ADDRESS(MATCH("Giornata "&amp;$L$3,$W$1:$W$230,0)+1,23,1,1)&amp;":"&amp;ADDRESS(MATCH("Giornata "&amp;$L$3,$W$1:$W$230,0)+11,23,1,1)),1,FALSE)),"F","C")</f>
        <v>C</v>
      </c>
      <c r="M26" s="81" t="str">
        <f t="shared" ref="M26:M33" ca="1" si="38">IF(ISNA(VLOOKUP($A26,INDIRECT(ADDRESS(MATCH("Giornata "&amp;$M$3,$W$1:$W$230,0)+1,23,1,1)&amp;":"&amp;ADDRESS(MATCH("Giornata "&amp;$M$3,$W$1:$W$230,0)+11,23,1,1)),1,FALSE)),"F","C")</f>
        <v>F</v>
      </c>
      <c r="N26" s="81" t="str">
        <f t="shared" ref="N26:N33" ca="1" si="39">IF(ISNA(VLOOKUP($A26,INDIRECT(ADDRESS(MATCH("Giornata "&amp;$N$3,$W$1:$W$230,0)+1,23,1,1)&amp;":"&amp;ADDRESS(MATCH("Giornata "&amp;$N$3,$W$1:$W$230,0)+11,23,1,1)),1,FALSE)),"F","C")</f>
        <v>C</v>
      </c>
      <c r="O26" s="81" t="str">
        <f t="shared" ref="O26:O33" ca="1" si="40">IF(ISNA(VLOOKUP($A26,INDIRECT(ADDRESS(MATCH("Giornata "&amp;$O$3,$W$1:$W$230,0)+1,23,1,1)&amp;":"&amp;ADDRESS(MATCH("Giornata "&amp;$O$3,$W$1:$W$230,0)+11,23,1,1)),1,FALSE)),"F","C")</f>
        <v>F</v>
      </c>
      <c r="P26" s="81" t="str">
        <f t="shared" ref="P26:P33" ca="1" si="41">IF(ISNA(VLOOKUP($A26,INDIRECT(ADDRESS(MATCH("Giornata "&amp;$P$3,$W$1:$W$230,0)+1,23,1,1)&amp;":"&amp;ADDRESS(MATCH("Giornata "&amp;$P$3,$W$1:$W$230,0)+11,23,1,1)),1,FALSE)),"F","C")</f>
        <v>C</v>
      </c>
      <c r="Q26" s="81" t="str">
        <f t="shared" ref="Q26:Q33" ca="1" si="42">IF(ISNA(VLOOKUP($A26,INDIRECT(ADDRESS(MATCH("Giornata "&amp;$Q$3,$W$1:$W$230,0)+1,23,1,1)&amp;":"&amp;ADDRESS(MATCH("Giornata "&amp;$Q$3,$W$1:$W$230,0)+11,23,1,1)),1,FALSE)),"F","C")</f>
        <v>F</v>
      </c>
      <c r="R26" s="81" t="str">
        <f t="shared" ref="R26:R33" ca="1" si="43">IF(ISNA(VLOOKUP($A26,INDIRECT(ADDRESS(MATCH("Giornata "&amp;$R$3,$W$1:$W$230,0)+1,23,1,1)&amp;":"&amp;ADDRESS(MATCH("Giornata "&amp;$R$3,$W$1:$W$230,0)+11,23,1,1)),1,FALSE)),"F","C")</f>
        <v>C</v>
      </c>
      <c r="S26" s="81" t="str">
        <f t="shared" ref="S26:S33" ca="1" si="44">IF(ISNA(VLOOKUP($A26,INDIRECT(ADDRESS(MATCH("Giornata "&amp;$S$3,$W$1:$W$230,0)+1,23,1,1)&amp;":"&amp;ADDRESS(MATCH("Giornata "&amp;$S$3,$W$1:$W$230,0)+11,23,1,1)),1,FALSE)),"F","C")</f>
        <v>F</v>
      </c>
      <c r="T26" s="81" t="str">
        <f t="shared" ref="T26:T33" ca="1" si="45">IF(ISNA(VLOOKUP($A26,INDIRECT(ADDRESS(MATCH("Giornata "&amp;$T$3,$W$1:$W$230,0)+1,23,1,1)&amp;":"&amp;ADDRESS(MATCH("Giornata "&amp;$T$3,$W$1:$W$230,0)+11,23,1,1)),1,FALSE)),"F","C")</f>
        <v>C</v>
      </c>
      <c r="W26" s="82" t="str">
        <f t="shared" si="23"/>
        <v>TORINO</v>
      </c>
      <c r="X26" s="83" t="str">
        <f t="shared" si="24"/>
        <v>SASSUOLO</v>
      </c>
      <c r="Z26" s="408" t="s">
        <v>1537</v>
      </c>
      <c r="AA26" t="str">
        <f t="shared" si="25"/>
        <v>TORINO</v>
      </c>
      <c r="AB26" t="str">
        <f t="shared" si="26"/>
        <v>SASSUOLO</v>
      </c>
    </row>
    <row r="27" spans="1:28" s="79" customFormat="1" ht="15" customHeight="1">
      <c r="A27" s="341" t="s">
        <v>743</v>
      </c>
      <c r="B27" s="81" t="str">
        <f t="shared" ca="1" si="27"/>
        <v>F</v>
      </c>
      <c r="C27" s="81" t="str">
        <f t="shared" ca="1" si="28"/>
        <v>C</v>
      </c>
      <c r="D27" s="81" t="str">
        <f t="shared" ca="1" si="29"/>
        <v>F</v>
      </c>
      <c r="E27" s="81" t="str">
        <f t="shared" ca="1" si="30"/>
        <v>C</v>
      </c>
      <c r="F27" s="81" t="str">
        <f t="shared" ca="1" si="31"/>
        <v>C</v>
      </c>
      <c r="G27" s="81" t="str">
        <f t="shared" ca="1" si="32"/>
        <v>F</v>
      </c>
      <c r="H27" s="81" t="str">
        <f t="shared" ca="1" si="33"/>
        <v>C</v>
      </c>
      <c r="I27" s="81" t="str">
        <f t="shared" ca="1" si="34"/>
        <v>F</v>
      </c>
      <c r="J27" s="81" t="str">
        <f t="shared" ca="1" si="35"/>
        <v>F</v>
      </c>
      <c r="K27" s="81" t="str">
        <f t="shared" ca="1" si="36"/>
        <v>C</v>
      </c>
      <c r="L27" s="81" t="str">
        <f t="shared" ca="1" si="37"/>
        <v>F</v>
      </c>
      <c r="M27" s="81" t="str">
        <f t="shared" ca="1" si="38"/>
        <v>C</v>
      </c>
      <c r="N27" s="81" t="str">
        <f t="shared" ca="1" si="39"/>
        <v>F</v>
      </c>
      <c r="O27" s="81" t="str">
        <f t="shared" ca="1" si="40"/>
        <v>C</v>
      </c>
      <c r="P27" s="81" t="str">
        <f t="shared" ca="1" si="41"/>
        <v>F</v>
      </c>
      <c r="Q27" s="81" t="str">
        <f t="shared" ca="1" si="42"/>
        <v>C</v>
      </c>
      <c r="R27" s="81" t="str">
        <f t="shared" ca="1" si="43"/>
        <v>F</v>
      </c>
      <c r="S27" s="81" t="str">
        <f t="shared" ca="1" si="44"/>
        <v>C</v>
      </c>
      <c r="T27" s="81" t="str">
        <f t="shared" ca="1" si="45"/>
        <v>F</v>
      </c>
      <c r="W27" s="83"/>
      <c r="X27" s="83"/>
      <c r="Z27" s="411"/>
    </row>
    <row r="28" spans="1:28" s="79" customFormat="1" ht="15" customHeight="1">
      <c r="A28" s="341" t="s">
        <v>748</v>
      </c>
      <c r="B28" s="81" t="str">
        <f t="shared" ca="1" si="27"/>
        <v>C</v>
      </c>
      <c r="C28" s="81" t="str">
        <f t="shared" ca="1" si="28"/>
        <v>F</v>
      </c>
      <c r="D28" s="81" t="str">
        <f t="shared" ca="1" si="29"/>
        <v>F</v>
      </c>
      <c r="E28" s="81" t="str">
        <f t="shared" ca="1" si="30"/>
        <v>C</v>
      </c>
      <c r="F28" s="81" t="str">
        <f t="shared" ca="1" si="31"/>
        <v>F</v>
      </c>
      <c r="G28" s="81" t="str">
        <f t="shared" ca="1" si="32"/>
        <v>C</v>
      </c>
      <c r="H28" s="81" t="str">
        <f t="shared" ca="1" si="33"/>
        <v>F</v>
      </c>
      <c r="I28" s="81" t="str">
        <f t="shared" ca="1" si="34"/>
        <v>C</v>
      </c>
      <c r="J28" s="81" t="str">
        <f t="shared" ca="1" si="35"/>
        <v>F</v>
      </c>
      <c r="K28" s="81" t="str">
        <f t="shared" ca="1" si="36"/>
        <v>C</v>
      </c>
      <c r="L28" s="81" t="str">
        <f t="shared" ca="1" si="37"/>
        <v>F</v>
      </c>
      <c r="M28" s="81" t="str">
        <f t="shared" ca="1" si="38"/>
        <v>C</v>
      </c>
      <c r="N28" s="81" t="str">
        <f t="shared" ca="1" si="39"/>
        <v>F</v>
      </c>
      <c r="O28" s="81" t="str">
        <f t="shared" ca="1" si="40"/>
        <v>C</v>
      </c>
      <c r="P28" s="81" t="str">
        <f t="shared" ca="1" si="41"/>
        <v>F</v>
      </c>
      <c r="Q28" s="81" t="str">
        <f t="shared" ca="1" si="42"/>
        <v>C</v>
      </c>
      <c r="R28" s="81" t="str">
        <f t="shared" ca="1" si="43"/>
        <v>F</v>
      </c>
      <c r="S28" s="81" t="str">
        <f t="shared" ca="1" si="44"/>
        <v>C</v>
      </c>
      <c r="T28" s="81" t="str">
        <f t="shared" ca="1" si="45"/>
        <v>F</v>
      </c>
      <c r="W28" s="82" t="str">
        <f>AA28</f>
        <v>Giornata 3</v>
      </c>
      <c r="X28" s="82"/>
      <c r="Z28" s="411">
        <v>3</v>
      </c>
      <c r="AA28" t="str">
        <f>"Giornata " &amp; Z28</f>
        <v>Giornata 3</v>
      </c>
      <c r="AB28"/>
    </row>
    <row r="29" spans="1:28" s="79" customFormat="1" ht="15" customHeight="1">
      <c r="A29" s="341" t="s">
        <v>740</v>
      </c>
      <c r="B29" s="81" t="str">
        <f t="shared" ca="1" si="27"/>
        <v>F</v>
      </c>
      <c r="C29" s="81" t="str">
        <f t="shared" ca="1" si="28"/>
        <v>C</v>
      </c>
      <c r="D29" s="81" t="str">
        <f t="shared" ca="1" si="29"/>
        <v>F</v>
      </c>
      <c r="E29" s="81" t="str">
        <f t="shared" ca="1" si="30"/>
        <v>C</v>
      </c>
      <c r="F29" s="81" t="str">
        <f t="shared" ca="1" si="31"/>
        <v>F</v>
      </c>
      <c r="G29" s="81" t="str">
        <f t="shared" ca="1" si="32"/>
        <v>F</v>
      </c>
      <c r="H29" s="81" t="str">
        <f t="shared" ca="1" si="33"/>
        <v>C</v>
      </c>
      <c r="I29" s="81" t="str">
        <f t="shared" ca="1" si="34"/>
        <v>F</v>
      </c>
      <c r="J29" s="81" t="str">
        <f t="shared" ca="1" si="35"/>
        <v>C</v>
      </c>
      <c r="K29" s="81" t="str">
        <f t="shared" ca="1" si="36"/>
        <v>C</v>
      </c>
      <c r="L29" s="81" t="str">
        <f t="shared" ca="1" si="37"/>
        <v>F</v>
      </c>
      <c r="M29" s="81" t="str">
        <f t="shared" ca="1" si="38"/>
        <v>C</v>
      </c>
      <c r="N29" s="81" t="str">
        <f t="shared" ca="1" si="39"/>
        <v>F</v>
      </c>
      <c r="O29" s="81" t="str">
        <f t="shared" ca="1" si="40"/>
        <v>C</v>
      </c>
      <c r="P29" s="81" t="str">
        <f t="shared" ca="1" si="41"/>
        <v>F</v>
      </c>
      <c r="Q29" s="81" t="str">
        <f t="shared" ca="1" si="42"/>
        <v>C</v>
      </c>
      <c r="R29" s="81" t="str">
        <f t="shared" ca="1" si="43"/>
        <v>F</v>
      </c>
      <c r="S29" s="81" t="str">
        <f t="shared" ca="1" si="44"/>
        <v>C</v>
      </c>
      <c r="T29" s="81" t="str">
        <f t="shared" ca="1" si="45"/>
        <v>F</v>
      </c>
      <c r="W29" s="82" t="str">
        <f t="shared" ref="W29:W38" si="46">AA29</f>
        <v>ATALANTA</v>
      </c>
      <c r="X29" s="83" t="str">
        <f>AB29</f>
        <v>SASSUOLO</v>
      </c>
      <c r="Z29" s="408" t="s">
        <v>1540</v>
      </c>
      <c r="AA29" t="str">
        <f>MID(Z29,1,FIND("-",Z29)-2)</f>
        <v>ATALANTA</v>
      </c>
      <c r="AB29" t="str">
        <f>MID(Z29,FIND("-",Z29)+2,30)</f>
        <v>SASSUOLO</v>
      </c>
    </row>
    <row r="30" spans="1:28" s="79" customFormat="1" ht="15" customHeight="1">
      <c r="A30" s="341" t="s">
        <v>736</v>
      </c>
      <c r="B30" s="81" t="str">
        <f t="shared" ca="1" si="27"/>
        <v>C</v>
      </c>
      <c r="C30" s="81" t="str">
        <f t="shared" ca="1" si="28"/>
        <v>F</v>
      </c>
      <c r="D30" s="81" t="str">
        <f t="shared" ca="1" si="29"/>
        <v>C</v>
      </c>
      <c r="E30" s="81" t="str">
        <f t="shared" ca="1" si="30"/>
        <v>F</v>
      </c>
      <c r="F30" s="81" t="str">
        <f t="shared" ca="1" si="31"/>
        <v>C</v>
      </c>
      <c r="G30" s="81" t="str">
        <f t="shared" ca="1" si="32"/>
        <v>F</v>
      </c>
      <c r="H30" s="81" t="str">
        <f t="shared" ca="1" si="33"/>
        <v>F</v>
      </c>
      <c r="I30" s="81" t="str">
        <f t="shared" ca="1" si="34"/>
        <v>C</v>
      </c>
      <c r="J30" s="81" t="str">
        <f t="shared" ca="1" si="35"/>
        <v>F</v>
      </c>
      <c r="K30" s="81" t="str">
        <f t="shared" ca="1" si="36"/>
        <v>C</v>
      </c>
      <c r="L30" s="81" t="str">
        <f t="shared" ca="1" si="37"/>
        <v>F</v>
      </c>
      <c r="M30" s="81" t="str">
        <f t="shared" ca="1" si="38"/>
        <v>C</v>
      </c>
      <c r="N30" s="81" t="str">
        <f t="shared" ca="1" si="39"/>
        <v>F</v>
      </c>
      <c r="O30" s="81" t="str">
        <f t="shared" ca="1" si="40"/>
        <v>C</v>
      </c>
      <c r="P30" s="81" t="str">
        <f t="shared" ca="1" si="41"/>
        <v>C</v>
      </c>
      <c r="Q30" s="81" t="str">
        <f t="shared" ca="1" si="42"/>
        <v>F</v>
      </c>
      <c r="R30" s="81" t="str">
        <f t="shared" ca="1" si="43"/>
        <v>C</v>
      </c>
      <c r="S30" s="81" t="str">
        <f t="shared" ca="1" si="44"/>
        <v>F</v>
      </c>
      <c r="T30" s="81" t="str">
        <f t="shared" ca="1" si="45"/>
        <v>C</v>
      </c>
      <c r="W30" s="82" t="str">
        <f t="shared" si="46"/>
        <v>BENEVENTO</v>
      </c>
      <c r="X30" s="83" t="str">
        <f t="shared" ref="X30:X38" si="47">AB30</f>
        <v>TORINO</v>
      </c>
      <c r="Z30" s="408" t="s">
        <v>1543</v>
      </c>
      <c r="AA30" t="str">
        <f t="shared" ref="AA30:AA38" si="48">MID(Z30,1,FIND("-",Z30)-2)</f>
        <v>BENEVENTO</v>
      </c>
      <c r="AB30" t="str">
        <f t="shared" ref="AB30:AB38" si="49">MID(Z30,FIND("-",Z30)+2,30)</f>
        <v>TORINO</v>
      </c>
    </row>
    <row r="31" spans="1:28" s="79" customFormat="1" ht="15" customHeight="1">
      <c r="A31" s="341" t="s">
        <v>1478</v>
      </c>
      <c r="B31" s="81" t="str">
        <f t="shared" ca="1" si="27"/>
        <v>C</v>
      </c>
      <c r="C31" s="81" t="str">
        <f t="shared" ca="1" si="28"/>
        <v>F</v>
      </c>
      <c r="D31" s="81" t="str">
        <f t="shared" ca="1" si="29"/>
        <v>C</v>
      </c>
      <c r="E31" s="81" t="str">
        <f t="shared" ca="1" si="30"/>
        <v>F</v>
      </c>
      <c r="F31" s="81" t="str">
        <f t="shared" ca="1" si="31"/>
        <v>C</v>
      </c>
      <c r="G31" s="81" t="str">
        <f t="shared" ca="1" si="32"/>
        <v>C</v>
      </c>
      <c r="H31" s="81" t="str">
        <f t="shared" ca="1" si="33"/>
        <v>F</v>
      </c>
      <c r="I31" s="81" t="str">
        <f t="shared" ca="1" si="34"/>
        <v>C</v>
      </c>
      <c r="J31" s="81" t="str">
        <f t="shared" ca="1" si="35"/>
        <v>F</v>
      </c>
      <c r="K31" s="81" t="str">
        <f t="shared" ca="1" si="36"/>
        <v>F</v>
      </c>
      <c r="L31" s="81" t="str">
        <f t="shared" ca="1" si="37"/>
        <v>C</v>
      </c>
      <c r="M31" s="81" t="str">
        <f t="shared" ca="1" si="38"/>
        <v>F</v>
      </c>
      <c r="N31" s="81" t="str">
        <f t="shared" ca="1" si="39"/>
        <v>C</v>
      </c>
      <c r="O31" s="81" t="str">
        <f t="shared" ca="1" si="40"/>
        <v>F</v>
      </c>
      <c r="P31" s="81" t="str">
        <f t="shared" ca="1" si="41"/>
        <v>C</v>
      </c>
      <c r="Q31" s="81" t="str">
        <f t="shared" ca="1" si="42"/>
        <v>F</v>
      </c>
      <c r="R31" s="81" t="str">
        <f t="shared" ca="1" si="43"/>
        <v>C</v>
      </c>
      <c r="S31" s="81" t="str">
        <f t="shared" ca="1" si="44"/>
        <v>F</v>
      </c>
      <c r="T31" s="81" t="str">
        <f t="shared" ca="1" si="45"/>
        <v>C</v>
      </c>
      <c r="W31" s="82" t="str">
        <f t="shared" si="46"/>
        <v>BOLOGNA</v>
      </c>
      <c r="X31" s="83" t="str">
        <f t="shared" si="47"/>
        <v>NAPOLI</v>
      </c>
      <c r="Z31" s="408" t="s">
        <v>1546</v>
      </c>
      <c r="AA31" t="str">
        <f t="shared" si="48"/>
        <v>BOLOGNA</v>
      </c>
      <c r="AB31" t="str">
        <f t="shared" si="49"/>
        <v>NAPOLI</v>
      </c>
    </row>
    <row r="32" spans="1:28" s="79" customFormat="1" ht="15" customHeight="1">
      <c r="A32" s="341" t="s">
        <v>742</v>
      </c>
      <c r="B32" s="81" t="str">
        <f t="shared" ca="1" si="27"/>
        <v>C</v>
      </c>
      <c r="C32" s="81" t="str">
        <f t="shared" ca="1" si="28"/>
        <v>F</v>
      </c>
      <c r="D32" s="81" t="str">
        <f t="shared" ca="1" si="29"/>
        <v>C</v>
      </c>
      <c r="E32" s="81" t="str">
        <f t="shared" ca="1" si="30"/>
        <v>F</v>
      </c>
      <c r="F32" s="81" t="str">
        <f t="shared" ca="1" si="31"/>
        <v>F</v>
      </c>
      <c r="G32" s="81" t="str">
        <f t="shared" ca="1" si="32"/>
        <v>C</v>
      </c>
      <c r="H32" s="81" t="str">
        <f t="shared" ca="1" si="33"/>
        <v>F</v>
      </c>
      <c r="I32" s="81" t="str">
        <f t="shared" ca="1" si="34"/>
        <v>C</v>
      </c>
      <c r="J32" s="81" t="str">
        <f t="shared" ca="1" si="35"/>
        <v>C</v>
      </c>
      <c r="K32" s="81" t="str">
        <f t="shared" ca="1" si="36"/>
        <v>F</v>
      </c>
      <c r="L32" s="81" t="str">
        <f t="shared" ca="1" si="37"/>
        <v>C</v>
      </c>
      <c r="M32" s="81" t="str">
        <f t="shared" ca="1" si="38"/>
        <v>F</v>
      </c>
      <c r="N32" s="81" t="str">
        <f t="shared" ca="1" si="39"/>
        <v>C</v>
      </c>
      <c r="O32" s="81" t="str">
        <f t="shared" ca="1" si="40"/>
        <v>F</v>
      </c>
      <c r="P32" s="81" t="str">
        <f t="shared" ca="1" si="41"/>
        <v>C</v>
      </c>
      <c r="Q32" s="81" t="str">
        <f t="shared" ca="1" si="42"/>
        <v>F</v>
      </c>
      <c r="R32" s="81" t="str">
        <f t="shared" ca="1" si="43"/>
        <v>C</v>
      </c>
      <c r="S32" s="81" t="str">
        <f t="shared" ca="1" si="44"/>
        <v>F</v>
      </c>
      <c r="T32" s="81" t="str">
        <f t="shared" ca="1" si="45"/>
        <v>C</v>
      </c>
      <c r="W32" s="82" t="str">
        <f t="shared" si="46"/>
        <v>CAGLIARI</v>
      </c>
      <c r="X32" s="83" t="str">
        <f t="shared" si="47"/>
        <v>CROTONE</v>
      </c>
      <c r="Z32" s="408" t="s">
        <v>1549</v>
      </c>
      <c r="AA32" t="str">
        <f t="shared" si="48"/>
        <v>CAGLIARI</v>
      </c>
      <c r="AB32" t="str">
        <f t="shared" si="49"/>
        <v>CROTONE</v>
      </c>
    </row>
    <row r="33" spans="1:28" s="79" customFormat="1" ht="15" customHeight="1">
      <c r="A33" s="341" t="s">
        <v>1477</v>
      </c>
      <c r="B33" s="81" t="str">
        <f t="shared" ca="1" si="27"/>
        <v>F</v>
      </c>
      <c r="C33" s="81" t="str">
        <f t="shared" ca="1" si="28"/>
        <v>C</v>
      </c>
      <c r="D33" s="81" t="str">
        <f t="shared" ca="1" si="29"/>
        <v>F</v>
      </c>
      <c r="E33" s="81" t="str">
        <f t="shared" ca="1" si="30"/>
        <v>C</v>
      </c>
      <c r="F33" s="81" t="str">
        <f t="shared" ca="1" si="31"/>
        <v>F</v>
      </c>
      <c r="G33" s="81" t="str">
        <f t="shared" ca="1" si="32"/>
        <v>C</v>
      </c>
      <c r="H33" s="81" t="str">
        <f t="shared" ca="1" si="33"/>
        <v>C</v>
      </c>
      <c r="I33" s="81" t="str">
        <f t="shared" ca="1" si="34"/>
        <v>F</v>
      </c>
      <c r="J33" s="81" t="str">
        <f t="shared" ca="1" si="35"/>
        <v>C</v>
      </c>
      <c r="K33" s="81" t="str">
        <f t="shared" ca="1" si="36"/>
        <v>F</v>
      </c>
      <c r="L33" s="81" t="str">
        <f t="shared" ca="1" si="37"/>
        <v>C</v>
      </c>
      <c r="M33" s="81" t="str">
        <f t="shared" ca="1" si="38"/>
        <v>F</v>
      </c>
      <c r="N33" s="81" t="str">
        <f t="shared" ca="1" si="39"/>
        <v>C</v>
      </c>
      <c r="O33" s="81" t="str">
        <f t="shared" ca="1" si="40"/>
        <v>F</v>
      </c>
      <c r="P33" s="81" t="str">
        <f t="shared" ca="1" si="41"/>
        <v>F</v>
      </c>
      <c r="Q33" s="81" t="str">
        <f t="shared" ca="1" si="42"/>
        <v>C</v>
      </c>
      <c r="R33" s="81" t="str">
        <f t="shared" ca="1" si="43"/>
        <v>F</v>
      </c>
      <c r="S33" s="81" t="str">
        <f t="shared" ca="1" si="44"/>
        <v>C</v>
      </c>
      <c r="T33" s="81" t="str">
        <f t="shared" ca="1" si="45"/>
        <v>F</v>
      </c>
      <c r="W33" s="82" t="str">
        <f t="shared" si="46"/>
        <v>VERONA</v>
      </c>
      <c r="X33" s="83" t="str">
        <f t="shared" si="47"/>
        <v>FIORENTINA</v>
      </c>
      <c r="Z33" s="408" t="s">
        <v>1552</v>
      </c>
      <c r="AA33" t="str">
        <f t="shared" si="48"/>
        <v>VERONA</v>
      </c>
      <c r="AB33" t="str">
        <f t="shared" si="49"/>
        <v>FIORENTINA</v>
      </c>
    </row>
    <row r="34" spans="1:28" ht="18">
      <c r="A34" s="84"/>
      <c r="B34" s="84"/>
      <c r="C34" s="84"/>
      <c r="D34" s="84"/>
      <c r="E34" s="84"/>
      <c r="F34" s="84"/>
      <c r="G34" s="84"/>
      <c r="H34" s="84"/>
      <c r="I34" s="84"/>
      <c r="J34" s="84"/>
      <c r="K34" s="84"/>
      <c r="L34" s="84"/>
      <c r="M34" s="84"/>
      <c r="N34" s="84"/>
      <c r="O34" s="84"/>
      <c r="P34" s="84"/>
      <c r="Q34" s="84"/>
      <c r="R34" s="84"/>
      <c r="S34" s="84"/>
      <c r="T34" s="84"/>
      <c r="W34" s="82" t="str">
        <f t="shared" si="46"/>
        <v>INTER</v>
      </c>
      <c r="X34" s="83" t="str">
        <f t="shared" si="47"/>
        <v>SPAL</v>
      </c>
      <c r="Z34" s="408" t="s">
        <v>1555</v>
      </c>
      <c r="AA34" t="str">
        <f t="shared" si="48"/>
        <v>INTER</v>
      </c>
      <c r="AB34" t="str">
        <f t="shared" si="49"/>
        <v>SPAL</v>
      </c>
    </row>
    <row r="35" spans="1:28" ht="26.25" customHeight="1">
      <c r="A35" s="560" t="s">
        <v>753</v>
      </c>
      <c r="B35" s="560"/>
      <c r="C35" s="560"/>
      <c r="D35" s="560"/>
      <c r="E35" s="560"/>
      <c r="F35" s="560"/>
      <c r="G35" s="560"/>
      <c r="H35" s="560"/>
      <c r="I35" s="560"/>
      <c r="J35" s="560"/>
      <c r="K35" s="560"/>
      <c r="L35" s="560"/>
      <c r="M35" s="560"/>
      <c r="N35" s="560"/>
      <c r="O35" s="560"/>
      <c r="P35" s="560"/>
      <c r="Q35" s="560"/>
      <c r="R35" s="560"/>
      <c r="S35" s="560"/>
      <c r="T35" s="560"/>
      <c r="W35" s="82" t="str">
        <f t="shared" si="46"/>
        <v>JUVENTUS</v>
      </c>
      <c r="X35" s="83" t="str">
        <f t="shared" si="47"/>
        <v>CHIEVO</v>
      </c>
      <c r="Z35" s="408" t="s">
        <v>1558</v>
      </c>
      <c r="AA35" t="str">
        <f t="shared" si="48"/>
        <v>JUVENTUS</v>
      </c>
      <c r="AB35" t="str">
        <f t="shared" si="49"/>
        <v>CHIEVO</v>
      </c>
    </row>
    <row r="36" spans="1:28" ht="15">
      <c r="A36" s="341" t="s">
        <v>744</v>
      </c>
      <c r="B36" s="81" t="str">
        <f t="shared" ref="B36:B43" ca="1" si="50">IF(ISNA(VLOOKUP($A36,INDIRECT(ADDRESS(MATCH("Giornata "&amp;$B$3,$W$1:$W$230,0)+1,23,1,1)&amp;":"&amp;ADDRESS(MATCH("Giornata "&amp;$B$3,$W$1:$W$230,0)+11,23,1,1)),1,FALSE)),"F","C")</f>
        <v>F</v>
      </c>
      <c r="C36" s="81" t="str">
        <f t="shared" ref="C36:C43" ca="1" si="51">IF(ISNA(VLOOKUP($A36,INDIRECT(ADDRESS(MATCH("Giornata "&amp;$C$3,$W$1:$W$230,0)+1,23,1,1)&amp;":"&amp;ADDRESS(MATCH("Giornata "&amp;$C$3,$W$1:$W$230,0)+11,23,1,1)),1,FALSE)),"F","C")</f>
        <v>C</v>
      </c>
      <c r="D36" s="81" t="str">
        <f t="shared" ref="D36:D43" ca="1" si="52">IF(ISNA(VLOOKUP($A36,INDIRECT(ADDRESS(MATCH("Giornata "&amp;$D$3,$W$1:$W$230,0)+1,23,1,1)&amp;":"&amp;ADDRESS(MATCH("Giornata "&amp;$D$3,$W$1:$W$230,0)+11,23,1,1)),1,FALSE)),"F","C")</f>
        <v>F</v>
      </c>
      <c r="E36" s="81" t="str">
        <f t="shared" ref="E36:E43" ca="1" si="53">IF(ISNA(VLOOKUP($A36,INDIRECT(ADDRESS(MATCH("Giornata "&amp;$E$3,$W$1:$W$230,0)+1,23,1,1)&amp;":"&amp;ADDRESS(MATCH("Giornata "&amp;$E$3,$W$1:$W$230,0)+11,23,1,1)),1,FALSE)),"F","C")</f>
        <v>C</v>
      </c>
      <c r="F36" s="81" t="str">
        <f t="shared" ref="F36:F43" ca="1" si="54">IF(ISNA(VLOOKUP($A36,INDIRECT(ADDRESS(MATCH("Giornata "&amp;$F$3,$W$1:$W$230,0)+1,23,1,1)&amp;":"&amp;ADDRESS(MATCH("Giornata "&amp;$F$3,$W$1:$W$230,0)+11,23,1,1)),1,FALSE)),"F","C")</f>
        <v>F</v>
      </c>
      <c r="G36" s="81" t="str">
        <f t="shared" ref="G36:G43" ca="1" si="55">IF(ISNA(VLOOKUP($A36,INDIRECT(ADDRESS(MATCH("Giornata "&amp;$G$3,$W$1:$W$230,0)+1,23,1,1)&amp;":"&amp;ADDRESS(MATCH("Giornata "&amp;$G$3,$W$1:$W$230,0)+11,23,1,1)),1,FALSE)),"F","C")</f>
        <v>C</v>
      </c>
      <c r="H36" s="81" t="str">
        <f t="shared" ref="H36:H43" ca="1" si="56">IF(ISNA(VLOOKUP($A36,INDIRECT(ADDRESS(MATCH("Giornata "&amp;$H$3,$W$1:$W$230,0)+1,23,1,1)&amp;":"&amp;ADDRESS(MATCH("Giornata "&amp;$H$3,$W$1:$W$230,0)+11,23,1,1)),1,FALSE)),"F","C")</f>
        <v>F</v>
      </c>
      <c r="I36" s="81" t="str">
        <f t="shared" ref="I36:I43" ca="1" si="57">IF(ISNA(VLOOKUP($A36,INDIRECT(ADDRESS(MATCH("Giornata "&amp;$I$3,$W$1:$W$230,0)+1,23,1,1)&amp;":"&amp;ADDRESS(MATCH("Giornata "&amp;$I$3,$W$1:$W$230,0)+11,23,1,1)),1,FALSE)),"F","C")</f>
        <v>C</v>
      </c>
      <c r="J36" s="81" t="str">
        <f t="shared" ref="J36:J43" ca="1" si="58">IF(ISNA(VLOOKUP($A36,INDIRECT(ADDRESS(MATCH("Giornata "&amp;$J$3,$W$1:$W$230,0)+1,23,1,1)&amp;":"&amp;ADDRESS(MATCH("Giornata "&amp;$J$3,$W$1:$W$230,0)+11,23,1,1)),1,FALSE)),"F","C")</f>
        <v>F</v>
      </c>
      <c r="K36" s="81" t="str">
        <f t="shared" ref="K36:K43" ca="1" si="59">IF(ISNA(VLOOKUP($A36,INDIRECT(ADDRESS(MATCH("Giornata "&amp;$K$3,$W$1:$W$230,0)+1,23,1,1)&amp;":"&amp;ADDRESS(MATCH("Giornata "&amp;$K$3,$W$1:$W$230,0)+11,23,1,1)),1,FALSE)),"F","C")</f>
        <v>C</v>
      </c>
      <c r="L36" s="81" t="str">
        <f t="shared" ref="L36:L43" ca="1" si="60">IF(ISNA(VLOOKUP($A36,INDIRECT(ADDRESS(MATCH("Giornata "&amp;$L$3,$W$1:$W$230,0)+1,23,1,1)&amp;":"&amp;ADDRESS(MATCH("Giornata "&amp;$L$3,$W$1:$W$230,0)+11,23,1,1)),1,FALSE)),"F","C")</f>
        <v>F</v>
      </c>
      <c r="M36" s="81" t="str">
        <f t="shared" ref="M36:M43" ca="1" si="61">IF(ISNA(VLOOKUP($A36,INDIRECT(ADDRESS(MATCH("Giornata "&amp;$M$3,$W$1:$W$230,0)+1,23,1,1)&amp;":"&amp;ADDRESS(MATCH("Giornata "&amp;$M$3,$W$1:$W$230,0)+11,23,1,1)),1,FALSE)),"F","C")</f>
        <v>C</v>
      </c>
      <c r="N36" s="81" t="str">
        <f t="shared" ref="N36:N43" ca="1" si="62">IF(ISNA(VLOOKUP($A36,INDIRECT(ADDRESS(MATCH("Giornata "&amp;$N$3,$W$1:$W$230,0)+1,23,1,1)&amp;":"&amp;ADDRESS(MATCH("Giornata "&amp;$N$3,$W$1:$W$230,0)+11,23,1,1)),1,FALSE)),"F","C")</f>
        <v>F</v>
      </c>
      <c r="O36" s="81" t="str">
        <f t="shared" ref="O36:O43" ca="1" si="63">IF(ISNA(VLOOKUP($A36,INDIRECT(ADDRESS(MATCH("Giornata "&amp;$O$3,$W$1:$W$230,0)+1,23,1,1)&amp;":"&amp;ADDRESS(MATCH("Giornata "&amp;$O$3,$W$1:$W$230,0)+11,23,1,1)),1,FALSE)),"F","C")</f>
        <v>F</v>
      </c>
      <c r="P36" s="81" t="str">
        <f t="shared" ref="P36:P43" ca="1" si="64">IF(ISNA(VLOOKUP($A36,INDIRECT(ADDRESS(MATCH("Giornata "&amp;$P$3,$W$1:$W$230,0)+1,23,1,1)&amp;":"&amp;ADDRESS(MATCH("Giornata "&amp;$P$3,$W$1:$W$230,0)+11,23,1,1)),1,FALSE)),"F","C")</f>
        <v>C</v>
      </c>
      <c r="Q36" s="81" t="str">
        <f t="shared" ref="Q36:Q43" ca="1" si="65">IF(ISNA(VLOOKUP($A36,INDIRECT(ADDRESS(MATCH("Giornata "&amp;$Q$3,$W$1:$W$230,0)+1,23,1,1)&amp;":"&amp;ADDRESS(MATCH("Giornata "&amp;$Q$3,$W$1:$W$230,0)+11,23,1,1)),1,FALSE)),"F","C")</f>
        <v>F</v>
      </c>
      <c r="R36" s="81" t="str">
        <f t="shared" ref="R36:R43" ca="1" si="66">IF(ISNA(VLOOKUP($A36,INDIRECT(ADDRESS(MATCH("Giornata "&amp;$R$3,$W$1:$W$230,0)+1,23,1,1)&amp;":"&amp;ADDRESS(MATCH("Giornata "&amp;$R$3,$W$1:$W$230,0)+11,23,1,1)),1,FALSE)),"F","C")</f>
        <v>C</v>
      </c>
      <c r="S36" s="81" t="str">
        <f t="shared" ref="S36:S43" ca="1" si="67">IF(ISNA(VLOOKUP($A36,INDIRECT(ADDRESS(MATCH("Giornata "&amp;$S$3,$W$1:$W$230,0)+1,23,1,1)&amp;":"&amp;ADDRESS(MATCH("Giornata "&amp;$S$3,$W$1:$W$230,0)+11,23,1,1)),1,FALSE)),"F","C")</f>
        <v>F</v>
      </c>
      <c r="T36" s="81" t="str">
        <f t="shared" ref="T36:T43" ca="1" si="68">IF(ISNA(VLOOKUP($A36,INDIRECT(ADDRESS(MATCH("Giornata "&amp;$T$3,$W$1:$W$230,0)+1,23,1,1)&amp;":"&amp;ADDRESS(MATCH("Giornata "&amp;$T$3,$W$1:$W$230,0)+11,23,1,1)),1,FALSE)),"F","C")</f>
        <v>C</v>
      </c>
      <c r="W36" s="82" t="str">
        <f t="shared" si="46"/>
        <v>LAZIO</v>
      </c>
      <c r="X36" s="83" t="str">
        <f t="shared" si="47"/>
        <v>MILAN</v>
      </c>
      <c r="Z36" s="408" t="s">
        <v>1561</v>
      </c>
      <c r="AA36" t="str">
        <f t="shared" si="48"/>
        <v>LAZIO</v>
      </c>
      <c r="AB36" t="str">
        <f t="shared" si="49"/>
        <v>MILAN</v>
      </c>
    </row>
    <row r="37" spans="1:28" ht="15">
      <c r="A37" s="341" t="s">
        <v>736</v>
      </c>
      <c r="B37" s="81" t="str">
        <f t="shared" ca="1" si="50"/>
        <v>C</v>
      </c>
      <c r="C37" s="81" t="str">
        <f t="shared" ca="1" si="51"/>
        <v>F</v>
      </c>
      <c r="D37" s="81" t="str">
        <f t="shared" ca="1" si="52"/>
        <v>C</v>
      </c>
      <c r="E37" s="81" t="str">
        <f t="shared" ca="1" si="53"/>
        <v>F</v>
      </c>
      <c r="F37" s="81" t="str">
        <f t="shared" ca="1" si="54"/>
        <v>C</v>
      </c>
      <c r="G37" s="81" t="str">
        <f t="shared" ca="1" si="55"/>
        <v>F</v>
      </c>
      <c r="H37" s="81" t="str">
        <f t="shared" ca="1" si="56"/>
        <v>F</v>
      </c>
      <c r="I37" s="81" t="str">
        <f t="shared" ca="1" si="57"/>
        <v>C</v>
      </c>
      <c r="J37" s="81" t="str">
        <f t="shared" ca="1" si="58"/>
        <v>F</v>
      </c>
      <c r="K37" s="81" t="str">
        <f t="shared" ca="1" si="59"/>
        <v>C</v>
      </c>
      <c r="L37" s="81" t="str">
        <f t="shared" ca="1" si="60"/>
        <v>F</v>
      </c>
      <c r="M37" s="81" t="str">
        <f t="shared" ca="1" si="61"/>
        <v>C</v>
      </c>
      <c r="N37" s="81" t="str">
        <f t="shared" ca="1" si="62"/>
        <v>F</v>
      </c>
      <c r="O37" s="81" t="str">
        <f t="shared" ca="1" si="63"/>
        <v>C</v>
      </c>
      <c r="P37" s="81" t="str">
        <f t="shared" ca="1" si="64"/>
        <v>C</v>
      </c>
      <c r="Q37" s="81" t="str">
        <f t="shared" ca="1" si="65"/>
        <v>F</v>
      </c>
      <c r="R37" s="81" t="str">
        <f t="shared" ca="1" si="66"/>
        <v>C</v>
      </c>
      <c r="S37" s="81" t="str">
        <f t="shared" ca="1" si="67"/>
        <v>F</v>
      </c>
      <c r="T37" s="81" t="str">
        <f t="shared" ca="1" si="68"/>
        <v>C</v>
      </c>
      <c r="W37" s="82" t="str">
        <f t="shared" si="46"/>
        <v>SAMPDORIA</v>
      </c>
      <c r="X37" s="83" t="str">
        <f t="shared" si="47"/>
        <v>ROMA</v>
      </c>
      <c r="Z37" s="408" t="s">
        <v>1564</v>
      </c>
      <c r="AA37" t="str">
        <f t="shared" si="48"/>
        <v>SAMPDORIA</v>
      </c>
      <c r="AB37" t="str">
        <f t="shared" si="49"/>
        <v>ROMA</v>
      </c>
    </row>
    <row r="38" spans="1:28" ht="15">
      <c r="A38" s="341" t="s">
        <v>751</v>
      </c>
      <c r="B38" s="81" t="str">
        <f t="shared" ca="1" si="50"/>
        <v>C</v>
      </c>
      <c r="C38" s="81" t="str">
        <f t="shared" ca="1" si="51"/>
        <v>F</v>
      </c>
      <c r="D38" s="81" t="str">
        <f t="shared" ca="1" si="52"/>
        <v>C</v>
      </c>
      <c r="E38" s="81" t="str">
        <f t="shared" ca="1" si="53"/>
        <v>F</v>
      </c>
      <c r="F38" s="81" t="str">
        <f t="shared" ca="1" si="54"/>
        <v>C</v>
      </c>
      <c r="G38" s="81" t="str">
        <f t="shared" ca="1" si="55"/>
        <v>F</v>
      </c>
      <c r="H38" s="81" t="str">
        <f t="shared" ca="1" si="56"/>
        <v>C</v>
      </c>
      <c r="I38" s="81" t="str">
        <f t="shared" ca="1" si="57"/>
        <v>F</v>
      </c>
      <c r="J38" s="81" t="str">
        <f t="shared" ca="1" si="58"/>
        <v>C</v>
      </c>
      <c r="K38" s="81" t="str">
        <f t="shared" ca="1" si="59"/>
        <v>F</v>
      </c>
      <c r="L38" s="81" t="str">
        <f t="shared" ca="1" si="60"/>
        <v>C</v>
      </c>
      <c r="M38" s="81" t="str">
        <f t="shared" ca="1" si="61"/>
        <v>F</v>
      </c>
      <c r="N38" s="81" t="str">
        <f t="shared" ca="1" si="62"/>
        <v>C</v>
      </c>
      <c r="O38" s="81" t="str">
        <f t="shared" ca="1" si="63"/>
        <v>C</v>
      </c>
      <c r="P38" s="81" t="str">
        <f t="shared" ca="1" si="64"/>
        <v>F</v>
      </c>
      <c r="Q38" s="81" t="str">
        <f t="shared" ca="1" si="65"/>
        <v>C</v>
      </c>
      <c r="R38" s="81" t="str">
        <f t="shared" ca="1" si="66"/>
        <v>F</v>
      </c>
      <c r="S38" s="81" t="str">
        <f t="shared" ca="1" si="67"/>
        <v>C</v>
      </c>
      <c r="T38" s="81" t="str">
        <f t="shared" ca="1" si="68"/>
        <v>F</v>
      </c>
      <c r="W38" s="82" t="str">
        <f t="shared" si="46"/>
        <v>UDINESE</v>
      </c>
      <c r="X38" s="83" t="str">
        <f t="shared" si="47"/>
        <v>GENOA</v>
      </c>
      <c r="Z38" s="408" t="s">
        <v>1567</v>
      </c>
      <c r="AA38" t="str">
        <f t="shared" si="48"/>
        <v>UDINESE</v>
      </c>
      <c r="AB38" t="str">
        <f t="shared" si="49"/>
        <v>GENOA</v>
      </c>
    </row>
    <row r="39" spans="1:28" ht="15">
      <c r="A39" s="341" t="s">
        <v>747</v>
      </c>
      <c r="B39" s="81" t="str">
        <f t="shared" ca="1" si="50"/>
        <v>F</v>
      </c>
      <c r="C39" s="81" t="str">
        <f t="shared" ca="1" si="51"/>
        <v>C</v>
      </c>
      <c r="D39" s="81" t="str">
        <f t="shared" ca="1" si="52"/>
        <v>F</v>
      </c>
      <c r="E39" s="81" t="str">
        <f t="shared" ca="1" si="53"/>
        <v>C</v>
      </c>
      <c r="F39" s="81" t="str">
        <f t="shared" ca="1" si="54"/>
        <v>F</v>
      </c>
      <c r="G39" s="81" t="str">
        <f t="shared" ca="1" si="55"/>
        <v>F</v>
      </c>
      <c r="H39" s="81" t="str">
        <f t="shared" ca="1" si="56"/>
        <v>C</v>
      </c>
      <c r="I39" s="81" t="str">
        <f t="shared" ca="1" si="57"/>
        <v>F</v>
      </c>
      <c r="J39" s="81" t="str">
        <f t="shared" ca="1" si="58"/>
        <v>C</v>
      </c>
      <c r="K39" s="81" t="str">
        <f t="shared" ca="1" si="59"/>
        <v>F</v>
      </c>
      <c r="L39" s="81" t="str">
        <f t="shared" ca="1" si="60"/>
        <v>C</v>
      </c>
      <c r="M39" s="81" t="str">
        <f t="shared" ca="1" si="61"/>
        <v>F</v>
      </c>
      <c r="N39" s="81" t="str">
        <f t="shared" ca="1" si="62"/>
        <v>C</v>
      </c>
      <c r="O39" s="81" t="str">
        <f t="shared" ca="1" si="63"/>
        <v>F</v>
      </c>
      <c r="P39" s="81" t="str">
        <f t="shared" ca="1" si="64"/>
        <v>C</v>
      </c>
      <c r="Q39" s="81" t="str">
        <f t="shared" ca="1" si="65"/>
        <v>F</v>
      </c>
      <c r="R39" s="81" t="str">
        <f t="shared" ca="1" si="66"/>
        <v>C</v>
      </c>
      <c r="S39" s="81" t="str">
        <f t="shared" ca="1" si="67"/>
        <v>F</v>
      </c>
      <c r="T39" s="81" t="str">
        <f t="shared" ca="1" si="68"/>
        <v>C</v>
      </c>
      <c r="W39" s="83"/>
      <c r="X39" s="83"/>
      <c r="Z39" s="411"/>
    </row>
    <row r="40" spans="1:28" ht="15">
      <c r="A40" s="341" t="s">
        <v>738</v>
      </c>
      <c r="B40" s="81" t="str">
        <f t="shared" ca="1" si="50"/>
        <v>F</v>
      </c>
      <c r="C40" s="81" t="str">
        <f t="shared" ca="1" si="51"/>
        <v>F</v>
      </c>
      <c r="D40" s="81" t="str">
        <f t="shared" ca="1" si="52"/>
        <v>C</v>
      </c>
      <c r="E40" s="81" t="str">
        <f t="shared" ca="1" si="53"/>
        <v>F</v>
      </c>
      <c r="F40" s="81" t="str">
        <f t="shared" ca="1" si="54"/>
        <v>C</v>
      </c>
      <c r="G40" s="81" t="str">
        <f t="shared" ca="1" si="55"/>
        <v>C</v>
      </c>
      <c r="H40" s="81" t="str">
        <f t="shared" ca="1" si="56"/>
        <v>F</v>
      </c>
      <c r="I40" s="81" t="str">
        <f t="shared" ca="1" si="57"/>
        <v>C</v>
      </c>
      <c r="J40" s="81" t="str">
        <f t="shared" ca="1" si="58"/>
        <v>F</v>
      </c>
      <c r="K40" s="81" t="str">
        <f t="shared" ca="1" si="59"/>
        <v>C</v>
      </c>
      <c r="L40" s="81" t="str">
        <f t="shared" ca="1" si="60"/>
        <v>F</v>
      </c>
      <c r="M40" s="81" t="str">
        <f t="shared" ca="1" si="61"/>
        <v>C</v>
      </c>
      <c r="N40" s="81" t="str">
        <f t="shared" ca="1" si="62"/>
        <v>F</v>
      </c>
      <c r="O40" s="81" t="str">
        <f t="shared" ca="1" si="63"/>
        <v>C</v>
      </c>
      <c r="P40" s="81" t="str">
        <f t="shared" ca="1" si="64"/>
        <v>F</v>
      </c>
      <c r="Q40" s="81" t="str">
        <f t="shared" ca="1" si="65"/>
        <v>C</v>
      </c>
      <c r="R40" s="81" t="str">
        <f t="shared" ca="1" si="66"/>
        <v>F</v>
      </c>
      <c r="S40" s="81" t="str">
        <f t="shared" ca="1" si="67"/>
        <v>C</v>
      </c>
      <c r="T40" s="81" t="str">
        <f t="shared" ca="1" si="68"/>
        <v>F</v>
      </c>
      <c r="W40" s="82" t="str">
        <f>AA40</f>
        <v>Giornata 4</v>
      </c>
      <c r="X40" s="82"/>
      <c r="Z40" s="411">
        <v>4</v>
      </c>
      <c r="AA40" t="str">
        <f>"Giornata " &amp; Z40</f>
        <v>Giornata 4</v>
      </c>
    </row>
    <row r="41" spans="1:28" ht="15">
      <c r="A41" s="341" t="s">
        <v>748</v>
      </c>
      <c r="B41" s="81" t="str">
        <f t="shared" ca="1" si="50"/>
        <v>C</v>
      </c>
      <c r="C41" s="81" t="str">
        <f t="shared" ca="1" si="51"/>
        <v>F</v>
      </c>
      <c r="D41" s="81" t="str">
        <f t="shared" ca="1" si="52"/>
        <v>F</v>
      </c>
      <c r="E41" s="81" t="str">
        <f t="shared" ca="1" si="53"/>
        <v>C</v>
      </c>
      <c r="F41" s="81" t="str">
        <f t="shared" ca="1" si="54"/>
        <v>F</v>
      </c>
      <c r="G41" s="81" t="str">
        <f t="shared" ca="1" si="55"/>
        <v>C</v>
      </c>
      <c r="H41" s="81" t="str">
        <f t="shared" ca="1" si="56"/>
        <v>F</v>
      </c>
      <c r="I41" s="81" t="str">
        <f t="shared" ca="1" si="57"/>
        <v>C</v>
      </c>
      <c r="J41" s="81" t="str">
        <f t="shared" ca="1" si="58"/>
        <v>F</v>
      </c>
      <c r="K41" s="81" t="str">
        <f t="shared" ca="1" si="59"/>
        <v>C</v>
      </c>
      <c r="L41" s="81" t="str">
        <f t="shared" ca="1" si="60"/>
        <v>F</v>
      </c>
      <c r="M41" s="81" t="str">
        <f t="shared" ca="1" si="61"/>
        <v>C</v>
      </c>
      <c r="N41" s="81" t="str">
        <f t="shared" ca="1" si="62"/>
        <v>F</v>
      </c>
      <c r="O41" s="81" t="str">
        <f t="shared" ca="1" si="63"/>
        <v>C</v>
      </c>
      <c r="P41" s="81" t="str">
        <f t="shared" ca="1" si="64"/>
        <v>F</v>
      </c>
      <c r="Q41" s="81" t="str">
        <f t="shared" ca="1" si="65"/>
        <v>C</v>
      </c>
      <c r="R41" s="81" t="str">
        <f t="shared" ca="1" si="66"/>
        <v>F</v>
      </c>
      <c r="S41" s="81" t="str">
        <f t="shared" ca="1" si="67"/>
        <v>C</v>
      </c>
      <c r="T41" s="81" t="str">
        <f t="shared" ca="1" si="68"/>
        <v>F</v>
      </c>
      <c r="W41" s="82" t="str">
        <f t="shared" ref="W41:W50" si="69">AA41</f>
        <v>CHIEVO</v>
      </c>
      <c r="X41" s="83" t="str">
        <f>AB41</f>
        <v>ATALANTA</v>
      </c>
      <c r="Z41" s="408" t="s">
        <v>1570</v>
      </c>
      <c r="AA41" t="str">
        <f>MID(Z41,1,FIND("-",Z41)-2)</f>
        <v>CHIEVO</v>
      </c>
      <c r="AB41" t="str">
        <f>MID(Z41,FIND("-",Z41)+2,30)</f>
        <v>ATALANTA</v>
      </c>
    </row>
    <row r="42" spans="1:28" ht="15">
      <c r="A42" s="341" t="s">
        <v>1476</v>
      </c>
      <c r="B42" s="81" t="str">
        <f t="shared" ca="1" si="50"/>
        <v>F</v>
      </c>
      <c r="C42" s="81" t="str">
        <f t="shared" ca="1" si="51"/>
        <v>C</v>
      </c>
      <c r="D42" s="81" t="str">
        <f t="shared" ca="1" si="52"/>
        <v>C</v>
      </c>
      <c r="E42" s="81" t="str">
        <f t="shared" ca="1" si="53"/>
        <v>F</v>
      </c>
      <c r="F42" s="81" t="str">
        <f t="shared" ca="1" si="54"/>
        <v>C</v>
      </c>
      <c r="G42" s="81" t="str">
        <f t="shared" ca="1" si="55"/>
        <v>F</v>
      </c>
      <c r="H42" s="81" t="str">
        <f t="shared" ca="1" si="56"/>
        <v>C</v>
      </c>
      <c r="I42" s="81" t="str">
        <f t="shared" ca="1" si="57"/>
        <v>F</v>
      </c>
      <c r="J42" s="81" t="str">
        <f t="shared" ca="1" si="58"/>
        <v>C</v>
      </c>
      <c r="K42" s="81" t="str">
        <f t="shared" ca="1" si="59"/>
        <v>F</v>
      </c>
      <c r="L42" s="81" t="str">
        <f t="shared" ca="1" si="60"/>
        <v>C</v>
      </c>
      <c r="M42" s="81" t="str">
        <f t="shared" ca="1" si="61"/>
        <v>F</v>
      </c>
      <c r="N42" s="81" t="str">
        <f t="shared" ca="1" si="62"/>
        <v>C</v>
      </c>
      <c r="O42" s="81" t="str">
        <f t="shared" ca="1" si="63"/>
        <v>F</v>
      </c>
      <c r="P42" s="81" t="str">
        <f t="shared" ca="1" si="64"/>
        <v>C</v>
      </c>
      <c r="Q42" s="81" t="str">
        <f t="shared" ca="1" si="65"/>
        <v>F</v>
      </c>
      <c r="R42" s="81" t="str">
        <f t="shared" ca="1" si="66"/>
        <v>C</v>
      </c>
      <c r="S42" s="81" t="str">
        <f t="shared" ca="1" si="67"/>
        <v>F</v>
      </c>
      <c r="T42" s="81" t="str">
        <f t="shared" ca="1" si="68"/>
        <v>C</v>
      </c>
      <c r="W42" s="82" t="str">
        <f t="shared" si="69"/>
        <v>CROTONE</v>
      </c>
      <c r="X42" s="83" t="str">
        <f t="shared" ref="X42:X50" si="70">AB42</f>
        <v>INTER</v>
      </c>
      <c r="Z42" s="408" t="s">
        <v>1573</v>
      </c>
      <c r="AA42" t="str">
        <f t="shared" ref="AA42:AA50" si="71">MID(Z42,1,FIND("-",Z42)-2)</f>
        <v>CROTONE</v>
      </c>
      <c r="AB42" t="str">
        <f t="shared" ref="AB42:AB50" si="72">MID(Z42,FIND("-",Z42)+2,30)</f>
        <v>INTER</v>
      </c>
    </row>
    <row r="43" spans="1:28" ht="15">
      <c r="A43" s="341" t="s">
        <v>1477</v>
      </c>
      <c r="B43" s="81" t="str">
        <f t="shared" ca="1" si="50"/>
        <v>F</v>
      </c>
      <c r="C43" s="81" t="str">
        <f t="shared" ca="1" si="51"/>
        <v>C</v>
      </c>
      <c r="D43" s="81" t="str">
        <f t="shared" ca="1" si="52"/>
        <v>F</v>
      </c>
      <c r="E43" s="81" t="str">
        <f t="shared" ca="1" si="53"/>
        <v>C</v>
      </c>
      <c r="F43" s="81" t="str">
        <f t="shared" ca="1" si="54"/>
        <v>F</v>
      </c>
      <c r="G43" s="81" t="str">
        <f t="shared" ca="1" si="55"/>
        <v>C</v>
      </c>
      <c r="H43" s="81" t="str">
        <f t="shared" ca="1" si="56"/>
        <v>C</v>
      </c>
      <c r="I43" s="81" t="str">
        <f t="shared" ca="1" si="57"/>
        <v>F</v>
      </c>
      <c r="J43" s="81" t="str">
        <f t="shared" ca="1" si="58"/>
        <v>C</v>
      </c>
      <c r="K43" s="81" t="str">
        <f t="shared" ca="1" si="59"/>
        <v>F</v>
      </c>
      <c r="L43" s="81" t="str">
        <f t="shared" ca="1" si="60"/>
        <v>C</v>
      </c>
      <c r="M43" s="81" t="str">
        <f t="shared" ca="1" si="61"/>
        <v>F</v>
      </c>
      <c r="N43" s="81" t="str">
        <f t="shared" ca="1" si="62"/>
        <v>C</v>
      </c>
      <c r="O43" s="81" t="str">
        <f t="shared" ca="1" si="63"/>
        <v>F</v>
      </c>
      <c r="P43" s="81" t="str">
        <f t="shared" ca="1" si="64"/>
        <v>F</v>
      </c>
      <c r="Q43" s="81" t="str">
        <f t="shared" ca="1" si="65"/>
        <v>C</v>
      </c>
      <c r="R43" s="81" t="str">
        <f t="shared" ca="1" si="66"/>
        <v>F</v>
      </c>
      <c r="S43" s="81" t="str">
        <f t="shared" ca="1" si="67"/>
        <v>C</v>
      </c>
      <c r="T43" s="81" t="str">
        <f t="shared" ca="1" si="68"/>
        <v>F</v>
      </c>
      <c r="W43" s="82" t="str">
        <f t="shared" si="69"/>
        <v>FIORENTINA</v>
      </c>
      <c r="X43" s="83" t="str">
        <f t="shared" si="70"/>
        <v>BOLOGNA</v>
      </c>
      <c r="Z43" s="408" t="s">
        <v>1576</v>
      </c>
      <c r="AA43" t="str">
        <f t="shared" si="71"/>
        <v>FIORENTINA</v>
      </c>
      <c r="AB43" t="str">
        <f t="shared" si="72"/>
        <v>BOLOGNA</v>
      </c>
    </row>
    <row r="44" spans="1:28" ht="15">
      <c r="W44" s="82" t="str">
        <f t="shared" si="69"/>
        <v>GENOA</v>
      </c>
      <c r="X44" s="83" t="str">
        <f t="shared" si="70"/>
        <v>LAZIO</v>
      </c>
      <c r="Z44" s="408" t="s">
        <v>1579</v>
      </c>
      <c r="AA44" t="str">
        <f t="shared" si="71"/>
        <v>GENOA</v>
      </c>
      <c r="AB44" t="str">
        <f t="shared" si="72"/>
        <v>LAZIO</v>
      </c>
    </row>
    <row r="45" spans="1:28" ht="27.75" customHeight="1">
      <c r="A45" s="560" t="s">
        <v>754</v>
      </c>
      <c r="B45" s="560"/>
      <c r="C45" s="560"/>
      <c r="D45" s="560"/>
      <c r="E45" s="560"/>
      <c r="F45" s="560"/>
      <c r="G45" s="560"/>
      <c r="H45" s="560"/>
      <c r="I45" s="560"/>
      <c r="J45" s="560"/>
      <c r="K45" s="560"/>
      <c r="L45" s="560"/>
      <c r="M45" s="560"/>
      <c r="N45" s="560"/>
      <c r="O45" s="560"/>
      <c r="P45" s="560"/>
      <c r="Q45" s="560"/>
      <c r="R45" s="560"/>
      <c r="S45" s="560"/>
      <c r="T45" s="560"/>
      <c r="W45" s="82" t="str">
        <f t="shared" si="69"/>
        <v>MILAN</v>
      </c>
      <c r="X45" s="83" t="str">
        <f t="shared" si="70"/>
        <v>UDINESE</v>
      </c>
      <c r="Z45" s="408" t="s">
        <v>1582</v>
      </c>
      <c r="AA45" t="str">
        <f t="shared" si="71"/>
        <v>MILAN</v>
      </c>
      <c r="AB45" t="str">
        <f t="shared" si="72"/>
        <v>UDINESE</v>
      </c>
    </row>
    <row r="46" spans="1:28" ht="15">
      <c r="A46" s="341" t="s">
        <v>1478</v>
      </c>
      <c r="B46" s="81" t="str">
        <f t="shared" ref="B46:B53" ca="1" si="73">IF(ISNA(VLOOKUP($A46,INDIRECT(ADDRESS(MATCH("Giornata "&amp;$B$3,$W$1:$W$230,0)+1,23,1,1)&amp;":"&amp;ADDRESS(MATCH("Giornata "&amp;$B$3,$W$1:$W$230,0)+11,23,1,1)),1,FALSE)),"F","C")</f>
        <v>C</v>
      </c>
      <c r="C46" s="81" t="str">
        <f t="shared" ref="C46:C53" ca="1" si="74">IF(ISNA(VLOOKUP($A46,INDIRECT(ADDRESS(MATCH("Giornata "&amp;$C$3,$W$1:$W$230,0)+1,23,1,1)&amp;":"&amp;ADDRESS(MATCH("Giornata "&amp;$C$3,$W$1:$W$230,0)+11,23,1,1)),1,FALSE)),"F","C")</f>
        <v>F</v>
      </c>
      <c r="D46" s="81" t="str">
        <f t="shared" ref="D46:D53" ca="1" si="75">IF(ISNA(VLOOKUP($A46,INDIRECT(ADDRESS(MATCH("Giornata "&amp;$D$3,$W$1:$W$230,0)+1,23,1,1)&amp;":"&amp;ADDRESS(MATCH("Giornata "&amp;$D$3,$W$1:$W$230,0)+11,23,1,1)),1,FALSE)),"F","C")</f>
        <v>C</v>
      </c>
      <c r="E46" s="81" t="str">
        <f t="shared" ref="E46:E53" ca="1" si="76">IF(ISNA(VLOOKUP($A46,INDIRECT(ADDRESS(MATCH("Giornata "&amp;$E$3,$W$1:$W$230,0)+1,23,1,1)&amp;":"&amp;ADDRESS(MATCH("Giornata "&amp;$E$3,$W$1:$W$230,0)+11,23,1,1)),1,FALSE)),"F","C")</f>
        <v>F</v>
      </c>
      <c r="F46" s="81" t="str">
        <f t="shared" ref="F46:F53" ca="1" si="77">IF(ISNA(VLOOKUP($A46,INDIRECT(ADDRESS(MATCH("Giornata "&amp;$F$3,$W$1:$W$230,0)+1,23,1,1)&amp;":"&amp;ADDRESS(MATCH("Giornata "&amp;$F$3,$W$1:$W$230,0)+11,23,1,1)),1,FALSE)),"F","C")</f>
        <v>C</v>
      </c>
      <c r="G46" s="81" t="str">
        <f t="shared" ref="G46:G53" ca="1" si="78">IF(ISNA(VLOOKUP($A46,INDIRECT(ADDRESS(MATCH("Giornata "&amp;$G$3,$W$1:$W$230,0)+1,23,1,1)&amp;":"&amp;ADDRESS(MATCH("Giornata "&amp;$G$3,$W$1:$W$230,0)+11,23,1,1)),1,FALSE)),"F","C")</f>
        <v>C</v>
      </c>
      <c r="H46" s="81" t="str">
        <f t="shared" ref="H46:H53" ca="1" si="79">IF(ISNA(VLOOKUP($A46,INDIRECT(ADDRESS(MATCH("Giornata "&amp;$H$3,$W$1:$W$230,0)+1,23,1,1)&amp;":"&amp;ADDRESS(MATCH("Giornata "&amp;$H$3,$W$1:$W$230,0)+11,23,1,1)),1,FALSE)),"F","C")</f>
        <v>F</v>
      </c>
      <c r="I46" s="81" t="str">
        <f t="shared" ref="I46:I53" ca="1" si="80">IF(ISNA(VLOOKUP($A46,INDIRECT(ADDRESS(MATCH("Giornata "&amp;$I$3,$W$1:$W$230,0)+1,23,1,1)&amp;":"&amp;ADDRESS(MATCH("Giornata "&amp;$I$3,$W$1:$W$230,0)+11,23,1,1)),1,FALSE)),"F","C")</f>
        <v>C</v>
      </c>
      <c r="J46" s="81" t="str">
        <f t="shared" ref="J46:J53" ca="1" si="81">IF(ISNA(VLOOKUP($A46,INDIRECT(ADDRESS(MATCH("Giornata "&amp;$J$3,$W$1:$W$230,0)+1,23,1,1)&amp;":"&amp;ADDRESS(MATCH("Giornata "&amp;$J$3,$W$1:$W$230,0)+11,23,1,1)),1,FALSE)),"F","C")</f>
        <v>F</v>
      </c>
      <c r="K46" s="81" t="str">
        <f t="shared" ref="K46:K53" ca="1" si="82">IF(ISNA(VLOOKUP($A46,INDIRECT(ADDRESS(MATCH("Giornata "&amp;$K$3,$W$1:$W$230,0)+1,23,1,1)&amp;":"&amp;ADDRESS(MATCH("Giornata "&amp;$K$3,$W$1:$W$230,0)+11,23,1,1)),1,FALSE)),"F","C")</f>
        <v>F</v>
      </c>
      <c r="L46" s="81" t="str">
        <f t="shared" ref="L46:L53" ca="1" si="83">IF(ISNA(VLOOKUP($A46,INDIRECT(ADDRESS(MATCH("Giornata "&amp;$L$3,$W$1:$W$230,0)+1,23,1,1)&amp;":"&amp;ADDRESS(MATCH("Giornata "&amp;$L$3,$W$1:$W$230,0)+11,23,1,1)),1,FALSE)),"F","C")</f>
        <v>C</v>
      </c>
      <c r="M46" s="81" t="str">
        <f t="shared" ref="M46:M53" ca="1" si="84">IF(ISNA(VLOOKUP($A46,INDIRECT(ADDRESS(MATCH("Giornata "&amp;$M$3,$W$1:$W$230,0)+1,23,1,1)&amp;":"&amp;ADDRESS(MATCH("Giornata "&amp;$M$3,$W$1:$W$230,0)+11,23,1,1)),1,FALSE)),"F","C")</f>
        <v>F</v>
      </c>
      <c r="N46" s="81" t="str">
        <f t="shared" ref="N46:N53" ca="1" si="85">IF(ISNA(VLOOKUP($A46,INDIRECT(ADDRESS(MATCH("Giornata "&amp;$N$3,$W$1:$W$230,0)+1,23,1,1)&amp;":"&amp;ADDRESS(MATCH("Giornata "&amp;$N$3,$W$1:$W$230,0)+11,23,1,1)),1,FALSE)),"F","C")</f>
        <v>C</v>
      </c>
      <c r="O46" s="81" t="str">
        <f t="shared" ref="O46:O53" ca="1" si="86">IF(ISNA(VLOOKUP($A46,INDIRECT(ADDRESS(MATCH("Giornata "&amp;$O$3,$W$1:$W$230,0)+1,23,1,1)&amp;":"&amp;ADDRESS(MATCH("Giornata "&amp;$O$3,$W$1:$W$230,0)+11,23,1,1)),1,FALSE)),"F","C")</f>
        <v>F</v>
      </c>
      <c r="P46" s="81" t="str">
        <f t="shared" ref="P46:P53" ca="1" si="87">IF(ISNA(VLOOKUP($A46,INDIRECT(ADDRESS(MATCH("Giornata "&amp;$P$3,$W$1:$W$230,0)+1,23,1,1)&amp;":"&amp;ADDRESS(MATCH("Giornata "&amp;$P$3,$W$1:$W$230,0)+11,23,1,1)),1,FALSE)),"F","C")</f>
        <v>C</v>
      </c>
      <c r="Q46" s="81" t="str">
        <f t="shared" ref="Q46:Q53" ca="1" si="88">IF(ISNA(VLOOKUP($A46,INDIRECT(ADDRESS(MATCH("Giornata "&amp;$Q$3,$W$1:$W$230,0)+1,23,1,1)&amp;":"&amp;ADDRESS(MATCH("Giornata "&amp;$Q$3,$W$1:$W$230,0)+11,23,1,1)),1,FALSE)),"F","C")</f>
        <v>F</v>
      </c>
      <c r="R46" s="81" t="str">
        <f t="shared" ref="R46:R53" ca="1" si="89">IF(ISNA(VLOOKUP($A46,INDIRECT(ADDRESS(MATCH("Giornata "&amp;$R$3,$W$1:$W$230,0)+1,23,1,1)&amp;":"&amp;ADDRESS(MATCH("Giornata "&amp;$R$3,$W$1:$W$230,0)+11,23,1,1)),1,FALSE)),"F","C")</f>
        <v>C</v>
      </c>
      <c r="S46" s="81" t="str">
        <f t="shared" ref="S46:S53" ca="1" si="90">IF(ISNA(VLOOKUP($A46,INDIRECT(ADDRESS(MATCH("Giornata "&amp;$S$3,$W$1:$W$230,0)+1,23,1,1)&amp;":"&amp;ADDRESS(MATCH("Giornata "&amp;$S$3,$W$1:$W$230,0)+11,23,1,1)),1,FALSE)),"F","C")</f>
        <v>F</v>
      </c>
      <c r="T46" s="81" t="str">
        <f t="shared" ref="T46:T53" ca="1" si="91">IF(ISNA(VLOOKUP($A46,INDIRECT(ADDRESS(MATCH("Giornata "&amp;$T$3,$W$1:$W$230,0)+1,23,1,1)&amp;":"&amp;ADDRESS(MATCH("Giornata "&amp;$T$3,$W$1:$W$230,0)+11,23,1,1)),1,FALSE)),"F","C")</f>
        <v>C</v>
      </c>
      <c r="W46" s="82" t="str">
        <f t="shared" si="69"/>
        <v>NAPOLI</v>
      </c>
      <c r="X46" s="83" t="str">
        <f t="shared" si="70"/>
        <v>BENEVENTO</v>
      </c>
      <c r="Z46" s="408" t="s">
        <v>1585</v>
      </c>
      <c r="AA46" t="str">
        <f t="shared" si="71"/>
        <v>NAPOLI</v>
      </c>
      <c r="AB46" t="str">
        <f t="shared" si="72"/>
        <v>BENEVENTO</v>
      </c>
    </row>
    <row r="47" spans="1:28" ht="15">
      <c r="A47" s="341" t="s">
        <v>748</v>
      </c>
      <c r="B47" s="81" t="str">
        <f t="shared" ca="1" si="73"/>
        <v>C</v>
      </c>
      <c r="C47" s="81" t="str">
        <f t="shared" ca="1" si="74"/>
        <v>F</v>
      </c>
      <c r="D47" s="81" t="str">
        <f t="shared" ca="1" si="75"/>
        <v>F</v>
      </c>
      <c r="E47" s="81" t="str">
        <f t="shared" ca="1" si="76"/>
        <v>C</v>
      </c>
      <c r="F47" s="81" t="str">
        <f t="shared" ca="1" si="77"/>
        <v>F</v>
      </c>
      <c r="G47" s="81" t="str">
        <f t="shared" ca="1" si="78"/>
        <v>C</v>
      </c>
      <c r="H47" s="81" t="str">
        <f t="shared" ca="1" si="79"/>
        <v>F</v>
      </c>
      <c r="I47" s="81" t="str">
        <f t="shared" ca="1" si="80"/>
        <v>C</v>
      </c>
      <c r="J47" s="81" t="str">
        <f t="shared" ca="1" si="81"/>
        <v>F</v>
      </c>
      <c r="K47" s="81" t="str">
        <f t="shared" ca="1" si="82"/>
        <v>C</v>
      </c>
      <c r="L47" s="81" t="str">
        <f t="shared" ca="1" si="83"/>
        <v>F</v>
      </c>
      <c r="M47" s="81" t="str">
        <f t="shared" ca="1" si="84"/>
        <v>C</v>
      </c>
      <c r="N47" s="81" t="str">
        <f t="shared" ca="1" si="85"/>
        <v>F</v>
      </c>
      <c r="O47" s="81" t="str">
        <f t="shared" ca="1" si="86"/>
        <v>C</v>
      </c>
      <c r="P47" s="81" t="str">
        <f t="shared" ca="1" si="87"/>
        <v>F</v>
      </c>
      <c r="Q47" s="81" t="str">
        <f t="shared" ca="1" si="88"/>
        <v>C</v>
      </c>
      <c r="R47" s="81" t="str">
        <f t="shared" ca="1" si="89"/>
        <v>F</v>
      </c>
      <c r="S47" s="81" t="str">
        <f t="shared" ca="1" si="90"/>
        <v>C</v>
      </c>
      <c r="T47" s="81" t="str">
        <f t="shared" ca="1" si="91"/>
        <v>F</v>
      </c>
      <c r="W47" s="82" t="str">
        <f t="shared" si="69"/>
        <v>ROMA</v>
      </c>
      <c r="X47" s="83" t="str">
        <f t="shared" si="70"/>
        <v>VERONA</v>
      </c>
      <c r="Z47" s="408" t="s">
        <v>1588</v>
      </c>
      <c r="AA47" t="str">
        <f t="shared" si="71"/>
        <v>ROMA</v>
      </c>
      <c r="AB47" t="str">
        <f t="shared" si="72"/>
        <v>VERONA</v>
      </c>
    </row>
    <row r="48" spans="1:28" ht="15">
      <c r="A48" s="341" t="s">
        <v>751</v>
      </c>
      <c r="B48" s="81" t="str">
        <f t="shared" ca="1" si="73"/>
        <v>C</v>
      </c>
      <c r="C48" s="81" t="str">
        <f t="shared" ca="1" si="74"/>
        <v>F</v>
      </c>
      <c r="D48" s="81" t="str">
        <f t="shared" ca="1" si="75"/>
        <v>C</v>
      </c>
      <c r="E48" s="81" t="str">
        <f t="shared" ca="1" si="76"/>
        <v>F</v>
      </c>
      <c r="F48" s="81" t="str">
        <f t="shared" ca="1" si="77"/>
        <v>C</v>
      </c>
      <c r="G48" s="81" t="str">
        <f t="shared" ca="1" si="78"/>
        <v>F</v>
      </c>
      <c r="H48" s="81" t="str">
        <f t="shared" ca="1" si="79"/>
        <v>C</v>
      </c>
      <c r="I48" s="81" t="str">
        <f t="shared" ca="1" si="80"/>
        <v>F</v>
      </c>
      <c r="J48" s="81" t="str">
        <f t="shared" ca="1" si="81"/>
        <v>C</v>
      </c>
      <c r="K48" s="81" t="str">
        <f t="shared" ca="1" si="82"/>
        <v>F</v>
      </c>
      <c r="L48" s="81" t="str">
        <f t="shared" ca="1" si="83"/>
        <v>C</v>
      </c>
      <c r="M48" s="81" t="str">
        <f t="shared" ca="1" si="84"/>
        <v>F</v>
      </c>
      <c r="N48" s="81" t="str">
        <f t="shared" ca="1" si="85"/>
        <v>C</v>
      </c>
      <c r="O48" s="81" t="str">
        <f t="shared" ca="1" si="86"/>
        <v>C</v>
      </c>
      <c r="P48" s="81" t="str">
        <f t="shared" ca="1" si="87"/>
        <v>F</v>
      </c>
      <c r="Q48" s="81" t="str">
        <f t="shared" ca="1" si="88"/>
        <v>C</v>
      </c>
      <c r="R48" s="81" t="str">
        <f t="shared" ca="1" si="89"/>
        <v>F</v>
      </c>
      <c r="S48" s="81" t="str">
        <f t="shared" ca="1" si="90"/>
        <v>C</v>
      </c>
      <c r="T48" s="81" t="str">
        <f t="shared" ca="1" si="91"/>
        <v>F</v>
      </c>
      <c r="W48" s="82" t="str">
        <f t="shared" si="69"/>
        <v>SASSUOLO</v>
      </c>
      <c r="X48" s="83" t="str">
        <f t="shared" si="70"/>
        <v>JUVENTUS</v>
      </c>
      <c r="Z48" s="408" t="s">
        <v>1591</v>
      </c>
      <c r="AA48" t="str">
        <f t="shared" si="71"/>
        <v>SASSUOLO</v>
      </c>
      <c r="AB48" t="str">
        <f t="shared" si="72"/>
        <v>JUVENTUS</v>
      </c>
    </row>
    <row r="49" spans="1:28" ht="15">
      <c r="A49" s="341" t="s">
        <v>742</v>
      </c>
      <c r="B49" s="81" t="str">
        <f t="shared" ca="1" si="73"/>
        <v>C</v>
      </c>
      <c r="C49" s="81" t="str">
        <f t="shared" ca="1" si="74"/>
        <v>F</v>
      </c>
      <c r="D49" s="81" t="str">
        <f t="shared" ca="1" si="75"/>
        <v>C</v>
      </c>
      <c r="E49" s="81" t="str">
        <f t="shared" ca="1" si="76"/>
        <v>F</v>
      </c>
      <c r="F49" s="81" t="str">
        <f t="shared" ca="1" si="77"/>
        <v>F</v>
      </c>
      <c r="G49" s="81" t="str">
        <f t="shared" ca="1" si="78"/>
        <v>C</v>
      </c>
      <c r="H49" s="81" t="str">
        <f t="shared" ca="1" si="79"/>
        <v>F</v>
      </c>
      <c r="I49" s="81" t="str">
        <f t="shared" ca="1" si="80"/>
        <v>C</v>
      </c>
      <c r="J49" s="81" t="str">
        <f t="shared" ca="1" si="81"/>
        <v>C</v>
      </c>
      <c r="K49" s="81" t="str">
        <f t="shared" ca="1" si="82"/>
        <v>F</v>
      </c>
      <c r="L49" s="81" t="str">
        <f t="shared" ca="1" si="83"/>
        <v>C</v>
      </c>
      <c r="M49" s="81" t="str">
        <f t="shared" ca="1" si="84"/>
        <v>F</v>
      </c>
      <c r="N49" s="81" t="str">
        <f t="shared" ca="1" si="85"/>
        <v>C</v>
      </c>
      <c r="O49" s="81" t="str">
        <f t="shared" ca="1" si="86"/>
        <v>F</v>
      </c>
      <c r="P49" s="81" t="str">
        <f t="shared" ca="1" si="87"/>
        <v>C</v>
      </c>
      <c r="Q49" s="81" t="str">
        <f t="shared" ca="1" si="88"/>
        <v>F</v>
      </c>
      <c r="R49" s="81" t="str">
        <f t="shared" ca="1" si="89"/>
        <v>C</v>
      </c>
      <c r="S49" s="81" t="str">
        <f t="shared" ca="1" si="90"/>
        <v>F</v>
      </c>
      <c r="T49" s="81" t="str">
        <f t="shared" ca="1" si="91"/>
        <v>C</v>
      </c>
      <c r="W49" s="82" t="str">
        <f t="shared" si="69"/>
        <v>SPAL</v>
      </c>
      <c r="X49" s="83" t="str">
        <f t="shared" si="70"/>
        <v>CAGLIARI</v>
      </c>
      <c r="Z49" s="408" t="s">
        <v>1594</v>
      </c>
      <c r="AA49" t="str">
        <f t="shared" si="71"/>
        <v>SPAL</v>
      </c>
      <c r="AB49" t="str">
        <f t="shared" si="72"/>
        <v>CAGLIARI</v>
      </c>
    </row>
    <row r="50" spans="1:28" ht="15">
      <c r="A50" s="341" t="s">
        <v>740</v>
      </c>
      <c r="B50" s="81" t="str">
        <f t="shared" ca="1" si="73"/>
        <v>F</v>
      </c>
      <c r="C50" s="81" t="str">
        <f t="shared" ca="1" si="74"/>
        <v>C</v>
      </c>
      <c r="D50" s="81" t="str">
        <f t="shared" ca="1" si="75"/>
        <v>F</v>
      </c>
      <c r="E50" s="81" t="str">
        <f t="shared" ca="1" si="76"/>
        <v>C</v>
      </c>
      <c r="F50" s="81" t="str">
        <f t="shared" ca="1" si="77"/>
        <v>F</v>
      </c>
      <c r="G50" s="81" t="str">
        <f t="shared" ca="1" si="78"/>
        <v>F</v>
      </c>
      <c r="H50" s="81" t="str">
        <f t="shared" ca="1" si="79"/>
        <v>C</v>
      </c>
      <c r="I50" s="81" t="str">
        <f t="shared" ca="1" si="80"/>
        <v>F</v>
      </c>
      <c r="J50" s="81" t="str">
        <f t="shared" ca="1" si="81"/>
        <v>C</v>
      </c>
      <c r="K50" s="81" t="str">
        <f t="shared" ca="1" si="82"/>
        <v>C</v>
      </c>
      <c r="L50" s="81" t="str">
        <f t="shared" ca="1" si="83"/>
        <v>F</v>
      </c>
      <c r="M50" s="81" t="str">
        <f t="shared" ca="1" si="84"/>
        <v>C</v>
      </c>
      <c r="N50" s="81" t="str">
        <f t="shared" ca="1" si="85"/>
        <v>F</v>
      </c>
      <c r="O50" s="81" t="str">
        <f t="shared" ca="1" si="86"/>
        <v>C</v>
      </c>
      <c r="P50" s="81" t="str">
        <f t="shared" ca="1" si="87"/>
        <v>F</v>
      </c>
      <c r="Q50" s="81" t="str">
        <f t="shared" ca="1" si="88"/>
        <v>C</v>
      </c>
      <c r="R50" s="81" t="str">
        <f t="shared" ca="1" si="89"/>
        <v>F</v>
      </c>
      <c r="S50" s="81" t="str">
        <f t="shared" ca="1" si="90"/>
        <v>C</v>
      </c>
      <c r="T50" s="81" t="str">
        <f t="shared" ca="1" si="91"/>
        <v>F</v>
      </c>
      <c r="W50" s="82" t="str">
        <f t="shared" si="69"/>
        <v>TORINO</v>
      </c>
      <c r="X50" s="83" t="str">
        <f t="shared" si="70"/>
        <v>SAMPDORIA</v>
      </c>
      <c r="Z50" s="408" t="s">
        <v>1597</v>
      </c>
      <c r="AA50" t="str">
        <f t="shared" si="71"/>
        <v>TORINO</v>
      </c>
      <c r="AB50" t="str">
        <f t="shared" si="72"/>
        <v>SAMPDORIA</v>
      </c>
    </row>
    <row r="51" spans="1:28" ht="15">
      <c r="A51" s="341" t="s">
        <v>744</v>
      </c>
      <c r="B51" s="81" t="str">
        <f t="shared" ca="1" si="73"/>
        <v>F</v>
      </c>
      <c r="C51" s="81" t="str">
        <f t="shared" ca="1" si="74"/>
        <v>C</v>
      </c>
      <c r="D51" s="81" t="str">
        <f t="shared" ca="1" si="75"/>
        <v>F</v>
      </c>
      <c r="E51" s="81" t="str">
        <f t="shared" ca="1" si="76"/>
        <v>C</v>
      </c>
      <c r="F51" s="81" t="str">
        <f t="shared" ca="1" si="77"/>
        <v>F</v>
      </c>
      <c r="G51" s="81" t="str">
        <f t="shared" ca="1" si="78"/>
        <v>C</v>
      </c>
      <c r="H51" s="81" t="str">
        <f t="shared" ca="1" si="79"/>
        <v>F</v>
      </c>
      <c r="I51" s="81" t="str">
        <f t="shared" ca="1" si="80"/>
        <v>C</v>
      </c>
      <c r="J51" s="81" t="str">
        <f t="shared" ca="1" si="81"/>
        <v>F</v>
      </c>
      <c r="K51" s="81" t="str">
        <f t="shared" ca="1" si="82"/>
        <v>C</v>
      </c>
      <c r="L51" s="81" t="str">
        <f t="shared" ca="1" si="83"/>
        <v>F</v>
      </c>
      <c r="M51" s="81" t="str">
        <f t="shared" ca="1" si="84"/>
        <v>C</v>
      </c>
      <c r="N51" s="81" t="str">
        <f t="shared" ca="1" si="85"/>
        <v>F</v>
      </c>
      <c r="O51" s="81" t="str">
        <f t="shared" ca="1" si="86"/>
        <v>F</v>
      </c>
      <c r="P51" s="81" t="str">
        <f t="shared" ca="1" si="87"/>
        <v>C</v>
      </c>
      <c r="Q51" s="81" t="str">
        <f t="shared" ca="1" si="88"/>
        <v>F</v>
      </c>
      <c r="R51" s="81" t="str">
        <f t="shared" ca="1" si="89"/>
        <v>C</v>
      </c>
      <c r="S51" s="81" t="str">
        <f t="shared" ca="1" si="90"/>
        <v>F</v>
      </c>
      <c r="T51" s="81" t="str">
        <f t="shared" ca="1" si="91"/>
        <v>C</v>
      </c>
      <c r="W51" s="83"/>
      <c r="X51" s="83"/>
      <c r="Z51" s="411"/>
    </row>
    <row r="52" spans="1:28" ht="15">
      <c r="A52" s="341" t="s">
        <v>1476</v>
      </c>
      <c r="B52" s="81" t="str">
        <f t="shared" ca="1" si="73"/>
        <v>F</v>
      </c>
      <c r="C52" s="81" t="str">
        <f t="shared" ca="1" si="74"/>
        <v>C</v>
      </c>
      <c r="D52" s="81" t="str">
        <f t="shared" ca="1" si="75"/>
        <v>C</v>
      </c>
      <c r="E52" s="81" t="str">
        <f t="shared" ca="1" si="76"/>
        <v>F</v>
      </c>
      <c r="F52" s="81" t="str">
        <f t="shared" ca="1" si="77"/>
        <v>C</v>
      </c>
      <c r="G52" s="81" t="str">
        <f t="shared" ca="1" si="78"/>
        <v>F</v>
      </c>
      <c r="H52" s="81" t="str">
        <f t="shared" ca="1" si="79"/>
        <v>C</v>
      </c>
      <c r="I52" s="81" t="str">
        <f t="shared" ca="1" si="80"/>
        <v>F</v>
      </c>
      <c r="J52" s="81" t="str">
        <f t="shared" ca="1" si="81"/>
        <v>C</v>
      </c>
      <c r="K52" s="81" t="str">
        <f t="shared" ca="1" si="82"/>
        <v>F</v>
      </c>
      <c r="L52" s="81" t="str">
        <f t="shared" ca="1" si="83"/>
        <v>C</v>
      </c>
      <c r="M52" s="81" t="str">
        <f t="shared" ca="1" si="84"/>
        <v>F</v>
      </c>
      <c r="N52" s="81" t="str">
        <f t="shared" ca="1" si="85"/>
        <v>C</v>
      </c>
      <c r="O52" s="81" t="str">
        <f t="shared" ca="1" si="86"/>
        <v>F</v>
      </c>
      <c r="P52" s="81" t="str">
        <f t="shared" ca="1" si="87"/>
        <v>C</v>
      </c>
      <c r="Q52" s="81" t="str">
        <f t="shared" ca="1" si="88"/>
        <v>F</v>
      </c>
      <c r="R52" s="81" t="str">
        <f t="shared" ca="1" si="89"/>
        <v>C</v>
      </c>
      <c r="S52" s="81" t="str">
        <f t="shared" ca="1" si="90"/>
        <v>F</v>
      </c>
      <c r="T52" s="81" t="str">
        <f t="shared" ca="1" si="91"/>
        <v>C</v>
      </c>
      <c r="W52" s="82" t="str">
        <f>AA52</f>
        <v>Giornata 5</v>
      </c>
      <c r="X52" s="82"/>
      <c r="Z52" s="411">
        <v>5</v>
      </c>
      <c r="AA52" t="str">
        <f>"Giornata " &amp; Z52</f>
        <v>Giornata 5</v>
      </c>
    </row>
    <row r="53" spans="1:28" ht="15">
      <c r="A53" s="341" t="s">
        <v>1477</v>
      </c>
      <c r="B53" s="81" t="str">
        <f t="shared" ca="1" si="73"/>
        <v>F</v>
      </c>
      <c r="C53" s="81" t="str">
        <f t="shared" ca="1" si="74"/>
        <v>C</v>
      </c>
      <c r="D53" s="81" t="str">
        <f t="shared" ca="1" si="75"/>
        <v>F</v>
      </c>
      <c r="E53" s="81" t="str">
        <f t="shared" ca="1" si="76"/>
        <v>C</v>
      </c>
      <c r="F53" s="81" t="str">
        <f t="shared" ca="1" si="77"/>
        <v>F</v>
      </c>
      <c r="G53" s="81" t="str">
        <f t="shared" ca="1" si="78"/>
        <v>C</v>
      </c>
      <c r="H53" s="81" t="str">
        <f t="shared" ca="1" si="79"/>
        <v>C</v>
      </c>
      <c r="I53" s="81" t="str">
        <f t="shared" ca="1" si="80"/>
        <v>F</v>
      </c>
      <c r="J53" s="81" t="str">
        <f t="shared" ca="1" si="81"/>
        <v>C</v>
      </c>
      <c r="K53" s="81" t="str">
        <f t="shared" ca="1" si="82"/>
        <v>F</v>
      </c>
      <c r="L53" s="81" t="str">
        <f t="shared" ca="1" si="83"/>
        <v>C</v>
      </c>
      <c r="M53" s="81" t="str">
        <f t="shared" ca="1" si="84"/>
        <v>F</v>
      </c>
      <c r="N53" s="81" t="str">
        <f t="shared" ca="1" si="85"/>
        <v>C</v>
      </c>
      <c r="O53" s="81" t="str">
        <f t="shared" ca="1" si="86"/>
        <v>F</v>
      </c>
      <c r="P53" s="81" t="str">
        <f t="shared" ca="1" si="87"/>
        <v>F</v>
      </c>
      <c r="Q53" s="81" t="str">
        <f t="shared" ca="1" si="88"/>
        <v>C</v>
      </c>
      <c r="R53" s="81" t="str">
        <f t="shared" ca="1" si="89"/>
        <v>F</v>
      </c>
      <c r="S53" s="81" t="str">
        <f t="shared" ca="1" si="90"/>
        <v>C</v>
      </c>
      <c r="T53" s="81" t="str">
        <f t="shared" ca="1" si="91"/>
        <v>F</v>
      </c>
      <c r="W53" s="82" t="str">
        <f t="shared" ref="W53:W62" si="92">AA53</f>
        <v>ATALANTA</v>
      </c>
      <c r="X53" s="83" t="str">
        <f>AB53</f>
        <v>CROTONE</v>
      </c>
      <c r="Z53" s="408" t="s">
        <v>1600</v>
      </c>
      <c r="AA53" t="str">
        <f>MID(Z53,1,FIND("-",Z53)-2)</f>
        <v>ATALANTA</v>
      </c>
      <c r="AB53" t="str">
        <f>MID(Z53,FIND("-",Z53)+2,30)</f>
        <v>CROTONE</v>
      </c>
    </row>
    <row r="54" spans="1:28" ht="15">
      <c r="W54" s="82" t="str">
        <f t="shared" si="92"/>
        <v>BENEVENTO</v>
      </c>
      <c r="X54" s="83" t="str">
        <f t="shared" ref="X54:X62" si="93">AB54</f>
        <v>ROMA</v>
      </c>
      <c r="Z54" s="408" t="s">
        <v>1603</v>
      </c>
      <c r="AA54" t="str">
        <f t="shared" ref="AA54:AA62" si="94">MID(Z54,1,FIND("-",Z54)-2)</f>
        <v>BENEVENTO</v>
      </c>
      <c r="AB54" t="str">
        <f t="shared" ref="AB54:AB62" si="95">MID(Z54,FIND("-",Z54)+2,30)</f>
        <v>ROMA</v>
      </c>
    </row>
    <row r="55" spans="1:28" ht="27.75" hidden="1" customHeight="1">
      <c r="A55" s="560" t="s">
        <v>755</v>
      </c>
      <c r="B55" s="560"/>
      <c r="C55" s="560"/>
      <c r="D55" s="560"/>
      <c r="E55" s="560"/>
      <c r="F55" s="560"/>
      <c r="G55" s="560"/>
      <c r="H55" s="560"/>
      <c r="I55" s="560"/>
      <c r="J55" s="560"/>
      <c r="K55" s="560"/>
      <c r="L55" s="560"/>
      <c r="M55" s="560"/>
      <c r="N55" s="560"/>
      <c r="O55" s="560"/>
      <c r="P55" s="560"/>
      <c r="Q55" s="560"/>
      <c r="R55" s="560"/>
      <c r="S55" s="560"/>
      <c r="T55" s="560"/>
      <c r="W55" s="82" t="str">
        <f t="shared" si="92"/>
        <v>BOLOGNA</v>
      </c>
      <c r="X55" s="83" t="str">
        <f t="shared" si="93"/>
        <v>INTER</v>
      </c>
      <c r="Z55" s="408" t="s">
        <v>1606</v>
      </c>
      <c r="AA55" t="str">
        <f t="shared" si="94"/>
        <v>BOLOGNA</v>
      </c>
      <c r="AB55" t="str">
        <f t="shared" si="95"/>
        <v>INTER</v>
      </c>
    </row>
    <row r="56" spans="1:28" ht="15" hidden="1">
      <c r="A56" s="341"/>
      <c r="B56" s="81" t="str">
        <f t="shared" ref="B56:B63" ca="1" si="96">IF(ISNA(VLOOKUP($A56,INDIRECT(ADDRESS(MATCH("Giornata "&amp;$B$3,$W$1:$W$230,0)+1,23,1,1)&amp;":"&amp;ADDRESS(MATCH("Giornata "&amp;$B$3,$W$1:$W$230,0)+11,23,1,1)),1,FALSE)),"F","C")</f>
        <v>F</v>
      </c>
      <c r="C56" s="81" t="str">
        <f t="shared" ref="C56:C63" ca="1" si="97">IF(ISNA(VLOOKUP($A56,INDIRECT(ADDRESS(MATCH("Giornata "&amp;$C$3,$W$1:$W$230,0)+1,23,1,1)&amp;":"&amp;ADDRESS(MATCH("Giornata "&amp;$C$3,$W$1:$W$230,0)+11,23,1,1)),1,FALSE)),"F","C")</f>
        <v>F</v>
      </c>
      <c r="D56" s="81" t="str">
        <f t="shared" ref="D56:D63" ca="1" si="98">IF(ISNA(VLOOKUP($A56,INDIRECT(ADDRESS(MATCH("Giornata "&amp;$D$3,$W$1:$W$230,0)+1,23,1,1)&amp;":"&amp;ADDRESS(MATCH("Giornata "&amp;$D$3,$W$1:$W$230,0)+11,23,1,1)),1,FALSE)),"F","C")</f>
        <v>F</v>
      </c>
      <c r="E56" s="81" t="str">
        <f t="shared" ref="E56:E63" ca="1" si="99">IF(ISNA(VLOOKUP($A56,INDIRECT(ADDRESS(MATCH("Giornata "&amp;$E$3,$W$1:$W$230,0)+1,23,1,1)&amp;":"&amp;ADDRESS(MATCH("Giornata "&amp;$E$3,$W$1:$W$230,0)+11,23,1,1)),1,FALSE)),"F","C")</f>
        <v>F</v>
      </c>
      <c r="F56" s="81" t="str">
        <f t="shared" ref="F56:F63" ca="1" si="100">IF(ISNA(VLOOKUP($A56,INDIRECT(ADDRESS(MATCH("Giornata "&amp;$F$3,$W$1:$W$230,0)+1,23,1,1)&amp;":"&amp;ADDRESS(MATCH("Giornata "&amp;$F$3,$W$1:$W$230,0)+11,23,1,1)),1,FALSE)),"F","C")</f>
        <v>F</v>
      </c>
      <c r="G56" s="81" t="str">
        <f t="shared" ref="G56:G63" ca="1" si="101">IF(ISNA(VLOOKUP($A56,INDIRECT(ADDRESS(MATCH("Giornata "&amp;$G$3,$W$1:$W$230,0)+1,23,1,1)&amp;":"&amp;ADDRESS(MATCH("Giornata "&amp;$G$3,$W$1:$W$230,0)+11,23,1,1)),1,FALSE)),"F","C")</f>
        <v>F</v>
      </c>
      <c r="H56" s="81" t="str">
        <f t="shared" ref="H56:H63" ca="1" si="102">IF(ISNA(VLOOKUP($A56,INDIRECT(ADDRESS(MATCH("Giornata "&amp;$H$3,$W$1:$W$230,0)+1,23,1,1)&amp;":"&amp;ADDRESS(MATCH("Giornata "&amp;$H$3,$W$1:$W$230,0)+11,23,1,1)),1,FALSE)),"F","C")</f>
        <v>F</v>
      </c>
      <c r="I56" s="81" t="str">
        <f t="shared" ref="I56:I63" ca="1" si="103">IF(ISNA(VLOOKUP($A56,INDIRECT(ADDRESS(MATCH("Giornata "&amp;$I$3,$W$1:$W$230,0)+1,23,1,1)&amp;":"&amp;ADDRESS(MATCH("Giornata "&amp;$I$3,$W$1:$W$230,0)+11,23,1,1)),1,FALSE)),"F","C")</f>
        <v>F</v>
      </c>
      <c r="J56" s="81" t="str">
        <f t="shared" ref="J56:J63" ca="1" si="104">IF(ISNA(VLOOKUP($A56,INDIRECT(ADDRESS(MATCH("Giornata "&amp;$J$3,$W$1:$W$230,0)+1,23,1,1)&amp;":"&amp;ADDRESS(MATCH("Giornata "&amp;$J$3,$W$1:$W$230,0)+11,23,1,1)),1,FALSE)),"F","C")</f>
        <v>F</v>
      </c>
      <c r="K56" s="81" t="str">
        <f t="shared" ref="K56:K63" ca="1" si="105">IF(ISNA(VLOOKUP($A56,INDIRECT(ADDRESS(MATCH("Giornata "&amp;$K$3,$W$1:$W$230,0)+1,23,1,1)&amp;":"&amp;ADDRESS(MATCH("Giornata "&amp;$K$3,$W$1:$W$230,0)+11,23,1,1)),1,FALSE)),"F","C")</f>
        <v>F</v>
      </c>
      <c r="L56" s="81" t="str">
        <f t="shared" ref="L56:L63" ca="1" si="106">IF(ISNA(VLOOKUP($A56,INDIRECT(ADDRESS(MATCH("Giornata "&amp;$L$3,$W$1:$W$230,0)+1,23,1,1)&amp;":"&amp;ADDRESS(MATCH("Giornata "&amp;$L$3,$W$1:$W$230,0)+11,23,1,1)),1,FALSE)),"F","C")</f>
        <v>F</v>
      </c>
      <c r="M56" s="81" t="str">
        <f t="shared" ref="M56:M63" ca="1" si="107">IF(ISNA(VLOOKUP($A56,INDIRECT(ADDRESS(MATCH("Giornata "&amp;$M$3,$W$1:$W$230,0)+1,23,1,1)&amp;":"&amp;ADDRESS(MATCH("Giornata "&amp;$M$3,$W$1:$W$230,0)+11,23,1,1)),1,FALSE)),"F","C")</f>
        <v>F</v>
      </c>
      <c r="N56" s="81" t="str">
        <f t="shared" ref="N56:N63" ca="1" si="108">IF(ISNA(VLOOKUP($A56,INDIRECT(ADDRESS(MATCH("Giornata "&amp;$N$3,$W$1:$W$230,0)+1,23,1,1)&amp;":"&amp;ADDRESS(MATCH("Giornata "&amp;$N$3,$W$1:$W$230,0)+11,23,1,1)),1,FALSE)),"F","C")</f>
        <v>F</v>
      </c>
      <c r="O56" s="81" t="str">
        <f t="shared" ref="O56:O63" ca="1" si="109">IF(ISNA(VLOOKUP($A56,INDIRECT(ADDRESS(MATCH("Giornata "&amp;$O$3,$W$1:$W$230,0)+1,23,1,1)&amp;":"&amp;ADDRESS(MATCH("Giornata "&amp;$O$3,$W$1:$W$230,0)+11,23,1,1)),1,FALSE)),"F","C")</f>
        <v>F</v>
      </c>
      <c r="P56" s="81" t="str">
        <f t="shared" ref="P56:P63" ca="1" si="110">IF(ISNA(VLOOKUP($A56,INDIRECT(ADDRESS(MATCH("Giornata "&amp;$P$3,$W$1:$W$230,0)+1,23,1,1)&amp;":"&amp;ADDRESS(MATCH("Giornata "&amp;$P$3,$W$1:$W$230,0)+11,23,1,1)),1,FALSE)),"F","C")</f>
        <v>F</v>
      </c>
      <c r="Q56" s="81" t="str">
        <f t="shared" ref="Q56:Q63" ca="1" si="111">IF(ISNA(VLOOKUP($A56,INDIRECT(ADDRESS(MATCH("Giornata "&amp;$Q$3,$W$1:$W$230,0)+1,23,1,1)&amp;":"&amp;ADDRESS(MATCH("Giornata "&amp;$Q$3,$W$1:$W$230,0)+11,23,1,1)),1,FALSE)),"F","C")</f>
        <v>F</v>
      </c>
      <c r="R56" s="81" t="str">
        <f t="shared" ref="R56:R63" ca="1" si="112">IF(ISNA(VLOOKUP($A56,INDIRECT(ADDRESS(MATCH("Giornata "&amp;$R$3,$W$1:$W$230,0)+1,23,1,1)&amp;":"&amp;ADDRESS(MATCH("Giornata "&amp;$R$3,$W$1:$W$230,0)+11,23,1,1)),1,FALSE)),"F","C")</f>
        <v>F</v>
      </c>
      <c r="S56" s="81" t="str">
        <f t="shared" ref="S56:S63" ca="1" si="113">IF(ISNA(VLOOKUP($A56,INDIRECT(ADDRESS(MATCH("Giornata "&amp;$S$3,$W$1:$W$230,0)+1,23,1,1)&amp;":"&amp;ADDRESS(MATCH("Giornata "&amp;$S$3,$W$1:$W$230,0)+11,23,1,1)),1,FALSE)),"F","C")</f>
        <v>F</v>
      </c>
      <c r="T56" s="81" t="str">
        <f t="shared" ref="T56:T63" ca="1" si="114">IF(ISNA(VLOOKUP($A56,INDIRECT(ADDRESS(MATCH("Giornata "&amp;$T$3,$W$1:$W$230,0)+1,23,1,1)&amp;":"&amp;ADDRESS(MATCH("Giornata "&amp;$T$3,$W$1:$W$230,0)+11,23,1,1)),1,FALSE)),"F","C")</f>
        <v>F</v>
      </c>
      <c r="W56" s="82" t="str">
        <f t="shared" si="92"/>
        <v>CAGLIARI</v>
      </c>
      <c r="X56" s="83" t="str">
        <f t="shared" si="93"/>
        <v>SASSUOLO</v>
      </c>
      <c r="Z56" s="408" t="s">
        <v>1609</v>
      </c>
      <c r="AA56" t="str">
        <f t="shared" si="94"/>
        <v>CAGLIARI</v>
      </c>
      <c r="AB56" t="str">
        <f t="shared" si="95"/>
        <v>SASSUOLO</v>
      </c>
    </row>
    <row r="57" spans="1:28" ht="15" hidden="1">
      <c r="A57" s="341"/>
      <c r="B57" s="81" t="str">
        <f t="shared" ca="1" si="96"/>
        <v>F</v>
      </c>
      <c r="C57" s="81" t="str">
        <f t="shared" ca="1" si="97"/>
        <v>F</v>
      </c>
      <c r="D57" s="81" t="str">
        <f t="shared" ca="1" si="98"/>
        <v>F</v>
      </c>
      <c r="E57" s="81" t="str">
        <f t="shared" ca="1" si="99"/>
        <v>F</v>
      </c>
      <c r="F57" s="81" t="str">
        <f t="shared" ca="1" si="100"/>
        <v>F</v>
      </c>
      <c r="G57" s="81" t="str">
        <f t="shared" ca="1" si="101"/>
        <v>F</v>
      </c>
      <c r="H57" s="81" t="str">
        <f t="shared" ca="1" si="102"/>
        <v>F</v>
      </c>
      <c r="I57" s="81" t="str">
        <f t="shared" ca="1" si="103"/>
        <v>F</v>
      </c>
      <c r="J57" s="81" t="str">
        <f t="shared" ca="1" si="104"/>
        <v>F</v>
      </c>
      <c r="K57" s="81" t="str">
        <f t="shared" ca="1" si="105"/>
        <v>F</v>
      </c>
      <c r="L57" s="81" t="str">
        <f t="shared" ca="1" si="106"/>
        <v>F</v>
      </c>
      <c r="M57" s="81" t="str">
        <f t="shared" ca="1" si="107"/>
        <v>F</v>
      </c>
      <c r="N57" s="81" t="str">
        <f t="shared" ca="1" si="108"/>
        <v>F</v>
      </c>
      <c r="O57" s="81" t="str">
        <f t="shared" ca="1" si="109"/>
        <v>F</v>
      </c>
      <c r="P57" s="81" t="str">
        <f t="shared" ca="1" si="110"/>
        <v>F</v>
      </c>
      <c r="Q57" s="81" t="str">
        <f t="shared" ca="1" si="111"/>
        <v>F</v>
      </c>
      <c r="R57" s="81" t="str">
        <f t="shared" ca="1" si="112"/>
        <v>F</v>
      </c>
      <c r="S57" s="81" t="str">
        <f t="shared" ca="1" si="113"/>
        <v>F</v>
      </c>
      <c r="T57" s="81" t="str">
        <f t="shared" ca="1" si="114"/>
        <v>F</v>
      </c>
      <c r="W57" s="82" t="str">
        <f t="shared" si="92"/>
        <v>GENOA</v>
      </c>
      <c r="X57" s="83" t="str">
        <f t="shared" si="93"/>
        <v>CHIEVO</v>
      </c>
      <c r="Z57" s="408" t="s">
        <v>1612</v>
      </c>
      <c r="AA57" t="str">
        <f t="shared" si="94"/>
        <v>GENOA</v>
      </c>
      <c r="AB57" t="str">
        <f t="shared" si="95"/>
        <v>CHIEVO</v>
      </c>
    </row>
    <row r="58" spans="1:28" ht="15" hidden="1">
      <c r="A58" s="341"/>
      <c r="B58" s="81" t="str">
        <f t="shared" ca="1" si="96"/>
        <v>F</v>
      </c>
      <c r="C58" s="81" t="str">
        <f t="shared" ca="1" si="97"/>
        <v>F</v>
      </c>
      <c r="D58" s="81" t="str">
        <f t="shared" ca="1" si="98"/>
        <v>F</v>
      </c>
      <c r="E58" s="81" t="str">
        <f t="shared" ca="1" si="99"/>
        <v>F</v>
      </c>
      <c r="F58" s="81" t="str">
        <f t="shared" ca="1" si="100"/>
        <v>F</v>
      </c>
      <c r="G58" s="81" t="str">
        <f t="shared" ca="1" si="101"/>
        <v>F</v>
      </c>
      <c r="H58" s="81" t="str">
        <f t="shared" ca="1" si="102"/>
        <v>F</v>
      </c>
      <c r="I58" s="81" t="str">
        <f t="shared" ca="1" si="103"/>
        <v>F</v>
      </c>
      <c r="J58" s="81" t="str">
        <f t="shared" ca="1" si="104"/>
        <v>F</v>
      </c>
      <c r="K58" s="81" t="str">
        <f t="shared" ca="1" si="105"/>
        <v>F</v>
      </c>
      <c r="L58" s="81" t="str">
        <f t="shared" ca="1" si="106"/>
        <v>F</v>
      </c>
      <c r="M58" s="81" t="str">
        <f t="shared" ca="1" si="107"/>
        <v>F</v>
      </c>
      <c r="N58" s="81" t="str">
        <f t="shared" ca="1" si="108"/>
        <v>F</v>
      </c>
      <c r="O58" s="81" t="str">
        <f t="shared" ca="1" si="109"/>
        <v>F</v>
      </c>
      <c r="P58" s="81" t="str">
        <f t="shared" ca="1" si="110"/>
        <v>F</v>
      </c>
      <c r="Q58" s="81" t="str">
        <f t="shared" ca="1" si="111"/>
        <v>F</v>
      </c>
      <c r="R58" s="81" t="str">
        <f t="shared" ca="1" si="112"/>
        <v>F</v>
      </c>
      <c r="S58" s="81" t="str">
        <f t="shared" ca="1" si="113"/>
        <v>F</v>
      </c>
      <c r="T58" s="81" t="str">
        <f t="shared" ca="1" si="114"/>
        <v>F</v>
      </c>
      <c r="W58" s="82" t="str">
        <f t="shared" si="92"/>
        <v>VERONA</v>
      </c>
      <c r="X58" s="83" t="str">
        <f t="shared" si="93"/>
        <v>SAMPDORIA</v>
      </c>
      <c r="Z58" s="408" t="s">
        <v>1615</v>
      </c>
      <c r="AA58" t="str">
        <f t="shared" si="94"/>
        <v>VERONA</v>
      </c>
      <c r="AB58" t="str">
        <f t="shared" si="95"/>
        <v>SAMPDORIA</v>
      </c>
    </row>
    <row r="59" spans="1:28" ht="15" hidden="1">
      <c r="A59" s="341"/>
      <c r="B59" s="81" t="str">
        <f t="shared" ca="1" si="96"/>
        <v>F</v>
      </c>
      <c r="C59" s="81" t="str">
        <f t="shared" ca="1" si="97"/>
        <v>F</v>
      </c>
      <c r="D59" s="81" t="str">
        <f t="shared" ca="1" si="98"/>
        <v>F</v>
      </c>
      <c r="E59" s="81" t="str">
        <f t="shared" ca="1" si="99"/>
        <v>F</v>
      </c>
      <c r="F59" s="81" t="str">
        <f t="shared" ca="1" si="100"/>
        <v>F</v>
      </c>
      <c r="G59" s="81" t="str">
        <f t="shared" ca="1" si="101"/>
        <v>F</v>
      </c>
      <c r="H59" s="81" t="str">
        <f t="shared" ca="1" si="102"/>
        <v>F</v>
      </c>
      <c r="I59" s="81" t="str">
        <f t="shared" ca="1" si="103"/>
        <v>F</v>
      </c>
      <c r="J59" s="81" t="str">
        <f t="shared" ca="1" si="104"/>
        <v>F</v>
      </c>
      <c r="K59" s="81" t="str">
        <f t="shared" ca="1" si="105"/>
        <v>F</v>
      </c>
      <c r="L59" s="81" t="str">
        <f t="shared" ca="1" si="106"/>
        <v>F</v>
      </c>
      <c r="M59" s="81" t="str">
        <f t="shared" ca="1" si="107"/>
        <v>F</v>
      </c>
      <c r="N59" s="81" t="str">
        <f t="shared" ca="1" si="108"/>
        <v>F</v>
      </c>
      <c r="O59" s="81" t="str">
        <f t="shared" ca="1" si="109"/>
        <v>F</v>
      </c>
      <c r="P59" s="81" t="str">
        <f t="shared" ca="1" si="110"/>
        <v>F</v>
      </c>
      <c r="Q59" s="81" t="str">
        <f t="shared" ca="1" si="111"/>
        <v>F</v>
      </c>
      <c r="R59" s="81" t="str">
        <f t="shared" ca="1" si="112"/>
        <v>F</v>
      </c>
      <c r="S59" s="81" t="str">
        <f t="shared" ca="1" si="113"/>
        <v>F</v>
      </c>
      <c r="T59" s="81" t="str">
        <f t="shared" ca="1" si="114"/>
        <v>F</v>
      </c>
      <c r="W59" s="82" t="str">
        <f t="shared" si="92"/>
        <v>JUVENTUS</v>
      </c>
      <c r="X59" s="83" t="str">
        <f t="shared" si="93"/>
        <v>FIORENTINA</v>
      </c>
      <c r="Z59" s="408" t="s">
        <v>1618</v>
      </c>
      <c r="AA59" t="str">
        <f t="shared" si="94"/>
        <v>JUVENTUS</v>
      </c>
      <c r="AB59" t="str">
        <f t="shared" si="95"/>
        <v>FIORENTINA</v>
      </c>
    </row>
    <row r="60" spans="1:28" ht="15" hidden="1">
      <c r="A60" s="341"/>
      <c r="B60" s="81" t="str">
        <f t="shared" ca="1" si="96"/>
        <v>F</v>
      </c>
      <c r="C60" s="81" t="str">
        <f t="shared" ca="1" si="97"/>
        <v>F</v>
      </c>
      <c r="D60" s="81" t="str">
        <f t="shared" ca="1" si="98"/>
        <v>F</v>
      </c>
      <c r="E60" s="81" t="str">
        <f t="shared" ca="1" si="99"/>
        <v>F</v>
      </c>
      <c r="F60" s="81" t="str">
        <f t="shared" ca="1" si="100"/>
        <v>F</v>
      </c>
      <c r="G60" s="81" t="str">
        <f t="shared" ca="1" si="101"/>
        <v>F</v>
      </c>
      <c r="H60" s="81" t="str">
        <f t="shared" ca="1" si="102"/>
        <v>F</v>
      </c>
      <c r="I60" s="81" t="str">
        <f t="shared" ca="1" si="103"/>
        <v>F</v>
      </c>
      <c r="J60" s="81" t="str">
        <f t="shared" ca="1" si="104"/>
        <v>F</v>
      </c>
      <c r="K60" s="81" t="str">
        <f t="shared" ca="1" si="105"/>
        <v>F</v>
      </c>
      <c r="L60" s="81" t="str">
        <f t="shared" ca="1" si="106"/>
        <v>F</v>
      </c>
      <c r="M60" s="81" t="str">
        <f t="shared" ca="1" si="107"/>
        <v>F</v>
      </c>
      <c r="N60" s="81" t="str">
        <f t="shared" ca="1" si="108"/>
        <v>F</v>
      </c>
      <c r="O60" s="81" t="str">
        <f t="shared" ca="1" si="109"/>
        <v>F</v>
      </c>
      <c r="P60" s="81" t="str">
        <f t="shared" ca="1" si="110"/>
        <v>F</v>
      </c>
      <c r="Q60" s="81" t="str">
        <f t="shared" ca="1" si="111"/>
        <v>F</v>
      </c>
      <c r="R60" s="81" t="str">
        <f t="shared" ca="1" si="112"/>
        <v>F</v>
      </c>
      <c r="S60" s="81" t="str">
        <f t="shared" ca="1" si="113"/>
        <v>F</v>
      </c>
      <c r="T60" s="81" t="str">
        <f t="shared" ca="1" si="114"/>
        <v>F</v>
      </c>
      <c r="W60" s="82" t="str">
        <f t="shared" si="92"/>
        <v>LAZIO</v>
      </c>
      <c r="X60" s="83" t="str">
        <f t="shared" si="93"/>
        <v>NAPOLI</v>
      </c>
      <c r="Z60" s="408" t="s">
        <v>1621</v>
      </c>
      <c r="AA60" t="str">
        <f t="shared" si="94"/>
        <v>LAZIO</v>
      </c>
      <c r="AB60" t="str">
        <f t="shared" si="95"/>
        <v>NAPOLI</v>
      </c>
    </row>
    <row r="61" spans="1:28" ht="15" hidden="1">
      <c r="A61" s="341"/>
      <c r="B61" s="81" t="str">
        <f t="shared" ca="1" si="96"/>
        <v>F</v>
      </c>
      <c r="C61" s="81" t="str">
        <f t="shared" ca="1" si="97"/>
        <v>F</v>
      </c>
      <c r="D61" s="81" t="str">
        <f t="shared" ca="1" si="98"/>
        <v>F</v>
      </c>
      <c r="E61" s="81" t="str">
        <f t="shared" ca="1" si="99"/>
        <v>F</v>
      </c>
      <c r="F61" s="81" t="str">
        <f t="shared" ca="1" si="100"/>
        <v>F</v>
      </c>
      <c r="G61" s="81" t="str">
        <f t="shared" ca="1" si="101"/>
        <v>F</v>
      </c>
      <c r="H61" s="81" t="str">
        <f t="shared" ca="1" si="102"/>
        <v>F</v>
      </c>
      <c r="I61" s="81" t="str">
        <f t="shared" ca="1" si="103"/>
        <v>F</v>
      </c>
      <c r="J61" s="81" t="str">
        <f t="shared" ca="1" si="104"/>
        <v>F</v>
      </c>
      <c r="K61" s="81" t="str">
        <f t="shared" ca="1" si="105"/>
        <v>F</v>
      </c>
      <c r="L61" s="81" t="str">
        <f t="shared" ca="1" si="106"/>
        <v>F</v>
      </c>
      <c r="M61" s="81" t="str">
        <f t="shared" ca="1" si="107"/>
        <v>F</v>
      </c>
      <c r="N61" s="81" t="str">
        <f t="shared" ca="1" si="108"/>
        <v>F</v>
      </c>
      <c r="O61" s="81" t="str">
        <f t="shared" ca="1" si="109"/>
        <v>F</v>
      </c>
      <c r="P61" s="81" t="str">
        <f t="shared" ca="1" si="110"/>
        <v>F</v>
      </c>
      <c r="Q61" s="81" t="str">
        <f t="shared" ca="1" si="111"/>
        <v>F</v>
      </c>
      <c r="R61" s="81" t="str">
        <f t="shared" ca="1" si="112"/>
        <v>F</v>
      </c>
      <c r="S61" s="81" t="str">
        <f t="shared" ca="1" si="113"/>
        <v>F</v>
      </c>
      <c r="T61" s="81" t="str">
        <f t="shared" ca="1" si="114"/>
        <v>F</v>
      </c>
      <c r="W61" s="82" t="str">
        <f t="shared" si="92"/>
        <v>MILAN</v>
      </c>
      <c r="X61" s="83" t="str">
        <f t="shared" si="93"/>
        <v>SPAL</v>
      </c>
      <c r="Z61" s="408" t="s">
        <v>1624</v>
      </c>
      <c r="AA61" t="str">
        <f t="shared" si="94"/>
        <v>MILAN</v>
      </c>
      <c r="AB61" t="str">
        <f t="shared" si="95"/>
        <v>SPAL</v>
      </c>
    </row>
    <row r="62" spans="1:28" ht="15" hidden="1">
      <c r="A62" s="341"/>
      <c r="B62" s="81" t="str">
        <f t="shared" ca="1" si="96"/>
        <v>F</v>
      </c>
      <c r="C62" s="81" t="str">
        <f t="shared" ca="1" si="97"/>
        <v>F</v>
      </c>
      <c r="D62" s="81" t="str">
        <f t="shared" ca="1" si="98"/>
        <v>F</v>
      </c>
      <c r="E62" s="81" t="str">
        <f t="shared" ca="1" si="99"/>
        <v>F</v>
      </c>
      <c r="F62" s="81" t="str">
        <f t="shared" ca="1" si="100"/>
        <v>F</v>
      </c>
      <c r="G62" s="81" t="str">
        <f t="shared" ca="1" si="101"/>
        <v>F</v>
      </c>
      <c r="H62" s="81" t="str">
        <f t="shared" ca="1" si="102"/>
        <v>F</v>
      </c>
      <c r="I62" s="81" t="str">
        <f t="shared" ca="1" si="103"/>
        <v>F</v>
      </c>
      <c r="J62" s="81" t="str">
        <f t="shared" ca="1" si="104"/>
        <v>F</v>
      </c>
      <c r="K62" s="81" t="str">
        <f t="shared" ca="1" si="105"/>
        <v>F</v>
      </c>
      <c r="L62" s="81" t="str">
        <f t="shared" ca="1" si="106"/>
        <v>F</v>
      </c>
      <c r="M62" s="81" t="str">
        <f t="shared" ca="1" si="107"/>
        <v>F</v>
      </c>
      <c r="N62" s="81" t="str">
        <f t="shared" ca="1" si="108"/>
        <v>F</v>
      </c>
      <c r="O62" s="81" t="str">
        <f t="shared" ca="1" si="109"/>
        <v>F</v>
      </c>
      <c r="P62" s="81" t="str">
        <f t="shared" ca="1" si="110"/>
        <v>F</v>
      </c>
      <c r="Q62" s="81" t="str">
        <f t="shared" ca="1" si="111"/>
        <v>F</v>
      </c>
      <c r="R62" s="81" t="str">
        <f t="shared" ca="1" si="112"/>
        <v>F</v>
      </c>
      <c r="S62" s="81" t="str">
        <f t="shared" ca="1" si="113"/>
        <v>F</v>
      </c>
      <c r="T62" s="81" t="str">
        <f t="shared" ca="1" si="114"/>
        <v>F</v>
      </c>
      <c r="W62" s="82" t="str">
        <f t="shared" si="92"/>
        <v>UDINESE</v>
      </c>
      <c r="X62" s="83" t="str">
        <f t="shared" si="93"/>
        <v>TORINO</v>
      </c>
      <c r="Z62" s="408" t="s">
        <v>1627</v>
      </c>
      <c r="AA62" t="str">
        <f t="shared" si="94"/>
        <v>UDINESE</v>
      </c>
      <c r="AB62" t="str">
        <f t="shared" si="95"/>
        <v>TORINO</v>
      </c>
    </row>
    <row r="63" spans="1:28" ht="15" hidden="1">
      <c r="A63" s="341"/>
      <c r="B63" s="81" t="str">
        <f t="shared" ca="1" si="96"/>
        <v>F</v>
      </c>
      <c r="C63" s="81" t="str">
        <f t="shared" ca="1" si="97"/>
        <v>F</v>
      </c>
      <c r="D63" s="81" t="str">
        <f t="shared" ca="1" si="98"/>
        <v>F</v>
      </c>
      <c r="E63" s="81" t="str">
        <f t="shared" ca="1" si="99"/>
        <v>F</v>
      </c>
      <c r="F63" s="81" t="str">
        <f t="shared" ca="1" si="100"/>
        <v>F</v>
      </c>
      <c r="G63" s="81" t="str">
        <f t="shared" ca="1" si="101"/>
        <v>F</v>
      </c>
      <c r="H63" s="81" t="str">
        <f t="shared" ca="1" si="102"/>
        <v>F</v>
      </c>
      <c r="I63" s="81" t="str">
        <f t="shared" ca="1" si="103"/>
        <v>F</v>
      </c>
      <c r="J63" s="81" t="str">
        <f t="shared" ca="1" si="104"/>
        <v>F</v>
      </c>
      <c r="K63" s="81" t="str">
        <f t="shared" ca="1" si="105"/>
        <v>F</v>
      </c>
      <c r="L63" s="81" t="str">
        <f t="shared" ca="1" si="106"/>
        <v>F</v>
      </c>
      <c r="M63" s="81" t="str">
        <f t="shared" ca="1" si="107"/>
        <v>F</v>
      </c>
      <c r="N63" s="81" t="str">
        <f t="shared" ca="1" si="108"/>
        <v>F</v>
      </c>
      <c r="O63" s="81" t="str">
        <f t="shared" ca="1" si="109"/>
        <v>F</v>
      </c>
      <c r="P63" s="81" t="str">
        <f t="shared" ca="1" si="110"/>
        <v>F</v>
      </c>
      <c r="Q63" s="81" t="str">
        <f t="shared" ca="1" si="111"/>
        <v>F</v>
      </c>
      <c r="R63" s="81" t="str">
        <f t="shared" ca="1" si="112"/>
        <v>F</v>
      </c>
      <c r="S63" s="81" t="str">
        <f t="shared" ca="1" si="113"/>
        <v>F</v>
      </c>
      <c r="T63" s="81" t="str">
        <f t="shared" ca="1" si="114"/>
        <v>F</v>
      </c>
      <c r="W63" s="83"/>
      <c r="X63" s="83"/>
      <c r="Z63" s="411"/>
    </row>
    <row r="64" spans="1:28" ht="15">
      <c r="W64" s="82" t="str">
        <f>AA64</f>
        <v>Giornata 6</v>
      </c>
      <c r="X64" s="82"/>
      <c r="Z64" s="411">
        <v>6</v>
      </c>
      <c r="AA64" t="str">
        <f>"Giornata " &amp; Z64</f>
        <v>Giornata 6</v>
      </c>
    </row>
    <row r="65" spans="23:28" ht="15">
      <c r="W65" s="82" t="str">
        <f t="shared" ref="W65:W74" si="115">AA65</f>
        <v>CAGLIARI</v>
      </c>
      <c r="X65" s="83" t="str">
        <f>AB65</f>
        <v>CHIEVO</v>
      </c>
      <c r="Z65" s="408" t="s">
        <v>1630</v>
      </c>
      <c r="AA65" t="str">
        <f>MID(Z65,1,FIND("-",Z65)-2)</f>
        <v>CAGLIARI</v>
      </c>
      <c r="AB65" t="str">
        <f>MID(Z65,FIND("-",Z65)+2,30)</f>
        <v>CHIEVO</v>
      </c>
    </row>
    <row r="66" spans="23:28" ht="15">
      <c r="W66" s="82" t="str">
        <f t="shared" si="115"/>
        <v>CROTONE</v>
      </c>
      <c r="X66" s="83" t="str">
        <f t="shared" ref="X66:X74" si="116">AB66</f>
        <v>BENEVENTO</v>
      </c>
      <c r="Z66" s="408" t="s">
        <v>1633</v>
      </c>
      <c r="AA66" t="str">
        <f t="shared" ref="AA66:AA74" si="117">MID(Z66,1,FIND("-",Z66)-2)</f>
        <v>CROTONE</v>
      </c>
      <c r="AB66" t="str">
        <f t="shared" ref="AB66:AB74" si="118">MID(Z66,FIND("-",Z66)+2,30)</f>
        <v>BENEVENTO</v>
      </c>
    </row>
    <row r="67" spans="23:28" ht="15">
      <c r="W67" s="82" t="str">
        <f t="shared" si="115"/>
        <v>FIORENTINA</v>
      </c>
      <c r="X67" s="83" t="str">
        <f t="shared" si="116"/>
        <v>ATALANTA</v>
      </c>
      <c r="Z67" s="408" t="s">
        <v>1636</v>
      </c>
      <c r="AA67" t="str">
        <f t="shared" si="117"/>
        <v>FIORENTINA</v>
      </c>
      <c r="AB67" t="str">
        <f t="shared" si="118"/>
        <v>ATALANTA</v>
      </c>
    </row>
    <row r="68" spans="23:28" ht="15">
      <c r="W68" s="82" t="str">
        <f t="shared" si="115"/>
        <v>VERONA</v>
      </c>
      <c r="X68" s="83" t="str">
        <f t="shared" si="116"/>
        <v>LAZIO</v>
      </c>
      <c r="Z68" s="408" t="s">
        <v>1639</v>
      </c>
      <c r="AA68" t="str">
        <f t="shared" si="117"/>
        <v>VERONA</v>
      </c>
      <c r="AB68" t="str">
        <f t="shared" si="118"/>
        <v>LAZIO</v>
      </c>
    </row>
    <row r="69" spans="23:28" ht="15">
      <c r="W69" s="82" t="str">
        <f t="shared" si="115"/>
        <v>INTER</v>
      </c>
      <c r="X69" s="83" t="str">
        <f t="shared" si="116"/>
        <v>GENOA</v>
      </c>
      <c r="Z69" s="408" t="s">
        <v>1642</v>
      </c>
      <c r="AA69" t="str">
        <f t="shared" si="117"/>
        <v>INTER</v>
      </c>
      <c r="AB69" t="str">
        <f t="shared" si="118"/>
        <v>GENOA</v>
      </c>
    </row>
    <row r="70" spans="23:28" ht="15">
      <c r="W70" s="82" t="str">
        <f t="shared" si="115"/>
        <v>JUVENTUS</v>
      </c>
      <c r="X70" s="83" t="str">
        <f t="shared" si="116"/>
        <v>TORINO</v>
      </c>
      <c r="Z70" s="408" t="s">
        <v>1645</v>
      </c>
      <c r="AA70" t="str">
        <f t="shared" si="117"/>
        <v>JUVENTUS</v>
      </c>
      <c r="AB70" t="str">
        <f t="shared" si="118"/>
        <v>TORINO</v>
      </c>
    </row>
    <row r="71" spans="23:28" ht="15">
      <c r="W71" s="82" t="str">
        <f t="shared" si="115"/>
        <v>ROMA</v>
      </c>
      <c r="X71" s="83" t="str">
        <f t="shared" si="116"/>
        <v>UDINESE</v>
      </c>
      <c r="Z71" s="408" t="s">
        <v>1648</v>
      </c>
      <c r="AA71" t="str">
        <f t="shared" si="117"/>
        <v>ROMA</v>
      </c>
      <c r="AB71" t="str">
        <f t="shared" si="118"/>
        <v>UDINESE</v>
      </c>
    </row>
    <row r="72" spans="23:28" ht="15">
      <c r="W72" s="82" t="str">
        <f t="shared" si="115"/>
        <v>SAMPDORIA</v>
      </c>
      <c r="X72" s="83" t="str">
        <f t="shared" si="116"/>
        <v>MILAN</v>
      </c>
      <c r="Z72" s="408" t="s">
        <v>1651</v>
      </c>
      <c r="AA72" t="str">
        <f t="shared" si="117"/>
        <v>SAMPDORIA</v>
      </c>
      <c r="AB72" t="str">
        <f t="shared" si="118"/>
        <v>MILAN</v>
      </c>
    </row>
    <row r="73" spans="23:28" ht="15">
      <c r="W73" s="82" t="str">
        <f t="shared" si="115"/>
        <v>SASSUOLO</v>
      </c>
      <c r="X73" s="83" t="str">
        <f t="shared" si="116"/>
        <v>BOLOGNA</v>
      </c>
      <c r="Z73" s="408" t="s">
        <v>1654</v>
      </c>
      <c r="AA73" t="str">
        <f t="shared" si="117"/>
        <v>SASSUOLO</v>
      </c>
      <c r="AB73" t="str">
        <f t="shared" si="118"/>
        <v>BOLOGNA</v>
      </c>
    </row>
    <row r="74" spans="23:28" ht="15">
      <c r="W74" s="82" t="str">
        <f t="shared" si="115"/>
        <v>SPAL</v>
      </c>
      <c r="X74" s="83" t="str">
        <f t="shared" si="116"/>
        <v>NAPOLI</v>
      </c>
      <c r="Z74" s="408" t="s">
        <v>1657</v>
      </c>
      <c r="AA74" t="str">
        <f t="shared" si="117"/>
        <v>SPAL</v>
      </c>
      <c r="AB74" t="str">
        <f t="shared" si="118"/>
        <v>NAPOLI</v>
      </c>
    </row>
    <row r="75" spans="23:28" ht="15">
      <c r="W75" s="83"/>
      <c r="X75" s="83"/>
      <c r="Z75" s="408"/>
      <c r="AA75" s="79"/>
      <c r="AB75" s="79"/>
    </row>
    <row r="76" spans="23:28" ht="15">
      <c r="W76" s="82" t="str">
        <f>AA76</f>
        <v>Giornata 7</v>
      </c>
      <c r="X76" s="82"/>
      <c r="Z76" s="416">
        <v>7</v>
      </c>
      <c r="AA76" t="str">
        <f>"Giornata " &amp; Z76</f>
        <v>Giornata 7</v>
      </c>
    </row>
    <row r="77" spans="23:28" ht="15">
      <c r="W77" s="82" t="str">
        <f t="shared" ref="W77:W86" si="119">AA77</f>
        <v>ATALANTA</v>
      </c>
      <c r="X77" s="83" t="str">
        <f>AB77</f>
        <v>JUVENTUS</v>
      </c>
      <c r="Z77" s="416" t="s">
        <v>1482</v>
      </c>
      <c r="AA77" t="str">
        <f>MID(Z77,1,FIND("-",Z77)-2)</f>
        <v>ATALANTA</v>
      </c>
      <c r="AB77" t="str">
        <f>MID(Z77,FIND("-",Z77)+2,30)</f>
        <v>JUVENTUS</v>
      </c>
    </row>
    <row r="78" spans="23:28" ht="15">
      <c r="W78" s="82" t="str">
        <f t="shared" si="119"/>
        <v>BENEVENTO</v>
      </c>
      <c r="X78" s="83" t="str">
        <f t="shared" ref="X78:X86" si="120">AB78</f>
        <v>INTER</v>
      </c>
      <c r="Z78" s="409" t="s">
        <v>1484</v>
      </c>
      <c r="AA78" t="str">
        <f t="shared" ref="AA78:AA86" si="121">MID(Z78,1,FIND("-",Z78)-2)</f>
        <v>BENEVENTO</v>
      </c>
      <c r="AB78" t="str">
        <f t="shared" ref="AB78:AB86" si="122">MID(Z78,FIND("-",Z78)+2,30)</f>
        <v>INTER</v>
      </c>
    </row>
    <row r="79" spans="23:28" ht="15">
      <c r="W79" s="82" t="str">
        <f t="shared" si="119"/>
        <v>CHIEVO</v>
      </c>
      <c r="X79" s="83" t="str">
        <f t="shared" si="120"/>
        <v>FIORENTINA</v>
      </c>
      <c r="Z79" s="409" t="s">
        <v>1487</v>
      </c>
      <c r="AA79" t="str">
        <f t="shared" si="121"/>
        <v>CHIEVO</v>
      </c>
      <c r="AB79" t="str">
        <f t="shared" si="122"/>
        <v>FIORENTINA</v>
      </c>
    </row>
    <row r="80" spans="23:28" ht="15">
      <c r="W80" s="82" t="str">
        <f t="shared" si="119"/>
        <v>GENOA</v>
      </c>
      <c r="X80" s="83" t="str">
        <f t="shared" si="120"/>
        <v>BOLOGNA</v>
      </c>
      <c r="Z80" s="409" t="s">
        <v>1490</v>
      </c>
      <c r="AA80" t="str">
        <f t="shared" si="121"/>
        <v>GENOA</v>
      </c>
      <c r="AB80" t="str">
        <f t="shared" si="122"/>
        <v>BOLOGNA</v>
      </c>
    </row>
    <row r="81" spans="23:28" ht="15">
      <c r="W81" s="82" t="str">
        <f t="shared" si="119"/>
        <v>LAZIO</v>
      </c>
      <c r="X81" s="83" t="str">
        <f t="shared" si="120"/>
        <v>SASSUOLO</v>
      </c>
      <c r="Z81" s="409" t="s">
        <v>1493</v>
      </c>
      <c r="AA81" t="str">
        <f t="shared" si="121"/>
        <v>LAZIO</v>
      </c>
      <c r="AB81" t="str">
        <f t="shared" si="122"/>
        <v>SASSUOLO</v>
      </c>
    </row>
    <row r="82" spans="23:28" ht="15">
      <c r="W82" s="82" t="str">
        <f t="shared" si="119"/>
        <v>MILAN</v>
      </c>
      <c r="X82" s="83" t="str">
        <f t="shared" si="120"/>
        <v>ROMA</v>
      </c>
      <c r="Z82" s="409" t="s">
        <v>1496</v>
      </c>
      <c r="AA82" t="str">
        <f t="shared" si="121"/>
        <v>MILAN</v>
      </c>
      <c r="AB82" t="str">
        <f t="shared" si="122"/>
        <v>ROMA</v>
      </c>
    </row>
    <row r="83" spans="23:28" ht="15">
      <c r="W83" s="82" t="str">
        <f t="shared" si="119"/>
        <v>NAPOLI</v>
      </c>
      <c r="X83" s="83" t="str">
        <f t="shared" si="120"/>
        <v>CAGLIARI</v>
      </c>
      <c r="Z83" s="409" t="s">
        <v>1499</v>
      </c>
      <c r="AA83" t="str">
        <f t="shared" si="121"/>
        <v>NAPOLI</v>
      </c>
      <c r="AB83" t="str">
        <f t="shared" si="122"/>
        <v>CAGLIARI</v>
      </c>
    </row>
    <row r="84" spans="23:28" ht="15">
      <c r="W84" s="82" t="str">
        <f t="shared" si="119"/>
        <v>SPAL</v>
      </c>
      <c r="X84" s="83" t="str">
        <f t="shared" si="120"/>
        <v>CROTONE</v>
      </c>
      <c r="Z84" s="409" t="s">
        <v>1502</v>
      </c>
      <c r="AA84" t="str">
        <f t="shared" si="121"/>
        <v>SPAL</v>
      </c>
      <c r="AB84" t="str">
        <f t="shared" si="122"/>
        <v>CROTONE</v>
      </c>
    </row>
    <row r="85" spans="23:28" ht="15">
      <c r="W85" s="82" t="str">
        <f t="shared" si="119"/>
        <v>TORINO</v>
      </c>
      <c r="X85" s="83" t="str">
        <f t="shared" si="120"/>
        <v>VERONA</v>
      </c>
      <c r="Z85" s="409" t="s">
        <v>1505</v>
      </c>
      <c r="AA85" t="str">
        <f t="shared" si="121"/>
        <v>TORINO</v>
      </c>
      <c r="AB85" t="str">
        <f t="shared" si="122"/>
        <v>VERONA</v>
      </c>
    </row>
    <row r="86" spans="23:28" ht="15">
      <c r="W86" s="82" t="str">
        <f t="shared" si="119"/>
        <v>UDINESE</v>
      </c>
      <c r="X86" s="83" t="str">
        <f t="shared" si="120"/>
        <v>SAMPDORIA</v>
      </c>
      <c r="Z86" s="409" t="s">
        <v>1508</v>
      </c>
      <c r="AA86" t="str">
        <f t="shared" si="121"/>
        <v>UDINESE</v>
      </c>
      <c r="AB86" t="str">
        <f t="shared" si="122"/>
        <v>SAMPDORIA</v>
      </c>
    </row>
    <row r="87" spans="23:28" ht="15">
      <c r="W87" s="83"/>
      <c r="X87" s="83"/>
      <c r="Z87" s="409"/>
    </row>
    <row r="88" spans="23:28" ht="15">
      <c r="W88" s="82" t="str">
        <f>AA88</f>
        <v>Giornata 8</v>
      </c>
      <c r="X88" s="82"/>
      <c r="Z88" s="412">
        <v>8</v>
      </c>
      <c r="AA88" t="str">
        <f>"Giornata " &amp; Z88</f>
        <v>Giornata 8</v>
      </c>
    </row>
    <row r="89" spans="23:28" ht="15">
      <c r="W89" s="82" t="str">
        <f t="shared" ref="W89:W98" si="123">AA89</f>
        <v>BOLOGNA</v>
      </c>
      <c r="X89" s="83" t="str">
        <f>AB89</f>
        <v>SPAL</v>
      </c>
      <c r="Z89" s="409" t="s">
        <v>1511</v>
      </c>
      <c r="AA89" t="str">
        <f>MID(Z89,1,FIND("-",Z89)-2)</f>
        <v>BOLOGNA</v>
      </c>
      <c r="AB89" t="str">
        <f>MID(Z89,FIND("-",Z89)+2,30)</f>
        <v>SPAL</v>
      </c>
    </row>
    <row r="90" spans="23:28" ht="15">
      <c r="W90" s="82" t="str">
        <f t="shared" si="123"/>
        <v>CAGLIARI</v>
      </c>
      <c r="X90" s="83" t="str">
        <f t="shared" ref="X90:X98" si="124">AB90</f>
        <v>GENOA</v>
      </c>
      <c r="Z90" s="409" t="s">
        <v>1514</v>
      </c>
      <c r="AA90" t="str">
        <f t="shared" ref="AA90:AA98" si="125">MID(Z90,1,FIND("-",Z90)-2)</f>
        <v>CAGLIARI</v>
      </c>
      <c r="AB90" t="str">
        <f t="shared" ref="AB90:AB98" si="126">MID(Z90,FIND("-",Z90)+2,30)</f>
        <v>GENOA</v>
      </c>
    </row>
    <row r="91" spans="23:28" ht="15">
      <c r="W91" s="82" t="str">
        <f t="shared" si="123"/>
        <v>CROTONE</v>
      </c>
      <c r="X91" s="83" t="str">
        <f t="shared" si="124"/>
        <v>TORINO</v>
      </c>
      <c r="Z91" s="409" t="s">
        <v>1517</v>
      </c>
      <c r="AA91" t="str">
        <f t="shared" si="125"/>
        <v>CROTONE</v>
      </c>
      <c r="AB91" t="str">
        <f t="shared" si="126"/>
        <v>TORINO</v>
      </c>
    </row>
    <row r="92" spans="23:28" ht="15">
      <c r="W92" s="82" t="str">
        <f t="shared" si="123"/>
        <v>FIORENTINA</v>
      </c>
      <c r="X92" s="83" t="str">
        <f t="shared" si="124"/>
        <v>UDINESE</v>
      </c>
      <c r="Z92" s="409" t="s">
        <v>1520</v>
      </c>
      <c r="AA92" t="str">
        <f t="shared" si="125"/>
        <v>FIORENTINA</v>
      </c>
      <c r="AB92" t="str">
        <f t="shared" si="126"/>
        <v>UDINESE</v>
      </c>
    </row>
    <row r="93" spans="23:28" ht="15">
      <c r="W93" s="82" t="str">
        <f t="shared" si="123"/>
        <v>VERONA</v>
      </c>
      <c r="X93" s="83" t="str">
        <f t="shared" si="124"/>
        <v>BENEVENTO</v>
      </c>
      <c r="Z93" s="409" t="s">
        <v>1523</v>
      </c>
      <c r="AA93" t="str">
        <f t="shared" si="125"/>
        <v>VERONA</v>
      </c>
      <c r="AB93" t="str">
        <f t="shared" si="126"/>
        <v>BENEVENTO</v>
      </c>
    </row>
    <row r="94" spans="23:28" ht="15">
      <c r="W94" s="82" t="str">
        <f t="shared" si="123"/>
        <v>INTER</v>
      </c>
      <c r="X94" s="83" t="str">
        <f t="shared" si="124"/>
        <v>MILAN</v>
      </c>
      <c r="Z94" s="409" t="s">
        <v>1526</v>
      </c>
      <c r="AA94" t="str">
        <f t="shared" si="125"/>
        <v>INTER</v>
      </c>
      <c r="AB94" t="str">
        <f t="shared" si="126"/>
        <v>MILAN</v>
      </c>
    </row>
    <row r="95" spans="23:28" ht="15">
      <c r="W95" s="82" t="str">
        <f t="shared" si="123"/>
        <v>JUVENTUS</v>
      </c>
      <c r="X95" s="83" t="str">
        <f t="shared" si="124"/>
        <v>LAZIO</v>
      </c>
      <c r="Z95" s="409" t="s">
        <v>1529</v>
      </c>
      <c r="AA95" t="str">
        <f t="shared" si="125"/>
        <v>JUVENTUS</v>
      </c>
      <c r="AB95" t="str">
        <f t="shared" si="126"/>
        <v>LAZIO</v>
      </c>
    </row>
    <row r="96" spans="23:28" ht="15">
      <c r="W96" s="82" t="str">
        <f t="shared" si="123"/>
        <v>ROMA</v>
      </c>
      <c r="X96" s="83" t="str">
        <f t="shared" si="124"/>
        <v>NAPOLI</v>
      </c>
      <c r="Z96" s="409" t="s">
        <v>1532</v>
      </c>
      <c r="AA96" t="str">
        <f t="shared" si="125"/>
        <v>ROMA</v>
      </c>
      <c r="AB96" t="str">
        <f t="shared" si="126"/>
        <v>NAPOLI</v>
      </c>
    </row>
    <row r="97" spans="23:28" ht="15">
      <c r="W97" s="82" t="str">
        <f t="shared" si="123"/>
        <v>SAMPDORIA</v>
      </c>
      <c r="X97" s="83" t="str">
        <f t="shared" si="124"/>
        <v>ATALANTA</v>
      </c>
      <c r="Z97" s="409" t="s">
        <v>1535</v>
      </c>
      <c r="AA97" t="str">
        <f t="shared" si="125"/>
        <v>SAMPDORIA</v>
      </c>
      <c r="AB97" t="str">
        <f t="shared" si="126"/>
        <v>ATALANTA</v>
      </c>
    </row>
    <row r="98" spans="23:28" ht="15">
      <c r="W98" s="82" t="str">
        <f t="shared" si="123"/>
        <v>SASSUOLO</v>
      </c>
      <c r="X98" s="83" t="str">
        <f t="shared" si="124"/>
        <v>CHIEVO</v>
      </c>
      <c r="Z98" s="409" t="s">
        <v>1538</v>
      </c>
      <c r="AA98" t="str">
        <f t="shared" si="125"/>
        <v>SASSUOLO</v>
      </c>
      <c r="AB98" t="str">
        <f t="shared" si="126"/>
        <v>CHIEVO</v>
      </c>
    </row>
    <row r="99" spans="23:28" ht="15">
      <c r="W99" s="85"/>
      <c r="X99" s="85"/>
      <c r="Z99" s="412"/>
    </row>
    <row r="100" spans="23:28" ht="15">
      <c r="W100" s="82" t="str">
        <f>AA100</f>
        <v>Giornata 9</v>
      </c>
      <c r="X100" s="82"/>
      <c r="Z100" s="412">
        <v>9</v>
      </c>
      <c r="AA100" t="str">
        <f>"Giornata " &amp; Z100</f>
        <v>Giornata 9</v>
      </c>
    </row>
    <row r="101" spans="23:28" ht="15">
      <c r="W101" s="82" t="str">
        <f t="shared" ref="W101:W110" si="127">AA101</f>
        <v>ATALANTA</v>
      </c>
      <c r="X101" s="83" t="str">
        <f>AB101</f>
        <v>BOLOGNA</v>
      </c>
      <c r="Z101" s="409" t="s">
        <v>1541</v>
      </c>
      <c r="AA101" t="str">
        <f>MID(Z101,1,FIND("-",Z101)-2)</f>
        <v>ATALANTA</v>
      </c>
      <c r="AB101" t="str">
        <f>MID(Z101,FIND("-",Z101)+2,30)</f>
        <v>BOLOGNA</v>
      </c>
    </row>
    <row r="102" spans="23:28" ht="15">
      <c r="W102" s="82" t="str">
        <f t="shared" si="127"/>
        <v>BENEVENTO</v>
      </c>
      <c r="X102" s="83" t="str">
        <f t="shared" ref="X102:X110" si="128">AB102</f>
        <v>FIORENTINA</v>
      </c>
      <c r="Z102" s="409" t="s">
        <v>1544</v>
      </c>
      <c r="AA102" t="str">
        <f t="shared" ref="AA102:AA110" si="129">MID(Z102,1,FIND("-",Z102)-2)</f>
        <v>BENEVENTO</v>
      </c>
      <c r="AB102" t="str">
        <f t="shared" ref="AB102:AB110" si="130">MID(Z102,FIND("-",Z102)+2,30)</f>
        <v>FIORENTINA</v>
      </c>
    </row>
    <row r="103" spans="23:28" ht="15">
      <c r="W103" s="82" t="str">
        <f t="shared" si="127"/>
        <v>CHIEVO</v>
      </c>
      <c r="X103" s="83" t="str">
        <f t="shared" si="128"/>
        <v>VERONA</v>
      </c>
      <c r="Z103" s="409" t="s">
        <v>1547</v>
      </c>
      <c r="AA103" t="str">
        <f t="shared" si="129"/>
        <v>CHIEVO</v>
      </c>
      <c r="AB103" t="str">
        <f t="shared" si="130"/>
        <v>VERONA</v>
      </c>
    </row>
    <row r="104" spans="23:28" ht="15">
      <c r="W104" s="82" t="str">
        <f t="shared" si="127"/>
        <v>LAZIO</v>
      </c>
      <c r="X104" s="83" t="str">
        <f t="shared" si="128"/>
        <v>CAGLIARI</v>
      </c>
      <c r="Z104" s="409" t="s">
        <v>1550</v>
      </c>
      <c r="AA104" t="str">
        <f t="shared" si="129"/>
        <v>LAZIO</v>
      </c>
      <c r="AB104" t="str">
        <f t="shared" si="130"/>
        <v>CAGLIARI</v>
      </c>
    </row>
    <row r="105" spans="23:28" ht="15">
      <c r="W105" s="82" t="str">
        <f t="shared" si="127"/>
        <v>MILAN</v>
      </c>
      <c r="X105" s="83" t="str">
        <f t="shared" si="128"/>
        <v>GENOA</v>
      </c>
      <c r="Z105" s="409" t="s">
        <v>1553</v>
      </c>
      <c r="AA105" t="str">
        <f t="shared" si="129"/>
        <v>MILAN</v>
      </c>
      <c r="AB105" t="str">
        <f t="shared" si="130"/>
        <v>GENOA</v>
      </c>
    </row>
    <row r="106" spans="23:28" ht="15">
      <c r="W106" s="82" t="str">
        <f t="shared" si="127"/>
        <v>NAPOLI</v>
      </c>
      <c r="X106" s="83" t="str">
        <f t="shared" si="128"/>
        <v>INTER</v>
      </c>
      <c r="Z106" s="409" t="s">
        <v>1556</v>
      </c>
      <c r="AA106" t="str">
        <f t="shared" si="129"/>
        <v>NAPOLI</v>
      </c>
      <c r="AB106" t="str">
        <f t="shared" si="130"/>
        <v>INTER</v>
      </c>
    </row>
    <row r="107" spans="23:28" ht="15">
      <c r="W107" s="82" t="str">
        <f t="shared" si="127"/>
        <v>SAMPDORIA</v>
      </c>
      <c r="X107" s="83" t="str">
        <f t="shared" si="128"/>
        <v>CROTONE</v>
      </c>
      <c r="Z107" s="409" t="s">
        <v>1559</v>
      </c>
      <c r="AA107" t="str">
        <f t="shared" si="129"/>
        <v>SAMPDORIA</v>
      </c>
      <c r="AB107" t="str">
        <f t="shared" si="130"/>
        <v>CROTONE</v>
      </c>
    </row>
    <row r="108" spans="23:28" ht="15">
      <c r="W108" s="82" t="str">
        <f t="shared" si="127"/>
        <v>SPAL</v>
      </c>
      <c r="X108" s="83" t="str">
        <f t="shared" si="128"/>
        <v>SASSUOLO</v>
      </c>
      <c r="Z108" s="409" t="s">
        <v>1562</v>
      </c>
      <c r="AA108" t="str">
        <f t="shared" si="129"/>
        <v>SPAL</v>
      </c>
      <c r="AB108" t="str">
        <f t="shared" si="130"/>
        <v>SASSUOLO</v>
      </c>
    </row>
    <row r="109" spans="23:28" ht="15">
      <c r="W109" s="82" t="str">
        <f t="shared" si="127"/>
        <v>TORINO</v>
      </c>
      <c r="X109" s="83" t="str">
        <f t="shared" si="128"/>
        <v>ROMA</v>
      </c>
      <c r="Z109" s="409" t="s">
        <v>1565</v>
      </c>
      <c r="AA109" t="str">
        <f t="shared" si="129"/>
        <v>TORINO</v>
      </c>
      <c r="AB109" t="str">
        <f t="shared" si="130"/>
        <v>ROMA</v>
      </c>
    </row>
    <row r="110" spans="23:28" ht="15">
      <c r="W110" s="82" t="str">
        <f t="shared" si="127"/>
        <v>UDINESE</v>
      </c>
      <c r="X110" s="83" t="str">
        <f t="shared" si="128"/>
        <v>JUVENTUS</v>
      </c>
      <c r="Z110" s="409" t="s">
        <v>1568</v>
      </c>
      <c r="AA110" t="str">
        <f t="shared" si="129"/>
        <v>UDINESE</v>
      </c>
      <c r="AB110" t="str">
        <f t="shared" si="130"/>
        <v>JUVENTUS</v>
      </c>
    </row>
    <row r="111" spans="23:28" ht="15">
      <c r="W111" s="83"/>
      <c r="X111" s="83"/>
      <c r="Z111" s="412"/>
    </row>
    <row r="112" spans="23:28" ht="15">
      <c r="W112" s="82" t="str">
        <f>AA112</f>
        <v>Giornata 10</v>
      </c>
      <c r="X112" s="82"/>
      <c r="Z112" s="412">
        <v>10</v>
      </c>
      <c r="AA112" t="str">
        <f>"Giornata " &amp; Z112</f>
        <v>Giornata 10</v>
      </c>
    </row>
    <row r="113" spans="23:28" ht="15">
      <c r="W113" s="82" t="str">
        <f t="shared" ref="W113:W122" si="131">AA113</f>
        <v>ATALANTA</v>
      </c>
      <c r="X113" s="83" t="str">
        <f>AB113</f>
        <v>VERONA</v>
      </c>
      <c r="Z113" s="409" t="s">
        <v>1571</v>
      </c>
      <c r="AA113" t="str">
        <f>MID(Z113,1,FIND("-",Z113)-2)</f>
        <v>ATALANTA</v>
      </c>
      <c r="AB113" t="str">
        <f>MID(Z113,FIND("-",Z113)+2,30)</f>
        <v>VERONA</v>
      </c>
    </row>
    <row r="114" spans="23:28" ht="15">
      <c r="W114" s="82" t="str">
        <f t="shared" si="131"/>
        <v>BOLOGNA</v>
      </c>
      <c r="X114" s="83" t="str">
        <f t="shared" ref="X114:X122" si="132">AB114</f>
        <v>LAZIO</v>
      </c>
      <c r="Z114" s="409" t="s">
        <v>1574</v>
      </c>
      <c r="AA114" t="str">
        <f t="shared" ref="AA114:AA122" si="133">MID(Z114,1,FIND("-",Z114)-2)</f>
        <v>BOLOGNA</v>
      </c>
      <c r="AB114" t="str">
        <f t="shared" ref="AB114:AB122" si="134">MID(Z114,FIND("-",Z114)+2,30)</f>
        <v>LAZIO</v>
      </c>
    </row>
    <row r="115" spans="23:28" ht="15">
      <c r="W115" s="82" t="str">
        <f t="shared" si="131"/>
        <v>CAGLIARI</v>
      </c>
      <c r="X115" s="83" t="str">
        <f t="shared" si="132"/>
        <v>BENEVENTO</v>
      </c>
      <c r="Z115" s="409" t="s">
        <v>1577</v>
      </c>
      <c r="AA115" t="str">
        <f t="shared" si="133"/>
        <v>CAGLIARI</v>
      </c>
      <c r="AB115" t="str">
        <f t="shared" si="134"/>
        <v>BENEVENTO</v>
      </c>
    </row>
    <row r="116" spans="23:28" ht="15">
      <c r="W116" s="82" t="str">
        <f t="shared" si="131"/>
        <v>CHIEVO</v>
      </c>
      <c r="X116" s="83" t="str">
        <f t="shared" si="132"/>
        <v>MILAN</v>
      </c>
      <c r="Z116" s="409" t="s">
        <v>1580</v>
      </c>
      <c r="AA116" t="str">
        <f t="shared" si="133"/>
        <v>CHIEVO</v>
      </c>
      <c r="AB116" t="str">
        <f t="shared" si="134"/>
        <v>MILAN</v>
      </c>
    </row>
    <row r="117" spans="23:28" ht="15">
      <c r="W117" s="82" t="str">
        <f t="shared" si="131"/>
        <v>FIORENTINA</v>
      </c>
      <c r="X117" s="83" t="str">
        <f t="shared" si="132"/>
        <v>TORINO</v>
      </c>
      <c r="Z117" s="409" t="s">
        <v>1583</v>
      </c>
      <c r="AA117" t="str">
        <f t="shared" si="133"/>
        <v>FIORENTINA</v>
      </c>
      <c r="AB117" t="str">
        <f t="shared" si="134"/>
        <v>TORINO</v>
      </c>
    </row>
    <row r="118" spans="23:28" ht="15">
      <c r="W118" s="82" t="str">
        <f t="shared" si="131"/>
        <v>GENOA</v>
      </c>
      <c r="X118" s="83" t="str">
        <f t="shared" si="132"/>
        <v>NAPOLI</v>
      </c>
      <c r="Z118" s="409" t="s">
        <v>1586</v>
      </c>
      <c r="AA118" t="str">
        <f t="shared" si="133"/>
        <v>GENOA</v>
      </c>
      <c r="AB118" t="str">
        <f t="shared" si="134"/>
        <v>NAPOLI</v>
      </c>
    </row>
    <row r="119" spans="23:28" ht="15">
      <c r="W119" s="82" t="str">
        <f t="shared" si="131"/>
        <v>INTER</v>
      </c>
      <c r="X119" s="83" t="str">
        <f t="shared" si="132"/>
        <v>SAMPDORIA</v>
      </c>
      <c r="Z119" s="409" t="s">
        <v>1589</v>
      </c>
      <c r="AA119" t="str">
        <f t="shared" si="133"/>
        <v>INTER</v>
      </c>
      <c r="AB119" t="str">
        <f t="shared" si="134"/>
        <v>SAMPDORIA</v>
      </c>
    </row>
    <row r="120" spans="23:28" ht="15">
      <c r="W120" s="82" t="str">
        <f t="shared" si="131"/>
        <v>JUVENTUS</v>
      </c>
      <c r="X120" s="83" t="str">
        <f t="shared" si="132"/>
        <v>SPAL</v>
      </c>
      <c r="Z120" s="409" t="s">
        <v>1592</v>
      </c>
      <c r="AA120" t="str">
        <f t="shared" si="133"/>
        <v>JUVENTUS</v>
      </c>
      <c r="AB120" t="str">
        <f t="shared" si="134"/>
        <v>SPAL</v>
      </c>
    </row>
    <row r="121" spans="23:28" ht="15">
      <c r="W121" s="82" t="str">
        <f t="shared" si="131"/>
        <v>ROMA</v>
      </c>
      <c r="X121" s="83" t="str">
        <f t="shared" si="132"/>
        <v>CROTONE</v>
      </c>
      <c r="Z121" s="409" t="s">
        <v>1595</v>
      </c>
      <c r="AA121" t="str">
        <f t="shared" si="133"/>
        <v>ROMA</v>
      </c>
      <c r="AB121" t="str">
        <f t="shared" si="134"/>
        <v>CROTONE</v>
      </c>
    </row>
    <row r="122" spans="23:28" ht="15">
      <c r="W122" s="82" t="str">
        <f t="shared" si="131"/>
        <v>SASSUOLO</v>
      </c>
      <c r="X122" s="83" t="str">
        <f t="shared" si="132"/>
        <v>UDINESE</v>
      </c>
      <c r="Z122" s="409" t="s">
        <v>1598</v>
      </c>
      <c r="AA122" t="str">
        <f t="shared" si="133"/>
        <v>SASSUOLO</v>
      </c>
      <c r="AB122" t="str">
        <f t="shared" si="134"/>
        <v>UDINESE</v>
      </c>
    </row>
    <row r="123" spans="23:28" ht="15">
      <c r="W123" s="83"/>
      <c r="X123" s="83"/>
      <c r="Z123" s="412"/>
      <c r="AA123" s="79"/>
      <c r="AB123" s="79"/>
    </row>
    <row r="124" spans="23:28" ht="15">
      <c r="W124" s="82" t="str">
        <f>AA124</f>
        <v>Giornata 11</v>
      </c>
      <c r="X124" s="82"/>
      <c r="Z124" s="412">
        <v>11</v>
      </c>
      <c r="AA124" t="str">
        <f>"Giornata " &amp; Z124</f>
        <v>Giornata 11</v>
      </c>
    </row>
    <row r="125" spans="23:28" ht="15">
      <c r="W125" s="82" t="str">
        <f t="shared" ref="W125:W134" si="135">AA125</f>
        <v>BENEVENTO</v>
      </c>
      <c r="X125" s="83" t="str">
        <f>AB125</f>
        <v>LAZIO</v>
      </c>
      <c r="Z125" s="409" t="s">
        <v>1601</v>
      </c>
      <c r="AA125" t="str">
        <f>MID(Z125,1,FIND("-",Z125)-2)</f>
        <v>BENEVENTO</v>
      </c>
      <c r="AB125" t="str">
        <f>MID(Z125,FIND("-",Z125)+2,30)</f>
        <v>LAZIO</v>
      </c>
    </row>
    <row r="126" spans="23:28" ht="15">
      <c r="W126" s="82" t="str">
        <f t="shared" si="135"/>
        <v>CROTONE</v>
      </c>
      <c r="X126" s="83" t="str">
        <f t="shared" ref="X126:X134" si="136">AB126</f>
        <v>FIORENTINA</v>
      </c>
      <c r="Z126" s="409" t="s">
        <v>1604</v>
      </c>
      <c r="AA126" t="str">
        <f t="shared" ref="AA126:AA134" si="137">MID(Z126,1,FIND("-",Z126)-2)</f>
        <v>CROTONE</v>
      </c>
      <c r="AB126" t="str">
        <f t="shared" ref="AB126:AB134" si="138">MID(Z126,FIND("-",Z126)+2,30)</f>
        <v>FIORENTINA</v>
      </c>
    </row>
    <row r="127" spans="23:28" ht="15">
      <c r="W127" s="82" t="str">
        <f t="shared" si="135"/>
        <v>VERONA</v>
      </c>
      <c r="X127" s="83" t="str">
        <f t="shared" si="136"/>
        <v>INTER</v>
      </c>
      <c r="Z127" s="409" t="s">
        <v>1607</v>
      </c>
      <c r="AA127" t="str">
        <f t="shared" si="137"/>
        <v>VERONA</v>
      </c>
      <c r="AB127" t="str">
        <f t="shared" si="138"/>
        <v>INTER</v>
      </c>
    </row>
    <row r="128" spans="23:28" ht="15">
      <c r="W128" s="82" t="str">
        <f t="shared" si="135"/>
        <v>MILAN</v>
      </c>
      <c r="X128" s="83" t="str">
        <f t="shared" si="136"/>
        <v>JUVENTUS</v>
      </c>
      <c r="Z128" s="409" t="s">
        <v>1610</v>
      </c>
      <c r="AA128" t="str">
        <f t="shared" si="137"/>
        <v>MILAN</v>
      </c>
      <c r="AB128" t="str">
        <f t="shared" si="138"/>
        <v>JUVENTUS</v>
      </c>
    </row>
    <row r="129" spans="23:28" ht="15">
      <c r="W129" s="82" t="str">
        <f t="shared" si="135"/>
        <v>NAPOLI</v>
      </c>
      <c r="X129" s="83" t="str">
        <f t="shared" si="136"/>
        <v>SASSUOLO</v>
      </c>
      <c r="Z129" s="409" t="s">
        <v>1613</v>
      </c>
      <c r="AA129" t="str">
        <f t="shared" si="137"/>
        <v>NAPOLI</v>
      </c>
      <c r="AB129" t="str">
        <f t="shared" si="138"/>
        <v>SASSUOLO</v>
      </c>
    </row>
    <row r="130" spans="23:28" ht="15">
      <c r="W130" s="82" t="str">
        <f t="shared" si="135"/>
        <v>ROMA</v>
      </c>
      <c r="X130" s="83" t="str">
        <f t="shared" si="136"/>
        <v>BOLOGNA</v>
      </c>
      <c r="Z130" s="409" t="s">
        <v>1616</v>
      </c>
      <c r="AA130" t="str">
        <f t="shared" si="137"/>
        <v>ROMA</v>
      </c>
      <c r="AB130" t="str">
        <f t="shared" si="138"/>
        <v>BOLOGNA</v>
      </c>
    </row>
    <row r="131" spans="23:28" ht="15">
      <c r="W131" s="82" t="str">
        <f t="shared" si="135"/>
        <v>SAMPDORIA</v>
      </c>
      <c r="X131" s="83" t="str">
        <f t="shared" si="136"/>
        <v>CHIEVO</v>
      </c>
      <c r="Z131" s="409" t="s">
        <v>1619</v>
      </c>
      <c r="AA131" t="str">
        <f t="shared" si="137"/>
        <v>SAMPDORIA</v>
      </c>
      <c r="AB131" t="str">
        <f t="shared" si="138"/>
        <v>CHIEVO</v>
      </c>
    </row>
    <row r="132" spans="23:28" ht="15">
      <c r="W132" s="82" t="str">
        <f t="shared" si="135"/>
        <v>SPAL</v>
      </c>
      <c r="X132" s="83" t="str">
        <f t="shared" si="136"/>
        <v>GENOA</v>
      </c>
      <c r="Z132" s="409" t="s">
        <v>1622</v>
      </c>
      <c r="AA132" t="str">
        <f t="shared" si="137"/>
        <v>SPAL</v>
      </c>
      <c r="AB132" t="str">
        <f t="shared" si="138"/>
        <v>GENOA</v>
      </c>
    </row>
    <row r="133" spans="23:28" ht="15">
      <c r="W133" s="82" t="str">
        <f t="shared" si="135"/>
        <v>TORINO</v>
      </c>
      <c r="X133" s="83" t="str">
        <f t="shared" si="136"/>
        <v>CAGLIARI</v>
      </c>
      <c r="Z133" s="409" t="s">
        <v>1625</v>
      </c>
      <c r="AA133" t="str">
        <f t="shared" si="137"/>
        <v>TORINO</v>
      </c>
      <c r="AB133" t="str">
        <f t="shared" si="138"/>
        <v>CAGLIARI</v>
      </c>
    </row>
    <row r="134" spans="23:28" ht="15">
      <c r="W134" s="82" t="str">
        <f t="shared" si="135"/>
        <v>UDINESE</v>
      </c>
      <c r="X134" s="83" t="str">
        <f t="shared" si="136"/>
        <v>ATALANTA</v>
      </c>
      <c r="Z134" s="409" t="s">
        <v>1628</v>
      </c>
      <c r="AA134" t="str">
        <f t="shared" si="137"/>
        <v>UDINESE</v>
      </c>
      <c r="AB134" t="str">
        <f t="shared" si="138"/>
        <v>ATALANTA</v>
      </c>
    </row>
    <row r="135" spans="23:28" ht="15">
      <c r="W135" s="83"/>
      <c r="X135" s="83"/>
      <c r="Z135" s="412"/>
    </row>
    <row r="136" spans="23:28" ht="15">
      <c r="W136" s="82" t="str">
        <f>AA136</f>
        <v>Giornata 12</v>
      </c>
      <c r="X136" s="82"/>
      <c r="Z136" s="412">
        <v>12</v>
      </c>
      <c r="AA136" t="str">
        <f>"Giornata " &amp; Z136</f>
        <v>Giornata 12</v>
      </c>
    </row>
    <row r="137" spans="23:28" ht="15">
      <c r="W137" s="82" t="str">
        <f t="shared" ref="W137:W146" si="139">AA137</f>
        <v>ATALANTA</v>
      </c>
      <c r="X137" s="83" t="str">
        <f>AB137</f>
        <v>SPAL</v>
      </c>
      <c r="Z137" s="409" t="s">
        <v>1631</v>
      </c>
      <c r="AA137" t="str">
        <f>MID(Z137,1,FIND("-",Z137)-2)</f>
        <v>ATALANTA</v>
      </c>
      <c r="AB137" t="str">
        <f>MID(Z137,FIND("-",Z137)+2,30)</f>
        <v>SPAL</v>
      </c>
    </row>
    <row r="138" spans="23:28" ht="15">
      <c r="W138" s="82" t="str">
        <f t="shared" si="139"/>
        <v>BOLOGNA</v>
      </c>
      <c r="X138" s="83" t="str">
        <f t="shared" ref="X138:X146" si="140">AB138</f>
        <v>CROTONE</v>
      </c>
      <c r="Z138" s="409" t="s">
        <v>1634</v>
      </c>
      <c r="AA138" t="str">
        <f t="shared" ref="AA138:AA146" si="141">MID(Z138,1,FIND("-",Z138)-2)</f>
        <v>BOLOGNA</v>
      </c>
      <c r="AB138" t="str">
        <f t="shared" ref="AB138:AB146" si="142">MID(Z138,FIND("-",Z138)+2,30)</f>
        <v>CROTONE</v>
      </c>
    </row>
    <row r="139" spans="23:28" ht="15">
      <c r="W139" s="82" t="str">
        <f t="shared" si="139"/>
        <v>CAGLIARI</v>
      </c>
      <c r="X139" s="83" t="str">
        <f t="shared" si="140"/>
        <v>VERONA</v>
      </c>
      <c r="Z139" s="409" t="s">
        <v>1637</v>
      </c>
      <c r="AA139" t="str">
        <f t="shared" si="141"/>
        <v>CAGLIARI</v>
      </c>
      <c r="AB139" t="str">
        <f t="shared" si="142"/>
        <v>VERONA</v>
      </c>
    </row>
    <row r="140" spans="23:28" ht="15">
      <c r="W140" s="82" t="str">
        <f t="shared" si="139"/>
        <v>CHIEVO</v>
      </c>
      <c r="X140" s="83" t="str">
        <f t="shared" si="140"/>
        <v>NAPOLI</v>
      </c>
      <c r="Z140" s="409" t="s">
        <v>1640</v>
      </c>
      <c r="AA140" t="str">
        <f t="shared" si="141"/>
        <v>CHIEVO</v>
      </c>
      <c r="AB140" t="str">
        <f t="shared" si="142"/>
        <v>NAPOLI</v>
      </c>
    </row>
    <row r="141" spans="23:28" ht="15">
      <c r="W141" s="82" t="str">
        <f t="shared" si="139"/>
        <v>FIORENTINA</v>
      </c>
      <c r="X141" s="83" t="str">
        <f t="shared" si="140"/>
        <v>ROMA</v>
      </c>
      <c r="Z141" s="409" t="s">
        <v>1643</v>
      </c>
      <c r="AA141" t="str">
        <f t="shared" si="141"/>
        <v>FIORENTINA</v>
      </c>
      <c r="AB141" t="str">
        <f t="shared" si="142"/>
        <v>ROMA</v>
      </c>
    </row>
    <row r="142" spans="23:28" ht="15">
      <c r="W142" s="82" t="str">
        <f t="shared" si="139"/>
        <v>GENOA</v>
      </c>
      <c r="X142" s="83" t="str">
        <f t="shared" si="140"/>
        <v>SAMPDORIA</v>
      </c>
      <c r="Z142" s="409" t="s">
        <v>1646</v>
      </c>
      <c r="AA142" t="str">
        <f t="shared" si="141"/>
        <v>GENOA</v>
      </c>
      <c r="AB142" t="str">
        <f t="shared" si="142"/>
        <v>SAMPDORIA</v>
      </c>
    </row>
    <row r="143" spans="23:28" ht="15">
      <c r="W143" s="82" t="str">
        <f t="shared" si="139"/>
        <v>INTER</v>
      </c>
      <c r="X143" s="83" t="str">
        <f t="shared" si="140"/>
        <v>TORINO</v>
      </c>
      <c r="Z143" s="409" t="s">
        <v>1649</v>
      </c>
      <c r="AA143" t="str">
        <f t="shared" si="141"/>
        <v>INTER</v>
      </c>
      <c r="AB143" t="str">
        <f t="shared" si="142"/>
        <v>TORINO</v>
      </c>
    </row>
    <row r="144" spans="23:28" ht="15">
      <c r="W144" s="82" t="str">
        <f t="shared" si="139"/>
        <v>JUVENTUS</v>
      </c>
      <c r="X144" s="83" t="str">
        <f t="shared" si="140"/>
        <v>BENEVENTO</v>
      </c>
      <c r="Z144" s="409" t="s">
        <v>1652</v>
      </c>
      <c r="AA144" t="str">
        <f t="shared" si="141"/>
        <v>JUVENTUS</v>
      </c>
      <c r="AB144" t="str">
        <f t="shared" si="142"/>
        <v>BENEVENTO</v>
      </c>
    </row>
    <row r="145" spans="23:28" ht="15">
      <c r="W145" s="82" t="str">
        <f t="shared" si="139"/>
        <v>LAZIO</v>
      </c>
      <c r="X145" s="83" t="str">
        <f t="shared" si="140"/>
        <v>UDINESE</v>
      </c>
      <c r="Z145" s="409" t="s">
        <v>1655</v>
      </c>
      <c r="AA145" t="str">
        <f t="shared" si="141"/>
        <v>LAZIO</v>
      </c>
      <c r="AB145" t="str">
        <f t="shared" si="142"/>
        <v>UDINESE</v>
      </c>
    </row>
    <row r="146" spans="23:28" ht="15">
      <c r="W146" s="82" t="str">
        <f t="shared" si="139"/>
        <v>SASSUOLO</v>
      </c>
      <c r="X146" s="83" t="str">
        <f t="shared" si="140"/>
        <v>MILAN</v>
      </c>
      <c r="Z146" s="409" t="s">
        <v>1658</v>
      </c>
      <c r="AA146" t="str">
        <f t="shared" si="141"/>
        <v>SASSUOLO</v>
      </c>
      <c r="AB146" t="str">
        <f t="shared" si="142"/>
        <v>MILAN</v>
      </c>
    </row>
    <row r="147" spans="23:28">
      <c r="W147" s="85"/>
      <c r="X147" s="85"/>
    </row>
    <row r="148" spans="23:28" ht="15">
      <c r="W148" s="82" t="str">
        <f>AA148</f>
        <v>Giornata 13</v>
      </c>
      <c r="X148" s="82"/>
      <c r="Z148" s="417">
        <v>13</v>
      </c>
      <c r="AA148" t="str">
        <f>"Giornata " &amp; Z148</f>
        <v>Giornata 13</v>
      </c>
    </row>
    <row r="149" spans="23:28" ht="15">
      <c r="W149" s="82" t="str">
        <f t="shared" ref="W149:W158" si="143">AA149</f>
        <v>BENEVENTO</v>
      </c>
      <c r="X149" s="83" t="str">
        <f>AB149</f>
        <v>SASSUOLO</v>
      </c>
      <c r="Z149" s="417" t="s">
        <v>1483</v>
      </c>
      <c r="AA149" t="str">
        <f>MID(Z149,1,FIND("-",Z149)-2)</f>
        <v>BENEVENTO</v>
      </c>
      <c r="AB149" t="str">
        <f>MID(Z149,FIND("-",Z149)+2,30)</f>
        <v>SASSUOLO</v>
      </c>
    </row>
    <row r="150" spans="23:28" ht="15">
      <c r="W150" s="82" t="str">
        <f t="shared" si="143"/>
        <v>CROTONE</v>
      </c>
      <c r="X150" s="83" t="str">
        <f t="shared" ref="X150:X158" si="144">AB150</f>
        <v>GENOA</v>
      </c>
      <c r="Z150" s="410" t="s">
        <v>1485</v>
      </c>
      <c r="AA150" t="str">
        <f t="shared" ref="AA150:AA158" si="145">MID(Z150,1,FIND("-",Z150)-2)</f>
        <v>CROTONE</v>
      </c>
      <c r="AB150" t="str">
        <f t="shared" ref="AB150:AB158" si="146">MID(Z150,FIND("-",Z150)+2,30)</f>
        <v>GENOA</v>
      </c>
    </row>
    <row r="151" spans="23:28" ht="15">
      <c r="W151" s="82" t="str">
        <f t="shared" si="143"/>
        <v>VERONA</v>
      </c>
      <c r="X151" s="83" t="str">
        <f t="shared" si="144"/>
        <v>BOLOGNA</v>
      </c>
      <c r="Z151" s="410" t="s">
        <v>1488</v>
      </c>
      <c r="AA151" t="str">
        <f t="shared" si="145"/>
        <v>VERONA</v>
      </c>
      <c r="AB151" t="str">
        <f t="shared" si="146"/>
        <v>BOLOGNA</v>
      </c>
    </row>
    <row r="152" spans="23:28" ht="15">
      <c r="W152" s="82" t="str">
        <f t="shared" si="143"/>
        <v>INTER</v>
      </c>
      <c r="X152" s="83" t="str">
        <f t="shared" si="144"/>
        <v>ATALANTA</v>
      </c>
      <c r="Z152" s="410" t="s">
        <v>1491</v>
      </c>
      <c r="AA152" t="str">
        <f t="shared" si="145"/>
        <v>INTER</v>
      </c>
      <c r="AB152" t="str">
        <f t="shared" si="146"/>
        <v>ATALANTA</v>
      </c>
    </row>
    <row r="153" spans="23:28" ht="15">
      <c r="W153" s="82" t="str">
        <f t="shared" si="143"/>
        <v>NAPOLI</v>
      </c>
      <c r="X153" s="83" t="str">
        <f t="shared" si="144"/>
        <v>MILAN</v>
      </c>
      <c r="Z153" s="410" t="s">
        <v>1494</v>
      </c>
      <c r="AA153" t="str">
        <f t="shared" si="145"/>
        <v>NAPOLI</v>
      </c>
      <c r="AB153" t="str">
        <f t="shared" si="146"/>
        <v>MILAN</v>
      </c>
    </row>
    <row r="154" spans="23:28" ht="15">
      <c r="W154" s="82" t="str">
        <f t="shared" si="143"/>
        <v>ROMA</v>
      </c>
      <c r="X154" s="83" t="str">
        <f t="shared" si="144"/>
        <v>LAZIO</v>
      </c>
      <c r="Z154" s="410" t="s">
        <v>1497</v>
      </c>
      <c r="AA154" t="str">
        <f t="shared" si="145"/>
        <v>ROMA</v>
      </c>
      <c r="AB154" t="str">
        <f t="shared" si="146"/>
        <v>LAZIO</v>
      </c>
    </row>
    <row r="155" spans="23:28" ht="15">
      <c r="W155" s="82" t="str">
        <f t="shared" si="143"/>
        <v>SAMPDORIA</v>
      </c>
      <c r="X155" s="83" t="str">
        <f t="shared" si="144"/>
        <v>JUVENTUS</v>
      </c>
      <c r="Z155" s="410" t="s">
        <v>1500</v>
      </c>
      <c r="AA155" t="str">
        <f t="shared" si="145"/>
        <v>SAMPDORIA</v>
      </c>
      <c r="AB155" t="str">
        <f t="shared" si="146"/>
        <v>JUVENTUS</v>
      </c>
    </row>
    <row r="156" spans="23:28" ht="15">
      <c r="W156" s="82" t="str">
        <f t="shared" si="143"/>
        <v>SPAL</v>
      </c>
      <c r="X156" s="83" t="str">
        <f t="shared" si="144"/>
        <v>FIORENTINA</v>
      </c>
      <c r="Z156" s="410" t="s">
        <v>1503</v>
      </c>
      <c r="AA156" t="str">
        <f t="shared" si="145"/>
        <v>SPAL</v>
      </c>
      <c r="AB156" t="str">
        <f t="shared" si="146"/>
        <v>FIORENTINA</v>
      </c>
    </row>
    <row r="157" spans="23:28" ht="15">
      <c r="W157" s="82" t="str">
        <f t="shared" si="143"/>
        <v>TORINO</v>
      </c>
      <c r="X157" s="83" t="str">
        <f t="shared" si="144"/>
        <v>CHIEVO</v>
      </c>
      <c r="Z157" s="410" t="s">
        <v>1506</v>
      </c>
      <c r="AA157" t="str">
        <f t="shared" si="145"/>
        <v>TORINO</v>
      </c>
      <c r="AB157" t="str">
        <f t="shared" si="146"/>
        <v>CHIEVO</v>
      </c>
    </row>
    <row r="158" spans="23:28" ht="15">
      <c r="W158" s="82" t="str">
        <f t="shared" si="143"/>
        <v>UDINESE</v>
      </c>
      <c r="X158" s="83" t="str">
        <f t="shared" si="144"/>
        <v>CAGLIARI</v>
      </c>
      <c r="Z158" s="410" t="s">
        <v>1509</v>
      </c>
      <c r="AA158" t="str">
        <f t="shared" si="145"/>
        <v>UDINESE</v>
      </c>
      <c r="AB158" t="str">
        <f t="shared" si="146"/>
        <v>CAGLIARI</v>
      </c>
    </row>
    <row r="159" spans="23:28" ht="15">
      <c r="W159" s="83"/>
      <c r="X159" s="83"/>
      <c r="Z159" s="410"/>
    </row>
    <row r="160" spans="23:28" ht="15">
      <c r="W160" s="82" t="str">
        <f>AA160</f>
        <v>Giornata 14</v>
      </c>
      <c r="X160" s="82"/>
      <c r="Z160" s="413">
        <v>14</v>
      </c>
      <c r="AA160" t="str">
        <f>"Giornata " &amp; Z160</f>
        <v>Giornata 14</v>
      </c>
    </row>
    <row r="161" spans="23:28" ht="15">
      <c r="W161" s="82" t="str">
        <f t="shared" ref="W161:W170" si="147">AA161</f>
        <v>ATALANTA</v>
      </c>
      <c r="X161" s="83" t="str">
        <f>AB161</f>
        <v>BENEVENTO</v>
      </c>
      <c r="Z161" s="410" t="s">
        <v>1512</v>
      </c>
      <c r="AA161" t="str">
        <f>MID(Z161,1,FIND("-",Z161)-2)</f>
        <v>ATALANTA</v>
      </c>
      <c r="AB161" t="str">
        <f>MID(Z161,FIND("-",Z161)+2,30)</f>
        <v>BENEVENTO</v>
      </c>
    </row>
    <row r="162" spans="23:28" ht="15">
      <c r="W162" s="82" t="str">
        <f t="shared" si="147"/>
        <v>BOLOGNA</v>
      </c>
      <c r="X162" s="83" t="str">
        <f t="shared" ref="X162:X170" si="148">AB162</f>
        <v>SAMPDORIA</v>
      </c>
      <c r="Z162" s="410" t="s">
        <v>1515</v>
      </c>
      <c r="AA162" t="str">
        <f t="shared" ref="AA162:AA170" si="149">MID(Z162,1,FIND("-",Z162)-2)</f>
        <v>BOLOGNA</v>
      </c>
      <c r="AB162" t="str">
        <f t="shared" ref="AB162:AB170" si="150">MID(Z162,FIND("-",Z162)+2,30)</f>
        <v>SAMPDORIA</v>
      </c>
    </row>
    <row r="163" spans="23:28" ht="15">
      <c r="W163" s="82" t="str">
        <f t="shared" si="147"/>
        <v>CAGLIARI</v>
      </c>
      <c r="X163" s="83" t="str">
        <f t="shared" si="148"/>
        <v>INTER</v>
      </c>
      <c r="Z163" s="410" t="s">
        <v>1518</v>
      </c>
      <c r="AA163" t="str">
        <f t="shared" si="149"/>
        <v>CAGLIARI</v>
      </c>
      <c r="AB163" t="str">
        <f t="shared" si="150"/>
        <v>INTER</v>
      </c>
    </row>
    <row r="164" spans="23:28" ht="15">
      <c r="W164" s="82" t="str">
        <f t="shared" si="147"/>
        <v>CHIEVO</v>
      </c>
      <c r="X164" s="83" t="str">
        <f t="shared" si="148"/>
        <v>SPAL</v>
      </c>
      <c r="Z164" s="410" t="s">
        <v>1521</v>
      </c>
      <c r="AA164" t="str">
        <f t="shared" si="149"/>
        <v>CHIEVO</v>
      </c>
      <c r="AB164" t="str">
        <f t="shared" si="150"/>
        <v>SPAL</v>
      </c>
    </row>
    <row r="165" spans="23:28" ht="15">
      <c r="W165" s="82" t="str">
        <f t="shared" si="147"/>
        <v>GENOA</v>
      </c>
      <c r="X165" s="83" t="str">
        <f t="shared" si="148"/>
        <v>ROMA</v>
      </c>
      <c r="Z165" s="410" t="s">
        <v>1524</v>
      </c>
      <c r="AA165" t="str">
        <f t="shared" si="149"/>
        <v>GENOA</v>
      </c>
      <c r="AB165" t="str">
        <f t="shared" si="150"/>
        <v>ROMA</v>
      </c>
    </row>
    <row r="166" spans="23:28" ht="15">
      <c r="W166" s="82" t="str">
        <f t="shared" si="147"/>
        <v>JUVENTUS</v>
      </c>
      <c r="X166" s="83" t="str">
        <f t="shared" si="148"/>
        <v>CROTONE</v>
      </c>
      <c r="Z166" s="410" t="s">
        <v>1527</v>
      </c>
      <c r="AA166" t="str">
        <f t="shared" si="149"/>
        <v>JUVENTUS</v>
      </c>
      <c r="AB166" t="str">
        <f t="shared" si="150"/>
        <v>CROTONE</v>
      </c>
    </row>
    <row r="167" spans="23:28" ht="15">
      <c r="W167" s="82" t="str">
        <f t="shared" si="147"/>
        <v>LAZIO</v>
      </c>
      <c r="X167" s="83" t="str">
        <f t="shared" si="148"/>
        <v>FIORENTINA</v>
      </c>
      <c r="Z167" s="410" t="s">
        <v>1530</v>
      </c>
      <c r="AA167" t="str">
        <f t="shared" si="149"/>
        <v>LAZIO</v>
      </c>
      <c r="AB167" t="str">
        <f t="shared" si="150"/>
        <v>FIORENTINA</v>
      </c>
    </row>
    <row r="168" spans="23:28" ht="15">
      <c r="W168" s="82" t="str">
        <f t="shared" si="147"/>
        <v>MILAN</v>
      </c>
      <c r="X168" s="83" t="str">
        <f t="shared" si="148"/>
        <v>TORINO</v>
      </c>
      <c r="Z168" s="410" t="s">
        <v>1533</v>
      </c>
      <c r="AA168" t="str">
        <f t="shared" si="149"/>
        <v>MILAN</v>
      </c>
      <c r="AB168" t="str">
        <f t="shared" si="150"/>
        <v>TORINO</v>
      </c>
    </row>
    <row r="169" spans="23:28" ht="15">
      <c r="W169" s="82" t="str">
        <f t="shared" si="147"/>
        <v>SASSUOLO</v>
      </c>
      <c r="X169" s="83" t="str">
        <f t="shared" si="148"/>
        <v>VERONA</v>
      </c>
      <c r="Z169" s="410" t="s">
        <v>1536</v>
      </c>
      <c r="AA169" t="str">
        <f t="shared" si="149"/>
        <v>SASSUOLO</v>
      </c>
      <c r="AB169" t="str">
        <f t="shared" si="150"/>
        <v>VERONA</v>
      </c>
    </row>
    <row r="170" spans="23:28" ht="15">
      <c r="W170" s="82" t="str">
        <f t="shared" si="147"/>
        <v>UDINESE</v>
      </c>
      <c r="X170" s="83" t="str">
        <f t="shared" si="148"/>
        <v>NAPOLI</v>
      </c>
      <c r="Z170" s="410" t="s">
        <v>1539</v>
      </c>
      <c r="AA170" t="str">
        <f t="shared" si="149"/>
        <v>UDINESE</v>
      </c>
      <c r="AB170" t="str">
        <f t="shared" si="150"/>
        <v>NAPOLI</v>
      </c>
    </row>
    <row r="171" spans="23:28" ht="15">
      <c r="W171" s="83"/>
      <c r="X171" s="83"/>
      <c r="Z171" s="413"/>
      <c r="AA171" s="79"/>
      <c r="AB171" s="79"/>
    </row>
    <row r="172" spans="23:28" ht="15">
      <c r="W172" s="82" t="str">
        <f>AA172</f>
        <v>Giornata 15</v>
      </c>
      <c r="X172" s="82"/>
      <c r="Z172" s="413">
        <v>15</v>
      </c>
      <c r="AA172" t="str">
        <f>"Giornata " &amp; Z172</f>
        <v>Giornata 15</v>
      </c>
    </row>
    <row r="173" spans="23:28" ht="15">
      <c r="W173" s="82" t="str">
        <f t="shared" ref="W173:W182" si="151">AA173</f>
        <v>BENEVENTO</v>
      </c>
      <c r="X173" s="83" t="str">
        <f>AB173</f>
        <v>MILAN</v>
      </c>
      <c r="Z173" s="410" t="s">
        <v>1542</v>
      </c>
      <c r="AA173" t="str">
        <f>MID(Z173,1,FIND("-",Z173)-2)</f>
        <v>BENEVENTO</v>
      </c>
      <c r="AB173" t="str">
        <f>MID(Z173,FIND("-",Z173)+2,30)</f>
        <v>MILAN</v>
      </c>
    </row>
    <row r="174" spans="23:28" ht="15">
      <c r="W174" s="82" t="str">
        <f t="shared" si="151"/>
        <v>BOLOGNA</v>
      </c>
      <c r="X174" s="83" t="str">
        <f t="shared" ref="X174:X182" si="152">AB174</f>
        <v>CAGLIARI</v>
      </c>
      <c r="Z174" s="410" t="s">
        <v>1545</v>
      </c>
      <c r="AA174" t="str">
        <f t="shared" ref="AA174:AA182" si="153">MID(Z174,1,FIND("-",Z174)-2)</f>
        <v>BOLOGNA</v>
      </c>
      <c r="AB174" t="str">
        <f t="shared" ref="AB174:AB182" si="154">MID(Z174,FIND("-",Z174)+2,30)</f>
        <v>CAGLIARI</v>
      </c>
    </row>
    <row r="175" spans="23:28" ht="15">
      <c r="W175" s="82" t="str">
        <f t="shared" si="151"/>
        <v>CROTONE</v>
      </c>
      <c r="X175" s="83" t="str">
        <f t="shared" si="152"/>
        <v>UDINESE</v>
      </c>
      <c r="Z175" s="410" t="s">
        <v>1548</v>
      </c>
      <c r="AA175" t="str">
        <f t="shared" si="153"/>
        <v>CROTONE</v>
      </c>
      <c r="AB175" t="str">
        <f t="shared" si="154"/>
        <v>UDINESE</v>
      </c>
    </row>
    <row r="176" spans="23:28" ht="15">
      <c r="W176" s="82" t="str">
        <f t="shared" si="151"/>
        <v>FIORENTINA</v>
      </c>
      <c r="X176" s="83" t="str">
        <f t="shared" si="152"/>
        <v>SASSUOLO</v>
      </c>
      <c r="Z176" s="410" t="s">
        <v>1551</v>
      </c>
      <c r="AA176" t="str">
        <f t="shared" si="153"/>
        <v>FIORENTINA</v>
      </c>
      <c r="AB176" t="str">
        <f t="shared" si="154"/>
        <v>SASSUOLO</v>
      </c>
    </row>
    <row r="177" spans="23:28" ht="15">
      <c r="W177" s="82" t="str">
        <f t="shared" si="151"/>
        <v>VERONA</v>
      </c>
      <c r="X177" s="83" t="str">
        <f t="shared" si="152"/>
        <v>GENOA</v>
      </c>
      <c r="Z177" s="410" t="s">
        <v>1554</v>
      </c>
      <c r="AA177" t="str">
        <f t="shared" si="153"/>
        <v>VERONA</v>
      </c>
      <c r="AB177" t="str">
        <f t="shared" si="154"/>
        <v>GENOA</v>
      </c>
    </row>
    <row r="178" spans="23:28" ht="15">
      <c r="W178" s="82" t="str">
        <f t="shared" si="151"/>
        <v>INTER</v>
      </c>
      <c r="X178" s="83" t="str">
        <f t="shared" si="152"/>
        <v>CHIEVO</v>
      </c>
      <c r="Z178" s="410" t="s">
        <v>1557</v>
      </c>
      <c r="AA178" t="str">
        <f t="shared" si="153"/>
        <v>INTER</v>
      </c>
      <c r="AB178" t="str">
        <f t="shared" si="154"/>
        <v>CHIEVO</v>
      </c>
    </row>
    <row r="179" spans="23:28" ht="15">
      <c r="W179" s="82" t="str">
        <f t="shared" si="151"/>
        <v>NAPOLI</v>
      </c>
      <c r="X179" s="83" t="str">
        <f t="shared" si="152"/>
        <v>JUVENTUS</v>
      </c>
      <c r="Z179" s="410" t="s">
        <v>1560</v>
      </c>
      <c r="AA179" t="str">
        <f t="shared" si="153"/>
        <v>NAPOLI</v>
      </c>
      <c r="AB179" t="str">
        <f t="shared" si="154"/>
        <v>JUVENTUS</v>
      </c>
    </row>
    <row r="180" spans="23:28" ht="15">
      <c r="W180" s="82" t="str">
        <f t="shared" si="151"/>
        <v>ROMA</v>
      </c>
      <c r="X180" s="83" t="str">
        <f t="shared" si="152"/>
        <v>SPAL</v>
      </c>
      <c r="Z180" s="410" t="s">
        <v>1563</v>
      </c>
      <c r="AA180" t="str">
        <f t="shared" si="153"/>
        <v>ROMA</v>
      </c>
      <c r="AB180" t="str">
        <f t="shared" si="154"/>
        <v>SPAL</v>
      </c>
    </row>
    <row r="181" spans="23:28" ht="15">
      <c r="W181" s="82" t="str">
        <f t="shared" si="151"/>
        <v>SAMPDORIA</v>
      </c>
      <c r="X181" s="83" t="str">
        <f t="shared" si="152"/>
        <v>LAZIO</v>
      </c>
      <c r="Z181" s="410" t="s">
        <v>1566</v>
      </c>
      <c r="AA181" t="str">
        <f t="shared" si="153"/>
        <v>SAMPDORIA</v>
      </c>
      <c r="AB181" t="str">
        <f t="shared" si="154"/>
        <v>LAZIO</v>
      </c>
    </row>
    <row r="182" spans="23:28" ht="15">
      <c r="W182" s="82" t="str">
        <f t="shared" si="151"/>
        <v>TORINO</v>
      </c>
      <c r="X182" s="83" t="str">
        <f t="shared" si="152"/>
        <v>ATALANTA</v>
      </c>
      <c r="Z182" s="410" t="s">
        <v>1569</v>
      </c>
      <c r="AA182" t="str">
        <f t="shared" si="153"/>
        <v>TORINO</v>
      </c>
      <c r="AB182" t="str">
        <f t="shared" si="154"/>
        <v>ATALANTA</v>
      </c>
    </row>
    <row r="183" spans="23:28" ht="15">
      <c r="W183" s="83"/>
      <c r="X183" s="83"/>
      <c r="Z183" s="413"/>
    </row>
    <row r="184" spans="23:28" ht="15">
      <c r="W184" s="82" t="str">
        <f>AA184</f>
        <v>Giornata 16</v>
      </c>
      <c r="X184" s="82"/>
      <c r="Z184" s="413">
        <v>16</v>
      </c>
      <c r="AA184" t="str">
        <f>"Giornata " &amp; Z184</f>
        <v>Giornata 16</v>
      </c>
    </row>
    <row r="185" spans="23:28" ht="15">
      <c r="W185" s="82" t="str">
        <f t="shared" ref="W185:W194" si="155">AA185</f>
        <v>CAGLIARI</v>
      </c>
      <c r="X185" s="83" t="str">
        <f>AB185</f>
        <v>SAMPDORIA</v>
      </c>
      <c r="Z185" s="410" t="s">
        <v>1572</v>
      </c>
      <c r="AA185" t="str">
        <f>MID(Z185,1,FIND("-",Z185)-2)</f>
        <v>CAGLIARI</v>
      </c>
      <c r="AB185" t="str">
        <f>MID(Z185,FIND("-",Z185)+2,30)</f>
        <v>SAMPDORIA</v>
      </c>
    </row>
    <row r="186" spans="23:28" ht="15">
      <c r="W186" s="82" t="str">
        <f t="shared" si="155"/>
        <v>CHIEVO</v>
      </c>
      <c r="X186" s="83" t="str">
        <f t="shared" ref="X186:X194" si="156">AB186</f>
        <v>ROMA</v>
      </c>
      <c r="Z186" s="410" t="s">
        <v>1575</v>
      </c>
      <c r="AA186" t="str">
        <f t="shared" ref="AA186:AA194" si="157">MID(Z186,1,FIND("-",Z186)-2)</f>
        <v>CHIEVO</v>
      </c>
      <c r="AB186" t="str">
        <f t="shared" ref="AB186:AB194" si="158">MID(Z186,FIND("-",Z186)+2,30)</f>
        <v>ROMA</v>
      </c>
    </row>
    <row r="187" spans="23:28" ht="15">
      <c r="W187" s="82" t="str">
        <f t="shared" si="155"/>
        <v>GENOA</v>
      </c>
      <c r="X187" s="83" t="str">
        <f t="shared" si="156"/>
        <v>ATALANTA</v>
      </c>
      <c r="Z187" s="410" t="s">
        <v>1578</v>
      </c>
      <c r="AA187" t="str">
        <f t="shared" si="157"/>
        <v>GENOA</v>
      </c>
      <c r="AB187" t="str">
        <f t="shared" si="158"/>
        <v>ATALANTA</v>
      </c>
    </row>
    <row r="188" spans="23:28" ht="15">
      <c r="W188" s="82" t="str">
        <f t="shared" si="155"/>
        <v>JUVENTUS</v>
      </c>
      <c r="X188" s="83" t="str">
        <f t="shared" si="156"/>
        <v>INTER</v>
      </c>
      <c r="Z188" s="410" t="s">
        <v>1581</v>
      </c>
      <c r="AA188" t="str">
        <f t="shared" si="157"/>
        <v>JUVENTUS</v>
      </c>
      <c r="AB188" t="str">
        <f t="shared" si="158"/>
        <v>INTER</v>
      </c>
    </row>
    <row r="189" spans="23:28" ht="15">
      <c r="W189" s="82" t="str">
        <f t="shared" si="155"/>
        <v>LAZIO</v>
      </c>
      <c r="X189" s="83" t="str">
        <f t="shared" si="156"/>
        <v>TORINO</v>
      </c>
      <c r="Z189" s="410" t="s">
        <v>1584</v>
      </c>
      <c r="AA189" t="str">
        <f t="shared" si="157"/>
        <v>LAZIO</v>
      </c>
      <c r="AB189" t="str">
        <f t="shared" si="158"/>
        <v>TORINO</v>
      </c>
    </row>
    <row r="190" spans="23:28" ht="15">
      <c r="W190" s="82" t="str">
        <f t="shared" si="155"/>
        <v>MILAN</v>
      </c>
      <c r="X190" s="83" t="str">
        <f t="shared" si="156"/>
        <v>BOLOGNA</v>
      </c>
      <c r="Z190" s="410" t="s">
        <v>1587</v>
      </c>
      <c r="AA190" t="str">
        <f t="shared" si="157"/>
        <v>MILAN</v>
      </c>
      <c r="AB190" t="str">
        <f t="shared" si="158"/>
        <v>BOLOGNA</v>
      </c>
    </row>
    <row r="191" spans="23:28" ht="15">
      <c r="W191" s="82" t="str">
        <f t="shared" si="155"/>
        <v>NAPOLI</v>
      </c>
      <c r="X191" s="83" t="str">
        <f t="shared" si="156"/>
        <v>FIORENTINA</v>
      </c>
      <c r="Z191" s="410" t="s">
        <v>1590</v>
      </c>
      <c r="AA191" t="str">
        <f t="shared" si="157"/>
        <v>NAPOLI</v>
      </c>
      <c r="AB191" t="str">
        <f t="shared" si="158"/>
        <v>FIORENTINA</v>
      </c>
    </row>
    <row r="192" spans="23:28" ht="15">
      <c r="W192" s="82" t="str">
        <f t="shared" si="155"/>
        <v>SASSUOLO</v>
      </c>
      <c r="X192" s="83" t="str">
        <f t="shared" si="156"/>
        <v>CROTONE</v>
      </c>
      <c r="Z192" s="410" t="s">
        <v>1593</v>
      </c>
      <c r="AA192" t="str">
        <f t="shared" si="157"/>
        <v>SASSUOLO</v>
      </c>
      <c r="AB192" t="str">
        <f t="shared" si="158"/>
        <v>CROTONE</v>
      </c>
    </row>
    <row r="193" spans="23:28" ht="15">
      <c r="W193" s="82" t="str">
        <f t="shared" si="155"/>
        <v>SPAL</v>
      </c>
      <c r="X193" s="83" t="str">
        <f t="shared" si="156"/>
        <v>VERONA</v>
      </c>
      <c r="Z193" s="410" t="s">
        <v>1596</v>
      </c>
      <c r="AA193" t="str">
        <f t="shared" si="157"/>
        <v>SPAL</v>
      </c>
      <c r="AB193" t="str">
        <f t="shared" si="158"/>
        <v>VERONA</v>
      </c>
    </row>
    <row r="194" spans="23:28" ht="15">
      <c r="W194" s="82" t="str">
        <f t="shared" si="155"/>
        <v>UDINESE</v>
      </c>
      <c r="X194" s="83" t="str">
        <f t="shared" si="156"/>
        <v>BENEVENTO</v>
      </c>
      <c r="Z194" s="410" t="s">
        <v>1599</v>
      </c>
      <c r="AA194" t="str">
        <f t="shared" si="157"/>
        <v>UDINESE</v>
      </c>
      <c r="AB194" t="str">
        <f t="shared" si="158"/>
        <v>BENEVENTO</v>
      </c>
    </row>
    <row r="195" spans="23:28" ht="15">
      <c r="W195" s="85"/>
      <c r="X195" s="85"/>
      <c r="Z195" s="413"/>
    </row>
    <row r="196" spans="23:28" ht="15">
      <c r="W196" s="82" t="str">
        <f>AA196</f>
        <v>Giornata 17</v>
      </c>
      <c r="X196" s="82"/>
      <c r="Z196" s="413">
        <v>17</v>
      </c>
      <c r="AA196" t="str">
        <f>"Giornata " &amp; Z196</f>
        <v>Giornata 17</v>
      </c>
    </row>
    <row r="197" spans="23:28" ht="15">
      <c r="W197" s="82" t="str">
        <f t="shared" ref="W197:W206" si="159">AA197</f>
        <v>ATALANTA</v>
      </c>
      <c r="X197" s="83" t="str">
        <f>AB197</f>
        <v>LAZIO</v>
      </c>
      <c r="Z197" s="410" t="s">
        <v>1602</v>
      </c>
      <c r="AA197" t="str">
        <f>MID(Z197,1,FIND("-",Z197)-2)</f>
        <v>ATALANTA</v>
      </c>
      <c r="AB197" t="str">
        <f>MID(Z197,FIND("-",Z197)+2,30)</f>
        <v>LAZIO</v>
      </c>
    </row>
    <row r="198" spans="23:28" ht="15">
      <c r="W198" s="82" t="str">
        <f t="shared" si="159"/>
        <v>BENEVENTO</v>
      </c>
      <c r="X198" s="83" t="str">
        <f t="shared" ref="X198:X206" si="160">AB198</f>
        <v>SPAL</v>
      </c>
      <c r="Z198" s="410" t="s">
        <v>1605</v>
      </c>
      <c r="AA198" t="str">
        <f t="shared" ref="AA198:AA206" si="161">MID(Z198,1,FIND("-",Z198)-2)</f>
        <v>BENEVENTO</v>
      </c>
      <c r="AB198" t="str">
        <f t="shared" ref="AB198:AB206" si="162">MID(Z198,FIND("-",Z198)+2,30)</f>
        <v>SPAL</v>
      </c>
    </row>
    <row r="199" spans="23:28" ht="15">
      <c r="W199" s="82" t="str">
        <f t="shared" si="159"/>
        <v>BOLOGNA</v>
      </c>
      <c r="X199" s="83" t="str">
        <f t="shared" si="160"/>
        <v>JUVENTUS</v>
      </c>
      <c r="Z199" s="410" t="s">
        <v>1608</v>
      </c>
      <c r="AA199" t="str">
        <f t="shared" si="161"/>
        <v>BOLOGNA</v>
      </c>
      <c r="AB199" t="str">
        <f t="shared" si="162"/>
        <v>JUVENTUS</v>
      </c>
    </row>
    <row r="200" spans="23:28" ht="15">
      <c r="W200" s="82" t="str">
        <f t="shared" si="159"/>
        <v>CROTONE</v>
      </c>
      <c r="X200" s="83" t="str">
        <f t="shared" si="160"/>
        <v>CHIEVO</v>
      </c>
      <c r="Z200" s="410" t="s">
        <v>1611</v>
      </c>
      <c r="AA200" t="str">
        <f t="shared" si="161"/>
        <v>CROTONE</v>
      </c>
      <c r="AB200" t="str">
        <f t="shared" si="162"/>
        <v>CHIEVO</v>
      </c>
    </row>
    <row r="201" spans="23:28" ht="15">
      <c r="W201" s="82" t="str">
        <f t="shared" si="159"/>
        <v>FIORENTINA</v>
      </c>
      <c r="X201" s="83" t="str">
        <f t="shared" si="160"/>
        <v>GENOA</v>
      </c>
      <c r="Z201" s="410" t="s">
        <v>1614</v>
      </c>
      <c r="AA201" t="str">
        <f t="shared" si="161"/>
        <v>FIORENTINA</v>
      </c>
      <c r="AB201" t="str">
        <f t="shared" si="162"/>
        <v>GENOA</v>
      </c>
    </row>
    <row r="202" spans="23:28" ht="15">
      <c r="W202" s="82" t="str">
        <f t="shared" si="159"/>
        <v>VERONA</v>
      </c>
      <c r="X202" s="83" t="str">
        <f t="shared" si="160"/>
        <v>MILAN</v>
      </c>
      <c r="Z202" s="410" t="s">
        <v>1617</v>
      </c>
      <c r="AA202" t="str">
        <f t="shared" si="161"/>
        <v>VERONA</v>
      </c>
      <c r="AB202" t="str">
        <f t="shared" si="162"/>
        <v>MILAN</v>
      </c>
    </row>
    <row r="203" spans="23:28" ht="15">
      <c r="W203" s="82" t="str">
        <f t="shared" si="159"/>
        <v>INTER</v>
      </c>
      <c r="X203" s="83" t="str">
        <f t="shared" si="160"/>
        <v>UDINESE</v>
      </c>
      <c r="Z203" s="410" t="s">
        <v>1620</v>
      </c>
      <c r="AA203" t="str">
        <f t="shared" si="161"/>
        <v>INTER</v>
      </c>
      <c r="AB203" t="str">
        <f t="shared" si="162"/>
        <v>UDINESE</v>
      </c>
    </row>
    <row r="204" spans="23:28" ht="15">
      <c r="W204" s="82" t="str">
        <f t="shared" si="159"/>
        <v>ROMA</v>
      </c>
      <c r="X204" s="83" t="str">
        <f t="shared" si="160"/>
        <v>CAGLIARI</v>
      </c>
      <c r="Z204" s="410" t="s">
        <v>1623</v>
      </c>
      <c r="AA204" t="str">
        <f t="shared" si="161"/>
        <v>ROMA</v>
      </c>
      <c r="AB204" t="str">
        <f t="shared" si="162"/>
        <v>CAGLIARI</v>
      </c>
    </row>
    <row r="205" spans="23:28" ht="15">
      <c r="W205" s="82" t="str">
        <f t="shared" si="159"/>
        <v>SAMPDORIA</v>
      </c>
      <c r="X205" s="83" t="str">
        <f t="shared" si="160"/>
        <v>SASSUOLO</v>
      </c>
      <c r="Z205" s="410" t="s">
        <v>1626</v>
      </c>
      <c r="AA205" t="str">
        <f t="shared" si="161"/>
        <v>SAMPDORIA</v>
      </c>
      <c r="AB205" t="str">
        <f t="shared" si="162"/>
        <v>SASSUOLO</v>
      </c>
    </row>
    <row r="206" spans="23:28" ht="15">
      <c r="W206" s="82" t="str">
        <f t="shared" si="159"/>
        <v>TORINO</v>
      </c>
      <c r="X206" s="83" t="str">
        <f t="shared" si="160"/>
        <v>NAPOLI</v>
      </c>
      <c r="Z206" s="410" t="s">
        <v>1629</v>
      </c>
      <c r="AA206" t="str">
        <f t="shared" si="161"/>
        <v>TORINO</v>
      </c>
      <c r="AB206" t="str">
        <f t="shared" si="162"/>
        <v>NAPOLI</v>
      </c>
    </row>
    <row r="207" spans="23:28" ht="15">
      <c r="W207" s="83"/>
      <c r="X207" s="83"/>
      <c r="Z207" s="413"/>
    </row>
    <row r="208" spans="23:28" ht="15">
      <c r="W208" s="82" t="str">
        <f>AA208</f>
        <v>Giornata 18</v>
      </c>
      <c r="X208" s="82"/>
      <c r="Z208" s="413">
        <v>18</v>
      </c>
      <c r="AA208" t="str">
        <f>"Giornata " &amp; Z208</f>
        <v>Giornata 18</v>
      </c>
    </row>
    <row r="209" spans="23:28" ht="15">
      <c r="W209" s="82" t="str">
        <f t="shared" ref="W209:W218" si="163">AA209</f>
        <v>CAGLIARI</v>
      </c>
      <c r="X209" s="83" t="str">
        <f>AB209</f>
        <v>FIORENTINA</v>
      </c>
      <c r="Z209" s="410" t="s">
        <v>1632</v>
      </c>
      <c r="AA209" t="str">
        <f>MID(Z209,1,FIND("-",Z209)-2)</f>
        <v>CAGLIARI</v>
      </c>
      <c r="AB209" t="str">
        <f>MID(Z209,FIND("-",Z209)+2,30)</f>
        <v>FIORENTINA</v>
      </c>
    </row>
    <row r="210" spans="23:28" ht="15">
      <c r="W210" s="82" t="str">
        <f t="shared" si="163"/>
        <v>CHIEVO</v>
      </c>
      <c r="X210" s="83" t="str">
        <f t="shared" ref="X210:X218" si="164">AB210</f>
        <v>BOLOGNA</v>
      </c>
      <c r="Z210" s="410" t="s">
        <v>1635</v>
      </c>
      <c r="AA210" t="str">
        <f t="shared" ref="AA210:AA218" si="165">MID(Z210,1,FIND("-",Z210)-2)</f>
        <v>CHIEVO</v>
      </c>
      <c r="AB210" t="str">
        <f t="shared" ref="AB210:AB218" si="166">MID(Z210,FIND("-",Z210)+2,30)</f>
        <v>BOLOGNA</v>
      </c>
    </row>
    <row r="211" spans="23:28" ht="15">
      <c r="W211" s="82" t="str">
        <f t="shared" si="163"/>
        <v>GENOA</v>
      </c>
      <c r="X211" s="83" t="str">
        <f t="shared" si="164"/>
        <v>BENEVENTO</v>
      </c>
      <c r="Z211" s="410" t="s">
        <v>1638</v>
      </c>
      <c r="AA211" t="str">
        <f t="shared" si="165"/>
        <v>GENOA</v>
      </c>
      <c r="AB211" t="str">
        <f t="shared" si="166"/>
        <v>BENEVENTO</v>
      </c>
    </row>
    <row r="212" spans="23:28" ht="15">
      <c r="W212" s="82" t="str">
        <f t="shared" si="163"/>
        <v>JUVENTUS</v>
      </c>
      <c r="X212" s="83" t="str">
        <f t="shared" si="164"/>
        <v>ROMA</v>
      </c>
      <c r="Z212" s="410" t="s">
        <v>1641</v>
      </c>
      <c r="AA212" t="str">
        <f t="shared" si="165"/>
        <v>JUVENTUS</v>
      </c>
      <c r="AB212" t="str">
        <f t="shared" si="166"/>
        <v>ROMA</v>
      </c>
    </row>
    <row r="213" spans="23:28" ht="15">
      <c r="W213" s="82" t="str">
        <f t="shared" si="163"/>
        <v>LAZIO</v>
      </c>
      <c r="X213" s="83" t="str">
        <f t="shared" si="164"/>
        <v>CROTONE</v>
      </c>
      <c r="Z213" s="410" t="s">
        <v>1644</v>
      </c>
      <c r="AA213" t="str">
        <f t="shared" si="165"/>
        <v>LAZIO</v>
      </c>
      <c r="AB213" t="str">
        <f t="shared" si="166"/>
        <v>CROTONE</v>
      </c>
    </row>
    <row r="214" spans="23:28" ht="15">
      <c r="W214" s="82" t="str">
        <f t="shared" si="163"/>
        <v>MILAN</v>
      </c>
      <c r="X214" s="83" t="str">
        <f t="shared" si="164"/>
        <v>ATALANTA</v>
      </c>
      <c r="Z214" s="410" t="s">
        <v>1647</v>
      </c>
      <c r="AA214" t="str">
        <f t="shared" si="165"/>
        <v>MILAN</v>
      </c>
      <c r="AB214" t="str">
        <f t="shared" si="166"/>
        <v>ATALANTA</v>
      </c>
    </row>
    <row r="215" spans="23:28" ht="15">
      <c r="W215" s="82" t="str">
        <f t="shared" si="163"/>
        <v>NAPOLI</v>
      </c>
      <c r="X215" s="83" t="str">
        <f t="shared" si="164"/>
        <v>SAMPDORIA</v>
      </c>
      <c r="Z215" s="410" t="s">
        <v>1650</v>
      </c>
      <c r="AA215" t="str">
        <f t="shared" si="165"/>
        <v>NAPOLI</v>
      </c>
      <c r="AB215" t="str">
        <f t="shared" si="166"/>
        <v>SAMPDORIA</v>
      </c>
    </row>
    <row r="216" spans="23:28" ht="15">
      <c r="W216" s="82" t="str">
        <f t="shared" si="163"/>
        <v>SASSUOLO</v>
      </c>
      <c r="X216" s="83" t="str">
        <f t="shared" si="164"/>
        <v>INTER</v>
      </c>
      <c r="Z216" s="410" t="s">
        <v>1653</v>
      </c>
      <c r="AA216" t="str">
        <f t="shared" si="165"/>
        <v>SASSUOLO</v>
      </c>
      <c r="AB216" t="str">
        <f t="shared" si="166"/>
        <v>INTER</v>
      </c>
    </row>
    <row r="217" spans="23:28" ht="15">
      <c r="W217" s="82" t="str">
        <f t="shared" si="163"/>
        <v>SPAL</v>
      </c>
      <c r="X217" s="83" t="str">
        <f t="shared" si="164"/>
        <v>TORINO</v>
      </c>
      <c r="Z217" s="410" t="s">
        <v>1656</v>
      </c>
      <c r="AA217" t="str">
        <f t="shared" si="165"/>
        <v>SPAL</v>
      </c>
      <c r="AB217" t="str">
        <f t="shared" si="166"/>
        <v>TORINO</v>
      </c>
    </row>
    <row r="218" spans="23:28" ht="15">
      <c r="W218" s="82" t="str">
        <f t="shared" si="163"/>
        <v>UDINESE</v>
      </c>
      <c r="X218" s="83" t="str">
        <f t="shared" si="164"/>
        <v>VERONA</v>
      </c>
      <c r="Z218" s="410" t="s">
        <v>1659</v>
      </c>
      <c r="AA218" t="str">
        <f t="shared" si="165"/>
        <v>UDINESE</v>
      </c>
      <c r="AB218" t="str">
        <f t="shared" si="166"/>
        <v>VERONA</v>
      </c>
    </row>
    <row r="219" spans="23:28" ht="15">
      <c r="W219" s="83"/>
      <c r="X219" s="83"/>
      <c r="Z219" s="413"/>
      <c r="AA219" s="79"/>
      <c r="AB219" s="79"/>
    </row>
    <row r="220" spans="23:28" ht="15">
      <c r="W220" s="82" t="str">
        <f>AA220</f>
        <v>Giornata 19</v>
      </c>
      <c r="X220" s="82"/>
      <c r="Z220" s="413">
        <v>19</v>
      </c>
      <c r="AA220" t="str">
        <f>"Giornata " &amp; Z220</f>
        <v>Giornata 19</v>
      </c>
    </row>
    <row r="221" spans="23:28" ht="15">
      <c r="W221" s="82" t="str">
        <f t="shared" ref="W221:W230" si="167">AA221</f>
        <v>ATALANTA</v>
      </c>
      <c r="X221" s="83" t="str">
        <f>AB221</f>
        <v>CAGLIARI</v>
      </c>
      <c r="Z221" s="410" t="s">
        <v>1660</v>
      </c>
      <c r="AA221" t="str">
        <f>MID(Z221,1,FIND("-",Z221)-2)</f>
        <v>ATALANTA</v>
      </c>
      <c r="AB221" t="str">
        <f>MID(Z221,FIND("-",Z221)+2,30)</f>
        <v>CAGLIARI</v>
      </c>
    </row>
    <row r="222" spans="23:28" ht="15">
      <c r="W222" s="82" t="str">
        <f t="shared" si="167"/>
        <v>BENEVENTO</v>
      </c>
      <c r="X222" s="83" t="str">
        <f t="shared" ref="X222:X230" si="168">AB222</f>
        <v>CHIEVO</v>
      </c>
      <c r="Z222" s="410" t="s">
        <v>1661</v>
      </c>
      <c r="AA222" t="str">
        <f t="shared" ref="AA222:AA230" si="169">MID(Z222,1,FIND("-",Z222)-2)</f>
        <v>BENEVENTO</v>
      </c>
      <c r="AB222" t="str">
        <f t="shared" ref="AB222:AB230" si="170">MID(Z222,FIND("-",Z222)+2,30)</f>
        <v>CHIEVO</v>
      </c>
    </row>
    <row r="223" spans="23:28" ht="15">
      <c r="W223" s="82" t="str">
        <f t="shared" si="167"/>
        <v>BOLOGNA</v>
      </c>
      <c r="X223" s="83" t="str">
        <f t="shared" si="168"/>
        <v>UDINESE</v>
      </c>
      <c r="Z223" s="410" t="s">
        <v>1662</v>
      </c>
      <c r="AA223" t="str">
        <f t="shared" si="169"/>
        <v>BOLOGNA</v>
      </c>
      <c r="AB223" t="str">
        <f t="shared" si="170"/>
        <v>UDINESE</v>
      </c>
    </row>
    <row r="224" spans="23:28" ht="15">
      <c r="W224" s="82" t="str">
        <f t="shared" si="167"/>
        <v>CROTONE</v>
      </c>
      <c r="X224" s="83" t="str">
        <f t="shared" si="168"/>
        <v>NAPOLI</v>
      </c>
      <c r="Z224" s="410" t="s">
        <v>1663</v>
      </c>
      <c r="AA224" t="str">
        <f t="shared" si="169"/>
        <v>CROTONE</v>
      </c>
      <c r="AB224" t="str">
        <f t="shared" si="170"/>
        <v>NAPOLI</v>
      </c>
    </row>
    <row r="225" spans="23:28" ht="15">
      <c r="W225" s="82" t="str">
        <f t="shared" si="167"/>
        <v>FIORENTINA</v>
      </c>
      <c r="X225" s="83" t="str">
        <f t="shared" si="168"/>
        <v>MILAN</v>
      </c>
      <c r="Z225" s="410" t="s">
        <v>1664</v>
      </c>
      <c r="AA225" t="str">
        <f t="shared" si="169"/>
        <v>FIORENTINA</v>
      </c>
      <c r="AB225" t="str">
        <f t="shared" si="170"/>
        <v>MILAN</v>
      </c>
    </row>
    <row r="226" spans="23:28" ht="15">
      <c r="W226" s="82" t="str">
        <f t="shared" si="167"/>
        <v>VERONA</v>
      </c>
      <c r="X226" s="83" t="str">
        <f t="shared" si="168"/>
        <v>JUVENTUS</v>
      </c>
      <c r="Z226" s="410" t="s">
        <v>1665</v>
      </c>
      <c r="AA226" t="str">
        <f t="shared" si="169"/>
        <v>VERONA</v>
      </c>
      <c r="AB226" t="str">
        <f t="shared" si="170"/>
        <v>JUVENTUS</v>
      </c>
    </row>
    <row r="227" spans="23:28" ht="15">
      <c r="W227" s="82" t="str">
        <f t="shared" si="167"/>
        <v>INTER</v>
      </c>
      <c r="X227" s="83" t="str">
        <f t="shared" si="168"/>
        <v>LAZIO</v>
      </c>
      <c r="Z227" s="410" t="s">
        <v>1666</v>
      </c>
      <c r="AA227" t="str">
        <f t="shared" si="169"/>
        <v>INTER</v>
      </c>
      <c r="AB227" t="str">
        <f t="shared" si="170"/>
        <v>LAZIO</v>
      </c>
    </row>
    <row r="228" spans="23:28" ht="15">
      <c r="W228" s="82" t="str">
        <f t="shared" si="167"/>
        <v>ROMA</v>
      </c>
      <c r="X228" s="83" t="str">
        <f t="shared" si="168"/>
        <v>SASSUOLO</v>
      </c>
      <c r="Z228" s="410" t="s">
        <v>1667</v>
      </c>
      <c r="AA228" t="str">
        <f t="shared" si="169"/>
        <v>ROMA</v>
      </c>
      <c r="AB228" t="str">
        <f t="shared" si="170"/>
        <v>SASSUOLO</v>
      </c>
    </row>
    <row r="229" spans="23:28" ht="15">
      <c r="W229" s="82" t="str">
        <f t="shared" si="167"/>
        <v>SAMPDORIA</v>
      </c>
      <c r="X229" s="83" t="str">
        <f t="shared" si="168"/>
        <v>SPAL</v>
      </c>
      <c r="Z229" s="410" t="s">
        <v>1668</v>
      </c>
      <c r="AA229" t="str">
        <f t="shared" si="169"/>
        <v>SAMPDORIA</v>
      </c>
      <c r="AB229" t="str">
        <f t="shared" si="170"/>
        <v>SPAL</v>
      </c>
    </row>
    <row r="230" spans="23:28" ht="15">
      <c r="W230" s="82" t="str">
        <f t="shared" si="167"/>
        <v>TORINO</v>
      </c>
      <c r="X230" s="83" t="str">
        <f t="shared" si="168"/>
        <v>GENOA</v>
      </c>
      <c r="Z230" s="414" t="s">
        <v>1669</v>
      </c>
      <c r="AA230" t="str">
        <f t="shared" si="169"/>
        <v>TORINO</v>
      </c>
      <c r="AB230" t="str">
        <f t="shared" si="170"/>
        <v>GENOA</v>
      </c>
    </row>
    <row r="231" spans="23:28">
      <c r="W231" s="83"/>
      <c r="X231" s="83"/>
    </row>
    <row r="232" spans="23:28">
      <c r="W232" s="82"/>
      <c r="X232" s="82"/>
    </row>
    <row r="233" spans="23:28">
      <c r="W233" s="82"/>
      <c r="X233" s="83"/>
    </row>
    <row r="234" spans="23:28">
      <c r="W234" s="82"/>
      <c r="X234" s="83"/>
    </row>
    <row r="235" spans="23:28">
      <c r="W235" s="82"/>
      <c r="X235" s="83"/>
    </row>
    <row r="236" spans="23:28">
      <c r="W236" s="82"/>
      <c r="X236" s="83"/>
    </row>
    <row r="237" spans="23:28">
      <c r="W237" s="82"/>
      <c r="X237" s="83"/>
    </row>
    <row r="238" spans="23:28">
      <c r="W238" s="82"/>
      <c r="X238" s="83"/>
    </row>
    <row r="239" spans="23:28">
      <c r="W239" s="82"/>
      <c r="X239" s="83"/>
    </row>
    <row r="240" spans="23:28">
      <c r="W240" s="82"/>
      <c r="X240" s="83"/>
    </row>
    <row r="241" spans="23:24">
      <c r="W241" s="82"/>
      <c r="X241" s="83"/>
    </row>
    <row r="242" spans="23:24">
      <c r="W242" s="82"/>
      <c r="X242" s="83"/>
    </row>
  </sheetData>
  <sheetProtection formatColumns="0" formatRows="0"/>
  <mergeCells count="5">
    <mergeCell ref="A1:T1"/>
    <mergeCell ref="A25:T25"/>
    <mergeCell ref="A35:T35"/>
    <mergeCell ref="A45:T45"/>
    <mergeCell ref="A55:T55"/>
  </mergeCells>
  <conditionalFormatting sqref="B4:T23">
    <cfRule type="cellIs" dxfId="179" priority="1" stopIfTrue="1" operator="equal">
      <formula>"F"</formula>
    </cfRule>
    <cfRule type="cellIs" dxfId="178" priority="2" stopIfTrue="1" operator="equal">
      <formula>"C"</formula>
    </cfRule>
  </conditionalFormatting>
  <conditionalFormatting sqref="B26:T33">
    <cfRule type="cellIs" dxfId="177" priority="3" stopIfTrue="1" operator="equal">
      <formula>"F"</formula>
    </cfRule>
    <cfRule type="cellIs" dxfId="176" priority="4" stopIfTrue="1" operator="equal">
      <formula>"C"</formula>
    </cfRule>
  </conditionalFormatting>
  <conditionalFormatting sqref="B36:T43">
    <cfRule type="cellIs" dxfId="175" priority="5" stopIfTrue="1" operator="equal">
      <formula>"F"</formula>
    </cfRule>
    <cfRule type="cellIs" dxfId="174" priority="6" stopIfTrue="1" operator="equal">
      <formula>"C"</formula>
    </cfRule>
  </conditionalFormatting>
  <conditionalFormatting sqref="B46:T53">
    <cfRule type="cellIs" dxfId="173" priority="7" stopIfTrue="1" operator="equal">
      <formula>"F"</formula>
    </cfRule>
    <cfRule type="cellIs" dxfId="172" priority="8" stopIfTrue="1" operator="equal">
      <formula>"C"</formula>
    </cfRule>
  </conditionalFormatting>
  <conditionalFormatting sqref="B56:T63">
    <cfRule type="cellIs" dxfId="171" priority="9" stopIfTrue="1" operator="equal">
      <formula>"F"</formula>
    </cfRule>
    <cfRule type="cellIs" dxfId="170" priority="10" stopIfTrue="1" operator="equal">
      <formula>"C"</formula>
    </cfRule>
  </conditionalFormatting>
  <pageMargins left="0.7" right="0.7" top="0.75" bottom="0.75" header="0.51180555555555551" footer="0.51180555555555551"/>
  <pageSetup paperSize="9" firstPageNumber="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6">
    <tabColor indexed="47"/>
  </sheetPr>
  <dimension ref="A1:BA566"/>
  <sheetViews>
    <sheetView zoomScale="82" zoomScaleNormal="82" workbookViewId="0">
      <selection activeCell="O29" sqref="O29"/>
    </sheetView>
  </sheetViews>
  <sheetFormatPr defaultRowHeight="12.75"/>
  <cols>
    <col min="1" max="1" width="15.85546875" style="86" customWidth="1"/>
    <col min="2" max="2" width="15.85546875" customWidth="1"/>
    <col min="3" max="3" width="13.5703125" customWidth="1"/>
    <col min="4" max="4" width="16" bestFit="1" customWidth="1"/>
    <col min="5" max="5" width="14.140625" bestFit="1" customWidth="1"/>
    <col min="6" max="6" width="12" customWidth="1"/>
    <col min="7" max="7" width="13.42578125" customWidth="1"/>
    <col min="8" max="8" width="15" customWidth="1"/>
    <col min="9" max="9" width="16" customWidth="1"/>
    <col min="10" max="10" width="14.28515625" customWidth="1"/>
    <col min="11" max="11" width="15" customWidth="1"/>
    <col min="12" max="12" width="12.5703125" customWidth="1"/>
    <col min="13" max="14" width="13.85546875" customWidth="1"/>
    <col min="15" max="15" width="15.42578125" bestFit="1" customWidth="1"/>
    <col min="16" max="16" width="6" style="21" customWidth="1"/>
    <col min="17" max="19" width="9.140625" style="87" hidden="1" customWidth="1"/>
    <col min="20" max="26" width="9.140625" hidden="1" customWidth="1"/>
    <col min="27" max="27" width="17.140625" hidden="1" customWidth="1"/>
    <col min="28" max="29" width="9.140625" hidden="1" customWidth="1"/>
    <col min="30" max="30" width="15.42578125" style="79" hidden="1" customWidth="1"/>
    <col min="31" max="32" width="16.7109375" style="79" hidden="1" customWidth="1"/>
    <col min="33" max="33" width="15.42578125" style="79" hidden="1" customWidth="1"/>
    <col min="34" max="34" width="12.140625" style="79" hidden="1" customWidth="1"/>
    <col min="35" max="35" width="19" style="79" hidden="1" customWidth="1"/>
    <col min="36" max="36" width="15.7109375" style="79" hidden="1" customWidth="1"/>
    <col min="37" max="37" width="16.42578125" style="79" hidden="1" customWidth="1"/>
    <col min="38" max="38" width="13.42578125" style="79" hidden="1" customWidth="1"/>
    <col min="39" max="39" width="14.5703125" style="79" hidden="1" customWidth="1"/>
    <col min="40" max="40" width="18.7109375" style="79" hidden="1" customWidth="1"/>
    <col min="41" max="41" width="16.7109375" style="79" hidden="1" customWidth="1"/>
    <col min="42" max="42" width="16.5703125" style="79" hidden="1" customWidth="1"/>
    <col min="43" max="43" width="18" hidden="1" customWidth="1"/>
    <col min="44" max="44" width="14.5703125" hidden="1" customWidth="1"/>
    <col min="45" max="45" width="15" hidden="1" customWidth="1"/>
    <col min="46" max="46" width="19.85546875" hidden="1" customWidth="1"/>
    <col min="47" max="47" width="13" hidden="1" customWidth="1"/>
    <col min="48" max="48" width="13.7109375" hidden="1" customWidth="1"/>
    <col min="49" max="49" width="20.85546875" hidden="1" customWidth="1"/>
    <col min="50" max="53" width="8.85546875" hidden="1" customWidth="1"/>
    <col min="54" max="61" width="0" style="88" hidden="1" customWidth="1"/>
    <col min="62" max="16384" width="9.140625" style="88"/>
  </cols>
  <sheetData>
    <row r="1" spans="1:53" ht="30" customHeight="1" thickBot="1">
      <c r="A1"/>
      <c r="B1" s="89" t="s">
        <v>290</v>
      </c>
      <c r="C1" s="562" t="s">
        <v>756</v>
      </c>
      <c r="D1" s="562"/>
      <c r="E1" s="562"/>
      <c r="F1" s="562"/>
      <c r="G1" s="562"/>
      <c r="H1" s="562" t="s">
        <v>633</v>
      </c>
      <c r="I1" s="562"/>
      <c r="J1" s="562"/>
      <c r="K1" s="562"/>
      <c r="L1" s="562"/>
      <c r="M1" s="563" t="s">
        <v>757</v>
      </c>
      <c r="N1" s="563"/>
      <c r="O1" s="563"/>
      <c r="AD1">
        <v>1</v>
      </c>
      <c r="AE1">
        <v>2</v>
      </c>
      <c r="AF1">
        <v>3</v>
      </c>
      <c r="AG1">
        <v>4</v>
      </c>
      <c r="AH1">
        <v>5</v>
      </c>
      <c r="AI1">
        <v>6</v>
      </c>
      <c r="AJ1">
        <v>7</v>
      </c>
      <c r="AK1">
        <v>8</v>
      </c>
      <c r="AL1">
        <v>9</v>
      </c>
      <c r="AM1">
        <v>10</v>
      </c>
      <c r="AN1">
        <v>11</v>
      </c>
      <c r="AO1">
        <v>12</v>
      </c>
      <c r="AP1">
        <v>13</v>
      </c>
      <c r="AQ1">
        <v>14</v>
      </c>
      <c r="AR1">
        <v>15</v>
      </c>
      <c r="AS1">
        <v>16</v>
      </c>
      <c r="AT1">
        <v>17</v>
      </c>
      <c r="AU1">
        <v>18</v>
      </c>
      <c r="AV1">
        <v>19</v>
      </c>
      <c r="AW1">
        <v>20</v>
      </c>
      <c r="AX1">
        <v>21</v>
      </c>
      <c r="AY1">
        <v>22</v>
      </c>
      <c r="AZ1">
        <v>23</v>
      </c>
      <c r="BA1">
        <v>24</v>
      </c>
    </row>
    <row r="2" spans="1:53" ht="13.5" customHeight="1" thickBot="1">
      <c r="A2" s="561" t="str">
        <f ca="1">INDIRECT("Squadre!A"&amp;(ROW()/2)+1)</f>
        <v>Ata</v>
      </c>
      <c r="B2" s="90" t="s">
        <v>311</v>
      </c>
      <c r="C2" s="90" t="s">
        <v>1697</v>
      </c>
      <c r="D2" s="91" t="s">
        <v>390</v>
      </c>
      <c r="E2" s="91" t="s">
        <v>1302</v>
      </c>
      <c r="F2" s="91" t="s">
        <v>607</v>
      </c>
      <c r="G2" s="92"/>
      <c r="H2" s="90" t="s">
        <v>525</v>
      </c>
      <c r="I2" s="91" t="s">
        <v>1924</v>
      </c>
      <c r="J2" s="91" t="s">
        <v>461</v>
      </c>
      <c r="K2" s="91" t="s">
        <v>604</v>
      </c>
      <c r="L2" s="92"/>
      <c r="M2" s="90" t="s">
        <v>476</v>
      </c>
      <c r="N2" s="91" t="s">
        <v>486</v>
      </c>
      <c r="O2" s="93"/>
      <c r="W2" s="179" t="str">
        <f>MID(AB2,1,3)</f>
        <v>Ata</v>
      </c>
      <c r="X2">
        <f>IF(Z2&lt;&gt;Z1,1,X1+1)</f>
        <v>1</v>
      </c>
      <c r="Y2" t="str">
        <f>Z2&amp;X2&amp;W2</f>
        <v>A1Ata</v>
      </c>
      <c r="Z2" s="193" t="s">
        <v>43</v>
      </c>
      <c r="AA2" s="193" t="s">
        <v>1781</v>
      </c>
      <c r="AB2" s="179" t="s">
        <v>686</v>
      </c>
      <c r="AC2" s="94"/>
      <c r="AD2" s="95" t="s">
        <v>1347</v>
      </c>
      <c r="AE2" s="95" t="s">
        <v>1348</v>
      </c>
      <c r="AF2" s="95" t="s">
        <v>1349</v>
      </c>
      <c r="AG2" s="95" t="s">
        <v>1350</v>
      </c>
      <c r="AH2" s="95" t="s">
        <v>1351</v>
      </c>
      <c r="AI2" s="95" t="s">
        <v>1352</v>
      </c>
      <c r="AJ2" s="95" t="s">
        <v>1353</v>
      </c>
      <c r="AK2" s="95" t="s">
        <v>1354</v>
      </c>
      <c r="AL2" s="95" t="s">
        <v>1355</v>
      </c>
      <c r="AM2" s="95" t="s">
        <v>1356</v>
      </c>
      <c r="AN2" s="95" t="s">
        <v>1357</v>
      </c>
      <c r="AO2" s="95" t="s">
        <v>1358</v>
      </c>
      <c r="AP2" s="95" t="s">
        <v>1359</v>
      </c>
      <c r="AQ2" s="95" t="s">
        <v>1360</v>
      </c>
      <c r="AR2" s="95" t="s">
        <v>1361</v>
      </c>
      <c r="AS2" s="95" t="s">
        <v>1362</v>
      </c>
      <c r="AT2" s="95" t="s">
        <v>1363</v>
      </c>
      <c r="AU2" s="95" t="s">
        <v>1364</v>
      </c>
      <c r="AV2" s="95" t="s">
        <v>1365</v>
      </c>
      <c r="AW2" s="95" t="s">
        <v>1366</v>
      </c>
      <c r="AX2" s="95" t="s">
        <v>1367</v>
      </c>
      <c r="AY2" s="95" t="s">
        <v>1368</v>
      </c>
      <c r="AZ2" s="95" t="s">
        <v>1369</v>
      </c>
      <c r="BA2" s="95" t="s">
        <v>1370</v>
      </c>
    </row>
    <row r="3" spans="1:53" ht="13.5" customHeight="1" thickBot="1">
      <c r="A3" s="561"/>
      <c r="B3" s="96" t="s">
        <v>1680</v>
      </c>
      <c r="C3" s="97" t="s">
        <v>1702</v>
      </c>
      <c r="D3" s="98" t="s">
        <v>1707</v>
      </c>
      <c r="E3" s="98" t="s">
        <v>1710</v>
      </c>
      <c r="F3" s="98"/>
      <c r="G3" s="99"/>
      <c r="H3" s="97" t="s">
        <v>398</v>
      </c>
      <c r="I3" s="98" t="s">
        <v>407</v>
      </c>
      <c r="J3" s="98" t="s">
        <v>1858</v>
      </c>
      <c r="K3" s="98"/>
      <c r="L3" s="99"/>
      <c r="M3" s="97" t="s">
        <v>1790</v>
      </c>
      <c r="N3" s="98" t="s">
        <v>1781</v>
      </c>
      <c r="O3" s="100" t="s">
        <v>1789</v>
      </c>
      <c r="W3" s="179" t="str">
        <f t="shared" ref="W3:W66" si="0">MID(AB3,1,3)</f>
        <v>Ata</v>
      </c>
      <c r="X3">
        <f t="shared" ref="X3:X66" si="1">IF(Z3&lt;&gt;Z2,1,X2+1)</f>
        <v>2</v>
      </c>
      <c r="Y3" t="str">
        <f t="shared" ref="Y3:Y66" si="2">Z3&amp;X3&amp;W3</f>
        <v>A2Ata</v>
      </c>
      <c r="Z3" s="193" t="s">
        <v>43</v>
      </c>
      <c r="AA3" s="193" t="s">
        <v>476</v>
      </c>
      <c r="AB3" s="179" t="s">
        <v>686</v>
      </c>
      <c r="AC3" s="101" t="s">
        <v>758</v>
      </c>
      <c r="AD3" s="94" t="str">
        <f ca="1">VLOOKUP($AC3&amp;AD$50,$Y$2:$AA$534,3,FALSE)</f>
        <v>BERISHA</v>
      </c>
      <c r="AE3" s="94" t="str">
        <f t="shared" ref="AE3:AW5" ca="1" si="3">VLOOKUP($AC3&amp;AE$50,$Y$2:$AA$534,3,FALSE)</f>
        <v>BELEC</v>
      </c>
      <c r="AF3" s="94" t="str">
        <f t="shared" ca="1" si="3"/>
        <v>DA COSTA</v>
      </c>
      <c r="AG3" s="94" t="str">
        <f t="shared" ca="1" si="3"/>
        <v>CRAGNO</v>
      </c>
      <c r="AH3" s="94" t="str">
        <f t="shared" ca="1" si="3"/>
        <v>CONFENTE</v>
      </c>
      <c r="AI3" s="94" t="str">
        <f t="shared" ca="1" si="3"/>
        <v>CORDAZ</v>
      </c>
      <c r="AJ3" s="94" t="str">
        <f t="shared" ca="1" si="3"/>
        <v>CEROFOLINI</v>
      </c>
      <c r="AK3" s="94" t="str">
        <f t="shared" ca="1" si="3"/>
        <v>LAMANNA</v>
      </c>
      <c r="AL3" s="94" t="str">
        <f t="shared" ca="1" si="3"/>
        <v>BERNI</v>
      </c>
      <c r="AM3" s="94" t="str">
        <f t="shared" ca="1" si="3"/>
        <v>BUFFON</v>
      </c>
      <c r="AN3" s="94" t="str">
        <f t="shared" ca="1" si="3"/>
        <v>GUERRIERI</v>
      </c>
      <c r="AO3" s="94" t="str">
        <f t="shared" ca="1" si="3"/>
        <v>DONNARUMMA A</v>
      </c>
      <c r="AP3" s="94" t="str">
        <f t="shared" ca="1" si="3"/>
        <v>RAFAEL CABRAL</v>
      </c>
      <c r="AQ3" s="94" t="str">
        <f t="shared" ca="1" si="3"/>
        <v>ALISSON</v>
      </c>
      <c r="AR3" s="94" t="str">
        <f t="shared" ca="1" si="3"/>
        <v>PUGGIONI</v>
      </c>
      <c r="AS3" s="94" t="str">
        <f t="shared" ca="1" si="3"/>
        <v>CONSIGLI</v>
      </c>
      <c r="AT3" s="94" t="str">
        <f t="shared" ca="1" si="3"/>
        <v>GOMIS A</v>
      </c>
      <c r="AU3" s="94" t="str">
        <f t="shared" ca="1" si="3"/>
        <v>ICHAZO</v>
      </c>
      <c r="AV3" s="94" t="str">
        <f t="shared" ca="1" si="3"/>
        <v>BIZZARRI</v>
      </c>
      <c r="AW3" s="94" t="str">
        <f t="shared" ca="1" si="3"/>
        <v>COPPOLA</v>
      </c>
      <c r="AX3" s="94" t="s">
        <v>1371</v>
      </c>
      <c r="AY3" s="94" t="s">
        <v>1371</v>
      </c>
      <c r="AZ3" s="94" t="s">
        <v>1371</v>
      </c>
      <c r="BA3" s="94" t="s">
        <v>1371</v>
      </c>
    </row>
    <row r="4" spans="1:53" ht="13.5" customHeight="1" thickBot="1">
      <c r="A4" s="561" t="str">
        <f ca="1">INDIRECT("Squadre!A"&amp;(ROW()/2)+1)</f>
        <v>Ben</v>
      </c>
      <c r="B4" s="102" t="s">
        <v>1678</v>
      </c>
      <c r="C4" s="103" t="s">
        <v>1694</v>
      </c>
      <c r="D4" s="104" t="s">
        <v>1696</v>
      </c>
      <c r="E4" s="104" t="s">
        <v>1712</v>
      </c>
      <c r="F4" s="104" t="s">
        <v>1699</v>
      </c>
      <c r="G4" s="105"/>
      <c r="H4" s="103" t="s">
        <v>1736</v>
      </c>
      <c r="I4" s="104" t="s">
        <v>391</v>
      </c>
      <c r="J4" s="104" t="s">
        <v>1745</v>
      </c>
      <c r="K4" s="104" t="s">
        <v>414</v>
      </c>
      <c r="L4" s="105"/>
      <c r="M4" s="103" t="s">
        <v>1341</v>
      </c>
      <c r="N4" s="104" t="s">
        <v>1784</v>
      </c>
      <c r="O4" s="106"/>
      <c r="W4" s="179" t="str">
        <f t="shared" si="0"/>
        <v>Ata</v>
      </c>
      <c r="X4">
        <f t="shared" si="1"/>
        <v>3</v>
      </c>
      <c r="Y4" t="str">
        <f t="shared" si="2"/>
        <v>A3Ata</v>
      </c>
      <c r="Z4" s="193" t="s">
        <v>43</v>
      </c>
      <c r="AA4" s="193" t="s">
        <v>1790</v>
      </c>
      <c r="AB4" s="179" t="s">
        <v>686</v>
      </c>
      <c r="AC4" s="101" t="s">
        <v>759</v>
      </c>
      <c r="AD4" s="94" t="str">
        <f t="shared" ref="AD4:AS5" ca="1" si="4">VLOOKUP($AC4&amp;AD$50,$Y$2:$AA$534,3,FALSE)</f>
        <v>GOLLINI</v>
      </c>
      <c r="AE4" s="94" t="str">
        <f t="shared" ca="1" si="4"/>
        <v>BRIGNOLI</v>
      </c>
      <c r="AF4" s="94" t="str">
        <f t="shared" ca="1" si="4"/>
        <v>MIRANTE</v>
      </c>
      <c r="AG4" s="94" t="str">
        <f t="shared" ca="1" si="4"/>
        <v>CROSTA</v>
      </c>
      <c r="AH4" s="94" t="str">
        <f t="shared" ca="1" si="4"/>
        <v>SECULIN</v>
      </c>
      <c r="AI4" s="94" t="str">
        <f t="shared" ca="1" si="4"/>
        <v>FESTA</v>
      </c>
      <c r="AJ4" s="94" t="str">
        <f t="shared" ca="1" si="4"/>
        <v>DRAGOWSKI</v>
      </c>
      <c r="AK4" s="94" t="str">
        <f t="shared" ca="1" si="4"/>
        <v>PERIN</v>
      </c>
      <c r="AL4" s="94" t="str">
        <f t="shared" ca="1" si="4"/>
        <v>HANDANOVIC</v>
      </c>
      <c r="AM4" s="94" t="str">
        <f t="shared" ca="1" si="4"/>
        <v>PINSOGLIO</v>
      </c>
      <c r="AN4" s="94" t="str">
        <f t="shared" ca="1" si="4"/>
        <v>MARCHETTI</v>
      </c>
      <c r="AO4" s="94" t="str">
        <f t="shared" ca="1" si="4"/>
        <v>DONNARUMMA G</v>
      </c>
      <c r="AP4" s="94" t="str">
        <f t="shared" ca="1" si="4"/>
        <v>REINA</v>
      </c>
      <c r="AQ4" s="94" t="str">
        <f t="shared" ca="1" si="4"/>
        <v>LOBONT</v>
      </c>
      <c r="AR4" s="94" t="str">
        <f t="shared" ca="1" si="4"/>
        <v>TOZZO</v>
      </c>
      <c r="AS4" s="94" t="str">
        <f t="shared" ca="1" si="4"/>
        <v>MARSON</v>
      </c>
      <c r="AT4" s="94" t="str">
        <f t="shared" ca="1" si="3"/>
        <v>MARCHEGIANI</v>
      </c>
      <c r="AU4" s="94" t="str">
        <f t="shared" ca="1" si="3"/>
        <v>MILINKOVIC-SAVIC V</v>
      </c>
      <c r="AV4" s="94" t="str">
        <f t="shared" ca="1" si="3"/>
        <v>SCUFFET</v>
      </c>
      <c r="AW4" s="94" t="str">
        <f t="shared" ca="1" si="3"/>
        <v>NICOLAS</v>
      </c>
      <c r="AX4" s="94" t="s">
        <v>1371</v>
      </c>
      <c r="AY4" s="94" t="s">
        <v>1371</v>
      </c>
      <c r="AZ4" s="94" t="s">
        <v>1371</v>
      </c>
      <c r="BA4" s="94" t="s">
        <v>1371</v>
      </c>
    </row>
    <row r="5" spans="1:53" ht="13.5" customHeight="1" thickBot="1">
      <c r="A5" s="561"/>
      <c r="B5" s="96" t="s">
        <v>1920</v>
      </c>
      <c r="C5" s="97"/>
      <c r="D5" s="98" t="s">
        <v>460</v>
      </c>
      <c r="E5" s="98" t="s">
        <v>1282</v>
      </c>
      <c r="F5" s="98" t="s">
        <v>1705</v>
      </c>
      <c r="G5" s="99"/>
      <c r="H5" s="97" t="s">
        <v>1964</v>
      </c>
      <c r="I5" s="98" t="s">
        <v>925</v>
      </c>
      <c r="J5" s="98" t="s">
        <v>1743</v>
      </c>
      <c r="K5" s="98"/>
      <c r="L5" s="99"/>
      <c r="M5" s="97" t="s">
        <v>1853</v>
      </c>
      <c r="N5" s="98" t="s">
        <v>1980</v>
      </c>
      <c r="O5" s="100"/>
      <c r="Q5" s="87" t="str">
        <f ca="1">'Mia rosa + Org. Finanza'!$B4</f>
        <v/>
      </c>
      <c r="R5" s="107" t="str">
        <f ca="1">'Mia rosa + Org. Finanza'!AG5</f>
        <v/>
      </c>
      <c r="S5" s="107" t="str">
        <f ca="1">'Mia rosa + Org. Finanza'!AH5</f>
        <v/>
      </c>
      <c r="T5" s="107" t="str">
        <f ca="1">'Mia rosa + Org. Finanza'!AI5</f>
        <v/>
      </c>
      <c r="U5" s="107" t="str">
        <f ca="1">'Mia rosa + Org. Finanza'!AJ5</f>
        <v/>
      </c>
      <c r="W5" s="179" t="str">
        <f t="shared" si="0"/>
        <v>Ata</v>
      </c>
      <c r="X5">
        <f t="shared" si="1"/>
        <v>4</v>
      </c>
      <c r="Y5" t="str">
        <f t="shared" si="2"/>
        <v>A4Ata</v>
      </c>
      <c r="Z5" s="193" t="s">
        <v>43</v>
      </c>
      <c r="AA5" s="193" t="s">
        <v>486</v>
      </c>
      <c r="AB5" s="179" t="s">
        <v>686</v>
      </c>
      <c r="AC5" s="101" t="s">
        <v>760</v>
      </c>
      <c r="AD5" s="94" t="str">
        <f t="shared" ca="1" si="4"/>
        <v>ROSSI F</v>
      </c>
      <c r="AE5" s="94" t="str">
        <f t="shared" ca="1" si="3"/>
        <v>COTTICELLI</v>
      </c>
      <c r="AF5" s="94" t="str">
        <f t="shared" ca="1" si="3"/>
        <v>SANTURRO</v>
      </c>
      <c r="AG5" s="94" t="str">
        <f t="shared" ca="1" si="3"/>
        <v>RAFAEL</v>
      </c>
      <c r="AH5" s="94" t="str">
        <f t="shared" ca="1" si="3"/>
        <v>SORRENTINO</v>
      </c>
      <c r="AI5" s="94" t="str">
        <f t="shared" ca="1" si="3"/>
        <v>VISCOVO</v>
      </c>
      <c r="AJ5" s="94" t="str">
        <f t="shared" ca="1" si="3"/>
        <v>SPORTIELLO</v>
      </c>
      <c r="AK5" s="94" t="str">
        <f t="shared" ca="1" si="3"/>
        <v>ZIMA</v>
      </c>
      <c r="AL5" s="94" t="str">
        <f t="shared" ca="1" si="3"/>
        <v>PADELLI</v>
      </c>
      <c r="AM5" s="94" t="str">
        <f t="shared" ca="1" si="3"/>
        <v>SZCZESNY</v>
      </c>
      <c r="AN5" s="94" t="str">
        <f t="shared" ca="1" si="3"/>
        <v>STRAKOSHA</v>
      </c>
      <c r="AO5" s="94" t="str">
        <f t="shared" ca="1" si="3"/>
        <v>GABRIEL</v>
      </c>
      <c r="AP5" s="94" t="str">
        <f t="shared" ca="1" si="3"/>
        <v>SEPE</v>
      </c>
      <c r="AQ5" s="94" t="str">
        <f t="shared" ca="1" si="3"/>
        <v>SKORUPSKI</v>
      </c>
      <c r="AR5" s="94" t="str">
        <f t="shared" ca="1" si="3"/>
        <v>VIVIANO</v>
      </c>
      <c r="AS5" s="94" t="str">
        <f t="shared" ca="1" si="3"/>
        <v>PEGOLO</v>
      </c>
      <c r="AT5" s="94" t="str">
        <f t="shared" ca="1" si="3"/>
        <v>MERET</v>
      </c>
      <c r="AU5" s="94" t="str">
        <f t="shared" ca="1" si="3"/>
        <v>SIRIGU</v>
      </c>
      <c r="AV5" s="94" t="e">
        <f t="shared" ca="1" si="3"/>
        <v>#N/A</v>
      </c>
      <c r="AW5" s="94" t="str">
        <f t="shared" ca="1" si="3"/>
        <v>SILVESTRI</v>
      </c>
      <c r="AX5" s="94" t="s">
        <v>1371</v>
      </c>
      <c r="AY5" s="94" t="s">
        <v>1371</v>
      </c>
      <c r="AZ5" s="94" t="s">
        <v>1371</v>
      </c>
      <c r="BA5" s="94" t="s">
        <v>1371</v>
      </c>
    </row>
    <row r="6" spans="1:53" ht="13.5" customHeight="1" thickBot="1">
      <c r="A6" s="561" t="str">
        <f ca="1">INDIRECT("Squadre!A"&amp;(ROW()/2)+1)</f>
        <v>Bol</v>
      </c>
      <c r="B6" s="102" t="s">
        <v>379</v>
      </c>
      <c r="C6" s="103" t="s">
        <v>612</v>
      </c>
      <c r="D6" s="104" t="s">
        <v>1290</v>
      </c>
      <c r="E6" s="104" t="s">
        <v>505</v>
      </c>
      <c r="F6" s="104" t="s">
        <v>546</v>
      </c>
      <c r="G6" s="105"/>
      <c r="H6" s="103" t="s">
        <v>519</v>
      </c>
      <c r="I6" s="104" t="s">
        <v>613</v>
      </c>
      <c r="J6" s="104" t="s">
        <v>584</v>
      </c>
      <c r="K6" s="104"/>
      <c r="L6" s="105"/>
      <c r="M6" s="103" t="s">
        <v>621</v>
      </c>
      <c r="N6" s="104" t="s">
        <v>344</v>
      </c>
      <c r="O6" s="106" t="s">
        <v>1299</v>
      </c>
      <c r="Q6" s="87" t="str">
        <f ca="1">'Mia rosa + Org. Finanza'!$B5</f>
        <v/>
      </c>
      <c r="R6" s="107" t="str">
        <f ca="1">'Mia rosa + Org. Finanza'!AG6</f>
        <v/>
      </c>
      <c r="S6" s="107" t="str">
        <f ca="1">'Mia rosa + Org. Finanza'!AH6</f>
        <v/>
      </c>
      <c r="T6" s="107" t="str">
        <f ca="1">'Mia rosa + Org. Finanza'!AI6</f>
        <v/>
      </c>
      <c r="U6" s="107" t="str">
        <f ca="1">'Mia rosa + Org. Finanza'!AJ6</f>
        <v/>
      </c>
      <c r="W6" s="179" t="str">
        <f t="shared" si="0"/>
        <v>Ata</v>
      </c>
      <c r="X6">
        <f t="shared" si="1"/>
        <v>5</v>
      </c>
      <c r="Y6" t="str">
        <f t="shared" si="2"/>
        <v>A5Ata</v>
      </c>
      <c r="Z6" s="193" t="s">
        <v>43</v>
      </c>
      <c r="AA6" s="193" t="s">
        <v>1789</v>
      </c>
      <c r="AB6" s="179" t="s">
        <v>686</v>
      </c>
      <c r="AC6" s="101"/>
      <c r="AD6" s="95"/>
      <c r="AE6" s="95"/>
      <c r="AF6" s="95"/>
      <c r="AG6" s="95"/>
      <c r="AH6" s="95"/>
      <c r="AI6" s="95"/>
      <c r="AJ6" s="95"/>
      <c r="AK6" s="95"/>
      <c r="AL6" s="95"/>
      <c r="AM6" s="95"/>
      <c r="AN6" s="95"/>
      <c r="AO6" s="95"/>
      <c r="AP6" s="95"/>
      <c r="AQ6" s="95"/>
      <c r="AR6" s="95"/>
      <c r="AS6" s="95"/>
      <c r="AT6" s="95"/>
      <c r="AU6" s="95"/>
      <c r="AV6" s="95"/>
      <c r="AW6" s="95"/>
      <c r="AX6" s="95"/>
      <c r="AY6" s="95"/>
      <c r="AZ6" s="95"/>
      <c r="BA6" s="95"/>
    </row>
    <row r="7" spans="1:53" ht="13.5" customHeight="1" thickBot="1">
      <c r="A7" s="561"/>
      <c r="B7" s="96" t="s">
        <v>332</v>
      </c>
      <c r="C7" s="97" t="s">
        <v>550</v>
      </c>
      <c r="D7" s="98" t="s">
        <v>492</v>
      </c>
      <c r="E7" s="98" t="s">
        <v>535</v>
      </c>
      <c r="F7" s="98" t="s">
        <v>524</v>
      </c>
      <c r="G7" s="99" t="s">
        <v>1987</v>
      </c>
      <c r="H7" s="97" t="s">
        <v>444</v>
      </c>
      <c r="I7" s="98" t="s">
        <v>587</v>
      </c>
      <c r="J7" s="98" t="s">
        <v>404</v>
      </c>
      <c r="K7" s="98" t="s">
        <v>565</v>
      </c>
      <c r="L7" s="99" t="s">
        <v>1755</v>
      </c>
      <c r="M7" s="97" t="s">
        <v>466</v>
      </c>
      <c r="N7" s="98" t="s">
        <v>1802</v>
      </c>
      <c r="O7" s="100" t="s">
        <v>1798</v>
      </c>
      <c r="Q7" s="87" t="str">
        <f ca="1">'Mia rosa + Org. Finanza'!$B6</f>
        <v/>
      </c>
      <c r="R7" s="107" t="str">
        <f ca="1">'Mia rosa + Org. Finanza'!AG7</f>
        <v/>
      </c>
      <c r="S7" s="107" t="str">
        <f ca="1">'Mia rosa + Org. Finanza'!AH7</f>
        <v/>
      </c>
      <c r="T7" s="107" t="str">
        <f ca="1">'Mia rosa + Org. Finanza'!AI7</f>
        <v/>
      </c>
      <c r="U7" s="107" t="str">
        <f ca="1">'Mia rosa + Org. Finanza'!AJ7</f>
        <v/>
      </c>
      <c r="W7" s="179" t="str">
        <f t="shared" si="0"/>
        <v>Ata</v>
      </c>
      <c r="X7">
        <f t="shared" si="1"/>
        <v>1</v>
      </c>
      <c r="Y7" t="str">
        <f t="shared" si="2"/>
        <v>C1Ata</v>
      </c>
      <c r="Z7" s="193" t="s">
        <v>39</v>
      </c>
      <c r="AA7" s="193" t="s">
        <v>407</v>
      </c>
      <c r="AB7" s="179" t="s">
        <v>686</v>
      </c>
      <c r="AC7" s="101"/>
      <c r="AD7" s="95" t="s">
        <v>1372</v>
      </c>
      <c r="AE7" s="95" t="s">
        <v>1373</v>
      </c>
      <c r="AF7" s="95" t="s">
        <v>1374</v>
      </c>
      <c r="AG7" s="95" t="s">
        <v>1375</v>
      </c>
      <c r="AH7" s="95" t="s">
        <v>1376</v>
      </c>
      <c r="AI7" s="95" t="s">
        <v>1377</v>
      </c>
      <c r="AJ7" s="95" t="s">
        <v>1378</v>
      </c>
      <c r="AK7" s="95" t="s">
        <v>1379</v>
      </c>
      <c r="AL7" s="95" t="s">
        <v>1380</v>
      </c>
      <c r="AM7" s="95" t="s">
        <v>1381</v>
      </c>
      <c r="AN7" s="95" t="s">
        <v>1382</v>
      </c>
      <c r="AO7" s="95" t="s">
        <v>1383</v>
      </c>
      <c r="AP7" s="95" t="s">
        <v>1384</v>
      </c>
      <c r="AQ7" s="95" t="s">
        <v>1385</v>
      </c>
      <c r="AR7" s="95" t="s">
        <v>1386</v>
      </c>
      <c r="AS7" s="95" t="s">
        <v>1387</v>
      </c>
      <c r="AT7" s="95" t="s">
        <v>1388</v>
      </c>
      <c r="AU7" s="95" t="s">
        <v>1389</v>
      </c>
      <c r="AV7" s="95" t="s">
        <v>1390</v>
      </c>
      <c r="AW7" s="95" t="s">
        <v>1391</v>
      </c>
      <c r="AX7" s="95" t="s">
        <v>1392</v>
      </c>
      <c r="AY7" s="95" t="s">
        <v>1393</v>
      </c>
      <c r="AZ7" s="95" t="s">
        <v>1394</v>
      </c>
      <c r="BA7" s="95" t="s">
        <v>1395</v>
      </c>
    </row>
    <row r="8" spans="1:53" ht="13.5" customHeight="1" thickBot="1">
      <c r="A8" s="561" t="str">
        <f ca="1">INDIRECT("Squadre!A"&amp;(ROW()/2)+1)</f>
        <v>Cag</v>
      </c>
      <c r="B8" s="102" t="s">
        <v>1677</v>
      </c>
      <c r="C8" s="103" t="s">
        <v>572</v>
      </c>
      <c r="D8" s="104" t="s">
        <v>317</v>
      </c>
      <c r="E8" s="104" t="s">
        <v>1288</v>
      </c>
      <c r="F8" s="104" t="s">
        <v>1962</v>
      </c>
      <c r="G8" s="105"/>
      <c r="H8" s="103"/>
      <c r="I8" s="104" t="s">
        <v>497</v>
      </c>
      <c r="J8" s="104" t="s">
        <v>395</v>
      </c>
      <c r="K8" s="104" t="s">
        <v>327</v>
      </c>
      <c r="L8" s="105" t="s">
        <v>506</v>
      </c>
      <c r="M8" s="103" t="s">
        <v>372</v>
      </c>
      <c r="N8" s="104" t="s">
        <v>477</v>
      </c>
      <c r="O8" s="106"/>
      <c r="R8" s="107" t="str">
        <f ca="1">'Mia rosa + Org. Finanza'!AG8</f>
        <v/>
      </c>
      <c r="S8" s="107" t="str">
        <f ca="1">'Mia rosa + Org. Finanza'!AH8</f>
        <v/>
      </c>
      <c r="T8" s="107" t="str">
        <f ca="1">'Mia rosa + Org. Finanza'!AI8</f>
        <v/>
      </c>
      <c r="U8" s="107" t="str">
        <f ca="1">'Mia rosa + Org. Finanza'!AJ8</f>
        <v/>
      </c>
      <c r="W8" s="179" t="str">
        <f t="shared" si="0"/>
        <v>Ata</v>
      </c>
      <c r="X8">
        <f t="shared" si="1"/>
        <v>2</v>
      </c>
      <c r="Y8" t="str">
        <f t="shared" si="2"/>
        <v>C2Ata</v>
      </c>
      <c r="Z8" s="193" t="s">
        <v>39</v>
      </c>
      <c r="AA8" s="193" t="s">
        <v>1924</v>
      </c>
      <c r="AB8" s="179" t="s">
        <v>686</v>
      </c>
      <c r="AC8" s="101" t="s">
        <v>761</v>
      </c>
      <c r="AD8" s="94" t="str">
        <f ca="1">VLOOKUP($AC8&amp;AD$50,$Y$2:$AA$534,3,FALSE)</f>
        <v>BASTONI</v>
      </c>
      <c r="AE8" s="94" t="str">
        <f t="shared" ref="AE8:AW19" ca="1" si="5">VLOOKUP($AC8&amp;AE$50,$Y$2:$AA$534,3,FALSE)</f>
        <v>ANTEI</v>
      </c>
      <c r="AF8" s="94" t="str">
        <f t="shared" ca="1" si="5"/>
        <v>DE MAIO</v>
      </c>
      <c r="AG8" s="94" t="str">
        <f t="shared" ca="1" si="5"/>
        <v>ANDREOLLI</v>
      </c>
      <c r="AH8" s="94" t="str">
        <f t="shared" ca="1" si="5"/>
        <v>BANI</v>
      </c>
      <c r="AI8" s="94" t="str">
        <f t="shared" ca="1" si="5"/>
        <v>AJETI</v>
      </c>
      <c r="AJ8" s="94" t="str">
        <f t="shared" ca="1" si="5"/>
        <v>ASTORI</v>
      </c>
      <c r="AK8" s="94" t="str">
        <f t="shared" ca="1" si="5"/>
        <v>BIRASCHI</v>
      </c>
      <c r="AL8" s="94" t="str">
        <f t="shared" ca="1" si="5"/>
        <v>CANCELO</v>
      </c>
      <c r="AM8" s="94" t="str">
        <f t="shared" ca="1" si="5"/>
        <v>ALEX SANDRO</v>
      </c>
      <c r="AN8" s="94" t="str">
        <f t="shared" ca="1" si="5"/>
        <v>BASTA</v>
      </c>
      <c r="AO8" s="94" t="str">
        <f t="shared" ca="1" si="5"/>
        <v>ABATE</v>
      </c>
      <c r="AP8" s="94" t="str">
        <f t="shared" ca="1" si="5"/>
        <v>ALBIOL</v>
      </c>
      <c r="AQ8" s="94" t="str">
        <f t="shared" ca="1" si="5"/>
        <v>BRUNO PERES</v>
      </c>
      <c r="AR8" s="94" t="str">
        <f t="shared" ca="1" si="5"/>
        <v>ANDERSEN</v>
      </c>
      <c r="AS8" s="94" t="str">
        <f t="shared" ca="1" si="5"/>
        <v>ACERBI</v>
      </c>
      <c r="AT8" s="94" t="str">
        <f t="shared" ca="1" si="5"/>
        <v>COSTA F</v>
      </c>
      <c r="AU8" s="94" t="str">
        <f t="shared" ca="1" si="5"/>
        <v>ANSALDI</v>
      </c>
      <c r="AV8" s="94" t="str">
        <f t="shared" ca="1" si="5"/>
        <v>ADNAN</v>
      </c>
      <c r="AW8" s="94" t="str">
        <f t="shared" ca="1" si="5"/>
        <v>ALBERTAZZI</v>
      </c>
      <c r="AX8" s="94" t="s">
        <v>1371</v>
      </c>
      <c r="AY8" s="94" t="s">
        <v>1371</v>
      </c>
      <c r="AZ8" s="94" t="s">
        <v>1371</v>
      </c>
      <c r="BA8" s="94" t="s">
        <v>1371</v>
      </c>
    </row>
    <row r="9" spans="1:53" ht="13.5" customHeight="1" thickBot="1">
      <c r="A9" s="561"/>
      <c r="B9" s="96" t="s">
        <v>409</v>
      </c>
      <c r="C9" s="97" t="s">
        <v>1722</v>
      </c>
      <c r="D9" s="98" t="s">
        <v>406</v>
      </c>
      <c r="E9" s="98" t="s">
        <v>397</v>
      </c>
      <c r="F9" s="98"/>
      <c r="G9" s="99"/>
      <c r="H9" s="97"/>
      <c r="I9" s="98" t="s">
        <v>430</v>
      </c>
      <c r="J9" s="98" t="s">
        <v>1852</v>
      </c>
      <c r="K9" s="98" t="s">
        <v>1762</v>
      </c>
      <c r="L9" s="99" t="s">
        <v>427</v>
      </c>
      <c r="M9" s="97" t="s">
        <v>452</v>
      </c>
      <c r="N9" s="98" t="s">
        <v>507</v>
      </c>
      <c r="O9" s="100"/>
      <c r="R9" s="107" t="str">
        <f ca="1">'Mia rosa + Org. Finanza'!AG9</f>
        <v/>
      </c>
      <c r="S9" s="107" t="str">
        <f ca="1">'Mia rosa + Org. Finanza'!AH9</f>
        <v/>
      </c>
      <c r="T9" s="107" t="str">
        <f ca="1">'Mia rosa + Org. Finanza'!AI9</f>
        <v/>
      </c>
      <c r="U9" s="107" t="str">
        <f ca="1">'Mia rosa + Org. Finanza'!AJ9</f>
        <v/>
      </c>
      <c r="W9" s="179" t="str">
        <f t="shared" si="0"/>
        <v>Ata</v>
      </c>
      <c r="X9">
        <f t="shared" si="1"/>
        <v>3</v>
      </c>
      <c r="Y9" t="str">
        <f t="shared" si="2"/>
        <v>C3Ata</v>
      </c>
      <c r="Z9" s="193" t="s">
        <v>39</v>
      </c>
      <c r="AA9" s="193" t="s">
        <v>461</v>
      </c>
      <c r="AB9" s="179" t="s">
        <v>686</v>
      </c>
      <c r="AC9" s="101" t="s">
        <v>762</v>
      </c>
      <c r="AD9" s="94" t="str">
        <f t="shared" ref="AD9:AS19" ca="1" si="6">VLOOKUP($AC9&amp;AD$50,$Y$2:$AA$534,3,FALSE)</f>
        <v>CALDARA</v>
      </c>
      <c r="AE9" s="94" t="str">
        <f t="shared" ca="1" si="6"/>
        <v>COSTA</v>
      </c>
      <c r="AF9" s="94" t="str">
        <f t="shared" ca="1" si="6"/>
        <v>GONZALEZ G</v>
      </c>
      <c r="AG9" s="94" t="str">
        <f t="shared" ca="1" si="6"/>
        <v>CAPUANO</v>
      </c>
      <c r="AH9" s="94" t="str">
        <f t="shared" ca="1" si="6"/>
        <v>CACCIATORE</v>
      </c>
      <c r="AI9" s="94" t="str">
        <f t="shared" ca="1" si="6"/>
        <v>CABRERA</v>
      </c>
      <c r="AJ9" s="94" t="str">
        <f t="shared" ca="1" si="6"/>
        <v>BIRAGHI</v>
      </c>
      <c r="AK9" s="94" t="str">
        <f t="shared" ca="1" si="6"/>
        <v>GENTILETTI</v>
      </c>
      <c r="AL9" s="94" t="str">
        <f t="shared" ca="1" si="6"/>
        <v>DALBERT</v>
      </c>
      <c r="AM9" s="94" t="str">
        <f t="shared" ca="1" si="6"/>
        <v>ASAMOAH</v>
      </c>
      <c r="AN9" s="94" t="str">
        <f t="shared" ca="1" si="6"/>
        <v>BASTOS</v>
      </c>
      <c r="AO9" s="94" t="str">
        <f t="shared" ca="1" si="6"/>
        <v>ANTONELLI</v>
      </c>
      <c r="AP9" s="94" t="str">
        <f t="shared" ca="1" si="6"/>
        <v>CHIRICHES</v>
      </c>
      <c r="AQ9" s="94" t="str">
        <f t="shared" ca="1" si="6"/>
        <v>CASTAN</v>
      </c>
      <c r="AR9" s="94" t="str">
        <f t="shared" ca="1" si="6"/>
        <v>BERESZYNSKI</v>
      </c>
      <c r="AS9" s="94" t="str">
        <f t="shared" ca="1" si="6"/>
        <v>ADJAPONG</v>
      </c>
      <c r="AT9" s="94" t="str">
        <f t="shared" ca="1" si="5"/>
        <v>CREMONESI</v>
      </c>
      <c r="AU9" s="94" t="str">
        <f t="shared" ca="1" si="5"/>
        <v>BARRECA</v>
      </c>
      <c r="AV9" s="94" t="str">
        <f t="shared" ca="1" si="5"/>
        <v>ANGELLA</v>
      </c>
      <c r="AW9" s="94" t="str">
        <f t="shared" ca="1" si="5"/>
        <v>BIANCHETTI</v>
      </c>
      <c r="AX9" s="94" t="s">
        <v>1371</v>
      </c>
      <c r="AY9" s="94" t="s">
        <v>1371</v>
      </c>
      <c r="AZ9" s="94" t="s">
        <v>1371</v>
      </c>
      <c r="BA9" s="94" t="s">
        <v>1371</v>
      </c>
    </row>
    <row r="10" spans="1:53" ht="13.5" customHeight="1" thickBot="1">
      <c r="A10" s="561" t="str">
        <f ca="1">INDIRECT("Squadre!A"&amp;(ROW()/2)+1)</f>
        <v>Chi</v>
      </c>
      <c r="B10" s="102" t="s">
        <v>431</v>
      </c>
      <c r="C10" s="103" t="s">
        <v>386</v>
      </c>
      <c r="D10" s="104" t="s">
        <v>440</v>
      </c>
      <c r="E10" s="104" t="s">
        <v>490</v>
      </c>
      <c r="F10" s="104" t="s">
        <v>502</v>
      </c>
      <c r="G10" s="105"/>
      <c r="H10" s="103" t="s">
        <v>389</v>
      </c>
      <c r="I10" s="104" t="s">
        <v>354</v>
      </c>
      <c r="J10" s="104" t="s">
        <v>487</v>
      </c>
      <c r="K10" s="104" t="s">
        <v>590</v>
      </c>
      <c r="L10" s="105"/>
      <c r="M10" s="103" t="s">
        <v>491</v>
      </c>
      <c r="N10" s="104" t="s">
        <v>405</v>
      </c>
      <c r="O10" s="106"/>
      <c r="Q10" s="87" t="str">
        <f ca="1">'Mia rosa + Org. Finanza'!$B10</f>
        <v/>
      </c>
      <c r="R10" s="107" t="str">
        <f ca="1">'Mia rosa + Org. Finanza'!AG10</f>
        <v/>
      </c>
      <c r="S10" s="107" t="str">
        <f ca="1">'Mia rosa + Org. Finanza'!AH10</f>
        <v/>
      </c>
      <c r="T10" s="107" t="str">
        <f ca="1">'Mia rosa + Org. Finanza'!AI10</f>
        <v/>
      </c>
      <c r="U10" s="107" t="str">
        <f ca="1">'Mia rosa + Org. Finanza'!AJ10</f>
        <v/>
      </c>
      <c r="W10" s="179" t="str">
        <f t="shared" si="0"/>
        <v>Ata</v>
      </c>
      <c r="X10">
        <f t="shared" si="1"/>
        <v>4</v>
      </c>
      <c r="Y10" t="str">
        <f t="shared" si="2"/>
        <v>C4Ata</v>
      </c>
      <c r="Z10" s="193" t="s">
        <v>39</v>
      </c>
      <c r="AA10" s="193" t="s">
        <v>1746</v>
      </c>
      <c r="AB10" s="179" t="s">
        <v>686</v>
      </c>
      <c r="AC10" s="101" t="s">
        <v>763</v>
      </c>
      <c r="AD10" s="94" t="str">
        <f t="shared" ca="1" si="6"/>
        <v>CASTAGNE</v>
      </c>
      <c r="AE10" s="94" t="str">
        <f t="shared" ca="1" si="5"/>
        <v>DI CHIARA</v>
      </c>
      <c r="AF10" s="94" t="str">
        <f t="shared" ca="1" si="5"/>
        <v>HELANDER</v>
      </c>
      <c r="AG10" s="94" t="str">
        <f t="shared" ca="1" si="5"/>
        <v>CEPPITELLI</v>
      </c>
      <c r="AH10" s="94" t="str">
        <f t="shared" ca="1" si="5"/>
        <v>CESAR</v>
      </c>
      <c r="AI10" s="94" t="str">
        <f t="shared" ca="1" si="5"/>
        <v>CECCHERINI</v>
      </c>
      <c r="AJ10" s="94" t="str">
        <f t="shared" ca="1" si="5"/>
        <v>GASPAR</v>
      </c>
      <c r="AK10" s="94" t="str">
        <f t="shared" ca="1" si="5"/>
        <v>IZZO</v>
      </c>
      <c r="AL10" s="94" t="str">
        <f t="shared" ca="1" si="5"/>
        <v>D'AMBROSIO</v>
      </c>
      <c r="AM10" s="94" t="str">
        <f t="shared" ca="1" si="5"/>
        <v>BARZAGLI</v>
      </c>
      <c r="AN10" s="94" t="str">
        <f t="shared" ca="1" si="5"/>
        <v>DE VRIJ</v>
      </c>
      <c r="AO10" s="94" t="str">
        <f t="shared" ca="1" si="5"/>
        <v>BONUCCI</v>
      </c>
      <c r="AP10" s="94" t="str">
        <f t="shared" ca="1" si="5"/>
        <v>GHOULAM</v>
      </c>
      <c r="AQ10" s="94" t="str">
        <f t="shared" ca="1" si="5"/>
        <v>EMERSON</v>
      </c>
      <c r="AR10" s="94" t="str">
        <f t="shared" ca="1" si="5"/>
        <v>DODO'</v>
      </c>
      <c r="AS10" s="94" t="str">
        <f t="shared" ca="1" si="5"/>
        <v>CANNAVARO</v>
      </c>
      <c r="AT10" s="94" t="str">
        <f t="shared" ca="1" si="5"/>
        <v>DELLA GIOVANNA</v>
      </c>
      <c r="AU10" s="94" t="str">
        <f t="shared" ca="1" si="5"/>
        <v>BONIFAZI</v>
      </c>
      <c r="AV10" s="94" t="str">
        <f t="shared" ca="1" si="5"/>
        <v>BOCHNIEWICZ</v>
      </c>
      <c r="AW10" s="94" t="str">
        <f t="shared" ca="1" si="5"/>
        <v>CACERES</v>
      </c>
      <c r="AX10" s="94" t="s">
        <v>1371</v>
      </c>
      <c r="AY10" s="94" t="s">
        <v>1371</v>
      </c>
      <c r="AZ10" s="94" t="s">
        <v>1371</v>
      </c>
      <c r="BA10" s="94" t="s">
        <v>1371</v>
      </c>
    </row>
    <row r="11" spans="1:53" ht="13.5" customHeight="1" thickBot="1">
      <c r="A11" s="561"/>
      <c r="B11" s="96" t="s">
        <v>423</v>
      </c>
      <c r="C11" s="97" t="s">
        <v>891</v>
      </c>
      <c r="D11" s="98" t="s">
        <v>410</v>
      </c>
      <c r="E11" s="98" t="s">
        <v>1726</v>
      </c>
      <c r="F11" s="98" t="s">
        <v>1717</v>
      </c>
      <c r="G11" s="99"/>
      <c r="H11" s="97" t="s">
        <v>1335</v>
      </c>
      <c r="I11" s="98" t="s">
        <v>1765</v>
      </c>
      <c r="J11" s="98" t="s">
        <v>593</v>
      </c>
      <c r="K11" s="98" t="s">
        <v>1751</v>
      </c>
      <c r="L11" s="99"/>
      <c r="M11" s="97" t="s">
        <v>450</v>
      </c>
      <c r="N11" s="98" t="s">
        <v>480</v>
      </c>
      <c r="O11" s="108" t="s">
        <v>1985</v>
      </c>
      <c r="Q11" s="87" t="str">
        <f ca="1">'Mia rosa + Org. Finanza'!$B11</f>
        <v/>
      </c>
      <c r="R11" s="107" t="str">
        <f ca="1">'Mia rosa + Org. Finanza'!AG11</f>
        <v/>
      </c>
      <c r="S11" s="107" t="str">
        <f ca="1">'Mia rosa + Org. Finanza'!AH11</f>
        <v/>
      </c>
      <c r="T11" s="107" t="str">
        <f ca="1">'Mia rosa + Org. Finanza'!AI11</f>
        <v/>
      </c>
      <c r="U11" s="107" t="str">
        <f ca="1">'Mia rosa + Org. Finanza'!AJ11</f>
        <v/>
      </c>
      <c r="W11" s="179" t="str">
        <f t="shared" si="0"/>
        <v>Ata</v>
      </c>
      <c r="X11">
        <f t="shared" si="1"/>
        <v>5</v>
      </c>
      <c r="Y11" t="str">
        <f t="shared" si="2"/>
        <v>C5Ata</v>
      </c>
      <c r="Z11" s="193" t="s">
        <v>39</v>
      </c>
      <c r="AA11" s="193" t="s">
        <v>398</v>
      </c>
      <c r="AB11" s="179" t="s">
        <v>686</v>
      </c>
      <c r="AC11" s="101" t="s">
        <v>764</v>
      </c>
      <c r="AD11" s="94" t="str">
        <f t="shared" ca="1" si="6"/>
        <v>DRAME'</v>
      </c>
      <c r="AE11" s="94" t="str">
        <f t="shared" ca="1" si="5"/>
        <v>DJIMSITI</v>
      </c>
      <c r="AF11" s="94" t="str">
        <f t="shared" ca="1" si="5"/>
        <v>KEITA C</v>
      </c>
      <c r="AG11" s="94" t="str">
        <f t="shared" ca="1" si="5"/>
        <v>MIANGUE</v>
      </c>
      <c r="AH11" s="94" t="str">
        <f t="shared" ca="1" si="5"/>
        <v>DAINELLI</v>
      </c>
      <c r="AI11" s="94" t="str">
        <f t="shared" ca="1" si="5"/>
        <v>FARAONI</v>
      </c>
      <c r="AJ11" s="94" t="str">
        <f t="shared" ca="1" si="5"/>
        <v>HRISTOV</v>
      </c>
      <c r="AK11" s="94" t="str">
        <f t="shared" ca="1" si="5"/>
        <v>MIGLIORE</v>
      </c>
      <c r="AL11" s="94" t="str">
        <f t="shared" ca="1" si="5"/>
        <v>MIRANDA</v>
      </c>
      <c r="AM11" s="94" t="str">
        <f t="shared" ca="1" si="5"/>
        <v>BENATIA</v>
      </c>
      <c r="AN11" s="94" t="str">
        <f t="shared" ca="1" si="5"/>
        <v>LUKAKU</v>
      </c>
      <c r="AO11" s="94" t="str">
        <f t="shared" ca="1" si="5"/>
        <v>CALABRIA</v>
      </c>
      <c r="AP11" s="94" t="str">
        <f t="shared" ca="1" si="5"/>
        <v>HYSAJ</v>
      </c>
      <c r="AQ11" s="94" t="str">
        <f t="shared" ca="1" si="5"/>
        <v>FAZIO</v>
      </c>
      <c r="AR11" s="94" t="str">
        <f t="shared" ca="1" si="5"/>
        <v>FERRARI G</v>
      </c>
      <c r="AS11" s="94" t="str">
        <f t="shared" ca="1" si="5"/>
        <v>DELL'ORCO</v>
      </c>
      <c r="AT11" s="94" t="str">
        <f t="shared" ca="1" si="5"/>
        <v>FELIPE</v>
      </c>
      <c r="AU11" s="94" t="str">
        <f t="shared" ca="1" si="5"/>
        <v>BURDISSO</v>
      </c>
      <c r="AV11" s="94" t="str">
        <f t="shared" ca="1" si="5"/>
        <v>DANILO</v>
      </c>
      <c r="AW11" s="94" t="str">
        <f t="shared" ca="1" si="5"/>
        <v>CARACCIOLO A</v>
      </c>
      <c r="AX11" s="94" t="s">
        <v>1371</v>
      </c>
      <c r="AY11" s="94" t="s">
        <v>1371</v>
      </c>
      <c r="AZ11" s="94" t="s">
        <v>1371</v>
      </c>
      <c r="BA11" s="94" t="s">
        <v>1371</v>
      </c>
    </row>
    <row r="12" spans="1:53" ht="13.5" customHeight="1" thickBot="1">
      <c r="A12" s="561" t="str">
        <f ca="1">INDIRECT("Squadre!A"&amp;(ROW()/2)+1)</f>
        <v>Cro</v>
      </c>
      <c r="B12" s="102" t="s">
        <v>329</v>
      </c>
      <c r="C12" s="103" t="s">
        <v>472</v>
      </c>
      <c r="D12" s="104" t="s">
        <v>306</v>
      </c>
      <c r="E12" s="104" t="s">
        <v>403</v>
      </c>
      <c r="F12" s="104" t="s">
        <v>544</v>
      </c>
      <c r="G12" s="105"/>
      <c r="H12" s="103" t="s">
        <v>923</v>
      </c>
      <c r="I12" s="104" t="s">
        <v>323</v>
      </c>
      <c r="J12" s="104" t="s">
        <v>501</v>
      </c>
      <c r="K12" s="104" t="s">
        <v>605</v>
      </c>
      <c r="L12" s="105"/>
      <c r="M12" s="103" t="s">
        <v>520</v>
      </c>
      <c r="N12" s="104" t="s">
        <v>324</v>
      </c>
      <c r="O12" s="106"/>
      <c r="Q12" s="87" t="str">
        <f ca="1">'Mia rosa + Org. Finanza'!$B12</f>
        <v/>
      </c>
      <c r="R12" s="107" t="str">
        <f ca="1">'Mia rosa + Org. Finanza'!AG12</f>
        <v/>
      </c>
      <c r="S12" s="107" t="str">
        <f ca="1">'Mia rosa + Org. Finanza'!AH12</f>
        <v/>
      </c>
      <c r="T12" s="107" t="str">
        <f ca="1">'Mia rosa + Org. Finanza'!AI12</f>
        <v/>
      </c>
      <c r="U12" s="107" t="str">
        <f ca="1">'Mia rosa + Org. Finanza'!AJ12</f>
        <v/>
      </c>
      <c r="W12" s="179" t="str">
        <f t="shared" si="0"/>
        <v>Ata</v>
      </c>
      <c r="X12">
        <f t="shared" si="1"/>
        <v>6</v>
      </c>
      <c r="Y12" t="str">
        <f t="shared" si="2"/>
        <v>C6Ata</v>
      </c>
      <c r="Z12" s="193" t="s">
        <v>39</v>
      </c>
      <c r="AA12" s="193" t="s">
        <v>1858</v>
      </c>
      <c r="AB12" s="179" t="s">
        <v>686</v>
      </c>
      <c r="AC12" s="101" t="s">
        <v>765</v>
      </c>
      <c r="AD12" s="94" t="str">
        <f t="shared" ca="1" si="6"/>
        <v>GOSENS</v>
      </c>
      <c r="AE12" s="94" t="str">
        <f t="shared" ca="1" si="5"/>
        <v>GRAVILLON</v>
      </c>
      <c r="AF12" s="94" t="str">
        <f t="shared" ca="1" si="5"/>
        <v>KRAFTH</v>
      </c>
      <c r="AG12" s="94" t="str">
        <f t="shared" ca="1" si="5"/>
        <v>PADOIN</v>
      </c>
      <c r="AH12" s="94" t="str">
        <f t="shared" ca="1" si="5"/>
        <v>DEPAOLI</v>
      </c>
      <c r="AI12" s="94" t="str">
        <f t="shared" ca="1" si="5"/>
        <v>MARTELLA</v>
      </c>
      <c r="AJ12" s="94" t="str">
        <f t="shared" ca="1" si="5"/>
        <v>LAURINI</v>
      </c>
      <c r="AK12" s="94" t="str">
        <f t="shared" ca="1" si="5"/>
        <v>ROSI</v>
      </c>
      <c r="AL12" s="94" t="str">
        <f t="shared" ca="1" si="5"/>
        <v>NAGATOMO</v>
      </c>
      <c r="AM12" s="94" t="str">
        <f t="shared" ca="1" si="5"/>
        <v>CHIELLINI</v>
      </c>
      <c r="AN12" s="94" t="str">
        <f t="shared" ca="1" si="5"/>
        <v>PATRIC</v>
      </c>
      <c r="AO12" s="94" t="str">
        <f t="shared" ca="1" si="5"/>
        <v>CONTI</v>
      </c>
      <c r="AP12" s="94" t="str">
        <f t="shared" ca="1" si="5"/>
        <v>KOULIBALY</v>
      </c>
      <c r="AQ12" s="94" t="str">
        <f t="shared" ca="1" si="5"/>
        <v>HECTOR MORENO</v>
      </c>
      <c r="AR12" s="94" t="str">
        <f t="shared" ca="1" si="5"/>
        <v>MIKULIC</v>
      </c>
      <c r="AS12" s="94" t="str">
        <f t="shared" ca="1" si="5"/>
        <v>GAZZOLA</v>
      </c>
      <c r="AT12" s="94" t="str">
        <f t="shared" ca="1" si="5"/>
        <v>KONATE</v>
      </c>
      <c r="AU12" s="94" t="str">
        <f t="shared" ca="1" si="5"/>
        <v>DE SILVESTRI</v>
      </c>
      <c r="AV12" s="94" t="str">
        <f t="shared" ca="1" si="5"/>
        <v>NUYTINCK</v>
      </c>
      <c r="AW12" s="94" t="str">
        <f t="shared" ca="1" si="5"/>
        <v>CHERUBIN</v>
      </c>
      <c r="AX12" s="94" t="s">
        <v>1371</v>
      </c>
      <c r="AY12" s="94" t="s">
        <v>1371</v>
      </c>
      <c r="AZ12" s="94" t="s">
        <v>1371</v>
      </c>
      <c r="BA12" s="94" t="s">
        <v>1371</v>
      </c>
    </row>
    <row r="13" spans="1:53" ht="13.5" customHeight="1" thickBot="1">
      <c r="A13" s="561"/>
      <c r="B13" s="96" t="s">
        <v>342</v>
      </c>
      <c r="C13" s="97" t="s">
        <v>592</v>
      </c>
      <c r="D13" s="98" t="s">
        <v>1706</v>
      </c>
      <c r="E13" s="98" t="s">
        <v>472</v>
      </c>
      <c r="F13" s="98" t="s">
        <v>566</v>
      </c>
      <c r="G13" s="99"/>
      <c r="H13" s="97" t="s">
        <v>1767</v>
      </c>
      <c r="I13" s="98" t="s">
        <v>1838</v>
      </c>
      <c r="J13" s="98" t="s">
        <v>541</v>
      </c>
      <c r="K13" s="98" t="s">
        <v>458</v>
      </c>
      <c r="L13" s="99"/>
      <c r="M13" s="97" t="s">
        <v>511</v>
      </c>
      <c r="N13" s="98" t="s">
        <v>1847</v>
      </c>
      <c r="O13" s="100"/>
      <c r="Q13" s="87" t="str">
        <f ca="1">'Mia rosa + Org. Finanza'!$B13</f>
        <v/>
      </c>
      <c r="R13" s="107" t="str">
        <f ca="1">'Mia rosa + Org. Finanza'!AG13</f>
        <v/>
      </c>
      <c r="S13" s="107" t="str">
        <f ca="1">'Mia rosa + Org. Finanza'!AH13</f>
        <v/>
      </c>
      <c r="T13" s="107" t="str">
        <f ca="1">'Mia rosa + Org. Finanza'!AI13</f>
        <v/>
      </c>
      <c r="U13" s="107" t="str">
        <f ca="1">'Mia rosa + Org. Finanza'!AJ13</f>
        <v/>
      </c>
      <c r="W13" s="179" t="str">
        <f t="shared" si="0"/>
        <v>Ata</v>
      </c>
      <c r="X13">
        <f t="shared" si="1"/>
        <v>7</v>
      </c>
      <c r="Y13" t="str">
        <f t="shared" si="2"/>
        <v>C7Ata</v>
      </c>
      <c r="Z13" s="193" t="s">
        <v>39</v>
      </c>
      <c r="AA13" s="193" t="s">
        <v>525</v>
      </c>
      <c r="AB13" s="179" t="s">
        <v>686</v>
      </c>
      <c r="AC13" s="101" t="s">
        <v>766</v>
      </c>
      <c r="AD13" s="94" t="str">
        <f t="shared" ca="1" si="6"/>
        <v>HATEBOER</v>
      </c>
      <c r="AE13" s="94" t="str">
        <f t="shared" ca="1" si="5"/>
        <v>GYAMFI</v>
      </c>
      <c r="AF13" s="94" t="str">
        <f t="shared" ca="1" si="5"/>
        <v>MAIETTA</v>
      </c>
      <c r="AG13" s="94" t="str">
        <f t="shared" ca="1" si="5"/>
        <v>PISACANE</v>
      </c>
      <c r="AH13" s="94" t="str">
        <f t="shared" ca="1" si="5"/>
        <v>FREY</v>
      </c>
      <c r="AI13" s="94" t="str">
        <f t="shared" ca="1" si="5"/>
        <v>PAVLOVIC</v>
      </c>
      <c r="AJ13" s="94" t="str">
        <f t="shared" ca="1" si="5"/>
        <v>MILENKOVIC</v>
      </c>
      <c r="AK13" s="94" t="str">
        <f t="shared" ca="1" si="5"/>
        <v>ROSSETTINI</v>
      </c>
      <c r="AL13" s="94" t="str">
        <f t="shared" ca="1" si="5"/>
        <v>RANOCCHIA</v>
      </c>
      <c r="AM13" s="94" t="str">
        <f t="shared" ca="1" si="5"/>
        <v>DE SCIGLIO</v>
      </c>
      <c r="AN13" s="94" t="str">
        <f t="shared" ca="1" si="5"/>
        <v>RADU</v>
      </c>
      <c r="AO13" s="94" t="str">
        <f t="shared" ca="1" si="5"/>
        <v>GOMEZ G</v>
      </c>
      <c r="AP13" s="94" t="str">
        <f t="shared" ca="1" si="5"/>
        <v>MAGGIO</v>
      </c>
      <c r="AQ13" s="94" t="str">
        <f t="shared" ca="1" si="5"/>
        <v>JUAN JESUS</v>
      </c>
      <c r="AR13" s="94" t="str">
        <f t="shared" ca="1" si="5"/>
        <v>MURRU</v>
      </c>
      <c r="AS13" s="94" t="str">
        <f t="shared" ca="1" si="5"/>
        <v>GOLDANIGA</v>
      </c>
      <c r="AT13" s="94" t="str">
        <f t="shared" ca="1" si="5"/>
        <v>MATTIELLO</v>
      </c>
      <c r="AU13" s="94" t="str">
        <f t="shared" ca="1" si="5"/>
        <v>LYANCO</v>
      </c>
      <c r="AV13" s="94" t="str">
        <f t="shared" ca="1" si="5"/>
        <v>PEZZELLA GIU</v>
      </c>
      <c r="AW13" s="94" t="str">
        <f t="shared" ca="1" si="5"/>
        <v>FELICIOLI</v>
      </c>
      <c r="AX13" s="94" t="s">
        <v>1371</v>
      </c>
      <c r="AY13" s="94" t="s">
        <v>1371</v>
      </c>
      <c r="AZ13" s="94" t="s">
        <v>1371</v>
      </c>
      <c r="BA13" s="94" t="s">
        <v>1371</v>
      </c>
    </row>
    <row r="14" spans="1:53" ht="13.5" customHeight="1" thickBot="1">
      <c r="A14" s="561" t="str">
        <f ca="1">INDIRECT("Squadre!A"&amp;(ROW()/2)+1)</f>
        <v>Fio</v>
      </c>
      <c r="B14" s="102" t="s">
        <v>432</v>
      </c>
      <c r="C14" s="103" t="s">
        <v>1695</v>
      </c>
      <c r="D14" s="104" t="s">
        <v>336</v>
      </c>
      <c r="E14" s="104" t="s">
        <v>1939</v>
      </c>
      <c r="F14" s="104" t="s">
        <v>364</v>
      </c>
      <c r="G14" s="105"/>
      <c r="H14" s="103" t="s">
        <v>600</v>
      </c>
      <c r="I14" s="104" t="s">
        <v>335</v>
      </c>
      <c r="J14" s="104" t="s">
        <v>337</v>
      </c>
      <c r="K14" s="104" t="s">
        <v>313</v>
      </c>
      <c r="L14" s="105" t="s">
        <v>1737</v>
      </c>
      <c r="M14" s="103" t="s">
        <v>1291</v>
      </c>
      <c r="N14" s="104"/>
      <c r="O14" s="106"/>
      <c r="Q14" s="87" t="str">
        <f ca="1">'Mia rosa + Org. Finanza'!$B14</f>
        <v/>
      </c>
      <c r="R14" s="107" t="str">
        <f ca="1">'Mia rosa + Org. Finanza'!AG14</f>
        <v/>
      </c>
      <c r="S14" s="107" t="str">
        <f ca="1">'Mia rosa + Org. Finanza'!AH14</f>
        <v/>
      </c>
      <c r="T14" s="107" t="str">
        <f ca="1">'Mia rosa + Org. Finanza'!AI14</f>
        <v/>
      </c>
      <c r="U14" s="107" t="str">
        <f ca="1">'Mia rosa + Org. Finanza'!AJ14</f>
        <v/>
      </c>
      <c r="W14" s="179" t="str">
        <f t="shared" si="0"/>
        <v>Ata</v>
      </c>
      <c r="X14">
        <f t="shared" si="1"/>
        <v>8</v>
      </c>
      <c r="Y14" t="str">
        <f t="shared" si="2"/>
        <v>C8Ata</v>
      </c>
      <c r="Z14" s="193" t="s">
        <v>39</v>
      </c>
      <c r="AA14" s="193" t="s">
        <v>1759</v>
      </c>
      <c r="AB14" s="179" t="s">
        <v>686</v>
      </c>
      <c r="AC14" s="101" t="s">
        <v>767</v>
      </c>
      <c r="AD14" s="94" t="str">
        <f t="shared" ca="1" si="6"/>
        <v>MANCINI G</v>
      </c>
      <c r="AE14" s="94" t="str">
        <f t="shared" ca="1" si="5"/>
        <v>LAZAAR</v>
      </c>
      <c r="AF14" s="94" t="str">
        <f t="shared" ca="1" si="5"/>
        <v>MASINA</v>
      </c>
      <c r="AG14" s="94" t="str">
        <f t="shared" ca="1" si="5"/>
        <v>ROMAGNA</v>
      </c>
      <c r="AH14" s="94" t="str">
        <f t="shared" ca="1" si="5"/>
        <v>GAMBERINI</v>
      </c>
      <c r="AI14" s="94" t="str">
        <f t="shared" ca="1" si="5"/>
        <v>SAMPIRISI</v>
      </c>
      <c r="AJ14" s="94" t="str">
        <f t="shared" ca="1" si="5"/>
        <v>OLIVERA M</v>
      </c>
      <c r="AK14" s="94" t="str">
        <f t="shared" ca="1" si="5"/>
        <v>SPOLLI</v>
      </c>
      <c r="AL14" s="94" t="str">
        <f t="shared" ca="1" si="5"/>
        <v>SANTON</v>
      </c>
      <c r="AM14" s="94" t="str">
        <f t="shared" ca="1" si="5"/>
        <v>HOWEDES</v>
      </c>
      <c r="AN14" s="94" t="str">
        <f t="shared" ca="1" si="5"/>
        <v>WALLACE</v>
      </c>
      <c r="AO14" s="94" t="str">
        <f t="shared" ca="1" si="5"/>
        <v>MUSACCHIO</v>
      </c>
      <c r="AP14" s="94" t="str">
        <f t="shared" ca="1" si="5"/>
        <v>MAKSIMOVIC</v>
      </c>
      <c r="AQ14" s="94" t="str">
        <f t="shared" ca="1" si="5"/>
        <v>KARSDORP</v>
      </c>
      <c r="AR14" s="94" t="str">
        <f t="shared" ca="1" si="5"/>
        <v>REGINI</v>
      </c>
      <c r="AS14" s="94" t="str">
        <f t="shared" ca="1" si="5"/>
        <v>LETSCHERT</v>
      </c>
      <c r="AT14" s="94" t="str">
        <f t="shared" ca="1" si="5"/>
        <v>OIKONOMOU</v>
      </c>
      <c r="AU14" s="94" t="str">
        <f t="shared" ca="1" si="5"/>
        <v>MOLINARO</v>
      </c>
      <c r="AV14" s="94" t="str">
        <f t="shared" ca="1" si="5"/>
        <v>SAMIR</v>
      </c>
      <c r="AW14" s="94" t="str">
        <f t="shared" ca="1" si="5"/>
        <v>FERRARI A</v>
      </c>
      <c r="AX14" s="94" t="s">
        <v>1371</v>
      </c>
      <c r="AY14" s="94" t="s">
        <v>1371</v>
      </c>
      <c r="AZ14" s="94" t="s">
        <v>1371</v>
      </c>
      <c r="BA14" s="94" t="s">
        <v>1371</v>
      </c>
    </row>
    <row r="15" spans="1:53" ht="13.5" customHeight="1" thickBot="1">
      <c r="A15" s="561"/>
      <c r="B15" s="96" t="s">
        <v>338</v>
      </c>
      <c r="C15" s="97" t="s">
        <v>1965</v>
      </c>
      <c r="D15" s="98" t="s">
        <v>1698</v>
      </c>
      <c r="E15" s="98" t="s">
        <v>1850</v>
      </c>
      <c r="F15" s="98" t="s">
        <v>1342</v>
      </c>
      <c r="G15" s="99"/>
      <c r="H15" s="97" t="s">
        <v>1925</v>
      </c>
      <c r="I15" s="98" t="s">
        <v>1937</v>
      </c>
      <c r="J15" s="98" t="s">
        <v>1338</v>
      </c>
      <c r="K15" s="98" t="s">
        <v>1298</v>
      </c>
      <c r="L15" s="99" t="s">
        <v>926</v>
      </c>
      <c r="M15" s="97" t="s">
        <v>303</v>
      </c>
      <c r="N15" s="98" t="s">
        <v>1989</v>
      </c>
      <c r="O15" s="100"/>
      <c r="Q15" s="87" t="str">
        <f ca="1">'Mia rosa + Org. Finanza'!$B15</f>
        <v/>
      </c>
      <c r="R15" s="107" t="str">
        <f ca="1">'Mia rosa + Org. Finanza'!AG15</f>
        <v/>
      </c>
      <c r="S15" s="107" t="str">
        <f ca="1">'Mia rosa + Org. Finanza'!AH15</f>
        <v/>
      </c>
      <c r="T15" s="107" t="str">
        <f ca="1">'Mia rosa + Org. Finanza'!AI15</f>
        <v/>
      </c>
      <c r="U15" s="107" t="str">
        <f ca="1">'Mia rosa + Org. Finanza'!AJ15</f>
        <v/>
      </c>
      <c r="W15" s="179" t="str">
        <f t="shared" si="0"/>
        <v>Ata</v>
      </c>
      <c r="X15">
        <f t="shared" si="1"/>
        <v>9</v>
      </c>
      <c r="Y15" t="str">
        <f t="shared" si="2"/>
        <v>C9Ata</v>
      </c>
      <c r="Z15" s="193" t="s">
        <v>39</v>
      </c>
      <c r="AA15" s="193" t="s">
        <v>604</v>
      </c>
      <c r="AB15" s="179" t="s">
        <v>686</v>
      </c>
      <c r="AC15" s="101" t="s">
        <v>768</v>
      </c>
      <c r="AD15" s="94" t="str">
        <f t="shared" ca="1" si="6"/>
        <v>MASIELLO A</v>
      </c>
      <c r="AE15" s="94" t="str">
        <f t="shared" ca="1" si="5"/>
        <v>LETIZIA</v>
      </c>
      <c r="AF15" s="94" t="str">
        <f t="shared" ca="1" si="5"/>
        <v>MBAYE</v>
      </c>
      <c r="AG15" s="94" t="str">
        <f t="shared" ca="1" si="5"/>
        <v>VAN DER WIEL</v>
      </c>
      <c r="AH15" s="94" t="str">
        <f t="shared" ca="1" si="5"/>
        <v>GOBBI</v>
      </c>
      <c r="AI15" s="94" t="str">
        <f t="shared" ca="1" si="5"/>
        <v>SIMIC S</v>
      </c>
      <c r="AJ15" s="94" t="str">
        <f t="shared" ca="1" si="5"/>
        <v>PEZZELLA GER</v>
      </c>
      <c r="AK15" s="94" t="str">
        <f t="shared" ca="1" si="5"/>
        <v>ZUKANOVIC</v>
      </c>
      <c r="AL15" s="94" t="str">
        <f t="shared" ca="1" si="5"/>
        <v>SKRINIAR</v>
      </c>
      <c r="AM15" s="94" t="str">
        <f t="shared" ca="1" si="5"/>
        <v>LICHTSTEINER</v>
      </c>
      <c r="AN15" s="94" t="e">
        <f t="shared" ca="1" si="5"/>
        <v>#N/A</v>
      </c>
      <c r="AO15" s="94" t="str">
        <f t="shared" ca="1" si="5"/>
        <v>PALETTA</v>
      </c>
      <c r="AP15" s="94" t="str">
        <f t="shared" ca="1" si="5"/>
        <v>MARIO RUI</v>
      </c>
      <c r="AQ15" s="94" t="str">
        <f t="shared" ca="1" si="5"/>
        <v>KOLAROV</v>
      </c>
      <c r="AR15" s="94" t="str">
        <f t="shared" ca="1" si="5"/>
        <v>SALA</v>
      </c>
      <c r="AS15" s="94" t="str">
        <f t="shared" ca="1" si="5"/>
        <v>LIROLA</v>
      </c>
      <c r="AT15" s="94" t="str">
        <f t="shared" ca="1" si="5"/>
        <v>SALAMON</v>
      </c>
      <c r="AU15" s="94" t="str">
        <f t="shared" ca="1" si="5"/>
        <v>MORETTI</v>
      </c>
      <c r="AV15" s="94" t="str">
        <f t="shared" ca="1" si="5"/>
        <v>STRYGER LARSEN</v>
      </c>
      <c r="AW15" s="94" t="str">
        <f t="shared" ca="1" si="5"/>
        <v>HEURTAUX</v>
      </c>
      <c r="AX15" s="94" t="s">
        <v>1371</v>
      </c>
      <c r="AY15" s="94" t="s">
        <v>1371</v>
      </c>
      <c r="AZ15" s="94" t="s">
        <v>1371</v>
      </c>
      <c r="BA15" s="94" t="s">
        <v>1371</v>
      </c>
    </row>
    <row r="16" spans="1:53" ht="13.5" customHeight="1" thickBot="1">
      <c r="A16" s="561" t="str">
        <f ca="1">INDIRECT("Squadre!A"&amp;(ROW()/2)+1)</f>
        <v>Gen</v>
      </c>
      <c r="B16" s="102" t="s">
        <v>392</v>
      </c>
      <c r="C16" s="103" t="s">
        <v>626</v>
      </c>
      <c r="D16" s="104" t="s">
        <v>585</v>
      </c>
      <c r="E16" s="104" t="s">
        <v>1337</v>
      </c>
      <c r="F16" s="104"/>
      <c r="G16" s="105"/>
      <c r="H16" s="103" t="s">
        <v>527</v>
      </c>
      <c r="I16" s="104" t="s">
        <v>1300</v>
      </c>
      <c r="J16" s="104" t="s">
        <v>343</v>
      </c>
      <c r="K16" s="104" t="s">
        <v>526</v>
      </c>
      <c r="L16" s="105" t="s">
        <v>1856</v>
      </c>
      <c r="M16" s="103" t="s">
        <v>425</v>
      </c>
      <c r="N16" s="104" t="s">
        <v>1843</v>
      </c>
      <c r="O16" s="106"/>
      <c r="Q16" s="87" t="str">
        <f ca="1">'Mia rosa + Org. Finanza'!$B16</f>
        <v/>
      </c>
      <c r="R16" s="107" t="str">
        <f ca="1">'Mia rosa + Org. Finanza'!AG16</f>
        <v/>
      </c>
      <c r="S16" s="107" t="str">
        <f ca="1">'Mia rosa + Org. Finanza'!AH16</f>
        <v/>
      </c>
      <c r="T16" s="107" t="str">
        <f ca="1">'Mia rosa + Org. Finanza'!AI16</f>
        <v/>
      </c>
      <c r="U16" s="107" t="str">
        <f ca="1">'Mia rosa + Org. Finanza'!AJ16</f>
        <v/>
      </c>
      <c r="W16" s="179" t="str">
        <f t="shared" si="0"/>
        <v>Ata</v>
      </c>
      <c r="X16">
        <f t="shared" si="1"/>
        <v>1</v>
      </c>
      <c r="Y16" t="str">
        <f t="shared" si="2"/>
        <v>D1Ata</v>
      </c>
      <c r="Z16" s="193" t="s">
        <v>37</v>
      </c>
      <c r="AA16" s="193" t="s">
        <v>1715</v>
      </c>
      <c r="AB16" s="179" t="s">
        <v>686</v>
      </c>
      <c r="AC16" s="101" t="s">
        <v>769</v>
      </c>
      <c r="AD16" s="94" t="str">
        <f t="shared" ca="1" si="6"/>
        <v>PALOMINO</v>
      </c>
      <c r="AE16" s="94" t="str">
        <f t="shared" ca="1" si="5"/>
        <v>LUCIONI</v>
      </c>
      <c r="AF16" s="94" t="str">
        <f t="shared" ca="1" si="5"/>
        <v>TOROSIDIS</v>
      </c>
      <c r="AG16" s="94" t="e">
        <f t="shared" ca="1" si="5"/>
        <v>#N/A</v>
      </c>
      <c r="AH16" s="94" t="str">
        <f t="shared" ca="1" si="5"/>
        <v>JAROSZYNSKI</v>
      </c>
      <c r="AI16" s="94" t="e">
        <f t="shared" ca="1" si="5"/>
        <v>#N/A</v>
      </c>
      <c r="AJ16" s="94" t="str">
        <f t="shared" ca="1" si="5"/>
        <v>VITOR HUGO</v>
      </c>
      <c r="AK16" s="94" t="e">
        <f t="shared" ca="1" si="5"/>
        <v>#N/A</v>
      </c>
      <c r="AL16" s="94" t="str">
        <f t="shared" ca="1" si="5"/>
        <v>VANHEUSDEN</v>
      </c>
      <c r="AM16" s="94" t="str">
        <f t="shared" ca="1" si="5"/>
        <v>RUGANI</v>
      </c>
      <c r="AN16" s="94" t="e">
        <f t="shared" ca="1" si="5"/>
        <v>#N/A</v>
      </c>
      <c r="AO16" s="94" t="str">
        <f t="shared" ca="1" si="5"/>
        <v>RODRIGUEZ R</v>
      </c>
      <c r="AP16" s="94" t="str">
        <f t="shared" ca="1" si="5"/>
        <v>TONELLI</v>
      </c>
      <c r="AQ16" s="94" t="str">
        <f t="shared" ca="1" si="5"/>
        <v>MANOLAS</v>
      </c>
      <c r="AR16" s="94" t="str">
        <f t="shared" ca="1" si="5"/>
        <v>SILVESTRE</v>
      </c>
      <c r="AS16" s="94" t="str">
        <f t="shared" ca="1" si="5"/>
        <v>PELUSO</v>
      </c>
      <c r="AT16" s="94" t="str">
        <f t="shared" ca="1" si="5"/>
        <v>VAISANEN</v>
      </c>
      <c r="AU16" s="94" t="str">
        <f t="shared" ca="1" si="5"/>
        <v>N'KOULOU</v>
      </c>
      <c r="AV16" s="94" t="str">
        <f t="shared" ca="1" si="5"/>
        <v>WIDMER</v>
      </c>
      <c r="AW16" s="94" t="str">
        <f t="shared" ca="1" si="5"/>
        <v>ROMULO</v>
      </c>
      <c r="AX16" s="94" t="s">
        <v>1371</v>
      </c>
      <c r="AY16" s="94" t="s">
        <v>1371</v>
      </c>
      <c r="AZ16" s="94" t="s">
        <v>1371</v>
      </c>
      <c r="BA16" s="94" t="s">
        <v>1371</v>
      </c>
    </row>
    <row r="17" spans="1:53" ht="13.5" customHeight="1" thickBot="1">
      <c r="A17" s="561"/>
      <c r="B17" s="96" t="s">
        <v>366</v>
      </c>
      <c r="C17" s="97" t="s">
        <v>1941</v>
      </c>
      <c r="D17" s="98" t="s">
        <v>601</v>
      </c>
      <c r="E17" s="98" t="s">
        <v>498</v>
      </c>
      <c r="F17" s="98" t="s">
        <v>583</v>
      </c>
      <c r="G17" s="99" t="s">
        <v>517</v>
      </c>
      <c r="H17" s="97" t="s">
        <v>1956</v>
      </c>
      <c r="I17" s="98" t="s">
        <v>1932</v>
      </c>
      <c r="J17" s="98" t="s">
        <v>1753</v>
      </c>
      <c r="K17" s="98" t="s">
        <v>400</v>
      </c>
      <c r="L17" s="99"/>
      <c r="M17" s="97" t="s">
        <v>1786</v>
      </c>
      <c r="N17" s="98" t="s">
        <v>495</v>
      </c>
      <c r="O17" s="100" t="s">
        <v>469</v>
      </c>
      <c r="P17" s="109"/>
      <c r="Q17" s="87" t="str">
        <f ca="1">'Mia rosa + Org. Finanza'!$B17</f>
        <v/>
      </c>
      <c r="R17" s="107" t="str">
        <f ca="1">'Mia rosa + Org. Finanza'!AG17</f>
        <v/>
      </c>
      <c r="S17" s="107" t="str">
        <f ca="1">'Mia rosa + Org. Finanza'!AH17</f>
        <v/>
      </c>
      <c r="T17" s="107" t="str">
        <f ca="1">'Mia rosa + Org. Finanza'!AI17</f>
        <v/>
      </c>
      <c r="U17" s="107" t="str">
        <f ca="1">'Mia rosa + Org. Finanza'!AJ17</f>
        <v/>
      </c>
      <c r="W17" s="179" t="str">
        <f t="shared" si="0"/>
        <v>Ata</v>
      </c>
      <c r="X17">
        <f t="shared" si="1"/>
        <v>2</v>
      </c>
      <c r="Y17" t="str">
        <f t="shared" si="2"/>
        <v>D2Ata</v>
      </c>
      <c r="Z17" s="193" t="s">
        <v>37</v>
      </c>
      <c r="AA17" s="193" t="s">
        <v>390</v>
      </c>
      <c r="AB17" s="179" t="s">
        <v>686</v>
      </c>
      <c r="AC17" s="101" t="s">
        <v>1275</v>
      </c>
      <c r="AD17" s="94" t="str">
        <f t="shared" ca="1" si="6"/>
        <v>TOLOI</v>
      </c>
      <c r="AE17" s="94" t="str">
        <f t="shared" ca="1" si="5"/>
        <v>VENUTI</v>
      </c>
      <c r="AF17" s="94" t="e">
        <f t="shared" ca="1" si="5"/>
        <v>#N/A</v>
      </c>
      <c r="AG17" s="94" t="e">
        <f t="shared" ca="1" si="5"/>
        <v>#N/A</v>
      </c>
      <c r="AH17" s="94" t="str">
        <f t="shared" ca="1" si="5"/>
        <v>TOMOVIC</v>
      </c>
      <c r="AI17" s="94" t="e">
        <f t="shared" ca="1" si="5"/>
        <v>#N/A</v>
      </c>
      <c r="AJ17" s="94" t="e">
        <f t="shared" ca="1" si="5"/>
        <v>#N/A</v>
      </c>
      <c r="AK17" s="94" t="e">
        <f t="shared" ca="1" si="5"/>
        <v>#N/A</v>
      </c>
      <c r="AL17" s="94" t="e">
        <f t="shared" ca="1" si="5"/>
        <v>#N/A</v>
      </c>
      <c r="AM17" s="94" t="e">
        <f t="shared" ca="1" si="5"/>
        <v>#N/A</v>
      </c>
      <c r="AN17" s="94" t="e">
        <f t="shared" ca="1" si="5"/>
        <v>#N/A</v>
      </c>
      <c r="AO17" s="94" t="str">
        <f t="shared" ca="1" si="5"/>
        <v>ROMAGNOLI A</v>
      </c>
      <c r="AP17" s="94" t="e">
        <f t="shared" ca="1" si="5"/>
        <v>#N/A</v>
      </c>
      <c r="AQ17" s="94" t="e">
        <f t="shared" ca="1" si="5"/>
        <v>#N/A</v>
      </c>
      <c r="AR17" s="94" t="str">
        <f t="shared" ca="1" si="5"/>
        <v>STRINIC</v>
      </c>
      <c r="AS17" s="94" t="str">
        <f t="shared" ca="1" si="5"/>
        <v>ROGERIO</v>
      </c>
      <c r="AT17" s="94" t="str">
        <f t="shared" ca="1" si="5"/>
        <v>VICARI</v>
      </c>
      <c r="AU17" s="94" t="e">
        <f t="shared" ca="1" si="5"/>
        <v>#N/A</v>
      </c>
      <c r="AV17" s="94" t="e">
        <f t="shared" ca="1" si="5"/>
        <v>#N/A</v>
      </c>
      <c r="AW17" s="94" t="str">
        <f t="shared" ca="1" si="5"/>
        <v>SOUPRAYEN</v>
      </c>
      <c r="AX17" s="94" t="s">
        <v>1371</v>
      </c>
      <c r="AY17" s="94" t="s">
        <v>1371</v>
      </c>
      <c r="AZ17" s="94" t="s">
        <v>1371</v>
      </c>
      <c r="BA17" s="94" t="s">
        <v>1371</v>
      </c>
    </row>
    <row r="18" spans="1:53" ht="13.5" customHeight="1" thickBot="1">
      <c r="A18" s="561" t="str">
        <f ca="1">INDIRECT("Squadre!A"&amp;(ROW()/2)+1)</f>
        <v>Int</v>
      </c>
      <c r="B18" s="102" t="s">
        <v>356</v>
      </c>
      <c r="C18" s="103" t="s">
        <v>443</v>
      </c>
      <c r="D18" s="104" t="s">
        <v>599</v>
      </c>
      <c r="E18" s="104" t="s">
        <v>551</v>
      </c>
      <c r="F18" s="104" t="s">
        <v>1921</v>
      </c>
      <c r="G18" s="105"/>
      <c r="H18" s="103" t="s">
        <v>378</v>
      </c>
      <c r="I18" s="104" t="s">
        <v>463</v>
      </c>
      <c r="J18" s="104" t="s">
        <v>361</v>
      </c>
      <c r="K18" s="104" t="s">
        <v>367</v>
      </c>
      <c r="L18" s="105" t="s">
        <v>580</v>
      </c>
      <c r="M18" s="103" t="s">
        <v>396</v>
      </c>
      <c r="N18" s="104"/>
      <c r="O18" s="106"/>
      <c r="Q18" s="87" t="str">
        <f ca="1">'Mia rosa + Org. Finanza'!$B18</f>
        <v/>
      </c>
      <c r="R18" s="107" t="str">
        <f ca="1">'Mia rosa + Org. Finanza'!AG18</f>
        <v/>
      </c>
      <c r="S18" s="107" t="str">
        <f ca="1">'Mia rosa + Org. Finanza'!AH18</f>
        <v/>
      </c>
      <c r="T18" s="107" t="str">
        <f ca="1">'Mia rosa + Org. Finanza'!AI18</f>
        <v/>
      </c>
      <c r="U18" s="107" t="str">
        <f ca="1">'Mia rosa + Org. Finanza'!AJ18</f>
        <v/>
      </c>
      <c r="W18" s="179" t="str">
        <f t="shared" si="0"/>
        <v>Ata</v>
      </c>
      <c r="X18">
        <f t="shared" si="1"/>
        <v>3</v>
      </c>
      <c r="Y18" t="str">
        <f t="shared" si="2"/>
        <v>D3Ata</v>
      </c>
      <c r="Z18" s="193" t="s">
        <v>37</v>
      </c>
      <c r="AA18" s="193" t="s">
        <v>1702</v>
      </c>
      <c r="AB18" s="179" t="s">
        <v>686</v>
      </c>
      <c r="AC18" s="101" t="s">
        <v>1276</v>
      </c>
      <c r="AD18" s="94" t="e">
        <f t="shared" ca="1" si="6"/>
        <v>#N/A</v>
      </c>
      <c r="AE18" s="94" t="e">
        <f t="shared" ca="1" si="5"/>
        <v>#N/A</v>
      </c>
      <c r="AF18" s="94" t="e">
        <f t="shared" ca="1" si="5"/>
        <v>#N/A</v>
      </c>
      <c r="AG18" s="94" t="e">
        <f t="shared" ca="1" si="5"/>
        <v>#N/A</v>
      </c>
      <c r="AH18" s="94" t="e">
        <f t="shared" ca="1" si="5"/>
        <v>#N/A</v>
      </c>
      <c r="AI18" s="94" t="e">
        <f t="shared" ca="1" si="5"/>
        <v>#N/A</v>
      </c>
      <c r="AJ18" s="94" t="e">
        <f t="shared" ca="1" si="5"/>
        <v>#N/A</v>
      </c>
      <c r="AK18" s="94" t="e">
        <f t="shared" ca="1" si="5"/>
        <v>#N/A</v>
      </c>
      <c r="AL18" s="94" t="e">
        <f t="shared" ca="1" si="5"/>
        <v>#N/A</v>
      </c>
      <c r="AM18" s="94" t="e">
        <f t="shared" ca="1" si="5"/>
        <v>#N/A</v>
      </c>
      <c r="AN18" s="94" t="e">
        <f t="shared" ca="1" si="5"/>
        <v>#N/A</v>
      </c>
      <c r="AO18" s="94" t="str">
        <f t="shared" ca="1" si="5"/>
        <v>ZAPATA C</v>
      </c>
      <c r="AP18" s="94" t="e">
        <f t="shared" ca="1" si="5"/>
        <v>#N/A</v>
      </c>
      <c r="AQ18" s="94" t="e">
        <f t="shared" ca="1" si="5"/>
        <v>#N/A</v>
      </c>
      <c r="AR18" s="94" t="str">
        <f t="shared" ca="1" si="5"/>
        <v>TOMIC</v>
      </c>
      <c r="AS18" s="94" t="e">
        <f t="shared" ca="1" si="5"/>
        <v>#N/A</v>
      </c>
      <c r="AT18" s="94" t="e">
        <f t="shared" ca="1" si="5"/>
        <v>#N/A</v>
      </c>
      <c r="AU18" s="94" t="e">
        <f t="shared" ca="1" si="5"/>
        <v>#N/A</v>
      </c>
      <c r="AV18" s="94" t="e">
        <f t="shared" ca="1" si="5"/>
        <v>#N/A</v>
      </c>
      <c r="AW18" s="94" t="e">
        <f t="shared" ca="1" si="5"/>
        <v>#N/A</v>
      </c>
      <c r="AX18" s="94" t="s">
        <v>1371</v>
      </c>
      <c r="AY18" s="94" t="s">
        <v>1371</v>
      </c>
      <c r="AZ18" s="94" t="s">
        <v>1371</v>
      </c>
      <c r="BA18" s="94" t="s">
        <v>1371</v>
      </c>
    </row>
    <row r="19" spans="1:53" ht="13.5" customHeight="1" thickBot="1">
      <c r="A19" s="561"/>
      <c r="B19" s="96" t="s">
        <v>320</v>
      </c>
      <c r="C19" s="97" t="s">
        <v>1955</v>
      </c>
      <c r="D19" s="98" t="s">
        <v>594</v>
      </c>
      <c r="E19" s="98" t="s">
        <v>576</v>
      </c>
      <c r="F19" s="98" t="s">
        <v>560</v>
      </c>
      <c r="G19" s="99"/>
      <c r="H19" s="97"/>
      <c r="I19" s="98" t="s">
        <v>473</v>
      </c>
      <c r="J19" s="98" t="s">
        <v>620</v>
      </c>
      <c r="K19" s="98" t="s">
        <v>1329</v>
      </c>
      <c r="L19" s="99"/>
      <c r="M19" s="97" t="s">
        <v>362</v>
      </c>
      <c r="N19" s="98" t="s">
        <v>1983</v>
      </c>
      <c r="O19" s="100"/>
      <c r="Q19" s="87" t="str">
        <f ca="1">'Mia rosa + Org. Finanza'!$B19</f>
        <v/>
      </c>
      <c r="R19" s="107" t="str">
        <f ca="1">'Mia rosa + Org. Finanza'!AG19</f>
        <v/>
      </c>
      <c r="S19" s="107" t="str">
        <f ca="1">'Mia rosa + Org. Finanza'!AH19</f>
        <v/>
      </c>
      <c r="T19" s="107" t="str">
        <f ca="1">'Mia rosa + Org. Finanza'!AI19</f>
        <v/>
      </c>
      <c r="U19" s="107" t="str">
        <f ca="1">'Mia rosa + Org. Finanza'!AJ19</f>
        <v/>
      </c>
      <c r="W19" s="179" t="str">
        <f t="shared" si="0"/>
        <v>Ata</v>
      </c>
      <c r="X19">
        <f t="shared" si="1"/>
        <v>4</v>
      </c>
      <c r="Y19" t="str">
        <f t="shared" si="2"/>
        <v>D4Ata</v>
      </c>
      <c r="Z19" s="193" t="s">
        <v>37</v>
      </c>
      <c r="AA19" s="193" t="s">
        <v>464</v>
      </c>
      <c r="AB19" s="179" t="s">
        <v>686</v>
      </c>
      <c r="AC19" s="101" t="s">
        <v>1308</v>
      </c>
      <c r="AD19" s="94" t="e">
        <f t="shared" ca="1" si="6"/>
        <v>#N/A</v>
      </c>
      <c r="AE19" s="94" t="e">
        <f t="shared" ca="1" si="5"/>
        <v>#N/A</v>
      </c>
      <c r="AF19" s="94" t="e">
        <f t="shared" ca="1" si="5"/>
        <v>#N/A</v>
      </c>
      <c r="AG19" s="94" t="e">
        <f t="shared" ca="1" si="5"/>
        <v>#N/A</v>
      </c>
      <c r="AH19" s="94" t="e">
        <f t="shared" ca="1" si="5"/>
        <v>#N/A</v>
      </c>
      <c r="AI19" s="94" t="e">
        <f t="shared" ca="1" si="5"/>
        <v>#N/A</v>
      </c>
      <c r="AJ19" s="94" t="e">
        <f t="shared" ca="1" si="5"/>
        <v>#N/A</v>
      </c>
      <c r="AK19" s="94" t="e">
        <f t="shared" ca="1" si="5"/>
        <v>#N/A</v>
      </c>
      <c r="AL19" s="94" t="e">
        <f t="shared" ca="1" si="5"/>
        <v>#N/A</v>
      </c>
      <c r="AM19" s="94" t="e">
        <f t="shared" ca="1" si="5"/>
        <v>#N/A</v>
      </c>
      <c r="AN19" s="94" t="e">
        <f t="shared" ca="1" si="5"/>
        <v>#N/A</v>
      </c>
      <c r="AO19" s="94" t="e">
        <f t="shared" ca="1" si="5"/>
        <v>#N/A</v>
      </c>
      <c r="AP19" s="94" t="e">
        <f t="shared" ca="1" si="5"/>
        <v>#N/A</v>
      </c>
      <c r="AQ19" s="94" t="e">
        <f t="shared" ca="1" si="5"/>
        <v>#N/A</v>
      </c>
      <c r="AR19" s="94" t="e">
        <f t="shared" ca="1" si="5"/>
        <v>#N/A</v>
      </c>
      <c r="AS19" s="94" t="e">
        <f t="shared" ca="1" si="5"/>
        <v>#N/A</v>
      </c>
      <c r="AT19" s="94" t="e">
        <f t="shared" ca="1" si="5"/>
        <v>#N/A</v>
      </c>
      <c r="AU19" s="94" t="e">
        <f t="shared" ca="1" si="5"/>
        <v>#N/A</v>
      </c>
      <c r="AV19" s="94" t="e">
        <f t="shared" ca="1" si="5"/>
        <v>#N/A</v>
      </c>
      <c r="AW19" s="94" t="e">
        <f t="shared" ca="1" si="5"/>
        <v>#N/A</v>
      </c>
      <c r="AX19" t="s">
        <v>1371</v>
      </c>
      <c r="AY19" t="s">
        <v>1371</v>
      </c>
      <c r="AZ19" t="s">
        <v>1371</v>
      </c>
      <c r="BA19" t="s">
        <v>1371</v>
      </c>
    </row>
    <row r="20" spans="1:53" ht="13.5" customHeight="1" thickBot="1">
      <c r="A20" s="561" t="str">
        <f ca="1">INDIRECT("Squadre!A"&amp;(ROW()/2)+1)</f>
        <v>Juv</v>
      </c>
      <c r="B20" s="102" t="s">
        <v>316</v>
      </c>
      <c r="C20" s="103" t="s">
        <v>312</v>
      </c>
      <c r="D20" s="104" t="s">
        <v>417</v>
      </c>
      <c r="E20" s="104" t="s">
        <v>360</v>
      </c>
      <c r="F20" s="104" t="s">
        <v>529</v>
      </c>
      <c r="G20" s="105"/>
      <c r="H20" s="103" t="s">
        <v>1734</v>
      </c>
      <c r="I20" s="104" t="s">
        <v>582</v>
      </c>
      <c r="J20" s="104" t="s">
        <v>513</v>
      </c>
      <c r="K20" s="104"/>
      <c r="L20" s="105"/>
      <c r="M20" s="103" t="s">
        <v>355</v>
      </c>
      <c r="N20" s="104" t="s">
        <v>393</v>
      </c>
      <c r="O20" s="106" t="s">
        <v>433</v>
      </c>
      <c r="R20" s="107" t="str">
        <f ca="1">'Mia rosa + Org. Finanza'!AG20</f>
        <v/>
      </c>
      <c r="S20" s="107" t="str">
        <f ca="1">'Mia rosa + Org. Finanza'!AH20</f>
        <v/>
      </c>
      <c r="T20" s="107" t="str">
        <f ca="1">'Mia rosa + Org. Finanza'!AI20</f>
        <v/>
      </c>
      <c r="U20" s="107" t="str">
        <f ca="1">'Mia rosa + Org. Finanza'!AJ20</f>
        <v/>
      </c>
      <c r="W20" s="179" t="str">
        <f t="shared" si="0"/>
        <v>Ata</v>
      </c>
      <c r="X20">
        <f t="shared" si="1"/>
        <v>5</v>
      </c>
      <c r="Y20" t="str">
        <f t="shared" si="2"/>
        <v>D5Ata</v>
      </c>
      <c r="Z20" s="193" t="s">
        <v>37</v>
      </c>
      <c r="AA20" s="193" t="s">
        <v>1710</v>
      </c>
      <c r="AB20" s="179" t="s">
        <v>686</v>
      </c>
    </row>
    <row r="21" spans="1:53" ht="13.5" customHeight="1" thickBot="1">
      <c r="A21" s="561"/>
      <c r="B21" s="96" t="s">
        <v>382</v>
      </c>
      <c r="C21" s="97" t="s">
        <v>309</v>
      </c>
      <c r="D21" s="98" t="s">
        <v>1981</v>
      </c>
      <c r="E21" s="98" t="s">
        <v>349</v>
      </c>
      <c r="F21" s="98" t="s">
        <v>451</v>
      </c>
      <c r="G21" s="99" t="s">
        <v>588</v>
      </c>
      <c r="H21" s="97" t="s">
        <v>340</v>
      </c>
      <c r="I21" s="98" t="s">
        <v>543</v>
      </c>
      <c r="J21" s="98" t="s">
        <v>1938</v>
      </c>
      <c r="K21" s="98" t="s">
        <v>1339</v>
      </c>
      <c r="L21" s="99" t="s">
        <v>1836</v>
      </c>
      <c r="M21" s="97" t="s">
        <v>489</v>
      </c>
      <c r="N21" s="98"/>
      <c r="O21" s="100"/>
      <c r="R21" s="107" t="str">
        <f ca="1">'Mia rosa + Org. Finanza'!AG21</f>
        <v/>
      </c>
      <c r="S21" s="107" t="str">
        <f ca="1">'Mia rosa + Org. Finanza'!AH21</f>
        <v/>
      </c>
      <c r="T21" s="107" t="str">
        <f ca="1">'Mia rosa + Org. Finanza'!AI21</f>
        <v/>
      </c>
      <c r="U21" s="107" t="str">
        <f ca="1">'Mia rosa + Org. Finanza'!AJ21</f>
        <v/>
      </c>
      <c r="W21" s="179" t="str">
        <f t="shared" si="0"/>
        <v>Ata</v>
      </c>
      <c r="X21">
        <f t="shared" si="1"/>
        <v>6</v>
      </c>
      <c r="Y21" t="str">
        <f t="shared" si="2"/>
        <v>D6Ata</v>
      </c>
      <c r="Z21" s="193" t="s">
        <v>37</v>
      </c>
      <c r="AA21" s="193" t="s">
        <v>1697</v>
      </c>
      <c r="AB21" s="179" t="s">
        <v>686</v>
      </c>
      <c r="AC21" s="101"/>
      <c r="AD21" s="95" t="s">
        <v>1396</v>
      </c>
      <c r="AE21" s="95" t="s">
        <v>1397</v>
      </c>
      <c r="AF21" s="95" t="s">
        <v>1398</v>
      </c>
      <c r="AG21" s="95" t="s">
        <v>1399</v>
      </c>
      <c r="AH21" s="95" t="s">
        <v>1400</v>
      </c>
      <c r="AI21" s="95" t="s">
        <v>1401</v>
      </c>
      <c r="AJ21" s="95" t="s">
        <v>1402</v>
      </c>
      <c r="AK21" s="95" t="s">
        <v>1403</v>
      </c>
      <c r="AL21" s="95" t="s">
        <v>1404</v>
      </c>
      <c r="AM21" s="95" t="s">
        <v>1405</v>
      </c>
      <c r="AN21" s="95" t="s">
        <v>1406</v>
      </c>
      <c r="AO21" s="95" t="s">
        <v>1407</v>
      </c>
      <c r="AP21" s="95" t="s">
        <v>1408</v>
      </c>
      <c r="AQ21" s="95" t="s">
        <v>1409</v>
      </c>
      <c r="AR21" s="95" t="s">
        <v>1410</v>
      </c>
      <c r="AS21" s="95" t="s">
        <v>1411</v>
      </c>
      <c r="AT21" s="95" t="s">
        <v>1412</v>
      </c>
      <c r="AU21" s="95" t="s">
        <v>1413</v>
      </c>
      <c r="AV21" s="95" t="s">
        <v>1414</v>
      </c>
      <c r="AW21" s="95" t="s">
        <v>1415</v>
      </c>
      <c r="AX21" s="95" t="s">
        <v>1416</v>
      </c>
      <c r="AY21" s="95" t="s">
        <v>1417</v>
      </c>
      <c r="AZ21" s="95" t="s">
        <v>1418</v>
      </c>
      <c r="BA21" s="95" t="s">
        <v>1419</v>
      </c>
    </row>
    <row r="22" spans="1:53" ht="13.5" customHeight="1" thickBot="1">
      <c r="A22" s="561" t="str">
        <f ca="1">INDIRECT("Squadre!A"&amp;(ROW()/2)+1)</f>
        <v>Laz</v>
      </c>
      <c r="B22" s="102" t="s">
        <v>1444</v>
      </c>
      <c r="C22" s="103" t="s">
        <v>353</v>
      </c>
      <c r="D22" s="104" t="s">
        <v>455</v>
      </c>
      <c r="E22" s="104" t="s">
        <v>1289</v>
      </c>
      <c r="F22" s="104" t="s">
        <v>574</v>
      </c>
      <c r="G22" s="105"/>
      <c r="H22" s="103" t="s">
        <v>1740</v>
      </c>
      <c r="I22" s="104" t="s">
        <v>456</v>
      </c>
      <c r="J22" s="104" t="s">
        <v>538</v>
      </c>
      <c r="K22" s="104" t="s">
        <v>578</v>
      </c>
      <c r="L22" s="105" t="s">
        <v>555</v>
      </c>
      <c r="M22" s="103" t="s">
        <v>401</v>
      </c>
      <c r="N22" s="104"/>
      <c r="O22" s="110"/>
      <c r="Q22" s="87" t="str">
        <f ca="1">'Mia rosa + Org. Finanza'!$B23</f>
        <v/>
      </c>
      <c r="R22" s="107" t="str">
        <f ca="1">'Mia rosa + Org. Finanza'!AG22</f>
        <v/>
      </c>
      <c r="S22" s="107" t="str">
        <f ca="1">'Mia rosa + Org. Finanza'!AH22</f>
        <v/>
      </c>
      <c r="T22" s="107" t="str">
        <f ca="1">'Mia rosa + Org. Finanza'!AI22</f>
        <v/>
      </c>
      <c r="U22" s="107" t="str">
        <f ca="1">'Mia rosa + Org. Finanza'!AJ22</f>
        <v/>
      </c>
      <c r="W22" s="179" t="str">
        <f t="shared" si="0"/>
        <v>Ata</v>
      </c>
      <c r="X22">
        <f t="shared" si="1"/>
        <v>7</v>
      </c>
      <c r="Y22" t="str">
        <f t="shared" si="2"/>
        <v>D7Ata</v>
      </c>
      <c r="Z22" s="193" t="s">
        <v>37</v>
      </c>
      <c r="AA22" s="193" t="s">
        <v>1933</v>
      </c>
      <c r="AB22" s="179" t="s">
        <v>686</v>
      </c>
      <c r="AC22" s="101" t="s">
        <v>770</v>
      </c>
      <c r="AD22" s="94" t="str">
        <f ca="1">VLOOKUP($AC22&amp;AD$50,$Y$2:$AA$534,3,FALSE)</f>
        <v>CRISTANTE</v>
      </c>
      <c r="AE22" s="94" t="str">
        <f t="shared" ref="AE22:AW33" ca="1" si="7">VLOOKUP($AC22&amp;AE$50,$Y$2:$AA$534,3,FALSE)</f>
        <v>CATALDI</v>
      </c>
      <c r="AF22" s="94" t="str">
        <f t="shared" ca="1" si="7"/>
        <v>CRISETIG</v>
      </c>
      <c r="AG22" s="94" t="str">
        <f t="shared" ca="1" si="7"/>
        <v>BARELLA</v>
      </c>
      <c r="AH22" s="94" t="str">
        <f t="shared" ca="1" si="7"/>
        <v>BASTIEN</v>
      </c>
      <c r="AI22" s="94" t="str">
        <f t="shared" ca="1" si="7"/>
        <v>BARBERIS</v>
      </c>
      <c r="AJ22" s="94" t="str">
        <f t="shared" ca="1" si="7"/>
        <v>BADELJ</v>
      </c>
      <c r="AK22" s="94" t="str">
        <f t="shared" ca="1" si="7"/>
        <v>BERTOLACCI</v>
      </c>
      <c r="AL22" s="94" t="str">
        <f t="shared" ca="1" si="7"/>
        <v>BORJA VALERO</v>
      </c>
      <c r="AM22" s="94" t="str">
        <f t="shared" ca="1" si="7"/>
        <v>BENTANCUR</v>
      </c>
      <c r="AN22" s="94" t="str">
        <f t="shared" ca="1" si="7"/>
        <v>CRECCO</v>
      </c>
      <c r="AO22" s="94" t="str">
        <f t="shared" ca="1" si="7"/>
        <v>BIGLIA</v>
      </c>
      <c r="AP22" s="94" t="str">
        <f t="shared" ca="1" si="7"/>
        <v>ALLAN</v>
      </c>
      <c r="AQ22" s="94" t="str">
        <f t="shared" ca="1" si="7"/>
        <v>DE ROSSI</v>
      </c>
      <c r="AR22" s="94" t="str">
        <f t="shared" ca="1" si="7"/>
        <v>ALVAREZ R</v>
      </c>
      <c r="AS22" s="94" t="str">
        <f t="shared" ca="1" si="7"/>
        <v>BIONDINI</v>
      </c>
      <c r="AT22" s="94" t="str">
        <f t="shared" ca="1" si="7"/>
        <v>GRASSI</v>
      </c>
      <c r="AU22" s="94" t="str">
        <f t="shared" ca="1" si="7"/>
        <v>ACQUAH</v>
      </c>
      <c r="AV22" s="94" t="str">
        <f t="shared" ca="1" si="7"/>
        <v>BALIC</v>
      </c>
      <c r="AW22" s="94" t="str">
        <f t="shared" ca="1" si="7"/>
        <v>BESSA</v>
      </c>
      <c r="AX22" s="94" t="s">
        <v>1371</v>
      </c>
      <c r="AY22" s="94" t="s">
        <v>1371</v>
      </c>
      <c r="AZ22" s="94" t="s">
        <v>1371</v>
      </c>
      <c r="BA22" s="94" t="s">
        <v>1371</v>
      </c>
    </row>
    <row r="23" spans="1:53" ht="13.5" customHeight="1" thickBot="1">
      <c r="A23" s="561"/>
      <c r="B23" s="96" t="s">
        <v>373</v>
      </c>
      <c r="C23" s="97" t="s">
        <v>1704</v>
      </c>
      <c r="D23" s="98" t="s">
        <v>564</v>
      </c>
      <c r="E23" s="98" t="s">
        <v>617</v>
      </c>
      <c r="F23" s="98" t="s">
        <v>533</v>
      </c>
      <c r="G23" s="99"/>
      <c r="H23" s="97" t="s">
        <v>1301</v>
      </c>
      <c r="I23" s="98" t="s">
        <v>563</v>
      </c>
      <c r="J23" s="98" t="s">
        <v>1837</v>
      </c>
      <c r="K23" s="98" t="s">
        <v>1340</v>
      </c>
      <c r="L23" s="99"/>
      <c r="M23" s="97" t="s">
        <v>347</v>
      </c>
      <c r="N23" s="98" t="s">
        <v>1982</v>
      </c>
      <c r="O23" s="100"/>
      <c r="Q23" s="87" t="str">
        <f ca="1">'Mia rosa + Org. Finanza'!$B24</f>
        <v/>
      </c>
      <c r="R23" s="107" t="str">
        <f ca="1">'Mia rosa + Org. Finanza'!AG23</f>
        <v/>
      </c>
      <c r="S23" s="107" t="str">
        <f ca="1">'Mia rosa + Org. Finanza'!AH23</f>
        <v/>
      </c>
      <c r="T23" s="107" t="str">
        <f ca="1">'Mia rosa + Org. Finanza'!AI23</f>
        <v/>
      </c>
      <c r="U23" s="107" t="str">
        <f ca="1">'Mia rosa + Org. Finanza'!AJ23</f>
        <v/>
      </c>
      <c r="W23" s="179" t="str">
        <f t="shared" si="0"/>
        <v>Ata</v>
      </c>
      <c r="X23">
        <f t="shared" si="1"/>
        <v>8</v>
      </c>
      <c r="Y23" t="str">
        <f t="shared" si="2"/>
        <v>D8Ata</v>
      </c>
      <c r="Z23" s="193" t="s">
        <v>37</v>
      </c>
      <c r="AA23" s="193" t="s">
        <v>1302</v>
      </c>
      <c r="AB23" s="179" t="s">
        <v>686</v>
      </c>
      <c r="AC23" s="101" t="s">
        <v>771</v>
      </c>
      <c r="AD23" s="94" t="str">
        <f t="shared" ref="AD23:AS33" ca="1" si="8">VLOOKUP($AC23&amp;AD$50,$Y$2:$AA$534,3,FALSE)</f>
        <v>DE ROON</v>
      </c>
      <c r="AE23" s="94" t="str">
        <f t="shared" ca="1" si="8"/>
        <v>CHIBSAH</v>
      </c>
      <c r="AF23" s="94" t="str">
        <f t="shared" ca="1" si="8"/>
        <v>DI FRANCESCO F</v>
      </c>
      <c r="AG23" s="94" t="str">
        <f t="shared" ca="1" si="8"/>
        <v>CIGARINI</v>
      </c>
      <c r="AH23" s="94" t="str">
        <f t="shared" ca="1" si="8"/>
        <v>BIRSA</v>
      </c>
      <c r="AI23" s="94" t="str">
        <f t="shared" ca="1" si="8"/>
        <v>CROCIATA</v>
      </c>
      <c r="AJ23" s="94" t="str">
        <f t="shared" ca="1" si="8"/>
        <v>BENASSI</v>
      </c>
      <c r="AK23" s="94" t="str">
        <f t="shared" ca="1" si="8"/>
        <v>BRLEK</v>
      </c>
      <c r="AL23" s="94" t="str">
        <f t="shared" ca="1" si="8"/>
        <v>BROZOVIC</v>
      </c>
      <c r="AM23" s="94" t="str">
        <f t="shared" ca="1" si="8"/>
        <v>BERNARDESCHI</v>
      </c>
      <c r="AN23" s="94" t="str">
        <f t="shared" ca="1" si="8"/>
        <v>DI GENNARO D</v>
      </c>
      <c r="AO23" s="94" t="str">
        <f t="shared" ca="1" si="8"/>
        <v>BONAVENTURA</v>
      </c>
      <c r="AP23" s="94" t="str">
        <f t="shared" ca="1" si="8"/>
        <v>DIAWARA</v>
      </c>
      <c r="AQ23" s="94" t="str">
        <f t="shared" ca="1" si="8"/>
        <v>FLORENZI</v>
      </c>
      <c r="AR23" s="94" t="str">
        <f t="shared" ca="1" si="8"/>
        <v>BARRETO E</v>
      </c>
      <c r="AS23" s="94" t="str">
        <f t="shared" ca="1" si="8"/>
        <v>CASSATA</v>
      </c>
      <c r="AT23" s="94" t="str">
        <f t="shared" ca="1" si="7"/>
        <v>LAZZARI M</v>
      </c>
      <c r="AU23" s="94" t="str">
        <f t="shared" ca="1" si="7"/>
        <v>BASELLI</v>
      </c>
      <c r="AV23" s="94" t="str">
        <f t="shared" ca="1" si="7"/>
        <v>BARAK</v>
      </c>
      <c r="AW23" s="94" t="str">
        <f t="shared" ca="1" si="7"/>
        <v>BUCHEL</v>
      </c>
      <c r="AX23" s="94" t="s">
        <v>1371</v>
      </c>
      <c r="AY23" s="94" t="s">
        <v>1371</v>
      </c>
      <c r="AZ23" s="94" t="s">
        <v>1371</v>
      </c>
      <c r="BA23" s="94" t="s">
        <v>1371</v>
      </c>
    </row>
    <row r="24" spans="1:53" ht="13.5" customHeight="1" thickBot="1">
      <c r="A24" s="561" t="str">
        <f ca="1">INDIRECT("Squadre!A"&amp;(ROW()/2)+1)</f>
        <v>Mil</v>
      </c>
      <c r="B24" s="102" t="s">
        <v>1294</v>
      </c>
      <c r="C24" s="103" t="s">
        <v>429</v>
      </c>
      <c r="D24" s="104" t="s">
        <v>1297</v>
      </c>
      <c r="E24" s="104" t="s">
        <v>371</v>
      </c>
      <c r="F24" s="104" t="s">
        <v>1861</v>
      </c>
      <c r="G24" s="105"/>
      <c r="H24" s="103" t="s">
        <v>357</v>
      </c>
      <c r="I24" s="104" t="s">
        <v>1735</v>
      </c>
      <c r="J24" s="104" t="s">
        <v>1303</v>
      </c>
      <c r="K24" s="104" t="s">
        <v>610</v>
      </c>
      <c r="L24" s="105" t="s">
        <v>346</v>
      </c>
      <c r="M24" s="103" t="s">
        <v>418</v>
      </c>
      <c r="N24" s="104"/>
      <c r="O24" s="106"/>
      <c r="Q24" s="87" t="str">
        <f ca="1">'Mia rosa + Org. Finanza'!$B25</f>
        <v/>
      </c>
      <c r="R24" s="107" t="str">
        <f ca="1">'Mia rosa + Org. Finanza'!AG24</f>
        <v/>
      </c>
      <c r="S24" s="107" t="str">
        <f ca="1">'Mia rosa + Org. Finanza'!AH24</f>
        <v/>
      </c>
      <c r="T24" s="107" t="str">
        <f ca="1">'Mia rosa + Org. Finanza'!AI24</f>
        <v/>
      </c>
      <c r="U24" s="107" t="str">
        <f ca="1">'Mia rosa + Org. Finanza'!AJ24</f>
        <v/>
      </c>
      <c r="W24" s="179" t="str">
        <f t="shared" si="0"/>
        <v>Ata</v>
      </c>
      <c r="X24">
        <f t="shared" si="1"/>
        <v>9</v>
      </c>
      <c r="Y24" t="str">
        <f t="shared" si="2"/>
        <v>D9Ata</v>
      </c>
      <c r="Z24" s="193" t="s">
        <v>37</v>
      </c>
      <c r="AA24" s="193" t="s">
        <v>1707</v>
      </c>
      <c r="AB24" s="179" t="s">
        <v>686</v>
      </c>
      <c r="AC24" s="101" t="s">
        <v>772</v>
      </c>
      <c r="AD24" s="94" t="str">
        <f t="shared" ca="1" si="8"/>
        <v>FREULER</v>
      </c>
      <c r="AE24" s="94" t="str">
        <f t="shared" ca="1" si="7"/>
        <v>CICIRETTI</v>
      </c>
      <c r="AF24" s="94" t="str">
        <f t="shared" ca="1" si="7"/>
        <v>DONSAH</v>
      </c>
      <c r="AG24" s="94" t="str">
        <f t="shared" ca="1" si="7"/>
        <v>COSSU</v>
      </c>
      <c r="AH24" s="94" t="str">
        <f t="shared" ca="1" si="7"/>
        <v>CASTRO</v>
      </c>
      <c r="AI24" s="94" t="str">
        <f t="shared" ca="1" si="7"/>
        <v>IZCO</v>
      </c>
      <c r="AJ24" s="94" t="str">
        <f t="shared" ca="1" si="7"/>
        <v>CHIESA</v>
      </c>
      <c r="AK24" s="94" t="str">
        <f t="shared" ca="1" si="7"/>
        <v>CENTURION</v>
      </c>
      <c r="AL24" s="94" t="str">
        <f t="shared" ca="1" si="7"/>
        <v>CANDREVA</v>
      </c>
      <c r="AM24" s="94" t="str">
        <f t="shared" ca="1" si="7"/>
        <v>CUADRADO</v>
      </c>
      <c r="AN24" s="94" t="str">
        <f t="shared" ca="1" si="7"/>
        <v>FELIPE ANDERSON</v>
      </c>
      <c r="AO24" s="94" t="str">
        <f t="shared" ca="1" si="7"/>
        <v>CALHANOGLU</v>
      </c>
      <c r="AP24" s="94" t="str">
        <f t="shared" ca="1" si="7"/>
        <v>GIACCHERINI</v>
      </c>
      <c r="AQ24" s="94" t="str">
        <f t="shared" ca="1" si="7"/>
        <v>GERSON</v>
      </c>
      <c r="AR24" s="94" t="str">
        <f t="shared" ca="1" si="7"/>
        <v>CAPEZZI</v>
      </c>
      <c r="AS24" s="94" t="str">
        <f t="shared" ca="1" si="7"/>
        <v>DUNCAN</v>
      </c>
      <c r="AT24" s="94" t="str">
        <f t="shared" ca="1" si="7"/>
        <v>MORA</v>
      </c>
      <c r="AU24" s="94" t="str">
        <f t="shared" ca="1" si="7"/>
        <v>BERENGUER</v>
      </c>
      <c r="AV24" s="94" t="str">
        <f t="shared" ca="1" si="7"/>
        <v>BEHRAMI</v>
      </c>
      <c r="AW24" s="94" t="str">
        <f t="shared" ca="1" si="7"/>
        <v>FOSSATI</v>
      </c>
      <c r="AX24" s="94" t="s">
        <v>1371</v>
      </c>
      <c r="AY24" s="94" t="s">
        <v>1371</v>
      </c>
      <c r="AZ24" s="94" t="s">
        <v>1371</v>
      </c>
      <c r="BA24" s="94" t="s">
        <v>1371</v>
      </c>
    </row>
    <row r="25" spans="1:53" ht="13.5" customHeight="1" thickBot="1">
      <c r="A25" s="561"/>
      <c r="B25" s="96" t="s">
        <v>334</v>
      </c>
      <c r="C25" s="97" t="s">
        <v>298</v>
      </c>
      <c r="D25" s="98" t="s">
        <v>1701</v>
      </c>
      <c r="E25" s="98" t="s">
        <v>623</v>
      </c>
      <c r="F25" s="98" t="s">
        <v>330</v>
      </c>
      <c r="G25" s="99"/>
      <c r="H25" s="97" t="s">
        <v>1958</v>
      </c>
      <c r="I25" s="98" t="s">
        <v>1306</v>
      </c>
      <c r="J25" s="98" t="s">
        <v>1307</v>
      </c>
      <c r="K25" s="98"/>
      <c r="L25" s="99" t="s">
        <v>559</v>
      </c>
      <c r="M25" s="97" t="s">
        <v>1782</v>
      </c>
      <c r="N25" s="98" t="s">
        <v>1783</v>
      </c>
      <c r="O25" s="100" t="s">
        <v>1778</v>
      </c>
      <c r="Q25" s="87" t="str">
        <f ca="1">'Mia rosa + Org. Finanza'!$B26</f>
        <v/>
      </c>
      <c r="R25" s="107" t="str">
        <f ca="1">'Mia rosa + Org. Finanza'!AG25</f>
        <v/>
      </c>
      <c r="S25" s="107" t="str">
        <f ca="1">'Mia rosa + Org. Finanza'!AH25</f>
        <v/>
      </c>
      <c r="T25" s="107" t="str">
        <f ca="1">'Mia rosa + Org. Finanza'!AI25</f>
        <v/>
      </c>
      <c r="U25" s="107" t="str">
        <f ca="1">'Mia rosa + Org. Finanza'!AJ25</f>
        <v/>
      </c>
      <c r="W25" s="179" t="str">
        <f t="shared" si="0"/>
        <v>Ata</v>
      </c>
      <c r="X25">
        <f t="shared" si="1"/>
        <v>10</v>
      </c>
      <c r="Y25" t="str">
        <f t="shared" si="2"/>
        <v>D10Ata</v>
      </c>
      <c r="Z25" s="193" t="s">
        <v>37</v>
      </c>
      <c r="AA25" s="193" t="s">
        <v>607</v>
      </c>
      <c r="AB25" s="179" t="s">
        <v>686</v>
      </c>
      <c r="AC25" s="101" t="s">
        <v>773</v>
      </c>
      <c r="AD25" s="94" t="str">
        <f t="shared" ca="1" si="8"/>
        <v>HAAS</v>
      </c>
      <c r="AE25" s="94" t="str">
        <f t="shared" ca="1" si="7"/>
        <v>D'ALESSANDRO</v>
      </c>
      <c r="AF25" s="94" t="str">
        <f t="shared" ca="1" si="7"/>
        <v>FALLETTI</v>
      </c>
      <c r="AG25" s="94" t="str">
        <f t="shared" ca="1" si="7"/>
        <v>DEIOLA</v>
      </c>
      <c r="AH25" s="94" t="str">
        <f t="shared" ca="1" si="7"/>
        <v>GARRITANO</v>
      </c>
      <c r="AI25" s="94" t="str">
        <f t="shared" ca="1" si="7"/>
        <v>KOTNIK</v>
      </c>
      <c r="AJ25" s="94" t="str">
        <f t="shared" ca="1" si="7"/>
        <v>CRISTOFORO</v>
      </c>
      <c r="AK25" s="94" t="str">
        <f t="shared" ca="1" si="7"/>
        <v>COFIE</v>
      </c>
      <c r="AL25" s="94" t="str">
        <f t="shared" ca="1" si="7"/>
        <v>GAGLIARDINI</v>
      </c>
      <c r="AM25" s="94" t="str">
        <f t="shared" ca="1" si="7"/>
        <v>DOUGLAS COSTA</v>
      </c>
      <c r="AN25" s="94" t="str">
        <f t="shared" ca="1" si="7"/>
        <v>LUCAS LEIVA</v>
      </c>
      <c r="AO25" s="94" t="str">
        <f t="shared" ca="1" si="7"/>
        <v>JOSE' SOSA</v>
      </c>
      <c r="AP25" s="94" t="str">
        <f t="shared" ca="1" si="7"/>
        <v>HAMSIK</v>
      </c>
      <c r="AQ25" s="94" t="str">
        <f t="shared" ca="1" si="7"/>
        <v>GONALONS</v>
      </c>
      <c r="AR25" s="94" t="str">
        <f t="shared" ca="1" si="7"/>
        <v>DJURICIC</v>
      </c>
      <c r="AS25" s="94" t="str">
        <f t="shared" ca="1" si="7"/>
        <v>MAGNANELLI</v>
      </c>
      <c r="AT25" s="94" t="str">
        <f t="shared" ca="1" si="7"/>
        <v>RIZZO</v>
      </c>
      <c r="AU25" s="94" t="str">
        <f t="shared" ca="1" si="7"/>
        <v>GUSTAFSON</v>
      </c>
      <c r="AV25" s="94" t="str">
        <f t="shared" ca="1" si="7"/>
        <v>DE PAUL</v>
      </c>
      <c r="AW25" s="94" t="str">
        <f t="shared" ca="1" si="7"/>
        <v>VALOTI</v>
      </c>
      <c r="AX25" s="94" t="s">
        <v>1371</v>
      </c>
      <c r="AY25" s="94" t="s">
        <v>1371</v>
      </c>
      <c r="AZ25" s="94" t="s">
        <v>1371</v>
      </c>
      <c r="BA25" s="94" t="s">
        <v>1371</v>
      </c>
    </row>
    <row r="26" spans="1:53" ht="13.5" customHeight="1" thickBot="1">
      <c r="A26" s="561" t="str">
        <f ca="1">INDIRECT("Squadre!A"&amp;(ROW()/2)+1)</f>
        <v>Nap</v>
      </c>
      <c r="B26" s="102" t="s">
        <v>416</v>
      </c>
      <c r="C26" s="103" t="s">
        <v>515</v>
      </c>
      <c r="D26" s="104" t="s">
        <v>523</v>
      </c>
      <c r="E26" s="104" t="s">
        <v>308</v>
      </c>
      <c r="F26" s="104" t="s">
        <v>500</v>
      </c>
      <c r="G26" s="105"/>
      <c r="H26" s="103" t="s">
        <v>624</v>
      </c>
      <c r="I26" s="104" t="s">
        <v>508</v>
      </c>
      <c r="J26" s="104" t="s">
        <v>483</v>
      </c>
      <c r="K26" s="104"/>
      <c r="L26" s="105"/>
      <c r="M26" s="103" t="s">
        <v>328</v>
      </c>
      <c r="N26" s="104" t="s">
        <v>552</v>
      </c>
      <c r="O26" s="106" t="s">
        <v>408</v>
      </c>
      <c r="Q26" s="87" t="str">
        <f ca="1">'Mia rosa + Org. Finanza'!$B27</f>
        <v/>
      </c>
      <c r="R26" s="107" t="str">
        <f ca="1">'Mia rosa + Org. Finanza'!AG26</f>
        <v/>
      </c>
      <c r="S26" s="107" t="str">
        <f ca="1">'Mia rosa + Org. Finanza'!AH26</f>
        <v/>
      </c>
      <c r="T26" s="107" t="str">
        <f ca="1">'Mia rosa + Org. Finanza'!AI26</f>
        <v/>
      </c>
      <c r="U26" s="107" t="str">
        <f ca="1">'Mia rosa + Org. Finanza'!AJ26</f>
        <v/>
      </c>
      <c r="W26" s="179" t="str">
        <f t="shared" si="0"/>
        <v>Ata</v>
      </c>
      <c r="X26">
        <f t="shared" si="1"/>
        <v>1</v>
      </c>
      <c r="Y26" t="str">
        <f t="shared" si="2"/>
        <v>P1Ata</v>
      </c>
      <c r="Z26" s="193" t="s">
        <v>35</v>
      </c>
      <c r="AA26" s="193" t="s">
        <v>311</v>
      </c>
      <c r="AB26" s="179" t="s">
        <v>686</v>
      </c>
      <c r="AC26" s="101" t="s">
        <v>774</v>
      </c>
      <c r="AD26" s="94" t="str">
        <f t="shared" ca="1" si="8"/>
        <v>ILICIC</v>
      </c>
      <c r="AE26" s="94" t="str">
        <f t="shared" ca="1" si="7"/>
        <v>DEL PINTO</v>
      </c>
      <c r="AF26" s="94" t="str">
        <f t="shared" ca="1" si="7"/>
        <v>KREJCI</v>
      </c>
      <c r="AG26" s="94" t="str">
        <f t="shared" ca="1" si="7"/>
        <v>DESSENA</v>
      </c>
      <c r="AH26" s="94" t="str">
        <f t="shared" ca="1" si="7"/>
        <v>GAUDINO</v>
      </c>
      <c r="AI26" s="94" t="str">
        <f t="shared" ca="1" si="7"/>
        <v>KRAGL</v>
      </c>
      <c r="AJ26" s="94" t="str">
        <f t="shared" ca="1" si="7"/>
        <v>EYSSERIC</v>
      </c>
      <c r="AK26" s="94" t="str">
        <f t="shared" ca="1" si="7"/>
        <v>LAXALT</v>
      </c>
      <c r="AL26" s="94" t="str">
        <f t="shared" ca="1" si="7"/>
        <v>GNOUKOURI</v>
      </c>
      <c r="AM26" s="94" t="str">
        <f t="shared" ca="1" si="7"/>
        <v>KHEDIRA</v>
      </c>
      <c r="AN26" s="94" t="str">
        <f t="shared" ca="1" si="7"/>
        <v>LUIS ALBERTO</v>
      </c>
      <c r="AO26" s="94" t="str">
        <f t="shared" ca="1" si="7"/>
        <v>KESSIE'</v>
      </c>
      <c r="AP26" s="94" t="str">
        <f t="shared" ca="1" si="7"/>
        <v>JORGINHO</v>
      </c>
      <c r="AQ26" s="94" t="str">
        <f t="shared" ca="1" si="7"/>
        <v>NAINGGOLAN</v>
      </c>
      <c r="AR26" s="94" t="str">
        <f t="shared" ca="1" si="7"/>
        <v>LINETTY</v>
      </c>
      <c r="AS26" s="94" t="str">
        <f t="shared" ca="1" si="7"/>
        <v>MAZZITELLI</v>
      </c>
      <c r="AT26" s="94" t="str">
        <f t="shared" ca="1" si="7"/>
        <v>SCHIATTARELLA</v>
      </c>
      <c r="AU26" s="94" t="str">
        <f t="shared" ca="1" si="7"/>
        <v>OBI</v>
      </c>
      <c r="AV26" s="94" t="str">
        <f t="shared" ca="1" si="7"/>
        <v>FOFANA</v>
      </c>
      <c r="AW26" s="94" t="str">
        <f t="shared" ca="1" si="7"/>
        <v>ZACCAGNI</v>
      </c>
      <c r="AX26" s="94" t="s">
        <v>1371</v>
      </c>
      <c r="AY26" s="94" t="s">
        <v>1371</v>
      </c>
      <c r="AZ26" s="94" t="s">
        <v>1371</v>
      </c>
      <c r="BA26" s="94" t="s">
        <v>1371</v>
      </c>
    </row>
    <row r="27" spans="1:53" ht="13.5" customHeight="1" thickBot="1">
      <c r="A27" s="561"/>
      <c r="B27" s="96" t="s">
        <v>426</v>
      </c>
      <c r="C27" s="97" t="s">
        <v>542</v>
      </c>
      <c r="D27" s="98" t="s">
        <v>611</v>
      </c>
      <c r="E27" s="98" t="s">
        <v>537</v>
      </c>
      <c r="F27" s="98" t="s">
        <v>534</v>
      </c>
      <c r="G27" s="99"/>
      <c r="H27" s="97" t="s">
        <v>302</v>
      </c>
      <c r="I27" s="98" t="s">
        <v>1331</v>
      </c>
      <c r="J27" s="98" t="s">
        <v>437</v>
      </c>
      <c r="K27" s="98" t="s">
        <v>468</v>
      </c>
      <c r="L27" s="99"/>
      <c r="M27" s="97" t="s">
        <v>1792</v>
      </c>
      <c r="N27" s="98" t="s">
        <v>454</v>
      </c>
      <c r="O27" s="100"/>
      <c r="Q27" s="87" t="str">
        <f ca="1">'Mia rosa + Org. Finanza'!$B28</f>
        <v/>
      </c>
      <c r="R27" s="107" t="str">
        <f ca="1">'Mia rosa + Org. Finanza'!AG27</f>
        <v/>
      </c>
      <c r="S27" s="107" t="str">
        <f ca="1">'Mia rosa + Org. Finanza'!AH27</f>
        <v/>
      </c>
      <c r="T27" s="107" t="str">
        <f ca="1">'Mia rosa + Org. Finanza'!AI27</f>
        <v/>
      </c>
      <c r="U27" s="107" t="str">
        <f ca="1">'Mia rosa + Org. Finanza'!AJ27</f>
        <v/>
      </c>
      <c r="W27" s="179" t="str">
        <f t="shared" si="0"/>
        <v>Ata</v>
      </c>
      <c r="X27">
        <f t="shared" si="1"/>
        <v>2</v>
      </c>
      <c r="Y27" t="str">
        <f t="shared" si="2"/>
        <v>P2Ata</v>
      </c>
      <c r="Z27" s="193" t="s">
        <v>35</v>
      </c>
      <c r="AA27" s="193" t="s">
        <v>1680</v>
      </c>
      <c r="AB27" s="179" t="s">
        <v>686</v>
      </c>
      <c r="AC27" s="101" t="s">
        <v>775</v>
      </c>
      <c r="AD27" s="94" t="str">
        <f t="shared" ca="1" si="8"/>
        <v>JOAO SCHMIDT</v>
      </c>
      <c r="AE27" s="94" t="str">
        <f t="shared" ca="1" si="7"/>
        <v>MELARA</v>
      </c>
      <c r="AF27" s="94" t="str">
        <f t="shared" ca="1" si="7"/>
        <v>NAGY</v>
      </c>
      <c r="AG27" s="94" t="str">
        <f t="shared" ca="1" si="7"/>
        <v>FARAGO'</v>
      </c>
      <c r="AH27" s="94" t="str">
        <f t="shared" ca="1" si="7"/>
        <v>HETEMAJ</v>
      </c>
      <c r="AI27" s="94" t="str">
        <f t="shared" ca="1" si="7"/>
        <v>MANDRAGORA</v>
      </c>
      <c r="AJ27" s="94" t="str">
        <f t="shared" ca="1" si="7"/>
        <v>FERNANDEZ M</v>
      </c>
      <c r="AK27" s="94" t="str">
        <f t="shared" ca="1" si="7"/>
        <v>LAZOVIC</v>
      </c>
      <c r="AL27" s="94" t="str">
        <f t="shared" ca="1" si="7"/>
        <v>JOAO MARIO</v>
      </c>
      <c r="AM27" s="94" t="str">
        <f t="shared" ca="1" si="7"/>
        <v>MARCHISIO</v>
      </c>
      <c r="AN27" s="94" t="str">
        <f t="shared" ca="1" si="7"/>
        <v>LULIC</v>
      </c>
      <c r="AO27" s="94" t="str">
        <f t="shared" ca="1" si="7"/>
        <v>LOCATELLI M</v>
      </c>
      <c r="AP27" s="94" t="str">
        <f t="shared" ca="1" si="7"/>
        <v>ROG</v>
      </c>
      <c r="AQ27" s="94" t="str">
        <f t="shared" ca="1" si="7"/>
        <v>PELLEGRINI</v>
      </c>
      <c r="AR27" s="94" t="str">
        <f t="shared" ca="1" si="7"/>
        <v>PRAET</v>
      </c>
      <c r="AS27" s="94" t="str">
        <f t="shared" ca="1" si="7"/>
        <v>MISSIROLI</v>
      </c>
      <c r="AT27" s="94" t="str">
        <f t="shared" ca="1" si="7"/>
        <v>SCHIAVON</v>
      </c>
      <c r="AU27" s="94" t="str">
        <f t="shared" ca="1" si="7"/>
        <v>RINCON</v>
      </c>
      <c r="AV27" s="94" t="str">
        <f t="shared" ca="1" si="7"/>
        <v>HALLFREDSSON</v>
      </c>
      <c r="AW27" s="94" t="str">
        <f t="shared" ca="1" si="7"/>
        <v>ZUCULINI B</v>
      </c>
      <c r="AX27" s="94" t="s">
        <v>1371</v>
      </c>
      <c r="AY27" s="94" t="s">
        <v>1371</v>
      </c>
      <c r="AZ27" s="94" t="s">
        <v>1371</v>
      </c>
      <c r="BA27" s="94" t="s">
        <v>1371</v>
      </c>
    </row>
    <row r="28" spans="1:53" ht="13.5" customHeight="1" thickBot="1">
      <c r="A28" s="561" t="str">
        <f ca="1">INDIRECT("Squadre!A"&amp;(ROW()/2)+1)</f>
        <v>Rom</v>
      </c>
      <c r="B28" s="102" t="s">
        <v>300</v>
      </c>
      <c r="C28" s="103" t="s">
        <v>380</v>
      </c>
      <c r="D28" s="104" t="s">
        <v>539</v>
      </c>
      <c r="E28" s="104" t="s">
        <v>922</v>
      </c>
      <c r="F28" s="104" t="s">
        <v>1692</v>
      </c>
      <c r="G28" s="105"/>
      <c r="H28" s="103" t="s">
        <v>567</v>
      </c>
      <c r="I28" s="104" t="s">
        <v>606</v>
      </c>
      <c r="J28" s="104" t="s">
        <v>581</v>
      </c>
      <c r="K28" s="104" t="s">
        <v>424</v>
      </c>
      <c r="L28" s="105"/>
      <c r="M28" s="103" t="s">
        <v>358</v>
      </c>
      <c r="N28" s="104" t="s">
        <v>341</v>
      </c>
      <c r="O28" s="106"/>
      <c r="Q28" s="87" t="str">
        <f ca="1">'Mia rosa + Org. Finanza'!$B29</f>
        <v/>
      </c>
      <c r="R28" s="107" t="str">
        <f ca="1">'Mia rosa + Org. Finanza'!AG28</f>
        <v/>
      </c>
      <c r="S28" s="107" t="str">
        <f ca="1">'Mia rosa + Org. Finanza'!AH28</f>
        <v/>
      </c>
      <c r="T28" s="107" t="str">
        <f ca="1">'Mia rosa + Org. Finanza'!AI28</f>
        <v/>
      </c>
      <c r="U28" s="107" t="str">
        <f ca="1">'Mia rosa + Org. Finanza'!AJ28</f>
        <v/>
      </c>
      <c r="W28" s="179" t="str">
        <f t="shared" si="0"/>
        <v>Ata</v>
      </c>
      <c r="X28">
        <f t="shared" si="1"/>
        <v>3</v>
      </c>
      <c r="Y28" t="str">
        <f t="shared" si="2"/>
        <v>P3Ata</v>
      </c>
      <c r="Z28" s="193" t="s">
        <v>35</v>
      </c>
      <c r="AA28" s="193" t="s">
        <v>1935</v>
      </c>
      <c r="AB28" s="179" t="s">
        <v>686</v>
      </c>
      <c r="AC28" s="101" t="s">
        <v>776</v>
      </c>
      <c r="AD28" s="94" t="str">
        <f t="shared" ca="1" si="8"/>
        <v>KURTIC</v>
      </c>
      <c r="AE28" s="94" t="str">
        <f t="shared" ca="1" si="7"/>
        <v>MEMUSHAJ</v>
      </c>
      <c r="AF28" s="94" t="str">
        <f t="shared" ca="1" si="7"/>
        <v>POLI</v>
      </c>
      <c r="AG28" s="94" t="str">
        <f t="shared" ca="1" si="7"/>
        <v>IONITA</v>
      </c>
      <c r="AH28" s="94" t="str">
        <f t="shared" ca="1" si="7"/>
        <v>RADOVANOVIC</v>
      </c>
      <c r="AI28" s="94" t="str">
        <f t="shared" ca="1" si="7"/>
        <v>NALINI</v>
      </c>
      <c r="AJ28" s="94" t="str">
        <f t="shared" ca="1" si="7"/>
        <v>GIL DIAS</v>
      </c>
      <c r="AK28" s="94" t="str">
        <f t="shared" ca="1" si="7"/>
        <v>MIGUEL VELOSO</v>
      </c>
      <c r="AL28" s="94" t="str">
        <f t="shared" ca="1" si="7"/>
        <v>PERISIC</v>
      </c>
      <c r="AM28" s="94" t="str">
        <f t="shared" ca="1" si="7"/>
        <v>MATUIDI</v>
      </c>
      <c r="AN28" s="94" t="str">
        <f t="shared" ca="1" si="7"/>
        <v>MARUSIC</v>
      </c>
      <c r="AO28" s="94" t="str">
        <f t="shared" ca="1" si="7"/>
        <v>MAURI J</v>
      </c>
      <c r="AP28" s="94" t="str">
        <f t="shared" ca="1" si="7"/>
        <v>ZIELINSKI</v>
      </c>
      <c r="AQ28" s="94" t="str">
        <f t="shared" ca="1" si="7"/>
        <v>PEROTTI</v>
      </c>
      <c r="AR28" s="94" t="str">
        <f t="shared" ca="1" si="7"/>
        <v>RAMIREZ</v>
      </c>
      <c r="AS28" s="94" t="str">
        <f t="shared" ca="1" si="7"/>
        <v>SENSI</v>
      </c>
      <c r="AT28" s="94" t="str">
        <f t="shared" ca="1" si="7"/>
        <v>VITALE</v>
      </c>
      <c r="AU28" s="94" t="str">
        <f t="shared" ca="1" si="7"/>
        <v>VALDIFIORI</v>
      </c>
      <c r="AV28" s="94" t="str">
        <f t="shared" ca="1" si="7"/>
        <v>INGELSSON</v>
      </c>
      <c r="AW28" s="94" t="str">
        <f t="shared" ca="1" si="7"/>
        <v>ZUCULINI F</v>
      </c>
      <c r="AX28" s="94" t="s">
        <v>1371</v>
      </c>
      <c r="AY28" s="94" t="s">
        <v>1371</v>
      </c>
      <c r="AZ28" s="94" t="s">
        <v>1371</v>
      </c>
      <c r="BA28" s="94" t="s">
        <v>1371</v>
      </c>
    </row>
    <row r="29" spans="1:53" ht="13.5" customHeight="1" thickBot="1">
      <c r="A29" s="561"/>
      <c r="B29" s="96" t="s">
        <v>428</v>
      </c>
      <c r="C29" s="97" t="s">
        <v>1700</v>
      </c>
      <c r="D29" s="98" t="s">
        <v>521</v>
      </c>
      <c r="E29" s="98" t="s">
        <v>1862</v>
      </c>
      <c r="F29" s="98" t="s">
        <v>467</v>
      </c>
      <c r="G29" s="99"/>
      <c r="H29" s="97" t="s">
        <v>1756</v>
      </c>
      <c r="I29" s="98" t="s">
        <v>579</v>
      </c>
      <c r="J29" s="98" t="s">
        <v>1744</v>
      </c>
      <c r="K29" s="98" t="s">
        <v>485</v>
      </c>
      <c r="L29" s="99"/>
      <c r="M29" s="97" t="s">
        <v>509</v>
      </c>
      <c r="N29" s="98" t="s">
        <v>365</v>
      </c>
      <c r="O29" s="100"/>
      <c r="Q29" s="87" t="str">
        <f ca="1">'Mia rosa + Org. Finanza'!$B30</f>
        <v/>
      </c>
      <c r="R29" s="107" t="str">
        <f ca="1">'Mia rosa + Org. Finanza'!AG29</f>
        <v/>
      </c>
      <c r="S29" s="107" t="str">
        <f ca="1">'Mia rosa + Org. Finanza'!AH29</f>
        <v/>
      </c>
      <c r="T29" s="107" t="str">
        <f ca="1">'Mia rosa + Org. Finanza'!AI29</f>
        <v/>
      </c>
      <c r="U29" s="107" t="str">
        <f ca="1">'Mia rosa + Org. Finanza'!AJ29</f>
        <v/>
      </c>
      <c r="W29" s="179" t="str">
        <f t="shared" si="0"/>
        <v>Ben</v>
      </c>
      <c r="X29">
        <f t="shared" si="1"/>
        <v>1</v>
      </c>
      <c r="Y29" t="str">
        <f t="shared" si="2"/>
        <v>A1Ben</v>
      </c>
      <c r="Z29" s="193" t="s">
        <v>43</v>
      </c>
      <c r="AA29" s="193" t="s">
        <v>1980</v>
      </c>
      <c r="AB29" s="179" t="s">
        <v>1672</v>
      </c>
      <c r="AC29" s="101" t="s">
        <v>777</v>
      </c>
      <c r="AD29" s="94" t="str">
        <f t="shared" ca="1" si="8"/>
        <v>MELEGONI</v>
      </c>
      <c r="AE29" s="94" t="str">
        <f t="shared" ca="1" si="7"/>
        <v>VIOLA</v>
      </c>
      <c r="AF29" s="94" t="str">
        <f t="shared" ca="1" si="7"/>
        <v>PULGAR</v>
      </c>
      <c r="AG29" s="94" t="str">
        <f t="shared" ca="1" si="7"/>
        <v>JOAO PEDRO</v>
      </c>
      <c r="AH29" s="94" t="str">
        <f t="shared" ca="1" si="7"/>
        <v>RIGONI N</v>
      </c>
      <c r="AI29" s="94" t="str">
        <f t="shared" ca="1" si="7"/>
        <v>ROHDEN</v>
      </c>
      <c r="AJ29" s="94" t="str">
        <f t="shared" ca="1" si="7"/>
        <v>HAGI</v>
      </c>
      <c r="AK29" s="94" t="str">
        <f t="shared" ca="1" si="7"/>
        <v>OMEONGA</v>
      </c>
      <c r="AL29" s="94" t="str">
        <f t="shared" ca="1" si="7"/>
        <v>VECINO</v>
      </c>
      <c r="AM29" s="94" t="str">
        <f t="shared" ca="1" si="7"/>
        <v>PJANIC</v>
      </c>
      <c r="AN29" s="94" t="str">
        <f t="shared" ca="1" si="7"/>
        <v>MILINKOVIC-SAVIC</v>
      </c>
      <c r="AO29" s="94" t="str">
        <f t="shared" ca="1" si="7"/>
        <v>MONTOLIVO</v>
      </c>
      <c r="AP29" s="94" t="e">
        <f t="shared" ca="1" si="7"/>
        <v>#N/A</v>
      </c>
      <c r="AQ29" s="94" t="str">
        <f t="shared" ca="1" si="7"/>
        <v>STROOTMAN</v>
      </c>
      <c r="AR29" s="94" t="str">
        <f t="shared" ca="1" si="7"/>
        <v>TORREIRA</v>
      </c>
      <c r="AS29" s="94" t="e">
        <f t="shared" ca="1" si="7"/>
        <v>#N/A</v>
      </c>
      <c r="AT29" s="94" t="str">
        <f t="shared" ca="1" si="7"/>
        <v>VIVIANI</v>
      </c>
      <c r="AU29" s="94" t="e">
        <f t="shared" ca="1" si="7"/>
        <v>#N/A</v>
      </c>
      <c r="AV29" s="94" t="str">
        <f t="shared" ca="1" si="7"/>
        <v>JANKTO</v>
      </c>
      <c r="AW29" s="94" t="e">
        <f t="shared" ca="1" si="7"/>
        <v>#N/A</v>
      </c>
      <c r="AX29" s="94" t="s">
        <v>1371</v>
      </c>
      <c r="AY29" s="94" t="s">
        <v>1371</v>
      </c>
      <c r="AZ29" s="94" t="s">
        <v>1371</v>
      </c>
      <c r="BA29" s="94" t="s">
        <v>1371</v>
      </c>
    </row>
    <row r="30" spans="1:53" ht="13.5" customHeight="1" thickBot="1">
      <c r="A30" s="561" t="str">
        <f ca="1">INDIRECT("Squadre!A"&amp;(ROW()/2)+1)</f>
        <v>Sam</v>
      </c>
      <c r="B30" s="102" t="s">
        <v>446</v>
      </c>
      <c r="C30" s="103" t="s">
        <v>597</v>
      </c>
      <c r="D30" s="104" t="s">
        <v>598</v>
      </c>
      <c r="E30" s="104" t="s">
        <v>481</v>
      </c>
      <c r="F30" s="104" t="s">
        <v>558</v>
      </c>
      <c r="G30" s="105"/>
      <c r="H30" s="103" t="s">
        <v>1304</v>
      </c>
      <c r="I30" s="104" t="s">
        <v>616</v>
      </c>
      <c r="J30" s="104" t="s">
        <v>1330</v>
      </c>
      <c r="K30" s="104" t="s">
        <v>1923</v>
      </c>
      <c r="L30" s="105"/>
      <c r="M30" s="103" t="s">
        <v>494</v>
      </c>
      <c r="N30" s="104" t="s">
        <v>522</v>
      </c>
      <c r="O30" s="106"/>
      <c r="Q30" s="87" t="str">
        <f ca="1">'Mia rosa + Org. Finanza'!$B31</f>
        <v/>
      </c>
      <c r="R30" s="107" t="str">
        <f ca="1">'Mia rosa + Org. Finanza'!AG30</f>
        <v/>
      </c>
      <c r="S30" s="107" t="str">
        <f ca="1">'Mia rosa + Org. Finanza'!AH30</f>
        <v/>
      </c>
      <c r="T30" s="107" t="str">
        <f ca="1">'Mia rosa + Org. Finanza'!AI30</f>
        <v/>
      </c>
      <c r="U30" s="107" t="str">
        <f ca="1">'Mia rosa + Org. Finanza'!AJ30</f>
        <v/>
      </c>
      <c r="W30" s="179" t="str">
        <f t="shared" si="0"/>
        <v>Ben</v>
      </c>
      <c r="X30">
        <f t="shared" si="1"/>
        <v>2</v>
      </c>
      <c r="Y30" t="str">
        <f t="shared" si="2"/>
        <v>A2Ben</v>
      </c>
      <c r="Z30" s="193" t="s">
        <v>43</v>
      </c>
      <c r="AA30" s="193" t="s">
        <v>1959</v>
      </c>
      <c r="AB30" s="179" t="s">
        <v>1672</v>
      </c>
      <c r="AC30" s="101" t="s">
        <v>778</v>
      </c>
      <c r="AD30" s="94" t="str">
        <f t="shared" ca="1" si="8"/>
        <v>SPINAZZOLA</v>
      </c>
      <c r="AE30" s="94" t="e">
        <f t="shared" ca="1" si="7"/>
        <v>#N/A</v>
      </c>
      <c r="AF30" s="94" t="str">
        <f t="shared" ca="1" si="7"/>
        <v>TAIDER</v>
      </c>
      <c r="AG30" s="94" t="e">
        <f t="shared" ca="1" si="7"/>
        <v>#N/A</v>
      </c>
      <c r="AH30" s="94" t="e">
        <f t="shared" ca="1" si="7"/>
        <v>#N/A</v>
      </c>
      <c r="AI30" s="94" t="str">
        <f t="shared" ca="1" si="7"/>
        <v>ROMERO</v>
      </c>
      <c r="AJ30" s="94" t="str">
        <f t="shared" ca="1" si="7"/>
        <v>SANCHEZ</v>
      </c>
      <c r="AK30" s="94" t="str">
        <f t="shared" ca="1" si="7"/>
        <v>RIGONI L</v>
      </c>
      <c r="AL30" s="94" t="e">
        <f t="shared" ca="1" si="7"/>
        <v>#N/A</v>
      </c>
      <c r="AM30" s="94" t="str">
        <f t="shared" ca="1" si="7"/>
        <v>STURARO</v>
      </c>
      <c r="AN30" s="94" t="str">
        <f t="shared" ca="1" si="7"/>
        <v>MURGIA</v>
      </c>
      <c r="AO30" s="94" t="str">
        <f t="shared" ca="1" si="7"/>
        <v>SUSO</v>
      </c>
      <c r="AP30" s="94" t="e">
        <f t="shared" ca="1" si="7"/>
        <v>#N/A</v>
      </c>
      <c r="AQ30" s="94" t="str">
        <f t="shared" ca="1" si="7"/>
        <v>UNDER</v>
      </c>
      <c r="AR30" s="94" t="str">
        <f t="shared" ca="1" si="7"/>
        <v>VERRE</v>
      </c>
      <c r="AS30" s="94" t="e">
        <f t="shared" ca="1" si="7"/>
        <v>#N/A</v>
      </c>
      <c r="AT30" s="94" t="e">
        <f t="shared" ca="1" si="7"/>
        <v>#N/A</v>
      </c>
      <c r="AU30" s="94" t="e">
        <f t="shared" ca="1" si="7"/>
        <v>#N/A</v>
      </c>
      <c r="AV30" s="94" t="e">
        <f t="shared" ca="1" si="7"/>
        <v>#N/A</v>
      </c>
      <c r="AW30" s="94" t="e">
        <f t="shared" ca="1" si="7"/>
        <v>#N/A</v>
      </c>
      <c r="AX30" s="94" t="s">
        <v>1371</v>
      </c>
      <c r="AY30" s="94" t="s">
        <v>1371</v>
      </c>
      <c r="AZ30" s="94" t="s">
        <v>1371</v>
      </c>
      <c r="BA30" s="94" t="s">
        <v>1371</v>
      </c>
    </row>
    <row r="31" spans="1:53" ht="13.5" customHeight="1" thickBot="1">
      <c r="A31" s="561"/>
      <c r="B31" s="96" t="s">
        <v>402</v>
      </c>
      <c r="C31" s="97" t="s">
        <v>1723</v>
      </c>
      <c r="D31" s="98" t="s">
        <v>577</v>
      </c>
      <c r="E31" s="98" t="s">
        <v>1992</v>
      </c>
      <c r="F31" s="98" t="s">
        <v>1961</v>
      </c>
      <c r="G31" s="99"/>
      <c r="H31" s="97" t="s">
        <v>383</v>
      </c>
      <c r="I31" s="98" t="s">
        <v>622</v>
      </c>
      <c r="J31" s="98" t="s">
        <v>530</v>
      </c>
      <c r="K31" s="98" t="s">
        <v>1296</v>
      </c>
      <c r="L31" s="99"/>
      <c r="M31" s="97" t="s">
        <v>1794</v>
      </c>
      <c r="N31" s="98" t="s">
        <v>331</v>
      </c>
      <c r="O31" s="100"/>
      <c r="Q31" s="87" t="str">
        <f ca="1">'Mia rosa + Org. Finanza'!$B32</f>
        <v/>
      </c>
      <c r="R31" s="107" t="str">
        <f ca="1">'Mia rosa + Org. Finanza'!AG31</f>
        <v/>
      </c>
      <c r="S31" s="107" t="str">
        <f ca="1">'Mia rosa + Org. Finanza'!AH31</f>
        <v/>
      </c>
      <c r="T31" s="107" t="str">
        <f ca="1">'Mia rosa + Org. Finanza'!AI31</f>
        <v/>
      </c>
      <c r="U31" s="107" t="str">
        <f ca="1">'Mia rosa + Org. Finanza'!AJ31</f>
        <v/>
      </c>
      <c r="W31" s="179" t="str">
        <f t="shared" si="0"/>
        <v>Ben</v>
      </c>
      <c r="X31">
        <f t="shared" si="1"/>
        <v>3</v>
      </c>
      <c r="Y31" t="str">
        <f t="shared" si="2"/>
        <v>A3Ben</v>
      </c>
      <c r="Z31" s="193" t="s">
        <v>43</v>
      </c>
      <c r="AA31" s="193" t="s">
        <v>1853</v>
      </c>
      <c r="AB31" s="179" t="s">
        <v>1672</v>
      </c>
      <c r="AC31" s="101" t="s">
        <v>779</v>
      </c>
      <c r="AD31" s="94" t="e">
        <f t="shared" ca="1" si="8"/>
        <v>#N/A</v>
      </c>
      <c r="AE31" s="94" t="e">
        <f t="shared" ca="1" si="7"/>
        <v>#N/A</v>
      </c>
      <c r="AF31" s="94" t="str">
        <f t="shared" ca="1" si="7"/>
        <v>VALENCIA</v>
      </c>
      <c r="AG31" s="94" t="e">
        <f t="shared" ca="1" si="7"/>
        <v>#N/A</v>
      </c>
      <c r="AH31" s="94" t="e">
        <f t="shared" ca="1" si="7"/>
        <v>#N/A</v>
      </c>
      <c r="AI31" s="94" t="str">
        <f t="shared" ca="1" si="7"/>
        <v>STOIAN</v>
      </c>
      <c r="AJ31" s="94" t="str">
        <f t="shared" ca="1" si="7"/>
        <v>SAPONARA</v>
      </c>
      <c r="AK31" s="94" t="str">
        <f t="shared" ca="1" si="7"/>
        <v>RODRIGUEZ T</v>
      </c>
      <c r="AL31" s="94" t="e">
        <f t="shared" ca="1" si="7"/>
        <v>#N/A</v>
      </c>
      <c r="AM31" s="94" t="e">
        <f t="shared" ca="1" si="7"/>
        <v>#N/A</v>
      </c>
      <c r="AN31" s="94" t="str">
        <f t="shared" ca="1" si="7"/>
        <v>PAROLO</v>
      </c>
      <c r="AO31" s="94" t="str">
        <f t="shared" ca="1" si="7"/>
        <v>ZANELLATO</v>
      </c>
      <c r="AP31" s="94" t="e">
        <f t="shared" ca="1" si="7"/>
        <v>#N/A</v>
      </c>
      <c r="AQ31" s="94" t="e">
        <f t="shared" ca="1" si="7"/>
        <v>#N/A</v>
      </c>
      <c r="AR31" s="94" t="e">
        <f t="shared" ca="1" si="7"/>
        <v>#N/A</v>
      </c>
      <c r="AS31" s="94" t="e">
        <f t="shared" ca="1" si="7"/>
        <v>#N/A</v>
      </c>
      <c r="AT31" s="94" t="e">
        <f t="shared" ca="1" si="7"/>
        <v>#N/A</v>
      </c>
      <c r="AU31" s="94" t="e">
        <f t="shared" ca="1" si="7"/>
        <v>#N/A</v>
      </c>
      <c r="AV31" s="94" t="e">
        <f t="shared" ca="1" si="7"/>
        <v>#N/A</v>
      </c>
      <c r="AW31" s="94" t="e">
        <f t="shared" ca="1" si="7"/>
        <v>#N/A</v>
      </c>
      <c r="AX31" s="94" t="s">
        <v>1371</v>
      </c>
      <c r="AY31" s="94" t="s">
        <v>1371</v>
      </c>
      <c r="AZ31" s="94" t="s">
        <v>1371</v>
      </c>
      <c r="BA31" s="94" t="s">
        <v>1371</v>
      </c>
    </row>
    <row r="32" spans="1:53" ht="13.5" customHeight="1" thickBot="1">
      <c r="A32" s="561" t="str">
        <f ca="1">INDIRECT("Squadre!A"&amp;(ROW()/2)+1)</f>
        <v>Sas</v>
      </c>
      <c r="B32" s="102" t="s">
        <v>325</v>
      </c>
      <c r="C32" s="103" t="s">
        <v>531</v>
      </c>
      <c r="D32" s="104" t="s">
        <v>394</v>
      </c>
      <c r="E32" s="104" t="s">
        <v>301</v>
      </c>
      <c r="F32" s="104" t="s">
        <v>568</v>
      </c>
      <c r="G32" s="105"/>
      <c r="H32" s="103" t="s">
        <v>556</v>
      </c>
      <c r="I32" s="104" t="s">
        <v>540</v>
      </c>
      <c r="J32" s="104" t="s">
        <v>447</v>
      </c>
      <c r="K32" s="104"/>
      <c r="L32" s="105"/>
      <c r="M32" s="103" t="s">
        <v>315</v>
      </c>
      <c r="N32" s="104" t="s">
        <v>369</v>
      </c>
      <c r="O32" s="106" t="s">
        <v>586</v>
      </c>
      <c r="R32" s="107" t="str">
        <f ca="1">'Mia rosa + Org. Finanza'!AG32</f>
        <v/>
      </c>
      <c r="S32" s="107" t="str">
        <f ca="1">'Mia rosa + Org. Finanza'!AH32</f>
        <v/>
      </c>
      <c r="T32" s="107" t="str">
        <f ca="1">'Mia rosa + Org. Finanza'!AI32</f>
        <v/>
      </c>
      <c r="U32" s="107" t="str">
        <f ca="1">'Mia rosa + Org. Finanza'!AJ32</f>
        <v/>
      </c>
      <c r="W32" s="179" t="str">
        <f t="shared" si="0"/>
        <v>Ben</v>
      </c>
      <c r="X32">
        <f t="shared" si="1"/>
        <v>4</v>
      </c>
      <c r="Y32" t="str">
        <f t="shared" si="2"/>
        <v>A4Ben</v>
      </c>
      <c r="Z32" s="193" t="s">
        <v>43</v>
      </c>
      <c r="AA32" s="193" t="s">
        <v>1341</v>
      </c>
      <c r="AB32" s="179" t="s">
        <v>1672</v>
      </c>
      <c r="AC32" s="101" t="s">
        <v>780</v>
      </c>
      <c r="AD32" s="94" t="e">
        <f t="shared" ca="1" si="8"/>
        <v>#N/A</v>
      </c>
      <c r="AE32" s="94" t="e">
        <f t="shared" ca="1" si="7"/>
        <v>#N/A</v>
      </c>
      <c r="AF32" s="94" t="str">
        <f t="shared" ca="1" si="7"/>
        <v>VERDI</v>
      </c>
      <c r="AG32" s="94" t="e">
        <f t="shared" ca="1" si="7"/>
        <v>#N/A</v>
      </c>
      <c r="AH32" s="94" t="e">
        <f t="shared" ca="1" si="7"/>
        <v>#N/A</v>
      </c>
      <c r="AI32" s="94" t="str">
        <f t="shared" ca="1" si="7"/>
        <v>SULJIC</v>
      </c>
      <c r="AJ32" s="94" t="str">
        <f t="shared" ca="1" si="7"/>
        <v>VERETOUT</v>
      </c>
      <c r="AK32" s="94" t="str">
        <f t="shared" ca="1" si="7"/>
        <v>TAARABT</v>
      </c>
      <c r="AL32" s="94" t="e">
        <f t="shared" ca="1" si="7"/>
        <v>#N/A</v>
      </c>
      <c r="AM32" s="94" t="e">
        <f t="shared" ca="1" si="7"/>
        <v>#N/A</v>
      </c>
      <c r="AN32" s="94" t="e">
        <f t="shared" ca="1" si="7"/>
        <v>#N/A</v>
      </c>
      <c r="AO32" s="94" t="e">
        <f t="shared" ca="1" si="7"/>
        <v>#N/A</v>
      </c>
      <c r="AP32" s="94" t="e">
        <f t="shared" ca="1" si="7"/>
        <v>#N/A</v>
      </c>
      <c r="AQ32" s="94" t="e">
        <f t="shared" ca="1" si="7"/>
        <v>#N/A</v>
      </c>
      <c r="AR32" s="94" t="e">
        <f t="shared" ca="1" si="7"/>
        <v>#N/A</v>
      </c>
      <c r="AS32" s="94" t="e">
        <f t="shared" ca="1" si="7"/>
        <v>#N/A</v>
      </c>
      <c r="AT32" s="94" t="e">
        <f t="shared" ca="1" si="7"/>
        <v>#N/A</v>
      </c>
      <c r="AU32" s="94" t="e">
        <f t="shared" ca="1" si="7"/>
        <v>#N/A</v>
      </c>
      <c r="AV32" s="94" t="e">
        <f t="shared" ca="1" si="7"/>
        <v>#N/A</v>
      </c>
      <c r="AW32" s="94" t="e">
        <f t="shared" ca="1" si="7"/>
        <v>#N/A</v>
      </c>
      <c r="AX32" s="94" t="s">
        <v>1371</v>
      </c>
      <c r="AY32" s="94" t="s">
        <v>1371</v>
      </c>
      <c r="AZ32" s="94" t="s">
        <v>1371</v>
      </c>
      <c r="BA32" s="94" t="s">
        <v>1371</v>
      </c>
    </row>
    <row r="33" spans="1:53" ht="13.5" customHeight="1" thickBot="1">
      <c r="A33" s="561"/>
      <c r="B33" s="96" t="s">
        <v>387</v>
      </c>
      <c r="C33" s="97" t="s">
        <v>528</v>
      </c>
      <c r="D33" s="98" t="s">
        <v>503</v>
      </c>
      <c r="E33" s="98" t="s">
        <v>1286</v>
      </c>
      <c r="F33" s="98" t="s">
        <v>457</v>
      </c>
      <c r="G33" s="99"/>
      <c r="H33" s="97" t="s">
        <v>548</v>
      </c>
      <c r="I33" s="98" t="s">
        <v>603</v>
      </c>
      <c r="J33" s="98" t="s">
        <v>350</v>
      </c>
      <c r="K33" s="98"/>
      <c r="L33" s="99"/>
      <c r="M33" s="97" t="s">
        <v>1332</v>
      </c>
      <c r="N33" s="98" t="s">
        <v>441</v>
      </c>
      <c r="O33" s="100"/>
      <c r="R33" s="107" t="str">
        <f ca="1">'Mia rosa + Org. Finanza'!AG33</f>
        <v/>
      </c>
      <c r="S33" s="107" t="str">
        <f ca="1">'Mia rosa + Org. Finanza'!AH33</f>
        <v/>
      </c>
      <c r="T33" s="107" t="str">
        <f ca="1">'Mia rosa + Org. Finanza'!AI33</f>
        <v/>
      </c>
      <c r="U33" s="107" t="str">
        <f ca="1">'Mia rosa + Org. Finanza'!AJ33</f>
        <v/>
      </c>
      <c r="W33" s="179" t="str">
        <f t="shared" si="0"/>
        <v>Ben</v>
      </c>
      <c r="X33">
        <f t="shared" si="1"/>
        <v>5</v>
      </c>
      <c r="Y33" t="str">
        <f t="shared" si="2"/>
        <v>A5Ben</v>
      </c>
      <c r="Z33" s="193" t="s">
        <v>43</v>
      </c>
      <c r="AA33" s="193" t="s">
        <v>1287</v>
      </c>
      <c r="AB33" s="179" t="s">
        <v>1672</v>
      </c>
      <c r="AC33" s="101" t="s">
        <v>781</v>
      </c>
      <c r="AD33" s="94" t="e">
        <f t="shared" ca="1" si="8"/>
        <v>#N/A</v>
      </c>
      <c r="AE33" s="94" t="e">
        <f t="shared" ca="1" si="7"/>
        <v>#N/A</v>
      </c>
      <c r="AF33" s="94" t="e">
        <f t="shared" ca="1" si="7"/>
        <v>#N/A</v>
      </c>
      <c r="AG33" s="94" t="e">
        <f t="shared" ca="1" si="7"/>
        <v>#N/A</v>
      </c>
      <c r="AH33" s="94" t="e">
        <f t="shared" ca="1" si="7"/>
        <v>#N/A</v>
      </c>
      <c r="AI33" s="94" t="str">
        <f t="shared" ca="1" si="7"/>
        <v>TONEV</v>
      </c>
      <c r="AJ33" s="94" t="e">
        <f t="shared" ca="1" si="7"/>
        <v>#N/A</v>
      </c>
      <c r="AK33" s="94" t="e">
        <f t="shared" ca="1" si="7"/>
        <v>#N/A</v>
      </c>
      <c r="AL33" s="94" t="e">
        <f t="shared" ca="1" si="7"/>
        <v>#N/A</v>
      </c>
      <c r="AM33" s="94" t="e">
        <f t="shared" ca="1" si="7"/>
        <v>#N/A</v>
      </c>
      <c r="AN33" s="94" t="e">
        <f t="shared" ca="1" si="7"/>
        <v>#N/A</v>
      </c>
      <c r="AO33" s="94" t="e">
        <f t="shared" ca="1" si="7"/>
        <v>#N/A</v>
      </c>
      <c r="AP33" s="94" t="e">
        <f t="shared" ca="1" si="7"/>
        <v>#N/A</v>
      </c>
      <c r="AQ33" s="94" t="e">
        <f t="shared" ca="1" si="7"/>
        <v>#N/A</v>
      </c>
      <c r="AR33" s="94" t="e">
        <f t="shared" ca="1" si="7"/>
        <v>#N/A</v>
      </c>
      <c r="AS33" s="94" t="e">
        <f t="shared" ca="1" si="7"/>
        <v>#N/A</v>
      </c>
      <c r="AT33" s="94" t="e">
        <f t="shared" ca="1" si="7"/>
        <v>#N/A</v>
      </c>
      <c r="AU33" s="94" t="e">
        <f t="shared" ca="1" si="7"/>
        <v>#N/A</v>
      </c>
      <c r="AV33" s="94" t="e">
        <f t="shared" ca="1" si="7"/>
        <v>#N/A</v>
      </c>
      <c r="AW33" s="94" t="e">
        <f t="shared" ca="1" si="7"/>
        <v>#N/A</v>
      </c>
      <c r="AX33" s="94" t="s">
        <v>1371</v>
      </c>
      <c r="AY33" s="94" t="s">
        <v>1371</v>
      </c>
      <c r="AZ33" s="94" t="s">
        <v>1371</v>
      </c>
      <c r="BA33" s="94" t="s">
        <v>1371</v>
      </c>
    </row>
    <row r="34" spans="1:53" ht="13.5" customHeight="1" thickBot="1">
      <c r="A34" s="561" t="str">
        <f ca="1">INDIRECT("Squadre!A"&amp;(ROW()/2)+1)</f>
        <v>Spa</v>
      </c>
      <c r="B34" s="102" t="s">
        <v>1675</v>
      </c>
      <c r="C34" s="103" t="s">
        <v>1283</v>
      </c>
      <c r="D34" s="104" t="s">
        <v>1721</v>
      </c>
      <c r="E34" s="104" t="s">
        <v>475</v>
      </c>
      <c r="F34" s="104" t="s">
        <v>435</v>
      </c>
      <c r="G34" s="105"/>
      <c r="H34" s="103" t="s">
        <v>1857</v>
      </c>
      <c r="I34" s="104" t="s">
        <v>479</v>
      </c>
      <c r="J34" s="104" t="s">
        <v>1344</v>
      </c>
      <c r="K34" s="104" t="s">
        <v>1741</v>
      </c>
      <c r="L34" s="105"/>
      <c r="M34" s="103" t="s">
        <v>319</v>
      </c>
      <c r="N34" s="104" t="s">
        <v>1777</v>
      </c>
      <c r="O34" s="106"/>
      <c r="Q34" s="87" t="str">
        <f ca="1">'Mia rosa + Org. Finanza'!$B36</f>
        <v/>
      </c>
      <c r="R34" s="107" t="str">
        <f ca="1">'Mia rosa + Org. Finanza'!AG34</f>
        <v/>
      </c>
      <c r="S34" s="107" t="str">
        <f ca="1">'Mia rosa + Org. Finanza'!AH34</f>
        <v/>
      </c>
      <c r="T34" s="107" t="str">
        <f ca="1">'Mia rosa + Org. Finanza'!AI34</f>
        <v/>
      </c>
      <c r="U34" s="107" t="str">
        <f ca="1">'Mia rosa + Org. Finanza'!AJ34</f>
        <v/>
      </c>
      <c r="W34" s="179" t="str">
        <f t="shared" si="0"/>
        <v>Ben</v>
      </c>
      <c r="X34">
        <f t="shared" si="1"/>
        <v>6</v>
      </c>
      <c r="Y34" t="str">
        <f t="shared" si="2"/>
        <v>A6Ben</v>
      </c>
      <c r="Z34" s="193" t="s">
        <v>43</v>
      </c>
      <c r="AA34" s="193" t="s">
        <v>474</v>
      </c>
      <c r="AB34" s="179" t="s">
        <v>1672</v>
      </c>
      <c r="AC34" s="101"/>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row>
    <row r="35" spans="1:53" ht="13.5" customHeight="1" thickBot="1">
      <c r="A35" s="561"/>
      <c r="B35" s="96" t="s">
        <v>352</v>
      </c>
      <c r="C35" s="97" t="s">
        <v>1731</v>
      </c>
      <c r="D35" s="98" t="s">
        <v>1831</v>
      </c>
      <c r="E35" s="98" t="s">
        <v>1728</v>
      </c>
      <c r="F35" s="98" t="s">
        <v>547</v>
      </c>
      <c r="G35" s="99"/>
      <c r="H35" s="97" t="s">
        <v>1748</v>
      </c>
      <c r="I35" s="98" t="s">
        <v>596</v>
      </c>
      <c r="J35" s="98" t="s">
        <v>1776</v>
      </c>
      <c r="K35" s="98"/>
      <c r="L35" s="99"/>
      <c r="M35" s="97" t="s">
        <v>470</v>
      </c>
      <c r="N35" s="98" t="s">
        <v>374</v>
      </c>
      <c r="O35" s="100" t="s">
        <v>1801</v>
      </c>
      <c r="Q35" s="87" t="str">
        <f ca="1">'Mia rosa + Org. Finanza'!$B37</f>
        <v/>
      </c>
      <c r="R35" s="107" t="str">
        <f ca="1">'Mia rosa + Org. Finanza'!AG35</f>
        <v/>
      </c>
      <c r="S35" s="107" t="str">
        <f ca="1">'Mia rosa + Org. Finanza'!AH35</f>
        <v/>
      </c>
      <c r="T35" s="107" t="str">
        <f ca="1">'Mia rosa + Org. Finanza'!AI35</f>
        <v/>
      </c>
      <c r="U35" s="107" t="str">
        <f ca="1">'Mia rosa + Org. Finanza'!AJ35</f>
        <v/>
      </c>
      <c r="W35" s="179" t="str">
        <f t="shared" si="0"/>
        <v>Ben</v>
      </c>
      <c r="X35">
        <f t="shared" si="1"/>
        <v>7</v>
      </c>
      <c r="Y35" t="str">
        <f t="shared" si="2"/>
        <v>A7Ben</v>
      </c>
      <c r="Z35" s="193" t="s">
        <v>43</v>
      </c>
      <c r="AA35" s="193" t="s">
        <v>1784</v>
      </c>
      <c r="AB35" s="179" t="s">
        <v>1672</v>
      </c>
      <c r="AC35" s="101"/>
      <c r="AD35" s="95" t="s">
        <v>1420</v>
      </c>
      <c r="AE35" s="95" t="s">
        <v>1421</v>
      </c>
      <c r="AF35" s="95" t="s">
        <v>1422</v>
      </c>
      <c r="AG35" s="95" t="s">
        <v>1423</v>
      </c>
      <c r="AH35" s="95" t="s">
        <v>1424</v>
      </c>
      <c r="AI35" s="95" t="s">
        <v>1425</v>
      </c>
      <c r="AJ35" s="95" t="s">
        <v>1426</v>
      </c>
      <c r="AK35" s="95" t="s">
        <v>1427</v>
      </c>
      <c r="AL35" s="95" t="s">
        <v>1428</v>
      </c>
      <c r="AM35" s="95" t="s">
        <v>1429</v>
      </c>
      <c r="AN35" s="95" t="s">
        <v>1430</v>
      </c>
      <c r="AO35" s="95" t="s">
        <v>1431</v>
      </c>
      <c r="AP35" s="95" t="s">
        <v>1432</v>
      </c>
      <c r="AQ35" s="95" t="s">
        <v>1433</v>
      </c>
      <c r="AR35" s="95" t="s">
        <v>1434</v>
      </c>
      <c r="AS35" s="95" t="s">
        <v>1435</v>
      </c>
      <c r="AT35" s="95" t="s">
        <v>1436</v>
      </c>
      <c r="AU35" s="95" t="s">
        <v>1437</v>
      </c>
      <c r="AV35" s="95" t="s">
        <v>1438</v>
      </c>
      <c r="AW35" s="95" t="s">
        <v>1439</v>
      </c>
      <c r="AX35" s="95" t="s">
        <v>1440</v>
      </c>
      <c r="AY35" s="95" t="s">
        <v>1441</v>
      </c>
      <c r="AZ35" s="95" t="s">
        <v>1442</v>
      </c>
      <c r="BA35" s="95" t="s">
        <v>1443</v>
      </c>
    </row>
    <row r="36" spans="1:53" ht="13.5" customHeight="1" thickBot="1">
      <c r="A36" s="561" t="str">
        <f ca="1">INDIRECT("Squadre!A"&amp;(ROW()/2)+1)</f>
        <v>Tor</v>
      </c>
      <c r="B36" s="102" t="s">
        <v>1676</v>
      </c>
      <c r="C36" s="103" t="s">
        <v>322</v>
      </c>
      <c r="D36" s="104" t="s">
        <v>1922</v>
      </c>
      <c r="E36" s="104" t="s">
        <v>554</v>
      </c>
      <c r="F36" s="104" t="s">
        <v>345</v>
      </c>
      <c r="G36" s="105"/>
      <c r="H36" s="103" t="s">
        <v>595</v>
      </c>
      <c r="I36" s="104" t="s">
        <v>333</v>
      </c>
      <c r="J36" s="104" t="s">
        <v>532</v>
      </c>
      <c r="K36" s="105" t="s">
        <v>493</v>
      </c>
      <c r="L36" s="105" t="s">
        <v>1738</v>
      </c>
      <c r="M36" s="103" t="s">
        <v>310</v>
      </c>
      <c r="N36" s="104"/>
      <c r="O36" s="106"/>
      <c r="Q36" s="87" t="str">
        <f ca="1">'Mia rosa + Org. Finanza'!$B38</f>
        <v/>
      </c>
      <c r="R36" s="107" t="str">
        <f ca="1">'Mia rosa + Org. Finanza'!AG36</f>
        <v/>
      </c>
      <c r="S36" s="107" t="str">
        <f ca="1">'Mia rosa + Org. Finanza'!AH36</f>
        <v/>
      </c>
      <c r="T36" s="107" t="str">
        <f ca="1">'Mia rosa + Org. Finanza'!AI36</f>
        <v/>
      </c>
      <c r="U36" s="107" t="str">
        <f ca="1">'Mia rosa + Org. Finanza'!AJ36</f>
        <v/>
      </c>
      <c r="W36" s="179" t="str">
        <f t="shared" si="0"/>
        <v>Ben</v>
      </c>
      <c r="X36">
        <f t="shared" si="1"/>
        <v>1</v>
      </c>
      <c r="Y36" t="str">
        <f t="shared" si="2"/>
        <v>C1Ben</v>
      </c>
      <c r="Z36" s="193" t="s">
        <v>39</v>
      </c>
      <c r="AA36" s="193" t="s">
        <v>391</v>
      </c>
      <c r="AB36" s="179" t="s">
        <v>1672</v>
      </c>
      <c r="AC36" s="101" t="s">
        <v>782</v>
      </c>
      <c r="AD36" s="94" t="str">
        <f ca="1">VLOOKUP($AC36&amp;AD$50,$Y$2:$AA$534,3,FALSE)</f>
        <v>CORNELIUS</v>
      </c>
      <c r="AE36" s="94" t="str">
        <f t="shared" ref="AE36:AW41" ca="1" si="9">VLOOKUP($AC36&amp;AE$50,$Y$2:$AA$534,3,FALSE)</f>
        <v>ARMENTEROS</v>
      </c>
      <c r="AF36" s="94" t="str">
        <f t="shared" ca="1" si="9"/>
        <v>DESTRO</v>
      </c>
      <c r="AG36" s="94" t="str">
        <f t="shared" ca="1" si="9"/>
        <v>FARIAS</v>
      </c>
      <c r="AH36" s="94" t="str">
        <f t="shared" ca="1" si="9"/>
        <v>INGLESE</v>
      </c>
      <c r="AI36" s="94" t="str">
        <f t="shared" ca="1" si="9"/>
        <v>BUDIMIR</v>
      </c>
      <c r="AJ36" s="94" t="str">
        <f t="shared" ca="1" si="9"/>
        <v>BABACAR</v>
      </c>
      <c r="AK36" s="94" t="str">
        <f t="shared" ca="1" si="9"/>
        <v>GALABINOV</v>
      </c>
      <c r="AL36" s="94" t="str">
        <f t="shared" ca="1" si="9"/>
        <v>EDER</v>
      </c>
      <c r="AM36" s="94" t="str">
        <f t="shared" ca="1" si="9"/>
        <v>DYBALA</v>
      </c>
      <c r="AN36" s="94" t="str">
        <f t="shared" ca="1" si="9"/>
        <v>CAICEDO</v>
      </c>
      <c r="AO36" s="94" t="str">
        <f t="shared" ca="1" si="9"/>
        <v>ANDRE' SILVA</v>
      </c>
      <c r="AP36" s="94" t="str">
        <f t="shared" ca="1" si="9"/>
        <v>CALLEJON</v>
      </c>
      <c r="AQ36" s="94" t="str">
        <f t="shared" ca="1" si="9"/>
        <v>DEFREL</v>
      </c>
      <c r="AR36" s="94" t="str">
        <f t="shared" ca="1" si="9"/>
        <v>CAPRARI</v>
      </c>
      <c r="AS36" s="94" t="str">
        <f t="shared" ca="1" si="9"/>
        <v>BERARDI</v>
      </c>
      <c r="AT36" s="94" t="str">
        <f t="shared" ca="1" si="9"/>
        <v>ANTENUCCI</v>
      </c>
      <c r="AU36" s="94" t="str">
        <f t="shared" ca="1" si="9"/>
        <v>BELOTTI</v>
      </c>
      <c r="AV36" s="94" t="str">
        <f t="shared" ca="1" si="9"/>
        <v>BAJIC</v>
      </c>
      <c r="AW36" s="94" t="str">
        <f t="shared" ca="1" si="9"/>
        <v>CERCI</v>
      </c>
      <c r="AX36" s="94" t="s">
        <v>1371</v>
      </c>
      <c r="AY36" s="94" t="s">
        <v>1371</v>
      </c>
      <c r="AZ36" s="94" t="s">
        <v>1371</v>
      </c>
      <c r="BA36" s="94" t="s">
        <v>1371</v>
      </c>
    </row>
    <row r="37" spans="1:53" ht="13.5" customHeight="1" thickBot="1">
      <c r="A37" s="561"/>
      <c r="B37" s="96" t="s">
        <v>359</v>
      </c>
      <c r="C37" s="97" t="s">
        <v>453</v>
      </c>
      <c r="D37" s="98" t="s">
        <v>1988</v>
      </c>
      <c r="E37" s="98" t="s">
        <v>1709</v>
      </c>
      <c r="F37" s="98" t="s">
        <v>553</v>
      </c>
      <c r="G37" s="99" t="s">
        <v>1714</v>
      </c>
      <c r="H37" s="97" t="s">
        <v>299</v>
      </c>
      <c r="I37" s="98" t="s">
        <v>619</v>
      </c>
      <c r="J37" s="98" t="s">
        <v>1279</v>
      </c>
      <c r="K37" s="98"/>
      <c r="L37" s="99" t="s">
        <v>571</v>
      </c>
      <c r="M37" s="97" t="s">
        <v>462</v>
      </c>
      <c r="N37" s="98" t="s">
        <v>1292</v>
      </c>
      <c r="O37" s="100" t="s">
        <v>499</v>
      </c>
      <c r="Q37" s="87" t="str">
        <f ca="1">'Mia rosa + Org. Finanza'!$B39</f>
        <v/>
      </c>
      <c r="R37" s="107" t="str">
        <f ca="1">'Mia rosa + Org. Finanza'!AG37</f>
        <v/>
      </c>
      <c r="S37" s="107" t="str">
        <f ca="1">'Mia rosa + Org. Finanza'!AH37</f>
        <v/>
      </c>
      <c r="T37" s="107" t="str">
        <f ca="1">'Mia rosa + Org. Finanza'!AI37</f>
        <v/>
      </c>
      <c r="U37" s="107" t="str">
        <f ca="1">'Mia rosa + Org. Finanza'!AJ37</f>
        <v/>
      </c>
      <c r="W37" s="179" t="str">
        <f t="shared" si="0"/>
        <v>Ben</v>
      </c>
      <c r="X37">
        <f t="shared" si="1"/>
        <v>2</v>
      </c>
      <c r="Y37" t="str">
        <f t="shared" si="2"/>
        <v>C2Ben</v>
      </c>
      <c r="Z37" s="193" t="s">
        <v>39</v>
      </c>
      <c r="AA37" s="193" t="s">
        <v>1745</v>
      </c>
      <c r="AB37" s="179" t="s">
        <v>1672</v>
      </c>
      <c r="AC37" s="101" t="s">
        <v>783</v>
      </c>
      <c r="AD37" s="94" t="str">
        <f t="shared" ref="AD37:AS41" ca="1" si="10">VLOOKUP($AC37&amp;AD$50,$Y$2:$AA$534,3,FALSE)</f>
        <v>GOMEZ A</v>
      </c>
      <c r="AE37" s="94" t="str">
        <f t="shared" ca="1" si="10"/>
        <v>BRIGNOLA</v>
      </c>
      <c r="AF37" s="94" t="str">
        <f t="shared" ca="1" si="10"/>
        <v>OKWONKWO</v>
      </c>
      <c r="AG37" s="94" t="str">
        <f t="shared" ca="1" si="10"/>
        <v>GIANNETTI</v>
      </c>
      <c r="AH37" s="94" t="str">
        <f t="shared" ca="1" si="10"/>
        <v>MEGGIORINI</v>
      </c>
      <c r="AI37" s="94" t="str">
        <f t="shared" ca="1" si="10"/>
        <v>SIMY</v>
      </c>
      <c r="AJ37" s="94" t="str">
        <f t="shared" ca="1" si="10"/>
        <v>LO FASO</v>
      </c>
      <c r="AK37" s="94" t="str">
        <f t="shared" ca="1" si="10"/>
        <v>LAPADULA</v>
      </c>
      <c r="AL37" s="94" t="str">
        <f t="shared" ca="1" si="10"/>
        <v>ICARDI</v>
      </c>
      <c r="AM37" s="94" t="str">
        <f t="shared" ca="1" si="10"/>
        <v>HIGUAIN</v>
      </c>
      <c r="AN37" s="94" t="str">
        <f t="shared" ca="1" si="10"/>
        <v>DJORDJEVIC</v>
      </c>
      <c r="AO37" s="94" t="str">
        <f t="shared" ca="1" si="10"/>
        <v>BORINI</v>
      </c>
      <c r="AP37" s="94" t="str">
        <f t="shared" ca="1" si="10"/>
        <v>INSIGNE</v>
      </c>
      <c r="AQ37" s="94" t="str">
        <f t="shared" ca="1" si="10"/>
        <v>DZEKO</v>
      </c>
      <c r="AR37" s="94" t="str">
        <f t="shared" ca="1" si="10"/>
        <v>KOWNACKI</v>
      </c>
      <c r="AS37" s="94" t="str">
        <f t="shared" ca="1" si="10"/>
        <v>FALCINELLI</v>
      </c>
      <c r="AT37" s="94" t="str">
        <f t="shared" ca="1" si="9"/>
        <v>BONAZZOLI</v>
      </c>
      <c r="AU37" s="94" t="str">
        <f t="shared" ca="1" si="9"/>
        <v>BOYE'</v>
      </c>
      <c r="AV37" s="94" t="str">
        <f t="shared" ca="1" si="9"/>
        <v>EWANDRO</v>
      </c>
      <c r="AW37" s="94" t="str">
        <f t="shared" ca="1" si="9"/>
        <v>FARES</v>
      </c>
      <c r="AX37" s="94" t="s">
        <v>1371</v>
      </c>
      <c r="AY37" s="94" t="s">
        <v>1371</v>
      </c>
      <c r="AZ37" s="94" t="s">
        <v>1371</v>
      </c>
      <c r="BA37" s="94" t="s">
        <v>1371</v>
      </c>
    </row>
    <row r="38" spans="1:53" ht="13.5" customHeight="1" thickBot="1">
      <c r="A38" s="561" t="str">
        <f ca="1">INDIRECT("Squadre!A"&amp;(ROW()/2)+1)</f>
        <v>Udi</v>
      </c>
      <c r="B38" s="102" t="s">
        <v>420</v>
      </c>
      <c r="C38" s="103" t="s">
        <v>618</v>
      </c>
      <c r="D38" s="104" t="s">
        <v>1703</v>
      </c>
      <c r="E38" s="104" t="s">
        <v>449</v>
      </c>
      <c r="F38" s="104" t="s">
        <v>591</v>
      </c>
      <c r="G38" s="105"/>
      <c r="H38" s="103" t="s">
        <v>421</v>
      </c>
      <c r="I38" s="104" t="s">
        <v>482</v>
      </c>
      <c r="J38" s="104" t="s">
        <v>459</v>
      </c>
      <c r="K38" s="112" t="s">
        <v>504</v>
      </c>
      <c r="L38" s="105"/>
      <c r="M38" s="103" t="s">
        <v>445</v>
      </c>
      <c r="N38" s="104" t="s">
        <v>1779</v>
      </c>
      <c r="O38" s="106"/>
      <c r="Q38" s="87" t="str">
        <f ca="1">'Mia rosa + Org. Finanza'!$B40</f>
        <v/>
      </c>
      <c r="R38" s="107" t="str">
        <f ca="1">'Mia rosa + Org. Finanza'!AG38</f>
        <v/>
      </c>
      <c r="S38" s="107" t="str">
        <f ca="1">'Mia rosa + Org. Finanza'!AH38</f>
        <v/>
      </c>
      <c r="T38" s="107" t="str">
        <f ca="1">'Mia rosa + Org. Finanza'!AI38</f>
        <v/>
      </c>
      <c r="U38" s="107" t="str">
        <f ca="1">'Mia rosa + Org. Finanza'!AJ38</f>
        <v/>
      </c>
      <c r="W38" s="179" t="str">
        <f t="shared" si="0"/>
        <v>Ben</v>
      </c>
      <c r="X38">
        <f t="shared" si="1"/>
        <v>3</v>
      </c>
      <c r="Y38" t="str">
        <f t="shared" si="2"/>
        <v>C3Ben</v>
      </c>
      <c r="Z38" s="193" t="s">
        <v>39</v>
      </c>
      <c r="AA38" s="193" t="s">
        <v>1736</v>
      </c>
      <c r="AB38" s="179" t="s">
        <v>1672</v>
      </c>
      <c r="AC38" s="101" t="s">
        <v>784</v>
      </c>
      <c r="AD38" s="94" t="str">
        <f t="shared" ca="1" si="10"/>
        <v>ORSOLINI</v>
      </c>
      <c r="AE38" s="94" t="str">
        <f t="shared" ca="1" si="9"/>
        <v>CODA M</v>
      </c>
      <c r="AF38" s="94" t="str">
        <f t="shared" ca="1" si="9"/>
        <v>PALACIO</v>
      </c>
      <c r="AG38" s="94" t="str">
        <f t="shared" ca="1" si="9"/>
        <v>MELCHIORRI</v>
      </c>
      <c r="AH38" s="94" t="str">
        <f t="shared" ca="1" si="9"/>
        <v>PELLISSIER</v>
      </c>
      <c r="AI38" s="94" t="str">
        <f t="shared" ca="1" si="9"/>
        <v>TROTTA</v>
      </c>
      <c r="AJ38" s="94" t="str">
        <f t="shared" ca="1" si="9"/>
        <v>SIMEONE</v>
      </c>
      <c r="AK38" s="94" t="str">
        <f t="shared" ca="1" si="9"/>
        <v>PALLADINO</v>
      </c>
      <c r="AL38" s="94" t="str">
        <f t="shared" ca="1" si="9"/>
        <v>KARAMOH</v>
      </c>
      <c r="AM38" s="94" t="str">
        <f t="shared" ca="1" si="9"/>
        <v>MANDZUKIC</v>
      </c>
      <c r="AN38" s="94" t="str">
        <f t="shared" ca="1" si="9"/>
        <v>IMMOBILE</v>
      </c>
      <c r="AO38" s="94" t="str">
        <f t="shared" ca="1" si="9"/>
        <v>CUTRONE</v>
      </c>
      <c r="AP38" s="94" t="str">
        <f t="shared" ca="1" si="9"/>
        <v>MERTENS</v>
      </c>
      <c r="AQ38" s="94" t="str">
        <f t="shared" ca="1" si="9"/>
        <v>EL SHAARAWY</v>
      </c>
      <c r="AR38" s="94" t="str">
        <f t="shared" ca="1" si="9"/>
        <v>QUAGLIARELLA</v>
      </c>
      <c r="AS38" s="94" t="str">
        <f t="shared" ca="1" si="9"/>
        <v>MATRI</v>
      </c>
      <c r="AT38" s="94" t="str">
        <f t="shared" ca="1" si="9"/>
        <v>BORRIELLO</v>
      </c>
      <c r="AU38" s="94" t="str">
        <f t="shared" ca="1" si="9"/>
        <v>EDERA</v>
      </c>
      <c r="AV38" s="94" t="str">
        <f t="shared" ca="1" si="9"/>
        <v>LASAGNA</v>
      </c>
      <c r="AW38" s="94" t="str">
        <f t="shared" ca="1" si="9"/>
        <v>KEAN</v>
      </c>
      <c r="AX38" s="94" t="s">
        <v>1371</v>
      </c>
      <c r="AY38" s="94" t="s">
        <v>1371</v>
      </c>
      <c r="AZ38" s="94" t="s">
        <v>1371</v>
      </c>
      <c r="BA38" s="94" t="s">
        <v>1371</v>
      </c>
    </row>
    <row r="39" spans="1:53" ht="13.5" customHeight="1" thickBot="1">
      <c r="A39" s="561"/>
      <c r="B39" s="96" t="s">
        <v>314</v>
      </c>
      <c r="C39" s="97" t="s">
        <v>304</v>
      </c>
      <c r="D39" s="98" t="s">
        <v>321</v>
      </c>
      <c r="E39" s="98" t="s">
        <v>1703</v>
      </c>
      <c r="F39" s="98" t="s">
        <v>1719</v>
      </c>
      <c r="G39" s="99" t="s">
        <v>1957</v>
      </c>
      <c r="H39" s="97" t="s">
        <v>368</v>
      </c>
      <c r="I39" s="98" t="s">
        <v>1940</v>
      </c>
      <c r="J39" s="98" t="s">
        <v>318</v>
      </c>
      <c r="K39" s="98" t="s">
        <v>1763</v>
      </c>
      <c r="L39" s="99" t="s">
        <v>1742</v>
      </c>
      <c r="M39" s="97" t="s">
        <v>484</v>
      </c>
      <c r="N39" s="98" t="s">
        <v>1810</v>
      </c>
      <c r="O39" s="100"/>
      <c r="Q39" s="87" t="str">
        <f ca="1">'Mia rosa + Org. Finanza'!$B41</f>
        <v/>
      </c>
      <c r="R39" s="107" t="str">
        <f ca="1">'Mia rosa + Org. Finanza'!AG39</f>
        <v/>
      </c>
      <c r="S39" s="107" t="str">
        <f ca="1">'Mia rosa + Org. Finanza'!AH39</f>
        <v/>
      </c>
      <c r="T39" s="107" t="str">
        <f ca="1">'Mia rosa + Org. Finanza'!AI39</f>
        <v/>
      </c>
      <c r="U39" s="107" t="str">
        <f ca="1">'Mia rosa + Org. Finanza'!AJ39</f>
        <v/>
      </c>
      <c r="W39" s="179" t="str">
        <f t="shared" si="0"/>
        <v>Ben</v>
      </c>
      <c r="X39">
        <f t="shared" si="1"/>
        <v>4</v>
      </c>
      <c r="Y39" t="str">
        <f t="shared" si="2"/>
        <v>C4Ben</v>
      </c>
      <c r="Z39" s="193" t="s">
        <v>39</v>
      </c>
      <c r="AA39" s="193" t="s">
        <v>414</v>
      </c>
      <c r="AB39" s="179" t="s">
        <v>1672</v>
      </c>
      <c r="AC39" s="101" t="s">
        <v>785</v>
      </c>
      <c r="AD39" s="94" t="str">
        <f t="shared" ca="1" si="10"/>
        <v>PETAGNA</v>
      </c>
      <c r="AE39" s="94" t="str">
        <f t="shared" ca="1" si="9"/>
        <v>IEMMELLO</v>
      </c>
      <c r="AF39" s="94" t="str">
        <f t="shared" ca="1" si="9"/>
        <v>PETKOVIC</v>
      </c>
      <c r="AG39" s="94" t="str">
        <f t="shared" ca="1" si="9"/>
        <v>PAVOLETTI</v>
      </c>
      <c r="AH39" s="94" t="str">
        <f t="shared" ca="1" si="9"/>
        <v>PUCCIARELLI</v>
      </c>
      <c r="AI39" s="94" t="str">
        <f t="shared" ca="1" si="9"/>
        <v>TUMMINELLO</v>
      </c>
      <c r="AJ39" s="94" t="str">
        <f t="shared" ca="1" si="9"/>
        <v>THEREAU</v>
      </c>
      <c r="AK39" s="94" t="str">
        <f t="shared" ca="1" si="9"/>
        <v>PANDEV</v>
      </c>
      <c r="AL39" s="94" t="str">
        <f t="shared" ca="1" si="9"/>
        <v>PINAMONTI</v>
      </c>
      <c r="AM39" s="94" t="str">
        <f t="shared" ca="1" si="9"/>
        <v>PJACA</v>
      </c>
      <c r="AN39" s="94" t="str">
        <f t="shared" ca="1" si="9"/>
        <v>NANI</v>
      </c>
      <c r="AO39" s="94" t="str">
        <f t="shared" ca="1" si="9"/>
        <v>KALINIC</v>
      </c>
      <c r="AP39" s="94" t="str">
        <f t="shared" ca="1" si="9"/>
        <v>MILIK</v>
      </c>
      <c r="AQ39" s="94" t="str">
        <f t="shared" ca="1" si="9"/>
        <v>SCHICK</v>
      </c>
      <c r="AR39" s="94" t="str">
        <f t="shared" ca="1" si="9"/>
        <v>ZAPATA D</v>
      </c>
      <c r="AS39" s="94" t="str">
        <f t="shared" ca="1" si="9"/>
        <v>POLITANO</v>
      </c>
      <c r="AT39" s="94" t="str">
        <f t="shared" ca="1" si="9"/>
        <v>FLOCCARI</v>
      </c>
      <c r="AU39" s="94" t="str">
        <f t="shared" ca="1" si="9"/>
        <v>IAGO FALQUE</v>
      </c>
      <c r="AV39" s="94" t="str">
        <f t="shared" ca="1" si="9"/>
        <v>MALLE'</v>
      </c>
      <c r="AW39" s="94" t="str">
        <f t="shared" ca="1" si="9"/>
        <v>LEE</v>
      </c>
      <c r="AX39" s="94" t="s">
        <v>1371</v>
      </c>
      <c r="AY39" s="94" t="s">
        <v>1371</v>
      </c>
      <c r="AZ39" s="94" t="s">
        <v>1371</v>
      </c>
      <c r="BA39" s="94" t="s">
        <v>1371</v>
      </c>
    </row>
    <row r="40" spans="1:53" ht="13.5" customHeight="1" thickBot="1">
      <c r="A40" s="561" t="str">
        <f ca="1">INDIRECT("Squadre!A"&amp;(ROW()/2)+1)</f>
        <v>Ver</v>
      </c>
      <c r="B40" s="102" t="s">
        <v>1679</v>
      </c>
      <c r="C40" s="103" t="s">
        <v>1693</v>
      </c>
      <c r="D40" s="104" t="s">
        <v>1708</v>
      </c>
      <c r="E40" s="104" t="s">
        <v>510</v>
      </c>
      <c r="F40" s="104" t="s">
        <v>478</v>
      </c>
      <c r="G40" s="105" t="s">
        <v>1718</v>
      </c>
      <c r="H40" s="103" t="s">
        <v>1859</v>
      </c>
      <c r="I40" s="104" t="s">
        <v>1739</v>
      </c>
      <c r="J40" s="104"/>
      <c r="K40" s="112"/>
      <c r="L40" s="105"/>
      <c r="M40" s="103" t="s">
        <v>1785</v>
      </c>
      <c r="N40" s="104" t="s">
        <v>1780</v>
      </c>
      <c r="O40" s="106" t="s">
        <v>1793</v>
      </c>
      <c r="Q40" s="87" t="str">
        <f ca="1">'Mia rosa + Org. Finanza'!$B42</f>
        <v/>
      </c>
      <c r="R40" s="107" t="str">
        <f ca="1">'Mia rosa + Org. Finanza'!AG40</f>
        <v/>
      </c>
      <c r="S40" s="107" t="str">
        <f ca="1">'Mia rosa + Org. Finanza'!AH40</f>
        <v/>
      </c>
      <c r="T40" s="107" t="str">
        <f ca="1">'Mia rosa + Org. Finanza'!AI40</f>
        <v/>
      </c>
      <c r="U40" s="107" t="str">
        <f ca="1">'Mia rosa + Org. Finanza'!AJ40</f>
        <v/>
      </c>
      <c r="W40" s="179" t="str">
        <f t="shared" si="0"/>
        <v>Ben</v>
      </c>
      <c r="X40">
        <f t="shared" si="1"/>
        <v>5</v>
      </c>
      <c r="Y40" t="str">
        <f t="shared" si="2"/>
        <v>C5Ben</v>
      </c>
      <c r="Z40" s="193" t="s">
        <v>39</v>
      </c>
      <c r="AA40" s="193" t="s">
        <v>1770</v>
      </c>
      <c r="AB40" s="179" t="s">
        <v>1672</v>
      </c>
      <c r="AC40" s="101" t="s">
        <v>786</v>
      </c>
      <c r="AD40" s="94" t="str">
        <f t="shared" ca="1" si="10"/>
        <v>VIDO</v>
      </c>
      <c r="AE40" s="94" t="str">
        <f t="shared" ca="1" si="9"/>
        <v>LOMBARDI</v>
      </c>
      <c r="AF40" s="94" t="e">
        <f t="shared" ca="1" si="9"/>
        <v>#N/A</v>
      </c>
      <c r="AG40" s="94" t="str">
        <f t="shared" ca="1" si="9"/>
        <v>SAU</v>
      </c>
      <c r="AH40" s="94" t="str">
        <f t="shared" ca="1" si="9"/>
        <v>STEPINSKI</v>
      </c>
      <c r="AI40" s="94" t="e">
        <f t="shared" ca="1" si="9"/>
        <v>#N/A</v>
      </c>
      <c r="AJ40" s="94" t="str">
        <f t="shared" ca="1" si="9"/>
        <v>ZEKHNINI</v>
      </c>
      <c r="AK40" s="94" t="str">
        <f t="shared" ca="1" si="9"/>
        <v>PELLEGRI</v>
      </c>
      <c r="AL40" s="94" t="e">
        <f t="shared" ca="1" si="9"/>
        <v>#N/A</v>
      </c>
      <c r="AM40" s="94" t="e">
        <f t="shared" ca="1" si="9"/>
        <v>#N/A</v>
      </c>
      <c r="AN40" s="94" t="str">
        <f t="shared" ca="1" si="9"/>
        <v>PALOMBI</v>
      </c>
      <c r="AO40" s="94" t="e">
        <f t="shared" ca="1" si="9"/>
        <v>#N/A</v>
      </c>
      <c r="AP40" s="94" t="str">
        <f t="shared" ca="1" si="9"/>
        <v>OUNAS</v>
      </c>
      <c r="AQ40" s="94" t="e">
        <f t="shared" ca="1" si="9"/>
        <v>#N/A</v>
      </c>
      <c r="AR40" s="94" t="e">
        <f t="shared" ca="1" si="9"/>
        <v>#N/A</v>
      </c>
      <c r="AS40" s="94" t="str">
        <f t="shared" ca="1" si="9"/>
        <v>RAGUSA</v>
      </c>
      <c r="AT40" s="94" t="str">
        <f t="shared" ca="1" si="9"/>
        <v>PALOSCHI</v>
      </c>
      <c r="AU40" s="94" t="str">
        <f t="shared" ca="1" si="9"/>
        <v>LJAJIC</v>
      </c>
      <c r="AV40" s="94" t="str">
        <f t="shared" ca="1" si="9"/>
        <v>MATOS</v>
      </c>
      <c r="AW40" s="94" t="str">
        <f t="shared" ca="1" si="9"/>
        <v>PAZZINI</v>
      </c>
      <c r="AX40" s="94" t="s">
        <v>1371</v>
      </c>
      <c r="AY40" s="94" t="s">
        <v>1371</v>
      </c>
      <c r="AZ40" s="94" t="s">
        <v>1371</v>
      </c>
      <c r="BA40" s="94" t="s">
        <v>1371</v>
      </c>
    </row>
    <row r="41" spans="1:53" ht="13.5" customHeight="1" thickBot="1">
      <c r="A41" s="561"/>
      <c r="B41" s="96" t="s">
        <v>1690</v>
      </c>
      <c r="C41" s="97" t="s">
        <v>1720</v>
      </c>
      <c r="D41" s="98" t="s">
        <v>1863</v>
      </c>
      <c r="E41" s="98" t="s">
        <v>1730</v>
      </c>
      <c r="F41" s="98" t="s">
        <v>413</v>
      </c>
      <c r="G41" s="99"/>
      <c r="H41" s="97" t="s">
        <v>1760</v>
      </c>
      <c r="I41" s="98" t="s">
        <v>377</v>
      </c>
      <c r="J41" s="98" t="s">
        <v>1757</v>
      </c>
      <c r="K41" s="98"/>
      <c r="L41" s="99"/>
      <c r="M41" s="97" t="s">
        <v>1986</v>
      </c>
      <c r="N41" s="98" t="s">
        <v>1791</v>
      </c>
      <c r="O41" s="100" t="s">
        <v>1809</v>
      </c>
      <c r="Q41" s="87" t="str">
        <f ca="1">'Mia rosa + Org. Finanza'!$B43</f>
        <v/>
      </c>
      <c r="R41" s="107">
        <f>'Mia rosa + Org. Finanza'!AG41</f>
        <v>0</v>
      </c>
      <c r="S41" s="107" t="str">
        <f ca="1">'Mia rosa + Org. Finanza'!AH41</f>
        <v/>
      </c>
      <c r="T41" s="107" t="str">
        <f ca="1">'Mia rosa + Org. Finanza'!AI41</f>
        <v/>
      </c>
      <c r="U41" s="107" t="str">
        <f ca="1">'Mia rosa + Org. Finanza'!AJ41</f>
        <v/>
      </c>
      <c r="W41" s="179" t="str">
        <f t="shared" si="0"/>
        <v>Ben</v>
      </c>
      <c r="X41">
        <f t="shared" si="1"/>
        <v>6</v>
      </c>
      <c r="Y41" t="str">
        <f t="shared" si="2"/>
        <v>C6Ben</v>
      </c>
      <c r="Z41" s="193" t="s">
        <v>39</v>
      </c>
      <c r="AA41" s="193" t="s">
        <v>1761</v>
      </c>
      <c r="AB41" s="179" t="s">
        <v>1672</v>
      </c>
      <c r="AC41" s="101" t="s">
        <v>787</v>
      </c>
      <c r="AD41" s="94" t="e">
        <f t="shared" ca="1" si="10"/>
        <v>#N/A</v>
      </c>
      <c r="AE41" s="94" t="str">
        <f t="shared" ca="1" si="9"/>
        <v>PARIGINI</v>
      </c>
      <c r="AF41" s="94" t="e">
        <f t="shared" ca="1" si="9"/>
        <v>#N/A</v>
      </c>
      <c r="AG41" s="94" t="e">
        <f t="shared" ca="1" si="9"/>
        <v>#N/A</v>
      </c>
      <c r="AH41" s="94" t="e">
        <f t="shared" ca="1" si="9"/>
        <v>#N/A</v>
      </c>
      <c r="AI41" s="94" t="e">
        <f t="shared" ca="1" si="9"/>
        <v>#N/A</v>
      </c>
      <c r="AJ41" s="94" t="e">
        <f t="shared" ca="1" si="9"/>
        <v>#N/A</v>
      </c>
      <c r="AK41" s="94" t="str">
        <f t="shared" ca="1" si="9"/>
        <v>RICCI</v>
      </c>
      <c r="AL41" s="94" t="e">
        <f t="shared" ca="1" si="9"/>
        <v>#N/A</v>
      </c>
      <c r="AM41" s="94" t="e">
        <f t="shared" ca="1" si="9"/>
        <v>#N/A</v>
      </c>
      <c r="AN41" s="94" t="e">
        <f t="shared" ca="1" si="9"/>
        <v>#N/A</v>
      </c>
      <c r="AO41" s="94" t="e">
        <f t="shared" ca="1" si="9"/>
        <v>#N/A</v>
      </c>
      <c r="AP41" s="94" t="e">
        <f t="shared" ca="1" si="9"/>
        <v>#N/A</v>
      </c>
      <c r="AQ41" s="94" t="e">
        <f t="shared" ca="1" si="9"/>
        <v>#N/A</v>
      </c>
      <c r="AR41" s="94" t="e">
        <f t="shared" ca="1" si="9"/>
        <v>#N/A</v>
      </c>
      <c r="AS41" s="94" t="e">
        <f t="shared" ca="1" si="9"/>
        <v>#N/A</v>
      </c>
      <c r="AT41" s="94" t="e">
        <f t="shared" ca="1" si="9"/>
        <v>#N/A</v>
      </c>
      <c r="AU41" s="94" t="str">
        <f t="shared" ca="1" si="9"/>
        <v>NIANG</v>
      </c>
      <c r="AV41" s="94" t="str">
        <f t="shared" ca="1" si="9"/>
        <v>MAXI LOPEZ</v>
      </c>
      <c r="AW41" s="94" t="str">
        <f t="shared" ca="1" si="9"/>
        <v>VERDE</v>
      </c>
      <c r="AX41" s="94" t="s">
        <v>1371</v>
      </c>
      <c r="AY41" s="94" t="s">
        <v>1371</v>
      </c>
      <c r="AZ41" s="94" t="s">
        <v>1371</v>
      </c>
      <c r="BA41" s="94" t="s">
        <v>1371</v>
      </c>
    </row>
    <row r="42" spans="1:53" ht="13.5" hidden="1" customHeight="1">
      <c r="A42" s="561">
        <f ca="1">INDIRECT("Squadre!A"&amp;(ROW()/2)+1)</f>
        <v>0</v>
      </c>
      <c r="B42" s="113"/>
      <c r="C42" s="114"/>
      <c r="D42" s="115"/>
      <c r="E42" s="115"/>
      <c r="F42" s="115"/>
      <c r="G42" s="116"/>
      <c r="H42" s="114"/>
      <c r="I42" s="115"/>
      <c r="J42" s="115"/>
      <c r="K42" s="117"/>
      <c r="L42" s="116"/>
      <c r="M42" s="114"/>
      <c r="N42" s="115"/>
      <c r="O42" s="118"/>
      <c r="R42" s="107">
        <f>'Mia rosa + Org. Finanza'!AG42</f>
        <v>0</v>
      </c>
      <c r="S42" s="107" t="str">
        <f ca="1">'Mia rosa + Org. Finanza'!AH42</f>
        <v/>
      </c>
      <c r="T42" s="107" t="str">
        <f ca="1">'Mia rosa + Org. Finanza'!AI42</f>
        <v/>
      </c>
      <c r="U42" s="107" t="str">
        <f ca="1">'Mia rosa + Org. Finanza'!AJ42</f>
        <v/>
      </c>
      <c r="V42" s="21"/>
      <c r="W42" s="179" t="str">
        <f t="shared" si="0"/>
        <v>Ben</v>
      </c>
      <c r="X42">
        <f t="shared" si="1"/>
        <v>7</v>
      </c>
      <c r="Y42" t="str">
        <f t="shared" si="2"/>
        <v>C7Ben</v>
      </c>
      <c r="Z42" s="193" t="s">
        <v>39</v>
      </c>
      <c r="AA42" s="193" t="s">
        <v>1964</v>
      </c>
      <c r="AB42" s="179" t="s">
        <v>1672</v>
      </c>
      <c r="AC42" s="94"/>
      <c r="AD42" s="95"/>
      <c r="AE42" s="111"/>
      <c r="AF42" s="111"/>
      <c r="AG42" s="111"/>
      <c r="AH42" s="111"/>
      <c r="AI42" s="111"/>
      <c r="AJ42" s="111"/>
      <c r="AK42" s="111"/>
      <c r="AL42" s="111"/>
      <c r="AM42" s="111"/>
      <c r="AN42" s="111"/>
      <c r="AO42" s="111"/>
      <c r="AP42" s="111"/>
      <c r="AQ42" s="111"/>
      <c r="AR42" s="21"/>
      <c r="AS42" s="21"/>
      <c r="AT42" s="21"/>
      <c r="AU42" s="21"/>
      <c r="AV42" s="21"/>
      <c r="AW42" s="21"/>
      <c r="AX42" s="21"/>
      <c r="AY42" s="21"/>
      <c r="AZ42" s="21"/>
      <c r="BA42" s="21"/>
    </row>
    <row r="43" spans="1:53" ht="13.5" hidden="1" customHeight="1">
      <c r="A43" s="561"/>
      <c r="B43" s="119"/>
      <c r="C43" s="120"/>
      <c r="D43" s="121"/>
      <c r="E43" s="121"/>
      <c r="F43" s="121"/>
      <c r="G43" s="122"/>
      <c r="H43" s="120"/>
      <c r="I43" s="121"/>
      <c r="J43" s="121"/>
      <c r="K43" s="121"/>
      <c r="L43" s="122"/>
      <c r="M43" s="120"/>
      <c r="N43" s="121"/>
      <c r="O43" s="123"/>
      <c r="R43" s="107">
        <f>'Mia rosa + Org. Finanza'!AG43</f>
        <v>0</v>
      </c>
      <c r="S43" s="107" t="str">
        <f ca="1">'Mia rosa + Org. Finanza'!AH43</f>
        <v/>
      </c>
      <c r="T43" s="107" t="str">
        <f ca="1">'Mia rosa + Org. Finanza'!AI43</f>
        <v/>
      </c>
      <c r="U43" s="107" t="str">
        <f ca="1">'Mia rosa + Org. Finanza'!AJ43</f>
        <v/>
      </c>
      <c r="V43" s="21"/>
      <c r="W43" s="179" t="str">
        <f t="shared" si="0"/>
        <v>Ben</v>
      </c>
      <c r="X43">
        <f t="shared" si="1"/>
        <v>8</v>
      </c>
      <c r="Y43" t="str">
        <f t="shared" si="2"/>
        <v>C8Ben</v>
      </c>
      <c r="Z43" s="193" t="s">
        <v>39</v>
      </c>
      <c r="AA43" s="193" t="s">
        <v>1743</v>
      </c>
      <c r="AB43" s="179" t="s">
        <v>1672</v>
      </c>
      <c r="AC43" s="94"/>
      <c r="AD43"/>
      <c r="AE43" s="111"/>
      <c r="AF43" s="111"/>
      <c r="AG43" s="111"/>
      <c r="AH43" s="111"/>
      <c r="AI43" s="111"/>
      <c r="AJ43" s="111"/>
      <c r="AK43" s="111"/>
      <c r="AL43" s="111"/>
      <c r="AM43" s="111"/>
      <c r="AN43" s="111"/>
      <c r="AO43" s="111"/>
      <c r="AP43" s="111"/>
      <c r="AQ43" s="111"/>
      <c r="AR43" s="21"/>
      <c r="AS43" s="21"/>
      <c r="AT43" s="21"/>
      <c r="AU43" s="21"/>
      <c r="AV43" s="21"/>
      <c r="AW43" s="21"/>
      <c r="AX43" s="21"/>
      <c r="AY43" s="21"/>
      <c r="AZ43" s="21"/>
      <c r="BA43" s="21"/>
    </row>
    <row r="44" spans="1:53" ht="13.5" hidden="1" customHeight="1">
      <c r="A44" s="561">
        <f ca="1">INDIRECT("Squadre!A"&amp;(ROW()/2)+1)</f>
        <v>0</v>
      </c>
      <c r="B44" s="113"/>
      <c r="C44" s="114"/>
      <c r="D44" s="115"/>
      <c r="E44" s="115"/>
      <c r="F44" s="115"/>
      <c r="G44" s="116"/>
      <c r="H44" s="114"/>
      <c r="I44" s="115"/>
      <c r="J44" s="115"/>
      <c r="K44" s="117"/>
      <c r="L44" s="116"/>
      <c r="M44" s="114"/>
      <c r="N44" s="115"/>
      <c r="O44" s="118"/>
      <c r="R44" s="107">
        <f>'Mia rosa + Org. Finanza'!AG44</f>
        <v>0</v>
      </c>
      <c r="S44" s="107" t="str">
        <f ca="1">'Mia rosa + Org. Finanza'!AH44</f>
        <v/>
      </c>
      <c r="T44" s="107" t="str">
        <f ca="1">'Mia rosa + Org. Finanza'!AI44</f>
        <v/>
      </c>
      <c r="U44" s="107" t="str">
        <f ca="1">'Mia rosa + Org. Finanza'!AJ44</f>
        <v/>
      </c>
      <c r="V44" s="21"/>
      <c r="W44" s="179" t="str">
        <f t="shared" si="0"/>
        <v>Ben</v>
      </c>
      <c r="X44">
        <f t="shared" si="1"/>
        <v>1</v>
      </c>
      <c r="Y44" t="str">
        <f t="shared" si="2"/>
        <v>D1Ben</v>
      </c>
      <c r="Z44" s="193" t="s">
        <v>37</v>
      </c>
      <c r="AA44" s="193" t="s">
        <v>326</v>
      </c>
      <c r="AB44" s="179" t="s">
        <v>1672</v>
      </c>
      <c r="AC44" s="94"/>
      <c r="AD44" s="95"/>
      <c r="AE44" s="111"/>
      <c r="AF44" s="111"/>
      <c r="AG44" s="111"/>
      <c r="AH44" s="111"/>
      <c r="AI44" s="111"/>
      <c r="AJ44" s="111"/>
      <c r="AK44" s="111"/>
      <c r="AL44" s="111"/>
      <c r="AM44" s="111"/>
      <c r="AN44" s="111"/>
      <c r="AO44" s="111"/>
      <c r="AP44" s="111"/>
      <c r="AQ44" s="111"/>
      <c r="AR44" s="21"/>
      <c r="AS44" s="21"/>
      <c r="AT44" s="21"/>
      <c r="AU44" s="21"/>
      <c r="AV44" s="21"/>
      <c r="AW44" s="21"/>
      <c r="AX44" s="21"/>
      <c r="AY44" s="21"/>
      <c r="AZ44" s="21"/>
      <c r="BA44" s="21"/>
    </row>
    <row r="45" spans="1:53" ht="13.5" hidden="1" customHeight="1">
      <c r="A45" s="561"/>
      <c r="B45" s="119"/>
      <c r="C45" s="120"/>
      <c r="D45" s="121"/>
      <c r="E45" s="121"/>
      <c r="F45" s="121"/>
      <c r="G45" s="122"/>
      <c r="H45" s="120"/>
      <c r="I45" s="121"/>
      <c r="J45" s="121"/>
      <c r="K45" s="121"/>
      <c r="L45" s="122"/>
      <c r="M45" s="120"/>
      <c r="N45" s="121"/>
      <c r="O45" s="123"/>
      <c r="R45" s="107">
        <f>'Mia rosa + Org. Finanza'!AG45</f>
        <v>0</v>
      </c>
      <c r="S45" s="107" t="str">
        <f ca="1">'Mia rosa + Org. Finanza'!AH45</f>
        <v/>
      </c>
      <c r="T45" s="107" t="str">
        <f ca="1">'Mia rosa + Org. Finanza'!AI45</f>
        <v/>
      </c>
      <c r="U45" s="107" t="str">
        <f ca="1">'Mia rosa + Org. Finanza'!AJ45</f>
        <v/>
      </c>
      <c r="V45" s="21"/>
      <c r="W45" s="179" t="str">
        <f t="shared" si="0"/>
        <v>Ben</v>
      </c>
      <c r="X45">
        <f t="shared" si="1"/>
        <v>2</v>
      </c>
      <c r="Y45" t="str">
        <f t="shared" si="2"/>
        <v>D2Ben</v>
      </c>
      <c r="Z45" s="193" t="s">
        <v>37</v>
      </c>
      <c r="AA45" s="193" t="s">
        <v>1282</v>
      </c>
      <c r="AB45" s="179" t="s">
        <v>1672</v>
      </c>
      <c r="AC45" s="94"/>
      <c r="AD45"/>
      <c r="AE45" s="111"/>
      <c r="AF45" s="111"/>
      <c r="AG45" s="111"/>
      <c r="AH45" s="111"/>
      <c r="AI45" s="111"/>
      <c r="AJ45" s="111"/>
      <c r="AK45" s="111"/>
      <c r="AL45" s="111"/>
      <c r="AM45" s="111"/>
      <c r="AN45" s="111"/>
      <c r="AO45" s="111"/>
      <c r="AP45" s="111"/>
      <c r="AQ45" s="111"/>
      <c r="AR45" s="21"/>
      <c r="AS45" s="21"/>
      <c r="AT45" s="21"/>
      <c r="AU45" s="21"/>
      <c r="AV45" s="21"/>
      <c r="AW45" s="21"/>
      <c r="AX45" s="21"/>
      <c r="AY45" s="21"/>
      <c r="AZ45" s="21"/>
      <c r="BA45" s="21"/>
    </row>
    <row r="46" spans="1:53" ht="13.5" hidden="1" customHeight="1">
      <c r="A46" s="561">
        <f ca="1">INDIRECT("Squadre!A"&amp;(ROW()/2)+1)</f>
        <v>0</v>
      </c>
      <c r="B46" s="113"/>
      <c r="C46" s="114"/>
      <c r="D46" s="115"/>
      <c r="E46" s="115"/>
      <c r="F46" s="115"/>
      <c r="G46" s="116"/>
      <c r="H46" s="114"/>
      <c r="I46" s="115"/>
      <c r="J46" s="115"/>
      <c r="K46" s="117"/>
      <c r="L46" s="116"/>
      <c r="M46" s="114"/>
      <c r="N46" s="115"/>
      <c r="O46" s="118"/>
      <c r="R46" s="107">
        <f>'Mia rosa + Org. Finanza'!AG46</f>
        <v>0</v>
      </c>
      <c r="S46" s="107" t="str">
        <f ca="1">'Mia rosa + Org. Finanza'!AH46</f>
        <v/>
      </c>
      <c r="T46" s="107" t="str">
        <f ca="1">'Mia rosa + Org. Finanza'!AI46</f>
        <v/>
      </c>
      <c r="U46" s="107" t="str">
        <f ca="1">'Mia rosa + Org. Finanza'!AJ46</f>
        <v/>
      </c>
      <c r="V46" s="21"/>
      <c r="W46" s="179" t="str">
        <f t="shared" si="0"/>
        <v>Ben</v>
      </c>
      <c r="X46">
        <f t="shared" si="1"/>
        <v>3</v>
      </c>
      <c r="Y46" t="str">
        <f t="shared" si="2"/>
        <v>D3Ben</v>
      </c>
      <c r="Z46" s="193" t="s">
        <v>37</v>
      </c>
      <c r="AA46" s="193" t="s">
        <v>1699</v>
      </c>
      <c r="AB46" s="179" t="s">
        <v>1672</v>
      </c>
      <c r="AC46" s="94"/>
      <c r="AD46" s="95"/>
      <c r="AE46" s="111"/>
      <c r="AF46" s="111"/>
      <c r="AG46" s="111"/>
      <c r="AH46" s="111"/>
      <c r="AI46" s="111"/>
      <c r="AJ46" s="111"/>
      <c r="AK46" s="111"/>
      <c r="AL46" s="111"/>
      <c r="AM46" s="111"/>
      <c r="AN46" s="111"/>
      <c r="AO46" s="111"/>
      <c r="AP46" s="111"/>
      <c r="AQ46" s="111"/>
      <c r="AR46" s="21"/>
      <c r="AS46" s="21"/>
      <c r="AT46" s="21"/>
      <c r="AU46" s="21"/>
      <c r="AV46" s="21"/>
      <c r="AW46" s="21"/>
      <c r="AX46" s="21"/>
      <c r="AY46" s="21"/>
      <c r="AZ46" s="21"/>
      <c r="BA46" s="21"/>
    </row>
    <row r="47" spans="1:53" ht="13.5" hidden="1" customHeight="1">
      <c r="A47" s="561"/>
      <c r="B47" s="119"/>
      <c r="C47" s="120"/>
      <c r="D47" s="121"/>
      <c r="E47" s="121"/>
      <c r="F47" s="121"/>
      <c r="G47" s="122"/>
      <c r="H47" s="120"/>
      <c r="I47" s="121"/>
      <c r="J47" s="121"/>
      <c r="K47" s="121"/>
      <c r="L47" s="122"/>
      <c r="M47" s="120"/>
      <c r="N47" s="121"/>
      <c r="O47" s="123"/>
      <c r="R47" s="107">
        <f>'Mia rosa + Org. Finanza'!AG47</f>
        <v>0</v>
      </c>
      <c r="S47" s="107" t="str">
        <f ca="1">'Mia rosa + Org. Finanza'!AH47</f>
        <v/>
      </c>
      <c r="T47" s="107" t="str">
        <f ca="1">'Mia rosa + Org. Finanza'!AI47</f>
        <v/>
      </c>
      <c r="U47" s="107" t="str">
        <f ca="1">'Mia rosa + Org. Finanza'!AJ47</f>
        <v/>
      </c>
      <c r="V47" s="21"/>
      <c r="W47" s="179" t="str">
        <f t="shared" si="0"/>
        <v>Ben</v>
      </c>
      <c r="X47">
        <f t="shared" si="1"/>
        <v>4</v>
      </c>
      <c r="Y47" t="str">
        <f t="shared" si="2"/>
        <v>D4Ben</v>
      </c>
      <c r="Z47" s="193" t="s">
        <v>37</v>
      </c>
      <c r="AA47" s="193" t="s">
        <v>460</v>
      </c>
      <c r="AB47" s="179" t="s">
        <v>1672</v>
      </c>
      <c r="AC47" s="94"/>
      <c r="AD47" s="95"/>
      <c r="AE47" s="111"/>
      <c r="AF47" s="111"/>
      <c r="AG47" s="111"/>
      <c r="AH47" s="111"/>
      <c r="AI47" s="111"/>
      <c r="AJ47" s="111"/>
      <c r="AK47" s="111"/>
      <c r="AL47" s="111"/>
      <c r="AM47" s="111"/>
      <c r="AN47" s="111"/>
      <c r="AO47" s="111"/>
      <c r="AP47" s="111"/>
      <c r="AQ47" s="111"/>
      <c r="AR47" s="21"/>
      <c r="AS47" s="21"/>
      <c r="AT47" s="21"/>
      <c r="AU47" s="21"/>
      <c r="AV47" s="21"/>
      <c r="AW47" s="21"/>
      <c r="AX47" s="21"/>
      <c r="AY47" s="21"/>
      <c r="AZ47" s="21"/>
      <c r="BA47" s="21"/>
    </row>
    <row r="48" spans="1:53" ht="13.5" hidden="1" customHeight="1">
      <c r="A48" s="561">
        <f ca="1">INDIRECT("Squadre!A"&amp;(ROW()/2)+1)</f>
        <v>0</v>
      </c>
      <c r="B48" s="113"/>
      <c r="C48" s="114"/>
      <c r="D48" s="115"/>
      <c r="E48" s="115"/>
      <c r="F48" s="115"/>
      <c r="G48" s="116"/>
      <c r="H48" s="114"/>
      <c r="I48" s="115"/>
      <c r="J48" s="115"/>
      <c r="K48" s="117"/>
      <c r="L48" s="116"/>
      <c r="M48" s="114"/>
      <c r="N48" s="115"/>
      <c r="O48" s="118"/>
      <c r="Q48" s="21"/>
      <c r="R48" s="107">
        <f>'Mia rosa + Org. Finanza'!AG48</f>
        <v>0</v>
      </c>
      <c r="S48" s="107" t="str">
        <f ca="1">'Mia rosa + Org. Finanza'!AH48</f>
        <v/>
      </c>
      <c r="T48" s="107" t="str">
        <f ca="1">'Mia rosa + Org. Finanza'!AI48</f>
        <v/>
      </c>
      <c r="U48" s="107" t="str">
        <f ca="1">'Mia rosa + Org. Finanza'!AJ48</f>
        <v/>
      </c>
      <c r="V48" s="21"/>
      <c r="W48" s="179" t="str">
        <f t="shared" si="0"/>
        <v>Ben</v>
      </c>
      <c r="X48">
        <f t="shared" si="1"/>
        <v>5</v>
      </c>
      <c r="Y48" t="str">
        <f t="shared" si="2"/>
        <v>D5Ben</v>
      </c>
      <c r="Z48" s="193" t="s">
        <v>37</v>
      </c>
      <c r="AA48" s="193" t="s">
        <v>1716</v>
      </c>
      <c r="AB48" s="179" t="s">
        <v>1672</v>
      </c>
      <c r="AC48" s="94"/>
      <c r="AD48" s="95"/>
      <c r="AE48" s="111"/>
      <c r="AF48" s="111"/>
      <c r="AG48" s="111"/>
      <c r="AH48" s="111"/>
      <c r="AI48" s="111"/>
      <c r="AJ48" s="111"/>
      <c r="AK48" s="111"/>
      <c r="AL48" s="111"/>
      <c r="AM48" s="111"/>
      <c r="AN48" s="111"/>
      <c r="AO48" s="111"/>
      <c r="AP48" s="111"/>
      <c r="AQ48" s="111"/>
      <c r="AR48" s="21"/>
      <c r="AS48" s="21"/>
      <c r="AT48" s="21"/>
      <c r="AU48" s="21"/>
      <c r="AV48" s="21"/>
      <c r="AW48" s="21"/>
      <c r="AX48" s="21"/>
      <c r="AY48" s="21"/>
      <c r="AZ48" s="21"/>
      <c r="BA48" s="21"/>
    </row>
    <row r="49" spans="1:53" ht="13.5" hidden="1" customHeight="1">
      <c r="A49" s="561"/>
      <c r="B49" s="119"/>
      <c r="C49" s="120"/>
      <c r="D49" s="121"/>
      <c r="E49" s="121"/>
      <c r="F49" s="121"/>
      <c r="G49" s="122"/>
      <c r="H49" s="120"/>
      <c r="I49" s="121"/>
      <c r="J49" s="121"/>
      <c r="K49" s="121"/>
      <c r="L49" s="122"/>
      <c r="M49" s="120"/>
      <c r="N49" s="121"/>
      <c r="O49" s="123"/>
      <c r="Q49" s="21"/>
      <c r="R49" s="107">
        <f>'Mia rosa + Org. Finanza'!AG49</f>
        <v>0</v>
      </c>
      <c r="S49" s="107" t="str">
        <f ca="1">'Mia rosa + Org. Finanza'!AH49</f>
        <v/>
      </c>
      <c r="T49" s="107" t="str">
        <f ca="1">'Mia rosa + Org. Finanza'!AI49</f>
        <v/>
      </c>
      <c r="U49" s="107" t="str">
        <f ca="1">'Mia rosa + Org. Finanza'!AJ49</f>
        <v/>
      </c>
      <c r="V49" s="21"/>
      <c r="W49" s="179" t="str">
        <f t="shared" si="0"/>
        <v>Ben</v>
      </c>
      <c r="X49">
        <f t="shared" si="1"/>
        <v>6</v>
      </c>
      <c r="Y49" t="str">
        <f t="shared" si="2"/>
        <v>D6Ben</v>
      </c>
      <c r="Z49" s="193" t="s">
        <v>37</v>
      </c>
      <c r="AA49" s="193" t="s">
        <v>1711</v>
      </c>
      <c r="AB49" s="179" t="s">
        <v>1672</v>
      </c>
      <c r="AC49" s="94"/>
      <c r="AD49" s="95"/>
      <c r="AE49" s="111"/>
      <c r="AF49" s="111"/>
      <c r="AG49" s="111"/>
      <c r="AH49" s="111"/>
      <c r="AI49" s="111"/>
      <c r="AJ49" s="111"/>
      <c r="AK49" s="111"/>
      <c r="AL49" s="111"/>
      <c r="AM49" s="111"/>
      <c r="AN49" s="111"/>
      <c r="AO49" s="111"/>
      <c r="AP49" s="111"/>
      <c r="AQ49" s="111"/>
      <c r="AR49" s="21"/>
      <c r="AS49" s="21"/>
      <c r="AT49" s="21"/>
      <c r="AU49" s="21"/>
      <c r="AV49" s="21"/>
      <c r="AW49" s="21"/>
      <c r="AX49" s="21"/>
      <c r="AY49" s="21"/>
      <c r="AZ49" s="21"/>
      <c r="BA49" s="21"/>
    </row>
    <row r="50" spans="1:53" ht="15">
      <c r="A50" s="124"/>
      <c r="B50" s="21"/>
      <c r="C50" s="21"/>
      <c r="D50" s="21"/>
      <c r="E50" s="21"/>
      <c r="F50" s="21"/>
      <c r="G50" s="21"/>
      <c r="H50" s="21"/>
      <c r="I50" s="21"/>
      <c r="J50" s="21"/>
      <c r="K50" s="21"/>
      <c r="L50" s="21"/>
      <c r="M50" s="21"/>
      <c r="N50" s="21"/>
      <c r="O50" s="21"/>
      <c r="Q50" s="21"/>
      <c r="R50" s="107">
        <f>'Mia rosa + Org. Finanza'!AG50</f>
        <v>0</v>
      </c>
      <c r="S50" s="107" t="str">
        <f ca="1">'Mia rosa + Org. Finanza'!AH50</f>
        <v/>
      </c>
      <c r="T50" s="107" t="str">
        <f ca="1">'Mia rosa + Org. Finanza'!AI50</f>
        <v/>
      </c>
      <c r="U50" s="107" t="str">
        <f ca="1">'Mia rosa + Org. Finanza'!AJ50</f>
        <v/>
      </c>
      <c r="V50" s="21"/>
      <c r="W50" s="179" t="str">
        <f t="shared" si="0"/>
        <v>Ben</v>
      </c>
      <c r="X50">
        <f t="shared" si="1"/>
        <v>7</v>
      </c>
      <c r="Y50" t="str">
        <f t="shared" si="2"/>
        <v>D7Ben</v>
      </c>
      <c r="Z50" s="193" t="s">
        <v>37</v>
      </c>
      <c r="AA50" s="193" t="s">
        <v>1984</v>
      </c>
      <c r="AB50" s="179" t="s">
        <v>1672</v>
      </c>
      <c r="AC50" s="94"/>
      <c r="AD50" s="95" t="str">
        <f ca="1">INDIRECT("A" &amp; AD1 * 2)</f>
        <v>Ata</v>
      </c>
      <c r="AE50" s="95" t="str">
        <f t="shared" ref="AE50:AW50" ca="1" si="11">INDIRECT("A" &amp; AE1 * 2)</f>
        <v>Ben</v>
      </c>
      <c r="AF50" s="95" t="str">
        <f t="shared" ca="1" si="11"/>
        <v>Bol</v>
      </c>
      <c r="AG50" s="95" t="str">
        <f t="shared" ca="1" si="11"/>
        <v>Cag</v>
      </c>
      <c r="AH50" s="95" t="str">
        <f t="shared" ca="1" si="11"/>
        <v>Chi</v>
      </c>
      <c r="AI50" s="95" t="str">
        <f t="shared" ca="1" si="11"/>
        <v>Cro</v>
      </c>
      <c r="AJ50" s="95" t="str">
        <f t="shared" ca="1" si="11"/>
        <v>Fio</v>
      </c>
      <c r="AK50" s="95" t="str">
        <f t="shared" ca="1" si="11"/>
        <v>Gen</v>
      </c>
      <c r="AL50" s="95" t="str">
        <f t="shared" ca="1" si="11"/>
        <v>Int</v>
      </c>
      <c r="AM50" s="95" t="str">
        <f t="shared" ca="1" si="11"/>
        <v>Juv</v>
      </c>
      <c r="AN50" s="95" t="str">
        <f t="shared" ca="1" si="11"/>
        <v>Laz</v>
      </c>
      <c r="AO50" s="95" t="str">
        <f t="shared" ca="1" si="11"/>
        <v>Mil</v>
      </c>
      <c r="AP50" s="95" t="str">
        <f t="shared" ca="1" si="11"/>
        <v>Nap</v>
      </c>
      <c r="AQ50" s="95" t="str">
        <f t="shared" ca="1" si="11"/>
        <v>Rom</v>
      </c>
      <c r="AR50" s="95" t="str">
        <f t="shared" ca="1" si="11"/>
        <v>Sam</v>
      </c>
      <c r="AS50" s="95" t="str">
        <f t="shared" ca="1" si="11"/>
        <v>Sas</v>
      </c>
      <c r="AT50" s="95" t="str">
        <f t="shared" ca="1" si="11"/>
        <v>Spa</v>
      </c>
      <c r="AU50" s="95" t="str">
        <f t="shared" ca="1" si="11"/>
        <v>Tor</v>
      </c>
      <c r="AV50" s="95" t="str">
        <f t="shared" ca="1" si="11"/>
        <v>Udi</v>
      </c>
      <c r="AW50" s="95" t="str">
        <f t="shared" ca="1" si="11"/>
        <v>Ver</v>
      </c>
      <c r="AX50" s="21"/>
      <c r="AY50" s="21"/>
      <c r="AZ50" s="21"/>
      <c r="BA50" s="21"/>
    </row>
    <row r="51" spans="1:53" ht="15">
      <c r="A51" s="124"/>
      <c r="B51" s="21"/>
      <c r="C51" s="21"/>
      <c r="D51" s="21"/>
      <c r="E51" s="21"/>
      <c r="F51" s="21"/>
      <c r="G51" s="21"/>
      <c r="H51" s="21"/>
      <c r="I51" s="21"/>
      <c r="J51" s="21"/>
      <c r="K51" s="21"/>
      <c r="L51" s="21"/>
      <c r="M51" s="21"/>
      <c r="N51" s="21"/>
      <c r="O51" s="21"/>
      <c r="Q51" s="21" t="str">
        <f>'Mia rosa + Org. Finanza'!$B53</f>
        <v/>
      </c>
      <c r="R51" s="107">
        <f>'Mia rosa + Org. Finanza'!AG51</f>
        <v>0</v>
      </c>
      <c r="S51" s="107" t="str">
        <f ca="1">'Mia rosa + Org. Finanza'!AH51</f>
        <v/>
      </c>
      <c r="T51" s="107" t="str">
        <f ca="1">'Mia rosa + Org. Finanza'!AI51</f>
        <v/>
      </c>
      <c r="U51" s="107" t="str">
        <f ca="1">'Mia rosa + Org. Finanza'!AJ51</f>
        <v/>
      </c>
      <c r="V51" s="21"/>
      <c r="W51" s="179" t="str">
        <f t="shared" si="0"/>
        <v>Ben</v>
      </c>
      <c r="X51">
        <f t="shared" si="1"/>
        <v>8</v>
      </c>
      <c r="Y51" t="str">
        <f t="shared" si="2"/>
        <v>D8Ben</v>
      </c>
      <c r="Z51" s="193" t="s">
        <v>37</v>
      </c>
      <c r="AA51" s="193" t="s">
        <v>1694</v>
      </c>
      <c r="AB51" s="179" t="s">
        <v>1672</v>
      </c>
      <c r="AC51" s="94"/>
      <c r="AD51" s="95"/>
      <c r="AE51" s="111"/>
      <c r="AF51" s="111"/>
      <c r="AG51" s="111"/>
      <c r="AH51" s="111"/>
      <c r="AI51" s="111"/>
      <c r="AJ51" s="111"/>
      <c r="AK51" s="111"/>
      <c r="AL51" s="111"/>
      <c r="AM51" s="111"/>
      <c r="AN51" s="111"/>
      <c r="AO51" s="111"/>
      <c r="AP51" s="111"/>
      <c r="AQ51" s="111"/>
      <c r="AR51" s="21"/>
      <c r="AS51" s="21"/>
      <c r="AT51" s="21"/>
      <c r="AU51" s="21"/>
      <c r="AV51" s="21"/>
      <c r="AW51" s="21"/>
      <c r="AX51" s="21"/>
      <c r="AY51" s="21"/>
      <c r="AZ51" s="21"/>
      <c r="BA51" s="21"/>
    </row>
    <row r="52" spans="1:53" ht="15">
      <c r="A52" s="124"/>
      <c r="B52" s="21"/>
      <c r="C52" s="21"/>
      <c r="D52" s="21"/>
      <c r="E52" s="21"/>
      <c r="F52" s="21"/>
      <c r="G52" s="21"/>
      <c r="H52" s="21"/>
      <c r="I52" s="21"/>
      <c r="J52" s="21"/>
      <c r="K52" s="21"/>
      <c r="L52" s="21"/>
      <c r="M52" s="21"/>
      <c r="N52" s="21"/>
      <c r="O52" s="21"/>
      <c r="Q52" s="21" t="str">
        <f>'Mia rosa + Org. Finanza'!$B54</f>
        <v/>
      </c>
      <c r="R52" s="107">
        <f>'Mia rosa + Org. Finanza'!AG52</f>
        <v>0</v>
      </c>
      <c r="S52" s="107" t="str">
        <f ca="1">'Mia rosa + Org. Finanza'!AH52</f>
        <v/>
      </c>
      <c r="T52" s="107" t="str">
        <f ca="1">'Mia rosa + Org. Finanza'!AI52</f>
        <v/>
      </c>
      <c r="U52" s="107" t="str">
        <f ca="1">'Mia rosa + Org. Finanza'!AJ52</f>
        <v/>
      </c>
      <c r="V52" s="21"/>
      <c r="W52" s="179" t="str">
        <f t="shared" si="0"/>
        <v>Ben</v>
      </c>
      <c r="X52">
        <f t="shared" si="1"/>
        <v>9</v>
      </c>
      <c r="Y52" t="str">
        <f t="shared" si="2"/>
        <v>D9Ben</v>
      </c>
      <c r="Z52" s="193" t="s">
        <v>37</v>
      </c>
      <c r="AA52" s="193" t="s">
        <v>1696</v>
      </c>
      <c r="AB52" s="179" t="s">
        <v>1672</v>
      </c>
      <c r="AC52" s="94"/>
      <c r="AD52" s="95"/>
      <c r="AE52" s="111"/>
      <c r="AF52" s="111"/>
      <c r="AG52" s="111"/>
      <c r="AH52" s="111"/>
      <c r="AI52" s="111"/>
      <c r="AJ52" s="111"/>
      <c r="AK52" s="111"/>
      <c r="AL52" s="111"/>
      <c r="AM52" s="111"/>
      <c r="AN52" s="111"/>
      <c r="AO52" s="111"/>
      <c r="AP52" s="111"/>
      <c r="AQ52" s="111"/>
      <c r="AR52" s="21"/>
      <c r="AS52" s="21"/>
      <c r="AT52" s="21"/>
      <c r="AU52" s="21"/>
      <c r="AV52" s="21"/>
      <c r="AW52" s="21"/>
      <c r="AX52" s="21"/>
      <c r="AY52" s="21"/>
      <c r="AZ52" s="21"/>
      <c r="BA52" s="21"/>
    </row>
    <row r="53" spans="1:53" ht="15">
      <c r="A53" s="124"/>
      <c r="B53" s="21"/>
      <c r="C53" s="21"/>
      <c r="D53" s="21"/>
      <c r="E53" s="21"/>
      <c r="F53" s="21"/>
      <c r="G53" s="21"/>
      <c r="H53" s="21"/>
      <c r="I53" s="21"/>
      <c r="J53" s="21"/>
      <c r="K53" s="21"/>
      <c r="L53" s="21"/>
      <c r="M53" s="21"/>
      <c r="N53" s="21"/>
      <c r="O53" s="21"/>
      <c r="Q53" s="87" t="str">
        <f>'Mia rosa + Org. Finanza'!$B55</f>
        <v/>
      </c>
      <c r="R53" s="107">
        <f>'Mia rosa + Org. Finanza'!AG53</f>
        <v>0</v>
      </c>
      <c r="S53" s="107" t="str">
        <f ca="1">'Mia rosa + Org. Finanza'!AH53</f>
        <v/>
      </c>
      <c r="T53" s="107" t="str">
        <f ca="1">'Mia rosa + Org. Finanza'!AI53</f>
        <v/>
      </c>
      <c r="U53" s="107" t="str">
        <f ca="1">'Mia rosa + Org. Finanza'!AJ53</f>
        <v/>
      </c>
      <c r="V53" s="21"/>
      <c r="W53" s="179" t="str">
        <f t="shared" si="0"/>
        <v>Ben</v>
      </c>
      <c r="X53">
        <f t="shared" si="1"/>
        <v>10</v>
      </c>
      <c r="Y53" t="str">
        <f t="shared" si="2"/>
        <v>D10Ben</v>
      </c>
      <c r="Z53" s="193" t="s">
        <v>37</v>
      </c>
      <c r="AA53" s="193" t="s">
        <v>1705</v>
      </c>
      <c r="AB53" s="179" t="s">
        <v>1672</v>
      </c>
      <c r="AC53" s="94"/>
      <c r="AD53" s="95"/>
      <c r="AE53" s="111"/>
      <c r="AF53" s="111"/>
      <c r="AG53" s="111"/>
      <c r="AH53" s="111"/>
      <c r="AI53" s="111"/>
      <c r="AJ53" s="111"/>
      <c r="AK53" s="111"/>
      <c r="AL53" s="111"/>
      <c r="AM53" s="111"/>
      <c r="AN53" s="111"/>
      <c r="AO53" s="111"/>
      <c r="AP53" s="111"/>
      <c r="AQ53" s="111"/>
      <c r="AR53" s="21"/>
      <c r="AS53" s="21"/>
      <c r="AT53" s="21"/>
      <c r="AU53" s="21"/>
      <c r="AV53" s="21"/>
      <c r="AW53" s="21"/>
      <c r="AX53" s="21"/>
      <c r="AY53" s="21"/>
      <c r="AZ53" s="21"/>
      <c r="BA53" s="21"/>
    </row>
    <row r="54" spans="1:53" ht="15">
      <c r="A54" s="124"/>
      <c r="B54" s="21"/>
      <c r="C54" s="21"/>
      <c r="D54" s="21"/>
      <c r="E54" s="21"/>
      <c r="F54" s="21"/>
      <c r="G54" s="21"/>
      <c r="H54" s="21"/>
      <c r="I54" s="21"/>
      <c r="J54" s="21"/>
      <c r="K54" s="21"/>
      <c r="L54" s="21"/>
      <c r="M54" s="21"/>
      <c r="N54" s="21"/>
      <c r="O54" s="21"/>
      <c r="Q54" s="87" t="str">
        <f>'Mia rosa + Org. Finanza'!$B56</f>
        <v/>
      </c>
      <c r="R54" s="107">
        <f>'Mia rosa + Org. Finanza'!AG54</f>
        <v>0</v>
      </c>
      <c r="S54" s="107" t="str">
        <f ca="1">'Mia rosa + Org. Finanza'!AH54</f>
        <v/>
      </c>
      <c r="T54" s="107" t="str">
        <f ca="1">'Mia rosa + Org. Finanza'!AI54</f>
        <v/>
      </c>
      <c r="U54" s="107" t="str">
        <f ca="1">'Mia rosa + Org. Finanza'!AJ54</f>
        <v/>
      </c>
      <c r="V54" s="21"/>
      <c r="W54" s="179" t="str">
        <f t="shared" si="0"/>
        <v>Ben</v>
      </c>
      <c r="X54">
        <f t="shared" si="1"/>
        <v>1</v>
      </c>
      <c r="Y54" t="str">
        <f t="shared" si="2"/>
        <v>P1Ben</v>
      </c>
      <c r="Z54" s="193" t="s">
        <v>35</v>
      </c>
      <c r="AA54" s="193" t="s">
        <v>1678</v>
      </c>
      <c r="AB54" s="179" t="s">
        <v>1672</v>
      </c>
      <c r="AC54" s="94"/>
      <c r="AD54" s="95"/>
      <c r="AE54" s="111"/>
      <c r="AF54" s="111"/>
      <c r="AG54" s="111"/>
      <c r="AH54" s="111"/>
      <c r="AI54" s="111"/>
      <c r="AJ54" s="111"/>
      <c r="AK54" s="111"/>
      <c r="AL54" s="111"/>
      <c r="AM54" s="111"/>
      <c r="AN54" s="111"/>
      <c r="AO54" s="111"/>
      <c r="AP54" s="111"/>
      <c r="AQ54" s="111"/>
      <c r="AR54" s="21"/>
      <c r="AS54" s="21"/>
      <c r="AT54" s="21"/>
      <c r="AU54" s="21"/>
      <c r="AV54" s="21"/>
      <c r="AW54" s="21"/>
      <c r="AX54" s="21"/>
      <c r="AY54" s="21"/>
      <c r="AZ54" s="21"/>
      <c r="BA54" s="21"/>
    </row>
    <row r="55" spans="1:53" ht="15">
      <c r="A55" s="124"/>
      <c r="B55" s="21"/>
      <c r="C55" s="21"/>
      <c r="D55" s="21"/>
      <c r="E55" s="21"/>
      <c r="F55" s="21"/>
      <c r="G55" s="21"/>
      <c r="H55" s="21"/>
      <c r="I55" s="21"/>
      <c r="J55" s="21"/>
      <c r="K55" s="21"/>
      <c r="L55" s="21"/>
      <c r="M55" s="21"/>
      <c r="N55" s="21"/>
      <c r="O55" s="21"/>
      <c r="Q55" s="87" t="str">
        <f>'Mia rosa + Org. Finanza'!$B57</f>
        <v/>
      </c>
      <c r="R55" s="107">
        <f>'Mia rosa + Org. Finanza'!AG55</f>
        <v>0</v>
      </c>
      <c r="S55" s="107" t="str">
        <f ca="1">'Mia rosa + Org. Finanza'!AH55</f>
        <v/>
      </c>
      <c r="T55" s="107" t="str">
        <f ca="1">'Mia rosa + Org. Finanza'!AI55</f>
        <v/>
      </c>
      <c r="U55" s="107" t="str">
        <f ca="1">'Mia rosa + Org. Finanza'!AJ55</f>
        <v/>
      </c>
      <c r="V55" s="21"/>
      <c r="W55" s="179" t="str">
        <f t="shared" si="0"/>
        <v>Ben</v>
      </c>
      <c r="X55">
        <f t="shared" si="1"/>
        <v>2</v>
      </c>
      <c r="Y55" t="str">
        <f t="shared" si="2"/>
        <v>P2Ben</v>
      </c>
      <c r="Z55" s="193" t="s">
        <v>35</v>
      </c>
      <c r="AA55" s="193" t="s">
        <v>1920</v>
      </c>
      <c r="AB55" s="179" t="s">
        <v>1672</v>
      </c>
      <c r="AC55" s="94"/>
      <c r="AD55" s="95"/>
      <c r="AE55" s="111"/>
      <c r="AF55" s="111"/>
      <c r="AG55" s="111"/>
      <c r="AH55" s="111"/>
      <c r="AI55" s="111"/>
      <c r="AJ55" s="111"/>
      <c r="AK55" s="111"/>
      <c r="AL55" s="111"/>
      <c r="AM55" s="111"/>
      <c r="AN55" s="111"/>
      <c r="AO55" s="111"/>
      <c r="AP55" s="111"/>
      <c r="AQ55" s="111"/>
      <c r="AR55" s="21"/>
      <c r="AS55" s="21"/>
      <c r="AT55" s="21"/>
      <c r="AU55" s="21"/>
      <c r="AV55" s="21"/>
      <c r="AW55" s="21"/>
      <c r="AX55" s="21"/>
      <c r="AY55" s="21"/>
      <c r="AZ55" s="21"/>
      <c r="BA55" s="21"/>
    </row>
    <row r="56" spans="1:53" ht="15">
      <c r="A56" s="124"/>
      <c r="B56" s="21"/>
      <c r="C56" s="21"/>
      <c r="D56" s="21"/>
      <c r="E56" s="21"/>
      <c r="F56" s="21"/>
      <c r="G56" s="21"/>
      <c r="H56" s="21"/>
      <c r="I56" s="21"/>
      <c r="J56" s="21"/>
      <c r="K56" s="21"/>
      <c r="L56" s="21"/>
      <c r="M56" s="21"/>
      <c r="N56" s="21"/>
      <c r="O56" s="21"/>
      <c r="Q56" s="87" t="str">
        <f>'Mia rosa + Org. Finanza'!$B58</f>
        <v/>
      </c>
      <c r="R56" s="107">
        <f>'Mia rosa + Org. Finanza'!AG56</f>
        <v>0</v>
      </c>
      <c r="S56" s="107" t="str">
        <f ca="1">'Mia rosa + Org. Finanza'!AH56</f>
        <v/>
      </c>
      <c r="T56" s="107" t="str">
        <f ca="1">'Mia rosa + Org. Finanza'!AI56</f>
        <v/>
      </c>
      <c r="U56" s="107" t="str">
        <f ca="1">'Mia rosa + Org. Finanza'!AJ56</f>
        <v/>
      </c>
      <c r="V56" s="21"/>
      <c r="W56" s="179" t="str">
        <f t="shared" si="0"/>
        <v>Ben</v>
      </c>
      <c r="X56">
        <f t="shared" si="1"/>
        <v>3</v>
      </c>
      <c r="Y56" t="str">
        <f t="shared" si="2"/>
        <v>P3Ben</v>
      </c>
      <c r="Z56" s="193" t="s">
        <v>35</v>
      </c>
      <c r="AA56" s="193" t="s">
        <v>1812</v>
      </c>
      <c r="AB56" s="179" t="s">
        <v>1672</v>
      </c>
      <c r="AC56" s="94"/>
      <c r="AD56" s="95"/>
      <c r="AE56" s="111"/>
      <c r="AF56" s="111"/>
      <c r="AG56" s="111"/>
      <c r="AH56" s="111"/>
      <c r="AI56" s="111"/>
      <c r="AJ56" s="111"/>
      <c r="AK56" s="111"/>
      <c r="AL56" s="111"/>
      <c r="AM56" s="111"/>
      <c r="AN56" s="111"/>
      <c r="AO56" s="111"/>
      <c r="AP56" s="111"/>
      <c r="AQ56" s="111"/>
      <c r="AR56" s="21"/>
      <c r="AS56" s="21"/>
      <c r="AT56" s="21"/>
      <c r="AU56" s="21"/>
      <c r="AV56" s="21"/>
      <c r="AW56" s="21"/>
      <c r="AX56" s="21"/>
      <c r="AY56" s="21"/>
      <c r="AZ56" s="21"/>
      <c r="BA56" s="21"/>
    </row>
    <row r="57" spans="1:53" ht="15">
      <c r="A57" s="124"/>
      <c r="B57" s="21"/>
      <c r="C57" s="21"/>
      <c r="D57" s="21"/>
      <c r="E57" s="21"/>
      <c r="F57" s="21"/>
      <c r="G57" s="21"/>
      <c r="H57" s="21"/>
      <c r="I57" s="21"/>
      <c r="J57" s="21"/>
      <c r="K57" s="21"/>
      <c r="L57" s="21"/>
      <c r="M57" s="21"/>
      <c r="N57" s="21"/>
      <c r="O57" s="21"/>
      <c r="Q57" s="87" t="str">
        <f>'Mia rosa + Org. Finanza'!$B59</f>
        <v/>
      </c>
      <c r="R57" s="107">
        <f>'Mia rosa + Org. Finanza'!AG57</f>
        <v>0</v>
      </c>
      <c r="S57" s="107" t="str">
        <f ca="1">'Mia rosa + Org. Finanza'!AH57</f>
        <v/>
      </c>
      <c r="T57" s="107" t="str">
        <f ca="1">'Mia rosa + Org. Finanza'!AI57</f>
        <v/>
      </c>
      <c r="U57" s="107" t="str">
        <f ca="1">'Mia rosa + Org. Finanza'!AJ57</f>
        <v/>
      </c>
      <c r="V57" s="21"/>
      <c r="W57" s="179" t="str">
        <f t="shared" si="0"/>
        <v>Ben</v>
      </c>
      <c r="X57">
        <f t="shared" si="1"/>
        <v>4</v>
      </c>
      <c r="Y57" t="str">
        <f t="shared" si="2"/>
        <v>P4Ben</v>
      </c>
      <c r="Z57" s="193" t="s">
        <v>35</v>
      </c>
      <c r="AA57" s="193" t="s">
        <v>1683</v>
      </c>
      <c r="AB57" s="179" t="s">
        <v>1672</v>
      </c>
      <c r="AC57" s="94"/>
      <c r="AD57"/>
      <c r="AE57" s="111"/>
      <c r="AF57" s="111"/>
      <c r="AG57" s="111"/>
      <c r="AH57" s="111"/>
      <c r="AI57" s="111"/>
      <c r="AJ57" s="111"/>
      <c r="AK57" s="111"/>
      <c r="AL57" s="111"/>
      <c r="AM57" s="111"/>
      <c r="AN57" s="111"/>
      <c r="AO57" s="111"/>
      <c r="AP57" s="111"/>
      <c r="AQ57" s="111"/>
      <c r="AR57" s="21"/>
      <c r="AS57" s="21"/>
      <c r="AT57" s="21"/>
      <c r="AU57" s="21"/>
      <c r="AV57" s="21"/>
      <c r="AW57" s="21"/>
      <c r="AX57" s="21"/>
      <c r="AY57" s="21"/>
      <c r="AZ57" s="21"/>
      <c r="BA57" s="21"/>
    </row>
    <row r="58" spans="1:53" ht="15">
      <c r="A58" s="124"/>
      <c r="B58" s="21"/>
      <c r="C58" s="21"/>
      <c r="D58" s="21"/>
      <c r="E58" s="21"/>
      <c r="F58" s="21"/>
      <c r="G58" s="21"/>
      <c r="H58" s="21"/>
      <c r="I58" s="21"/>
      <c r="J58" s="21"/>
      <c r="K58" s="21"/>
      <c r="L58" s="21"/>
      <c r="M58" s="21"/>
      <c r="N58" s="21"/>
      <c r="O58" s="21"/>
      <c r="R58" s="107">
        <f>'Mia rosa + Org. Finanza'!AG58</f>
        <v>0</v>
      </c>
      <c r="S58" s="107" t="str">
        <f ca="1">'Mia rosa + Org. Finanza'!AH58</f>
        <v/>
      </c>
      <c r="T58" s="107" t="str">
        <f ca="1">'Mia rosa + Org. Finanza'!AI58</f>
        <v/>
      </c>
      <c r="U58" s="107" t="str">
        <f ca="1">'Mia rosa + Org. Finanza'!AJ58</f>
        <v/>
      </c>
      <c r="V58" s="21"/>
      <c r="W58" s="179" t="str">
        <f t="shared" si="0"/>
        <v>Bol</v>
      </c>
      <c r="X58">
        <f t="shared" si="1"/>
        <v>1</v>
      </c>
      <c r="Y58" t="str">
        <f t="shared" si="2"/>
        <v>A1Bol</v>
      </c>
      <c r="Z58" s="193" t="s">
        <v>43</v>
      </c>
      <c r="AA58" s="193" t="s">
        <v>344</v>
      </c>
      <c r="AB58" s="179" t="s">
        <v>691</v>
      </c>
      <c r="AC58" s="94"/>
      <c r="AD58" s="95"/>
      <c r="AE58" s="111"/>
      <c r="AF58" s="111"/>
      <c r="AG58" s="111"/>
      <c r="AH58" s="111"/>
      <c r="AI58" s="111"/>
      <c r="AJ58" s="111"/>
      <c r="AK58" s="111"/>
      <c r="AL58" s="111"/>
      <c r="AM58" s="111"/>
      <c r="AN58" s="111"/>
      <c r="AO58" s="111"/>
      <c r="AP58" s="111"/>
      <c r="AQ58" s="111"/>
      <c r="AR58" s="21"/>
      <c r="AS58" s="21"/>
      <c r="AT58" s="21"/>
      <c r="AU58" s="21"/>
      <c r="AV58" s="21"/>
      <c r="AW58" s="21"/>
      <c r="AX58" s="21"/>
      <c r="AY58" s="21"/>
      <c r="AZ58" s="21"/>
      <c r="BA58" s="21"/>
    </row>
    <row r="59" spans="1:53" ht="15">
      <c r="A59" s="124"/>
      <c r="B59" s="21"/>
      <c r="C59" s="21"/>
      <c r="D59" s="21"/>
      <c r="E59" s="21"/>
      <c r="F59" s="21"/>
      <c r="G59" s="21"/>
      <c r="H59" s="21"/>
      <c r="I59" s="21"/>
      <c r="J59" s="21"/>
      <c r="K59" s="21"/>
      <c r="L59" s="21"/>
      <c r="M59" s="21"/>
      <c r="N59" s="21"/>
      <c r="O59" s="21"/>
      <c r="R59" s="107">
        <f>'Mia rosa + Org. Finanza'!AG59</f>
        <v>0</v>
      </c>
      <c r="S59" s="107" t="str">
        <f ca="1">'Mia rosa + Org. Finanza'!AH59</f>
        <v/>
      </c>
      <c r="T59" s="107" t="str">
        <f ca="1">'Mia rosa + Org. Finanza'!AI59</f>
        <v/>
      </c>
      <c r="U59" s="107" t="str">
        <f ca="1">'Mia rosa + Org. Finanza'!AJ59</f>
        <v/>
      </c>
      <c r="V59" s="21"/>
      <c r="W59" s="179" t="str">
        <f t="shared" si="0"/>
        <v>Bol</v>
      </c>
      <c r="X59">
        <f t="shared" si="1"/>
        <v>2</v>
      </c>
      <c r="Y59" t="str">
        <f t="shared" si="2"/>
        <v>A2Bol</v>
      </c>
      <c r="Z59" s="193" t="s">
        <v>43</v>
      </c>
      <c r="AA59" s="193" t="s">
        <v>1802</v>
      </c>
      <c r="AB59" s="179" t="s">
        <v>691</v>
      </c>
      <c r="AC59" s="94"/>
      <c r="AD59" s="95"/>
      <c r="AE59" s="111"/>
      <c r="AF59" s="111"/>
      <c r="AG59" s="111"/>
      <c r="AH59" s="111"/>
      <c r="AI59" s="111"/>
      <c r="AJ59" s="111"/>
      <c r="AK59" s="111"/>
      <c r="AL59" s="111"/>
      <c r="AM59" s="111"/>
      <c r="AN59" s="111"/>
      <c r="AO59" s="111"/>
      <c r="AP59" s="111"/>
      <c r="AQ59" s="111"/>
      <c r="AR59" s="21"/>
      <c r="AS59" s="21"/>
      <c r="AT59" s="21"/>
      <c r="AU59" s="21"/>
      <c r="AV59" s="21"/>
      <c r="AW59" s="21"/>
      <c r="AX59" s="21"/>
      <c r="AY59" s="21"/>
      <c r="AZ59" s="21"/>
      <c r="BA59" s="21"/>
    </row>
    <row r="60" spans="1:53" ht="15">
      <c r="A60" s="124"/>
      <c r="B60" s="21"/>
      <c r="C60" s="21"/>
      <c r="D60" s="21"/>
      <c r="E60" s="21"/>
      <c r="F60" s="21"/>
      <c r="G60" s="21"/>
      <c r="H60" s="21"/>
      <c r="I60" s="21"/>
      <c r="J60" s="21"/>
      <c r="K60" s="21"/>
      <c r="L60" s="21"/>
      <c r="M60" s="21"/>
      <c r="N60" s="21"/>
      <c r="O60" s="21"/>
      <c r="R60" s="107">
        <f>'Mia rosa + Org. Finanza'!AG60</f>
        <v>0</v>
      </c>
      <c r="S60" s="107" t="str">
        <f ca="1">'Mia rosa + Org. Finanza'!AH60</f>
        <v/>
      </c>
      <c r="T60" s="107" t="str">
        <f ca="1">'Mia rosa + Org. Finanza'!AI60</f>
        <v/>
      </c>
      <c r="U60" s="107" t="str">
        <f ca="1">'Mia rosa + Org. Finanza'!AJ60</f>
        <v/>
      </c>
      <c r="V60" s="21"/>
      <c r="W60" s="179" t="str">
        <f t="shared" si="0"/>
        <v>Bol</v>
      </c>
      <c r="X60">
        <f t="shared" si="1"/>
        <v>3</v>
      </c>
      <c r="Y60" t="str">
        <f t="shared" si="2"/>
        <v>A3Bol</v>
      </c>
      <c r="Z60" s="193" t="s">
        <v>43</v>
      </c>
      <c r="AA60" s="193" t="s">
        <v>466</v>
      </c>
      <c r="AB60" s="179" t="s">
        <v>691</v>
      </c>
      <c r="AC60" s="94"/>
      <c r="AD60"/>
      <c r="AE60" s="111"/>
      <c r="AF60" s="111"/>
      <c r="AG60" s="111"/>
      <c r="AH60" s="111"/>
      <c r="AI60" s="111"/>
      <c r="AJ60" s="111"/>
      <c r="AK60" s="111"/>
      <c r="AL60" s="111"/>
      <c r="AM60" s="111"/>
      <c r="AN60" s="111"/>
      <c r="AO60" s="111"/>
      <c r="AP60" s="111"/>
      <c r="AQ60" s="111"/>
      <c r="AR60" s="21"/>
      <c r="AS60" s="21"/>
      <c r="AT60" s="21"/>
      <c r="AU60" s="21"/>
      <c r="AV60" s="21"/>
      <c r="AW60" s="21"/>
      <c r="AX60" s="21"/>
      <c r="AY60" s="21"/>
      <c r="AZ60" s="21"/>
      <c r="BA60" s="21"/>
    </row>
    <row r="61" spans="1:53" ht="15">
      <c r="A61" s="124"/>
      <c r="B61" s="21"/>
      <c r="C61" s="21"/>
      <c r="D61" s="21"/>
      <c r="E61" s="21"/>
      <c r="F61" s="21"/>
      <c r="G61" s="21"/>
      <c r="H61" s="21"/>
      <c r="I61" s="21"/>
      <c r="J61" s="21"/>
      <c r="K61" s="21"/>
      <c r="L61" s="21"/>
      <c r="M61" s="21"/>
      <c r="N61" s="21"/>
      <c r="O61" s="21"/>
      <c r="R61" s="107">
        <f>'Mia rosa + Org. Finanza'!AG61</f>
        <v>0</v>
      </c>
      <c r="S61" s="107" t="str">
        <f ca="1">'Mia rosa + Org. Finanza'!AH61</f>
        <v/>
      </c>
      <c r="T61" s="107" t="str">
        <f ca="1">'Mia rosa + Org. Finanza'!AI61</f>
        <v/>
      </c>
      <c r="U61" s="107" t="str">
        <f ca="1">'Mia rosa + Org. Finanza'!AJ61</f>
        <v/>
      </c>
      <c r="V61" s="21"/>
      <c r="W61" s="179" t="str">
        <f t="shared" si="0"/>
        <v>Bol</v>
      </c>
      <c r="X61">
        <f t="shared" si="1"/>
        <v>4</v>
      </c>
      <c r="Y61" t="str">
        <f t="shared" si="2"/>
        <v>A4Bol</v>
      </c>
      <c r="Z61" s="193" t="s">
        <v>43</v>
      </c>
      <c r="AA61" s="193" t="s">
        <v>1798</v>
      </c>
      <c r="AB61" s="179" t="s">
        <v>691</v>
      </c>
      <c r="AC61" s="94"/>
      <c r="AD61" s="95"/>
      <c r="AE61" s="111"/>
      <c r="AF61" s="111"/>
      <c r="AG61" s="111"/>
      <c r="AH61" s="111"/>
      <c r="AI61" s="111"/>
      <c r="AJ61" s="111"/>
      <c r="AK61" s="111"/>
      <c r="AL61" s="111"/>
      <c r="AM61" s="111"/>
      <c r="AN61" s="111"/>
      <c r="AO61" s="111"/>
      <c r="AP61" s="111"/>
      <c r="AQ61" s="111"/>
      <c r="AR61" s="21"/>
      <c r="AS61" s="21"/>
      <c r="AT61" s="21"/>
      <c r="AU61" s="21"/>
      <c r="AV61" s="21"/>
      <c r="AW61" s="21"/>
      <c r="AX61" s="21"/>
      <c r="AY61" s="21"/>
      <c r="AZ61" s="21"/>
      <c r="BA61" s="21"/>
    </row>
    <row r="62" spans="1:53" ht="15">
      <c r="A62" s="124"/>
      <c r="B62" s="21"/>
      <c r="C62" s="21"/>
      <c r="D62" s="21"/>
      <c r="E62" s="21"/>
      <c r="F62" s="21"/>
      <c r="G62" s="21"/>
      <c r="H62" s="21"/>
      <c r="I62" s="21"/>
      <c r="J62" s="21"/>
      <c r="K62" s="21"/>
      <c r="L62" s="21"/>
      <c r="M62" s="21"/>
      <c r="N62" s="21"/>
      <c r="O62" s="21"/>
      <c r="R62" s="107">
        <f>'Mia rosa + Org. Finanza'!AG62</f>
        <v>0</v>
      </c>
      <c r="S62" s="107" t="str">
        <f ca="1">'Mia rosa + Org. Finanza'!AH62</f>
        <v/>
      </c>
      <c r="T62" s="107" t="str">
        <f ca="1">'Mia rosa + Org. Finanza'!AI62</f>
        <v/>
      </c>
      <c r="U62" s="107" t="str">
        <f ca="1">'Mia rosa + Org. Finanza'!AJ62</f>
        <v/>
      </c>
      <c r="V62" s="21"/>
      <c r="W62" s="179" t="str">
        <f t="shared" si="0"/>
        <v>Bol</v>
      </c>
      <c r="X62">
        <f t="shared" si="1"/>
        <v>1</v>
      </c>
      <c r="Y62" t="str">
        <f t="shared" si="2"/>
        <v>C1Bol</v>
      </c>
      <c r="Z62" s="193" t="s">
        <v>39</v>
      </c>
      <c r="AA62" s="193" t="s">
        <v>404</v>
      </c>
      <c r="AB62" s="179" t="s">
        <v>691</v>
      </c>
      <c r="AC62" s="94"/>
      <c r="AD62" s="95"/>
      <c r="AE62" s="111"/>
      <c r="AF62" s="111"/>
      <c r="AG62" s="111"/>
      <c r="AH62" s="111"/>
      <c r="AI62" s="111"/>
      <c r="AJ62" s="111"/>
      <c r="AK62" s="111"/>
      <c r="AL62" s="111"/>
      <c r="AM62" s="111"/>
      <c r="AN62" s="111"/>
      <c r="AO62" s="111"/>
      <c r="AP62" s="111"/>
      <c r="AQ62" s="111"/>
      <c r="AR62" s="21"/>
      <c r="AS62" s="21"/>
      <c r="AT62" s="21"/>
      <c r="AU62" s="21"/>
      <c r="AV62" s="21"/>
      <c r="AW62" s="21"/>
      <c r="AX62" s="21"/>
      <c r="AY62" s="21"/>
      <c r="AZ62" s="21"/>
      <c r="BA62" s="21"/>
    </row>
    <row r="63" spans="1:53" ht="15">
      <c r="A63" s="124"/>
      <c r="B63" s="21"/>
      <c r="C63" s="21"/>
      <c r="D63" s="21"/>
      <c r="E63" s="21"/>
      <c r="F63" s="21"/>
      <c r="G63" s="21"/>
      <c r="H63" s="21"/>
      <c r="I63" s="21"/>
      <c r="J63" s="21"/>
      <c r="K63" s="21"/>
      <c r="L63" s="21"/>
      <c r="M63" s="21"/>
      <c r="N63" s="21"/>
      <c r="O63" s="21"/>
      <c r="R63" s="107">
        <f>'Mia rosa + Org. Finanza'!AG63</f>
        <v>0</v>
      </c>
      <c r="S63" s="107" t="str">
        <f ca="1">'Mia rosa + Org. Finanza'!AH63</f>
        <v/>
      </c>
      <c r="T63" s="107" t="str">
        <f ca="1">'Mia rosa + Org. Finanza'!AI63</f>
        <v/>
      </c>
      <c r="U63" s="107" t="str">
        <f ca="1">'Mia rosa + Org. Finanza'!AJ63</f>
        <v/>
      </c>
      <c r="V63" s="21"/>
      <c r="W63" s="179" t="str">
        <f t="shared" si="0"/>
        <v>Bol</v>
      </c>
      <c r="X63">
        <f t="shared" si="1"/>
        <v>2</v>
      </c>
      <c r="Y63" t="str">
        <f t="shared" si="2"/>
        <v>C2Bol</v>
      </c>
      <c r="Z63" s="193" t="s">
        <v>39</v>
      </c>
      <c r="AA63" s="193" t="s">
        <v>1299</v>
      </c>
      <c r="AB63" s="179" t="s">
        <v>691</v>
      </c>
      <c r="AC63" s="94"/>
      <c r="AD63" s="95"/>
      <c r="AE63" s="111"/>
      <c r="AF63" s="111"/>
      <c r="AG63" s="111"/>
      <c r="AH63" s="111"/>
      <c r="AI63" s="111"/>
      <c r="AJ63" s="111"/>
      <c r="AK63" s="111"/>
      <c r="AL63" s="111"/>
      <c r="AM63" s="111"/>
      <c r="AN63" s="111"/>
      <c r="AO63" s="111"/>
      <c r="AP63" s="111"/>
      <c r="AQ63" s="111"/>
      <c r="AR63" s="21"/>
      <c r="AS63" s="21"/>
      <c r="AT63" s="21"/>
      <c r="AU63" s="21"/>
      <c r="AV63" s="21"/>
      <c r="AW63" s="21"/>
      <c r="AX63" s="21"/>
      <c r="AY63" s="21"/>
      <c r="AZ63" s="21"/>
      <c r="BA63" s="21"/>
    </row>
    <row r="64" spans="1:53" ht="15">
      <c r="A64" s="124"/>
      <c r="B64" s="21"/>
      <c r="C64" s="21"/>
      <c r="D64" s="21"/>
      <c r="E64" s="21"/>
      <c r="F64" s="21"/>
      <c r="G64" s="21"/>
      <c r="H64" s="21"/>
      <c r="I64" s="21"/>
      <c r="J64" s="21"/>
      <c r="K64" s="21"/>
      <c r="L64" s="21"/>
      <c r="M64" s="21"/>
      <c r="N64" s="21"/>
      <c r="O64" s="21"/>
      <c r="R64" s="107">
        <f>'Mia rosa + Org. Finanza'!AG64</f>
        <v>0</v>
      </c>
      <c r="S64" s="107" t="str">
        <f ca="1">'Mia rosa + Org. Finanza'!AH64</f>
        <v/>
      </c>
      <c r="T64" s="107" t="str">
        <f ca="1">'Mia rosa + Org. Finanza'!AI64</f>
        <v/>
      </c>
      <c r="U64" s="107" t="str">
        <f ca="1">'Mia rosa + Org. Finanza'!AJ64</f>
        <v/>
      </c>
      <c r="V64" s="21"/>
      <c r="W64" s="179" t="str">
        <f t="shared" si="0"/>
        <v>Bol</v>
      </c>
      <c r="X64">
        <f t="shared" si="1"/>
        <v>3</v>
      </c>
      <c r="Y64" t="str">
        <f t="shared" si="2"/>
        <v>C3Bol</v>
      </c>
      <c r="Z64" s="193" t="s">
        <v>39</v>
      </c>
      <c r="AA64" s="193" t="s">
        <v>444</v>
      </c>
      <c r="AB64" s="179" t="s">
        <v>691</v>
      </c>
      <c r="AC64" s="94"/>
      <c r="AD64" s="95"/>
      <c r="AE64" s="111"/>
      <c r="AF64" s="111"/>
      <c r="AG64" s="111"/>
      <c r="AH64" s="111"/>
      <c r="AI64" s="111"/>
      <c r="AJ64" s="111"/>
      <c r="AK64" s="111"/>
      <c r="AL64" s="111"/>
      <c r="AM64" s="111"/>
      <c r="AN64" s="111"/>
      <c r="AO64" s="111"/>
      <c r="AP64" s="111"/>
      <c r="AQ64" s="111"/>
      <c r="AR64" s="21"/>
      <c r="AS64" s="21"/>
      <c r="AT64" s="21"/>
      <c r="AU64" s="21"/>
      <c r="AV64" s="21"/>
      <c r="AW64" s="21"/>
      <c r="AX64" s="21"/>
      <c r="AY64" s="21"/>
      <c r="AZ64" s="21"/>
      <c r="BA64" s="21"/>
    </row>
    <row r="65" spans="1:53" ht="15">
      <c r="A65" s="124"/>
      <c r="B65" s="21"/>
      <c r="C65" s="21"/>
      <c r="D65" s="21"/>
      <c r="E65" s="21"/>
      <c r="F65" s="21"/>
      <c r="G65" s="21"/>
      <c r="H65" s="21"/>
      <c r="I65" s="21"/>
      <c r="J65" s="21"/>
      <c r="K65" s="21"/>
      <c r="L65" s="21"/>
      <c r="M65" s="21"/>
      <c r="N65" s="21"/>
      <c r="O65" s="21"/>
      <c r="R65" s="107">
        <f>'Mia rosa + Org. Finanza'!AG65</f>
        <v>0</v>
      </c>
      <c r="S65" s="107" t="str">
        <f ca="1">'Mia rosa + Org. Finanza'!AH65</f>
        <v/>
      </c>
      <c r="T65" s="107" t="str">
        <f ca="1">'Mia rosa + Org. Finanza'!AI65</f>
        <v/>
      </c>
      <c r="U65" s="107" t="str">
        <f ca="1">'Mia rosa + Org. Finanza'!AJ65</f>
        <v/>
      </c>
      <c r="V65" s="21"/>
      <c r="W65" s="179" t="str">
        <f t="shared" si="0"/>
        <v>Bol</v>
      </c>
      <c r="X65">
        <f t="shared" si="1"/>
        <v>4</v>
      </c>
      <c r="Y65" t="str">
        <f t="shared" si="2"/>
        <v>C4Bol</v>
      </c>
      <c r="Z65" s="193" t="s">
        <v>39</v>
      </c>
      <c r="AA65" s="193" t="s">
        <v>1755</v>
      </c>
      <c r="AB65" s="179" t="s">
        <v>691</v>
      </c>
      <c r="AC65" s="94"/>
      <c r="AD65" s="95"/>
      <c r="AE65" s="111"/>
      <c r="AF65" s="111"/>
      <c r="AG65" s="111"/>
      <c r="AH65" s="111"/>
      <c r="AI65" s="111"/>
      <c r="AJ65" s="111"/>
      <c r="AK65" s="111"/>
      <c r="AL65" s="111"/>
      <c r="AM65" s="111"/>
      <c r="AN65" s="111"/>
      <c r="AO65" s="111"/>
      <c r="AP65" s="111"/>
      <c r="AQ65" s="111"/>
      <c r="AR65" s="21"/>
      <c r="AS65" s="21"/>
      <c r="AT65" s="21"/>
      <c r="AU65" s="21"/>
      <c r="AV65" s="21"/>
      <c r="AW65" s="21"/>
      <c r="AX65" s="21"/>
      <c r="AY65" s="21"/>
      <c r="AZ65" s="21"/>
      <c r="BA65" s="21"/>
    </row>
    <row r="66" spans="1:53" ht="15">
      <c r="A66" s="124"/>
      <c r="B66" s="21"/>
      <c r="C66" s="21"/>
      <c r="D66" s="21"/>
      <c r="E66" s="21"/>
      <c r="F66" s="21"/>
      <c r="G66" s="21"/>
      <c r="H66" s="21"/>
      <c r="I66" s="21"/>
      <c r="J66" s="21"/>
      <c r="K66" s="21"/>
      <c r="L66" s="21"/>
      <c r="M66" s="21"/>
      <c r="N66" s="21"/>
      <c r="O66" s="21"/>
      <c r="R66" s="107">
        <f>'Mia rosa + Org. Finanza'!AG66</f>
        <v>0</v>
      </c>
      <c r="S66" s="107" t="str">
        <f ca="1">'Mia rosa + Org. Finanza'!AH66</f>
        <v/>
      </c>
      <c r="T66" s="107" t="str">
        <f ca="1">'Mia rosa + Org. Finanza'!AI66</f>
        <v/>
      </c>
      <c r="U66" s="107" t="str">
        <f ca="1">'Mia rosa + Org. Finanza'!AJ66</f>
        <v/>
      </c>
      <c r="V66" s="21"/>
      <c r="W66" s="179" t="str">
        <f t="shared" si="0"/>
        <v>Bol</v>
      </c>
      <c r="X66">
        <f t="shared" si="1"/>
        <v>5</v>
      </c>
      <c r="Y66" t="str">
        <f t="shared" si="2"/>
        <v>C5Bol</v>
      </c>
      <c r="Z66" s="193" t="s">
        <v>39</v>
      </c>
      <c r="AA66" s="193" t="s">
        <v>519</v>
      </c>
      <c r="AB66" s="179" t="s">
        <v>691</v>
      </c>
      <c r="AC66" s="94"/>
      <c r="AD66" s="95"/>
      <c r="AE66" s="111"/>
      <c r="AF66" s="111"/>
      <c r="AG66" s="111"/>
      <c r="AH66" s="111"/>
      <c r="AI66" s="111"/>
      <c r="AJ66" s="111"/>
      <c r="AK66" s="111"/>
      <c r="AL66" s="111"/>
      <c r="AM66" s="111"/>
      <c r="AN66" s="111"/>
      <c r="AO66" s="111"/>
      <c r="AP66" s="111"/>
      <c r="AQ66" s="111"/>
      <c r="AR66" s="21"/>
      <c r="AS66" s="21"/>
      <c r="AT66" s="21"/>
      <c r="AU66" s="21"/>
      <c r="AV66" s="21"/>
      <c r="AW66" s="21"/>
      <c r="AX66" s="21"/>
      <c r="AY66" s="21"/>
      <c r="AZ66" s="21"/>
      <c r="BA66" s="21"/>
    </row>
    <row r="67" spans="1:53" ht="15">
      <c r="A67" s="124"/>
      <c r="B67" s="21"/>
      <c r="C67" s="21"/>
      <c r="D67" s="21"/>
      <c r="E67" s="21"/>
      <c r="F67" s="21"/>
      <c r="G67" s="21"/>
      <c r="H67" s="21"/>
      <c r="I67" s="21"/>
      <c r="J67" s="21"/>
      <c r="K67" s="21"/>
      <c r="L67" s="21"/>
      <c r="M67" s="21"/>
      <c r="N67" s="21"/>
      <c r="O67" s="21"/>
      <c r="R67" s="107">
        <f>'Mia rosa + Org. Finanza'!AG67</f>
        <v>0</v>
      </c>
      <c r="S67" s="107" t="str">
        <f ca="1">'Mia rosa + Org. Finanza'!AH67</f>
        <v/>
      </c>
      <c r="T67" s="107" t="str">
        <f ca="1">'Mia rosa + Org. Finanza'!AI67</f>
        <v/>
      </c>
      <c r="U67" s="107" t="str">
        <f ca="1">'Mia rosa + Org. Finanza'!AJ67</f>
        <v/>
      </c>
      <c r="V67" s="21"/>
      <c r="W67" s="179" t="str">
        <f t="shared" ref="W67:W130" si="12">MID(AB67,1,3)</f>
        <v>Bol</v>
      </c>
      <c r="X67">
        <f t="shared" ref="X67:X130" si="13">IF(Z67&lt;&gt;Z66,1,X66+1)</f>
        <v>6</v>
      </c>
      <c r="Y67" t="str">
        <f t="shared" ref="Y67:Y130" si="14">Z67&amp;X67&amp;W67</f>
        <v>C6Bol</v>
      </c>
      <c r="Z67" s="193" t="s">
        <v>39</v>
      </c>
      <c r="AA67" s="193" t="s">
        <v>565</v>
      </c>
      <c r="AB67" s="179" t="s">
        <v>691</v>
      </c>
      <c r="AC67" s="94"/>
      <c r="AD67" s="95"/>
      <c r="AE67" s="111"/>
      <c r="AF67" s="111"/>
      <c r="AG67" s="111"/>
      <c r="AH67" s="111"/>
      <c r="AI67" s="111"/>
      <c r="AJ67" s="111"/>
      <c r="AK67" s="111"/>
      <c r="AL67" s="111"/>
      <c r="AM67" s="111"/>
      <c r="AN67" s="111"/>
      <c r="AO67" s="111"/>
      <c r="AP67" s="111"/>
      <c r="AQ67" s="111"/>
      <c r="AR67" s="21"/>
      <c r="AS67" s="21"/>
      <c r="AT67" s="21"/>
      <c r="AU67" s="21"/>
      <c r="AV67" s="21"/>
      <c r="AW67" s="21"/>
      <c r="AX67" s="21"/>
      <c r="AY67" s="21"/>
      <c r="AZ67" s="21"/>
      <c r="BA67" s="21"/>
    </row>
    <row r="68" spans="1:53" ht="15">
      <c r="A68" s="124"/>
      <c r="B68" s="21"/>
      <c r="C68" s="21"/>
      <c r="D68" s="21"/>
      <c r="E68" s="21"/>
      <c r="F68" s="21"/>
      <c r="G68" s="21"/>
      <c r="H68" s="21"/>
      <c r="I68" s="21"/>
      <c r="J68" s="21"/>
      <c r="K68" s="21"/>
      <c r="L68" s="21"/>
      <c r="M68" s="21"/>
      <c r="N68" s="21"/>
      <c r="O68" s="21"/>
      <c r="R68" s="107">
        <f>'Mia rosa + Org. Finanza'!AG68</f>
        <v>0</v>
      </c>
      <c r="S68" s="107" t="str">
        <f ca="1">'Mia rosa + Org. Finanza'!AH68</f>
        <v/>
      </c>
      <c r="T68" s="107" t="str">
        <f ca="1">'Mia rosa + Org. Finanza'!AI68</f>
        <v/>
      </c>
      <c r="U68" s="107" t="str">
        <f ca="1">'Mia rosa + Org. Finanza'!AJ68</f>
        <v/>
      </c>
      <c r="V68" s="21"/>
      <c r="W68" s="179" t="str">
        <f t="shared" si="12"/>
        <v>Bol</v>
      </c>
      <c r="X68">
        <f t="shared" si="13"/>
        <v>7</v>
      </c>
      <c r="Y68" t="str">
        <f t="shared" si="14"/>
        <v>C7Bol</v>
      </c>
      <c r="Z68" s="193" t="s">
        <v>39</v>
      </c>
      <c r="AA68" s="193" t="s">
        <v>584</v>
      </c>
      <c r="AB68" s="179" t="s">
        <v>691</v>
      </c>
      <c r="AC68" s="94"/>
      <c r="AD68" s="95"/>
      <c r="AE68" s="111"/>
      <c r="AF68" s="111"/>
      <c r="AG68" s="111"/>
      <c r="AH68" s="111"/>
      <c r="AI68" s="111"/>
      <c r="AJ68" s="111"/>
      <c r="AK68" s="111"/>
      <c r="AL68" s="111"/>
      <c r="AM68" s="111"/>
      <c r="AN68" s="111"/>
      <c r="AO68" s="111"/>
      <c r="AP68" s="111"/>
      <c r="AQ68" s="111"/>
      <c r="AR68" s="21"/>
      <c r="AS68" s="21"/>
      <c r="AT68" s="21"/>
      <c r="AU68" s="21"/>
      <c r="AV68" s="21"/>
      <c r="AW68" s="21"/>
      <c r="AX68" s="21"/>
      <c r="AY68" s="21"/>
      <c r="AZ68" s="21"/>
      <c r="BA68" s="21"/>
    </row>
    <row r="69" spans="1:53" ht="15">
      <c r="A69" s="124"/>
      <c r="B69" s="21"/>
      <c r="C69" s="21"/>
      <c r="D69" s="21"/>
      <c r="E69" s="21"/>
      <c r="F69" s="21"/>
      <c r="G69" s="21"/>
      <c r="H69" s="21"/>
      <c r="I69" s="21"/>
      <c r="J69" s="21"/>
      <c r="K69" s="21"/>
      <c r="L69" s="21"/>
      <c r="M69" s="21"/>
      <c r="N69" s="21"/>
      <c r="O69" s="21"/>
      <c r="Q69" s="125"/>
      <c r="R69" s="107">
        <f>'Mia rosa + Org. Finanza'!AG69</f>
        <v>0</v>
      </c>
      <c r="S69" s="107" t="str">
        <f ca="1">'Mia rosa + Org. Finanza'!AH69</f>
        <v/>
      </c>
      <c r="T69" s="107" t="str">
        <f ca="1">'Mia rosa + Org. Finanza'!AI69</f>
        <v/>
      </c>
      <c r="U69" s="107" t="str">
        <f ca="1">'Mia rosa + Org. Finanza'!AJ69</f>
        <v/>
      </c>
      <c r="V69" s="21"/>
      <c r="W69" s="179" t="str">
        <f t="shared" si="12"/>
        <v>Bol</v>
      </c>
      <c r="X69">
        <f t="shared" si="13"/>
        <v>8</v>
      </c>
      <c r="Y69" t="str">
        <f t="shared" si="14"/>
        <v>C8Bol</v>
      </c>
      <c r="Z69" s="193" t="s">
        <v>39</v>
      </c>
      <c r="AA69" s="193" t="s">
        <v>587</v>
      </c>
      <c r="AB69" s="179" t="s">
        <v>691</v>
      </c>
      <c r="AC69" s="94"/>
      <c r="AD69" s="95"/>
      <c r="AE69" s="111"/>
      <c r="AF69" s="111"/>
      <c r="AG69" s="111"/>
      <c r="AH69" s="111"/>
      <c r="AI69" s="111"/>
      <c r="AJ69" s="111"/>
      <c r="AK69" s="111"/>
      <c r="AL69" s="111"/>
      <c r="AM69" s="111"/>
      <c r="AN69" s="111"/>
      <c r="AO69" s="111"/>
      <c r="AP69" s="111"/>
      <c r="AQ69" s="111"/>
      <c r="AR69" s="21"/>
      <c r="AS69" s="21"/>
      <c r="AT69" s="21"/>
      <c r="AU69" s="21"/>
      <c r="AV69" s="21"/>
      <c r="AW69" s="21"/>
      <c r="AX69" s="21"/>
      <c r="AY69" s="21"/>
      <c r="AZ69" s="21"/>
      <c r="BA69" s="21"/>
    </row>
    <row r="70" spans="1:53" ht="15">
      <c r="A70" s="124"/>
      <c r="B70" s="21"/>
      <c r="C70" s="21"/>
      <c r="D70" s="21"/>
      <c r="E70" s="21"/>
      <c r="F70" s="21"/>
      <c r="G70" s="21"/>
      <c r="H70" s="21"/>
      <c r="I70" s="21"/>
      <c r="J70" s="21"/>
      <c r="K70" s="21"/>
      <c r="L70" s="21"/>
      <c r="M70" s="21"/>
      <c r="N70" s="21"/>
      <c r="O70" s="21"/>
      <c r="Q70" s="125"/>
      <c r="R70" s="107">
        <f>'Mia rosa + Org. Finanza'!AG70</f>
        <v>0</v>
      </c>
      <c r="S70" s="107" t="str">
        <f ca="1">'Mia rosa + Org. Finanza'!AH70</f>
        <v/>
      </c>
      <c r="T70" s="107" t="str">
        <f ca="1">'Mia rosa + Org. Finanza'!AI70</f>
        <v/>
      </c>
      <c r="U70" s="107" t="str">
        <f ca="1">'Mia rosa + Org. Finanza'!AJ70</f>
        <v/>
      </c>
      <c r="V70" s="21"/>
      <c r="W70" s="179" t="str">
        <f t="shared" si="12"/>
        <v>Bol</v>
      </c>
      <c r="X70">
        <f t="shared" si="13"/>
        <v>9</v>
      </c>
      <c r="Y70" t="str">
        <f t="shared" si="14"/>
        <v>C9Bol</v>
      </c>
      <c r="Z70" s="193" t="s">
        <v>39</v>
      </c>
      <c r="AA70" s="193" t="s">
        <v>613</v>
      </c>
      <c r="AB70" s="179" t="s">
        <v>691</v>
      </c>
      <c r="AC70" s="94"/>
      <c r="AD70" s="95"/>
      <c r="AE70" s="111"/>
      <c r="AF70" s="111"/>
      <c r="AG70" s="111"/>
      <c r="AH70" s="111"/>
      <c r="AI70" s="111"/>
      <c r="AJ70" s="111"/>
      <c r="AK70" s="111"/>
      <c r="AL70" s="111"/>
      <c r="AM70" s="111"/>
      <c r="AN70" s="111"/>
      <c r="AO70" s="111"/>
      <c r="AP70" s="111"/>
      <c r="AQ70" s="111"/>
      <c r="AR70" s="21"/>
      <c r="AS70" s="21"/>
      <c r="AT70" s="21"/>
      <c r="AU70" s="21"/>
      <c r="AV70" s="21"/>
      <c r="AW70" s="21"/>
      <c r="AX70" s="21"/>
      <c r="AY70" s="21"/>
      <c r="AZ70" s="21"/>
      <c r="BA70" s="21"/>
    </row>
    <row r="71" spans="1:53" ht="15">
      <c r="A71" s="124"/>
      <c r="B71" s="21"/>
      <c r="C71" s="21"/>
      <c r="D71" s="21"/>
      <c r="E71" s="21"/>
      <c r="F71" s="21"/>
      <c r="G71" s="21"/>
      <c r="H71" s="21"/>
      <c r="I71" s="21"/>
      <c r="J71" s="21"/>
      <c r="K71" s="21"/>
      <c r="L71" s="21"/>
      <c r="M71" s="21"/>
      <c r="N71" s="21"/>
      <c r="O71" s="21"/>
      <c r="Q71" s="125"/>
      <c r="R71" s="107">
        <f>'Mia rosa + Org. Finanza'!AG71</f>
        <v>0</v>
      </c>
      <c r="S71" s="107" t="str">
        <f ca="1">'Mia rosa + Org. Finanza'!AH71</f>
        <v/>
      </c>
      <c r="T71" s="107" t="str">
        <f ca="1">'Mia rosa + Org. Finanza'!AI71</f>
        <v/>
      </c>
      <c r="U71" s="107" t="str">
        <f ca="1">'Mia rosa + Org. Finanza'!AJ71</f>
        <v/>
      </c>
      <c r="V71" s="21"/>
      <c r="W71" s="179" t="str">
        <f t="shared" si="12"/>
        <v>Bol</v>
      </c>
      <c r="X71">
        <f t="shared" si="13"/>
        <v>10</v>
      </c>
      <c r="Y71" t="str">
        <f t="shared" si="14"/>
        <v>C10Bol</v>
      </c>
      <c r="Z71" s="193" t="s">
        <v>39</v>
      </c>
      <c r="AA71" s="193" t="s">
        <v>1805</v>
      </c>
      <c r="AB71" s="179" t="s">
        <v>691</v>
      </c>
      <c r="AC71" s="94"/>
      <c r="AD71" s="95"/>
      <c r="AE71" s="111"/>
      <c r="AF71" s="111"/>
      <c r="AG71" s="111"/>
      <c r="AH71" s="111"/>
      <c r="AI71" s="111"/>
      <c r="AJ71" s="111"/>
      <c r="AK71" s="111"/>
      <c r="AL71" s="111"/>
      <c r="AM71" s="111"/>
      <c r="AN71" s="111"/>
      <c r="AO71" s="111"/>
      <c r="AP71" s="111"/>
      <c r="AQ71" s="111"/>
      <c r="AR71" s="21"/>
      <c r="AS71" s="21"/>
      <c r="AT71" s="21"/>
      <c r="AU71" s="21"/>
      <c r="AV71" s="21"/>
      <c r="AW71" s="21"/>
      <c r="AX71" s="21"/>
      <c r="AY71" s="21"/>
      <c r="AZ71" s="21"/>
      <c r="BA71" s="21"/>
    </row>
    <row r="72" spans="1:53" ht="15">
      <c r="A72" s="124"/>
      <c r="B72" s="21"/>
      <c r="C72" s="21"/>
      <c r="D72" s="21"/>
      <c r="E72" s="21"/>
      <c r="F72" s="21"/>
      <c r="G72" s="21"/>
      <c r="H72" s="21"/>
      <c r="I72" s="21"/>
      <c r="J72" s="21"/>
      <c r="K72" s="21"/>
      <c r="L72" s="21"/>
      <c r="M72" s="21"/>
      <c r="N72" s="21"/>
      <c r="O72" s="21"/>
      <c r="Q72" s="125"/>
      <c r="R72" s="107">
        <f>'Mia rosa + Org. Finanza'!AG72</f>
        <v>0</v>
      </c>
      <c r="S72" s="107" t="str">
        <f ca="1">'Mia rosa + Org. Finanza'!AH72</f>
        <v/>
      </c>
      <c r="T72" s="107" t="str">
        <f ca="1">'Mia rosa + Org. Finanza'!AI72</f>
        <v/>
      </c>
      <c r="U72" s="107" t="str">
        <f ca="1">'Mia rosa + Org. Finanza'!AJ72</f>
        <v/>
      </c>
      <c r="V72" s="21"/>
      <c r="W72" s="179" t="str">
        <f t="shared" si="12"/>
        <v>Bol</v>
      </c>
      <c r="X72">
        <f t="shared" si="13"/>
        <v>11</v>
      </c>
      <c r="Y72" t="str">
        <f t="shared" si="14"/>
        <v>C11Bol</v>
      </c>
      <c r="Z72" s="193" t="s">
        <v>39</v>
      </c>
      <c r="AA72" s="193" t="s">
        <v>621</v>
      </c>
      <c r="AB72" s="179" t="s">
        <v>691</v>
      </c>
      <c r="AC72" s="94"/>
      <c r="AD72" s="95"/>
      <c r="AE72" s="111"/>
      <c r="AF72" s="111"/>
      <c r="AG72" s="111"/>
      <c r="AH72" s="111"/>
      <c r="AI72" s="111"/>
      <c r="AJ72" s="111"/>
      <c r="AK72" s="111"/>
      <c r="AL72" s="111"/>
      <c r="AM72" s="111"/>
      <c r="AN72" s="111"/>
      <c r="AO72" s="111"/>
      <c r="AP72" s="111"/>
      <c r="AQ72" s="111"/>
      <c r="AR72" s="21"/>
      <c r="AS72" s="21"/>
      <c r="AT72" s="21"/>
      <c r="AU72" s="21"/>
      <c r="AV72" s="21"/>
      <c r="AW72" s="21"/>
      <c r="AX72" s="21"/>
      <c r="AY72" s="21"/>
      <c r="AZ72" s="21"/>
      <c r="BA72" s="21"/>
    </row>
    <row r="73" spans="1:53" ht="15">
      <c r="A73" s="124"/>
      <c r="B73" s="21"/>
      <c r="C73" s="21"/>
      <c r="D73" s="21"/>
      <c r="E73" s="21"/>
      <c r="F73" s="21"/>
      <c r="G73" s="21"/>
      <c r="H73" s="21"/>
      <c r="I73" s="21"/>
      <c r="J73" s="21"/>
      <c r="K73" s="21"/>
      <c r="L73" s="21"/>
      <c r="M73" s="21"/>
      <c r="N73" s="21"/>
      <c r="O73" s="21"/>
      <c r="Q73" s="125"/>
      <c r="R73" s="107">
        <f>'Mia rosa + Org. Finanza'!AG73</f>
        <v>0</v>
      </c>
      <c r="S73" s="107" t="str">
        <f ca="1">'Mia rosa + Org. Finanza'!AH73</f>
        <v/>
      </c>
      <c r="T73" s="107" t="str">
        <f ca="1">'Mia rosa + Org. Finanza'!AI73</f>
        <v/>
      </c>
      <c r="U73" s="107" t="str">
        <f ca="1">'Mia rosa + Org. Finanza'!AJ73</f>
        <v/>
      </c>
      <c r="V73" s="21"/>
      <c r="W73" s="179" t="str">
        <f t="shared" si="12"/>
        <v>Bol</v>
      </c>
      <c r="X73">
        <f t="shared" si="13"/>
        <v>1</v>
      </c>
      <c r="Y73" t="str">
        <f t="shared" si="14"/>
        <v>D1Bol</v>
      </c>
      <c r="Z73" s="193" t="s">
        <v>37</v>
      </c>
      <c r="AA73" s="193" t="s">
        <v>1290</v>
      </c>
      <c r="AB73" s="179" t="s">
        <v>691</v>
      </c>
      <c r="AC73" s="94"/>
      <c r="AD73"/>
      <c r="AE73" s="111"/>
      <c r="AF73" s="111"/>
      <c r="AG73" s="111"/>
      <c r="AH73" s="111"/>
      <c r="AI73" s="111"/>
      <c r="AJ73" s="111"/>
      <c r="AK73" s="111"/>
      <c r="AL73" s="111"/>
      <c r="AM73" s="111"/>
      <c r="AN73" s="111"/>
      <c r="AO73" s="111"/>
      <c r="AP73" s="111"/>
      <c r="AQ73" s="111"/>
      <c r="AR73" s="21"/>
      <c r="AS73" s="21"/>
      <c r="AT73" s="21"/>
      <c r="AU73" s="21"/>
      <c r="AV73" s="21"/>
      <c r="AW73" s="21"/>
      <c r="AX73" s="21"/>
      <c r="AY73" s="21"/>
      <c r="AZ73" s="21"/>
      <c r="BA73" s="21"/>
    </row>
    <row r="74" spans="1:53" ht="15">
      <c r="A74" s="124"/>
      <c r="B74" s="21"/>
      <c r="C74" s="21"/>
      <c r="D74" s="21"/>
      <c r="E74" s="21"/>
      <c r="F74" s="21"/>
      <c r="G74" s="21"/>
      <c r="H74" s="21"/>
      <c r="I74" s="21"/>
      <c r="J74" s="21"/>
      <c r="K74" s="21"/>
      <c r="L74" s="21"/>
      <c r="M74" s="21"/>
      <c r="N74" s="21"/>
      <c r="O74" s="21"/>
      <c r="Q74" s="125"/>
      <c r="R74" s="107">
        <f>'Mia rosa + Org. Finanza'!AG74</f>
        <v>0</v>
      </c>
      <c r="S74" s="107" t="str">
        <f ca="1">'Mia rosa + Org. Finanza'!AH74</f>
        <v/>
      </c>
      <c r="T74" s="107" t="str">
        <f ca="1">'Mia rosa + Org. Finanza'!AI74</f>
        <v/>
      </c>
      <c r="U74" s="107" t="str">
        <f ca="1">'Mia rosa + Org. Finanza'!AJ74</f>
        <v/>
      </c>
      <c r="V74" s="21"/>
      <c r="W74" s="179" t="str">
        <f t="shared" si="12"/>
        <v>Bol</v>
      </c>
      <c r="X74">
        <f t="shared" si="13"/>
        <v>2</v>
      </c>
      <c r="Y74" t="str">
        <f t="shared" si="14"/>
        <v>D2Bol</v>
      </c>
      <c r="Z74" s="193" t="s">
        <v>37</v>
      </c>
      <c r="AA74" s="193" t="s">
        <v>505</v>
      </c>
      <c r="AB74" s="179" t="s">
        <v>691</v>
      </c>
      <c r="AC74" s="94"/>
      <c r="AD74" s="95"/>
      <c r="AE74" s="111"/>
      <c r="AF74" s="111"/>
      <c r="AG74" s="111"/>
      <c r="AH74" s="111"/>
      <c r="AI74" s="111"/>
      <c r="AJ74" s="111"/>
      <c r="AK74" s="111"/>
      <c r="AL74" s="111"/>
      <c r="AM74" s="111"/>
      <c r="AN74" s="111"/>
      <c r="AO74" s="111"/>
      <c r="AP74" s="111"/>
      <c r="AQ74" s="111"/>
      <c r="AR74" s="21"/>
      <c r="AS74" s="21"/>
      <c r="AT74" s="21"/>
      <c r="AU74" s="21"/>
      <c r="AV74" s="21"/>
      <c r="AW74" s="21"/>
      <c r="AX74" s="21"/>
      <c r="AY74" s="21"/>
      <c r="AZ74" s="21"/>
      <c r="BA74" s="21"/>
    </row>
    <row r="75" spans="1:53" ht="15">
      <c r="A75" s="124"/>
      <c r="B75" s="21"/>
      <c r="C75" s="21"/>
      <c r="D75" s="21"/>
      <c r="E75" s="21"/>
      <c r="F75" s="21"/>
      <c r="G75" s="21"/>
      <c r="H75" s="21"/>
      <c r="I75" s="21"/>
      <c r="J75" s="21"/>
      <c r="K75" s="21"/>
      <c r="L75" s="21"/>
      <c r="M75" s="21"/>
      <c r="N75" s="21"/>
      <c r="O75" s="21"/>
      <c r="Q75" s="125"/>
      <c r="R75" s="107">
        <f>'Mia rosa + Org. Finanza'!AG75</f>
        <v>0</v>
      </c>
      <c r="S75" s="107" t="str">
        <f ca="1">'Mia rosa + Org. Finanza'!AH75</f>
        <v/>
      </c>
      <c r="T75" s="107" t="str">
        <f ca="1">'Mia rosa + Org. Finanza'!AI75</f>
        <v/>
      </c>
      <c r="U75" s="107" t="str">
        <f ca="1">'Mia rosa + Org. Finanza'!AJ75</f>
        <v/>
      </c>
      <c r="V75" s="21"/>
      <c r="W75" s="179" t="str">
        <f t="shared" si="12"/>
        <v>Bol</v>
      </c>
      <c r="X75">
        <f t="shared" si="13"/>
        <v>3</v>
      </c>
      <c r="Y75" t="str">
        <f t="shared" si="14"/>
        <v>D3Bol</v>
      </c>
      <c r="Z75" s="193" t="s">
        <v>37</v>
      </c>
      <c r="AA75" s="193" t="s">
        <v>1343</v>
      </c>
      <c r="AB75" s="179" t="s">
        <v>691</v>
      </c>
      <c r="AC75" s="94"/>
      <c r="AD75" s="95"/>
      <c r="AE75" s="111"/>
      <c r="AF75" s="111"/>
      <c r="AG75" s="111"/>
      <c r="AH75" s="111"/>
      <c r="AI75" s="111"/>
      <c r="AJ75" s="111"/>
      <c r="AK75" s="111"/>
      <c r="AL75" s="111"/>
      <c r="AM75" s="111"/>
      <c r="AN75" s="111"/>
      <c r="AO75" s="111"/>
      <c r="AP75" s="111"/>
      <c r="AQ75" s="111"/>
      <c r="AR75" s="21"/>
      <c r="AS75" s="21"/>
      <c r="AT75" s="21"/>
      <c r="AU75" s="21"/>
      <c r="AV75" s="21"/>
      <c r="AW75" s="21"/>
      <c r="AX75" s="21"/>
      <c r="AY75" s="21"/>
      <c r="AZ75" s="21"/>
      <c r="BA75" s="21"/>
    </row>
    <row r="76" spans="1:53" ht="15">
      <c r="A76" s="124"/>
      <c r="B76" s="21"/>
      <c r="C76" s="21"/>
      <c r="D76" s="21"/>
      <c r="E76" s="21"/>
      <c r="F76" s="21"/>
      <c r="G76" s="21"/>
      <c r="H76" s="21"/>
      <c r="I76" s="21"/>
      <c r="J76" s="21"/>
      <c r="K76" s="21"/>
      <c r="L76" s="21"/>
      <c r="M76" s="21"/>
      <c r="N76" s="21"/>
      <c r="O76" s="21"/>
      <c r="Q76" s="125"/>
      <c r="R76" s="107">
        <f>'Mia rosa + Org. Finanza'!AG76</f>
        <v>0</v>
      </c>
      <c r="S76" s="107" t="str">
        <f ca="1">'Mia rosa + Org. Finanza'!AH76</f>
        <v/>
      </c>
      <c r="T76" s="107" t="str">
        <f ca="1">'Mia rosa + Org. Finanza'!AI76</f>
        <v/>
      </c>
      <c r="U76" s="107" t="str">
        <f ca="1">'Mia rosa + Org. Finanza'!AJ76</f>
        <v/>
      </c>
      <c r="V76" s="21"/>
      <c r="W76" s="179" t="str">
        <f t="shared" si="12"/>
        <v>Bol</v>
      </c>
      <c r="X76">
        <f t="shared" si="13"/>
        <v>4</v>
      </c>
      <c r="Y76" t="str">
        <f t="shared" si="14"/>
        <v>D4Bol</v>
      </c>
      <c r="Z76" s="193" t="s">
        <v>37</v>
      </c>
      <c r="AA76" s="193" t="s">
        <v>1987</v>
      </c>
      <c r="AB76" s="179" t="s">
        <v>691</v>
      </c>
      <c r="AC76" s="94"/>
      <c r="AD76"/>
      <c r="AE76" s="111"/>
      <c r="AF76" s="111"/>
      <c r="AG76" s="111"/>
      <c r="AH76" s="111"/>
      <c r="AI76" s="111"/>
      <c r="AJ76" s="111"/>
      <c r="AK76" s="111"/>
      <c r="AL76" s="111"/>
      <c r="AM76" s="111"/>
      <c r="AN76" s="111"/>
      <c r="AO76" s="111"/>
      <c r="AP76" s="111"/>
      <c r="AQ76" s="111"/>
      <c r="AR76" s="21"/>
      <c r="AS76" s="21"/>
      <c r="AT76" s="21"/>
      <c r="AU76" s="21"/>
      <c r="AV76" s="21"/>
      <c r="AW76" s="21"/>
      <c r="AX76" s="21"/>
      <c r="AY76" s="21"/>
      <c r="AZ76" s="21"/>
      <c r="BA76" s="21"/>
    </row>
    <row r="77" spans="1:53" ht="15">
      <c r="A77" s="124"/>
      <c r="B77" s="21"/>
      <c r="C77" s="21"/>
      <c r="D77" s="21"/>
      <c r="E77" s="21"/>
      <c r="F77" s="21"/>
      <c r="G77" s="21"/>
      <c r="H77" s="21"/>
      <c r="I77" s="21"/>
      <c r="J77" s="21"/>
      <c r="K77" s="21"/>
      <c r="L77" s="21"/>
      <c r="M77" s="21"/>
      <c r="N77" s="21"/>
      <c r="O77" s="21"/>
      <c r="Q77" s="125"/>
      <c r="R77" s="107">
        <f>'Mia rosa + Org. Finanza'!AG77</f>
        <v>0</v>
      </c>
      <c r="S77" s="107" t="str">
        <f ca="1">'Mia rosa + Org. Finanza'!AH77</f>
        <v/>
      </c>
      <c r="T77" s="107" t="str">
        <f ca="1">'Mia rosa + Org. Finanza'!AI77</f>
        <v/>
      </c>
      <c r="U77" s="107" t="str">
        <f ca="1">'Mia rosa + Org. Finanza'!AJ77</f>
        <v/>
      </c>
      <c r="V77" s="21"/>
      <c r="W77" s="179" t="str">
        <f t="shared" si="12"/>
        <v>Bol</v>
      </c>
      <c r="X77">
        <f t="shared" si="13"/>
        <v>5</v>
      </c>
      <c r="Y77" t="str">
        <f t="shared" si="14"/>
        <v>D5Bol</v>
      </c>
      <c r="Z77" s="193" t="s">
        <v>37</v>
      </c>
      <c r="AA77" s="193" t="s">
        <v>524</v>
      </c>
      <c r="AB77" s="179" t="s">
        <v>691</v>
      </c>
      <c r="AC77" s="94"/>
      <c r="AD77" s="95"/>
      <c r="AE77" s="111"/>
      <c r="AF77" s="111"/>
      <c r="AG77" s="111"/>
      <c r="AH77" s="111"/>
      <c r="AI77" s="111"/>
      <c r="AJ77" s="111"/>
      <c r="AK77" s="111"/>
      <c r="AL77" s="111"/>
      <c r="AM77" s="111"/>
      <c r="AN77" s="111"/>
      <c r="AO77" s="111"/>
      <c r="AP77" s="111"/>
      <c r="AQ77" s="111"/>
      <c r="AR77" s="21"/>
      <c r="AS77" s="21"/>
      <c r="AT77" s="21"/>
      <c r="AU77" s="21"/>
      <c r="AV77" s="21"/>
      <c r="AW77" s="21"/>
      <c r="AX77" s="21"/>
      <c r="AY77" s="21"/>
      <c r="AZ77" s="21"/>
      <c r="BA77" s="21"/>
    </row>
    <row r="78" spans="1:53" ht="15">
      <c r="A78" s="124"/>
      <c r="B78" s="21"/>
      <c r="C78" s="21"/>
      <c r="D78" s="21"/>
      <c r="E78" s="21"/>
      <c r="F78" s="21"/>
      <c r="G78" s="21"/>
      <c r="H78" s="21"/>
      <c r="I78" s="21"/>
      <c r="J78" s="21"/>
      <c r="K78" s="21"/>
      <c r="L78" s="21"/>
      <c r="M78" s="21"/>
      <c r="N78" s="21"/>
      <c r="O78" s="21"/>
      <c r="Q78" s="125"/>
      <c r="R78" s="107">
        <f>'Mia rosa + Org. Finanza'!AG78</f>
        <v>0</v>
      </c>
      <c r="S78" s="107" t="str">
        <f ca="1">'Mia rosa + Org. Finanza'!AH78</f>
        <v/>
      </c>
      <c r="T78" s="107" t="str">
        <f ca="1">'Mia rosa + Org. Finanza'!AI78</f>
        <v/>
      </c>
      <c r="U78" s="107" t="str">
        <f ca="1">'Mia rosa + Org. Finanza'!AJ78</f>
        <v/>
      </c>
      <c r="V78" s="21"/>
      <c r="W78" s="179" t="str">
        <f t="shared" si="12"/>
        <v>Bol</v>
      </c>
      <c r="X78">
        <f t="shared" si="13"/>
        <v>6</v>
      </c>
      <c r="Y78" t="str">
        <f t="shared" si="14"/>
        <v>D6Bol</v>
      </c>
      <c r="Z78" s="193" t="s">
        <v>37</v>
      </c>
      <c r="AA78" s="193" t="s">
        <v>535</v>
      </c>
      <c r="AB78" s="179" t="s">
        <v>691</v>
      </c>
      <c r="AC78" s="94"/>
      <c r="AD78" s="95"/>
      <c r="AE78" s="111"/>
      <c r="AF78" s="111"/>
      <c r="AG78" s="111"/>
      <c r="AH78" s="111"/>
      <c r="AI78" s="111"/>
      <c r="AJ78" s="111"/>
      <c r="AK78" s="111"/>
      <c r="AL78" s="111"/>
      <c r="AM78" s="111"/>
      <c r="AN78" s="111"/>
      <c r="AO78" s="111"/>
      <c r="AP78" s="111"/>
      <c r="AQ78" s="111"/>
      <c r="AR78" s="21"/>
      <c r="AS78" s="21"/>
      <c r="AT78" s="21"/>
      <c r="AU78" s="21"/>
      <c r="AV78" s="21"/>
      <c r="AW78" s="21"/>
      <c r="AX78" s="21"/>
      <c r="AY78" s="21"/>
      <c r="AZ78" s="21"/>
      <c r="BA78" s="21"/>
    </row>
    <row r="79" spans="1:53" ht="15">
      <c r="A79" s="124"/>
      <c r="B79" s="21"/>
      <c r="C79" s="21"/>
      <c r="D79" s="21"/>
      <c r="E79" s="21"/>
      <c r="F79" s="21"/>
      <c r="G79" s="21"/>
      <c r="H79" s="21"/>
      <c r="I79" s="21"/>
      <c r="J79" s="21"/>
      <c r="K79" s="21"/>
      <c r="L79" s="21"/>
      <c r="M79" s="21"/>
      <c r="N79" s="21"/>
      <c r="O79" s="21"/>
      <c r="Q79" s="125"/>
      <c r="R79" s="107">
        <f>'Mia rosa + Org. Finanza'!AG79</f>
        <v>0</v>
      </c>
      <c r="S79" s="107" t="str">
        <f ca="1">'Mia rosa + Org. Finanza'!AH79</f>
        <v/>
      </c>
      <c r="T79" s="107" t="str">
        <f ca="1">'Mia rosa + Org. Finanza'!AI79</f>
        <v/>
      </c>
      <c r="U79" s="107" t="str">
        <f ca="1">'Mia rosa + Org. Finanza'!AJ79</f>
        <v/>
      </c>
      <c r="V79" s="21"/>
      <c r="W79" s="179" t="str">
        <f t="shared" si="12"/>
        <v>Bol</v>
      </c>
      <c r="X79">
        <f t="shared" si="13"/>
        <v>7</v>
      </c>
      <c r="Y79" t="str">
        <f t="shared" si="14"/>
        <v>D7Bol</v>
      </c>
      <c r="Z79" s="193" t="s">
        <v>37</v>
      </c>
      <c r="AA79" s="193" t="s">
        <v>546</v>
      </c>
      <c r="AB79" s="179" t="s">
        <v>691</v>
      </c>
      <c r="AC79" s="94"/>
      <c r="AD79" s="95"/>
      <c r="AE79" s="111"/>
      <c r="AF79" s="111"/>
      <c r="AG79" s="111"/>
      <c r="AH79" s="111"/>
      <c r="AI79" s="111"/>
      <c r="AJ79" s="111"/>
      <c r="AK79" s="111"/>
      <c r="AL79" s="111"/>
      <c r="AM79" s="111"/>
      <c r="AN79" s="111"/>
      <c r="AO79" s="111"/>
      <c r="AP79" s="111"/>
      <c r="AQ79" s="111"/>
      <c r="AR79" s="21"/>
      <c r="AS79" s="21"/>
      <c r="AT79" s="21"/>
      <c r="AU79" s="21"/>
      <c r="AV79" s="21"/>
      <c r="AW79" s="21"/>
      <c r="AX79" s="21"/>
      <c r="AY79" s="21"/>
      <c r="AZ79" s="21"/>
      <c r="BA79" s="21"/>
    </row>
    <row r="80" spans="1:53" ht="15">
      <c r="A80" s="124"/>
      <c r="B80" s="21"/>
      <c r="C80" s="21"/>
      <c r="D80" s="21"/>
      <c r="E80" s="21"/>
      <c r="F80" s="21"/>
      <c r="G80" s="21"/>
      <c r="H80" s="21"/>
      <c r="I80" s="21"/>
      <c r="J80" s="21"/>
      <c r="K80" s="21"/>
      <c r="L80" s="21"/>
      <c r="M80" s="21"/>
      <c r="N80" s="21"/>
      <c r="O80" s="21"/>
      <c r="Q80" s="125"/>
      <c r="R80" s="107">
        <f>'Mia rosa + Org. Finanza'!AG80</f>
        <v>0</v>
      </c>
      <c r="S80" s="107" t="str">
        <f ca="1">'Mia rosa + Org. Finanza'!AH80</f>
        <v/>
      </c>
      <c r="T80" s="107" t="str">
        <f ca="1">'Mia rosa + Org. Finanza'!AI80</f>
        <v/>
      </c>
      <c r="U80" s="107" t="str">
        <f ca="1">'Mia rosa + Org. Finanza'!AJ80</f>
        <v/>
      </c>
      <c r="V80" s="21"/>
      <c r="W80" s="179" t="str">
        <f t="shared" si="12"/>
        <v>Bol</v>
      </c>
      <c r="X80">
        <f t="shared" si="13"/>
        <v>8</v>
      </c>
      <c r="Y80" t="str">
        <f t="shared" si="14"/>
        <v>D8Bol</v>
      </c>
      <c r="Z80" s="193" t="s">
        <v>37</v>
      </c>
      <c r="AA80" s="193" t="s">
        <v>550</v>
      </c>
      <c r="AB80" s="179" t="s">
        <v>691</v>
      </c>
      <c r="AC80" s="94"/>
      <c r="AD80"/>
      <c r="AE80" s="111"/>
      <c r="AF80" s="111"/>
      <c r="AG80" s="111"/>
      <c r="AH80" s="111"/>
      <c r="AI80" s="111"/>
      <c r="AJ80" s="111"/>
      <c r="AK80" s="111"/>
      <c r="AL80" s="111"/>
      <c r="AM80" s="111"/>
      <c r="AN80" s="111"/>
      <c r="AO80" s="111"/>
      <c r="AP80" s="111"/>
      <c r="AQ80" s="111"/>
      <c r="AR80" s="21"/>
      <c r="AS80" s="21"/>
      <c r="AT80" s="21"/>
      <c r="AU80" s="21"/>
      <c r="AV80" s="21"/>
      <c r="AW80" s="21"/>
      <c r="AX80" s="21"/>
      <c r="AY80" s="21"/>
      <c r="AZ80" s="21"/>
      <c r="BA80" s="21"/>
    </row>
    <row r="81" spans="1:53" ht="15">
      <c r="A81" s="124"/>
      <c r="B81" s="21"/>
      <c r="C81" s="21"/>
      <c r="D81" s="21"/>
      <c r="E81" s="21"/>
      <c r="F81" s="21"/>
      <c r="G81" s="21"/>
      <c r="H81" s="21"/>
      <c r="I81" s="21"/>
      <c r="J81" s="21"/>
      <c r="K81" s="21"/>
      <c r="L81" s="21"/>
      <c r="M81" s="21"/>
      <c r="N81" s="21"/>
      <c r="O81" s="21"/>
      <c r="Q81" s="125"/>
      <c r="R81" s="107">
        <f>'Mia rosa + Org. Finanza'!AG81</f>
        <v>0</v>
      </c>
      <c r="S81" s="107" t="str">
        <f ca="1">'Mia rosa + Org. Finanza'!AH81</f>
        <v/>
      </c>
      <c r="T81" s="107" t="str">
        <f ca="1">'Mia rosa + Org. Finanza'!AI81</f>
        <v/>
      </c>
      <c r="U81" s="107" t="str">
        <f ca="1">'Mia rosa + Org. Finanza'!AJ81</f>
        <v/>
      </c>
      <c r="V81" s="21"/>
      <c r="W81" s="179" t="str">
        <f t="shared" si="12"/>
        <v>Bol</v>
      </c>
      <c r="X81">
        <f t="shared" si="13"/>
        <v>9</v>
      </c>
      <c r="Y81" t="str">
        <f t="shared" si="14"/>
        <v>D9Bol</v>
      </c>
      <c r="Z81" s="193" t="s">
        <v>37</v>
      </c>
      <c r="AA81" s="193" t="s">
        <v>612</v>
      </c>
      <c r="AB81" s="179" t="s">
        <v>691</v>
      </c>
      <c r="AC81" s="94"/>
      <c r="AD81" s="95"/>
      <c r="AE81" s="111"/>
      <c r="AF81" s="111"/>
      <c r="AG81" s="111"/>
      <c r="AH81" s="111"/>
      <c r="AI81" s="111"/>
      <c r="AJ81" s="111"/>
      <c r="AK81" s="111"/>
      <c r="AL81" s="111"/>
      <c r="AM81" s="111"/>
      <c r="AN81" s="111"/>
      <c r="AO81" s="111"/>
      <c r="AP81" s="111"/>
      <c r="AQ81" s="111"/>
      <c r="AR81" s="21"/>
      <c r="AS81" s="21"/>
      <c r="AT81" s="21"/>
      <c r="AU81" s="21"/>
      <c r="AV81" s="21"/>
      <c r="AW81" s="21"/>
      <c r="AX81" s="21"/>
      <c r="AY81" s="21"/>
      <c r="AZ81" s="21"/>
      <c r="BA81" s="21"/>
    </row>
    <row r="82" spans="1:53" ht="15">
      <c r="A82" s="124"/>
      <c r="B82" s="21"/>
      <c r="C82" s="21"/>
      <c r="D82" s="21"/>
      <c r="E82" s="21"/>
      <c r="F82" s="21"/>
      <c r="G82" s="21"/>
      <c r="H82" s="21"/>
      <c r="I82" s="21"/>
      <c r="J82" s="21"/>
      <c r="K82" s="21"/>
      <c r="L82" s="21"/>
      <c r="M82" s="21"/>
      <c r="N82" s="21"/>
      <c r="O82" s="21"/>
      <c r="Q82" s="125"/>
      <c r="R82" s="107">
        <f>'Mia rosa + Org. Finanza'!AG82</f>
        <v>0</v>
      </c>
      <c r="S82" s="107" t="str">
        <f ca="1">'Mia rosa + Org. Finanza'!AH82</f>
        <v/>
      </c>
      <c r="T82" s="107" t="str">
        <f ca="1">'Mia rosa + Org. Finanza'!AI82</f>
        <v/>
      </c>
      <c r="U82" s="107" t="str">
        <f ca="1">'Mia rosa + Org. Finanza'!AJ82</f>
        <v/>
      </c>
      <c r="V82" s="21"/>
      <c r="W82" s="179" t="str">
        <f t="shared" si="12"/>
        <v>Bol</v>
      </c>
      <c r="X82">
        <f t="shared" si="13"/>
        <v>1</v>
      </c>
      <c r="Y82" t="str">
        <f t="shared" si="14"/>
        <v>P1Bol</v>
      </c>
      <c r="Z82" s="193" t="s">
        <v>35</v>
      </c>
      <c r="AA82" s="193" t="s">
        <v>332</v>
      </c>
      <c r="AB82" s="179" t="s">
        <v>691</v>
      </c>
      <c r="AC82" s="94"/>
      <c r="AD82" s="95"/>
      <c r="AE82" s="111"/>
      <c r="AF82" s="111"/>
      <c r="AG82" s="111"/>
      <c r="AH82" s="111"/>
      <c r="AI82" s="111"/>
      <c r="AJ82" s="111"/>
      <c r="AK82" s="111"/>
      <c r="AL82" s="111"/>
      <c r="AM82" s="111"/>
      <c r="AN82" s="111"/>
      <c r="AO82" s="111"/>
      <c r="AP82" s="111"/>
      <c r="AQ82" s="111"/>
      <c r="AR82" s="21"/>
      <c r="AS82" s="21"/>
      <c r="AT82" s="21"/>
      <c r="AU82" s="21"/>
      <c r="AV82" s="21"/>
      <c r="AW82" s="21"/>
      <c r="AX82" s="21"/>
      <c r="AY82" s="21"/>
      <c r="AZ82" s="21"/>
      <c r="BA82" s="21"/>
    </row>
    <row r="83" spans="1:53" ht="15">
      <c r="A83" s="124"/>
      <c r="B83" s="21"/>
      <c r="C83" s="21"/>
      <c r="D83" s="21"/>
      <c r="E83" s="21"/>
      <c r="F83" s="21"/>
      <c r="G83" s="21"/>
      <c r="H83" s="21"/>
      <c r="I83" s="21"/>
      <c r="J83" s="21"/>
      <c r="K83" s="21"/>
      <c r="L83" s="21"/>
      <c r="M83" s="21"/>
      <c r="N83" s="21"/>
      <c r="O83" s="21"/>
      <c r="Q83" s="125"/>
      <c r="R83" s="107">
        <f>'Mia rosa + Org. Finanza'!AG83</f>
        <v>0</v>
      </c>
      <c r="S83" s="107" t="str">
        <f ca="1">'Mia rosa + Org. Finanza'!AH83</f>
        <v/>
      </c>
      <c r="T83" s="107" t="str">
        <f ca="1">'Mia rosa + Org. Finanza'!AI83</f>
        <v/>
      </c>
      <c r="U83" s="107" t="str">
        <f ca="1">'Mia rosa + Org. Finanza'!AJ83</f>
        <v/>
      </c>
      <c r="V83" s="21"/>
      <c r="W83" s="179" t="str">
        <f t="shared" si="12"/>
        <v>Bol</v>
      </c>
      <c r="X83">
        <f t="shared" si="13"/>
        <v>2</v>
      </c>
      <c r="Y83" t="str">
        <f t="shared" si="14"/>
        <v>P2Bol</v>
      </c>
      <c r="Z83" s="193" t="s">
        <v>35</v>
      </c>
      <c r="AA83" s="193" t="s">
        <v>379</v>
      </c>
      <c r="AB83" s="179" t="s">
        <v>691</v>
      </c>
      <c r="AC83" s="94"/>
      <c r="AD83" s="95"/>
      <c r="AE83" s="111"/>
      <c r="AF83" s="111"/>
      <c r="AG83" s="111"/>
      <c r="AH83" s="111"/>
      <c r="AI83" s="111"/>
      <c r="AJ83" s="111"/>
      <c r="AK83" s="111"/>
      <c r="AL83" s="111"/>
      <c r="AM83" s="111"/>
      <c r="AN83" s="111"/>
      <c r="AO83" s="111"/>
      <c r="AP83" s="111"/>
      <c r="AQ83" s="111"/>
      <c r="AR83" s="21"/>
      <c r="AS83" s="21"/>
      <c r="AT83" s="21"/>
      <c r="AU83" s="21"/>
      <c r="AV83" s="21"/>
      <c r="AW83" s="21"/>
      <c r="AX83" s="21"/>
      <c r="AY83" s="21"/>
      <c r="AZ83" s="21"/>
      <c r="BA83" s="21"/>
    </row>
    <row r="84" spans="1:53" ht="15">
      <c r="A84" s="124"/>
      <c r="B84" s="21"/>
      <c r="C84" s="21"/>
      <c r="D84" s="21"/>
      <c r="E84" s="21"/>
      <c r="F84" s="21"/>
      <c r="G84" s="21"/>
      <c r="H84" s="21"/>
      <c r="I84" s="21"/>
      <c r="J84" s="21"/>
      <c r="K84" s="21"/>
      <c r="L84" s="21"/>
      <c r="M84" s="21"/>
      <c r="N84" s="21"/>
      <c r="O84" s="21"/>
      <c r="Q84" s="125"/>
      <c r="R84" s="107">
        <f>'Mia rosa + Org. Finanza'!AG84</f>
        <v>0</v>
      </c>
      <c r="S84" s="107" t="str">
        <f ca="1">'Mia rosa + Org. Finanza'!AH84</f>
        <v/>
      </c>
      <c r="T84" s="107" t="str">
        <f ca="1">'Mia rosa + Org. Finanza'!AI84</f>
        <v/>
      </c>
      <c r="U84" s="107" t="str">
        <f ca="1">'Mia rosa + Org. Finanza'!AJ84</f>
        <v/>
      </c>
      <c r="V84" s="21"/>
      <c r="W84" s="179" t="str">
        <f t="shared" si="12"/>
        <v>Bol</v>
      </c>
      <c r="X84">
        <f t="shared" si="13"/>
        <v>3</v>
      </c>
      <c r="Y84" t="str">
        <f t="shared" si="14"/>
        <v>P3Bol</v>
      </c>
      <c r="Z84" s="193" t="s">
        <v>35</v>
      </c>
      <c r="AA84" s="193" t="s">
        <v>1682</v>
      </c>
      <c r="AB84" s="179" t="s">
        <v>691</v>
      </c>
      <c r="AC84" s="94"/>
      <c r="AD84" s="95"/>
      <c r="AE84" s="111"/>
      <c r="AF84" s="111"/>
      <c r="AG84" s="111"/>
      <c r="AH84" s="111"/>
      <c r="AI84" s="111"/>
      <c r="AJ84" s="111"/>
      <c r="AK84" s="111"/>
      <c r="AL84" s="111"/>
      <c r="AM84" s="111"/>
      <c r="AN84" s="111"/>
      <c r="AO84" s="111"/>
      <c r="AP84" s="111"/>
      <c r="AQ84" s="111"/>
      <c r="AR84" s="21"/>
      <c r="AS84" s="21"/>
      <c r="AT84" s="21"/>
      <c r="AU84" s="21"/>
      <c r="AV84" s="21"/>
      <c r="AW84" s="21"/>
      <c r="AX84" s="21"/>
      <c r="AY84" s="21"/>
      <c r="AZ84" s="21"/>
      <c r="BA84" s="21"/>
    </row>
    <row r="85" spans="1:53" ht="15">
      <c r="A85" s="124"/>
      <c r="B85" s="21"/>
      <c r="C85" s="21"/>
      <c r="D85" s="21"/>
      <c r="E85" s="21"/>
      <c r="F85" s="21"/>
      <c r="G85" s="21"/>
      <c r="H85" s="21"/>
      <c r="I85" s="21"/>
      <c r="J85" s="21"/>
      <c r="K85" s="21"/>
      <c r="L85" s="21"/>
      <c r="M85" s="21"/>
      <c r="N85" s="21"/>
      <c r="O85" s="21"/>
      <c r="Q85" s="125"/>
      <c r="R85" s="107">
        <f>'Mia rosa + Org. Finanza'!AG85</f>
        <v>0</v>
      </c>
      <c r="S85" s="107" t="str">
        <f ca="1">'Mia rosa + Org. Finanza'!AH85</f>
        <v/>
      </c>
      <c r="T85" s="107" t="str">
        <f ca="1">'Mia rosa + Org. Finanza'!AI85</f>
        <v/>
      </c>
      <c r="U85" s="107" t="str">
        <f ca="1">'Mia rosa + Org. Finanza'!AJ85</f>
        <v/>
      </c>
      <c r="V85" s="21"/>
      <c r="W85" s="179" t="str">
        <f t="shared" si="12"/>
        <v>Cag</v>
      </c>
      <c r="X85">
        <f t="shared" si="13"/>
        <v>1</v>
      </c>
      <c r="Y85" t="str">
        <f t="shared" si="14"/>
        <v>A1Cag</v>
      </c>
      <c r="Z85" s="193" t="s">
        <v>43</v>
      </c>
      <c r="AA85" s="193" t="s">
        <v>372</v>
      </c>
      <c r="AB85" s="179" t="s">
        <v>700</v>
      </c>
      <c r="AC85" s="94"/>
      <c r="AD85" s="95"/>
      <c r="AE85" s="111"/>
      <c r="AF85" s="111"/>
      <c r="AG85" s="111"/>
      <c r="AH85" s="111"/>
      <c r="AI85" s="111"/>
      <c r="AJ85" s="111"/>
      <c r="AK85" s="111"/>
      <c r="AL85" s="111"/>
      <c r="AM85" s="111"/>
      <c r="AN85" s="111"/>
      <c r="AO85" s="111"/>
      <c r="AP85" s="111"/>
      <c r="AQ85" s="111"/>
      <c r="AR85" s="21"/>
      <c r="AS85" s="21"/>
      <c r="AT85" s="21"/>
      <c r="AU85" s="21"/>
      <c r="AV85" s="21"/>
      <c r="AW85" s="21"/>
      <c r="AX85" s="21"/>
      <c r="AY85" s="21"/>
      <c r="AZ85" s="21"/>
      <c r="BA85" s="21"/>
    </row>
    <row r="86" spans="1:53" ht="15">
      <c r="A86" s="124"/>
      <c r="B86" s="21"/>
      <c r="C86" s="21"/>
      <c r="D86" s="21"/>
      <c r="E86" s="21"/>
      <c r="F86" s="21"/>
      <c r="G86" s="21"/>
      <c r="H86" s="21"/>
      <c r="I86" s="21"/>
      <c r="J86" s="21"/>
      <c r="K86" s="21"/>
      <c r="L86" s="21"/>
      <c r="M86" s="21"/>
      <c r="N86" s="21"/>
      <c r="O86" s="21"/>
      <c r="Q86" s="125"/>
      <c r="R86" s="107">
        <f>'Mia rosa + Org. Finanza'!AG86</f>
        <v>0</v>
      </c>
      <c r="S86" s="107" t="str">
        <f ca="1">'Mia rosa + Org. Finanza'!AH86</f>
        <v/>
      </c>
      <c r="T86" s="107" t="str">
        <f ca="1">'Mia rosa + Org. Finanza'!AI86</f>
        <v/>
      </c>
      <c r="U86" s="107" t="str">
        <f ca="1">'Mia rosa + Org. Finanza'!AJ86</f>
        <v/>
      </c>
      <c r="V86" s="21"/>
      <c r="W86" s="179" t="str">
        <f t="shared" si="12"/>
        <v>Cag</v>
      </c>
      <c r="X86">
        <f t="shared" si="13"/>
        <v>2</v>
      </c>
      <c r="Y86" t="str">
        <f t="shared" si="14"/>
        <v>A2Cag</v>
      </c>
      <c r="Z86" s="193" t="s">
        <v>43</v>
      </c>
      <c r="AA86" s="193" t="s">
        <v>384</v>
      </c>
      <c r="AB86" s="179" t="s">
        <v>700</v>
      </c>
      <c r="AC86" s="94"/>
      <c r="AD86" s="95"/>
      <c r="AE86" s="111"/>
      <c r="AF86" s="111"/>
      <c r="AG86" s="111"/>
      <c r="AH86" s="111"/>
      <c r="AI86" s="111"/>
      <c r="AJ86" s="111"/>
      <c r="AK86" s="111"/>
      <c r="AL86" s="111"/>
      <c r="AM86" s="111"/>
      <c r="AN86" s="111"/>
      <c r="AO86" s="111"/>
      <c r="AP86" s="111"/>
      <c r="AQ86" s="111"/>
      <c r="AR86" s="21"/>
      <c r="AS86" s="21"/>
      <c r="AT86" s="21"/>
      <c r="AU86" s="21"/>
      <c r="AV86" s="21"/>
      <c r="AW86" s="21"/>
      <c r="AX86" s="21"/>
      <c r="AY86" s="21"/>
      <c r="AZ86" s="21"/>
      <c r="BA86" s="21"/>
    </row>
    <row r="87" spans="1:53" ht="15">
      <c r="A87" s="124"/>
      <c r="B87" s="21"/>
      <c r="C87" s="21"/>
      <c r="D87" s="21"/>
      <c r="E87" s="21"/>
      <c r="F87" s="21"/>
      <c r="G87" s="21"/>
      <c r="H87" s="21"/>
      <c r="I87" s="21"/>
      <c r="J87" s="21"/>
      <c r="K87" s="21"/>
      <c r="L87" s="21"/>
      <c r="M87" s="21"/>
      <c r="N87" s="21"/>
      <c r="O87" s="21"/>
      <c r="Q87" s="125"/>
      <c r="R87" s="107">
        <f>'Mia rosa + Org. Finanza'!AG87</f>
        <v>0</v>
      </c>
      <c r="S87" s="107" t="str">
        <f ca="1">'Mia rosa + Org. Finanza'!AH87</f>
        <v/>
      </c>
      <c r="T87" s="107" t="str">
        <f ca="1">'Mia rosa + Org. Finanza'!AI87</f>
        <v/>
      </c>
      <c r="U87" s="107" t="str">
        <f ca="1">'Mia rosa + Org. Finanza'!AJ87</f>
        <v/>
      </c>
      <c r="V87" s="21"/>
      <c r="W87" s="179" t="str">
        <f t="shared" si="12"/>
        <v>Cag</v>
      </c>
      <c r="X87">
        <f t="shared" si="13"/>
        <v>3</v>
      </c>
      <c r="Y87" t="str">
        <f t="shared" si="14"/>
        <v>A3Cag</v>
      </c>
      <c r="Z87" s="193" t="s">
        <v>43</v>
      </c>
      <c r="AA87" s="193" t="s">
        <v>452</v>
      </c>
      <c r="AB87" s="179" t="s">
        <v>700</v>
      </c>
      <c r="AC87" s="94"/>
      <c r="AD87" s="95"/>
      <c r="AE87" s="111"/>
      <c r="AF87" s="111"/>
      <c r="AG87" s="111"/>
      <c r="AH87" s="111"/>
      <c r="AI87" s="111"/>
      <c r="AJ87" s="111"/>
      <c r="AK87" s="111"/>
      <c r="AL87" s="111"/>
      <c r="AM87" s="111"/>
      <c r="AN87" s="111"/>
      <c r="AO87" s="111"/>
      <c r="AP87" s="111"/>
      <c r="AQ87" s="111"/>
      <c r="AR87" s="21"/>
      <c r="AS87" s="21"/>
      <c r="AT87" s="21"/>
      <c r="AU87" s="21"/>
      <c r="AV87" s="21"/>
      <c r="AW87" s="21"/>
      <c r="AX87" s="21"/>
      <c r="AY87" s="21"/>
      <c r="AZ87" s="21"/>
      <c r="BA87" s="21"/>
    </row>
    <row r="88" spans="1:53" ht="15">
      <c r="A88" s="124"/>
      <c r="B88" s="21"/>
      <c r="C88" s="21"/>
      <c r="D88" s="21"/>
      <c r="E88" s="21"/>
      <c r="F88" s="21"/>
      <c r="G88" s="21"/>
      <c r="H88" s="21"/>
      <c r="I88" s="21"/>
      <c r="J88" s="21"/>
      <c r="K88" s="21"/>
      <c r="L88" s="21"/>
      <c r="M88" s="21"/>
      <c r="N88" s="21"/>
      <c r="O88" s="21"/>
      <c r="Q88" s="125"/>
      <c r="R88" s="107">
        <f>'Mia rosa + Org. Finanza'!AG88</f>
        <v>0</v>
      </c>
      <c r="S88" s="107" t="str">
        <f ca="1">'Mia rosa + Org. Finanza'!AH88</f>
        <v/>
      </c>
      <c r="T88" s="107" t="str">
        <f ca="1">'Mia rosa + Org. Finanza'!AI88</f>
        <v/>
      </c>
      <c r="U88" s="107" t="str">
        <f ca="1">'Mia rosa + Org. Finanza'!AJ88</f>
        <v/>
      </c>
      <c r="V88" s="21"/>
      <c r="W88" s="179" t="str">
        <f t="shared" si="12"/>
        <v>Cag</v>
      </c>
      <c r="X88">
        <f t="shared" si="13"/>
        <v>4</v>
      </c>
      <c r="Y88" t="str">
        <f t="shared" si="14"/>
        <v>A4Cag</v>
      </c>
      <c r="Z88" s="193" t="s">
        <v>43</v>
      </c>
      <c r="AA88" s="193" t="s">
        <v>477</v>
      </c>
      <c r="AB88" s="179" t="s">
        <v>700</v>
      </c>
      <c r="AC88" s="94"/>
      <c r="AD88" s="95"/>
      <c r="AE88" s="111"/>
      <c r="AF88" s="111"/>
      <c r="AG88" s="111"/>
      <c r="AH88" s="111"/>
      <c r="AI88" s="111"/>
      <c r="AJ88" s="111"/>
      <c r="AK88" s="111"/>
      <c r="AL88" s="111"/>
      <c r="AM88" s="111"/>
      <c r="AN88" s="111"/>
      <c r="AO88" s="111"/>
      <c r="AP88" s="111"/>
      <c r="AQ88" s="111"/>
      <c r="AR88" s="21"/>
      <c r="AS88" s="21"/>
      <c r="AT88" s="21"/>
      <c r="AU88" s="21"/>
      <c r="AV88" s="21"/>
      <c r="AW88" s="21"/>
      <c r="AX88" s="21"/>
      <c r="AY88" s="21"/>
      <c r="AZ88" s="21"/>
      <c r="BA88" s="21"/>
    </row>
    <row r="89" spans="1:53" ht="15">
      <c r="A89" s="124"/>
      <c r="B89" s="21"/>
      <c r="C89" s="21"/>
      <c r="D89" s="21"/>
      <c r="E89" s="21"/>
      <c r="F89" s="21"/>
      <c r="G89" s="21"/>
      <c r="H89" s="21"/>
      <c r="I89" s="21"/>
      <c r="J89" s="21"/>
      <c r="K89" s="21"/>
      <c r="L89" s="21"/>
      <c r="M89" s="21"/>
      <c r="N89" s="21"/>
      <c r="O89" s="21"/>
      <c r="Q89" s="125"/>
      <c r="R89" s="107">
        <f>'Mia rosa + Org. Finanza'!AG89</f>
        <v>0</v>
      </c>
      <c r="S89" s="107" t="str">
        <f ca="1">'Mia rosa + Org. Finanza'!AH89</f>
        <v/>
      </c>
      <c r="T89" s="107" t="str">
        <f ca="1">'Mia rosa + Org. Finanza'!AI89</f>
        <v/>
      </c>
      <c r="U89" s="107" t="str">
        <f ca="1">'Mia rosa + Org. Finanza'!AJ89</f>
        <v/>
      </c>
      <c r="V89" s="21"/>
      <c r="W89" s="179" t="str">
        <f t="shared" si="12"/>
        <v>Cag</v>
      </c>
      <c r="X89">
        <f t="shared" si="13"/>
        <v>5</v>
      </c>
      <c r="Y89" t="str">
        <f t="shared" si="14"/>
        <v>A5Cag</v>
      </c>
      <c r="Z89" s="193" t="s">
        <v>43</v>
      </c>
      <c r="AA89" s="193" t="s">
        <v>507</v>
      </c>
      <c r="AB89" s="179" t="s">
        <v>700</v>
      </c>
      <c r="AC89" s="94"/>
      <c r="AD89" s="95"/>
      <c r="AE89" s="111"/>
      <c r="AF89" s="111"/>
      <c r="AG89" s="111"/>
      <c r="AH89" s="111"/>
      <c r="AI89" s="111"/>
      <c r="AJ89" s="111"/>
      <c r="AK89" s="111"/>
      <c r="AL89" s="111"/>
      <c r="AM89" s="111"/>
      <c r="AN89" s="111"/>
      <c r="AO89" s="111"/>
      <c r="AP89" s="111"/>
      <c r="AQ89" s="111"/>
      <c r="AR89" s="21"/>
      <c r="AS89" s="21"/>
      <c r="AT89" s="21"/>
      <c r="AU89" s="21"/>
      <c r="AV89" s="21"/>
      <c r="AW89" s="21"/>
      <c r="AX89" s="21"/>
      <c r="AY89" s="21"/>
      <c r="AZ89" s="21"/>
      <c r="BA89" s="21"/>
    </row>
    <row r="90" spans="1:53" ht="15">
      <c r="A90" s="124"/>
      <c r="B90" s="21"/>
      <c r="C90" s="21"/>
      <c r="D90" s="21"/>
      <c r="E90" s="21"/>
      <c r="F90" s="21"/>
      <c r="G90" s="21"/>
      <c r="H90" s="21"/>
      <c r="I90" s="21"/>
      <c r="J90" s="21"/>
      <c r="K90" s="21"/>
      <c r="L90" s="21"/>
      <c r="M90" s="21"/>
      <c r="N90" s="21"/>
      <c r="O90" s="21"/>
      <c r="Q90" s="125"/>
      <c r="R90" s="107">
        <f>'Mia rosa + Org. Finanza'!AG90</f>
        <v>0</v>
      </c>
      <c r="S90" s="107" t="str">
        <f ca="1">'Mia rosa + Org. Finanza'!AH90</f>
        <v/>
      </c>
      <c r="T90" s="107" t="str">
        <f ca="1">'Mia rosa + Org. Finanza'!AI90</f>
        <v/>
      </c>
      <c r="U90" s="107" t="str">
        <f ca="1">'Mia rosa + Org. Finanza'!AJ90</f>
        <v/>
      </c>
      <c r="V90" s="21"/>
      <c r="W90" s="179" t="str">
        <f t="shared" si="12"/>
        <v>Cag</v>
      </c>
      <c r="X90">
        <f t="shared" si="13"/>
        <v>1</v>
      </c>
      <c r="Y90" t="str">
        <f t="shared" si="14"/>
        <v>C1Cag</v>
      </c>
      <c r="Z90" s="193" t="s">
        <v>39</v>
      </c>
      <c r="AA90" s="193" t="s">
        <v>327</v>
      </c>
      <c r="AB90" s="179" t="s">
        <v>700</v>
      </c>
      <c r="AC90" s="94"/>
      <c r="AD90" s="95"/>
      <c r="AE90" s="111"/>
      <c r="AF90" s="111"/>
      <c r="AG90" s="111"/>
      <c r="AH90" s="111"/>
      <c r="AI90" s="111"/>
      <c r="AJ90" s="111"/>
      <c r="AK90" s="111"/>
      <c r="AL90" s="111"/>
      <c r="AM90" s="111"/>
      <c r="AN90" s="111"/>
      <c r="AO90" s="111"/>
      <c r="AP90" s="111"/>
      <c r="AQ90" s="111"/>
      <c r="AR90" s="21"/>
      <c r="AS90" s="21"/>
      <c r="AT90" s="21"/>
      <c r="AU90" s="21"/>
      <c r="AV90" s="21"/>
      <c r="AW90" s="21"/>
      <c r="AX90" s="21"/>
      <c r="AY90" s="21"/>
      <c r="AZ90" s="21"/>
      <c r="BA90" s="21"/>
    </row>
    <row r="91" spans="1:53" ht="15">
      <c r="A91" s="124"/>
      <c r="B91" s="21"/>
      <c r="C91" s="21"/>
      <c r="D91" s="21"/>
      <c r="E91" s="21"/>
      <c r="F91" s="21"/>
      <c r="G91" s="21"/>
      <c r="H91" s="21"/>
      <c r="I91" s="21"/>
      <c r="J91" s="21"/>
      <c r="K91" s="21"/>
      <c r="L91" s="21"/>
      <c r="M91" s="21"/>
      <c r="N91" s="21"/>
      <c r="O91" s="21"/>
      <c r="Q91" s="125"/>
      <c r="R91" s="107">
        <f>'Mia rosa + Org. Finanza'!AG91</f>
        <v>0</v>
      </c>
      <c r="S91" s="107" t="str">
        <f ca="1">'Mia rosa + Org. Finanza'!AH91</f>
        <v/>
      </c>
      <c r="T91" s="107" t="str">
        <f ca="1">'Mia rosa + Org. Finanza'!AI91</f>
        <v/>
      </c>
      <c r="U91" s="107" t="str">
        <f ca="1">'Mia rosa + Org. Finanza'!AJ91</f>
        <v/>
      </c>
      <c r="V91" s="21"/>
      <c r="W91" s="179" t="str">
        <f t="shared" si="12"/>
        <v>Cag</v>
      </c>
      <c r="X91">
        <f t="shared" si="13"/>
        <v>2</v>
      </c>
      <c r="Y91" t="str">
        <f t="shared" si="14"/>
        <v>C2Cag</v>
      </c>
      <c r="Z91" s="193" t="s">
        <v>39</v>
      </c>
      <c r="AA91" s="193" t="s">
        <v>395</v>
      </c>
      <c r="AB91" s="179" t="s">
        <v>700</v>
      </c>
      <c r="AC91" s="94"/>
      <c r="AD91" s="95"/>
      <c r="AE91" s="111"/>
      <c r="AF91" s="111"/>
      <c r="AG91" s="111"/>
      <c r="AH91" s="111"/>
      <c r="AI91" s="111"/>
      <c r="AJ91" s="111"/>
      <c r="AK91" s="111"/>
      <c r="AL91" s="111"/>
      <c r="AM91" s="111"/>
      <c r="AN91" s="111"/>
      <c r="AO91" s="111"/>
      <c r="AP91" s="111"/>
      <c r="AQ91" s="111"/>
      <c r="AR91" s="21"/>
      <c r="AS91" s="21"/>
      <c r="AT91" s="21"/>
      <c r="AU91" s="21"/>
      <c r="AV91" s="21"/>
      <c r="AW91" s="21"/>
      <c r="AX91" s="21"/>
      <c r="AY91" s="21"/>
      <c r="AZ91" s="21"/>
      <c r="BA91" s="21"/>
    </row>
    <row r="92" spans="1:53" ht="15">
      <c r="A92" s="124"/>
      <c r="B92" s="21"/>
      <c r="C92" s="21"/>
      <c r="D92" s="21"/>
      <c r="E92" s="21"/>
      <c r="F92" s="21"/>
      <c r="G92" s="21"/>
      <c r="H92" s="21"/>
      <c r="I92" s="21"/>
      <c r="J92" s="21"/>
      <c r="K92" s="21"/>
      <c r="L92" s="21"/>
      <c r="M92" s="21"/>
      <c r="N92" s="21"/>
      <c r="O92" s="21"/>
      <c r="Q92" s="125"/>
      <c r="R92" s="107">
        <f>'Mia rosa + Org. Finanza'!AG92</f>
        <v>0</v>
      </c>
      <c r="S92" s="107" t="str">
        <f ca="1">'Mia rosa + Org. Finanza'!AH92</f>
        <v/>
      </c>
      <c r="T92" s="107" t="str">
        <f ca="1">'Mia rosa + Org. Finanza'!AI92</f>
        <v/>
      </c>
      <c r="U92" s="107" t="str">
        <f ca="1">'Mia rosa + Org. Finanza'!AJ92</f>
        <v/>
      </c>
      <c r="V92" s="21"/>
      <c r="W92" s="179" t="str">
        <f t="shared" si="12"/>
        <v>Cag</v>
      </c>
      <c r="X92">
        <f t="shared" si="13"/>
        <v>3</v>
      </c>
      <c r="Y92" t="str">
        <f t="shared" si="14"/>
        <v>C3Cag</v>
      </c>
      <c r="Z92" s="193" t="s">
        <v>39</v>
      </c>
      <c r="AA92" s="193" t="s">
        <v>1762</v>
      </c>
      <c r="AB92" s="179" t="s">
        <v>700</v>
      </c>
      <c r="AC92" s="94"/>
      <c r="AD92" s="95"/>
      <c r="AE92" s="111"/>
      <c r="AF92" s="111"/>
      <c r="AG92" s="111"/>
      <c r="AH92" s="111"/>
      <c r="AI92" s="111"/>
      <c r="AJ92" s="111"/>
      <c r="AK92" s="111"/>
      <c r="AL92" s="111"/>
      <c r="AM92" s="111"/>
      <c r="AN92" s="111"/>
      <c r="AO92" s="111"/>
      <c r="AP92" s="111"/>
      <c r="AQ92" s="111"/>
      <c r="AR92" s="21"/>
      <c r="AS92" s="21"/>
      <c r="AT92" s="21"/>
      <c r="AU92" s="21"/>
      <c r="AV92" s="21"/>
      <c r="AW92" s="21"/>
      <c r="AX92" s="21"/>
      <c r="AY92" s="21"/>
      <c r="AZ92" s="21"/>
      <c r="BA92" s="21"/>
    </row>
    <row r="93" spans="1:53" ht="15">
      <c r="A93" s="124"/>
      <c r="B93" s="21"/>
      <c r="C93" s="21"/>
      <c r="D93" s="21"/>
      <c r="E93" s="21"/>
      <c r="F93" s="21"/>
      <c r="G93" s="21"/>
      <c r="H93" s="21"/>
      <c r="I93" s="21"/>
      <c r="J93" s="21"/>
      <c r="K93" s="21"/>
      <c r="L93" s="21"/>
      <c r="M93" s="21"/>
      <c r="N93" s="21"/>
      <c r="O93" s="21"/>
      <c r="Q93" s="125"/>
      <c r="R93" s="107">
        <f>'Mia rosa + Org. Finanza'!AG93</f>
        <v>0</v>
      </c>
      <c r="S93" s="107" t="str">
        <f ca="1">'Mia rosa + Org. Finanza'!AH93</f>
        <v/>
      </c>
      <c r="T93" s="107" t="str">
        <f ca="1">'Mia rosa + Org. Finanza'!AI93</f>
        <v/>
      </c>
      <c r="U93" s="107" t="str">
        <f ca="1">'Mia rosa + Org. Finanza'!AJ93</f>
        <v/>
      </c>
      <c r="V93" s="21"/>
      <c r="W93" s="179" t="str">
        <f t="shared" si="12"/>
        <v>Cag</v>
      </c>
      <c r="X93">
        <f t="shared" si="13"/>
        <v>4</v>
      </c>
      <c r="Y93" t="str">
        <f t="shared" si="14"/>
        <v>C4Cag</v>
      </c>
      <c r="Z93" s="193" t="s">
        <v>39</v>
      </c>
      <c r="AA93" s="193" t="s">
        <v>427</v>
      </c>
      <c r="AB93" s="179" t="s">
        <v>700</v>
      </c>
      <c r="AC93" s="94"/>
      <c r="AD93" s="95"/>
      <c r="AE93" s="111"/>
      <c r="AF93" s="111"/>
      <c r="AG93" s="111"/>
      <c r="AH93" s="111"/>
      <c r="AI93" s="111"/>
      <c r="AJ93" s="111"/>
      <c r="AK93" s="111"/>
      <c r="AL93" s="111"/>
      <c r="AM93" s="111"/>
      <c r="AN93" s="111"/>
      <c r="AO93" s="111"/>
      <c r="AP93" s="111"/>
      <c r="AQ93" s="111"/>
      <c r="AR93" s="21"/>
      <c r="AS93" s="21"/>
      <c r="AT93" s="21"/>
      <c r="AU93" s="21"/>
      <c r="AV93" s="21"/>
      <c r="AW93" s="21"/>
      <c r="AX93" s="21"/>
      <c r="AY93" s="21"/>
      <c r="AZ93" s="21"/>
      <c r="BA93" s="21"/>
    </row>
    <row r="94" spans="1:53" ht="15">
      <c r="A94" s="124"/>
      <c r="B94" s="21"/>
      <c r="C94" s="21"/>
      <c r="D94" s="21"/>
      <c r="E94" s="21"/>
      <c r="F94" s="21"/>
      <c r="G94" s="21"/>
      <c r="H94" s="21"/>
      <c r="I94" s="21"/>
      <c r="J94" s="21"/>
      <c r="K94" s="21"/>
      <c r="L94" s="21"/>
      <c r="M94" s="21"/>
      <c r="N94" s="21"/>
      <c r="O94" s="21"/>
      <c r="Q94" s="125"/>
      <c r="R94" s="107">
        <f>'Mia rosa + Org. Finanza'!AG94</f>
        <v>0</v>
      </c>
      <c r="S94" s="107" t="str">
        <f ca="1">'Mia rosa + Org. Finanza'!AH94</f>
        <v/>
      </c>
      <c r="T94" s="107" t="str">
        <f ca="1">'Mia rosa + Org. Finanza'!AI94</f>
        <v/>
      </c>
      <c r="U94" s="107" t="str">
        <f ca="1">'Mia rosa + Org. Finanza'!AJ94</f>
        <v/>
      </c>
      <c r="V94" s="21"/>
      <c r="W94" s="179" t="str">
        <f t="shared" si="12"/>
        <v>Cag</v>
      </c>
      <c r="X94">
        <f t="shared" si="13"/>
        <v>5</v>
      </c>
      <c r="Y94" t="str">
        <f t="shared" si="14"/>
        <v>C5Cag</v>
      </c>
      <c r="Z94" s="193" t="s">
        <v>39</v>
      </c>
      <c r="AA94" s="193" t="s">
        <v>430</v>
      </c>
      <c r="AB94" s="179" t="s">
        <v>700</v>
      </c>
      <c r="AC94" s="94"/>
      <c r="AD94" s="95"/>
      <c r="AE94" s="111"/>
      <c r="AF94" s="111"/>
      <c r="AG94" s="111"/>
      <c r="AH94" s="111"/>
      <c r="AI94" s="111"/>
      <c r="AJ94" s="111"/>
      <c r="AK94" s="111"/>
      <c r="AL94" s="111"/>
      <c r="AM94" s="111"/>
      <c r="AN94" s="111"/>
      <c r="AO94" s="111"/>
      <c r="AP94" s="111"/>
      <c r="AQ94" s="111"/>
      <c r="AR94" s="21"/>
      <c r="AS94" s="21"/>
      <c r="AT94" s="21"/>
      <c r="AU94" s="21"/>
      <c r="AV94" s="21"/>
      <c r="AW94" s="21"/>
      <c r="AX94" s="21"/>
      <c r="AY94" s="21"/>
      <c r="AZ94" s="21"/>
      <c r="BA94" s="21"/>
    </row>
    <row r="95" spans="1:53" ht="15">
      <c r="A95" s="124"/>
      <c r="B95" s="21"/>
      <c r="C95" s="21"/>
      <c r="D95" s="21"/>
      <c r="E95" s="21"/>
      <c r="F95" s="21"/>
      <c r="G95" s="21"/>
      <c r="H95" s="21"/>
      <c r="I95" s="21"/>
      <c r="J95" s="21"/>
      <c r="K95" s="21"/>
      <c r="L95" s="21"/>
      <c r="M95" s="21"/>
      <c r="N95" s="21"/>
      <c r="O95" s="21"/>
      <c r="Q95" s="125"/>
      <c r="R95" s="107">
        <f>'Mia rosa + Org. Finanza'!AG95</f>
        <v>0</v>
      </c>
      <c r="S95" s="107" t="str">
        <f ca="1">'Mia rosa + Org. Finanza'!AH95</f>
        <v/>
      </c>
      <c r="T95" s="107" t="str">
        <f ca="1">'Mia rosa + Org. Finanza'!AI95</f>
        <v/>
      </c>
      <c r="U95" s="107" t="str">
        <f ca="1">'Mia rosa + Org. Finanza'!AJ95</f>
        <v/>
      </c>
      <c r="V95" s="21"/>
      <c r="W95" s="179" t="str">
        <f t="shared" si="12"/>
        <v>Cag</v>
      </c>
      <c r="X95">
        <f t="shared" si="13"/>
        <v>6</v>
      </c>
      <c r="Y95" t="str">
        <f t="shared" si="14"/>
        <v>C6Cag</v>
      </c>
      <c r="Z95" s="193" t="s">
        <v>39</v>
      </c>
      <c r="AA95" s="193" t="s">
        <v>1852</v>
      </c>
      <c r="AB95" s="179" t="s">
        <v>700</v>
      </c>
      <c r="AC95" s="94"/>
      <c r="AD95" s="95"/>
      <c r="AE95" s="111"/>
      <c r="AF95" s="111"/>
      <c r="AG95" s="111"/>
      <c r="AH95" s="111"/>
      <c r="AI95" s="111"/>
      <c r="AJ95" s="111"/>
      <c r="AK95" s="111"/>
      <c r="AL95" s="111"/>
      <c r="AM95" s="111"/>
      <c r="AN95" s="111"/>
      <c r="AO95" s="111"/>
      <c r="AP95" s="111"/>
      <c r="AQ95" s="111"/>
      <c r="AR95" s="21"/>
      <c r="AS95" s="21"/>
      <c r="AT95" s="21"/>
      <c r="AU95" s="21"/>
      <c r="AV95" s="21"/>
      <c r="AW95" s="21"/>
      <c r="AX95" s="21"/>
      <c r="AY95" s="21"/>
      <c r="AZ95" s="21"/>
      <c r="BA95" s="21"/>
    </row>
    <row r="96" spans="1:53" ht="15">
      <c r="A96" s="124"/>
      <c r="B96" s="21"/>
      <c r="C96" s="21"/>
      <c r="D96" s="21"/>
      <c r="E96" s="21"/>
      <c r="F96" s="21"/>
      <c r="G96" s="21"/>
      <c r="H96" s="21"/>
      <c r="I96" s="21"/>
      <c r="J96" s="21"/>
      <c r="K96" s="21"/>
      <c r="L96" s="21"/>
      <c r="M96" s="21"/>
      <c r="N96" s="21"/>
      <c r="O96" s="21"/>
      <c r="Q96" s="125"/>
      <c r="R96" s="107">
        <f>'Mia rosa + Org. Finanza'!AG96</f>
        <v>0</v>
      </c>
      <c r="S96" s="107" t="str">
        <f ca="1">'Mia rosa + Org. Finanza'!AH96</f>
        <v/>
      </c>
      <c r="T96" s="107" t="str">
        <f ca="1">'Mia rosa + Org. Finanza'!AI96</f>
        <v/>
      </c>
      <c r="U96" s="107" t="str">
        <f ca="1">'Mia rosa + Org. Finanza'!AJ96</f>
        <v/>
      </c>
      <c r="V96" s="21"/>
      <c r="W96" s="179" t="str">
        <f t="shared" si="12"/>
        <v>Cag</v>
      </c>
      <c r="X96">
        <f t="shared" si="13"/>
        <v>7</v>
      </c>
      <c r="Y96" t="str">
        <f t="shared" si="14"/>
        <v>C7Cag</v>
      </c>
      <c r="Z96" s="193" t="s">
        <v>39</v>
      </c>
      <c r="AA96" s="193" t="s">
        <v>497</v>
      </c>
      <c r="AB96" s="179" t="s">
        <v>700</v>
      </c>
      <c r="AC96" s="94"/>
      <c r="AD96"/>
      <c r="AE96" s="111"/>
      <c r="AF96" s="111"/>
      <c r="AG96" s="111"/>
      <c r="AH96" s="111"/>
      <c r="AI96" s="111"/>
      <c r="AJ96" s="111"/>
      <c r="AK96" s="111"/>
      <c r="AL96" s="111"/>
      <c r="AM96" s="111"/>
      <c r="AN96" s="111"/>
      <c r="AO96" s="111"/>
      <c r="AP96" s="111"/>
      <c r="AQ96" s="111"/>
      <c r="AR96" s="21"/>
      <c r="AS96" s="21"/>
      <c r="AT96" s="21"/>
      <c r="AU96" s="21"/>
      <c r="AV96" s="21"/>
      <c r="AW96" s="21"/>
      <c r="AX96" s="21"/>
      <c r="AY96" s="21"/>
      <c r="AZ96" s="21"/>
      <c r="BA96" s="21"/>
    </row>
    <row r="97" spans="1:53" ht="15">
      <c r="A97" s="124"/>
      <c r="B97" s="21"/>
      <c r="C97" s="21"/>
      <c r="D97" s="21"/>
      <c r="E97" s="21"/>
      <c r="F97" s="21"/>
      <c r="G97" s="21"/>
      <c r="H97" s="21"/>
      <c r="I97" s="21"/>
      <c r="J97" s="21"/>
      <c r="K97" s="21"/>
      <c r="L97" s="21"/>
      <c r="M97" s="21"/>
      <c r="N97" s="21"/>
      <c r="O97" s="21"/>
      <c r="Q97" s="125"/>
      <c r="R97" s="107">
        <f>'Mia rosa + Org. Finanza'!AG97</f>
        <v>0</v>
      </c>
      <c r="S97" s="107" t="str">
        <f ca="1">'Mia rosa + Org. Finanza'!AH97</f>
        <v/>
      </c>
      <c r="T97" s="107" t="str">
        <f ca="1">'Mia rosa + Org. Finanza'!AI97</f>
        <v/>
      </c>
      <c r="U97" s="107" t="str">
        <f ca="1">'Mia rosa + Org. Finanza'!AJ97</f>
        <v/>
      </c>
      <c r="V97" s="21"/>
      <c r="W97" s="179" t="str">
        <f t="shared" si="12"/>
        <v>Cag</v>
      </c>
      <c r="X97">
        <f t="shared" si="13"/>
        <v>8</v>
      </c>
      <c r="Y97" t="str">
        <f t="shared" si="14"/>
        <v>C8Cag</v>
      </c>
      <c r="Z97" s="193" t="s">
        <v>39</v>
      </c>
      <c r="AA97" s="193" t="s">
        <v>506</v>
      </c>
      <c r="AB97" s="179" t="s">
        <v>700</v>
      </c>
      <c r="AC97" s="94"/>
      <c r="AD97" s="95"/>
      <c r="AE97" s="111"/>
      <c r="AF97" s="111"/>
      <c r="AG97" s="111"/>
      <c r="AH97" s="111"/>
      <c r="AI97" s="111"/>
      <c r="AJ97" s="111"/>
      <c r="AK97" s="111"/>
      <c r="AL97" s="111"/>
      <c r="AM97" s="111"/>
      <c r="AN97" s="111"/>
      <c r="AO97" s="111"/>
      <c r="AP97" s="111"/>
      <c r="AQ97" s="111"/>
      <c r="AR97" s="21"/>
      <c r="AS97" s="21"/>
      <c r="AT97" s="21"/>
      <c r="AU97" s="21"/>
      <c r="AV97" s="21"/>
      <c r="AW97" s="21"/>
      <c r="AX97" s="21"/>
      <c r="AY97" s="21"/>
      <c r="AZ97" s="21"/>
      <c r="BA97" s="21"/>
    </row>
    <row r="98" spans="1:53" ht="15">
      <c r="A98" s="124"/>
      <c r="B98" s="21"/>
      <c r="C98" s="21"/>
      <c r="D98" s="21"/>
      <c r="E98" s="21"/>
      <c r="F98" s="21"/>
      <c r="G98" s="21"/>
      <c r="H98" s="21"/>
      <c r="I98" s="21"/>
      <c r="J98" s="21"/>
      <c r="K98" s="21"/>
      <c r="L98" s="21"/>
      <c r="M98" s="21"/>
      <c r="N98" s="21"/>
      <c r="O98" s="21"/>
      <c r="Q98" s="125"/>
      <c r="R98" s="107">
        <f>'Mia rosa + Org. Finanza'!AG98</f>
        <v>0</v>
      </c>
      <c r="S98" s="107" t="str">
        <f ca="1">'Mia rosa + Org. Finanza'!AH98</f>
        <v/>
      </c>
      <c r="T98" s="107" t="str">
        <f ca="1">'Mia rosa + Org. Finanza'!AI98</f>
        <v/>
      </c>
      <c r="U98" s="107" t="str">
        <f ca="1">'Mia rosa + Org. Finanza'!AJ98</f>
        <v/>
      </c>
      <c r="V98" s="21"/>
      <c r="W98" s="179" t="str">
        <f t="shared" si="12"/>
        <v>Cag</v>
      </c>
      <c r="X98">
        <f t="shared" si="13"/>
        <v>1</v>
      </c>
      <c r="Y98" t="str">
        <f t="shared" si="14"/>
        <v>D1Cag</v>
      </c>
      <c r="Z98" s="193" t="s">
        <v>37</v>
      </c>
      <c r="AA98" s="193" t="s">
        <v>317</v>
      </c>
      <c r="AB98" s="179" t="s">
        <v>700</v>
      </c>
      <c r="AC98" s="94"/>
      <c r="AD98" s="95"/>
      <c r="AE98" s="111"/>
      <c r="AF98" s="111"/>
      <c r="AG98" s="111"/>
      <c r="AH98" s="111"/>
      <c r="AI98" s="111"/>
      <c r="AJ98" s="111"/>
      <c r="AK98" s="111"/>
      <c r="AL98" s="111"/>
      <c r="AM98" s="111"/>
      <c r="AN98" s="111"/>
      <c r="AO98" s="111"/>
      <c r="AP98" s="111"/>
      <c r="AQ98" s="111"/>
      <c r="AR98" s="21"/>
      <c r="AS98" s="21"/>
      <c r="AT98" s="21"/>
      <c r="AU98" s="21"/>
      <c r="AV98" s="21"/>
      <c r="AW98" s="21"/>
      <c r="AX98" s="21"/>
      <c r="AY98" s="21"/>
      <c r="AZ98" s="21"/>
      <c r="BA98" s="21"/>
    </row>
    <row r="99" spans="1:53" ht="15">
      <c r="A99" s="124"/>
      <c r="B99" s="21"/>
      <c r="C99" s="21"/>
      <c r="D99" s="21"/>
      <c r="E99" s="21"/>
      <c r="F99" s="21"/>
      <c r="G99" s="21"/>
      <c r="H99" s="21"/>
      <c r="I99" s="21"/>
      <c r="J99" s="21"/>
      <c r="K99" s="21"/>
      <c r="L99" s="21"/>
      <c r="M99" s="21"/>
      <c r="N99" s="21"/>
      <c r="O99" s="21"/>
      <c r="Q99" s="125"/>
      <c r="R99" s="107">
        <f>'Mia rosa + Org. Finanza'!AG99</f>
        <v>0</v>
      </c>
      <c r="S99" s="107" t="str">
        <f ca="1">'Mia rosa + Org. Finanza'!AH99</f>
        <v/>
      </c>
      <c r="T99" s="107" t="str">
        <f ca="1">'Mia rosa + Org. Finanza'!AI99</f>
        <v/>
      </c>
      <c r="U99" s="107" t="str">
        <f ca="1">'Mia rosa + Org. Finanza'!AJ99</f>
        <v/>
      </c>
      <c r="V99" s="21"/>
      <c r="W99" s="179" t="str">
        <f t="shared" si="12"/>
        <v>Cag</v>
      </c>
      <c r="X99">
        <f t="shared" si="13"/>
        <v>2</v>
      </c>
      <c r="Y99" t="str">
        <f t="shared" si="14"/>
        <v>D2Cag</v>
      </c>
      <c r="Z99" s="193" t="s">
        <v>37</v>
      </c>
      <c r="AA99" s="193" t="s">
        <v>397</v>
      </c>
      <c r="AB99" s="179" t="s">
        <v>700</v>
      </c>
      <c r="AC99" s="94"/>
      <c r="AD99" s="95"/>
      <c r="AE99" s="111"/>
      <c r="AF99" s="111"/>
      <c r="AG99" s="111"/>
      <c r="AH99" s="111"/>
      <c r="AI99" s="111"/>
      <c r="AJ99" s="111"/>
      <c r="AK99" s="111"/>
      <c r="AL99" s="111"/>
      <c r="AM99" s="111"/>
      <c r="AN99" s="111"/>
      <c r="AO99" s="111"/>
      <c r="AP99" s="111"/>
      <c r="AQ99" s="111"/>
      <c r="AR99" s="21"/>
      <c r="AS99" s="21"/>
      <c r="AT99" s="21"/>
      <c r="AU99" s="21"/>
      <c r="AV99" s="21"/>
      <c r="AW99" s="21"/>
      <c r="AX99" s="21"/>
      <c r="AY99" s="21"/>
      <c r="AZ99" s="21"/>
      <c r="BA99" s="21"/>
    </row>
    <row r="100" spans="1:53" ht="15">
      <c r="A100" s="124"/>
      <c r="B100" s="21"/>
      <c r="C100" s="21"/>
      <c r="D100" s="21"/>
      <c r="E100" s="21"/>
      <c r="F100" s="21"/>
      <c r="G100" s="21"/>
      <c r="H100" s="21"/>
      <c r="I100" s="21"/>
      <c r="J100" s="21"/>
      <c r="K100" s="21"/>
      <c r="L100" s="21"/>
      <c r="M100" s="21"/>
      <c r="N100" s="21"/>
      <c r="O100" s="21"/>
      <c r="R100" s="107">
        <f>'Mia rosa + Org. Finanza'!AG100</f>
        <v>0</v>
      </c>
      <c r="S100" s="107" t="str">
        <f ca="1">'Mia rosa + Org. Finanza'!AH100</f>
        <v/>
      </c>
      <c r="T100" s="107" t="str">
        <f ca="1">'Mia rosa + Org. Finanza'!AI100</f>
        <v/>
      </c>
      <c r="U100" s="107" t="str">
        <f ca="1">'Mia rosa + Org. Finanza'!AJ100</f>
        <v/>
      </c>
      <c r="V100" s="21"/>
      <c r="W100" s="179" t="str">
        <f t="shared" si="12"/>
        <v>Cag</v>
      </c>
      <c r="X100">
        <f t="shared" si="13"/>
        <v>3</v>
      </c>
      <c r="Y100" t="str">
        <f t="shared" si="14"/>
        <v>D3Cag</v>
      </c>
      <c r="Z100" s="193" t="s">
        <v>37</v>
      </c>
      <c r="AA100" s="193" t="s">
        <v>406</v>
      </c>
      <c r="AB100" s="179" t="s">
        <v>700</v>
      </c>
      <c r="AC100" s="94"/>
      <c r="AD100" s="95"/>
      <c r="AE100" s="111"/>
      <c r="AF100" s="111"/>
      <c r="AG100" s="111"/>
      <c r="AH100" s="111"/>
      <c r="AI100" s="111"/>
      <c r="AJ100" s="111"/>
      <c r="AK100" s="111"/>
      <c r="AL100" s="111"/>
      <c r="AM100" s="111"/>
      <c r="AN100" s="111"/>
      <c r="AO100" s="111"/>
      <c r="AP100" s="111"/>
      <c r="AQ100" s="111"/>
      <c r="AR100" s="21"/>
      <c r="AS100" s="21"/>
      <c r="AT100" s="21"/>
      <c r="AU100" s="21"/>
      <c r="AV100" s="21"/>
      <c r="AW100" s="21"/>
      <c r="AX100" s="21"/>
      <c r="AY100" s="21"/>
      <c r="AZ100" s="21"/>
      <c r="BA100" s="21"/>
    </row>
    <row r="101" spans="1:53" ht="15">
      <c r="A101" s="124"/>
      <c r="B101" s="21"/>
      <c r="C101" s="21"/>
      <c r="D101" s="21"/>
      <c r="E101" s="21"/>
      <c r="F101" s="21"/>
      <c r="G101" s="21"/>
      <c r="H101" s="21"/>
      <c r="I101" s="21"/>
      <c r="J101" s="21"/>
      <c r="K101" s="21"/>
      <c r="L101" s="21"/>
      <c r="M101" s="21"/>
      <c r="N101" s="21"/>
      <c r="O101" s="21"/>
      <c r="R101" s="107">
        <f>'Mia rosa + Org. Finanza'!AG101</f>
        <v>0</v>
      </c>
      <c r="S101" s="107" t="str">
        <f ca="1">'Mia rosa + Org. Finanza'!AH101</f>
        <v/>
      </c>
      <c r="T101" s="107" t="str">
        <f ca="1">'Mia rosa + Org. Finanza'!AI101</f>
        <v/>
      </c>
      <c r="U101" s="107">
        <f>'Mia rosa + Org. Finanza'!AJ101</f>
        <v>0</v>
      </c>
      <c r="V101" s="21"/>
      <c r="W101" s="179" t="str">
        <f t="shared" si="12"/>
        <v>Cag</v>
      </c>
      <c r="X101">
        <f t="shared" si="13"/>
        <v>4</v>
      </c>
      <c r="Y101" t="str">
        <f t="shared" si="14"/>
        <v>D4Cag</v>
      </c>
      <c r="Z101" s="193" t="s">
        <v>37</v>
      </c>
      <c r="AA101" s="193" t="s">
        <v>1288</v>
      </c>
      <c r="AB101" s="179" t="s">
        <v>700</v>
      </c>
      <c r="AC101" s="94"/>
      <c r="AD101" s="95"/>
      <c r="AE101" s="111"/>
      <c r="AF101" s="111"/>
      <c r="AG101" s="111"/>
      <c r="AH101" s="111"/>
      <c r="AI101" s="111"/>
      <c r="AJ101" s="111"/>
      <c r="AK101" s="111"/>
      <c r="AL101" s="111"/>
      <c r="AM101" s="111"/>
      <c r="AN101" s="111"/>
      <c r="AO101" s="111"/>
      <c r="AP101" s="111"/>
      <c r="AQ101" s="111"/>
      <c r="AR101" s="21"/>
      <c r="AS101" s="21"/>
      <c r="AT101" s="21"/>
      <c r="AU101" s="21"/>
      <c r="AV101" s="21"/>
      <c r="AW101" s="21"/>
      <c r="AX101" s="21"/>
      <c r="AY101" s="21"/>
      <c r="AZ101" s="21"/>
      <c r="BA101" s="21"/>
    </row>
    <row r="102" spans="1:53" ht="15">
      <c r="A102" s="124"/>
      <c r="B102" s="21"/>
      <c r="C102" s="21"/>
      <c r="D102" s="21"/>
      <c r="E102" s="21"/>
      <c r="F102" s="21"/>
      <c r="G102" s="21"/>
      <c r="H102" s="21"/>
      <c r="I102" s="21"/>
      <c r="J102" s="21"/>
      <c r="K102" s="21"/>
      <c r="L102" s="21"/>
      <c r="M102" s="21"/>
      <c r="N102" s="21"/>
      <c r="O102" s="21"/>
      <c r="R102" s="107">
        <f>'Mia rosa + Org. Finanza'!AG102</f>
        <v>0</v>
      </c>
      <c r="S102" s="107" t="str">
        <f ca="1">'Mia rosa + Org. Finanza'!AH102</f>
        <v/>
      </c>
      <c r="T102" s="107" t="str">
        <f ca="1">'Mia rosa + Org. Finanza'!AI102</f>
        <v/>
      </c>
      <c r="U102" s="107">
        <f>'Mia rosa + Org. Finanza'!AJ102</f>
        <v>0</v>
      </c>
      <c r="V102" s="21"/>
      <c r="W102" s="179" t="str">
        <f t="shared" si="12"/>
        <v>Cag</v>
      </c>
      <c r="X102">
        <f t="shared" si="13"/>
        <v>5</v>
      </c>
      <c r="Y102" t="str">
        <f t="shared" si="14"/>
        <v>D5Cag</v>
      </c>
      <c r="Z102" s="193" t="s">
        <v>37</v>
      </c>
      <c r="AA102" s="193" t="s">
        <v>575</v>
      </c>
      <c r="AB102" s="179" t="s">
        <v>700</v>
      </c>
      <c r="AC102" s="94"/>
      <c r="AD102" s="95"/>
      <c r="AE102" s="111"/>
      <c r="AF102" s="111"/>
      <c r="AG102" s="111"/>
      <c r="AH102" s="111"/>
      <c r="AI102" s="111"/>
      <c r="AJ102" s="111"/>
      <c r="AK102" s="111"/>
      <c r="AL102" s="111"/>
      <c r="AM102" s="111"/>
      <c r="AN102" s="111"/>
      <c r="AO102" s="111"/>
      <c r="AP102" s="111"/>
      <c r="AQ102" s="111"/>
      <c r="AR102" s="21"/>
      <c r="AS102" s="21"/>
      <c r="AT102" s="21"/>
      <c r="AU102" s="21"/>
      <c r="AV102" s="21"/>
      <c r="AW102" s="21"/>
      <c r="AX102" s="21"/>
      <c r="AY102" s="21"/>
      <c r="AZ102" s="21"/>
      <c r="BA102" s="21"/>
    </row>
    <row r="103" spans="1:53" ht="15">
      <c r="A103" s="124"/>
      <c r="B103" s="21"/>
      <c r="C103" s="21"/>
      <c r="D103" s="21"/>
      <c r="E103" s="21"/>
      <c r="F103" s="21"/>
      <c r="G103" s="21"/>
      <c r="H103" s="21"/>
      <c r="I103" s="21"/>
      <c r="J103" s="21"/>
      <c r="K103" s="21"/>
      <c r="L103" s="21"/>
      <c r="M103" s="21"/>
      <c r="N103" s="21"/>
      <c r="O103" s="21"/>
      <c r="R103" s="107">
        <f>'Mia rosa + Org. Finanza'!AG103</f>
        <v>0</v>
      </c>
      <c r="S103" s="107" t="str">
        <f ca="1">'Mia rosa + Org. Finanza'!AH103</f>
        <v/>
      </c>
      <c r="T103" s="107" t="str">
        <f ca="1">'Mia rosa + Org. Finanza'!AI103</f>
        <v/>
      </c>
      <c r="U103" s="107">
        <f>'Mia rosa + Org. Finanza'!AJ103</f>
        <v>0</v>
      </c>
      <c r="V103" s="21"/>
      <c r="W103" s="179" t="str">
        <f t="shared" si="12"/>
        <v>Cag</v>
      </c>
      <c r="X103">
        <f t="shared" si="13"/>
        <v>6</v>
      </c>
      <c r="Y103" t="str">
        <f t="shared" si="14"/>
        <v>D6Cag</v>
      </c>
      <c r="Z103" s="193" t="s">
        <v>37</v>
      </c>
      <c r="AA103" s="193" t="s">
        <v>572</v>
      </c>
      <c r="AB103" s="179" t="s">
        <v>700</v>
      </c>
      <c r="AC103" s="94"/>
      <c r="AD103" s="95"/>
      <c r="AE103" s="111"/>
      <c r="AF103" s="111"/>
      <c r="AG103" s="111"/>
      <c r="AH103" s="111"/>
      <c r="AI103" s="111"/>
      <c r="AJ103" s="111"/>
      <c r="AK103" s="111"/>
      <c r="AL103" s="111"/>
      <c r="AM103" s="111"/>
      <c r="AN103" s="111"/>
      <c r="AO103" s="111"/>
      <c r="AP103" s="111"/>
      <c r="AQ103" s="111"/>
      <c r="AR103" s="21"/>
      <c r="AS103" s="21"/>
      <c r="AT103" s="21"/>
      <c r="AU103" s="21"/>
      <c r="AV103" s="21"/>
      <c r="AW103" s="21"/>
      <c r="AX103" s="21"/>
      <c r="AY103" s="21"/>
      <c r="AZ103" s="21"/>
      <c r="BA103" s="21"/>
    </row>
    <row r="104" spans="1:53" ht="15">
      <c r="A104" s="124"/>
      <c r="B104" s="21"/>
      <c r="C104" s="21"/>
      <c r="D104" s="21"/>
      <c r="E104" s="21"/>
      <c r="F104" s="21"/>
      <c r="G104" s="21"/>
      <c r="H104" s="21"/>
      <c r="I104" s="21"/>
      <c r="J104" s="21"/>
      <c r="K104" s="21"/>
      <c r="L104" s="21"/>
      <c r="M104" s="21"/>
      <c r="N104" s="21"/>
      <c r="O104" s="21"/>
      <c r="R104" s="107">
        <f>'Mia rosa + Org. Finanza'!AG104</f>
        <v>0</v>
      </c>
      <c r="S104" s="107" t="str">
        <f ca="1">'Mia rosa + Org. Finanza'!AH104</f>
        <v/>
      </c>
      <c r="T104" s="107" t="str">
        <f ca="1">'Mia rosa + Org. Finanza'!AI104</f>
        <v/>
      </c>
      <c r="U104" s="107">
        <f>'Mia rosa + Org. Finanza'!AJ104</f>
        <v>0</v>
      </c>
      <c r="V104" s="21"/>
      <c r="W104" s="179" t="str">
        <f t="shared" si="12"/>
        <v>Cag</v>
      </c>
      <c r="X104">
        <f t="shared" si="13"/>
        <v>7</v>
      </c>
      <c r="Y104" t="str">
        <f t="shared" si="14"/>
        <v>D7Cag</v>
      </c>
      <c r="Z104" s="193" t="s">
        <v>37</v>
      </c>
      <c r="AA104" s="193" t="s">
        <v>1722</v>
      </c>
      <c r="AB104" s="179" t="s">
        <v>700</v>
      </c>
      <c r="AC104" s="94"/>
      <c r="AD104" s="95"/>
      <c r="AE104" s="111"/>
      <c r="AF104" s="111"/>
      <c r="AG104" s="111"/>
      <c r="AH104" s="111"/>
      <c r="AI104" s="111"/>
      <c r="AJ104" s="111"/>
      <c r="AK104" s="111"/>
      <c r="AL104" s="111"/>
      <c r="AM104" s="111"/>
      <c r="AN104" s="111"/>
      <c r="AO104" s="111"/>
      <c r="AP104" s="111"/>
      <c r="AQ104" s="111"/>
      <c r="AR104" s="21"/>
      <c r="AS104" s="21"/>
      <c r="AT104" s="21"/>
      <c r="AU104" s="21"/>
      <c r="AV104" s="21"/>
      <c r="AW104" s="21"/>
      <c r="AX104" s="21"/>
      <c r="AY104" s="21"/>
      <c r="AZ104" s="21"/>
      <c r="BA104" s="21"/>
    </row>
    <row r="105" spans="1:53" ht="15">
      <c r="A105" s="124"/>
      <c r="B105" s="21"/>
      <c r="C105" s="21"/>
      <c r="D105" s="21"/>
      <c r="E105" s="21"/>
      <c r="F105" s="21"/>
      <c r="G105" s="21"/>
      <c r="H105" s="21"/>
      <c r="I105" s="21"/>
      <c r="J105" s="21"/>
      <c r="K105" s="21"/>
      <c r="L105" s="21"/>
      <c r="M105" s="21"/>
      <c r="N105" s="21"/>
      <c r="O105" s="21"/>
      <c r="R105" s="107">
        <f>'Mia rosa + Org. Finanza'!AG105</f>
        <v>0</v>
      </c>
      <c r="S105" s="107" t="str">
        <f ca="1">'Mia rosa + Org. Finanza'!AH105</f>
        <v/>
      </c>
      <c r="T105" s="107" t="str">
        <f ca="1">'Mia rosa + Org. Finanza'!AI105</f>
        <v/>
      </c>
      <c r="U105" s="107">
        <f>'Mia rosa + Org. Finanza'!AJ105</f>
        <v>0</v>
      </c>
      <c r="V105" s="21"/>
      <c r="W105" s="179" t="str">
        <f t="shared" si="12"/>
        <v>Cag</v>
      </c>
      <c r="X105">
        <f t="shared" si="13"/>
        <v>8</v>
      </c>
      <c r="Y105" t="str">
        <f t="shared" si="14"/>
        <v>D8Cag</v>
      </c>
      <c r="Z105" s="193" t="s">
        <v>37</v>
      </c>
      <c r="AA105" s="193" t="s">
        <v>1962</v>
      </c>
      <c r="AB105" s="179" t="s">
        <v>700</v>
      </c>
      <c r="AC105" s="94"/>
      <c r="AD105" s="95"/>
      <c r="AE105" s="111"/>
      <c r="AF105" s="111"/>
      <c r="AG105" s="111"/>
      <c r="AH105" s="111"/>
      <c r="AI105" s="111"/>
      <c r="AJ105" s="111"/>
      <c r="AK105" s="111"/>
      <c r="AL105" s="111"/>
      <c r="AM105" s="111"/>
      <c r="AN105" s="111"/>
      <c r="AO105" s="111"/>
      <c r="AP105" s="111"/>
      <c r="AQ105" s="111"/>
      <c r="AR105" s="21"/>
      <c r="AS105" s="21"/>
      <c r="AT105" s="21"/>
      <c r="AU105" s="21"/>
      <c r="AV105" s="21"/>
      <c r="AW105" s="21"/>
      <c r="AX105" s="21"/>
      <c r="AY105" s="21"/>
      <c r="AZ105" s="21"/>
      <c r="BA105" s="21"/>
    </row>
    <row r="106" spans="1:53" ht="15">
      <c r="A106" s="124"/>
      <c r="B106" s="21"/>
      <c r="C106" s="21"/>
      <c r="D106" s="21"/>
      <c r="E106" s="21"/>
      <c r="F106" s="21"/>
      <c r="G106" s="21"/>
      <c r="H106" s="21"/>
      <c r="I106" s="21"/>
      <c r="J106" s="21"/>
      <c r="K106" s="21"/>
      <c r="L106" s="21"/>
      <c r="M106" s="21"/>
      <c r="N106" s="21"/>
      <c r="O106" s="21"/>
      <c r="R106" s="107">
        <f>'Mia rosa + Org. Finanza'!AG106</f>
        <v>0</v>
      </c>
      <c r="S106" s="107" t="str">
        <f ca="1">'Mia rosa + Org. Finanza'!AH106</f>
        <v/>
      </c>
      <c r="T106" s="107" t="str">
        <f ca="1">'Mia rosa + Org. Finanza'!AI106</f>
        <v/>
      </c>
      <c r="U106" s="107">
        <f>'Mia rosa + Org. Finanza'!AJ106</f>
        <v>0</v>
      </c>
      <c r="V106" s="21"/>
      <c r="W106" s="179" t="str">
        <f t="shared" si="12"/>
        <v>Cag</v>
      </c>
      <c r="X106">
        <f t="shared" si="13"/>
        <v>1</v>
      </c>
      <c r="Y106" t="str">
        <f t="shared" si="14"/>
        <v>P1Cag</v>
      </c>
      <c r="Z106" s="193" t="s">
        <v>35</v>
      </c>
      <c r="AA106" s="193" t="s">
        <v>1677</v>
      </c>
      <c r="AB106" s="179" t="s">
        <v>700</v>
      </c>
      <c r="AC106" s="94"/>
      <c r="AD106" s="95"/>
      <c r="AE106" s="111"/>
      <c r="AF106" s="111"/>
      <c r="AG106" s="111"/>
      <c r="AH106" s="111"/>
      <c r="AI106" s="111"/>
      <c r="AJ106" s="111"/>
      <c r="AK106" s="111"/>
      <c r="AL106" s="111"/>
      <c r="AM106" s="111"/>
      <c r="AN106" s="111"/>
      <c r="AO106" s="111"/>
      <c r="AP106" s="111"/>
      <c r="AQ106" s="111"/>
      <c r="AR106" s="21"/>
      <c r="AS106" s="21"/>
      <c r="AT106" s="21"/>
      <c r="AU106" s="21"/>
      <c r="AV106" s="21"/>
      <c r="AW106" s="21"/>
      <c r="AX106" s="21"/>
      <c r="AY106" s="21"/>
      <c r="AZ106" s="21"/>
      <c r="BA106" s="21"/>
    </row>
    <row r="107" spans="1:53" ht="15">
      <c r="A107" s="124"/>
      <c r="B107" s="21"/>
      <c r="C107" s="21"/>
      <c r="D107" s="21"/>
      <c r="E107" s="21"/>
      <c r="F107" s="21"/>
      <c r="G107" s="21"/>
      <c r="H107" s="21"/>
      <c r="I107" s="21"/>
      <c r="J107" s="21"/>
      <c r="K107" s="21"/>
      <c r="L107" s="21"/>
      <c r="M107" s="21"/>
      <c r="N107" s="21"/>
      <c r="O107" s="21"/>
      <c r="R107" s="107">
        <f>'Mia rosa + Org. Finanza'!AG107</f>
        <v>0</v>
      </c>
      <c r="S107" s="107" t="str">
        <f ca="1">'Mia rosa + Org. Finanza'!AH107</f>
        <v/>
      </c>
      <c r="T107" s="107" t="str">
        <f ca="1">'Mia rosa + Org. Finanza'!AI107</f>
        <v/>
      </c>
      <c r="U107" s="107">
        <f>'Mia rosa + Org. Finanza'!AJ107</f>
        <v>0</v>
      </c>
      <c r="V107" s="21"/>
      <c r="W107" s="179" t="str">
        <f t="shared" si="12"/>
        <v>Cag</v>
      </c>
      <c r="X107">
        <f t="shared" si="13"/>
        <v>2</v>
      </c>
      <c r="Y107" t="str">
        <f t="shared" si="14"/>
        <v>P2Cag</v>
      </c>
      <c r="Z107" s="193" t="s">
        <v>35</v>
      </c>
      <c r="AA107" s="193" t="s">
        <v>1687</v>
      </c>
      <c r="AB107" s="179" t="s">
        <v>700</v>
      </c>
      <c r="AC107" s="94"/>
      <c r="AD107" s="95"/>
      <c r="AE107" s="111"/>
      <c r="AF107" s="111"/>
      <c r="AG107" s="111"/>
      <c r="AH107" s="111"/>
      <c r="AI107" s="111"/>
      <c r="AJ107" s="111"/>
      <c r="AK107" s="111"/>
      <c r="AL107" s="111"/>
      <c r="AM107" s="111"/>
      <c r="AN107" s="111"/>
      <c r="AO107" s="111"/>
      <c r="AP107" s="111"/>
      <c r="AQ107" s="111"/>
      <c r="AR107" s="21"/>
      <c r="AS107" s="21"/>
      <c r="AT107" s="21"/>
      <c r="AU107" s="21"/>
      <c r="AV107" s="21"/>
      <c r="AW107" s="21"/>
      <c r="AX107" s="21"/>
      <c r="AY107" s="21"/>
      <c r="AZ107" s="21"/>
      <c r="BA107" s="21"/>
    </row>
    <row r="108" spans="1:53" ht="15">
      <c r="A108" s="124"/>
      <c r="B108" s="21"/>
      <c r="C108" s="21"/>
      <c r="D108" s="21"/>
      <c r="E108" s="21"/>
      <c r="F108" s="21"/>
      <c r="G108" s="21"/>
      <c r="H108" s="21"/>
      <c r="I108" s="21"/>
      <c r="J108" s="21"/>
      <c r="K108" s="21"/>
      <c r="L108" s="21"/>
      <c r="M108" s="21"/>
      <c r="N108" s="21"/>
      <c r="O108" s="21"/>
      <c r="R108" s="107">
        <f>'Mia rosa + Org. Finanza'!AG108</f>
        <v>0</v>
      </c>
      <c r="S108" s="107" t="str">
        <f ca="1">'Mia rosa + Org. Finanza'!AH108</f>
        <v/>
      </c>
      <c r="T108" s="107" t="str">
        <f ca="1">'Mia rosa + Org. Finanza'!AI108</f>
        <v/>
      </c>
      <c r="U108" s="107">
        <f>'Mia rosa + Org. Finanza'!AJ108</f>
        <v>0</v>
      </c>
      <c r="V108" s="21"/>
      <c r="W108" s="179" t="str">
        <f t="shared" si="12"/>
        <v>Cag</v>
      </c>
      <c r="X108">
        <f t="shared" si="13"/>
        <v>3</v>
      </c>
      <c r="Y108" t="str">
        <f t="shared" si="14"/>
        <v>P3Cag</v>
      </c>
      <c r="Z108" s="193" t="s">
        <v>35</v>
      </c>
      <c r="AA108" s="193" t="s">
        <v>409</v>
      </c>
      <c r="AB108" s="179" t="s">
        <v>700</v>
      </c>
      <c r="AC108" s="94"/>
      <c r="AD108" s="95"/>
      <c r="AE108" s="111"/>
      <c r="AF108" s="111"/>
      <c r="AG108" s="111"/>
      <c r="AH108" s="111"/>
      <c r="AI108" s="111"/>
      <c r="AJ108" s="111"/>
      <c r="AK108" s="111"/>
      <c r="AL108" s="111"/>
      <c r="AM108" s="111"/>
      <c r="AN108" s="111"/>
      <c r="AO108" s="111"/>
      <c r="AP108" s="111"/>
      <c r="AQ108" s="111"/>
      <c r="AR108" s="21"/>
      <c r="AS108" s="21"/>
      <c r="AT108" s="21"/>
      <c r="AU108" s="21"/>
      <c r="AV108" s="21"/>
      <c r="AW108" s="21"/>
      <c r="AX108" s="21"/>
      <c r="AY108" s="21"/>
      <c r="AZ108" s="21"/>
      <c r="BA108" s="21"/>
    </row>
    <row r="109" spans="1:53" ht="15">
      <c r="A109" s="124"/>
      <c r="B109" s="21"/>
      <c r="C109" s="21"/>
      <c r="D109" s="21"/>
      <c r="E109" s="21"/>
      <c r="F109" s="21"/>
      <c r="G109" s="21"/>
      <c r="H109" s="21"/>
      <c r="I109" s="21"/>
      <c r="J109" s="21"/>
      <c r="K109" s="21"/>
      <c r="L109" s="21"/>
      <c r="M109" s="21"/>
      <c r="N109" s="21"/>
      <c r="O109" s="21"/>
      <c r="R109" s="107">
        <f>'Mia rosa + Org. Finanza'!AG109</f>
        <v>0</v>
      </c>
      <c r="S109" s="107" t="str">
        <f ca="1">'Mia rosa + Org. Finanza'!AH109</f>
        <v/>
      </c>
      <c r="T109" s="107" t="str">
        <f ca="1">'Mia rosa + Org. Finanza'!AI109</f>
        <v/>
      </c>
      <c r="U109" s="107">
        <f>'Mia rosa + Org. Finanza'!AJ109</f>
        <v>0</v>
      </c>
      <c r="V109" s="21"/>
      <c r="W109" s="179" t="str">
        <f t="shared" si="12"/>
        <v>Chi</v>
      </c>
      <c r="X109">
        <f t="shared" si="13"/>
        <v>1</v>
      </c>
      <c r="Y109" t="str">
        <f t="shared" si="14"/>
        <v>A1Chi</v>
      </c>
      <c r="Z109" s="193" t="s">
        <v>43</v>
      </c>
      <c r="AA109" s="193" t="s">
        <v>405</v>
      </c>
      <c r="AB109" s="179" t="s">
        <v>680</v>
      </c>
      <c r="AC109" s="94"/>
      <c r="AD109" s="95"/>
      <c r="AE109" s="111"/>
      <c r="AF109" s="111"/>
      <c r="AG109" s="111"/>
      <c r="AH109" s="111"/>
      <c r="AI109" s="111"/>
      <c r="AJ109" s="111"/>
      <c r="AK109" s="111"/>
      <c r="AL109" s="111"/>
      <c r="AM109" s="111"/>
      <c r="AN109" s="111"/>
      <c r="AO109" s="111"/>
      <c r="AP109" s="111"/>
      <c r="AQ109" s="111"/>
      <c r="AR109" s="21"/>
      <c r="AS109" s="21"/>
      <c r="AT109" s="21"/>
      <c r="AU109" s="21"/>
      <c r="AV109" s="21"/>
      <c r="AW109" s="21"/>
      <c r="AX109" s="21"/>
      <c r="AY109" s="21"/>
      <c r="AZ109" s="21"/>
      <c r="BA109" s="21"/>
    </row>
    <row r="110" spans="1:53" ht="15">
      <c r="A110" s="124"/>
      <c r="B110" s="21"/>
      <c r="C110" s="21"/>
      <c r="D110" s="21"/>
      <c r="E110" s="21"/>
      <c r="F110" s="21"/>
      <c r="G110" s="21"/>
      <c r="H110" s="21"/>
      <c r="I110" s="21"/>
      <c r="J110" s="21"/>
      <c r="K110" s="21"/>
      <c r="L110" s="21"/>
      <c r="M110" s="21"/>
      <c r="N110" s="21"/>
      <c r="O110" s="21"/>
      <c r="R110" s="107">
        <f>'Mia rosa + Org. Finanza'!AG110</f>
        <v>0</v>
      </c>
      <c r="S110" s="107" t="str">
        <f ca="1">'Mia rosa + Org. Finanza'!AH110</f>
        <v/>
      </c>
      <c r="T110" s="107" t="str">
        <f ca="1">'Mia rosa + Org. Finanza'!AI110</f>
        <v/>
      </c>
      <c r="U110" s="107">
        <f>'Mia rosa + Org. Finanza'!AJ110</f>
        <v>0</v>
      </c>
      <c r="V110" s="21"/>
      <c r="W110" s="179" t="str">
        <f t="shared" si="12"/>
        <v>Chi</v>
      </c>
      <c r="X110">
        <f t="shared" si="13"/>
        <v>2</v>
      </c>
      <c r="Y110" t="str">
        <f t="shared" si="14"/>
        <v>A2Chi</v>
      </c>
      <c r="Z110" s="193" t="s">
        <v>43</v>
      </c>
      <c r="AA110" s="193" t="s">
        <v>450</v>
      </c>
      <c r="AB110" s="179" t="s">
        <v>680</v>
      </c>
      <c r="AC110" s="94"/>
      <c r="AD110" s="95"/>
      <c r="AE110" s="111"/>
      <c r="AF110" s="111"/>
      <c r="AG110" s="111"/>
      <c r="AH110" s="111"/>
      <c r="AI110" s="111"/>
      <c r="AJ110" s="111"/>
      <c r="AK110" s="111"/>
      <c r="AL110" s="111"/>
      <c r="AM110" s="111"/>
      <c r="AN110" s="111"/>
      <c r="AO110" s="111"/>
      <c r="AP110" s="111"/>
      <c r="AQ110" s="111"/>
      <c r="AR110" s="21"/>
      <c r="AS110" s="21"/>
      <c r="AT110" s="21"/>
      <c r="AU110" s="21"/>
      <c r="AV110" s="21"/>
      <c r="AW110" s="21"/>
      <c r="AX110" s="21"/>
      <c r="AY110" s="21"/>
      <c r="AZ110" s="21"/>
      <c r="BA110" s="21"/>
    </row>
    <row r="111" spans="1:53" ht="15">
      <c r="A111" s="124"/>
      <c r="B111" s="21"/>
      <c r="C111" s="21"/>
      <c r="D111" s="21"/>
      <c r="E111" s="21"/>
      <c r="F111" s="21"/>
      <c r="G111" s="21"/>
      <c r="H111" s="21"/>
      <c r="I111" s="21"/>
      <c r="J111" s="21"/>
      <c r="K111" s="21"/>
      <c r="L111" s="21"/>
      <c r="M111" s="21"/>
      <c r="N111" s="21"/>
      <c r="O111" s="21"/>
      <c r="R111" s="107">
        <f>'Mia rosa + Org. Finanza'!AG111</f>
        <v>0</v>
      </c>
      <c r="S111" s="107" t="str">
        <f ca="1">'Mia rosa + Org. Finanza'!AH111</f>
        <v/>
      </c>
      <c r="T111" s="107" t="str">
        <f ca="1">'Mia rosa + Org. Finanza'!AI111</f>
        <v/>
      </c>
      <c r="U111" s="107">
        <f>'Mia rosa + Org. Finanza'!AJ111</f>
        <v>0</v>
      </c>
      <c r="V111" s="21"/>
      <c r="W111" s="179" t="str">
        <f t="shared" si="12"/>
        <v>Chi</v>
      </c>
      <c r="X111">
        <f t="shared" si="13"/>
        <v>3</v>
      </c>
      <c r="Y111" t="str">
        <f t="shared" si="14"/>
        <v>A3Chi</v>
      </c>
      <c r="Z111" s="193" t="s">
        <v>43</v>
      </c>
      <c r="AA111" s="193" t="s">
        <v>480</v>
      </c>
      <c r="AB111" s="179" t="s">
        <v>680</v>
      </c>
      <c r="AC111" s="94"/>
      <c r="AD111" s="95"/>
      <c r="AE111" s="111"/>
      <c r="AF111" s="111"/>
      <c r="AG111" s="111"/>
      <c r="AH111" s="111"/>
      <c r="AI111" s="111"/>
      <c r="AJ111" s="111"/>
      <c r="AK111" s="111"/>
      <c r="AL111" s="111"/>
      <c r="AM111" s="111"/>
      <c r="AN111" s="111"/>
      <c r="AO111" s="111"/>
      <c r="AP111" s="111"/>
      <c r="AQ111" s="111"/>
      <c r="AR111" s="21"/>
      <c r="AS111" s="21"/>
      <c r="AT111" s="21"/>
      <c r="AU111" s="21"/>
      <c r="AV111" s="21"/>
      <c r="AW111" s="21"/>
      <c r="AX111" s="21"/>
      <c r="AY111" s="21"/>
      <c r="AZ111" s="21"/>
      <c r="BA111" s="21"/>
    </row>
    <row r="112" spans="1:53" ht="15">
      <c r="A112" s="124"/>
      <c r="B112" s="21"/>
      <c r="C112" s="21"/>
      <c r="D112" s="21"/>
      <c r="E112" s="21"/>
      <c r="F112" s="21"/>
      <c r="G112" s="21"/>
      <c r="H112" s="21"/>
      <c r="I112" s="21"/>
      <c r="J112" s="21"/>
      <c r="K112" s="21"/>
      <c r="L112" s="21"/>
      <c r="M112" s="21"/>
      <c r="N112" s="21"/>
      <c r="O112" s="21"/>
      <c r="R112" s="107">
        <f>'Mia rosa + Org. Finanza'!AG112</f>
        <v>0</v>
      </c>
      <c r="S112" s="107" t="str">
        <f ca="1">'Mia rosa + Org. Finanza'!AH112</f>
        <v/>
      </c>
      <c r="T112" s="107" t="str">
        <f ca="1">'Mia rosa + Org. Finanza'!AI112</f>
        <v/>
      </c>
      <c r="U112" s="107">
        <f>'Mia rosa + Org. Finanza'!AJ112</f>
        <v>0</v>
      </c>
      <c r="V112" s="21"/>
      <c r="W112" s="179" t="str">
        <f t="shared" si="12"/>
        <v>Chi</v>
      </c>
      <c r="X112">
        <f t="shared" si="13"/>
        <v>4</v>
      </c>
      <c r="Y112" t="str">
        <f t="shared" si="14"/>
        <v>A4Chi</v>
      </c>
      <c r="Z112" s="193" t="s">
        <v>43</v>
      </c>
      <c r="AA112" s="193" t="s">
        <v>491</v>
      </c>
      <c r="AB112" s="179" t="s">
        <v>680</v>
      </c>
      <c r="AC112" s="94"/>
      <c r="AD112" s="95"/>
      <c r="AE112" s="111"/>
      <c r="AF112" s="111"/>
      <c r="AG112" s="111"/>
      <c r="AH112" s="111"/>
      <c r="AI112" s="111"/>
      <c r="AJ112" s="111"/>
      <c r="AK112" s="111"/>
      <c r="AL112" s="111"/>
      <c r="AM112" s="111"/>
      <c r="AN112" s="111"/>
      <c r="AO112" s="111"/>
      <c r="AP112" s="111"/>
      <c r="AQ112" s="111"/>
      <c r="AR112" s="21"/>
      <c r="AS112" s="21"/>
      <c r="AT112" s="21"/>
      <c r="AU112" s="21"/>
      <c r="AV112" s="21"/>
      <c r="AW112" s="21"/>
      <c r="AX112" s="21"/>
      <c r="AY112" s="21"/>
      <c r="AZ112" s="21"/>
      <c r="BA112" s="21"/>
    </row>
    <row r="113" spans="1:53" ht="15">
      <c r="A113" s="124"/>
      <c r="B113" s="21"/>
      <c r="C113" s="21"/>
      <c r="D113" s="21"/>
      <c r="E113" s="21"/>
      <c r="F113" s="21"/>
      <c r="G113" s="21"/>
      <c r="H113" s="21"/>
      <c r="I113" s="21"/>
      <c r="J113" s="21"/>
      <c r="K113" s="21"/>
      <c r="L113" s="21"/>
      <c r="M113" s="21"/>
      <c r="N113" s="21"/>
      <c r="O113" s="21"/>
      <c r="R113" s="107">
        <f>'Mia rosa + Org. Finanza'!AG113</f>
        <v>0</v>
      </c>
      <c r="S113" s="107" t="str">
        <f ca="1">'Mia rosa + Org. Finanza'!AH113</f>
        <v/>
      </c>
      <c r="T113" s="107" t="str">
        <f ca="1">'Mia rosa + Org. Finanza'!AI113</f>
        <v/>
      </c>
      <c r="U113" s="107">
        <f>'Mia rosa + Org. Finanza'!AJ113</f>
        <v>0</v>
      </c>
      <c r="V113" s="21"/>
      <c r="W113" s="179" t="str">
        <f t="shared" si="12"/>
        <v>Chi</v>
      </c>
      <c r="X113">
        <f t="shared" si="13"/>
        <v>5</v>
      </c>
      <c r="Y113" t="str">
        <f t="shared" si="14"/>
        <v>A5Chi</v>
      </c>
      <c r="Z113" s="193" t="s">
        <v>43</v>
      </c>
      <c r="AA113" s="193" t="s">
        <v>1985</v>
      </c>
      <c r="AB113" s="179" t="s">
        <v>680</v>
      </c>
      <c r="AC113" s="94"/>
      <c r="AD113" s="95"/>
      <c r="AE113" s="111"/>
      <c r="AF113" s="111"/>
      <c r="AG113" s="111"/>
      <c r="AH113" s="111"/>
      <c r="AI113" s="111"/>
      <c r="AJ113" s="111"/>
      <c r="AK113" s="111"/>
      <c r="AL113" s="111"/>
      <c r="AM113" s="111"/>
      <c r="AN113" s="111"/>
      <c r="AO113" s="111"/>
      <c r="AP113" s="111"/>
      <c r="AQ113" s="111"/>
      <c r="AR113" s="21"/>
      <c r="AS113" s="21"/>
      <c r="AT113" s="21"/>
      <c r="AU113" s="21"/>
      <c r="AV113" s="21"/>
      <c r="AW113" s="21"/>
      <c r="AX113" s="21"/>
      <c r="AY113" s="21"/>
      <c r="AZ113" s="21"/>
      <c r="BA113" s="21"/>
    </row>
    <row r="114" spans="1:53" ht="15">
      <c r="A114" s="124"/>
      <c r="B114" s="21"/>
      <c r="C114" s="21"/>
      <c r="D114" s="21"/>
      <c r="E114" s="21"/>
      <c r="F114" s="21"/>
      <c r="G114" s="21"/>
      <c r="H114" s="21"/>
      <c r="I114" s="21"/>
      <c r="J114" s="21"/>
      <c r="K114" s="21"/>
      <c r="L114" s="21"/>
      <c r="M114" s="21"/>
      <c r="N114" s="21"/>
      <c r="O114" s="21"/>
      <c r="R114" s="107">
        <f>'Mia rosa + Org. Finanza'!AG114</f>
        <v>0</v>
      </c>
      <c r="S114" s="107" t="str">
        <f ca="1">'Mia rosa + Org. Finanza'!AH114</f>
        <v/>
      </c>
      <c r="T114" s="107" t="str">
        <f ca="1">'Mia rosa + Org. Finanza'!AI114</f>
        <v/>
      </c>
      <c r="U114" s="107">
        <f>'Mia rosa + Org. Finanza'!AJ114</f>
        <v>0</v>
      </c>
      <c r="V114" s="21"/>
      <c r="W114" s="179" t="str">
        <f t="shared" si="12"/>
        <v>Chi</v>
      </c>
      <c r="X114">
        <f t="shared" si="13"/>
        <v>1</v>
      </c>
      <c r="Y114" t="str">
        <f t="shared" si="14"/>
        <v>C1Chi</v>
      </c>
      <c r="Z114" s="193" t="s">
        <v>39</v>
      </c>
      <c r="AA114" s="193" t="s">
        <v>1335</v>
      </c>
      <c r="AB114" s="179" t="s">
        <v>680</v>
      </c>
      <c r="AC114" s="94"/>
      <c r="AD114" s="95"/>
      <c r="AE114" s="111"/>
      <c r="AF114" s="111"/>
      <c r="AG114" s="111"/>
      <c r="AH114" s="111"/>
      <c r="AI114" s="111"/>
      <c r="AJ114" s="111"/>
      <c r="AK114" s="111"/>
      <c r="AL114" s="111"/>
      <c r="AM114" s="111"/>
      <c r="AN114" s="111"/>
      <c r="AO114" s="111"/>
      <c r="AP114" s="111"/>
      <c r="AQ114" s="111"/>
      <c r="AR114" s="21"/>
      <c r="AS114" s="21"/>
      <c r="AT114" s="21"/>
      <c r="AU114" s="21"/>
      <c r="AV114" s="21"/>
      <c r="AW114" s="21"/>
      <c r="AX114" s="21"/>
      <c r="AY114" s="21"/>
      <c r="AZ114" s="21"/>
      <c r="BA114" s="21"/>
    </row>
    <row r="115" spans="1:53" ht="15">
      <c r="A115" s="124"/>
      <c r="B115" s="21"/>
      <c r="C115" s="21"/>
      <c r="D115" s="21"/>
      <c r="E115" s="21"/>
      <c r="F115" s="21"/>
      <c r="G115" s="21"/>
      <c r="H115" s="21"/>
      <c r="I115" s="21"/>
      <c r="J115" s="21"/>
      <c r="K115" s="21"/>
      <c r="L115" s="21"/>
      <c r="M115" s="21"/>
      <c r="N115" s="21"/>
      <c r="O115" s="21"/>
      <c r="R115" s="107">
        <f>'Mia rosa + Org. Finanza'!AG115</f>
        <v>0</v>
      </c>
      <c r="S115" s="107" t="str">
        <f ca="1">'Mia rosa + Org. Finanza'!AH115</f>
        <v/>
      </c>
      <c r="T115" s="107" t="str">
        <f ca="1">'Mia rosa + Org. Finanza'!AI115</f>
        <v/>
      </c>
      <c r="U115" s="107">
        <f>'Mia rosa + Org. Finanza'!AJ115</f>
        <v>0</v>
      </c>
      <c r="V115" s="21"/>
      <c r="W115" s="179" t="str">
        <f t="shared" si="12"/>
        <v>Chi</v>
      </c>
      <c r="X115">
        <f t="shared" si="13"/>
        <v>2</v>
      </c>
      <c r="Y115" t="str">
        <f t="shared" si="14"/>
        <v>C2Chi</v>
      </c>
      <c r="Z115" s="193" t="s">
        <v>39</v>
      </c>
      <c r="AA115" s="193" t="s">
        <v>354</v>
      </c>
      <c r="AB115" s="179" t="s">
        <v>680</v>
      </c>
      <c r="AC115" s="94"/>
      <c r="AD115" s="95"/>
      <c r="AE115" s="111"/>
      <c r="AF115" s="111"/>
      <c r="AG115" s="111"/>
      <c r="AH115" s="111"/>
      <c r="AI115" s="111"/>
      <c r="AJ115" s="111"/>
      <c r="AK115" s="111"/>
      <c r="AL115" s="111"/>
      <c r="AM115" s="111"/>
      <c r="AN115" s="111"/>
      <c r="AO115" s="111"/>
      <c r="AP115" s="111"/>
      <c r="AQ115" s="111"/>
      <c r="AR115" s="21"/>
      <c r="AS115" s="21"/>
      <c r="AT115" s="21"/>
      <c r="AU115" s="21"/>
      <c r="AV115" s="21"/>
      <c r="AW115" s="21"/>
      <c r="AX115" s="21"/>
      <c r="AY115" s="21"/>
      <c r="AZ115" s="21"/>
      <c r="BA115" s="21"/>
    </row>
    <row r="116" spans="1:53" ht="15">
      <c r="A116" s="124"/>
      <c r="B116" s="21"/>
      <c r="C116" s="21"/>
      <c r="D116" s="21"/>
      <c r="E116" s="21"/>
      <c r="F116" s="21"/>
      <c r="G116" s="21"/>
      <c r="H116" s="21"/>
      <c r="I116" s="21"/>
      <c r="J116" s="21"/>
      <c r="K116" s="21"/>
      <c r="L116" s="21"/>
      <c r="M116" s="21"/>
      <c r="N116" s="21"/>
      <c r="O116" s="21"/>
      <c r="R116" s="107">
        <f>'Mia rosa + Org. Finanza'!AG116</f>
        <v>0</v>
      </c>
      <c r="S116" s="107" t="str">
        <f ca="1">'Mia rosa + Org. Finanza'!AH116</f>
        <v/>
      </c>
      <c r="T116" s="107" t="str">
        <f ca="1">'Mia rosa + Org. Finanza'!AI116</f>
        <v/>
      </c>
      <c r="U116" s="107">
        <f>'Mia rosa + Org. Finanza'!AJ116</f>
        <v>0</v>
      </c>
      <c r="V116" s="21"/>
      <c r="W116" s="179" t="str">
        <f t="shared" si="12"/>
        <v>Chi</v>
      </c>
      <c r="X116">
        <f t="shared" si="13"/>
        <v>3</v>
      </c>
      <c r="Y116" t="str">
        <f t="shared" si="14"/>
        <v>C3Chi</v>
      </c>
      <c r="Z116" s="193" t="s">
        <v>39</v>
      </c>
      <c r="AA116" s="193" t="s">
        <v>389</v>
      </c>
      <c r="AB116" s="179" t="s">
        <v>680</v>
      </c>
      <c r="AC116" s="94"/>
      <c r="AD116"/>
      <c r="AE116" s="111"/>
      <c r="AF116" s="111"/>
      <c r="AG116" s="111"/>
      <c r="AH116" s="111"/>
      <c r="AI116" s="111"/>
      <c r="AJ116" s="111"/>
      <c r="AK116" s="111"/>
      <c r="AL116" s="111"/>
      <c r="AM116" s="111"/>
      <c r="AN116" s="111"/>
      <c r="AO116" s="111"/>
      <c r="AP116" s="111"/>
      <c r="AQ116" s="111"/>
      <c r="AR116" s="21"/>
      <c r="AS116" s="21"/>
      <c r="AT116" s="21"/>
      <c r="AU116" s="21"/>
      <c r="AV116" s="21"/>
      <c r="AW116" s="21"/>
      <c r="AX116" s="21"/>
      <c r="AY116" s="21"/>
      <c r="AZ116" s="21"/>
      <c r="BA116" s="21"/>
    </row>
    <row r="117" spans="1:53" ht="15">
      <c r="A117" s="124"/>
      <c r="B117" s="21"/>
      <c r="C117" s="21"/>
      <c r="D117" s="21"/>
      <c r="E117" s="21"/>
      <c r="F117" s="21"/>
      <c r="G117" s="21"/>
      <c r="H117" s="21"/>
      <c r="I117" s="21"/>
      <c r="J117" s="21"/>
      <c r="K117" s="21"/>
      <c r="L117" s="21"/>
      <c r="M117" s="21"/>
      <c r="N117" s="21"/>
      <c r="O117" s="21"/>
      <c r="R117" s="107">
        <f>'Mia rosa + Org. Finanza'!AG117</f>
        <v>0</v>
      </c>
      <c r="S117" s="107" t="str">
        <f ca="1">'Mia rosa + Org. Finanza'!AH117</f>
        <v/>
      </c>
      <c r="T117" s="107" t="str">
        <f ca="1">'Mia rosa + Org. Finanza'!AI117</f>
        <v/>
      </c>
      <c r="U117" s="107">
        <f>'Mia rosa + Org. Finanza'!AJ117</f>
        <v>0</v>
      </c>
      <c r="V117" s="21"/>
      <c r="W117" s="179" t="str">
        <f t="shared" si="12"/>
        <v>Chi</v>
      </c>
      <c r="X117">
        <f t="shared" si="13"/>
        <v>4</v>
      </c>
      <c r="Y117" t="str">
        <f t="shared" si="14"/>
        <v>C4Chi</v>
      </c>
      <c r="Z117" s="193" t="s">
        <v>39</v>
      </c>
      <c r="AA117" s="193" t="s">
        <v>1751</v>
      </c>
      <c r="AB117" s="179" t="s">
        <v>680</v>
      </c>
      <c r="AC117" s="94"/>
      <c r="AD117" s="95"/>
      <c r="AE117" s="111"/>
      <c r="AF117" s="111"/>
      <c r="AG117" s="111"/>
      <c r="AH117" s="111"/>
      <c r="AI117" s="111"/>
      <c r="AJ117" s="111"/>
      <c r="AK117" s="111"/>
      <c r="AL117" s="111"/>
      <c r="AM117" s="111"/>
      <c r="AN117" s="111"/>
      <c r="AO117" s="111"/>
      <c r="AP117" s="111"/>
      <c r="AQ117" s="111"/>
      <c r="AR117" s="21"/>
      <c r="AS117" s="21"/>
      <c r="AT117" s="21"/>
      <c r="AU117" s="21"/>
      <c r="AV117" s="21"/>
      <c r="AW117" s="21"/>
      <c r="AX117" s="21"/>
      <c r="AY117" s="21"/>
      <c r="AZ117" s="21"/>
      <c r="BA117" s="21"/>
    </row>
    <row r="118" spans="1:53" ht="15">
      <c r="A118" s="124"/>
      <c r="B118" s="21"/>
      <c r="C118" s="21"/>
      <c r="D118" s="21"/>
      <c r="E118" s="21"/>
      <c r="F118" s="21"/>
      <c r="G118" s="21"/>
      <c r="H118" s="21"/>
      <c r="I118" s="21"/>
      <c r="J118" s="21"/>
      <c r="K118" s="21"/>
      <c r="L118" s="21"/>
      <c r="M118" s="21"/>
      <c r="N118" s="21"/>
      <c r="O118" s="21"/>
      <c r="R118" s="107">
        <f>'Mia rosa + Org. Finanza'!AG118</f>
        <v>0</v>
      </c>
      <c r="S118" s="107" t="str">
        <f ca="1">'Mia rosa + Org. Finanza'!AH118</f>
        <v/>
      </c>
      <c r="T118" s="107" t="str">
        <f ca="1">'Mia rosa + Org. Finanza'!AI118</f>
        <v/>
      </c>
      <c r="U118" s="107">
        <f>'Mia rosa + Org. Finanza'!AJ118</f>
        <v>0</v>
      </c>
      <c r="V118" s="21"/>
      <c r="W118" s="179" t="str">
        <f t="shared" si="12"/>
        <v>Chi</v>
      </c>
      <c r="X118">
        <f t="shared" si="13"/>
        <v>5</v>
      </c>
      <c r="Y118" t="str">
        <f t="shared" si="14"/>
        <v>C5Chi</v>
      </c>
      <c r="Z118" s="193" t="s">
        <v>39</v>
      </c>
      <c r="AA118" s="193" t="s">
        <v>1765</v>
      </c>
      <c r="AB118" s="179" t="s">
        <v>680</v>
      </c>
      <c r="AC118" s="94"/>
      <c r="AD118" s="95"/>
      <c r="AE118" s="111"/>
      <c r="AF118" s="111"/>
      <c r="AG118" s="111"/>
      <c r="AH118" s="111"/>
      <c r="AI118" s="111"/>
      <c r="AJ118" s="111"/>
      <c r="AK118" s="111"/>
      <c r="AL118" s="111"/>
      <c r="AM118" s="111"/>
      <c r="AN118" s="111"/>
      <c r="AO118" s="111"/>
      <c r="AP118" s="111"/>
      <c r="AQ118" s="111"/>
      <c r="AR118" s="21"/>
      <c r="AS118" s="21"/>
      <c r="AT118" s="21"/>
      <c r="AU118" s="21"/>
      <c r="AV118" s="21"/>
      <c r="AW118" s="21"/>
      <c r="AX118" s="21"/>
      <c r="AY118" s="21"/>
      <c r="AZ118" s="21"/>
      <c r="BA118" s="21"/>
    </row>
    <row r="119" spans="1:53" ht="15">
      <c r="A119" s="124"/>
      <c r="B119" s="21"/>
      <c r="C119" s="21"/>
      <c r="D119" s="21"/>
      <c r="E119" s="21"/>
      <c r="F119" s="21"/>
      <c r="G119" s="21"/>
      <c r="H119" s="21"/>
      <c r="I119" s="21"/>
      <c r="J119" s="21"/>
      <c r="K119" s="21"/>
      <c r="L119" s="21"/>
      <c r="M119" s="21"/>
      <c r="N119" s="21"/>
      <c r="O119" s="21"/>
      <c r="R119" s="107">
        <f>'Mia rosa + Org. Finanza'!AG119</f>
        <v>0</v>
      </c>
      <c r="S119" s="107" t="str">
        <f ca="1">'Mia rosa + Org. Finanza'!AH119</f>
        <v/>
      </c>
      <c r="T119" s="107" t="str">
        <f ca="1">'Mia rosa + Org. Finanza'!AI119</f>
        <v/>
      </c>
      <c r="U119" s="107">
        <f>'Mia rosa + Org. Finanza'!AJ119</f>
        <v>0</v>
      </c>
      <c r="V119" s="21"/>
      <c r="W119" s="179" t="str">
        <f t="shared" si="12"/>
        <v>Chi</v>
      </c>
      <c r="X119">
        <f t="shared" si="13"/>
        <v>6</v>
      </c>
      <c r="Y119" t="str">
        <f t="shared" si="14"/>
        <v>C6Chi</v>
      </c>
      <c r="Z119" s="193" t="s">
        <v>39</v>
      </c>
      <c r="AA119" s="193" t="s">
        <v>487</v>
      </c>
      <c r="AB119" s="179" t="s">
        <v>680</v>
      </c>
      <c r="AC119" s="94"/>
      <c r="AD119" s="95"/>
      <c r="AE119" s="111"/>
      <c r="AF119" s="111"/>
      <c r="AG119" s="111"/>
      <c r="AH119" s="111"/>
      <c r="AI119" s="111"/>
      <c r="AJ119" s="111"/>
      <c r="AK119" s="111"/>
      <c r="AL119" s="111"/>
      <c r="AM119" s="111"/>
      <c r="AN119" s="111"/>
      <c r="AO119" s="111"/>
      <c r="AP119" s="111"/>
      <c r="AQ119" s="111"/>
      <c r="AR119" s="21"/>
      <c r="AS119" s="21"/>
      <c r="AT119" s="21"/>
      <c r="AU119" s="21"/>
      <c r="AV119" s="21"/>
      <c r="AW119" s="21"/>
      <c r="AX119" s="21"/>
      <c r="AY119" s="21"/>
      <c r="AZ119" s="21"/>
      <c r="BA119" s="21"/>
    </row>
    <row r="120" spans="1:53" ht="15">
      <c r="A120" s="124"/>
      <c r="B120" s="21"/>
      <c r="C120" s="21"/>
      <c r="D120" s="21"/>
      <c r="E120" s="21"/>
      <c r="F120" s="21"/>
      <c r="G120" s="21"/>
      <c r="H120" s="21"/>
      <c r="I120" s="21"/>
      <c r="J120" s="21"/>
      <c r="K120" s="21"/>
      <c r="L120" s="21"/>
      <c r="M120" s="21"/>
      <c r="N120" s="21"/>
      <c r="O120" s="21"/>
      <c r="R120" s="107">
        <f>'Mia rosa + Org. Finanza'!AG120</f>
        <v>0</v>
      </c>
      <c r="S120" s="107" t="str">
        <f ca="1">'Mia rosa + Org. Finanza'!AH120</f>
        <v/>
      </c>
      <c r="T120" s="107" t="str">
        <f ca="1">'Mia rosa + Org. Finanza'!AI120</f>
        <v/>
      </c>
      <c r="U120" s="107">
        <f>'Mia rosa + Org. Finanza'!AJ120</f>
        <v>0</v>
      </c>
      <c r="V120" s="21"/>
      <c r="W120" s="179" t="str">
        <f t="shared" si="12"/>
        <v>Chi</v>
      </c>
      <c r="X120">
        <f t="shared" si="13"/>
        <v>7</v>
      </c>
      <c r="Y120" t="str">
        <f t="shared" si="14"/>
        <v>C7Chi</v>
      </c>
      <c r="Z120" s="193" t="s">
        <v>39</v>
      </c>
      <c r="AA120" s="193" t="s">
        <v>590</v>
      </c>
      <c r="AB120" s="179" t="s">
        <v>680</v>
      </c>
      <c r="AC120" s="94"/>
      <c r="AD120" s="95"/>
      <c r="AE120" s="111"/>
      <c r="AF120" s="111"/>
      <c r="AG120" s="111"/>
      <c r="AH120" s="111"/>
      <c r="AI120" s="111"/>
      <c r="AJ120" s="111"/>
      <c r="AK120" s="111"/>
      <c r="AL120" s="111"/>
      <c r="AM120" s="111"/>
      <c r="AN120" s="111"/>
      <c r="AO120" s="111"/>
      <c r="AP120" s="111"/>
      <c r="AQ120" s="111"/>
      <c r="AR120" s="21"/>
      <c r="AS120" s="21"/>
      <c r="AT120" s="21"/>
      <c r="AU120" s="21"/>
      <c r="AV120" s="21"/>
      <c r="AW120" s="21"/>
      <c r="AX120" s="21"/>
      <c r="AY120" s="21"/>
      <c r="AZ120" s="21"/>
      <c r="BA120" s="21"/>
    </row>
    <row r="121" spans="1:53" ht="15">
      <c r="A121" s="124"/>
      <c r="B121" s="21"/>
      <c r="C121" s="21"/>
      <c r="D121" s="21"/>
      <c r="E121" s="21"/>
      <c r="F121" s="21"/>
      <c r="G121" s="21"/>
      <c r="H121" s="21"/>
      <c r="I121" s="21"/>
      <c r="J121" s="21"/>
      <c r="K121" s="21"/>
      <c r="L121" s="21"/>
      <c r="M121" s="21"/>
      <c r="N121" s="21"/>
      <c r="O121" s="21"/>
      <c r="R121" s="107">
        <f>'Mia rosa + Org. Finanza'!AG121</f>
        <v>0</v>
      </c>
      <c r="S121" s="107" t="str">
        <f ca="1">'Mia rosa + Org. Finanza'!AH121</f>
        <v/>
      </c>
      <c r="T121" s="107" t="str">
        <f ca="1">'Mia rosa + Org. Finanza'!AI121</f>
        <v/>
      </c>
      <c r="U121" s="107">
        <f>'Mia rosa + Org. Finanza'!AJ121</f>
        <v>0</v>
      </c>
      <c r="V121" s="21"/>
      <c r="W121" s="179" t="str">
        <f t="shared" si="12"/>
        <v>Chi</v>
      </c>
      <c r="X121">
        <f t="shared" si="13"/>
        <v>8</v>
      </c>
      <c r="Y121" t="str">
        <f t="shared" si="14"/>
        <v>C8Chi</v>
      </c>
      <c r="Z121" s="193" t="s">
        <v>39</v>
      </c>
      <c r="AA121" s="193" t="s">
        <v>593</v>
      </c>
      <c r="AB121" s="179" t="s">
        <v>680</v>
      </c>
      <c r="AC121" s="94"/>
      <c r="AD121" s="95"/>
      <c r="AE121" s="111"/>
      <c r="AF121" s="111"/>
      <c r="AG121" s="111"/>
      <c r="AH121" s="111"/>
      <c r="AI121" s="111"/>
      <c r="AJ121" s="111"/>
      <c r="AK121" s="111"/>
      <c r="AL121" s="111"/>
      <c r="AM121" s="111"/>
      <c r="AN121" s="111"/>
      <c r="AO121" s="111"/>
      <c r="AP121" s="111"/>
      <c r="AQ121" s="111"/>
      <c r="AR121" s="21"/>
      <c r="AS121" s="21"/>
      <c r="AT121" s="21"/>
      <c r="AU121" s="21"/>
      <c r="AV121" s="21"/>
      <c r="AW121" s="21"/>
      <c r="AX121" s="21"/>
      <c r="AY121" s="21"/>
      <c r="AZ121" s="21"/>
      <c r="BA121" s="21"/>
    </row>
    <row r="122" spans="1:53" ht="15">
      <c r="A122" s="124"/>
      <c r="B122" s="21"/>
      <c r="C122" s="21"/>
      <c r="D122" s="21"/>
      <c r="E122" s="21"/>
      <c r="F122" s="21"/>
      <c r="G122" s="21"/>
      <c r="H122" s="21"/>
      <c r="I122" s="21"/>
      <c r="J122" s="21"/>
      <c r="K122" s="21"/>
      <c r="L122" s="21"/>
      <c r="M122" s="21"/>
      <c r="N122" s="21"/>
      <c r="O122" s="21"/>
      <c r="R122" s="107">
        <f>'Mia rosa + Org. Finanza'!AG122</f>
        <v>0</v>
      </c>
      <c r="S122" s="107" t="str">
        <f ca="1">'Mia rosa + Org. Finanza'!AH122</f>
        <v/>
      </c>
      <c r="T122" s="107" t="str">
        <f ca="1">'Mia rosa + Org. Finanza'!AI122</f>
        <v/>
      </c>
      <c r="U122" s="107">
        <f>'Mia rosa + Org. Finanza'!AJ122</f>
        <v>0</v>
      </c>
      <c r="V122" s="21"/>
      <c r="W122" s="179" t="str">
        <f t="shared" si="12"/>
        <v>Chi</v>
      </c>
      <c r="X122">
        <f t="shared" si="13"/>
        <v>1</v>
      </c>
      <c r="Y122" t="str">
        <f t="shared" si="14"/>
        <v>D1Chi</v>
      </c>
      <c r="Z122" s="193" t="s">
        <v>37</v>
      </c>
      <c r="AA122" s="193" t="s">
        <v>1726</v>
      </c>
      <c r="AB122" s="179" t="s">
        <v>680</v>
      </c>
      <c r="AC122" s="94"/>
      <c r="AD122" s="95"/>
      <c r="AE122" s="111"/>
      <c r="AF122" s="111"/>
      <c r="AG122" s="111"/>
      <c r="AH122" s="111"/>
      <c r="AI122" s="111"/>
      <c r="AJ122" s="111"/>
      <c r="AK122" s="111"/>
      <c r="AL122" s="111"/>
      <c r="AM122" s="111"/>
      <c r="AN122" s="111"/>
      <c r="AO122" s="111"/>
      <c r="AP122" s="111"/>
      <c r="AQ122" s="111"/>
      <c r="AR122" s="21"/>
      <c r="AS122" s="21"/>
      <c r="AT122" s="21"/>
      <c r="AU122" s="21"/>
      <c r="AV122" s="21"/>
      <c r="AW122" s="21"/>
      <c r="AX122" s="21"/>
      <c r="AY122" s="21"/>
      <c r="AZ122" s="21"/>
      <c r="BA122" s="21"/>
    </row>
    <row r="123" spans="1:53" ht="15">
      <c r="A123" s="124"/>
      <c r="B123" s="21"/>
      <c r="C123" s="21"/>
      <c r="D123" s="21"/>
      <c r="E123" s="21"/>
      <c r="F123" s="21"/>
      <c r="G123" s="21"/>
      <c r="H123" s="21"/>
      <c r="I123" s="21"/>
      <c r="J123" s="21"/>
      <c r="K123" s="21"/>
      <c r="L123" s="21"/>
      <c r="M123" s="21"/>
      <c r="N123" s="21"/>
      <c r="O123" s="21"/>
      <c r="R123" s="107">
        <f>'Mia rosa + Org. Finanza'!AG123</f>
        <v>0</v>
      </c>
      <c r="S123" s="107" t="str">
        <f ca="1">'Mia rosa + Org. Finanza'!AH123</f>
        <v/>
      </c>
      <c r="T123" s="107" t="str">
        <f ca="1">'Mia rosa + Org. Finanza'!AI123</f>
        <v/>
      </c>
      <c r="U123" s="107">
        <f>'Mia rosa + Org. Finanza'!AJ123</f>
        <v>0</v>
      </c>
      <c r="V123" s="21"/>
      <c r="W123" s="179" t="str">
        <f t="shared" si="12"/>
        <v>Chi</v>
      </c>
      <c r="X123">
        <f t="shared" si="13"/>
        <v>2</v>
      </c>
      <c r="Y123" t="str">
        <f t="shared" si="14"/>
        <v>D2Chi</v>
      </c>
      <c r="Z123" s="193" t="s">
        <v>37</v>
      </c>
      <c r="AA123" s="193" t="s">
        <v>386</v>
      </c>
      <c r="AB123" s="179" t="s">
        <v>680</v>
      </c>
      <c r="AC123" s="94"/>
      <c r="AD123"/>
      <c r="AE123" s="111"/>
      <c r="AF123" s="111"/>
      <c r="AG123" s="111"/>
      <c r="AH123" s="111"/>
      <c r="AI123" s="111"/>
      <c r="AJ123" s="111"/>
      <c r="AK123" s="111"/>
      <c r="AL123" s="111"/>
      <c r="AM123" s="111"/>
      <c r="AN123" s="111"/>
      <c r="AO123" s="111"/>
      <c r="AP123" s="111"/>
      <c r="AQ123" s="111"/>
      <c r="AR123" s="21"/>
      <c r="AS123" s="21"/>
      <c r="AT123" s="21"/>
      <c r="AU123" s="21"/>
      <c r="AV123" s="21"/>
      <c r="AW123" s="21"/>
      <c r="AX123" s="21"/>
      <c r="AY123" s="21"/>
      <c r="AZ123" s="21"/>
      <c r="BA123" s="21"/>
    </row>
    <row r="124" spans="1:53" ht="15">
      <c r="A124" s="124"/>
      <c r="B124" s="21"/>
      <c r="C124" s="21"/>
      <c r="D124" s="21"/>
      <c r="E124" s="21"/>
      <c r="F124" s="21"/>
      <c r="G124" s="21"/>
      <c r="H124" s="21"/>
      <c r="I124" s="21"/>
      <c r="J124" s="21"/>
      <c r="K124" s="21"/>
      <c r="L124" s="21"/>
      <c r="M124" s="21"/>
      <c r="N124" s="21"/>
      <c r="O124" s="21"/>
      <c r="R124" s="107">
        <f>'Mia rosa + Org. Finanza'!AG124</f>
        <v>0</v>
      </c>
      <c r="S124" s="107" t="str">
        <f ca="1">'Mia rosa + Org. Finanza'!AH124</f>
        <v/>
      </c>
      <c r="T124" s="107" t="str">
        <f ca="1">'Mia rosa + Org. Finanza'!AI124</f>
        <v/>
      </c>
      <c r="U124" s="107">
        <f>'Mia rosa + Org. Finanza'!AJ124</f>
        <v>0</v>
      </c>
      <c r="V124" s="21"/>
      <c r="W124" s="179" t="str">
        <f t="shared" si="12"/>
        <v>Chi</v>
      </c>
      <c r="X124">
        <f t="shared" si="13"/>
        <v>3</v>
      </c>
      <c r="Y124" t="str">
        <f t="shared" si="14"/>
        <v>D3Chi</v>
      </c>
      <c r="Z124" s="193" t="s">
        <v>37</v>
      </c>
      <c r="AA124" s="193" t="s">
        <v>410</v>
      </c>
      <c r="AB124" s="179" t="s">
        <v>680</v>
      </c>
      <c r="AC124" s="94"/>
      <c r="AD124" s="95"/>
      <c r="AE124" s="111"/>
      <c r="AF124" s="111"/>
      <c r="AG124" s="111"/>
      <c r="AH124" s="111"/>
      <c r="AI124" s="111"/>
      <c r="AJ124" s="111"/>
      <c r="AK124" s="111"/>
      <c r="AL124" s="111"/>
      <c r="AM124" s="111"/>
      <c r="AN124" s="111"/>
      <c r="AO124" s="111"/>
      <c r="AP124" s="111"/>
      <c r="AQ124" s="111"/>
      <c r="AR124" s="21"/>
      <c r="AS124" s="21"/>
      <c r="AT124" s="21"/>
      <c r="AU124" s="21"/>
      <c r="AV124" s="21"/>
      <c r="AW124" s="21"/>
      <c r="AX124" s="21"/>
      <c r="AY124" s="21"/>
      <c r="AZ124" s="21"/>
      <c r="BA124" s="21"/>
    </row>
    <row r="125" spans="1:53" ht="15">
      <c r="A125" s="124"/>
      <c r="B125" s="21"/>
      <c r="C125" s="21"/>
      <c r="D125" s="21"/>
      <c r="E125" s="21"/>
      <c r="F125" s="21"/>
      <c r="G125" s="21"/>
      <c r="H125" s="21"/>
      <c r="I125" s="21"/>
      <c r="J125" s="21"/>
      <c r="K125" s="21"/>
      <c r="L125" s="21"/>
      <c r="M125" s="21"/>
      <c r="N125" s="21"/>
      <c r="O125" s="21"/>
      <c r="R125" s="107">
        <f>'Mia rosa + Org. Finanza'!AG125</f>
        <v>0</v>
      </c>
      <c r="S125" s="107">
        <f>'Mia rosa + Org. Finanza'!AH125</f>
        <v>0</v>
      </c>
      <c r="T125" s="107">
        <f>'Mia rosa + Org. Finanza'!AI125</f>
        <v>0</v>
      </c>
      <c r="U125" s="107">
        <f>'Mia rosa + Org. Finanza'!AJ125</f>
        <v>0</v>
      </c>
      <c r="V125" s="21"/>
      <c r="W125" s="179" t="str">
        <f t="shared" si="12"/>
        <v>Chi</v>
      </c>
      <c r="X125">
        <f t="shared" si="13"/>
        <v>4</v>
      </c>
      <c r="Y125" t="str">
        <f t="shared" si="14"/>
        <v>D4Chi</v>
      </c>
      <c r="Z125" s="193" t="s">
        <v>37</v>
      </c>
      <c r="AA125" s="193" t="s">
        <v>440</v>
      </c>
      <c r="AB125" s="179" t="s">
        <v>680</v>
      </c>
      <c r="AC125" s="94"/>
      <c r="AD125" s="95"/>
      <c r="AE125" s="111"/>
      <c r="AF125" s="111"/>
      <c r="AG125" s="111"/>
      <c r="AH125" s="111"/>
      <c r="AI125" s="111"/>
      <c r="AJ125" s="111"/>
      <c r="AK125" s="111"/>
      <c r="AL125" s="111"/>
      <c r="AM125" s="111"/>
      <c r="AN125" s="111"/>
      <c r="AO125" s="111"/>
      <c r="AP125" s="111"/>
      <c r="AQ125" s="111"/>
      <c r="AR125" s="21"/>
      <c r="AS125" s="21"/>
      <c r="AT125" s="21"/>
      <c r="AU125" s="21"/>
      <c r="AV125" s="21"/>
      <c r="AW125" s="21"/>
      <c r="AX125" s="21"/>
      <c r="AY125" s="21"/>
      <c r="AZ125" s="21"/>
      <c r="BA125" s="21"/>
    </row>
    <row r="126" spans="1:53" ht="15">
      <c r="A126" s="124"/>
      <c r="B126" s="21"/>
      <c r="C126" s="21"/>
      <c r="D126" s="21"/>
      <c r="E126" s="21"/>
      <c r="F126" s="21"/>
      <c r="G126" s="21"/>
      <c r="H126" s="21"/>
      <c r="I126" s="21"/>
      <c r="J126" s="21"/>
      <c r="K126" s="21"/>
      <c r="L126" s="21"/>
      <c r="M126" s="21"/>
      <c r="N126" s="21"/>
      <c r="O126" s="21"/>
      <c r="R126" s="107">
        <f>'Mia rosa + Org. Finanza'!AG126</f>
        <v>0</v>
      </c>
      <c r="S126" s="107">
        <f>'Mia rosa + Org. Finanza'!AH126</f>
        <v>0</v>
      </c>
      <c r="T126" s="107">
        <f>'Mia rosa + Org. Finanza'!AI126</f>
        <v>0</v>
      </c>
      <c r="U126" s="107">
        <f>'Mia rosa + Org. Finanza'!AJ126</f>
        <v>0</v>
      </c>
      <c r="V126" s="21"/>
      <c r="W126" s="179" t="str">
        <f t="shared" si="12"/>
        <v>Chi</v>
      </c>
      <c r="X126">
        <f t="shared" si="13"/>
        <v>5</v>
      </c>
      <c r="Y126" t="str">
        <f t="shared" si="14"/>
        <v>D5Chi</v>
      </c>
      <c r="Z126" s="193" t="s">
        <v>37</v>
      </c>
      <c r="AA126" s="193" t="s">
        <v>1717</v>
      </c>
      <c r="AB126" s="179" t="s">
        <v>680</v>
      </c>
      <c r="AC126" s="94"/>
      <c r="AD126" s="95"/>
      <c r="AE126" s="111"/>
      <c r="AF126" s="111"/>
      <c r="AG126" s="111"/>
      <c r="AH126" s="111"/>
      <c r="AI126" s="111"/>
      <c r="AJ126" s="111"/>
      <c r="AK126" s="111"/>
      <c r="AL126" s="111"/>
      <c r="AM126" s="111"/>
      <c r="AN126" s="111"/>
      <c r="AO126" s="111"/>
      <c r="AP126" s="111"/>
      <c r="AQ126" s="111"/>
      <c r="AR126" s="21"/>
      <c r="AS126" s="21"/>
      <c r="AT126" s="21"/>
      <c r="AU126" s="21"/>
      <c r="AV126" s="21"/>
      <c r="AW126" s="21"/>
      <c r="AX126" s="21"/>
      <c r="AY126" s="21"/>
      <c r="AZ126" s="21"/>
      <c r="BA126" s="21"/>
    </row>
    <row r="127" spans="1:53" ht="15">
      <c r="A127" s="124"/>
      <c r="B127" s="21"/>
      <c r="C127" s="21"/>
      <c r="D127" s="21"/>
      <c r="E127" s="21"/>
      <c r="F127" s="21"/>
      <c r="G127" s="21"/>
      <c r="H127" s="21"/>
      <c r="I127" s="21"/>
      <c r="J127" s="21"/>
      <c r="K127" s="21"/>
      <c r="L127" s="21"/>
      <c r="M127" s="21"/>
      <c r="N127" s="21"/>
      <c r="O127" s="21"/>
      <c r="R127" s="107">
        <f>'Mia rosa + Org. Finanza'!AG127</f>
        <v>0</v>
      </c>
      <c r="S127" s="107">
        <f>'Mia rosa + Org. Finanza'!AH127</f>
        <v>0</v>
      </c>
      <c r="T127" s="107">
        <f>'Mia rosa + Org. Finanza'!AI127</f>
        <v>0</v>
      </c>
      <c r="U127" s="107">
        <f>'Mia rosa + Org. Finanza'!AJ127</f>
        <v>0</v>
      </c>
      <c r="V127" s="21"/>
      <c r="W127" s="179" t="str">
        <f t="shared" si="12"/>
        <v>Chi</v>
      </c>
      <c r="X127">
        <f t="shared" si="13"/>
        <v>6</v>
      </c>
      <c r="Y127" t="str">
        <f t="shared" si="14"/>
        <v>D6Chi</v>
      </c>
      <c r="Z127" s="193" t="s">
        <v>37</v>
      </c>
      <c r="AA127" s="193" t="s">
        <v>891</v>
      </c>
      <c r="AB127" s="179" t="s">
        <v>680</v>
      </c>
      <c r="AC127" s="94"/>
      <c r="AD127" s="95"/>
      <c r="AE127" s="111"/>
      <c r="AF127" s="111"/>
      <c r="AG127" s="111"/>
      <c r="AH127" s="111"/>
      <c r="AI127" s="111"/>
      <c r="AJ127" s="111"/>
      <c r="AK127" s="111"/>
      <c r="AL127" s="111"/>
      <c r="AM127" s="111"/>
      <c r="AN127" s="111"/>
      <c r="AO127" s="111"/>
      <c r="AP127" s="111"/>
      <c r="AQ127" s="111"/>
      <c r="AR127" s="21"/>
      <c r="AS127" s="21"/>
      <c r="AT127" s="21"/>
      <c r="AU127" s="21"/>
      <c r="AV127" s="21"/>
      <c r="AW127" s="21"/>
      <c r="AX127" s="21"/>
      <c r="AY127" s="21"/>
      <c r="AZ127" s="21"/>
      <c r="BA127" s="21"/>
    </row>
    <row r="128" spans="1:53" ht="15">
      <c r="A128" s="124"/>
      <c r="B128" s="21"/>
      <c r="C128" s="21"/>
      <c r="D128" s="21"/>
      <c r="E128" s="21"/>
      <c r="F128" s="21"/>
      <c r="G128" s="21"/>
      <c r="H128" s="21"/>
      <c r="I128" s="21"/>
      <c r="J128" s="21"/>
      <c r="K128" s="21"/>
      <c r="L128" s="21"/>
      <c r="M128" s="21"/>
      <c r="N128" s="21"/>
      <c r="O128" s="21"/>
      <c r="R128" s="107">
        <f>'Mia rosa + Org. Finanza'!AG128</f>
        <v>0</v>
      </c>
      <c r="S128" s="107">
        <f>'Mia rosa + Org. Finanza'!AH128</f>
        <v>0</v>
      </c>
      <c r="T128" s="107">
        <f>'Mia rosa + Org. Finanza'!AI128</f>
        <v>0</v>
      </c>
      <c r="U128" s="107">
        <f>'Mia rosa + Org. Finanza'!AJ128</f>
        <v>0</v>
      </c>
      <c r="V128" s="21"/>
      <c r="W128" s="179" t="str">
        <f t="shared" si="12"/>
        <v>Chi</v>
      </c>
      <c r="X128">
        <f t="shared" si="13"/>
        <v>7</v>
      </c>
      <c r="Y128" t="str">
        <f t="shared" si="14"/>
        <v>D7Chi</v>
      </c>
      <c r="Z128" s="193" t="s">
        <v>37</v>
      </c>
      <c r="AA128" s="193" t="s">
        <v>490</v>
      </c>
      <c r="AB128" s="179" t="s">
        <v>680</v>
      </c>
      <c r="AC128" s="94"/>
      <c r="AD128" s="95"/>
      <c r="AE128" s="111"/>
      <c r="AF128" s="111"/>
      <c r="AG128" s="111"/>
      <c r="AH128" s="111"/>
      <c r="AI128" s="111"/>
      <c r="AJ128" s="111"/>
      <c r="AK128" s="111"/>
      <c r="AL128" s="111"/>
      <c r="AM128" s="111"/>
      <c r="AN128" s="111"/>
      <c r="AO128" s="111"/>
      <c r="AP128" s="111"/>
      <c r="AQ128" s="111"/>
      <c r="AR128" s="21"/>
      <c r="AS128" s="21"/>
      <c r="AT128" s="21"/>
      <c r="AU128" s="21"/>
      <c r="AV128" s="21"/>
      <c r="AW128" s="21"/>
      <c r="AX128" s="21"/>
      <c r="AY128" s="21"/>
      <c r="AZ128" s="21"/>
      <c r="BA128" s="21"/>
    </row>
    <row r="129" spans="1:53" ht="15">
      <c r="A129" s="124"/>
      <c r="B129" s="21"/>
      <c r="C129" s="21"/>
      <c r="D129" s="21"/>
      <c r="E129" s="21"/>
      <c r="F129" s="21"/>
      <c r="G129" s="21"/>
      <c r="H129" s="21"/>
      <c r="I129" s="21"/>
      <c r="J129" s="21"/>
      <c r="K129" s="21"/>
      <c r="L129" s="21"/>
      <c r="M129" s="21"/>
      <c r="N129" s="21"/>
      <c r="O129" s="21"/>
      <c r="R129" s="107">
        <f>'Mia rosa + Org. Finanza'!AG129</f>
        <v>0</v>
      </c>
      <c r="S129" s="107">
        <f>'Mia rosa + Org. Finanza'!AH129</f>
        <v>0</v>
      </c>
      <c r="T129" s="107">
        <f>'Mia rosa + Org. Finanza'!AI129</f>
        <v>0</v>
      </c>
      <c r="U129" s="107">
        <f>'Mia rosa + Org. Finanza'!AJ129</f>
        <v>0</v>
      </c>
      <c r="V129" s="21"/>
      <c r="W129" s="179" t="str">
        <f t="shared" si="12"/>
        <v>Chi</v>
      </c>
      <c r="X129">
        <f t="shared" si="13"/>
        <v>8</v>
      </c>
      <c r="Y129" t="str">
        <f t="shared" si="14"/>
        <v>D8Chi</v>
      </c>
      <c r="Z129" s="193" t="s">
        <v>37</v>
      </c>
      <c r="AA129" s="193" t="s">
        <v>502</v>
      </c>
      <c r="AB129" s="179" t="s">
        <v>680</v>
      </c>
      <c r="AC129" s="94"/>
      <c r="AD129" s="95"/>
      <c r="AE129" s="111"/>
      <c r="AF129" s="111"/>
      <c r="AG129" s="111"/>
      <c r="AH129" s="111"/>
      <c r="AI129" s="111"/>
      <c r="AJ129" s="111"/>
      <c r="AK129" s="111"/>
      <c r="AL129" s="111"/>
      <c r="AM129" s="111"/>
      <c r="AN129" s="111"/>
      <c r="AO129" s="111"/>
      <c r="AP129" s="111"/>
      <c r="AQ129" s="111"/>
      <c r="AR129" s="21"/>
      <c r="AS129" s="21"/>
      <c r="AT129" s="21"/>
      <c r="AU129" s="21"/>
      <c r="AV129" s="21"/>
      <c r="AW129" s="21"/>
      <c r="AX129" s="21"/>
      <c r="AY129" s="21"/>
      <c r="AZ129" s="21"/>
      <c r="BA129" s="21"/>
    </row>
    <row r="130" spans="1:53" ht="15">
      <c r="A130" s="124"/>
      <c r="B130" s="21"/>
      <c r="C130" s="21"/>
      <c r="D130" s="21"/>
      <c r="E130" s="21"/>
      <c r="F130" s="21"/>
      <c r="G130" s="21"/>
      <c r="H130" s="21"/>
      <c r="I130" s="21"/>
      <c r="J130" s="21"/>
      <c r="K130" s="21"/>
      <c r="L130" s="21"/>
      <c r="M130" s="21"/>
      <c r="N130" s="21"/>
      <c r="O130" s="21"/>
      <c r="R130" s="107">
        <f>'Mia rosa + Org. Finanza'!AG130</f>
        <v>0</v>
      </c>
      <c r="S130" s="107">
        <f>'Mia rosa + Org. Finanza'!AH130</f>
        <v>0</v>
      </c>
      <c r="T130" s="107">
        <f>'Mia rosa + Org. Finanza'!AI130</f>
        <v>0</v>
      </c>
      <c r="U130" s="107">
        <f>'Mia rosa + Org. Finanza'!AJ130</f>
        <v>0</v>
      </c>
      <c r="V130" s="21"/>
      <c r="W130" s="179" t="str">
        <f t="shared" si="12"/>
        <v>Chi</v>
      </c>
      <c r="X130">
        <f t="shared" si="13"/>
        <v>9</v>
      </c>
      <c r="Y130" t="str">
        <f t="shared" si="14"/>
        <v>D9Chi</v>
      </c>
      <c r="Z130" s="193" t="s">
        <v>37</v>
      </c>
      <c r="AA130" s="193" t="s">
        <v>1727</v>
      </c>
      <c r="AB130" s="179" t="s">
        <v>680</v>
      </c>
      <c r="AC130" s="94"/>
      <c r="AD130" s="95"/>
      <c r="AE130" s="111"/>
      <c r="AF130" s="111"/>
      <c r="AG130" s="111"/>
      <c r="AH130" s="111"/>
      <c r="AI130" s="111"/>
      <c r="AJ130" s="111"/>
      <c r="AK130" s="111"/>
      <c r="AL130" s="111"/>
      <c r="AM130" s="111"/>
      <c r="AN130" s="111"/>
      <c r="AO130" s="111"/>
      <c r="AP130" s="111"/>
      <c r="AQ130" s="111"/>
      <c r="AR130" s="21"/>
      <c r="AS130" s="21"/>
      <c r="AT130" s="21"/>
      <c r="AU130" s="21"/>
      <c r="AV130" s="21"/>
      <c r="AW130" s="21"/>
      <c r="AX130" s="21"/>
      <c r="AY130" s="21"/>
      <c r="AZ130" s="21"/>
      <c r="BA130" s="21"/>
    </row>
    <row r="131" spans="1:53" ht="15">
      <c r="A131" s="124"/>
      <c r="B131" s="21"/>
      <c r="C131" s="21"/>
      <c r="D131" s="21"/>
      <c r="E131" s="21"/>
      <c r="F131" s="21"/>
      <c r="G131" s="21"/>
      <c r="H131" s="21"/>
      <c r="I131" s="21"/>
      <c r="J131" s="21"/>
      <c r="K131" s="21"/>
      <c r="L131" s="21"/>
      <c r="M131" s="21"/>
      <c r="N131" s="21"/>
      <c r="O131" s="21"/>
      <c r="R131" s="107">
        <f>'Mia rosa + Org. Finanza'!AG131</f>
        <v>0</v>
      </c>
      <c r="S131" s="107">
        <f>'Mia rosa + Org. Finanza'!AH131</f>
        <v>0</v>
      </c>
      <c r="T131" s="107">
        <f>'Mia rosa + Org. Finanza'!AI131</f>
        <v>0</v>
      </c>
      <c r="U131" s="107">
        <f>'Mia rosa + Org. Finanza'!AJ131</f>
        <v>0</v>
      </c>
      <c r="V131" s="21"/>
      <c r="W131" s="179" t="str">
        <f t="shared" ref="W131:W194" si="15">MID(AB131,1,3)</f>
        <v>Chi</v>
      </c>
      <c r="X131">
        <f t="shared" ref="X131:X194" si="16">IF(Z131&lt;&gt;Z130,1,X130+1)</f>
        <v>10</v>
      </c>
      <c r="Y131" t="str">
        <f t="shared" ref="Y131:Y194" si="17">Z131&amp;X131&amp;W131</f>
        <v>D10Chi</v>
      </c>
      <c r="Z131" s="193" t="s">
        <v>37</v>
      </c>
      <c r="AA131" s="193" t="s">
        <v>609</v>
      </c>
      <c r="AB131" s="179" t="s">
        <v>680</v>
      </c>
      <c r="AC131" s="94"/>
      <c r="AD131" s="95"/>
      <c r="AE131" s="111"/>
      <c r="AF131" s="111"/>
      <c r="AG131" s="111"/>
      <c r="AH131" s="111"/>
      <c r="AI131" s="111"/>
      <c r="AJ131" s="111"/>
      <c r="AK131" s="111"/>
      <c r="AL131" s="111"/>
      <c r="AM131" s="111"/>
      <c r="AN131" s="111"/>
      <c r="AO131" s="111"/>
      <c r="AP131" s="111"/>
      <c r="AQ131" s="111"/>
      <c r="AR131" s="21"/>
      <c r="AS131" s="21"/>
      <c r="AT131" s="21"/>
      <c r="AU131" s="21"/>
      <c r="AV131" s="21"/>
      <c r="AW131" s="21"/>
      <c r="AX131" s="21"/>
      <c r="AY131" s="21"/>
      <c r="AZ131" s="21"/>
      <c r="BA131" s="21"/>
    </row>
    <row r="132" spans="1:53" ht="15">
      <c r="A132" s="124"/>
      <c r="B132" s="21"/>
      <c r="C132" s="21"/>
      <c r="D132" s="21"/>
      <c r="E132" s="21"/>
      <c r="F132" s="21"/>
      <c r="G132" s="21"/>
      <c r="H132" s="21"/>
      <c r="I132" s="21"/>
      <c r="J132" s="21"/>
      <c r="K132" s="21"/>
      <c r="L132" s="21"/>
      <c r="M132" s="21"/>
      <c r="N132" s="21"/>
      <c r="O132" s="21"/>
      <c r="R132" s="107">
        <f>'Mia rosa + Org. Finanza'!AG132</f>
        <v>0</v>
      </c>
      <c r="S132" s="107">
        <f>'Mia rosa + Org. Finanza'!AH132</f>
        <v>0</v>
      </c>
      <c r="T132" s="107">
        <f>'Mia rosa + Org. Finanza'!AI132</f>
        <v>0</v>
      </c>
      <c r="U132" s="107">
        <f>'Mia rosa + Org. Finanza'!AJ132</f>
        <v>0</v>
      </c>
      <c r="V132" s="21"/>
      <c r="W132" s="179" t="str">
        <f t="shared" si="15"/>
        <v>Chi</v>
      </c>
      <c r="X132">
        <f t="shared" si="16"/>
        <v>1</v>
      </c>
      <c r="Y132" t="str">
        <f t="shared" si="17"/>
        <v>P1Chi</v>
      </c>
      <c r="Z132" s="193" t="s">
        <v>35</v>
      </c>
      <c r="AA132" s="193" t="s">
        <v>1688</v>
      </c>
      <c r="AB132" s="179" t="s">
        <v>680</v>
      </c>
      <c r="AC132" s="94"/>
      <c r="AD132" s="95"/>
      <c r="AE132" s="111"/>
      <c r="AF132" s="111"/>
      <c r="AG132" s="111"/>
      <c r="AH132" s="111"/>
      <c r="AI132" s="111"/>
      <c r="AJ132" s="111"/>
      <c r="AK132" s="111"/>
      <c r="AL132" s="111"/>
      <c r="AM132" s="111"/>
      <c r="AN132" s="111"/>
      <c r="AO132" s="111"/>
      <c r="AP132" s="111"/>
      <c r="AQ132" s="111"/>
      <c r="AR132" s="21"/>
      <c r="AS132" s="21"/>
      <c r="AT132" s="21"/>
      <c r="AU132" s="21"/>
      <c r="AV132" s="21"/>
      <c r="AW132" s="21"/>
      <c r="AX132" s="21"/>
      <c r="AY132" s="21"/>
      <c r="AZ132" s="21"/>
      <c r="BA132" s="21"/>
    </row>
    <row r="133" spans="1:53" ht="15">
      <c r="A133" s="124"/>
      <c r="B133" s="21"/>
      <c r="C133" s="21"/>
      <c r="D133" s="21"/>
      <c r="E133" s="21"/>
      <c r="F133" s="21"/>
      <c r="G133" s="21"/>
      <c r="H133" s="21"/>
      <c r="I133" s="21"/>
      <c r="J133" s="21"/>
      <c r="K133" s="21"/>
      <c r="L133" s="21"/>
      <c r="M133" s="21"/>
      <c r="N133" s="21"/>
      <c r="O133" s="21"/>
      <c r="R133" s="107">
        <f>'Mia rosa + Org. Finanza'!AG133</f>
        <v>0</v>
      </c>
      <c r="S133" s="107">
        <f>'Mia rosa + Org. Finanza'!AH133</f>
        <v>0</v>
      </c>
      <c r="T133" s="107">
        <f>'Mia rosa + Org. Finanza'!AI133</f>
        <v>0</v>
      </c>
      <c r="U133" s="107">
        <f>'Mia rosa + Org. Finanza'!AJ133</f>
        <v>0</v>
      </c>
      <c r="V133" s="21"/>
      <c r="W133" s="179" t="str">
        <f t="shared" si="15"/>
        <v>Chi</v>
      </c>
      <c r="X133">
        <f t="shared" si="16"/>
        <v>2</v>
      </c>
      <c r="Y133" t="str">
        <f t="shared" si="17"/>
        <v>P2Chi</v>
      </c>
      <c r="Z133" s="193" t="s">
        <v>35</v>
      </c>
      <c r="AA133" s="193" t="s">
        <v>423</v>
      </c>
      <c r="AB133" s="179" t="s">
        <v>680</v>
      </c>
      <c r="AC133" s="94"/>
      <c r="AD133" s="95"/>
      <c r="AE133" s="111"/>
      <c r="AF133" s="111"/>
      <c r="AG133" s="111"/>
      <c r="AH133" s="111"/>
      <c r="AI133" s="111"/>
      <c r="AJ133" s="111"/>
      <c r="AK133" s="111"/>
      <c r="AL133" s="111"/>
      <c r="AM133" s="111"/>
      <c r="AN133" s="111"/>
      <c r="AO133" s="111"/>
      <c r="AP133" s="111"/>
      <c r="AQ133" s="111"/>
      <c r="AR133" s="21"/>
      <c r="AS133" s="21"/>
      <c r="AT133" s="21"/>
      <c r="AU133" s="21"/>
      <c r="AV133" s="21"/>
      <c r="AW133" s="21"/>
      <c r="AX133" s="21"/>
      <c r="AY133" s="21"/>
      <c r="AZ133" s="21"/>
      <c r="BA133" s="21"/>
    </row>
    <row r="134" spans="1:53" ht="15">
      <c r="A134" s="124"/>
      <c r="B134" s="21"/>
      <c r="C134" s="21"/>
      <c r="D134" s="21"/>
      <c r="E134" s="21"/>
      <c r="F134" s="21"/>
      <c r="G134" s="21"/>
      <c r="H134" s="21"/>
      <c r="I134" s="21"/>
      <c r="J134" s="21"/>
      <c r="K134" s="21"/>
      <c r="L134" s="21"/>
      <c r="M134" s="21"/>
      <c r="N134" s="21"/>
      <c r="O134" s="21"/>
      <c r="R134" s="107">
        <f>'Mia rosa + Org. Finanza'!AG134</f>
        <v>0</v>
      </c>
      <c r="S134" s="107">
        <f>'Mia rosa + Org. Finanza'!AH134</f>
        <v>0</v>
      </c>
      <c r="T134" s="107">
        <f>'Mia rosa + Org. Finanza'!AI134</f>
        <v>0</v>
      </c>
      <c r="U134" s="107">
        <f>'Mia rosa + Org. Finanza'!AJ134</f>
        <v>0</v>
      </c>
      <c r="V134" s="21"/>
      <c r="W134" s="179" t="str">
        <f t="shared" si="15"/>
        <v>Chi</v>
      </c>
      <c r="X134">
        <f t="shared" si="16"/>
        <v>3</v>
      </c>
      <c r="Y134" t="str">
        <f t="shared" si="17"/>
        <v>P3Chi</v>
      </c>
      <c r="Z134" s="193" t="s">
        <v>35</v>
      </c>
      <c r="AA134" s="193" t="s">
        <v>431</v>
      </c>
      <c r="AB134" s="179" t="s">
        <v>680</v>
      </c>
      <c r="AC134" s="94"/>
      <c r="AD134" s="95"/>
      <c r="AE134" s="111"/>
      <c r="AF134" s="111"/>
      <c r="AG134" s="111"/>
      <c r="AH134" s="111"/>
      <c r="AI134" s="111"/>
      <c r="AJ134" s="111"/>
      <c r="AK134" s="111"/>
      <c r="AL134" s="111"/>
      <c r="AM134" s="111"/>
      <c r="AN134" s="111"/>
      <c r="AO134" s="111"/>
      <c r="AP134" s="111"/>
      <c r="AQ134" s="111"/>
      <c r="AR134" s="21"/>
      <c r="AS134" s="21"/>
      <c r="AT134" s="21"/>
      <c r="AU134" s="21"/>
      <c r="AV134" s="21"/>
      <c r="AW134" s="21"/>
      <c r="AX134" s="21"/>
      <c r="AY134" s="21"/>
      <c r="AZ134" s="21"/>
      <c r="BA134" s="21"/>
    </row>
    <row r="135" spans="1:53" ht="15">
      <c r="A135" s="124"/>
      <c r="B135" s="21"/>
      <c r="C135" s="21"/>
      <c r="D135" s="21"/>
      <c r="E135" s="21"/>
      <c r="F135" s="21"/>
      <c r="G135" s="21"/>
      <c r="H135" s="21"/>
      <c r="I135" s="21"/>
      <c r="J135" s="21"/>
      <c r="K135" s="21"/>
      <c r="L135" s="21"/>
      <c r="M135" s="21"/>
      <c r="N135" s="21"/>
      <c r="O135" s="21"/>
      <c r="R135" s="107">
        <f>'Mia rosa + Org. Finanza'!AG135</f>
        <v>0</v>
      </c>
      <c r="S135" s="107">
        <f>'Mia rosa + Org. Finanza'!AH135</f>
        <v>0</v>
      </c>
      <c r="T135" s="107">
        <f>'Mia rosa + Org. Finanza'!AI135</f>
        <v>0</v>
      </c>
      <c r="U135" s="107">
        <f>'Mia rosa + Org. Finanza'!AJ135</f>
        <v>0</v>
      </c>
      <c r="V135" s="21"/>
      <c r="W135" s="179" t="str">
        <f t="shared" si="15"/>
        <v>Cro</v>
      </c>
      <c r="X135">
        <f t="shared" si="16"/>
        <v>1</v>
      </c>
      <c r="Y135" t="str">
        <f t="shared" si="17"/>
        <v>A1Cro</v>
      </c>
      <c r="Z135" s="193" t="s">
        <v>43</v>
      </c>
      <c r="AA135" s="193" t="s">
        <v>324</v>
      </c>
      <c r="AB135" s="179" t="s">
        <v>701</v>
      </c>
      <c r="AC135" s="94"/>
      <c r="AD135" s="95"/>
      <c r="AE135" s="111"/>
      <c r="AF135" s="111"/>
      <c r="AG135" s="111"/>
      <c r="AH135" s="111"/>
      <c r="AI135" s="111"/>
      <c r="AJ135" s="111"/>
      <c r="AK135" s="111"/>
      <c r="AL135" s="111"/>
      <c r="AM135" s="111"/>
      <c r="AN135" s="111"/>
      <c r="AO135" s="111"/>
      <c r="AP135" s="111"/>
      <c r="AQ135" s="111"/>
      <c r="AR135" s="21"/>
      <c r="AS135" s="21"/>
      <c r="AT135" s="21"/>
      <c r="AU135" s="21"/>
      <c r="AV135" s="21"/>
      <c r="AW135" s="21"/>
      <c r="AX135" s="21"/>
      <c r="AY135" s="21"/>
      <c r="AZ135" s="21"/>
      <c r="BA135" s="21"/>
    </row>
    <row r="136" spans="1:53" ht="15">
      <c r="A136" s="124"/>
      <c r="B136" s="21"/>
      <c r="C136" s="21"/>
      <c r="D136" s="21"/>
      <c r="E136" s="21"/>
      <c r="F136" s="21"/>
      <c r="G136" s="21"/>
      <c r="H136" s="21"/>
      <c r="I136" s="21"/>
      <c r="J136" s="21"/>
      <c r="K136" s="21"/>
      <c r="L136" s="21"/>
      <c r="M136" s="21"/>
      <c r="N136" s="21"/>
      <c r="O136" s="21"/>
      <c r="R136" s="107">
        <f>'Mia rosa + Org. Finanza'!AG136</f>
        <v>0</v>
      </c>
      <c r="S136" s="107">
        <f>'Mia rosa + Org. Finanza'!AH136</f>
        <v>0</v>
      </c>
      <c r="T136" s="107">
        <f>'Mia rosa + Org. Finanza'!AI136</f>
        <v>0</v>
      </c>
      <c r="U136" s="107">
        <f>'Mia rosa + Org. Finanza'!AJ136</f>
        <v>0</v>
      </c>
      <c r="V136" s="21"/>
      <c r="W136" s="179" t="str">
        <f t="shared" si="15"/>
        <v>Cro</v>
      </c>
      <c r="X136">
        <f t="shared" si="16"/>
        <v>2</v>
      </c>
      <c r="Y136" t="str">
        <f t="shared" si="17"/>
        <v>A2Cro</v>
      </c>
      <c r="Z136" s="193" t="s">
        <v>43</v>
      </c>
      <c r="AA136" s="193" t="s">
        <v>511</v>
      </c>
      <c r="AB136" s="179" t="s">
        <v>701</v>
      </c>
      <c r="AC136" s="94"/>
      <c r="AD136" s="95"/>
      <c r="AE136" s="111"/>
      <c r="AF136" s="111"/>
      <c r="AG136" s="111"/>
      <c r="AH136" s="111"/>
      <c r="AI136" s="111"/>
      <c r="AJ136" s="111"/>
      <c r="AK136" s="111"/>
      <c r="AL136" s="111"/>
      <c r="AM136" s="111"/>
      <c r="AN136" s="111"/>
      <c r="AO136" s="111"/>
      <c r="AP136" s="111"/>
      <c r="AQ136" s="111"/>
      <c r="AR136" s="21"/>
      <c r="AS136" s="21"/>
      <c r="AT136" s="21"/>
      <c r="AU136" s="21"/>
      <c r="AV136" s="21"/>
      <c r="AW136" s="21"/>
      <c r="AX136" s="21"/>
      <c r="AY136" s="21"/>
      <c r="AZ136" s="21"/>
      <c r="BA136" s="21"/>
    </row>
    <row r="137" spans="1:53" ht="15">
      <c r="A137" s="124"/>
      <c r="B137" s="21"/>
      <c r="C137" s="21"/>
      <c r="D137" s="21"/>
      <c r="E137" s="21"/>
      <c r="F137" s="21"/>
      <c r="G137" s="21"/>
      <c r="H137" s="21"/>
      <c r="I137" s="21"/>
      <c r="J137" s="21"/>
      <c r="K137" s="21"/>
      <c r="L137" s="21"/>
      <c r="M137" s="21"/>
      <c r="N137" s="21"/>
      <c r="O137" s="21"/>
      <c r="R137" s="107">
        <f>'Mia rosa + Org. Finanza'!AG137</f>
        <v>0</v>
      </c>
      <c r="S137" s="107">
        <f>'Mia rosa + Org. Finanza'!AH137</f>
        <v>0</v>
      </c>
      <c r="T137" s="107">
        <f>'Mia rosa + Org. Finanza'!AI137</f>
        <v>0</v>
      </c>
      <c r="U137" s="107">
        <f>'Mia rosa + Org. Finanza'!AJ137</f>
        <v>0</v>
      </c>
      <c r="V137" s="21"/>
      <c r="W137" s="179" t="str">
        <f t="shared" si="15"/>
        <v>Cro</v>
      </c>
      <c r="X137">
        <f t="shared" si="16"/>
        <v>3</v>
      </c>
      <c r="Y137" t="str">
        <f t="shared" si="17"/>
        <v>A3Cro</v>
      </c>
      <c r="Z137" s="193" t="s">
        <v>43</v>
      </c>
      <c r="AA137" s="193" t="s">
        <v>520</v>
      </c>
      <c r="AB137" s="179" t="s">
        <v>701</v>
      </c>
      <c r="AC137" s="94"/>
      <c r="AD137" s="95"/>
      <c r="AE137" s="111"/>
      <c r="AF137" s="111"/>
      <c r="AG137" s="111"/>
      <c r="AH137" s="111"/>
      <c r="AI137" s="111"/>
      <c r="AJ137" s="111"/>
      <c r="AK137" s="111"/>
      <c r="AL137" s="111"/>
      <c r="AM137" s="111"/>
      <c r="AN137" s="111"/>
      <c r="AO137" s="111"/>
      <c r="AP137" s="111"/>
      <c r="AQ137" s="111"/>
      <c r="AR137" s="21"/>
      <c r="AS137" s="21"/>
      <c r="AT137" s="21"/>
      <c r="AU137" s="21"/>
      <c r="AV137" s="21"/>
      <c r="AW137" s="21"/>
      <c r="AX137" s="21"/>
      <c r="AY137" s="21"/>
      <c r="AZ137" s="21"/>
      <c r="BA137" s="21"/>
    </row>
    <row r="138" spans="1:53" ht="15">
      <c r="A138" s="124"/>
      <c r="B138" s="21"/>
      <c r="C138" s="21"/>
      <c r="D138" s="21"/>
      <c r="E138" s="21"/>
      <c r="F138" s="21"/>
      <c r="G138" s="21"/>
      <c r="H138" s="21"/>
      <c r="I138" s="21"/>
      <c r="J138" s="21"/>
      <c r="K138" s="21"/>
      <c r="L138" s="21"/>
      <c r="M138" s="21"/>
      <c r="N138" s="21"/>
      <c r="O138" s="21"/>
      <c r="R138" s="107">
        <f>'Mia rosa + Org. Finanza'!AG138</f>
        <v>0</v>
      </c>
      <c r="S138" s="107">
        <f>'Mia rosa + Org. Finanza'!AH138</f>
        <v>0</v>
      </c>
      <c r="T138" s="107">
        <f>'Mia rosa + Org. Finanza'!AI138</f>
        <v>0</v>
      </c>
      <c r="U138" s="107">
        <f>'Mia rosa + Org. Finanza'!AJ138</f>
        <v>0</v>
      </c>
      <c r="V138" s="21"/>
      <c r="W138" s="179" t="str">
        <f t="shared" si="15"/>
        <v>Cro</v>
      </c>
      <c r="X138">
        <f t="shared" si="16"/>
        <v>4</v>
      </c>
      <c r="Y138" t="str">
        <f t="shared" si="17"/>
        <v>A4Cro</v>
      </c>
      <c r="Z138" s="193" t="s">
        <v>43</v>
      </c>
      <c r="AA138" s="193" t="s">
        <v>1847</v>
      </c>
      <c r="AB138" s="179" t="s">
        <v>701</v>
      </c>
      <c r="AC138" s="94"/>
      <c r="AD138" s="95"/>
      <c r="AE138" s="111"/>
      <c r="AF138" s="111"/>
      <c r="AG138" s="111"/>
      <c r="AH138" s="111"/>
      <c r="AI138" s="111"/>
      <c r="AJ138" s="111"/>
      <c r="AK138" s="111"/>
      <c r="AL138" s="111"/>
      <c r="AM138" s="111"/>
      <c r="AN138" s="111"/>
      <c r="AO138" s="111"/>
      <c r="AP138" s="111"/>
      <c r="AQ138" s="111"/>
      <c r="AR138" s="21"/>
      <c r="AS138" s="21"/>
      <c r="AT138" s="21"/>
      <c r="AU138" s="21"/>
      <c r="AV138" s="21"/>
      <c r="AW138" s="21"/>
      <c r="AX138" s="21"/>
      <c r="AY138" s="21"/>
      <c r="AZ138" s="21"/>
      <c r="BA138" s="21"/>
    </row>
    <row r="139" spans="1:53" ht="15">
      <c r="A139" s="124"/>
      <c r="B139" s="21"/>
      <c r="C139" s="21"/>
      <c r="D139" s="21"/>
      <c r="E139" s="21"/>
      <c r="F139" s="21"/>
      <c r="G139" s="21"/>
      <c r="H139" s="21"/>
      <c r="I139" s="21"/>
      <c r="J139" s="21"/>
      <c r="K139" s="21"/>
      <c r="L139" s="21"/>
      <c r="M139" s="21"/>
      <c r="N139" s="21"/>
      <c r="O139" s="21"/>
      <c r="R139" s="107">
        <f>'Mia rosa + Org. Finanza'!AG139</f>
        <v>0</v>
      </c>
      <c r="S139" s="107">
        <f>'Mia rosa + Org. Finanza'!AH139</f>
        <v>0</v>
      </c>
      <c r="T139" s="107">
        <f>'Mia rosa + Org. Finanza'!AI139</f>
        <v>0</v>
      </c>
      <c r="U139" s="107">
        <f>'Mia rosa + Org. Finanza'!AJ139</f>
        <v>0</v>
      </c>
      <c r="V139" s="21"/>
      <c r="W139" s="179" t="str">
        <f t="shared" si="15"/>
        <v>Cro</v>
      </c>
      <c r="X139">
        <f t="shared" si="16"/>
        <v>1</v>
      </c>
      <c r="Y139" t="str">
        <f t="shared" si="17"/>
        <v>C1Cro</v>
      </c>
      <c r="Z139" s="193" t="s">
        <v>39</v>
      </c>
      <c r="AA139" s="193" t="s">
        <v>323</v>
      </c>
      <c r="AB139" s="179" t="s">
        <v>701</v>
      </c>
      <c r="AC139" s="94"/>
      <c r="AD139" s="95"/>
      <c r="AE139" s="111"/>
      <c r="AF139" s="111"/>
      <c r="AG139" s="111"/>
      <c r="AH139" s="111"/>
      <c r="AI139" s="111"/>
      <c r="AJ139" s="111"/>
      <c r="AK139" s="111"/>
      <c r="AL139" s="111"/>
      <c r="AM139" s="111"/>
      <c r="AN139" s="111"/>
      <c r="AO139" s="111"/>
      <c r="AP139" s="111"/>
      <c r="AQ139" s="111"/>
      <c r="AR139" s="21"/>
      <c r="AS139" s="21"/>
      <c r="AT139" s="21"/>
      <c r="AU139" s="21"/>
      <c r="AV139" s="21"/>
      <c r="AW139" s="21"/>
      <c r="AX139" s="21"/>
      <c r="AY139" s="21"/>
      <c r="AZ139" s="21"/>
      <c r="BA139" s="21"/>
    </row>
    <row r="140" spans="1:53" ht="15">
      <c r="A140" s="124"/>
      <c r="B140" s="21"/>
      <c r="C140" s="21"/>
      <c r="D140" s="21"/>
      <c r="E140" s="21"/>
      <c r="F140" s="21"/>
      <c r="G140" s="21"/>
      <c r="H140" s="21"/>
      <c r="I140" s="21"/>
      <c r="J140" s="21"/>
      <c r="K140" s="21"/>
      <c r="L140" s="21"/>
      <c r="M140" s="21"/>
      <c r="N140" s="21"/>
      <c r="O140" s="21"/>
      <c r="R140" s="107">
        <f>'Mia rosa + Org. Finanza'!AG140</f>
        <v>0</v>
      </c>
      <c r="S140" s="107">
        <f>'Mia rosa + Org. Finanza'!AH140</f>
        <v>0</v>
      </c>
      <c r="T140" s="107">
        <f>'Mia rosa + Org. Finanza'!AI140</f>
        <v>0</v>
      </c>
      <c r="U140" s="107">
        <f>'Mia rosa + Org. Finanza'!AJ140</f>
        <v>0</v>
      </c>
      <c r="V140" s="21"/>
      <c r="W140" s="179" t="str">
        <f t="shared" si="15"/>
        <v>Cro</v>
      </c>
      <c r="X140">
        <f t="shared" si="16"/>
        <v>2</v>
      </c>
      <c r="Y140" t="str">
        <f t="shared" si="17"/>
        <v>C2Cro</v>
      </c>
      <c r="Z140" s="193" t="s">
        <v>39</v>
      </c>
      <c r="AA140" s="193" t="s">
        <v>1838</v>
      </c>
      <c r="AB140" s="179" t="s">
        <v>701</v>
      </c>
      <c r="AC140" s="94"/>
      <c r="AD140" s="95"/>
      <c r="AE140" s="111"/>
      <c r="AF140" s="111"/>
      <c r="AG140" s="111"/>
      <c r="AH140" s="111"/>
      <c r="AI140" s="111"/>
      <c r="AJ140" s="111"/>
      <c r="AK140" s="111"/>
      <c r="AL140" s="111"/>
      <c r="AM140" s="111"/>
      <c r="AN140" s="111"/>
      <c r="AO140" s="111"/>
      <c r="AP140" s="111"/>
      <c r="AQ140" s="111"/>
      <c r="AR140" s="21"/>
      <c r="AS140" s="21"/>
      <c r="AT140" s="21"/>
      <c r="AU140" s="21"/>
      <c r="AV140" s="21"/>
      <c r="AW140" s="21"/>
      <c r="AX140" s="21"/>
      <c r="AY140" s="21"/>
      <c r="AZ140" s="21"/>
      <c r="BA140" s="21"/>
    </row>
    <row r="141" spans="1:53" ht="15">
      <c r="A141" s="124"/>
      <c r="B141" s="21"/>
      <c r="C141" s="21"/>
      <c r="D141" s="21"/>
      <c r="E141" s="21"/>
      <c r="F141" s="21"/>
      <c r="G141" s="21"/>
      <c r="H141" s="21"/>
      <c r="I141" s="21"/>
      <c r="J141" s="21"/>
      <c r="K141" s="21"/>
      <c r="L141" s="21"/>
      <c r="M141" s="21"/>
      <c r="N141" s="21"/>
      <c r="O141" s="21"/>
      <c r="Q141" s="125"/>
      <c r="R141" s="107">
        <f>'Mia rosa + Org. Finanza'!AG141</f>
        <v>0</v>
      </c>
      <c r="S141" s="107">
        <f>'Mia rosa + Org. Finanza'!AH141</f>
        <v>0</v>
      </c>
      <c r="T141" s="107">
        <f>'Mia rosa + Org. Finanza'!AI141</f>
        <v>0</v>
      </c>
      <c r="U141" s="107">
        <f>'Mia rosa + Org. Finanza'!AJ141</f>
        <v>0</v>
      </c>
      <c r="V141" s="21"/>
      <c r="W141" s="179" t="str">
        <f t="shared" si="15"/>
        <v>Cro</v>
      </c>
      <c r="X141">
        <f t="shared" si="16"/>
        <v>3</v>
      </c>
      <c r="Y141" t="str">
        <f t="shared" si="17"/>
        <v>C3Cro</v>
      </c>
      <c r="Z141" s="193" t="s">
        <v>39</v>
      </c>
      <c r="AA141" s="193" t="s">
        <v>501</v>
      </c>
      <c r="AB141" s="179" t="s">
        <v>701</v>
      </c>
      <c r="AC141" s="94"/>
      <c r="AD141" s="95"/>
      <c r="AE141" s="111"/>
      <c r="AF141" s="111"/>
      <c r="AG141" s="111"/>
      <c r="AH141" s="111"/>
      <c r="AI141" s="111"/>
      <c r="AJ141" s="111"/>
      <c r="AK141" s="111"/>
      <c r="AL141" s="111"/>
      <c r="AM141" s="111"/>
      <c r="AN141" s="111"/>
      <c r="AO141" s="111"/>
      <c r="AP141" s="111"/>
      <c r="AQ141" s="111"/>
      <c r="AR141" s="21"/>
      <c r="AS141" s="21"/>
      <c r="AT141" s="21"/>
      <c r="AU141" s="21"/>
      <c r="AV141" s="21"/>
      <c r="AW141" s="21"/>
      <c r="AX141" s="21"/>
      <c r="AY141" s="21"/>
      <c r="AZ141" s="21"/>
      <c r="BA141" s="21"/>
    </row>
    <row r="142" spans="1:53" ht="15">
      <c r="A142" s="124"/>
      <c r="B142" s="21"/>
      <c r="C142" s="21"/>
      <c r="D142" s="21"/>
      <c r="E142" s="21"/>
      <c r="F142" s="21"/>
      <c r="G142" s="21"/>
      <c r="H142" s="21"/>
      <c r="I142" s="21"/>
      <c r="J142" s="21"/>
      <c r="K142" s="21"/>
      <c r="L142" s="21"/>
      <c r="M142" s="21"/>
      <c r="N142" s="21"/>
      <c r="O142" s="21"/>
      <c r="Q142" s="125"/>
      <c r="R142" s="107">
        <f>'Mia rosa + Org. Finanza'!AG142</f>
        <v>0</v>
      </c>
      <c r="S142" s="107">
        <f>'Mia rosa + Org. Finanza'!AH142</f>
        <v>0</v>
      </c>
      <c r="T142" s="107">
        <f>'Mia rosa + Org. Finanza'!AI142</f>
        <v>0</v>
      </c>
      <c r="U142" s="107">
        <f>'Mia rosa + Org. Finanza'!AJ142</f>
        <v>0</v>
      </c>
      <c r="V142" s="21"/>
      <c r="W142" s="179" t="str">
        <f t="shared" si="15"/>
        <v>Cro</v>
      </c>
      <c r="X142">
        <f t="shared" si="16"/>
        <v>4</v>
      </c>
      <c r="Y142" t="str">
        <f t="shared" si="17"/>
        <v>C4Cro</v>
      </c>
      <c r="Z142" s="193" t="s">
        <v>39</v>
      </c>
      <c r="AA142" s="193" t="s">
        <v>1804</v>
      </c>
      <c r="AB142" s="179" t="s">
        <v>701</v>
      </c>
      <c r="AC142" s="94"/>
      <c r="AD142" s="95"/>
      <c r="AE142" s="111"/>
      <c r="AF142" s="111"/>
      <c r="AG142" s="111"/>
      <c r="AH142" s="111"/>
      <c r="AI142" s="111"/>
      <c r="AJ142" s="111"/>
      <c r="AK142" s="111"/>
      <c r="AL142" s="111"/>
      <c r="AM142" s="111"/>
      <c r="AN142" s="111"/>
      <c r="AO142" s="111"/>
      <c r="AP142" s="111"/>
      <c r="AQ142" s="111"/>
      <c r="AR142" s="21"/>
      <c r="AS142" s="21"/>
      <c r="AT142" s="21"/>
      <c r="AU142" s="21"/>
      <c r="AV142" s="21"/>
      <c r="AW142" s="21"/>
      <c r="AX142" s="21"/>
      <c r="AY142" s="21"/>
      <c r="AZ142" s="21"/>
      <c r="BA142" s="21"/>
    </row>
    <row r="143" spans="1:53" ht="15">
      <c r="A143" s="124"/>
      <c r="B143" s="21"/>
      <c r="C143" s="21"/>
      <c r="D143" s="21"/>
      <c r="E143" s="21"/>
      <c r="F143" s="21"/>
      <c r="G143" s="21"/>
      <c r="H143" s="21"/>
      <c r="I143" s="21"/>
      <c r="J143" s="21"/>
      <c r="K143" s="21"/>
      <c r="L143" s="21"/>
      <c r="M143" s="21"/>
      <c r="N143" s="21"/>
      <c r="O143" s="21"/>
      <c r="Q143" s="125"/>
      <c r="R143" s="107">
        <f>'Mia rosa + Org. Finanza'!AG143</f>
        <v>0</v>
      </c>
      <c r="S143" s="107">
        <f>'Mia rosa + Org. Finanza'!AH143</f>
        <v>0</v>
      </c>
      <c r="T143" s="107">
        <f>'Mia rosa + Org. Finanza'!AI143</f>
        <v>0</v>
      </c>
      <c r="U143" s="107">
        <f>'Mia rosa + Org. Finanza'!AJ143</f>
        <v>0</v>
      </c>
      <c r="V143" s="21"/>
      <c r="W143" s="179" t="str">
        <f t="shared" si="15"/>
        <v>Cro</v>
      </c>
      <c r="X143">
        <f t="shared" si="16"/>
        <v>5</v>
      </c>
      <c r="Y143" t="str">
        <f t="shared" si="17"/>
        <v>C5Cro</v>
      </c>
      <c r="Z143" s="193" t="s">
        <v>39</v>
      </c>
      <c r="AA143" s="193" t="s">
        <v>1767</v>
      </c>
      <c r="AB143" s="179" t="s">
        <v>701</v>
      </c>
      <c r="AC143" s="94"/>
      <c r="AD143" s="95"/>
      <c r="AE143" s="111"/>
      <c r="AF143" s="111"/>
      <c r="AG143" s="111"/>
      <c r="AH143" s="111"/>
      <c r="AI143" s="111"/>
      <c r="AJ143" s="111"/>
      <c r="AK143" s="111"/>
      <c r="AL143" s="111"/>
      <c r="AM143" s="111"/>
      <c r="AN143" s="111"/>
      <c r="AO143" s="111"/>
      <c r="AP143" s="111"/>
      <c r="AQ143" s="111"/>
      <c r="AR143" s="21"/>
      <c r="AS143" s="21"/>
      <c r="AT143" s="21"/>
      <c r="AU143" s="21"/>
      <c r="AV143" s="21"/>
      <c r="AW143" s="21"/>
      <c r="AX143" s="21"/>
      <c r="AY143" s="21"/>
      <c r="AZ143" s="21"/>
      <c r="BA143" s="21"/>
    </row>
    <row r="144" spans="1:53" ht="15">
      <c r="A144" s="124"/>
      <c r="B144" s="21"/>
      <c r="C144" s="21"/>
      <c r="D144" s="21"/>
      <c r="E144" s="21"/>
      <c r="F144" s="21"/>
      <c r="G144" s="21"/>
      <c r="H144" s="21"/>
      <c r="I144" s="21"/>
      <c r="J144" s="21"/>
      <c r="K144" s="21"/>
      <c r="L144" s="21"/>
      <c r="M144" s="21"/>
      <c r="N144" s="21"/>
      <c r="O144" s="21"/>
      <c r="Q144" s="125"/>
      <c r="R144" s="107">
        <f>'Mia rosa + Org. Finanza'!AG144</f>
        <v>0</v>
      </c>
      <c r="S144" s="107">
        <f>'Mia rosa + Org. Finanza'!AH144</f>
        <v>0</v>
      </c>
      <c r="T144" s="107">
        <f>'Mia rosa + Org. Finanza'!AI144</f>
        <v>0</v>
      </c>
      <c r="U144" s="107">
        <f>'Mia rosa + Org. Finanza'!AJ144</f>
        <v>0</v>
      </c>
      <c r="V144" s="21"/>
      <c r="W144" s="179" t="str">
        <f t="shared" si="15"/>
        <v>Cro</v>
      </c>
      <c r="X144">
        <f t="shared" si="16"/>
        <v>6</v>
      </c>
      <c r="Y144" t="str">
        <f t="shared" si="17"/>
        <v>C6Cro</v>
      </c>
      <c r="Z144" s="193" t="s">
        <v>39</v>
      </c>
      <c r="AA144" s="193" t="s">
        <v>541</v>
      </c>
      <c r="AB144" s="179" t="s">
        <v>701</v>
      </c>
      <c r="AC144" s="94"/>
      <c r="AD144"/>
      <c r="AE144" s="111"/>
      <c r="AF144" s="111"/>
      <c r="AG144" s="111"/>
      <c r="AH144" s="111"/>
      <c r="AI144" s="111"/>
      <c r="AJ144" s="111"/>
      <c r="AK144" s="111"/>
      <c r="AL144" s="111"/>
      <c r="AM144" s="111"/>
      <c r="AN144" s="111"/>
      <c r="AO144" s="111"/>
      <c r="AP144" s="111"/>
      <c r="AQ144" s="111"/>
      <c r="AR144" s="21"/>
      <c r="AS144" s="21"/>
      <c r="AT144" s="21"/>
      <c r="AU144" s="21"/>
      <c r="AV144" s="21"/>
      <c r="AW144" s="21"/>
      <c r="AX144" s="21"/>
      <c r="AY144" s="21"/>
      <c r="AZ144" s="21"/>
      <c r="BA144" s="21"/>
    </row>
    <row r="145" spans="1:53" ht="15">
      <c r="A145" s="124"/>
      <c r="B145" s="21"/>
      <c r="C145" s="21"/>
      <c r="D145" s="21"/>
      <c r="E145" s="21"/>
      <c r="F145" s="21"/>
      <c r="G145" s="21"/>
      <c r="H145" s="21"/>
      <c r="I145" s="21"/>
      <c r="J145" s="21"/>
      <c r="K145" s="21"/>
      <c r="L145" s="21"/>
      <c r="M145" s="21"/>
      <c r="N145" s="21"/>
      <c r="O145" s="21"/>
      <c r="Q145" s="125"/>
      <c r="R145" s="107">
        <f>'Mia rosa + Org. Finanza'!AG145</f>
        <v>0</v>
      </c>
      <c r="S145" s="107">
        <f>'Mia rosa + Org. Finanza'!AH145</f>
        <v>0</v>
      </c>
      <c r="T145" s="107">
        <f>'Mia rosa + Org. Finanza'!AI145</f>
        <v>0</v>
      </c>
      <c r="U145" s="107">
        <f>'Mia rosa + Org. Finanza'!AJ145</f>
        <v>0</v>
      </c>
      <c r="V145" s="21"/>
      <c r="W145" s="179" t="str">
        <f t="shared" si="15"/>
        <v>Cro</v>
      </c>
      <c r="X145">
        <f t="shared" si="16"/>
        <v>7</v>
      </c>
      <c r="Y145" t="str">
        <f t="shared" si="17"/>
        <v>C7Cro</v>
      </c>
      <c r="Z145" s="193" t="s">
        <v>39</v>
      </c>
      <c r="AA145" s="193" t="s">
        <v>458</v>
      </c>
      <c r="AB145" s="179" t="s">
        <v>701</v>
      </c>
      <c r="AC145" s="94"/>
      <c r="AD145" s="95"/>
      <c r="AE145" s="111"/>
      <c r="AF145" s="111"/>
      <c r="AG145" s="111"/>
      <c r="AH145" s="111"/>
      <c r="AI145" s="111"/>
      <c r="AJ145" s="111"/>
      <c r="AK145" s="111"/>
      <c r="AL145" s="111"/>
      <c r="AM145" s="111"/>
      <c r="AN145" s="111"/>
      <c r="AO145" s="111"/>
      <c r="AP145" s="111"/>
      <c r="AQ145" s="111"/>
      <c r="AR145" s="21"/>
      <c r="AS145" s="21"/>
      <c r="AT145" s="21"/>
      <c r="AU145" s="21"/>
      <c r="AV145" s="21"/>
      <c r="AW145" s="21"/>
      <c r="AX145" s="21"/>
      <c r="AY145" s="21"/>
      <c r="AZ145" s="21"/>
      <c r="BA145" s="21"/>
    </row>
    <row r="146" spans="1:53" ht="15">
      <c r="A146" s="124"/>
      <c r="B146" s="21"/>
      <c r="C146" s="21"/>
      <c r="D146" s="21"/>
      <c r="E146" s="21"/>
      <c r="F146" s="21"/>
      <c r="G146" s="21"/>
      <c r="H146" s="21"/>
      <c r="I146" s="21"/>
      <c r="J146" s="21"/>
      <c r="K146" s="21"/>
      <c r="L146" s="21"/>
      <c r="M146" s="21"/>
      <c r="N146" s="21"/>
      <c r="O146" s="21"/>
      <c r="Q146" s="125"/>
      <c r="R146" s="107">
        <f>'Mia rosa + Org. Finanza'!AG146</f>
        <v>0</v>
      </c>
      <c r="S146" s="107">
        <f>'Mia rosa + Org. Finanza'!AH146</f>
        <v>0</v>
      </c>
      <c r="T146" s="107">
        <f>'Mia rosa + Org. Finanza'!AI146</f>
        <v>0</v>
      </c>
      <c r="U146" s="107">
        <f>'Mia rosa + Org. Finanza'!AJ146</f>
        <v>0</v>
      </c>
      <c r="V146" s="21"/>
      <c r="W146" s="179" t="str">
        <f t="shared" si="15"/>
        <v>Cro</v>
      </c>
      <c r="X146">
        <f t="shared" si="16"/>
        <v>8</v>
      </c>
      <c r="Y146" t="str">
        <f t="shared" si="17"/>
        <v>C8Cro</v>
      </c>
      <c r="Z146" s="193" t="s">
        <v>39</v>
      </c>
      <c r="AA146" s="193" t="s">
        <v>923</v>
      </c>
      <c r="AB146" s="179" t="s">
        <v>701</v>
      </c>
      <c r="AC146" s="94"/>
      <c r="AD146" s="95"/>
      <c r="AE146" s="111"/>
      <c r="AF146" s="111"/>
      <c r="AG146" s="111"/>
      <c r="AH146" s="111"/>
      <c r="AI146" s="111"/>
      <c r="AJ146" s="111"/>
      <c r="AK146" s="111"/>
      <c r="AL146" s="111"/>
      <c r="AM146" s="111"/>
      <c r="AN146" s="111"/>
      <c r="AO146" s="111"/>
      <c r="AP146" s="111"/>
      <c r="AQ146" s="111"/>
      <c r="AR146" s="21"/>
      <c r="AS146" s="21"/>
      <c r="AT146" s="21"/>
      <c r="AU146" s="21"/>
      <c r="AV146" s="21"/>
      <c r="AW146" s="21"/>
      <c r="AX146" s="21"/>
      <c r="AY146" s="21"/>
      <c r="AZ146" s="21"/>
      <c r="BA146" s="21"/>
    </row>
    <row r="147" spans="1:53" ht="15">
      <c r="A147" s="124"/>
      <c r="B147" s="21"/>
      <c r="C147" s="21"/>
      <c r="D147" s="21"/>
      <c r="E147" s="21"/>
      <c r="F147" s="21"/>
      <c r="G147" s="21"/>
      <c r="H147" s="21"/>
      <c r="I147" s="21"/>
      <c r="J147" s="21"/>
      <c r="K147" s="21"/>
      <c r="L147" s="21"/>
      <c r="M147" s="21"/>
      <c r="N147" s="21"/>
      <c r="O147" s="21"/>
      <c r="Q147" s="125"/>
      <c r="R147" s="107">
        <f>'Mia rosa + Org. Finanza'!AG147</f>
        <v>0</v>
      </c>
      <c r="S147" s="107">
        <f>'Mia rosa + Org. Finanza'!AH147</f>
        <v>0</v>
      </c>
      <c r="T147" s="107">
        <f>'Mia rosa + Org. Finanza'!AI147</f>
        <v>0</v>
      </c>
      <c r="U147" s="107">
        <f>'Mia rosa + Org. Finanza'!AJ147</f>
        <v>0</v>
      </c>
      <c r="V147" s="21"/>
      <c r="W147" s="179" t="str">
        <f t="shared" si="15"/>
        <v>Cro</v>
      </c>
      <c r="X147">
        <f t="shared" si="16"/>
        <v>9</v>
      </c>
      <c r="Y147" t="str">
        <f t="shared" si="17"/>
        <v>C9Cro</v>
      </c>
      <c r="Z147" s="193" t="s">
        <v>39</v>
      </c>
      <c r="AA147" s="193" t="s">
        <v>1991</v>
      </c>
      <c r="AB147" s="179" t="s">
        <v>701</v>
      </c>
      <c r="AC147" s="94"/>
      <c r="AD147" s="95"/>
      <c r="AE147" s="111"/>
      <c r="AF147" s="111"/>
      <c r="AG147" s="111"/>
      <c r="AH147" s="111"/>
      <c r="AI147" s="111"/>
      <c r="AJ147" s="111"/>
      <c r="AK147" s="111"/>
      <c r="AL147" s="111"/>
      <c r="AM147" s="111"/>
      <c r="AN147" s="111"/>
      <c r="AO147" s="111"/>
      <c r="AP147" s="111"/>
      <c r="AQ147" s="111"/>
      <c r="AR147" s="21"/>
      <c r="AS147" s="21"/>
      <c r="AT147" s="21"/>
      <c r="AU147" s="21"/>
      <c r="AV147" s="21"/>
      <c r="AW147" s="21"/>
      <c r="AX147" s="21"/>
      <c r="AY147" s="21"/>
      <c r="AZ147" s="21"/>
      <c r="BA147" s="21"/>
    </row>
    <row r="148" spans="1:53" ht="15">
      <c r="A148" s="124"/>
      <c r="B148" s="21"/>
      <c r="C148" s="21"/>
      <c r="D148" s="21"/>
      <c r="E148" s="21"/>
      <c r="F148" s="21"/>
      <c r="G148" s="21"/>
      <c r="H148" s="21"/>
      <c r="I148" s="21"/>
      <c r="J148" s="21"/>
      <c r="K148" s="21"/>
      <c r="L148" s="21"/>
      <c r="M148" s="21"/>
      <c r="N148" s="21"/>
      <c r="O148" s="21"/>
      <c r="Q148" s="125"/>
      <c r="R148" s="107">
        <f>'Mia rosa + Org. Finanza'!AG148</f>
        <v>0</v>
      </c>
      <c r="S148" s="107">
        <f>'Mia rosa + Org. Finanza'!AH148</f>
        <v>0</v>
      </c>
      <c r="T148" s="107">
        <f>'Mia rosa + Org. Finanza'!AI148</f>
        <v>0</v>
      </c>
      <c r="U148" s="107">
        <f>'Mia rosa + Org. Finanza'!AJ148</f>
        <v>0</v>
      </c>
      <c r="V148" s="21"/>
      <c r="W148" s="179" t="str">
        <f t="shared" si="15"/>
        <v>Cro</v>
      </c>
      <c r="X148">
        <f t="shared" si="16"/>
        <v>10</v>
      </c>
      <c r="Y148" t="str">
        <f t="shared" si="17"/>
        <v>C10Cro</v>
      </c>
      <c r="Z148" s="193" t="s">
        <v>39</v>
      </c>
      <c r="AA148" s="193" t="s">
        <v>605</v>
      </c>
      <c r="AB148" s="179" t="s">
        <v>701</v>
      </c>
      <c r="AC148" s="94"/>
      <c r="AD148"/>
      <c r="AE148" s="111"/>
      <c r="AF148" s="111"/>
      <c r="AG148" s="111"/>
      <c r="AH148" s="111"/>
      <c r="AI148" s="111"/>
      <c r="AJ148" s="111"/>
      <c r="AK148" s="111"/>
      <c r="AL148" s="111"/>
      <c r="AM148" s="111"/>
      <c r="AN148" s="111"/>
      <c r="AO148" s="111"/>
      <c r="AP148" s="111"/>
      <c r="AQ148" s="111"/>
      <c r="AR148" s="21"/>
      <c r="AS148" s="21"/>
      <c r="AT148" s="21"/>
      <c r="AU148" s="21"/>
      <c r="AV148" s="21"/>
      <c r="AW148" s="21"/>
      <c r="AX148" s="21"/>
      <c r="AY148" s="21"/>
      <c r="AZ148" s="21"/>
      <c r="BA148" s="21"/>
    </row>
    <row r="149" spans="1:53" ht="15">
      <c r="A149" s="124"/>
      <c r="B149" s="21"/>
      <c r="C149" s="21"/>
      <c r="D149" s="21"/>
      <c r="E149" s="21"/>
      <c r="F149" s="21"/>
      <c r="G149" s="21"/>
      <c r="H149" s="21"/>
      <c r="I149" s="21"/>
      <c r="J149" s="21"/>
      <c r="K149" s="21"/>
      <c r="L149" s="21"/>
      <c r="M149" s="21"/>
      <c r="N149" s="21"/>
      <c r="O149" s="21"/>
      <c r="Q149" s="125"/>
      <c r="R149" s="107">
        <f>'Mia rosa + Org. Finanza'!AG149</f>
        <v>0</v>
      </c>
      <c r="S149" s="107">
        <f>'Mia rosa + Org. Finanza'!AH149</f>
        <v>0</v>
      </c>
      <c r="T149" s="107">
        <f>'Mia rosa + Org. Finanza'!AI149</f>
        <v>0</v>
      </c>
      <c r="U149" s="107">
        <f>'Mia rosa + Org. Finanza'!AJ149</f>
        <v>0</v>
      </c>
      <c r="V149" s="21"/>
      <c r="W149" s="179" t="str">
        <f t="shared" si="15"/>
        <v>Cro</v>
      </c>
      <c r="X149">
        <f t="shared" si="16"/>
        <v>11</v>
      </c>
      <c r="Y149" t="str">
        <f t="shared" si="17"/>
        <v>C11Cro</v>
      </c>
      <c r="Z149" s="193" t="s">
        <v>39</v>
      </c>
      <c r="AA149" s="193" t="s">
        <v>1771</v>
      </c>
      <c r="AB149" s="179" t="s">
        <v>701</v>
      </c>
      <c r="AC149" s="94"/>
      <c r="AD149" s="95"/>
      <c r="AE149" s="111"/>
      <c r="AF149" s="111"/>
      <c r="AG149" s="111"/>
      <c r="AH149" s="111"/>
      <c r="AI149" s="111"/>
      <c r="AJ149" s="111"/>
      <c r="AK149" s="111"/>
      <c r="AL149" s="111"/>
      <c r="AM149" s="111"/>
      <c r="AN149" s="111"/>
      <c r="AO149" s="111"/>
      <c r="AP149" s="111"/>
      <c r="AQ149" s="111"/>
      <c r="AR149" s="21"/>
      <c r="AS149" s="21"/>
      <c r="AT149" s="21"/>
      <c r="AU149" s="21"/>
      <c r="AV149" s="21"/>
      <c r="AW149" s="21"/>
      <c r="AX149" s="21"/>
      <c r="AY149" s="21"/>
      <c r="AZ149" s="21"/>
      <c r="BA149" s="21"/>
    </row>
    <row r="150" spans="1:53" ht="15">
      <c r="A150" s="124"/>
      <c r="B150" s="21"/>
      <c r="C150" s="21"/>
      <c r="D150" s="21"/>
      <c r="E150" s="21"/>
      <c r="F150" s="21"/>
      <c r="G150" s="21"/>
      <c r="H150" s="21"/>
      <c r="I150" s="21"/>
      <c r="J150" s="21"/>
      <c r="K150" s="21"/>
      <c r="L150" s="21"/>
      <c r="M150" s="21"/>
      <c r="N150" s="21"/>
      <c r="O150" s="21"/>
      <c r="Q150" s="125"/>
      <c r="R150" s="107">
        <f>'Mia rosa + Org. Finanza'!AG150</f>
        <v>0</v>
      </c>
      <c r="S150" s="107">
        <f>'Mia rosa + Org. Finanza'!AH150</f>
        <v>0</v>
      </c>
      <c r="T150" s="107">
        <f>'Mia rosa + Org. Finanza'!AI150</f>
        <v>0</v>
      </c>
      <c r="U150" s="107">
        <f>'Mia rosa + Org. Finanza'!AJ150</f>
        <v>0</v>
      </c>
      <c r="V150" s="21"/>
      <c r="W150" s="179" t="str">
        <f t="shared" si="15"/>
        <v>Cro</v>
      </c>
      <c r="X150">
        <f t="shared" si="16"/>
        <v>12</v>
      </c>
      <c r="Y150" t="str">
        <f t="shared" si="17"/>
        <v>C12Cro</v>
      </c>
      <c r="Z150" s="193" t="s">
        <v>39</v>
      </c>
      <c r="AA150" s="193" t="s">
        <v>614</v>
      </c>
      <c r="AB150" s="179" t="s">
        <v>701</v>
      </c>
      <c r="AC150" s="94"/>
      <c r="AD150" s="95"/>
      <c r="AE150" s="111"/>
      <c r="AF150" s="111"/>
      <c r="AG150" s="111"/>
      <c r="AH150" s="111"/>
      <c r="AI150" s="111"/>
      <c r="AJ150" s="111"/>
      <c r="AK150" s="111"/>
      <c r="AL150" s="111"/>
      <c r="AM150" s="111"/>
      <c r="AN150" s="111"/>
      <c r="AO150" s="111"/>
      <c r="AP150" s="111"/>
      <c r="AQ150" s="111"/>
      <c r="AR150" s="21"/>
      <c r="AS150" s="21"/>
      <c r="AT150" s="21"/>
      <c r="AU150" s="21"/>
      <c r="AV150" s="21"/>
      <c r="AW150" s="21"/>
      <c r="AX150" s="21"/>
      <c r="AY150" s="21"/>
      <c r="AZ150" s="21"/>
      <c r="BA150" s="21"/>
    </row>
    <row r="151" spans="1:53" ht="15">
      <c r="A151" s="124"/>
      <c r="B151" s="21"/>
      <c r="C151" s="21"/>
      <c r="D151" s="21"/>
      <c r="E151" s="21"/>
      <c r="F151" s="21"/>
      <c r="G151" s="21"/>
      <c r="H151" s="21"/>
      <c r="I151" s="21"/>
      <c r="J151" s="21"/>
      <c r="K151" s="21"/>
      <c r="L151" s="21"/>
      <c r="M151" s="21"/>
      <c r="N151" s="21"/>
      <c r="O151" s="21"/>
      <c r="Q151" s="125"/>
      <c r="R151" s="107">
        <f>'Mia rosa + Org. Finanza'!AG151</f>
        <v>0</v>
      </c>
      <c r="S151" s="107">
        <f>'Mia rosa + Org. Finanza'!AH151</f>
        <v>0</v>
      </c>
      <c r="T151" s="107">
        <f>'Mia rosa + Org. Finanza'!AI151</f>
        <v>0</v>
      </c>
      <c r="U151" s="107">
        <f>'Mia rosa + Org. Finanza'!AJ151</f>
        <v>0</v>
      </c>
      <c r="V151" s="21"/>
      <c r="W151" s="179" t="str">
        <f t="shared" si="15"/>
        <v>Cro</v>
      </c>
      <c r="X151">
        <f t="shared" si="16"/>
        <v>1</v>
      </c>
      <c r="Y151" t="str">
        <f t="shared" si="17"/>
        <v>D1Cro</v>
      </c>
      <c r="Z151" s="193" t="s">
        <v>37</v>
      </c>
      <c r="AA151" s="193" t="s">
        <v>306</v>
      </c>
      <c r="AB151" s="179" t="s">
        <v>701</v>
      </c>
      <c r="AC151" s="94"/>
      <c r="AD151" s="95"/>
      <c r="AE151" s="111"/>
      <c r="AF151" s="111"/>
      <c r="AG151" s="111"/>
      <c r="AH151" s="111"/>
      <c r="AI151" s="111"/>
      <c r="AJ151" s="111"/>
      <c r="AK151" s="111"/>
      <c r="AL151" s="111"/>
      <c r="AM151" s="111"/>
      <c r="AN151" s="111"/>
      <c r="AO151" s="111"/>
      <c r="AP151" s="111"/>
      <c r="AQ151" s="111"/>
      <c r="AR151" s="21"/>
      <c r="AS151" s="21"/>
      <c r="AT151" s="21"/>
      <c r="AU151" s="21"/>
      <c r="AV151" s="21"/>
      <c r="AW151" s="21"/>
      <c r="AX151" s="21"/>
      <c r="AY151" s="21"/>
      <c r="AZ151" s="21"/>
      <c r="BA151" s="21"/>
    </row>
    <row r="152" spans="1:53" ht="15">
      <c r="A152" s="124"/>
      <c r="B152" s="21"/>
      <c r="C152" s="21"/>
      <c r="D152" s="21"/>
      <c r="E152" s="21"/>
      <c r="F152" s="21"/>
      <c r="G152" s="21"/>
      <c r="H152" s="21"/>
      <c r="I152" s="21"/>
      <c r="J152" s="21"/>
      <c r="K152" s="21"/>
      <c r="L152" s="21"/>
      <c r="M152" s="21"/>
      <c r="N152" s="21"/>
      <c r="O152" s="21"/>
      <c r="Q152" s="125"/>
      <c r="R152" s="107">
        <f>'Mia rosa + Org. Finanza'!AG152</f>
        <v>0</v>
      </c>
      <c r="S152" s="107">
        <f>'Mia rosa + Org. Finanza'!AH152</f>
        <v>0</v>
      </c>
      <c r="T152" s="107">
        <f>'Mia rosa + Org. Finanza'!AI152</f>
        <v>0</v>
      </c>
      <c r="U152" s="107">
        <f>'Mia rosa + Org. Finanza'!AJ152</f>
        <v>0</v>
      </c>
      <c r="V152" s="21"/>
      <c r="W152" s="179" t="str">
        <f t="shared" si="15"/>
        <v>Cro</v>
      </c>
      <c r="X152">
        <f t="shared" si="16"/>
        <v>2</v>
      </c>
      <c r="Y152" t="str">
        <f t="shared" si="17"/>
        <v>D2Cro</v>
      </c>
      <c r="Z152" s="193" t="s">
        <v>37</v>
      </c>
      <c r="AA152" s="193" t="s">
        <v>1706</v>
      </c>
      <c r="AB152" s="179" t="s">
        <v>701</v>
      </c>
      <c r="AC152" s="94"/>
      <c r="AD152" s="95"/>
      <c r="AE152" s="111"/>
      <c r="AF152" s="111"/>
      <c r="AG152" s="111"/>
      <c r="AH152" s="111"/>
      <c r="AI152" s="111"/>
      <c r="AJ152" s="111"/>
      <c r="AK152" s="111"/>
      <c r="AL152" s="111"/>
      <c r="AM152" s="111"/>
      <c r="AN152" s="111"/>
      <c r="AO152" s="111"/>
      <c r="AP152" s="111"/>
      <c r="AQ152" s="111"/>
      <c r="AR152" s="21"/>
      <c r="AS152" s="21"/>
      <c r="AT152" s="21"/>
      <c r="AU152" s="21"/>
      <c r="AV152" s="21"/>
      <c r="AW152" s="21"/>
      <c r="AX152" s="21"/>
      <c r="AY152" s="21"/>
      <c r="AZ152" s="21"/>
      <c r="BA152" s="21"/>
    </row>
    <row r="153" spans="1:53" ht="15">
      <c r="A153" s="124"/>
      <c r="B153" s="21"/>
      <c r="C153" s="21"/>
      <c r="D153" s="21"/>
      <c r="E153" s="21"/>
      <c r="F153" s="21"/>
      <c r="G153" s="21"/>
      <c r="H153" s="21"/>
      <c r="I153" s="21"/>
      <c r="J153" s="21"/>
      <c r="K153" s="21"/>
      <c r="L153" s="21"/>
      <c r="M153" s="21"/>
      <c r="N153" s="21"/>
      <c r="O153" s="21"/>
      <c r="Q153" s="125"/>
      <c r="R153" s="107">
        <f>'Mia rosa + Org. Finanza'!AG153</f>
        <v>0</v>
      </c>
      <c r="S153" s="107">
        <f>'Mia rosa + Org. Finanza'!AH153</f>
        <v>0</v>
      </c>
      <c r="T153" s="107">
        <f>'Mia rosa + Org. Finanza'!AI153</f>
        <v>0</v>
      </c>
      <c r="U153" s="107">
        <f>'Mia rosa + Org. Finanza'!AJ153</f>
        <v>0</v>
      </c>
      <c r="V153" s="21"/>
      <c r="W153" s="179" t="str">
        <f t="shared" si="15"/>
        <v>Cro</v>
      </c>
      <c r="X153">
        <f t="shared" si="16"/>
        <v>3</v>
      </c>
      <c r="Y153" t="str">
        <f t="shared" si="17"/>
        <v>D3Cro</v>
      </c>
      <c r="Z153" s="193" t="s">
        <v>37</v>
      </c>
      <c r="AA153" s="193" t="s">
        <v>403</v>
      </c>
      <c r="AB153" s="179" t="s">
        <v>701</v>
      </c>
      <c r="AC153" s="94"/>
      <c r="AD153" s="95"/>
      <c r="AE153" s="111"/>
      <c r="AF153" s="111"/>
      <c r="AG153" s="111"/>
      <c r="AH153" s="111"/>
      <c r="AI153" s="111"/>
      <c r="AJ153" s="111"/>
      <c r="AK153" s="111"/>
      <c r="AL153" s="111"/>
      <c r="AM153" s="111"/>
      <c r="AN153" s="111"/>
      <c r="AO153" s="111"/>
      <c r="AP153" s="111"/>
      <c r="AQ153" s="111"/>
      <c r="AR153" s="21"/>
      <c r="AS153" s="21"/>
      <c r="AT153" s="21"/>
      <c r="AU153" s="21"/>
      <c r="AV153" s="21"/>
      <c r="AW153" s="21"/>
      <c r="AX153" s="21"/>
      <c r="AY153" s="21"/>
      <c r="AZ153" s="21"/>
      <c r="BA153" s="21"/>
    </row>
    <row r="154" spans="1:53" ht="15">
      <c r="A154" s="124"/>
      <c r="B154" s="21"/>
      <c r="C154" s="21"/>
      <c r="D154" s="21"/>
      <c r="E154" s="21"/>
      <c r="F154" s="21"/>
      <c r="G154" s="21"/>
      <c r="H154" s="21"/>
      <c r="I154" s="21"/>
      <c r="J154" s="21"/>
      <c r="K154" s="21"/>
      <c r="L154" s="21"/>
      <c r="M154" s="21"/>
      <c r="N154" s="21"/>
      <c r="O154" s="21"/>
      <c r="Q154" s="125"/>
      <c r="R154" s="107">
        <f>'Mia rosa + Org. Finanza'!AG154</f>
        <v>0</v>
      </c>
      <c r="S154" s="107">
        <f>'Mia rosa + Org. Finanza'!AH154</f>
        <v>0</v>
      </c>
      <c r="T154" s="107">
        <f>'Mia rosa + Org. Finanza'!AI154</f>
        <v>0</v>
      </c>
      <c r="U154" s="107">
        <f>'Mia rosa + Org. Finanza'!AJ154</f>
        <v>0</v>
      </c>
      <c r="V154" s="21"/>
      <c r="W154" s="179" t="str">
        <f t="shared" si="15"/>
        <v>Cro</v>
      </c>
      <c r="X154">
        <f t="shared" si="16"/>
        <v>4</v>
      </c>
      <c r="Y154" t="str">
        <f t="shared" si="17"/>
        <v>D4Cro</v>
      </c>
      <c r="Z154" s="193" t="s">
        <v>37</v>
      </c>
      <c r="AA154" s="193" t="s">
        <v>472</v>
      </c>
      <c r="AB154" s="179" t="s">
        <v>701</v>
      </c>
      <c r="AC154" s="94"/>
      <c r="AD154" s="95"/>
      <c r="AE154" s="111"/>
      <c r="AF154" s="111"/>
      <c r="AG154" s="111"/>
      <c r="AH154" s="111"/>
      <c r="AI154" s="111"/>
      <c r="AJ154" s="111"/>
      <c r="AK154" s="111"/>
      <c r="AL154" s="111"/>
      <c r="AM154" s="111"/>
      <c r="AN154" s="111"/>
      <c r="AO154" s="111"/>
      <c r="AP154" s="111"/>
      <c r="AQ154" s="111"/>
      <c r="AR154" s="21"/>
      <c r="AS154" s="21"/>
      <c r="AT154" s="21"/>
      <c r="AU154" s="21"/>
      <c r="AV154" s="21"/>
      <c r="AW154" s="21"/>
      <c r="AX154" s="21"/>
      <c r="AY154" s="21"/>
      <c r="AZ154" s="21"/>
      <c r="BA154" s="21"/>
    </row>
    <row r="155" spans="1:53" ht="15">
      <c r="A155" s="124"/>
      <c r="B155" s="21"/>
      <c r="C155" s="21"/>
      <c r="D155" s="21"/>
      <c r="E155" s="21"/>
      <c r="F155" s="21"/>
      <c r="G155" s="21"/>
      <c r="H155" s="21"/>
      <c r="I155" s="21"/>
      <c r="J155" s="21"/>
      <c r="K155" s="21"/>
      <c r="L155" s="21"/>
      <c r="M155" s="21"/>
      <c r="N155" s="21"/>
      <c r="O155" s="21"/>
      <c r="Q155" s="125"/>
      <c r="R155" s="107">
        <f>'Mia rosa + Org. Finanza'!AG155</f>
        <v>0</v>
      </c>
      <c r="S155" s="107">
        <f>'Mia rosa + Org. Finanza'!AH155</f>
        <v>0</v>
      </c>
      <c r="T155" s="107">
        <f>'Mia rosa + Org. Finanza'!AI155</f>
        <v>0</v>
      </c>
      <c r="U155" s="107">
        <f>'Mia rosa + Org. Finanza'!AJ155</f>
        <v>0</v>
      </c>
      <c r="V155" s="21"/>
      <c r="W155" s="179" t="str">
        <f t="shared" si="15"/>
        <v>Cro</v>
      </c>
      <c r="X155">
        <f t="shared" si="16"/>
        <v>5</v>
      </c>
      <c r="Y155" t="str">
        <f t="shared" si="17"/>
        <v>D5Cro</v>
      </c>
      <c r="Z155" s="193" t="s">
        <v>37</v>
      </c>
      <c r="AA155" s="193" t="s">
        <v>544</v>
      </c>
      <c r="AB155" s="179" t="s">
        <v>701</v>
      </c>
      <c r="AC155" s="94"/>
      <c r="AD155" s="95"/>
      <c r="AE155" s="111"/>
      <c r="AF155" s="111"/>
      <c r="AG155" s="111"/>
      <c r="AH155" s="111"/>
      <c r="AI155" s="111"/>
      <c r="AJ155" s="111"/>
      <c r="AK155" s="111"/>
      <c r="AL155" s="111"/>
      <c r="AM155" s="111"/>
      <c r="AN155" s="111"/>
      <c r="AO155" s="111"/>
      <c r="AP155" s="111"/>
      <c r="AQ155" s="111"/>
      <c r="AR155" s="21"/>
      <c r="AS155" s="21"/>
      <c r="AT155" s="21"/>
      <c r="AU155" s="21"/>
      <c r="AV155" s="21"/>
      <c r="AW155" s="21"/>
      <c r="AX155" s="21"/>
      <c r="AY155" s="21"/>
      <c r="AZ155" s="21"/>
      <c r="BA155" s="21"/>
    </row>
    <row r="156" spans="1:53" ht="15">
      <c r="A156" s="124"/>
      <c r="B156" s="21"/>
      <c r="C156" s="21"/>
      <c r="D156" s="21"/>
      <c r="E156" s="21"/>
      <c r="F156" s="21"/>
      <c r="G156" s="21"/>
      <c r="H156" s="21"/>
      <c r="I156" s="21"/>
      <c r="J156" s="21"/>
      <c r="K156" s="21"/>
      <c r="L156" s="21"/>
      <c r="M156" s="21"/>
      <c r="N156" s="21"/>
      <c r="O156" s="21"/>
      <c r="Q156" s="125"/>
      <c r="R156" s="107">
        <f>'Mia rosa + Org. Finanza'!AG156</f>
        <v>0</v>
      </c>
      <c r="S156" s="107">
        <f>'Mia rosa + Org. Finanza'!AH156</f>
        <v>0</v>
      </c>
      <c r="T156" s="107">
        <f>'Mia rosa + Org. Finanza'!AI156</f>
        <v>0</v>
      </c>
      <c r="U156" s="107">
        <f>'Mia rosa + Org. Finanza'!AJ156</f>
        <v>0</v>
      </c>
      <c r="V156" s="21"/>
      <c r="W156" s="179" t="str">
        <f t="shared" si="15"/>
        <v>Cro</v>
      </c>
      <c r="X156">
        <f t="shared" si="16"/>
        <v>6</v>
      </c>
      <c r="Y156" t="str">
        <f t="shared" si="17"/>
        <v>D6Cro</v>
      </c>
      <c r="Z156" s="193" t="s">
        <v>37</v>
      </c>
      <c r="AA156" s="193" t="s">
        <v>566</v>
      </c>
      <c r="AB156" s="179" t="s">
        <v>701</v>
      </c>
      <c r="AC156" s="94"/>
      <c r="AD156" s="95"/>
      <c r="AE156" s="111"/>
      <c r="AF156" s="111"/>
      <c r="AG156" s="111"/>
      <c r="AH156" s="111"/>
      <c r="AI156" s="111"/>
      <c r="AJ156" s="111"/>
      <c r="AK156" s="111"/>
      <c r="AL156" s="111"/>
      <c r="AM156" s="111"/>
      <c r="AN156" s="111"/>
      <c r="AO156" s="111"/>
      <c r="AP156" s="111"/>
      <c r="AQ156" s="111"/>
      <c r="AR156" s="21"/>
      <c r="AS156" s="21"/>
      <c r="AT156" s="21"/>
      <c r="AU156" s="21"/>
      <c r="AV156" s="21"/>
      <c r="AW156" s="21"/>
      <c r="AX156" s="21"/>
      <c r="AY156" s="21"/>
      <c r="AZ156" s="21"/>
      <c r="BA156" s="21"/>
    </row>
    <row r="157" spans="1:53" ht="15">
      <c r="A157" s="124"/>
      <c r="B157" s="21"/>
      <c r="C157" s="21"/>
      <c r="D157" s="21"/>
      <c r="E157" s="21"/>
      <c r="F157" s="21"/>
      <c r="G157" s="21"/>
      <c r="H157" s="21"/>
      <c r="I157" s="21"/>
      <c r="J157" s="21"/>
      <c r="K157" s="21"/>
      <c r="L157" s="21"/>
      <c r="M157" s="21"/>
      <c r="N157" s="21"/>
      <c r="O157" s="21"/>
      <c r="Q157" s="125"/>
      <c r="R157" s="107">
        <f>'Mia rosa + Org. Finanza'!AG157</f>
        <v>0</v>
      </c>
      <c r="S157" s="107">
        <f>'Mia rosa + Org. Finanza'!AH157</f>
        <v>0</v>
      </c>
      <c r="T157" s="107">
        <f>'Mia rosa + Org. Finanza'!AI157</f>
        <v>0</v>
      </c>
      <c r="U157" s="107">
        <f>'Mia rosa + Org. Finanza'!AJ157</f>
        <v>0</v>
      </c>
      <c r="V157" s="21"/>
      <c r="W157" s="179" t="str">
        <f t="shared" si="15"/>
        <v>Cro</v>
      </c>
      <c r="X157">
        <f t="shared" si="16"/>
        <v>7</v>
      </c>
      <c r="Y157" t="str">
        <f t="shared" si="17"/>
        <v>D7Cro</v>
      </c>
      <c r="Z157" s="193" t="s">
        <v>37</v>
      </c>
      <c r="AA157" s="193" t="s">
        <v>592</v>
      </c>
      <c r="AB157" s="179" t="s">
        <v>701</v>
      </c>
      <c r="AC157" s="94"/>
      <c r="AD157" s="95"/>
      <c r="AE157" s="111"/>
      <c r="AF157" s="111"/>
      <c r="AG157" s="111"/>
      <c r="AH157" s="111"/>
      <c r="AI157" s="111"/>
      <c r="AJ157" s="111"/>
      <c r="AK157" s="111"/>
      <c r="AL157" s="111"/>
      <c r="AM157" s="111"/>
      <c r="AN157" s="111"/>
      <c r="AO157" s="111"/>
      <c r="AP157" s="111"/>
      <c r="AQ157" s="111"/>
      <c r="AR157" s="21"/>
      <c r="AS157" s="21"/>
      <c r="AT157" s="21"/>
      <c r="AU157" s="21"/>
      <c r="AV157" s="21"/>
      <c r="AW157" s="21"/>
      <c r="AX157" s="21"/>
      <c r="AY157" s="21"/>
      <c r="AZ157" s="21"/>
      <c r="BA157" s="21"/>
    </row>
    <row r="158" spans="1:53" ht="15">
      <c r="A158" s="124"/>
      <c r="B158" s="21"/>
      <c r="C158" s="21"/>
      <c r="D158" s="21"/>
      <c r="E158" s="21"/>
      <c r="F158" s="21"/>
      <c r="G158" s="21"/>
      <c r="H158" s="21"/>
      <c r="I158" s="21"/>
      <c r="J158" s="21"/>
      <c r="K158" s="21"/>
      <c r="L158" s="21"/>
      <c r="M158" s="21"/>
      <c r="N158" s="21"/>
      <c r="O158" s="21"/>
      <c r="Q158" s="125"/>
      <c r="R158" s="107">
        <f>'Mia rosa + Org. Finanza'!AG158</f>
        <v>0</v>
      </c>
      <c r="S158" s="107">
        <f>'Mia rosa + Org. Finanza'!AH158</f>
        <v>0</v>
      </c>
      <c r="T158" s="107">
        <f>'Mia rosa + Org. Finanza'!AI158</f>
        <v>0</v>
      </c>
      <c r="U158" s="107">
        <f>'Mia rosa + Org. Finanza'!AJ158</f>
        <v>0</v>
      </c>
      <c r="V158" s="21"/>
      <c r="W158" s="179" t="str">
        <f t="shared" si="15"/>
        <v>Cro</v>
      </c>
      <c r="X158">
        <f t="shared" si="16"/>
        <v>8</v>
      </c>
      <c r="Y158" t="str">
        <f t="shared" si="17"/>
        <v>D8Cro</v>
      </c>
      <c r="Z158" s="193" t="s">
        <v>37</v>
      </c>
      <c r="AA158" s="193" t="s">
        <v>1990</v>
      </c>
      <c r="AB158" s="179" t="s">
        <v>701</v>
      </c>
      <c r="AC158" s="94"/>
      <c r="AD158" s="95"/>
      <c r="AE158" s="111"/>
      <c r="AF158" s="111"/>
      <c r="AG158" s="111"/>
      <c r="AH158" s="111"/>
      <c r="AI158" s="111"/>
      <c r="AJ158" s="111"/>
      <c r="AK158" s="111"/>
      <c r="AL158" s="111"/>
      <c r="AM158" s="111"/>
      <c r="AN158" s="111"/>
      <c r="AO158" s="111"/>
      <c r="AP158" s="111"/>
      <c r="AQ158" s="111"/>
      <c r="AR158" s="21"/>
      <c r="AS158" s="21"/>
      <c r="AT158" s="21"/>
      <c r="AU158" s="21"/>
      <c r="AV158" s="21"/>
      <c r="AW158" s="21"/>
      <c r="AX158" s="21"/>
      <c r="AY158" s="21"/>
      <c r="AZ158" s="21"/>
      <c r="BA158" s="21"/>
    </row>
    <row r="159" spans="1:53" ht="15">
      <c r="A159" s="124"/>
      <c r="B159" s="21"/>
      <c r="C159" s="21"/>
      <c r="D159" s="21"/>
      <c r="E159" s="21"/>
      <c r="F159" s="21"/>
      <c r="G159" s="21"/>
      <c r="H159" s="21"/>
      <c r="I159" s="21"/>
      <c r="J159" s="21"/>
      <c r="K159" s="21"/>
      <c r="L159" s="21"/>
      <c r="M159" s="21"/>
      <c r="N159" s="21"/>
      <c r="O159" s="21"/>
      <c r="Q159" s="125"/>
      <c r="R159" s="107">
        <f>'Mia rosa + Org. Finanza'!AG159</f>
        <v>0</v>
      </c>
      <c r="S159" s="107">
        <f>'Mia rosa + Org. Finanza'!AH159</f>
        <v>0</v>
      </c>
      <c r="T159" s="107">
        <f>'Mia rosa + Org. Finanza'!AI159</f>
        <v>0</v>
      </c>
      <c r="U159" s="107">
        <f>'Mia rosa + Org. Finanza'!AJ159</f>
        <v>0</v>
      </c>
      <c r="V159" s="21"/>
      <c r="W159" s="179" t="str">
        <f t="shared" si="15"/>
        <v>Cro</v>
      </c>
      <c r="X159">
        <f t="shared" si="16"/>
        <v>1</v>
      </c>
      <c r="Y159" t="str">
        <f t="shared" si="17"/>
        <v>P1Cro</v>
      </c>
      <c r="Z159" s="193" t="s">
        <v>35</v>
      </c>
      <c r="AA159" s="193" t="s">
        <v>329</v>
      </c>
      <c r="AB159" s="179" t="s">
        <v>701</v>
      </c>
      <c r="AC159" s="94"/>
      <c r="AD159" s="95"/>
      <c r="AE159" s="111"/>
      <c r="AF159" s="111"/>
      <c r="AG159" s="111"/>
      <c r="AH159" s="111"/>
      <c r="AI159" s="111"/>
      <c r="AJ159" s="111"/>
      <c r="AK159" s="111"/>
      <c r="AL159" s="111"/>
      <c r="AM159" s="111"/>
      <c r="AN159" s="111"/>
      <c r="AO159" s="111"/>
      <c r="AP159" s="111"/>
      <c r="AQ159" s="111"/>
      <c r="AR159" s="21"/>
      <c r="AS159" s="21"/>
      <c r="AT159" s="21"/>
      <c r="AU159" s="21"/>
      <c r="AV159" s="21"/>
      <c r="AW159" s="21"/>
      <c r="AX159" s="21"/>
      <c r="AY159" s="21"/>
      <c r="AZ159" s="21"/>
      <c r="BA159" s="21"/>
    </row>
    <row r="160" spans="1:53" ht="15">
      <c r="A160" s="124"/>
      <c r="B160" s="21"/>
      <c r="C160" s="21"/>
      <c r="D160" s="21"/>
      <c r="E160" s="21"/>
      <c r="F160" s="21"/>
      <c r="G160" s="21"/>
      <c r="H160" s="21"/>
      <c r="I160" s="21"/>
      <c r="J160" s="21"/>
      <c r="K160" s="21"/>
      <c r="L160" s="21"/>
      <c r="M160" s="21"/>
      <c r="N160" s="21"/>
      <c r="O160" s="21"/>
      <c r="Q160" s="125"/>
      <c r="R160" s="107">
        <f>'Mia rosa + Org. Finanza'!AG160</f>
        <v>0</v>
      </c>
      <c r="S160" s="107">
        <f>'Mia rosa + Org. Finanza'!AH160</f>
        <v>0</v>
      </c>
      <c r="T160" s="107">
        <f>'Mia rosa + Org. Finanza'!AI160</f>
        <v>0</v>
      </c>
      <c r="U160" s="107">
        <f>'Mia rosa + Org. Finanza'!AJ160</f>
        <v>0</v>
      </c>
      <c r="V160" s="21"/>
      <c r="W160" s="179" t="str">
        <f t="shared" si="15"/>
        <v>Cro</v>
      </c>
      <c r="X160">
        <f t="shared" si="16"/>
        <v>2</v>
      </c>
      <c r="Y160" t="str">
        <f t="shared" si="17"/>
        <v>P2Cro</v>
      </c>
      <c r="Z160" s="193" t="s">
        <v>35</v>
      </c>
      <c r="AA160" s="193" t="s">
        <v>342</v>
      </c>
      <c r="AB160" s="179" t="s">
        <v>701</v>
      </c>
      <c r="AC160" s="94"/>
      <c r="AD160" s="95"/>
      <c r="AE160" s="111"/>
      <c r="AF160" s="111"/>
      <c r="AG160" s="111"/>
      <c r="AH160" s="111"/>
      <c r="AI160" s="111"/>
      <c r="AJ160" s="111"/>
      <c r="AK160" s="111"/>
      <c r="AL160" s="111"/>
      <c r="AM160" s="111"/>
      <c r="AN160" s="111"/>
      <c r="AO160" s="111"/>
      <c r="AP160" s="111"/>
      <c r="AQ160" s="111"/>
      <c r="AR160" s="21"/>
      <c r="AS160" s="21"/>
      <c r="AT160" s="21"/>
      <c r="AU160" s="21"/>
      <c r="AV160" s="21"/>
      <c r="AW160" s="21"/>
      <c r="AX160" s="21"/>
      <c r="AY160" s="21"/>
      <c r="AZ160" s="21"/>
      <c r="BA160" s="21"/>
    </row>
    <row r="161" spans="1:53" ht="15">
      <c r="A161" s="124"/>
      <c r="B161" s="21"/>
      <c r="C161" s="21"/>
      <c r="D161" s="21"/>
      <c r="E161" s="21"/>
      <c r="F161" s="21"/>
      <c r="G161" s="21"/>
      <c r="H161" s="21"/>
      <c r="I161" s="21"/>
      <c r="J161" s="21"/>
      <c r="K161" s="21"/>
      <c r="L161" s="21"/>
      <c r="M161" s="21"/>
      <c r="N161" s="21"/>
      <c r="O161" s="21"/>
      <c r="Q161" s="125"/>
      <c r="R161" s="107">
        <f>'Mia rosa + Org. Finanza'!AG161</f>
        <v>0</v>
      </c>
      <c r="S161" s="107">
        <f>'Mia rosa + Org. Finanza'!AH161</f>
        <v>0</v>
      </c>
      <c r="T161" s="107">
        <f>'Mia rosa + Org. Finanza'!AI161</f>
        <v>0</v>
      </c>
      <c r="U161" s="107">
        <f>'Mia rosa + Org. Finanza'!AJ161</f>
        <v>0</v>
      </c>
      <c r="V161" s="21"/>
      <c r="W161" s="179" t="str">
        <f t="shared" si="15"/>
        <v>Cro</v>
      </c>
      <c r="X161">
        <f t="shared" si="16"/>
        <v>3</v>
      </c>
      <c r="Y161" t="str">
        <f t="shared" si="17"/>
        <v>P3Cro</v>
      </c>
      <c r="Z161" s="193" t="s">
        <v>35</v>
      </c>
      <c r="AA161" s="193" t="s">
        <v>1689</v>
      </c>
      <c r="AB161" s="179" t="s">
        <v>701</v>
      </c>
      <c r="AC161" s="94"/>
      <c r="AD161" s="95"/>
      <c r="AE161" s="111"/>
      <c r="AF161" s="111"/>
      <c r="AG161" s="111"/>
      <c r="AH161" s="111"/>
      <c r="AI161" s="111"/>
      <c r="AJ161" s="111"/>
      <c r="AK161" s="111"/>
      <c r="AL161" s="111"/>
      <c r="AM161" s="111"/>
      <c r="AN161" s="111"/>
      <c r="AO161" s="111"/>
      <c r="AP161" s="111"/>
      <c r="AQ161" s="111"/>
      <c r="AR161" s="21"/>
      <c r="AS161" s="21"/>
      <c r="AT161" s="21"/>
      <c r="AU161" s="21"/>
      <c r="AV161" s="21"/>
      <c r="AW161" s="21"/>
      <c r="AX161" s="21"/>
      <c r="AY161" s="21"/>
      <c r="AZ161" s="21"/>
      <c r="BA161" s="21"/>
    </row>
    <row r="162" spans="1:53" ht="15">
      <c r="A162" s="124"/>
      <c r="B162" s="21"/>
      <c r="C162" s="21"/>
      <c r="D162" s="21"/>
      <c r="E162" s="21"/>
      <c r="F162" s="21"/>
      <c r="G162" s="21"/>
      <c r="H162" s="21"/>
      <c r="I162" s="21"/>
      <c r="J162" s="21"/>
      <c r="K162" s="21"/>
      <c r="L162" s="21"/>
      <c r="M162" s="21"/>
      <c r="N162" s="21"/>
      <c r="O162" s="21"/>
      <c r="Q162" s="125"/>
      <c r="R162" s="107">
        <f>'Mia rosa + Org. Finanza'!AG162</f>
        <v>0</v>
      </c>
      <c r="S162" s="107">
        <f>'Mia rosa + Org. Finanza'!AH162</f>
        <v>0</v>
      </c>
      <c r="T162" s="107">
        <f>'Mia rosa + Org. Finanza'!AI162</f>
        <v>0</v>
      </c>
      <c r="U162" s="107">
        <f>'Mia rosa + Org. Finanza'!AJ162</f>
        <v>0</v>
      </c>
      <c r="V162" s="21"/>
      <c r="W162" s="179" t="str">
        <f t="shared" si="15"/>
        <v>Fio</v>
      </c>
      <c r="X162">
        <f t="shared" si="16"/>
        <v>1</v>
      </c>
      <c r="Y162" t="str">
        <f t="shared" si="17"/>
        <v>A1Fio</v>
      </c>
      <c r="Z162" s="193" t="s">
        <v>43</v>
      </c>
      <c r="AA162" s="193" t="s">
        <v>303</v>
      </c>
      <c r="AB162" s="179" t="s">
        <v>692</v>
      </c>
      <c r="AC162" s="94"/>
      <c r="AD162" s="95"/>
      <c r="AE162" s="111"/>
      <c r="AF162" s="111"/>
      <c r="AG162" s="111"/>
      <c r="AH162" s="111"/>
      <c r="AI162" s="111"/>
      <c r="AJ162" s="111"/>
      <c r="AK162" s="111"/>
      <c r="AL162" s="111"/>
      <c r="AM162" s="111"/>
      <c r="AN162" s="111"/>
      <c r="AO162" s="111"/>
      <c r="AP162" s="111"/>
      <c r="AQ162" s="111"/>
      <c r="AR162" s="21"/>
      <c r="AS162" s="21"/>
      <c r="AT162" s="21"/>
      <c r="AU162" s="21"/>
      <c r="AV162" s="21"/>
      <c r="AW162" s="21"/>
      <c r="AX162" s="21"/>
      <c r="AY162" s="21"/>
      <c r="AZ162" s="21"/>
      <c r="BA162" s="21"/>
    </row>
    <row r="163" spans="1:53" ht="15">
      <c r="A163" s="124"/>
      <c r="B163" s="21"/>
      <c r="C163" s="21"/>
      <c r="D163" s="21"/>
      <c r="E163" s="21"/>
      <c r="F163" s="21"/>
      <c r="G163" s="21"/>
      <c r="H163" s="21"/>
      <c r="I163" s="21"/>
      <c r="J163" s="21"/>
      <c r="K163" s="21"/>
      <c r="L163" s="21"/>
      <c r="M163" s="21"/>
      <c r="N163" s="21"/>
      <c r="O163" s="21"/>
      <c r="Q163" s="125"/>
      <c r="R163" s="107">
        <f>'Mia rosa + Org. Finanza'!AG163</f>
        <v>0</v>
      </c>
      <c r="S163" s="107">
        <f>'Mia rosa + Org. Finanza'!AH163</f>
        <v>0</v>
      </c>
      <c r="T163" s="107">
        <f>'Mia rosa + Org. Finanza'!AI163</f>
        <v>0</v>
      </c>
      <c r="U163" s="107">
        <f>'Mia rosa + Org. Finanza'!AJ163</f>
        <v>0</v>
      </c>
      <c r="V163" s="21"/>
      <c r="W163" s="179" t="str">
        <f t="shared" si="15"/>
        <v>Fio</v>
      </c>
      <c r="X163">
        <f t="shared" si="16"/>
        <v>2</v>
      </c>
      <c r="Y163" t="str">
        <f t="shared" si="17"/>
        <v>A2Fio</v>
      </c>
      <c r="Z163" s="193" t="s">
        <v>43</v>
      </c>
      <c r="AA163" s="193" t="s">
        <v>1989</v>
      </c>
      <c r="AB163" s="179" t="s">
        <v>692</v>
      </c>
      <c r="AC163" s="94"/>
      <c r="AD163" s="95"/>
      <c r="AE163" s="111"/>
      <c r="AF163" s="111"/>
      <c r="AG163" s="111"/>
      <c r="AH163" s="111"/>
      <c r="AI163" s="111"/>
      <c r="AJ163" s="111"/>
      <c r="AK163" s="111"/>
      <c r="AL163" s="111"/>
      <c r="AM163" s="111"/>
      <c r="AN163" s="111"/>
      <c r="AO163" s="111"/>
      <c r="AP163" s="111"/>
      <c r="AQ163" s="111"/>
      <c r="AR163" s="21"/>
      <c r="AS163" s="21"/>
      <c r="AT163" s="21"/>
      <c r="AU163" s="21"/>
      <c r="AV163" s="21"/>
      <c r="AW163" s="21"/>
      <c r="AX163" s="21"/>
      <c r="AY163" s="21"/>
      <c r="AZ163" s="21"/>
      <c r="BA163" s="21"/>
    </row>
    <row r="164" spans="1:53" ht="15">
      <c r="A164" s="124"/>
      <c r="B164" s="21"/>
      <c r="C164" s="21"/>
      <c r="D164" s="21"/>
      <c r="E164" s="21"/>
      <c r="F164" s="21"/>
      <c r="G164" s="21"/>
      <c r="H164" s="21"/>
      <c r="I164" s="21"/>
      <c r="J164" s="21"/>
      <c r="K164" s="21"/>
      <c r="L164" s="21"/>
      <c r="M164" s="21"/>
      <c r="N164" s="21"/>
      <c r="O164" s="21"/>
      <c r="Q164" s="125"/>
      <c r="R164" s="107">
        <f>'Mia rosa + Org. Finanza'!AG164</f>
        <v>0</v>
      </c>
      <c r="S164" s="107">
        <f>'Mia rosa + Org. Finanza'!AH164</f>
        <v>0</v>
      </c>
      <c r="T164" s="107">
        <f>'Mia rosa + Org. Finanza'!AI164</f>
        <v>0</v>
      </c>
      <c r="U164" s="107">
        <f>'Mia rosa + Org. Finanza'!AJ164</f>
        <v>0</v>
      </c>
      <c r="V164" s="21"/>
      <c r="W164" s="179" t="str">
        <f t="shared" si="15"/>
        <v>Fio</v>
      </c>
      <c r="X164">
        <f t="shared" si="16"/>
        <v>3</v>
      </c>
      <c r="Y164" t="str">
        <f t="shared" si="17"/>
        <v>A3Fio</v>
      </c>
      <c r="Z164" s="193" t="s">
        <v>43</v>
      </c>
      <c r="AA164" s="193" t="s">
        <v>1291</v>
      </c>
      <c r="AB164" s="179" t="s">
        <v>692</v>
      </c>
      <c r="AC164" s="94"/>
      <c r="AD164" s="95"/>
      <c r="AE164" s="111"/>
      <c r="AF164" s="111"/>
      <c r="AG164" s="111"/>
      <c r="AH164" s="111"/>
      <c r="AI164" s="111"/>
      <c r="AJ164" s="111"/>
      <c r="AK164" s="111"/>
      <c r="AL164" s="111"/>
      <c r="AM164" s="111"/>
      <c r="AN164" s="111"/>
      <c r="AO164" s="111"/>
      <c r="AP164" s="111"/>
      <c r="AQ164" s="111"/>
      <c r="AR164" s="21"/>
      <c r="AS164" s="21"/>
      <c r="AT164" s="21"/>
      <c r="AU164" s="21"/>
      <c r="AV164" s="21"/>
      <c r="AW164" s="21"/>
      <c r="AX164" s="21"/>
      <c r="AY164" s="21"/>
      <c r="AZ164" s="21"/>
      <c r="BA164" s="21"/>
    </row>
    <row r="165" spans="1:53" ht="15">
      <c r="A165" s="124"/>
      <c r="B165" s="21"/>
      <c r="C165" s="21"/>
      <c r="D165" s="21"/>
      <c r="E165" s="21"/>
      <c r="F165" s="21"/>
      <c r="G165" s="21"/>
      <c r="H165" s="21"/>
      <c r="I165" s="21"/>
      <c r="J165" s="21"/>
      <c r="K165" s="21"/>
      <c r="L165" s="21"/>
      <c r="M165" s="21"/>
      <c r="N165" s="21"/>
      <c r="O165" s="21"/>
      <c r="Q165" s="125"/>
      <c r="R165" s="107">
        <f>'Mia rosa + Org. Finanza'!AG165</f>
        <v>0</v>
      </c>
      <c r="S165" s="107">
        <f>'Mia rosa + Org. Finanza'!AH165</f>
        <v>0</v>
      </c>
      <c r="T165" s="107">
        <f>'Mia rosa + Org. Finanza'!AI165</f>
        <v>0</v>
      </c>
      <c r="U165" s="107">
        <f>'Mia rosa + Org. Finanza'!AJ165</f>
        <v>0</v>
      </c>
      <c r="V165" s="21"/>
      <c r="W165" s="179" t="str">
        <f t="shared" si="15"/>
        <v>Fio</v>
      </c>
      <c r="X165">
        <f t="shared" si="16"/>
        <v>4</v>
      </c>
      <c r="Y165" t="str">
        <f t="shared" si="17"/>
        <v>A4Fio</v>
      </c>
      <c r="Z165" s="193" t="s">
        <v>43</v>
      </c>
      <c r="AA165" s="193" t="s">
        <v>514</v>
      </c>
      <c r="AB165" s="179" t="s">
        <v>692</v>
      </c>
      <c r="AC165" s="94"/>
      <c r="AD165" s="95"/>
      <c r="AE165" s="111"/>
      <c r="AF165" s="111"/>
      <c r="AG165" s="111"/>
      <c r="AH165" s="111"/>
      <c r="AI165" s="111"/>
      <c r="AJ165" s="111"/>
      <c r="AK165" s="111"/>
      <c r="AL165" s="111"/>
      <c r="AM165" s="111"/>
      <c r="AN165" s="111"/>
      <c r="AO165" s="111"/>
      <c r="AP165" s="111"/>
      <c r="AQ165" s="111"/>
      <c r="AR165" s="21"/>
      <c r="AS165" s="21"/>
      <c r="AT165" s="21"/>
      <c r="AU165" s="21"/>
      <c r="AV165" s="21"/>
      <c r="AW165" s="21"/>
      <c r="AX165" s="21"/>
      <c r="AY165" s="21"/>
      <c r="AZ165" s="21"/>
      <c r="BA165" s="21"/>
    </row>
    <row r="166" spans="1:53" ht="15">
      <c r="A166" s="124"/>
      <c r="B166" s="21"/>
      <c r="C166" s="21"/>
      <c r="D166" s="21"/>
      <c r="E166" s="21"/>
      <c r="F166" s="21"/>
      <c r="G166" s="21"/>
      <c r="H166" s="21"/>
      <c r="I166" s="21"/>
      <c r="J166" s="21"/>
      <c r="K166" s="21"/>
      <c r="L166" s="21"/>
      <c r="M166" s="21"/>
      <c r="N166" s="21"/>
      <c r="O166" s="21"/>
      <c r="Q166" s="125"/>
      <c r="R166" s="107">
        <f>'Mia rosa + Org. Finanza'!AG166</f>
        <v>0</v>
      </c>
      <c r="S166" s="107">
        <f>'Mia rosa + Org. Finanza'!AH166</f>
        <v>0</v>
      </c>
      <c r="T166" s="107">
        <f>'Mia rosa + Org. Finanza'!AI166</f>
        <v>0</v>
      </c>
      <c r="U166" s="107">
        <f>'Mia rosa + Org. Finanza'!AJ166</f>
        <v>0</v>
      </c>
      <c r="V166" s="21"/>
      <c r="W166" s="179" t="str">
        <f t="shared" si="15"/>
        <v>Fio</v>
      </c>
      <c r="X166">
        <f t="shared" si="16"/>
        <v>5</v>
      </c>
      <c r="Y166" t="str">
        <f t="shared" si="17"/>
        <v>A5Fio</v>
      </c>
      <c r="Z166" s="193" t="s">
        <v>43</v>
      </c>
      <c r="AA166" s="193" t="s">
        <v>1747</v>
      </c>
      <c r="AB166" s="179" t="s">
        <v>692</v>
      </c>
      <c r="AC166" s="94"/>
      <c r="AD166" s="95"/>
      <c r="AE166" s="111"/>
      <c r="AF166" s="111"/>
      <c r="AG166" s="111"/>
      <c r="AH166" s="111"/>
      <c r="AI166" s="111"/>
      <c r="AJ166" s="111"/>
      <c r="AK166" s="111"/>
      <c r="AL166" s="111"/>
      <c r="AM166" s="111"/>
      <c r="AN166" s="111"/>
      <c r="AO166" s="111"/>
      <c r="AP166" s="111"/>
      <c r="AQ166" s="111"/>
      <c r="AR166" s="21"/>
      <c r="AS166" s="21"/>
      <c r="AT166" s="21"/>
      <c r="AU166" s="21"/>
      <c r="AV166" s="21"/>
      <c r="AW166" s="21"/>
      <c r="AX166" s="21"/>
      <c r="AY166" s="21"/>
      <c r="AZ166" s="21"/>
      <c r="BA166" s="21"/>
    </row>
    <row r="167" spans="1:53">
      <c r="A167" s="124"/>
      <c r="B167" s="21"/>
      <c r="C167" s="21"/>
      <c r="D167" s="21"/>
      <c r="E167" s="21"/>
      <c r="F167" s="21"/>
      <c r="G167" s="21"/>
      <c r="H167" s="21"/>
      <c r="I167" s="21"/>
      <c r="J167" s="21"/>
      <c r="K167" s="21"/>
      <c r="L167" s="21"/>
      <c r="M167" s="21"/>
      <c r="N167" s="21"/>
      <c r="O167" s="21"/>
      <c r="Q167" s="125"/>
      <c r="R167" s="107">
        <f>'Mia rosa + Org. Finanza'!AG167</f>
        <v>0</v>
      </c>
      <c r="S167" s="107">
        <f>'Mia rosa + Org. Finanza'!AH167</f>
        <v>0</v>
      </c>
      <c r="T167" s="107">
        <f>'Mia rosa + Org. Finanza'!AI167</f>
        <v>0</v>
      </c>
      <c r="U167" s="107">
        <f>'Mia rosa + Org. Finanza'!AJ167</f>
        <v>0</v>
      </c>
      <c r="V167" s="21"/>
      <c r="W167" s="179" t="str">
        <f t="shared" si="15"/>
        <v>Fio</v>
      </c>
      <c r="X167">
        <f t="shared" si="16"/>
        <v>1</v>
      </c>
      <c r="Y167" t="str">
        <f t="shared" si="17"/>
        <v>C1Fio</v>
      </c>
      <c r="Z167" t="s">
        <v>39</v>
      </c>
      <c r="AA167" t="s">
        <v>313</v>
      </c>
      <c r="AB167" s="179" t="s">
        <v>692</v>
      </c>
      <c r="AC167" s="94"/>
      <c r="AD167" s="95"/>
      <c r="AE167" s="111"/>
      <c r="AF167" s="111"/>
      <c r="AG167" s="111"/>
      <c r="AH167" s="111"/>
      <c r="AI167" s="111"/>
      <c r="AJ167" s="111"/>
      <c r="AK167" s="111"/>
      <c r="AL167" s="111"/>
      <c r="AM167" s="111"/>
      <c r="AN167" s="111"/>
      <c r="AO167" s="111"/>
      <c r="AP167" s="111"/>
      <c r="AQ167" s="111"/>
      <c r="AR167" s="21"/>
      <c r="AS167" s="21"/>
      <c r="AT167" s="21"/>
      <c r="AU167" s="21"/>
      <c r="AV167" s="21"/>
      <c r="AW167" s="21"/>
      <c r="AX167" s="21"/>
      <c r="AY167" s="21"/>
      <c r="AZ167" s="21"/>
      <c r="BA167" s="21"/>
    </row>
    <row r="168" spans="1:53" ht="15">
      <c r="A168" s="124"/>
      <c r="B168" s="21"/>
      <c r="C168" s="21"/>
      <c r="D168" s="21"/>
      <c r="E168" s="21"/>
      <c r="F168" s="21"/>
      <c r="G168" s="21"/>
      <c r="H168" s="21"/>
      <c r="I168" s="21"/>
      <c r="J168" s="21"/>
      <c r="K168" s="21"/>
      <c r="L168" s="21"/>
      <c r="M168" s="21"/>
      <c r="N168" s="21"/>
      <c r="O168" s="21"/>
      <c r="Q168" s="125"/>
      <c r="R168" s="107">
        <f>'Mia rosa + Org. Finanza'!AG168</f>
        <v>0</v>
      </c>
      <c r="S168" s="107">
        <f>'Mia rosa + Org. Finanza'!AH168</f>
        <v>0</v>
      </c>
      <c r="T168" s="107">
        <f>'Mia rosa + Org. Finanza'!AI168</f>
        <v>0</v>
      </c>
      <c r="U168" s="107">
        <f>'Mia rosa + Org. Finanza'!AJ168</f>
        <v>0</v>
      </c>
      <c r="V168" s="21"/>
      <c r="W168" s="179" t="str">
        <f t="shared" si="15"/>
        <v>Fio</v>
      </c>
      <c r="X168">
        <f t="shared" si="16"/>
        <v>2</v>
      </c>
      <c r="Y168" t="str">
        <f t="shared" si="17"/>
        <v>C2Fio</v>
      </c>
      <c r="Z168" s="193" t="s">
        <v>39</v>
      </c>
      <c r="AA168" s="193" t="s">
        <v>337</v>
      </c>
      <c r="AB168" s="179" t="s">
        <v>692</v>
      </c>
      <c r="AC168" s="94"/>
      <c r="AD168" s="95"/>
      <c r="AE168" s="111"/>
      <c r="AF168" s="111"/>
      <c r="AG168" s="111"/>
      <c r="AH168" s="111"/>
      <c r="AI168" s="111"/>
      <c r="AJ168" s="111"/>
      <c r="AK168" s="111"/>
      <c r="AL168" s="111"/>
      <c r="AM168" s="111"/>
      <c r="AN168" s="111"/>
      <c r="AO168" s="111"/>
      <c r="AP168" s="111"/>
      <c r="AQ168" s="111"/>
      <c r="AR168" s="21"/>
      <c r="AS168" s="21"/>
      <c r="AT168" s="21"/>
      <c r="AU168" s="21"/>
      <c r="AV168" s="21"/>
      <c r="AW168" s="21"/>
      <c r="AX168" s="21"/>
      <c r="AY168" s="21"/>
      <c r="AZ168" s="21"/>
      <c r="BA168" s="21"/>
    </row>
    <row r="169" spans="1:53" ht="15">
      <c r="A169" s="124"/>
      <c r="B169" s="21"/>
      <c r="C169" s="21"/>
      <c r="D169" s="21"/>
      <c r="E169" s="21"/>
      <c r="F169" s="21"/>
      <c r="G169" s="21"/>
      <c r="H169" s="21"/>
      <c r="I169" s="21"/>
      <c r="J169" s="21"/>
      <c r="K169" s="21"/>
      <c r="L169" s="21"/>
      <c r="M169" s="21"/>
      <c r="N169" s="21"/>
      <c r="O169" s="21"/>
      <c r="Q169" s="125"/>
      <c r="R169" s="107">
        <f>'Mia rosa + Org. Finanza'!AG169</f>
        <v>0</v>
      </c>
      <c r="S169" s="107">
        <f>'Mia rosa + Org. Finanza'!AH169</f>
        <v>0</v>
      </c>
      <c r="T169" s="107">
        <f>'Mia rosa + Org. Finanza'!AI169</f>
        <v>0</v>
      </c>
      <c r="U169" s="107">
        <f>'Mia rosa + Org. Finanza'!AJ169</f>
        <v>0</v>
      </c>
      <c r="V169" s="21"/>
      <c r="W169" s="179" t="str">
        <f t="shared" si="15"/>
        <v>Fio</v>
      </c>
      <c r="X169">
        <f t="shared" si="16"/>
        <v>3</v>
      </c>
      <c r="Y169" t="str">
        <f t="shared" si="17"/>
        <v>C3Fio</v>
      </c>
      <c r="Z169" s="193" t="s">
        <v>39</v>
      </c>
      <c r="AA169" s="193" t="s">
        <v>335</v>
      </c>
      <c r="AB169" s="179" t="s">
        <v>692</v>
      </c>
      <c r="AC169" s="94"/>
      <c r="AD169" s="95"/>
      <c r="AE169" s="111"/>
      <c r="AF169" s="111"/>
      <c r="AG169" s="111"/>
      <c r="AH169" s="111"/>
      <c r="AI169" s="111"/>
      <c r="AJ169" s="111"/>
      <c r="AK169" s="111"/>
      <c r="AL169" s="111"/>
      <c r="AM169" s="111"/>
      <c r="AN169" s="111"/>
      <c r="AO169" s="111"/>
      <c r="AP169" s="111"/>
      <c r="AQ169" s="111"/>
      <c r="AR169" s="21"/>
      <c r="AS169" s="21"/>
      <c r="AT169" s="21"/>
      <c r="AU169" s="21"/>
      <c r="AV169" s="21"/>
      <c r="AW169" s="21"/>
      <c r="AX169" s="21"/>
      <c r="AY169" s="21"/>
      <c r="AZ169" s="21"/>
      <c r="BA169" s="21"/>
    </row>
    <row r="170" spans="1:53" ht="15">
      <c r="Q170" s="125"/>
      <c r="R170" s="107">
        <f>'Mia rosa + Org. Finanza'!AG170</f>
        <v>0</v>
      </c>
      <c r="S170" s="107">
        <f>'Mia rosa + Org. Finanza'!AH170</f>
        <v>0</v>
      </c>
      <c r="T170" s="107">
        <f>'Mia rosa + Org. Finanza'!AI170</f>
        <v>0</v>
      </c>
      <c r="U170" s="107">
        <f>'Mia rosa + Org. Finanza'!AJ170</f>
        <v>0</v>
      </c>
      <c r="W170" s="179" t="str">
        <f t="shared" si="15"/>
        <v>Fio</v>
      </c>
      <c r="X170">
        <f t="shared" si="16"/>
        <v>4</v>
      </c>
      <c r="Y170" t="str">
        <f t="shared" si="17"/>
        <v>C4Fio</v>
      </c>
      <c r="Z170" s="193" t="s">
        <v>39</v>
      </c>
      <c r="AA170" s="193" t="s">
        <v>1338</v>
      </c>
      <c r="AB170" s="179" t="s">
        <v>692</v>
      </c>
      <c r="AC170" s="94"/>
      <c r="AD170" s="95"/>
      <c r="AE170" s="111"/>
      <c r="AF170" s="111"/>
      <c r="AG170" s="111"/>
      <c r="AH170" s="111"/>
      <c r="AI170" s="111"/>
      <c r="AJ170" s="111"/>
      <c r="AK170" s="111"/>
      <c r="AL170" s="111"/>
      <c r="AM170" s="111"/>
      <c r="AN170" s="111"/>
      <c r="AO170" s="111"/>
      <c r="AP170" s="111"/>
      <c r="AQ170" s="111"/>
    </row>
    <row r="171" spans="1:53" ht="15">
      <c r="Q171" s="125"/>
      <c r="R171" s="107">
        <f>'Mia rosa + Org. Finanza'!AG171</f>
        <v>0</v>
      </c>
      <c r="S171" s="107">
        <f>'Mia rosa + Org. Finanza'!AH171</f>
        <v>0</v>
      </c>
      <c r="T171" s="107">
        <f>'Mia rosa + Org. Finanza'!AI171</f>
        <v>0</v>
      </c>
      <c r="U171" s="107">
        <f>'Mia rosa + Org. Finanza'!AJ171</f>
        <v>0</v>
      </c>
      <c r="W171" s="179" t="str">
        <f t="shared" si="15"/>
        <v>Fio</v>
      </c>
      <c r="X171">
        <f t="shared" si="16"/>
        <v>5</v>
      </c>
      <c r="Y171" t="str">
        <f t="shared" si="17"/>
        <v>C5Fio</v>
      </c>
      <c r="Z171" s="193" t="s">
        <v>39</v>
      </c>
      <c r="AA171" s="193" t="s">
        <v>1925</v>
      </c>
      <c r="AB171" s="179" t="s">
        <v>692</v>
      </c>
      <c r="AC171" s="94"/>
      <c r="AD171" s="95"/>
      <c r="AE171" s="111"/>
      <c r="AF171" s="111"/>
      <c r="AG171" s="111"/>
      <c r="AH171" s="111"/>
      <c r="AI171" s="111"/>
      <c r="AJ171" s="111"/>
      <c r="AK171" s="111"/>
      <c r="AL171" s="111"/>
      <c r="AM171" s="111"/>
      <c r="AN171" s="111"/>
      <c r="AO171" s="111"/>
      <c r="AP171" s="111"/>
      <c r="AQ171" s="111"/>
    </row>
    <row r="172" spans="1:53" ht="15">
      <c r="R172" s="107">
        <f>'Mia rosa + Org. Finanza'!AG172</f>
        <v>0</v>
      </c>
      <c r="S172" s="107">
        <f>'Mia rosa + Org. Finanza'!AH172</f>
        <v>0</v>
      </c>
      <c r="T172" s="107">
        <f>'Mia rosa + Org. Finanza'!AI172</f>
        <v>0</v>
      </c>
      <c r="U172" s="107">
        <f>'Mia rosa + Org. Finanza'!AJ172</f>
        <v>0</v>
      </c>
      <c r="W172" s="179" t="str">
        <f t="shared" si="15"/>
        <v>Fio</v>
      </c>
      <c r="X172">
        <f t="shared" si="16"/>
        <v>6</v>
      </c>
      <c r="Y172" t="str">
        <f t="shared" si="17"/>
        <v>C6Fio</v>
      </c>
      <c r="Z172" s="193" t="s">
        <v>39</v>
      </c>
      <c r="AA172" s="193" t="s">
        <v>1298</v>
      </c>
      <c r="AB172" s="179" t="s">
        <v>692</v>
      </c>
      <c r="AC172" s="94"/>
      <c r="AD172" s="95"/>
      <c r="AE172" s="111"/>
      <c r="AF172" s="111"/>
      <c r="AG172" s="111"/>
      <c r="AH172" s="111"/>
      <c r="AI172" s="111"/>
      <c r="AJ172" s="111"/>
      <c r="AK172" s="111"/>
      <c r="AL172" s="111"/>
      <c r="AM172" s="111"/>
      <c r="AN172" s="111"/>
      <c r="AO172" s="111"/>
      <c r="AP172" s="111"/>
      <c r="AQ172" s="111"/>
    </row>
    <row r="173" spans="1:53" ht="15">
      <c r="R173" s="107">
        <f>'Mia rosa + Org. Finanza'!AG173</f>
        <v>0</v>
      </c>
      <c r="S173" s="107">
        <f>'Mia rosa + Org. Finanza'!AH173</f>
        <v>0</v>
      </c>
      <c r="T173" s="107">
        <f>'Mia rosa + Org. Finanza'!AI173</f>
        <v>0</v>
      </c>
      <c r="U173" s="107">
        <f>'Mia rosa + Org. Finanza'!AJ173</f>
        <v>0</v>
      </c>
      <c r="W173" s="179" t="str">
        <f t="shared" si="15"/>
        <v>Fio</v>
      </c>
      <c r="X173">
        <f t="shared" si="16"/>
        <v>7</v>
      </c>
      <c r="Y173" t="str">
        <f t="shared" si="17"/>
        <v>C7Fio</v>
      </c>
      <c r="Z173" s="193" t="s">
        <v>39</v>
      </c>
      <c r="AA173" s="193" t="s">
        <v>1937</v>
      </c>
      <c r="AB173" s="179" t="s">
        <v>692</v>
      </c>
      <c r="AC173" s="94"/>
      <c r="AD173" s="95"/>
      <c r="AE173" s="111"/>
      <c r="AF173" s="111"/>
      <c r="AG173" s="111"/>
      <c r="AH173" s="111"/>
      <c r="AI173" s="111"/>
      <c r="AJ173" s="111"/>
      <c r="AK173" s="111"/>
      <c r="AL173" s="111"/>
      <c r="AM173" s="111"/>
      <c r="AN173" s="111"/>
      <c r="AO173" s="111"/>
      <c r="AP173" s="111"/>
      <c r="AQ173" s="111"/>
    </row>
    <row r="174" spans="1:53" ht="15">
      <c r="R174" s="107">
        <f>'Mia rosa + Org. Finanza'!AG174</f>
        <v>0</v>
      </c>
      <c r="S174" s="107">
        <f>'Mia rosa + Org. Finanza'!AH174</f>
        <v>0</v>
      </c>
      <c r="T174" s="107">
        <f>'Mia rosa + Org. Finanza'!AI174</f>
        <v>0</v>
      </c>
      <c r="U174" s="107">
        <f>'Mia rosa + Org. Finanza'!AJ174</f>
        <v>0</v>
      </c>
      <c r="W174" s="179" t="str">
        <f t="shared" si="15"/>
        <v>Fio</v>
      </c>
      <c r="X174">
        <f t="shared" si="16"/>
        <v>8</v>
      </c>
      <c r="Y174" t="str">
        <f t="shared" si="17"/>
        <v>C8Fio</v>
      </c>
      <c r="Z174" s="193" t="s">
        <v>39</v>
      </c>
      <c r="AA174" s="193" t="s">
        <v>926</v>
      </c>
      <c r="AB174" s="179" t="s">
        <v>692</v>
      </c>
      <c r="AC174" s="94"/>
      <c r="AD174" s="95"/>
      <c r="AE174" s="111"/>
      <c r="AF174" s="111"/>
      <c r="AG174" s="111"/>
      <c r="AH174" s="111"/>
      <c r="AI174" s="111"/>
      <c r="AJ174" s="111"/>
      <c r="AK174" s="111"/>
      <c r="AL174" s="111"/>
      <c r="AM174" s="111"/>
      <c r="AN174" s="111"/>
      <c r="AO174" s="111"/>
      <c r="AP174" s="111"/>
      <c r="AQ174" s="111"/>
    </row>
    <row r="175" spans="1:53" ht="15">
      <c r="R175" s="107">
        <f>'Mia rosa + Org. Finanza'!AG175</f>
        <v>0</v>
      </c>
      <c r="S175" s="107">
        <f>'Mia rosa + Org. Finanza'!AH175</f>
        <v>0</v>
      </c>
      <c r="T175" s="107">
        <f>'Mia rosa + Org. Finanza'!AI175</f>
        <v>0</v>
      </c>
      <c r="U175" s="107">
        <f>'Mia rosa + Org. Finanza'!AJ175</f>
        <v>0</v>
      </c>
      <c r="W175" s="179" t="str">
        <f t="shared" si="15"/>
        <v>Fio</v>
      </c>
      <c r="X175">
        <f t="shared" si="16"/>
        <v>9</v>
      </c>
      <c r="Y175" t="str">
        <f t="shared" si="17"/>
        <v>C9Fio</v>
      </c>
      <c r="Z175" s="193" t="s">
        <v>39</v>
      </c>
      <c r="AA175" s="193" t="s">
        <v>1280</v>
      </c>
      <c r="AB175" s="179" t="s">
        <v>692</v>
      </c>
      <c r="AC175" s="94"/>
      <c r="AD175" s="95"/>
      <c r="AE175" s="111"/>
      <c r="AF175" s="111"/>
      <c r="AG175" s="111"/>
      <c r="AH175" s="111"/>
      <c r="AI175" s="111"/>
      <c r="AJ175" s="111"/>
      <c r="AK175" s="111"/>
      <c r="AL175" s="111"/>
      <c r="AM175" s="111"/>
      <c r="AN175" s="111"/>
      <c r="AO175" s="111"/>
      <c r="AP175" s="111"/>
      <c r="AQ175" s="111"/>
    </row>
    <row r="176" spans="1:53" ht="15">
      <c r="R176" s="107">
        <f>'Mia rosa + Org. Finanza'!AG176</f>
        <v>0</v>
      </c>
      <c r="S176" s="107">
        <f>'Mia rosa + Org. Finanza'!AH176</f>
        <v>0</v>
      </c>
      <c r="T176" s="107">
        <f>'Mia rosa + Org. Finanza'!AI176</f>
        <v>0</v>
      </c>
      <c r="U176" s="107">
        <f>'Mia rosa + Org. Finanza'!AJ176</f>
        <v>0</v>
      </c>
      <c r="W176" s="179" t="str">
        <f t="shared" si="15"/>
        <v>Fio</v>
      </c>
      <c r="X176">
        <f t="shared" si="16"/>
        <v>10</v>
      </c>
      <c r="Y176" t="str">
        <f t="shared" si="17"/>
        <v>C10Fio</v>
      </c>
      <c r="Z176" s="193" t="s">
        <v>39</v>
      </c>
      <c r="AA176" s="193" t="s">
        <v>600</v>
      </c>
      <c r="AB176" s="179" t="s">
        <v>692</v>
      </c>
      <c r="AC176" s="94"/>
      <c r="AD176" s="95"/>
      <c r="AE176" s="111"/>
      <c r="AF176" s="111"/>
      <c r="AG176" s="111"/>
      <c r="AH176" s="111"/>
      <c r="AI176" s="111"/>
      <c r="AJ176" s="111"/>
      <c r="AK176" s="111"/>
      <c r="AL176" s="111"/>
      <c r="AM176" s="111"/>
      <c r="AN176" s="111"/>
      <c r="AO176" s="111"/>
      <c r="AP176" s="111"/>
      <c r="AQ176" s="111"/>
    </row>
    <row r="177" spans="18:43" ht="15">
      <c r="R177" s="107">
        <f>'Mia rosa + Org. Finanza'!AG177</f>
        <v>0</v>
      </c>
      <c r="S177" s="107">
        <f>'Mia rosa + Org. Finanza'!AH177</f>
        <v>0</v>
      </c>
      <c r="T177" s="107">
        <f>'Mia rosa + Org. Finanza'!AI177</f>
        <v>0</v>
      </c>
      <c r="U177" s="107">
        <f>'Mia rosa + Org. Finanza'!AJ177</f>
        <v>0</v>
      </c>
      <c r="W177" s="179" t="str">
        <f t="shared" si="15"/>
        <v>Fio</v>
      </c>
      <c r="X177">
        <f t="shared" si="16"/>
        <v>11</v>
      </c>
      <c r="Y177" t="str">
        <f t="shared" si="17"/>
        <v>C11Fio</v>
      </c>
      <c r="Z177" s="193" t="s">
        <v>39</v>
      </c>
      <c r="AA177" s="193" t="s">
        <v>1737</v>
      </c>
      <c r="AB177" s="179" t="s">
        <v>692</v>
      </c>
      <c r="AC177" s="94"/>
      <c r="AD177" s="95"/>
      <c r="AE177" s="111"/>
      <c r="AF177" s="111"/>
      <c r="AG177" s="111"/>
      <c r="AH177" s="111"/>
      <c r="AI177" s="111"/>
      <c r="AJ177" s="111"/>
      <c r="AK177" s="111"/>
      <c r="AL177" s="111"/>
      <c r="AM177" s="111"/>
      <c r="AN177" s="111"/>
      <c r="AO177" s="111"/>
      <c r="AP177" s="111"/>
      <c r="AQ177" s="111"/>
    </row>
    <row r="178" spans="18:43" ht="15">
      <c r="R178" s="107">
        <f>'Mia rosa + Org. Finanza'!AG178</f>
        <v>0</v>
      </c>
      <c r="S178" s="107">
        <f>'Mia rosa + Org. Finanza'!AH178</f>
        <v>0</v>
      </c>
      <c r="T178" s="107">
        <f>'Mia rosa + Org. Finanza'!AI178</f>
        <v>0</v>
      </c>
      <c r="U178" s="107">
        <f>'Mia rosa + Org. Finanza'!AJ178</f>
        <v>0</v>
      </c>
      <c r="W178" s="179" t="str">
        <f t="shared" si="15"/>
        <v>Fio</v>
      </c>
      <c r="X178">
        <f t="shared" si="16"/>
        <v>1</v>
      </c>
      <c r="Y178" t="str">
        <f t="shared" si="17"/>
        <v>D1Fio</v>
      </c>
      <c r="Z178" s="193" t="s">
        <v>37</v>
      </c>
      <c r="AA178" s="193" t="s">
        <v>336</v>
      </c>
      <c r="AB178" s="179" t="s">
        <v>692</v>
      </c>
      <c r="AC178" s="94"/>
      <c r="AD178" s="95"/>
      <c r="AE178" s="111"/>
      <c r="AF178" s="111"/>
      <c r="AG178" s="111"/>
      <c r="AH178" s="111"/>
      <c r="AI178" s="111"/>
      <c r="AJ178" s="111"/>
      <c r="AK178" s="111"/>
      <c r="AL178" s="111"/>
      <c r="AM178" s="111"/>
      <c r="AN178" s="111"/>
      <c r="AO178" s="111"/>
      <c r="AP178" s="111"/>
      <c r="AQ178" s="111"/>
    </row>
    <row r="179" spans="18:43" ht="15">
      <c r="R179" s="107">
        <f>'Mia rosa + Org. Finanza'!AG179</f>
        <v>0</v>
      </c>
      <c r="S179" s="107">
        <f>'Mia rosa + Org. Finanza'!AH179</f>
        <v>0</v>
      </c>
      <c r="T179" s="107">
        <f>'Mia rosa + Org. Finanza'!AI179</f>
        <v>0</v>
      </c>
      <c r="U179" s="107">
        <f>'Mia rosa + Org. Finanza'!AJ179</f>
        <v>0</v>
      </c>
      <c r="W179" s="179" t="str">
        <f t="shared" si="15"/>
        <v>Fio</v>
      </c>
      <c r="X179">
        <f t="shared" si="16"/>
        <v>2</v>
      </c>
      <c r="Y179" t="str">
        <f t="shared" si="17"/>
        <v>D2Fio</v>
      </c>
      <c r="Z179" s="193" t="s">
        <v>37</v>
      </c>
      <c r="AA179" s="193" t="s">
        <v>364</v>
      </c>
      <c r="AB179" s="179" t="s">
        <v>692</v>
      </c>
      <c r="AC179" s="94"/>
      <c r="AD179" s="95"/>
      <c r="AE179" s="111"/>
      <c r="AF179" s="111"/>
      <c r="AG179" s="111"/>
      <c r="AH179" s="111"/>
      <c r="AI179" s="111"/>
      <c r="AJ179" s="111"/>
      <c r="AK179" s="111"/>
      <c r="AL179" s="111"/>
      <c r="AM179" s="111"/>
      <c r="AN179" s="111"/>
      <c r="AO179" s="111"/>
      <c r="AP179" s="111"/>
      <c r="AQ179" s="111"/>
    </row>
    <row r="180" spans="18:43" ht="15">
      <c r="R180" s="107">
        <f>'Mia rosa + Org. Finanza'!AG180</f>
        <v>0</v>
      </c>
      <c r="S180" s="107">
        <f>'Mia rosa + Org. Finanza'!AH180</f>
        <v>0</v>
      </c>
      <c r="T180" s="107">
        <f>'Mia rosa + Org. Finanza'!AI180</f>
        <v>0</v>
      </c>
      <c r="U180" s="107">
        <f>'Mia rosa + Org. Finanza'!AJ180</f>
        <v>0</v>
      </c>
      <c r="W180" s="179" t="str">
        <f t="shared" si="15"/>
        <v>Fio</v>
      </c>
      <c r="X180">
        <f t="shared" si="16"/>
        <v>3</v>
      </c>
      <c r="Y180" t="str">
        <f t="shared" si="17"/>
        <v>D3Fio</v>
      </c>
      <c r="Z180" s="193" t="s">
        <v>37</v>
      </c>
      <c r="AA180" s="193" t="s">
        <v>1695</v>
      </c>
      <c r="AB180" s="179" t="s">
        <v>692</v>
      </c>
      <c r="AC180" s="94"/>
      <c r="AD180" s="95"/>
      <c r="AE180" s="111"/>
      <c r="AF180" s="111"/>
      <c r="AG180" s="111"/>
      <c r="AH180" s="111"/>
      <c r="AI180" s="111"/>
      <c r="AJ180" s="111"/>
      <c r="AK180" s="111"/>
      <c r="AL180" s="111"/>
      <c r="AM180" s="111"/>
      <c r="AN180" s="111"/>
      <c r="AO180" s="111"/>
      <c r="AP180" s="111"/>
      <c r="AQ180" s="111"/>
    </row>
    <row r="181" spans="18:43" ht="15">
      <c r="R181" s="107">
        <f>'Mia rosa + Org. Finanza'!AG181</f>
        <v>0</v>
      </c>
      <c r="S181" s="107">
        <f>'Mia rosa + Org. Finanza'!AH181</f>
        <v>0</v>
      </c>
      <c r="T181" s="107">
        <f>'Mia rosa + Org. Finanza'!AI181</f>
        <v>0</v>
      </c>
      <c r="U181" s="107">
        <f>'Mia rosa + Org. Finanza'!AJ181</f>
        <v>0</v>
      </c>
      <c r="W181" s="179" t="str">
        <f t="shared" si="15"/>
        <v>Fio</v>
      </c>
      <c r="X181">
        <f t="shared" si="16"/>
        <v>4</v>
      </c>
      <c r="Y181" t="str">
        <f t="shared" si="17"/>
        <v>D4Fio</v>
      </c>
      <c r="Z181" s="193" t="s">
        <v>37</v>
      </c>
      <c r="AA181" s="193" t="s">
        <v>1823</v>
      </c>
      <c r="AB181" s="179" t="s">
        <v>692</v>
      </c>
      <c r="AC181" s="94"/>
      <c r="AD181" s="95"/>
      <c r="AE181" s="111"/>
      <c r="AF181" s="111"/>
      <c r="AG181" s="111"/>
      <c r="AH181" s="111"/>
      <c r="AI181" s="111"/>
      <c r="AJ181" s="111"/>
      <c r="AK181" s="111"/>
      <c r="AL181" s="111"/>
      <c r="AM181" s="111"/>
      <c r="AN181" s="111"/>
      <c r="AO181" s="111"/>
      <c r="AP181" s="111"/>
      <c r="AQ181" s="111"/>
    </row>
    <row r="182" spans="18:43" ht="15">
      <c r="R182" s="107">
        <f>'Mia rosa + Org. Finanza'!AG182</f>
        <v>0</v>
      </c>
      <c r="S182" s="107">
        <f>'Mia rosa + Org. Finanza'!AH182</f>
        <v>0</v>
      </c>
      <c r="T182" s="107">
        <f>'Mia rosa + Org. Finanza'!AI182</f>
        <v>0</v>
      </c>
      <c r="U182" s="107">
        <f>'Mia rosa + Org. Finanza'!AJ182</f>
        <v>0</v>
      </c>
      <c r="W182" s="179" t="str">
        <f t="shared" si="15"/>
        <v>Fio</v>
      </c>
      <c r="X182">
        <f t="shared" si="16"/>
        <v>5</v>
      </c>
      <c r="Y182" t="str">
        <f t="shared" si="17"/>
        <v>D5Fio</v>
      </c>
      <c r="Z182" s="193" t="s">
        <v>37</v>
      </c>
      <c r="AA182" s="193" t="s">
        <v>1965</v>
      </c>
      <c r="AB182" s="179" t="s">
        <v>692</v>
      </c>
      <c r="AC182" s="94"/>
      <c r="AD182" s="95"/>
      <c r="AE182" s="111"/>
      <c r="AF182" s="111"/>
      <c r="AG182" s="111"/>
      <c r="AH182" s="111"/>
      <c r="AI182" s="111"/>
      <c r="AJ182" s="111"/>
      <c r="AK182" s="111"/>
      <c r="AL182" s="111"/>
      <c r="AM182" s="111"/>
      <c r="AN182" s="111"/>
      <c r="AO182" s="111"/>
      <c r="AP182" s="111"/>
      <c r="AQ182" s="111"/>
    </row>
    <row r="183" spans="18:43" ht="15">
      <c r="R183" s="107">
        <f>'Mia rosa + Org. Finanza'!AG183</f>
        <v>0</v>
      </c>
      <c r="S183" s="107">
        <f>'Mia rosa + Org. Finanza'!AH183</f>
        <v>0</v>
      </c>
      <c r="T183" s="107">
        <f>'Mia rosa + Org. Finanza'!AI183</f>
        <v>0</v>
      </c>
      <c r="U183" s="107">
        <f>'Mia rosa + Org. Finanza'!AJ183</f>
        <v>0</v>
      </c>
      <c r="W183" s="179" t="str">
        <f t="shared" si="15"/>
        <v>Fio</v>
      </c>
      <c r="X183">
        <f t="shared" si="16"/>
        <v>6</v>
      </c>
      <c r="Y183" t="str">
        <f t="shared" si="17"/>
        <v>D6Fio</v>
      </c>
      <c r="Z183" s="193" t="s">
        <v>37</v>
      </c>
      <c r="AA183" s="193" t="s">
        <v>1698</v>
      </c>
      <c r="AB183" s="179" t="s">
        <v>692</v>
      </c>
      <c r="AC183" s="94"/>
      <c r="AD183" s="95"/>
      <c r="AE183" s="111"/>
      <c r="AF183" s="111"/>
      <c r="AG183" s="111"/>
      <c r="AH183" s="111"/>
      <c r="AI183" s="111"/>
      <c r="AJ183" s="111"/>
      <c r="AK183" s="111"/>
      <c r="AL183" s="111"/>
      <c r="AM183" s="111"/>
      <c r="AN183" s="111"/>
      <c r="AO183" s="111"/>
      <c r="AP183" s="111"/>
      <c r="AQ183" s="111"/>
    </row>
    <row r="184" spans="18:43" ht="15">
      <c r="R184" s="107">
        <f>'Mia rosa + Org. Finanza'!AG184</f>
        <v>0</v>
      </c>
      <c r="S184" s="107">
        <f>'Mia rosa + Org. Finanza'!AH184</f>
        <v>0</v>
      </c>
      <c r="T184" s="107">
        <f>'Mia rosa + Org. Finanza'!AI184</f>
        <v>0</v>
      </c>
      <c r="U184" s="107">
        <f>'Mia rosa + Org. Finanza'!AJ184</f>
        <v>0</v>
      </c>
      <c r="W184" s="179" t="str">
        <f t="shared" si="15"/>
        <v>Fio</v>
      </c>
      <c r="X184">
        <f t="shared" si="16"/>
        <v>7</v>
      </c>
      <c r="Y184" t="str">
        <f t="shared" si="17"/>
        <v>D7Fio</v>
      </c>
      <c r="Z184" s="193" t="s">
        <v>37</v>
      </c>
      <c r="AA184" s="193" t="s">
        <v>1342</v>
      </c>
      <c r="AB184" s="179" t="s">
        <v>692</v>
      </c>
      <c r="AC184" s="94"/>
      <c r="AD184"/>
      <c r="AE184" s="111"/>
      <c r="AF184" s="111"/>
      <c r="AG184" s="111"/>
      <c r="AH184" s="111"/>
      <c r="AI184" s="111"/>
      <c r="AJ184" s="111"/>
      <c r="AK184" s="111"/>
      <c r="AL184" s="111"/>
      <c r="AM184" s="111"/>
      <c r="AN184" s="111"/>
      <c r="AO184" s="111"/>
      <c r="AP184" s="111"/>
      <c r="AQ184" s="111"/>
    </row>
    <row r="185" spans="18:43" ht="15">
      <c r="R185" s="107">
        <f>'Mia rosa + Org. Finanza'!AG185</f>
        <v>0</v>
      </c>
      <c r="S185" s="107">
        <f>'Mia rosa + Org. Finanza'!AH185</f>
        <v>0</v>
      </c>
      <c r="T185" s="107">
        <f>'Mia rosa + Org. Finanza'!AI185</f>
        <v>0</v>
      </c>
      <c r="U185" s="107">
        <f>'Mia rosa + Org. Finanza'!AJ185</f>
        <v>0</v>
      </c>
      <c r="W185" s="179" t="str">
        <f t="shared" si="15"/>
        <v>Fio</v>
      </c>
      <c r="X185">
        <f t="shared" si="16"/>
        <v>8</v>
      </c>
      <c r="Y185" t="str">
        <f t="shared" si="17"/>
        <v>D8Fio</v>
      </c>
      <c r="Z185" s="193" t="s">
        <v>37</v>
      </c>
      <c r="AA185" s="193" t="s">
        <v>1939</v>
      </c>
      <c r="AB185" s="179" t="s">
        <v>692</v>
      </c>
      <c r="AC185" s="94"/>
      <c r="AD185" s="95"/>
      <c r="AE185" s="111"/>
      <c r="AF185" s="111"/>
      <c r="AG185" s="111"/>
      <c r="AH185" s="111"/>
      <c r="AI185" s="111"/>
      <c r="AJ185" s="111"/>
      <c r="AK185" s="111"/>
      <c r="AL185" s="111"/>
      <c r="AM185" s="111"/>
      <c r="AN185" s="111"/>
      <c r="AO185" s="111"/>
      <c r="AP185" s="111"/>
      <c r="AQ185" s="111"/>
    </row>
    <row r="186" spans="18:43" ht="15">
      <c r="R186" s="107">
        <f>'Mia rosa + Org. Finanza'!AG186</f>
        <v>0</v>
      </c>
      <c r="S186" s="107">
        <f>'Mia rosa + Org. Finanza'!AH186</f>
        <v>0</v>
      </c>
      <c r="T186" s="107">
        <f>'Mia rosa + Org. Finanza'!AI186</f>
        <v>0</v>
      </c>
      <c r="U186" s="107">
        <f>'Mia rosa + Org. Finanza'!AJ186</f>
        <v>0</v>
      </c>
      <c r="W186" s="179" t="str">
        <f t="shared" si="15"/>
        <v>Fio</v>
      </c>
      <c r="X186">
        <f t="shared" si="16"/>
        <v>9</v>
      </c>
      <c r="Y186" t="str">
        <f t="shared" si="17"/>
        <v>D9Fio</v>
      </c>
      <c r="Z186" s="193" t="s">
        <v>37</v>
      </c>
      <c r="AA186" s="193" t="s">
        <v>1850</v>
      </c>
      <c r="AB186" s="179" t="s">
        <v>692</v>
      </c>
      <c r="AC186" s="94"/>
      <c r="AD186" s="95"/>
      <c r="AE186" s="111"/>
      <c r="AF186" s="111"/>
      <c r="AG186" s="111"/>
      <c r="AH186" s="111"/>
      <c r="AI186" s="111"/>
      <c r="AJ186" s="111"/>
      <c r="AK186" s="111"/>
      <c r="AL186" s="111"/>
      <c r="AM186" s="111"/>
      <c r="AN186" s="111"/>
      <c r="AO186" s="111"/>
      <c r="AP186" s="111"/>
      <c r="AQ186" s="111"/>
    </row>
    <row r="187" spans="18:43" ht="15">
      <c r="R187" s="107">
        <f>'Mia rosa + Org. Finanza'!AG187</f>
        <v>0</v>
      </c>
      <c r="S187" s="107">
        <f>'Mia rosa + Org. Finanza'!AH187</f>
        <v>0</v>
      </c>
      <c r="T187" s="107">
        <f>'Mia rosa + Org. Finanza'!AI187</f>
        <v>0</v>
      </c>
      <c r="U187" s="107">
        <f>'Mia rosa + Org. Finanza'!AJ187</f>
        <v>0</v>
      </c>
      <c r="W187" s="179" t="str">
        <f t="shared" si="15"/>
        <v>Fio</v>
      </c>
      <c r="X187">
        <f t="shared" si="16"/>
        <v>1</v>
      </c>
      <c r="Y187" t="str">
        <f t="shared" si="17"/>
        <v>P1Fio</v>
      </c>
      <c r="Z187" s="193" t="s">
        <v>35</v>
      </c>
      <c r="AA187" s="193" t="s">
        <v>1934</v>
      </c>
      <c r="AB187" s="179" t="s">
        <v>692</v>
      </c>
      <c r="AC187" s="94"/>
      <c r="AD187" s="95"/>
      <c r="AE187" s="111"/>
      <c r="AF187" s="111"/>
      <c r="AG187" s="111"/>
      <c r="AH187" s="111"/>
      <c r="AI187" s="111"/>
      <c r="AJ187" s="111"/>
      <c r="AK187" s="111"/>
      <c r="AL187" s="111"/>
      <c r="AM187" s="111"/>
      <c r="AN187" s="111"/>
      <c r="AO187" s="111"/>
      <c r="AP187" s="111"/>
      <c r="AQ187" s="111"/>
    </row>
    <row r="188" spans="18:43" ht="15">
      <c r="R188" s="107">
        <f>'Mia rosa + Org. Finanza'!AG188</f>
        <v>0</v>
      </c>
      <c r="S188" s="107">
        <f>'Mia rosa + Org. Finanza'!AH188</f>
        <v>0</v>
      </c>
      <c r="T188" s="107">
        <f>'Mia rosa + Org. Finanza'!AI188</f>
        <v>0</v>
      </c>
      <c r="U188" s="107">
        <f>'Mia rosa + Org. Finanza'!AJ188</f>
        <v>0</v>
      </c>
      <c r="W188" s="179" t="str">
        <f t="shared" si="15"/>
        <v>Fio</v>
      </c>
      <c r="X188">
        <f t="shared" si="16"/>
        <v>2</v>
      </c>
      <c r="Y188" t="str">
        <f t="shared" si="17"/>
        <v>P2Fio</v>
      </c>
      <c r="Z188" s="193" t="s">
        <v>35</v>
      </c>
      <c r="AA188" s="193" t="s">
        <v>338</v>
      </c>
      <c r="AB188" s="179" t="s">
        <v>692</v>
      </c>
      <c r="AC188" s="94"/>
      <c r="AD188" s="95"/>
      <c r="AE188" s="111"/>
      <c r="AF188" s="111"/>
      <c r="AG188" s="111"/>
      <c r="AH188" s="111"/>
      <c r="AI188" s="111"/>
      <c r="AJ188" s="111"/>
      <c r="AK188" s="111"/>
      <c r="AL188" s="111"/>
      <c r="AM188" s="111"/>
      <c r="AN188" s="111"/>
      <c r="AO188" s="111"/>
      <c r="AP188" s="111"/>
      <c r="AQ188" s="111"/>
    </row>
    <row r="189" spans="18:43" ht="15">
      <c r="R189" s="107">
        <f>'Mia rosa + Org. Finanza'!AG189</f>
        <v>0</v>
      </c>
      <c r="S189" s="107">
        <f>'Mia rosa + Org. Finanza'!AH189</f>
        <v>0</v>
      </c>
      <c r="T189" s="107">
        <f>'Mia rosa + Org. Finanza'!AI189</f>
        <v>0</v>
      </c>
      <c r="U189" s="107">
        <f>'Mia rosa + Org. Finanza'!AJ189</f>
        <v>0</v>
      </c>
      <c r="W189" s="179" t="str">
        <f t="shared" si="15"/>
        <v>Fio</v>
      </c>
      <c r="X189">
        <f t="shared" si="16"/>
        <v>3</v>
      </c>
      <c r="Y189" t="str">
        <f t="shared" si="17"/>
        <v>P3Fio</v>
      </c>
      <c r="Z189" s="193" t="s">
        <v>35</v>
      </c>
      <c r="AA189" s="193" t="s">
        <v>432</v>
      </c>
      <c r="AB189" s="179" t="s">
        <v>692</v>
      </c>
      <c r="AC189" s="94"/>
      <c r="AD189" s="95"/>
      <c r="AE189" s="111"/>
      <c r="AF189" s="111"/>
      <c r="AG189" s="111"/>
      <c r="AH189" s="111"/>
      <c r="AI189" s="111"/>
      <c r="AJ189" s="111"/>
      <c r="AK189" s="111"/>
      <c r="AL189" s="111"/>
      <c r="AM189" s="111"/>
      <c r="AN189" s="111"/>
      <c r="AO189" s="111"/>
      <c r="AP189" s="111"/>
      <c r="AQ189" s="111"/>
    </row>
    <row r="190" spans="18:43" ht="15">
      <c r="R190" s="107">
        <f>'Mia rosa + Org. Finanza'!AG190</f>
        <v>0</v>
      </c>
      <c r="S190" s="107">
        <f>'Mia rosa + Org. Finanza'!AH190</f>
        <v>0</v>
      </c>
      <c r="T190" s="107">
        <f>'Mia rosa + Org. Finanza'!AI190</f>
        <v>0</v>
      </c>
      <c r="U190" s="107">
        <f>'Mia rosa + Org. Finanza'!AJ190</f>
        <v>0</v>
      </c>
      <c r="W190" s="179" t="str">
        <f t="shared" si="15"/>
        <v>Gen</v>
      </c>
      <c r="X190">
        <f t="shared" si="16"/>
        <v>1</v>
      </c>
      <c r="Y190" t="str">
        <f t="shared" si="17"/>
        <v>A1Gen</v>
      </c>
      <c r="Z190" s="193" t="s">
        <v>43</v>
      </c>
      <c r="AA190" s="193" t="s">
        <v>1786</v>
      </c>
      <c r="AB190" s="179" t="s">
        <v>679</v>
      </c>
      <c r="AC190" s="94"/>
      <c r="AD190" s="95"/>
      <c r="AE190" s="111"/>
      <c r="AF190" s="111"/>
      <c r="AG190" s="111"/>
      <c r="AH190" s="111"/>
      <c r="AI190" s="111"/>
      <c r="AJ190" s="111"/>
      <c r="AK190" s="111"/>
      <c r="AL190" s="111"/>
      <c r="AM190" s="111"/>
      <c r="AN190" s="111"/>
      <c r="AO190" s="111"/>
      <c r="AP190" s="111"/>
      <c r="AQ190" s="111"/>
    </row>
    <row r="191" spans="18:43" ht="15">
      <c r="R191" s="107">
        <f>'Mia rosa + Org. Finanza'!AG191</f>
        <v>0</v>
      </c>
      <c r="S191" s="107">
        <f>'Mia rosa + Org. Finanza'!AH191</f>
        <v>0</v>
      </c>
      <c r="T191" s="107">
        <f>'Mia rosa + Org. Finanza'!AI191</f>
        <v>0</v>
      </c>
      <c r="U191" s="107">
        <f>'Mia rosa + Org. Finanza'!AJ191</f>
        <v>0</v>
      </c>
      <c r="W191" s="179" t="str">
        <f t="shared" si="15"/>
        <v>Gen</v>
      </c>
      <c r="X191">
        <f t="shared" si="16"/>
        <v>2</v>
      </c>
      <c r="Y191" t="str">
        <f t="shared" si="17"/>
        <v>A2Gen</v>
      </c>
      <c r="Z191" s="193" t="s">
        <v>43</v>
      </c>
      <c r="AA191" s="193" t="s">
        <v>425</v>
      </c>
      <c r="AB191" s="179" t="s">
        <v>679</v>
      </c>
      <c r="AC191" s="94"/>
      <c r="AD191" s="95"/>
      <c r="AE191" s="111"/>
      <c r="AF191" s="111"/>
      <c r="AG191" s="111"/>
      <c r="AH191" s="111"/>
      <c r="AI191" s="111"/>
      <c r="AJ191" s="111"/>
      <c r="AK191" s="111"/>
      <c r="AL191" s="111"/>
      <c r="AM191" s="111"/>
      <c r="AN191" s="111"/>
      <c r="AO191" s="111"/>
      <c r="AP191" s="111"/>
      <c r="AQ191" s="111"/>
    </row>
    <row r="192" spans="18:43" ht="15">
      <c r="R192" s="107">
        <f>'Mia rosa + Org. Finanza'!AG192</f>
        <v>0</v>
      </c>
      <c r="S192" s="107">
        <f>'Mia rosa + Org. Finanza'!AH192</f>
        <v>0</v>
      </c>
      <c r="T192" s="107">
        <f>'Mia rosa + Org. Finanza'!AI192</f>
        <v>0</v>
      </c>
      <c r="U192" s="107">
        <f>'Mia rosa + Org. Finanza'!AJ192</f>
        <v>0</v>
      </c>
      <c r="W192" s="179" t="str">
        <f t="shared" si="15"/>
        <v>Gen</v>
      </c>
      <c r="X192">
        <f t="shared" si="16"/>
        <v>3</v>
      </c>
      <c r="Y192" t="str">
        <f t="shared" si="17"/>
        <v>A3Gen</v>
      </c>
      <c r="Z192" s="193" t="s">
        <v>43</v>
      </c>
      <c r="AA192" s="193" t="s">
        <v>469</v>
      </c>
      <c r="AB192" s="179" t="s">
        <v>679</v>
      </c>
      <c r="AC192" s="94"/>
      <c r="AD192" s="95"/>
      <c r="AE192" s="111"/>
      <c r="AF192" s="111"/>
      <c r="AG192" s="111"/>
      <c r="AH192" s="111"/>
      <c r="AI192" s="111"/>
      <c r="AJ192" s="111"/>
      <c r="AK192" s="111"/>
      <c r="AL192" s="111"/>
      <c r="AM192" s="111"/>
      <c r="AN192" s="111"/>
      <c r="AO192" s="111"/>
      <c r="AP192" s="111"/>
      <c r="AQ192" s="111"/>
    </row>
    <row r="193" spans="18:43" ht="15">
      <c r="R193" s="107">
        <f>'Mia rosa + Org. Finanza'!AG193</f>
        <v>0</v>
      </c>
      <c r="S193" s="107">
        <f>'Mia rosa + Org. Finanza'!AH193</f>
        <v>0</v>
      </c>
      <c r="T193" s="107">
        <f>'Mia rosa + Org. Finanza'!AI193</f>
        <v>0</v>
      </c>
      <c r="U193" s="107">
        <f>'Mia rosa + Org. Finanza'!AJ193</f>
        <v>0</v>
      </c>
      <c r="W193" s="179" t="str">
        <f t="shared" si="15"/>
        <v>Gen</v>
      </c>
      <c r="X193">
        <f t="shared" si="16"/>
        <v>4</v>
      </c>
      <c r="Y193" t="str">
        <f t="shared" si="17"/>
        <v>A4Gen</v>
      </c>
      <c r="Z193" s="193" t="s">
        <v>43</v>
      </c>
      <c r="AA193" s="193" t="s">
        <v>471</v>
      </c>
      <c r="AB193" s="179" t="s">
        <v>679</v>
      </c>
      <c r="AC193" s="94"/>
      <c r="AD193" s="95"/>
      <c r="AE193" s="111"/>
      <c r="AF193" s="111"/>
      <c r="AG193" s="111"/>
      <c r="AH193" s="111"/>
      <c r="AI193" s="111"/>
      <c r="AJ193" s="111"/>
      <c r="AK193" s="111"/>
      <c r="AL193" s="111"/>
      <c r="AM193" s="111"/>
      <c r="AN193" s="111"/>
      <c r="AO193" s="111"/>
      <c r="AP193" s="111"/>
      <c r="AQ193" s="111"/>
    </row>
    <row r="194" spans="18:43" ht="15">
      <c r="R194" s="107">
        <f>'Mia rosa + Org. Finanza'!AG194</f>
        <v>0</v>
      </c>
      <c r="S194" s="107">
        <f>'Mia rosa + Org. Finanza'!AH194</f>
        <v>0</v>
      </c>
      <c r="T194" s="107">
        <f>'Mia rosa + Org. Finanza'!AI194</f>
        <v>0</v>
      </c>
      <c r="U194" s="107">
        <f>'Mia rosa + Org. Finanza'!AJ194</f>
        <v>0</v>
      </c>
      <c r="W194" s="179" t="str">
        <f t="shared" si="15"/>
        <v>Gen</v>
      </c>
      <c r="X194">
        <f t="shared" si="16"/>
        <v>5</v>
      </c>
      <c r="Y194" t="str">
        <f t="shared" si="17"/>
        <v>A5Gen</v>
      </c>
      <c r="Z194" s="193" t="s">
        <v>43</v>
      </c>
      <c r="AA194" s="193" t="s">
        <v>1788</v>
      </c>
      <c r="AB194" s="179" t="s">
        <v>679</v>
      </c>
      <c r="AC194" s="94"/>
      <c r="AD194" s="95"/>
      <c r="AE194" s="111"/>
      <c r="AF194" s="111"/>
      <c r="AG194" s="111"/>
      <c r="AH194" s="111"/>
      <c r="AI194" s="111"/>
      <c r="AJ194" s="111"/>
      <c r="AK194" s="111"/>
      <c r="AL194" s="111"/>
      <c r="AM194" s="111"/>
      <c r="AN194" s="111"/>
      <c r="AO194" s="111"/>
      <c r="AP194" s="111"/>
      <c r="AQ194" s="111"/>
    </row>
    <row r="195" spans="18:43" ht="15">
      <c r="R195" s="107">
        <f>'Mia rosa + Org. Finanza'!AG195</f>
        <v>0</v>
      </c>
      <c r="S195" s="107">
        <f>'Mia rosa + Org. Finanza'!AH195</f>
        <v>0</v>
      </c>
      <c r="T195" s="107">
        <f>'Mia rosa + Org. Finanza'!AI195</f>
        <v>0</v>
      </c>
      <c r="U195" s="107">
        <f>'Mia rosa + Org. Finanza'!AJ195</f>
        <v>0</v>
      </c>
      <c r="W195" s="179" t="str">
        <f t="shared" ref="W195:W258" si="18">MID(AB195,1,3)</f>
        <v>Gen</v>
      </c>
      <c r="X195">
        <f t="shared" ref="X195:X258" si="19">IF(Z195&lt;&gt;Z194,1,X194+1)</f>
        <v>6</v>
      </c>
      <c r="Y195" t="str">
        <f t="shared" ref="Y195:Y258" si="20">Z195&amp;X195&amp;W195</f>
        <v>A6Gen</v>
      </c>
      <c r="Z195" s="193" t="s">
        <v>43</v>
      </c>
      <c r="AA195" s="193" t="s">
        <v>495</v>
      </c>
      <c r="AB195" s="179" t="s">
        <v>679</v>
      </c>
      <c r="AC195" s="94"/>
      <c r="AD195" s="95"/>
      <c r="AE195" s="111"/>
      <c r="AF195" s="111"/>
      <c r="AG195" s="111"/>
      <c r="AH195" s="111"/>
      <c r="AI195" s="111"/>
      <c r="AJ195" s="111"/>
      <c r="AK195" s="111"/>
      <c r="AL195" s="111"/>
      <c r="AM195" s="111"/>
      <c r="AN195" s="111"/>
      <c r="AO195" s="111"/>
      <c r="AP195" s="111"/>
      <c r="AQ195" s="111"/>
    </row>
    <row r="196" spans="18:43" ht="15">
      <c r="R196" s="107">
        <f>'Mia rosa + Org. Finanza'!AG196</f>
        <v>0</v>
      </c>
      <c r="S196" s="107">
        <f>'Mia rosa + Org. Finanza'!AH196</f>
        <v>0</v>
      </c>
      <c r="T196" s="107">
        <f>'Mia rosa + Org. Finanza'!AI196</f>
        <v>0</v>
      </c>
      <c r="U196" s="107">
        <f>'Mia rosa + Org. Finanza'!AJ196</f>
        <v>0</v>
      </c>
      <c r="W196" s="179" t="str">
        <f t="shared" si="18"/>
        <v>Gen</v>
      </c>
      <c r="X196">
        <f t="shared" si="19"/>
        <v>7</v>
      </c>
      <c r="Y196" t="str">
        <f t="shared" si="20"/>
        <v>A7Gen</v>
      </c>
      <c r="Z196" s="193" t="s">
        <v>43</v>
      </c>
      <c r="AA196" s="193" t="s">
        <v>1944</v>
      </c>
      <c r="AB196" s="179" t="s">
        <v>679</v>
      </c>
      <c r="AC196" s="94"/>
      <c r="AD196" s="95"/>
      <c r="AE196" s="111"/>
      <c r="AF196" s="111"/>
      <c r="AG196" s="111"/>
      <c r="AH196" s="111"/>
      <c r="AI196" s="111"/>
      <c r="AJ196" s="111"/>
      <c r="AK196" s="111"/>
      <c r="AL196" s="111"/>
      <c r="AM196" s="111"/>
      <c r="AN196" s="111"/>
      <c r="AO196" s="111"/>
      <c r="AP196" s="111"/>
      <c r="AQ196" s="111"/>
    </row>
    <row r="197" spans="18:43" ht="15">
      <c r="R197" s="107">
        <f>'Mia rosa + Org. Finanza'!AG197</f>
        <v>0</v>
      </c>
      <c r="S197" s="107">
        <f>'Mia rosa + Org. Finanza'!AH197</f>
        <v>0</v>
      </c>
      <c r="T197" s="107">
        <f>'Mia rosa + Org. Finanza'!AI197</f>
        <v>0</v>
      </c>
      <c r="U197" s="107">
        <f>'Mia rosa + Org. Finanza'!AJ197</f>
        <v>0</v>
      </c>
      <c r="W197" s="179" t="str">
        <f t="shared" si="18"/>
        <v>Gen</v>
      </c>
      <c r="X197">
        <f t="shared" si="19"/>
        <v>1</v>
      </c>
      <c r="Y197" t="str">
        <f t="shared" si="20"/>
        <v>C1Gen</v>
      </c>
      <c r="Z197" s="193" t="s">
        <v>39</v>
      </c>
      <c r="AA197" s="193" t="s">
        <v>343</v>
      </c>
      <c r="AB197" s="179" t="s">
        <v>679</v>
      </c>
      <c r="AC197" s="94"/>
      <c r="AD197" s="95"/>
      <c r="AE197" s="111"/>
      <c r="AF197" s="111"/>
      <c r="AG197" s="111"/>
      <c r="AH197" s="111"/>
      <c r="AI197" s="111"/>
      <c r="AJ197" s="111"/>
      <c r="AK197" s="111"/>
      <c r="AL197" s="111"/>
      <c r="AM197" s="111"/>
      <c r="AN197" s="111"/>
      <c r="AO197" s="111"/>
      <c r="AP197" s="111"/>
      <c r="AQ197" s="111"/>
    </row>
    <row r="198" spans="18:43" ht="15">
      <c r="R198" s="107">
        <f>'Mia rosa + Org. Finanza'!AG198</f>
        <v>0</v>
      </c>
      <c r="S198" s="107">
        <f>'Mia rosa + Org. Finanza'!AH198</f>
        <v>0</v>
      </c>
      <c r="T198" s="107">
        <f>'Mia rosa + Org. Finanza'!AI198</f>
        <v>0</v>
      </c>
      <c r="U198" s="107">
        <f>'Mia rosa + Org. Finanza'!AJ198</f>
        <v>0</v>
      </c>
      <c r="W198" s="179" t="str">
        <f t="shared" si="18"/>
        <v>Gen</v>
      </c>
      <c r="X198">
        <f t="shared" si="19"/>
        <v>2</v>
      </c>
      <c r="Y198" t="str">
        <f t="shared" si="20"/>
        <v>C2Gen</v>
      </c>
      <c r="Z198" s="193" t="s">
        <v>39</v>
      </c>
      <c r="AA198" s="193" t="s">
        <v>1956</v>
      </c>
      <c r="AB198" s="179" t="s">
        <v>679</v>
      </c>
      <c r="AC198" s="94"/>
      <c r="AD198" s="95"/>
      <c r="AE198" s="111"/>
      <c r="AF198" s="111"/>
      <c r="AG198" s="111"/>
      <c r="AH198" s="111"/>
      <c r="AI198" s="111"/>
      <c r="AJ198" s="111"/>
      <c r="AK198" s="111"/>
      <c r="AL198" s="111"/>
      <c r="AM198" s="111"/>
      <c r="AN198" s="111"/>
      <c r="AO198" s="111"/>
      <c r="AP198" s="111"/>
      <c r="AQ198" s="111"/>
    </row>
    <row r="199" spans="18:43" ht="15">
      <c r="R199" s="107">
        <f>'Mia rosa + Org. Finanza'!AG199</f>
        <v>0</v>
      </c>
      <c r="S199" s="107">
        <f>'Mia rosa + Org. Finanza'!AH199</f>
        <v>0</v>
      </c>
      <c r="T199" s="107">
        <f>'Mia rosa + Org. Finanza'!AI199</f>
        <v>0</v>
      </c>
      <c r="U199" s="107">
        <f>'Mia rosa + Org. Finanza'!AJ199</f>
        <v>0</v>
      </c>
      <c r="W199" s="179" t="str">
        <f t="shared" si="18"/>
        <v>Gen</v>
      </c>
      <c r="X199">
        <f t="shared" si="19"/>
        <v>3</v>
      </c>
      <c r="Y199" t="str">
        <f t="shared" si="20"/>
        <v>C3Gen</v>
      </c>
      <c r="Z199" s="193" t="s">
        <v>39</v>
      </c>
      <c r="AA199" s="193" t="s">
        <v>1843</v>
      </c>
      <c r="AB199" s="179" t="s">
        <v>679</v>
      </c>
      <c r="AC199" s="94"/>
      <c r="AD199" s="95"/>
      <c r="AE199" s="111"/>
      <c r="AF199" s="111"/>
      <c r="AG199" s="111"/>
      <c r="AH199" s="111"/>
      <c r="AI199" s="111"/>
      <c r="AJ199" s="111"/>
      <c r="AK199" s="111"/>
      <c r="AL199" s="111"/>
      <c r="AM199" s="111"/>
      <c r="AN199" s="111"/>
      <c r="AO199" s="111"/>
      <c r="AP199" s="111"/>
      <c r="AQ199" s="111"/>
    </row>
    <row r="200" spans="18:43" ht="15">
      <c r="R200" s="107">
        <f>'Mia rosa + Org. Finanza'!AG200</f>
        <v>0</v>
      </c>
      <c r="S200" s="107">
        <f>'Mia rosa + Org. Finanza'!AH200</f>
        <v>0</v>
      </c>
      <c r="T200" s="107">
        <f>'Mia rosa + Org. Finanza'!AI200</f>
        <v>0</v>
      </c>
      <c r="U200" s="107">
        <f>'Mia rosa + Org. Finanza'!AJ200</f>
        <v>0</v>
      </c>
      <c r="W200" s="179" t="str">
        <f t="shared" si="18"/>
        <v>Gen</v>
      </c>
      <c r="X200">
        <f t="shared" si="19"/>
        <v>4</v>
      </c>
      <c r="Y200" t="str">
        <f t="shared" si="20"/>
        <v>C4Gen</v>
      </c>
      <c r="Z200" s="193" t="s">
        <v>39</v>
      </c>
      <c r="AA200" s="193" t="s">
        <v>400</v>
      </c>
      <c r="AB200" s="179" t="s">
        <v>679</v>
      </c>
      <c r="AC200" s="94"/>
      <c r="AD200" s="95"/>
      <c r="AE200" s="111"/>
      <c r="AF200" s="111"/>
      <c r="AG200" s="111"/>
      <c r="AH200" s="111"/>
      <c r="AI200" s="111"/>
      <c r="AJ200" s="111"/>
      <c r="AK200" s="111"/>
      <c r="AL200" s="111"/>
      <c r="AM200" s="111"/>
      <c r="AN200" s="111"/>
      <c r="AO200" s="111"/>
      <c r="AP200" s="111"/>
      <c r="AQ200" s="111"/>
    </row>
    <row r="201" spans="18:43" ht="15">
      <c r="R201" s="107">
        <f>'Mia rosa + Org. Finanza'!AG201</f>
        <v>0</v>
      </c>
      <c r="S201" s="107">
        <f>'Mia rosa + Org. Finanza'!AH201</f>
        <v>0</v>
      </c>
      <c r="T201" s="107">
        <f>'Mia rosa + Org. Finanza'!AI201</f>
        <v>0</v>
      </c>
      <c r="U201" s="107">
        <f>'Mia rosa + Org. Finanza'!AJ201</f>
        <v>0</v>
      </c>
      <c r="W201" s="179" t="str">
        <f t="shared" si="18"/>
        <v>Gen</v>
      </c>
      <c r="X201">
        <f t="shared" si="19"/>
        <v>5</v>
      </c>
      <c r="Y201" t="str">
        <f t="shared" si="20"/>
        <v>C5Gen</v>
      </c>
      <c r="Z201" s="193" t="s">
        <v>39</v>
      </c>
      <c r="AA201" s="193" t="s">
        <v>526</v>
      </c>
      <c r="AB201" s="179" t="s">
        <v>679</v>
      </c>
      <c r="AC201" s="94"/>
      <c r="AD201" s="95"/>
      <c r="AE201" s="111"/>
      <c r="AF201" s="111"/>
      <c r="AG201" s="111"/>
      <c r="AH201" s="111"/>
      <c r="AI201" s="111"/>
      <c r="AJ201" s="111"/>
      <c r="AK201" s="111"/>
      <c r="AL201" s="111"/>
      <c r="AM201" s="111"/>
      <c r="AN201" s="111"/>
      <c r="AO201" s="111"/>
      <c r="AP201" s="111"/>
      <c r="AQ201" s="111"/>
    </row>
    <row r="202" spans="18:43" ht="15">
      <c r="R202" s="107">
        <f>'Mia rosa + Org. Finanza'!AG202</f>
        <v>0</v>
      </c>
      <c r="S202" s="107">
        <f>'Mia rosa + Org. Finanza'!AH202</f>
        <v>0</v>
      </c>
      <c r="T202" s="107">
        <f>'Mia rosa + Org. Finanza'!AI202</f>
        <v>0</v>
      </c>
      <c r="U202" s="107">
        <f>'Mia rosa + Org. Finanza'!AJ202</f>
        <v>0</v>
      </c>
      <c r="W202" s="179" t="str">
        <f t="shared" si="18"/>
        <v>Gen</v>
      </c>
      <c r="X202">
        <f t="shared" si="19"/>
        <v>6</v>
      </c>
      <c r="Y202" t="str">
        <f t="shared" si="20"/>
        <v>C6Gen</v>
      </c>
      <c r="Z202" s="193" t="s">
        <v>39</v>
      </c>
      <c r="AA202" s="193" t="s">
        <v>527</v>
      </c>
      <c r="AB202" s="179" t="s">
        <v>679</v>
      </c>
      <c r="AC202" s="94"/>
      <c r="AD202" s="95"/>
      <c r="AE202" s="111"/>
      <c r="AF202" s="111"/>
      <c r="AG202" s="111"/>
      <c r="AH202" s="111"/>
      <c r="AI202" s="111"/>
      <c r="AJ202" s="111"/>
      <c r="AK202" s="111"/>
      <c r="AL202" s="111"/>
      <c r="AM202" s="111"/>
      <c r="AN202" s="111"/>
      <c r="AO202" s="111"/>
      <c r="AP202" s="111"/>
      <c r="AQ202" s="111"/>
    </row>
    <row r="203" spans="18:43" ht="15">
      <c r="R203" s="107">
        <f>'Mia rosa + Org. Finanza'!AG203</f>
        <v>0</v>
      </c>
      <c r="S203" s="107">
        <f>'Mia rosa + Org. Finanza'!AH203</f>
        <v>0</v>
      </c>
      <c r="T203" s="107">
        <f>'Mia rosa + Org. Finanza'!AI203</f>
        <v>0</v>
      </c>
      <c r="U203" s="107">
        <f>'Mia rosa + Org. Finanza'!AJ203</f>
        <v>0</v>
      </c>
      <c r="W203" s="179" t="str">
        <f t="shared" si="18"/>
        <v>Gen</v>
      </c>
      <c r="X203">
        <f t="shared" si="19"/>
        <v>7</v>
      </c>
      <c r="Y203" t="str">
        <f t="shared" si="20"/>
        <v>C7Gen</v>
      </c>
      <c r="Z203" s="193" t="s">
        <v>39</v>
      </c>
      <c r="AA203" s="193" t="s">
        <v>1300</v>
      </c>
      <c r="AB203" s="179" t="s">
        <v>679</v>
      </c>
      <c r="AC203" s="94"/>
      <c r="AD203" s="95"/>
      <c r="AE203" s="111"/>
      <c r="AF203" s="111"/>
      <c r="AG203" s="111"/>
      <c r="AH203" s="111"/>
      <c r="AI203" s="111"/>
      <c r="AJ203" s="111"/>
      <c r="AK203" s="111"/>
      <c r="AL203" s="111"/>
      <c r="AM203" s="111"/>
      <c r="AN203" s="111"/>
      <c r="AO203" s="111"/>
      <c r="AP203" s="111"/>
      <c r="AQ203" s="111"/>
    </row>
    <row r="204" spans="18:43" ht="15">
      <c r="R204" s="107">
        <f>'Mia rosa + Org. Finanza'!AG204</f>
        <v>0</v>
      </c>
      <c r="S204" s="107">
        <f>'Mia rosa + Org. Finanza'!AH204</f>
        <v>0</v>
      </c>
      <c r="T204" s="107">
        <f>'Mia rosa + Org. Finanza'!AI204</f>
        <v>0</v>
      </c>
      <c r="U204" s="107">
        <f>'Mia rosa + Org. Finanza'!AJ204</f>
        <v>0</v>
      </c>
      <c r="W204" s="179" t="str">
        <f t="shared" si="18"/>
        <v>Gen</v>
      </c>
      <c r="X204">
        <f t="shared" si="19"/>
        <v>8</v>
      </c>
      <c r="Y204" t="str">
        <f t="shared" si="20"/>
        <v>C8Gen</v>
      </c>
      <c r="Z204" s="193" t="s">
        <v>39</v>
      </c>
      <c r="AA204" s="193" t="s">
        <v>1753</v>
      </c>
      <c r="AB204" s="179" t="s">
        <v>679</v>
      </c>
      <c r="AC204" s="94"/>
      <c r="AD204" s="95"/>
      <c r="AE204" s="111"/>
      <c r="AF204" s="111"/>
      <c r="AG204" s="111"/>
      <c r="AH204" s="111"/>
      <c r="AI204" s="111"/>
      <c r="AJ204" s="111"/>
      <c r="AK204" s="111"/>
      <c r="AL204" s="111"/>
      <c r="AM204" s="111"/>
      <c r="AN204" s="111"/>
      <c r="AO204" s="111"/>
      <c r="AP204" s="111"/>
      <c r="AQ204" s="111"/>
    </row>
    <row r="205" spans="18:43" ht="15">
      <c r="R205" s="107">
        <f>'Mia rosa + Org. Finanza'!AG205</f>
        <v>0</v>
      </c>
      <c r="S205" s="107">
        <f>'Mia rosa + Org. Finanza'!AH205</f>
        <v>0</v>
      </c>
      <c r="T205" s="107">
        <f>'Mia rosa + Org. Finanza'!AI205</f>
        <v>0</v>
      </c>
      <c r="U205" s="107">
        <f>'Mia rosa + Org. Finanza'!AJ205</f>
        <v>0</v>
      </c>
      <c r="W205" s="179" t="str">
        <f t="shared" si="18"/>
        <v>Gen</v>
      </c>
      <c r="X205">
        <f t="shared" si="19"/>
        <v>9</v>
      </c>
      <c r="Y205" t="str">
        <f t="shared" si="20"/>
        <v>C9Gen</v>
      </c>
      <c r="Z205" s="193" t="s">
        <v>39</v>
      </c>
      <c r="AA205" s="193" t="s">
        <v>1856</v>
      </c>
      <c r="AB205" s="179" t="s">
        <v>679</v>
      </c>
      <c r="AC205" s="94"/>
      <c r="AD205" s="95"/>
      <c r="AE205" s="111"/>
      <c r="AF205" s="111"/>
      <c r="AG205" s="111"/>
      <c r="AH205" s="111"/>
      <c r="AI205" s="111"/>
      <c r="AJ205" s="111"/>
      <c r="AK205" s="111"/>
      <c r="AL205" s="111"/>
      <c r="AM205" s="111"/>
      <c r="AN205" s="111"/>
      <c r="AO205" s="111"/>
      <c r="AP205" s="111"/>
      <c r="AQ205" s="111"/>
    </row>
    <row r="206" spans="18:43" ht="15">
      <c r="R206" s="107">
        <f>'Mia rosa + Org. Finanza'!AG206</f>
        <v>0</v>
      </c>
      <c r="S206" s="107">
        <f>'Mia rosa + Org. Finanza'!AH206</f>
        <v>0</v>
      </c>
      <c r="T206" s="107">
        <f>'Mia rosa + Org. Finanza'!AI206</f>
        <v>0</v>
      </c>
      <c r="U206" s="107">
        <f>'Mia rosa + Org. Finanza'!AJ206</f>
        <v>0</v>
      </c>
      <c r="W206" s="179" t="str">
        <f t="shared" si="18"/>
        <v>Gen</v>
      </c>
      <c r="X206">
        <f t="shared" si="19"/>
        <v>10</v>
      </c>
      <c r="Y206" t="str">
        <f t="shared" si="20"/>
        <v>C10Gen</v>
      </c>
      <c r="Z206" s="193" t="s">
        <v>39</v>
      </c>
      <c r="AA206" s="193" t="s">
        <v>1932</v>
      </c>
      <c r="AB206" s="179" t="s">
        <v>679</v>
      </c>
      <c r="AC206" s="94"/>
      <c r="AD206" s="95"/>
      <c r="AE206" s="111"/>
      <c r="AF206" s="111"/>
      <c r="AG206" s="111"/>
      <c r="AH206" s="111"/>
      <c r="AI206" s="111"/>
      <c r="AJ206" s="111"/>
      <c r="AK206" s="111"/>
      <c r="AL206" s="111"/>
      <c r="AM206" s="111"/>
      <c r="AN206" s="111"/>
      <c r="AO206" s="111"/>
      <c r="AP206" s="111"/>
      <c r="AQ206" s="111"/>
    </row>
    <row r="207" spans="18:43" ht="15">
      <c r="R207" s="107">
        <f>'Mia rosa + Org. Finanza'!AG207</f>
        <v>0</v>
      </c>
      <c r="S207" s="107">
        <f>'Mia rosa + Org. Finanza'!AH207</f>
        <v>0</v>
      </c>
      <c r="T207" s="107">
        <f>'Mia rosa + Org. Finanza'!AI207</f>
        <v>0</v>
      </c>
      <c r="U207" s="107">
        <f>'Mia rosa + Org. Finanza'!AJ207</f>
        <v>0</v>
      </c>
      <c r="W207" s="179" t="str">
        <f t="shared" si="18"/>
        <v>Gen</v>
      </c>
      <c r="X207">
        <f t="shared" si="19"/>
        <v>11</v>
      </c>
      <c r="Y207" t="str">
        <f t="shared" si="20"/>
        <v>C11Gen</v>
      </c>
      <c r="Z207" s="193" t="s">
        <v>39</v>
      </c>
      <c r="AA207" s="193" t="s">
        <v>1754</v>
      </c>
      <c r="AB207" s="179" t="s">
        <v>679</v>
      </c>
      <c r="AC207" s="94"/>
      <c r="AD207" s="95"/>
      <c r="AE207" s="111"/>
      <c r="AF207" s="111"/>
      <c r="AG207" s="111"/>
      <c r="AH207" s="111"/>
      <c r="AI207" s="111"/>
      <c r="AJ207" s="111"/>
      <c r="AK207" s="111"/>
      <c r="AL207" s="111"/>
      <c r="AM207" s="111"/>
      <c r="AN207" s="111"/>
      <c r="AO207" s="111"/>
      <c r="AP207" s="111"/>
      <c r="AQ207" s="111"/>
    </row>
    <row r="208" spans="18:43" ht="15">
      <c r="R208" s="107">
        <f>'Mia rosa + Org. Finanza'!AG208</f>
        <v>0</v>
      </c>
      <c r="S208" s="107">
        <f>'Mia rosa + Org. Finanza'!AH208</f>
        <v>0</v>
      </c>
      <c r="T208" s="107">
        <f>'Mia rosa + Org. Finanza'!AI208</f>
        <v>0</v>
      </c>
      <c r="U208" s="107">
        <f>'Mia rosa + Org. Finanza'!AJ208</f>
        <v>0</v>
      </c>
      <c r="W208" s="179" t="str">
        <f t="shared" si="18"/>
        <v>Gen</v>
      </c>
      <c r="X208">
        <f t="shared" si="19"/>
        <v>1</v>
      </c>
      <c r="Y208" t="str">
        <f t="shared" si="20"/>
        <v>D1Gen</v>
      </c>
      <c r="Z208" s="193" t="s">
        <v>37</v>
      </c>
      <c r="AA208" s="193" t="s">
        <v>1337</v>
      </c>
      <c r="AB208" s="179" t="s">
        <v>679</v>
      </c>
      <c r="AC208" s="94"/>
      <c r="AD208" s="95"/>
      <c r="AE208" s="111"/>
      <c r="AF208" s="111"/>
      <c r="AG208" s="111"/>
      <c r="AH208" s="111"/>
      <c r="AI208" s="111"/>
      <c r="AJ208" s="111"/>
      <c r="AK208" s="111"/>
      <c r="AL208" s="111"/>
      <c r="AM208" s="111"/>
      <c r="AN208" s="111"/>
      <c r="AO208" s="111"/>
      <c r="AP208" s="111"/>
      <c r="AQ208" s="111"/>
    </row>
    <row r="209" spans="17:43" ht="15">
      <c r="R209" s="107">
        <f>'Mia rosa + Org. Finanza'!AG209</f>
        <v>0</v>
      </c>
      <c r="S209" s="107">
        <f>'Mia rosa + Org. Finanza'!AH209</f>
        <v>0</v>
      </c>
      <c r="T209" s="107">
        <f>'Mia rosa + Org. Finanza'!AI209</f>
        <v>0</v>
      </c>
      <c r="U209" s="107">
        <f>'Mia rosa + Org. Finanza'!AJ209</f>
        <v>0</v>
      </c>
      <c r="W209" s="179" t="str">
        <f t="shared" si="18"/>
        <v>Gen</v>
      </c>
      <c r="X209">
        <f t="shared" si="19"/>
        <v>2</v>
      </c>
      <c r="Y209" t="str">
        <f t="shared" si="20"/>
        <v>D2Gen</v>
      </c>
      <c r="Z209" s="193" t="s">
        <v>37</v>
      </c>
      <c r="AA209" s="193" t="s">
        <v>498</v>
      </c>
      <c r="AB209" s="179" t="s">
        <v>679</v>
      </c>
      <c r="AC209" s="94"/>
      <c r="AD209" s="95"/>
      <c r="AE209" s="111"/>
      <c r="AF209" s="111"/>
      <c r="AG209" s="111"/>
      <c r="AH209" s="111"/>
      <c r="AI209" s="111"/>
      <c r="AJ209" s="111"/>
      <c r="AK209" s="111"/>
      <c r="AL209" s="111"/>
      <c r="AM209" s="111"/>
      <c r="AN209" s="111"/>
      <c r="AO209" s="111"/>
      <c r="AP209" s="111"/>
      <c r="AQ209" s="111"/>
    </row>
    <row r="210" spans="17:43" ht="15">
      <c r="R210" s="107">
        <f>'Mia rosa + Org. Finanza'!AG210</f>
        <v>0</v>
      </c>
      <c r="S210" s="107">
        <f>'Mia rosa + Org. Finanza'!AH210</f>
        <v>0</v>
      </c>
      <c r="T210" s="107">
        <f>'Mia rosa + Org. Finanza'!AI210</f>
        <v>0</v>
      </c>
      <c r="U210" s="107">
        <f>'Mia rosa + Org. Finanza'!AJ210</f>
        <v>0</v>
      </c>
      <c r="W210" s="179" t="str">
        <f t="shared" si="18"/>
        <v>Gen</v>
      </c>
      <c r="X210">
        <f t="shared" si="19"/>
        <v>3</v>
      </c>
      <c r="Y210" t="str">
        <f t="shared" si="20"/>
        <v>D3Gen</v>
      </c>
      <c r="Z210" s="193" t="s">
        <v>37</v>
      </c>
      <c r="AA210" s="193" t="s">
        <v>517</v>
      </c>
      <c r="AB210" s="179" t="s">
        <v>679</v>
      </c>
      <c r="AC210" s="94"/>
      <c r="AD210" s="95"/>
      <c r="AE210" s="111"/>
      <c r="AF210" s="111"/>
      <c r="AG210" s="111"/>
      <c r="AH210" s="111"/>
      <c r="AI210" s="111"/>
      <c r="AJ210" s="111"/>
      <c r="AK210" s="111"/>
      <c r="AL210" s="111"/>
      <c r="AM210" s="111"/>
      <c r="AN210" s="111"/>
      <c r="AO210" s="111"/>
      <c r="AP210" s="111"/>
      <c r="AQ210" s="111"/>
    </row>
    <row r="211" spans="17:43" ht="15">
      <c r="R211" s="107">
        <f>'Mia rosa + Org. Finanza'!AG211</f>
        <v>0</v>
      </c>
      <c r="S211" s="107">
        <f>'Mia rosa + Org. Finanza'!AH211</f>
        <v>0</v>
      </c>
      <c r="T211" s="107">
        <f>'Mia rosa + Org. Finanza'!AI211</f>
        <v>0</v>
      </c>
      <c r="U211" s="107">
        <f>'Mia rosa + Org. Finanza'!AJ211</f>
        <v>0</v>
      </c>
      <c r="W211" s="179" t="str">
        <f t="shared" si="18"/>
        <v>Gen</v>
      </c>
      <c r="X211">
        <f t="shared" si="19"/>
        <v>4</v>
      </c>
      <c r="Y211" t="str">
        <f t="shared" si="20"/>
        <v>D4Gen</v>
      </c>
      <c r="Z211" s="193" t="s">
        <v>37</v>
      </c>
      <c r="AA211" s="193" t="s">
        <v>1941</v>
      </c>
      <c r="AB211" s="179" t="s">
        <v>679</v>
      </c>
      <c r="AC211" s="94"/>
      <c r="AD211" s="95"/>
      <c r="AE211" s="111"/>
      <c r="AF211" s="111"/>
      <c r="AG211" s="111"/>
      <c r="AH211" s="111"/>
      <c r="AI211" s="111"/>
      <c r="AJ211" s="111"/>
      <c r="AK211" s="111"/>
      <c r="AL211" s="111"/>
      <c r="AM211" s="111"/>
      <c r="AN211" s="111"/>
      <c r="AO211" s="111"/>
      <c r="AP211" s="111"/>
      <c r="AQ211" s="111"/>
    </row>
    <row r="212" spans="17:43" ht="15">
      <c r="W212" s="179" t="str">
        <f t="shared" si="18"/>
        <v>Gen</v>
      </c>
      <c r="X212">
        <f t="shared" si="19"/>
        <v>5</v>
      </c>
      <c r="Y212" t="str">
        <f t="shared" si="20"/>
        <v>D5Gen</v>
      </c>
      <c r="Z212" s="193" t="s">
        <v>37</v>
      </c>
      <c r="AA212" s="193" t="s">
        <v>583</v>
      </c>
      <c r="AB212" s="179" t="s">
        <v>679</v>
      </c>
      <c r="AC212" s="94"/>
      <c r="AD212" s="95"/>
      <c r="AE212" s="111"/>
      <c r="AF212" s="111"/>
      <c r="AG212" s="111"/>
      <c r="AH212" s="111"/>
      <c r="AI212" s="111"/>
      <c r="AJ212" s="111"/>
      <c r="AK212" s="111"/>
      <c r="AL212" s="111"/>
      <c r="AM212" s="111"/>
      <c r="AN212" s="111"/>
      <c r="AO212" s="111"/>
      <c r="AP212" s="111"/>
      <c r="AQ212" s="111"/>
    </row>
    <row r="213" spans="17:43" ht="15">
      <c r="Q213" s="125"/>
      <c r="W213" s="179" t="str">
        <f t="shared" si="18"/>
        <v>Gen</v>
      </c>
      <c r="X213">
        <f t="shared" si="19"/>
        <v>6</v>
      </c>
      <c r="Y213" t="str">
        <f t="shared" si="20"/>
        <v>D6Gen</v>
      </c>
      <c r="Z213" s="193" t="s">
        <v>37</v>
      </c>
      <c r="AA213" s="193" t="s">
        <v>585</v>
      </c>
      <c r="AB213" s="179" t="s">
        <v>679</v>
      </c>
      <c r="AC213" s="94"/>
      <c r="AD213" s="95"/>
      <c r="AE213" s="111"/>
      <c r="AF213" s="111"/>
      <c r="AG213" s="111"/>
      <c r="AH213" s="111"/>
      <c r="AI213" s="111"/>
      <c r="AJ213" s="111"/>
      <c r="AK213" s="111"/>
      <c r="AL213" s="111"/>
      <c r="AM213" s="111"/>
      <c r="AN213" s="111"/>
      <c r="AO213" s="111"/>
      <c r="AP213" s="111"/>
      <c r="AQ213" s="111"/>
    </row>
    <row r="214" spans="17:43" ht="15">
      <c r="Q214" s="125"/>
      <c r="W214" s="179" t="str">
        <f t="shared" si="18"/>
        <v>Gen</v>
      </c>
      <c r="X214">
        <f t="shared" si="19"/>
        <v>7</v>
      </c>
      <c r="Y214" t="str">
        <f t="shared" si="20"/>
        <v>D7Gen</v>
      </c>
      <c r="Z214" s="193" t="s">
        <v>37</v>
      </c>
      <c r="AA214" s="193" t="s">
        <v>601</v>
      </c>
      <c r="AB214" s="179" t="s">
        <v>679</v>
      </c>
      <c r="AC214" s="94"/>
      <c r="AD214" s="95"/>
      <c r="AE214" s="111"/>
      <c r="AF214" s="111"/>
      <c r="AG214" s="111"/>
      <c r="AH214" s="111"/>
      <c r="AI214" s="111"/>
      <c r="AJ214" s="111"/>
      <c r="AK214" s="111"/>
      <c r="AL214" s="111"/>
      <c r="AM214" s="111"/>
      <c r="AN214" s="111"/>
      <c r="AO214" s="111"/>
      <c r="AP214" s="111"/>
      <c r="AQ214" s="111"/>
    </row>
    <row r="215" spans="17:43" ht="15">
      <c r="Q215" s="125"/>
      <c r="W215" s="179" t="str">
        <f t="shared" si="18"/>
        <v>Gen</v>
      </c>
      <c r="X215">
        <f t="shared" si="19"/>
        <v>8</v>
      </c>
      <c r="Y215" t="str">
        <f t="shared" si="20"/>
        <v>D8Gen</v>
      </c>
      <c r="Z215" s="193" t="s">
        <v>37</v>
      </c>
      <c r="AA215" s="193" t="s">
        <v>626</v>
      </c>
      <c r="AB215" s="179" t="s">
        <v>679</v>
      </c>
      <c r="AC215" s="94"/>
      <c r="AD215" s="95"/>
      <c r="AE215" s="111"/>
      <c r="AF215" s="111"/>
      <c r="AG215" s="111"/>
      <c r="AH215" s="111"/>
      <c r="AI215" s="111"/>
      <c r="AJ215" s="111"/>
      <c r="AK215" s="111"/>
      <c r="AL215" s="111"/>
      <c r="AM215" s="111"/>
      <c r="AN215" s="111"/>
      <c r="AO215" s="111"/>
      <c r="AP215" s="111"/>
      <c r="AQ215" s="111"/>
    </row>
    <row r="216" spans="17:43" ht="15">
      <c r="Q216" s="125"/>
      <c r="W216" s="179" t="str">
        <f t="shared" si="18"/>
        <v>Gen</v>
      </c>
      <c r="X216">
        <f t="shared" si="19"/>
        <v>1</v>
      </c>
      <c r="Y216" t="str">
        <f t="shared" si="20"/>
        <v>P1Gen</v>
      </c>
      <c r="Z216" s="193" t="s">
        <v>35</v>
      </c>
      <c r="AA216" s="193" t="s">
        <v>366</v>
      </c>
      <c r="AB216" s="179" t="s">
        <v>679</v>
      </c>
      <c r="AC216" s="94"/>
      <c r="AD216" s="95"/>
      <c r="AE216" s="111"/>
      <c r="AF216" s="111"/>
      <c r="AG216" s="111"/>
      <c r="AH216" s="111"/>
      <c r="AI216" s="111"/>
      <c r="AJ216" s="111"/>
      <c r="AK216" s="111"/>
      <c r="AL216" s="111"/>
      <c r="AM216" s="111"/>
      <c r="AN216" s="111"/>
      <c r="AO216" s="111"/>
      <c r="AP216" s="111"/>
      <c r="AQ216" s="111"/>
    </row>
    <row r="217" spans="17:43" ht="15">
      <c r="Q217" s="125"/>
      <c r="W217" s="179" t="str">
        <f t="shared" si="18"/>
        <v>Gen</v>
      </c>
      <c r="X217">
        <f t="shared" si="19"/>
        <v>2</v>
      </c>
      <c r="Y217" t="str">
        <f t="shared" si="20"/>
        <v>P2Gen</v>
      </c>
      <c r="Z217" s="193" t="s">
        <v>35</v>
      </c>
      <c r="AA217" s="193" t="s">
        <v>392</v>
      </c>
      <c r="AB217" s="179" t="s">
        <v>679</v>
      </c>
      <c r="AC217" s="94"/>
      <c r="AD217" s="95"/>
      <c r="AE217" s="111"/>
      <c r="AF217" s="111"/>
      <c r="AG217" s="111"/>
      <c r="AH217" s="111"/>
      <c r="AI217" s="111"/>
      <c r="AJ217" s="111"/>
      <c r="AK217" s="111"/>
      <c r="AL217" s="111"/>
      <c r="AM217" s="111"/>
      <c r="AN217" s="111"/>
      <c r="AO217" s="111"/>
      <c r="AP217" s="111"/>
      <c r="AQ217" s="111"/>
    </row>
    <row r="218" spans="17:43" ht="15">
      <c r="Q218" s="125"/>
      <c r="W218" s="179" t="str">
        <f t="shared" si="18"/>
        <v>Gen</v>
      </c>
      <c r="X218">
        <f t="shared" si="19"/>
        <v>3</v>
      </c>
      <c r="Y218" t="str">
        <f t="shared" si="20"/>
        <v>P3Gen</v>
      </c>
      <c r="Z218" s="193" t="s">
        <v>35</v>
      </c>
      <c r="AA218" s="193" t="s">
        <v>448</v>
      </c>
      <c r="AB218" s="179" t="s">
        <v>679</v>
      </c>
      <c r="AC218" s="94"/>
      <c r="AD218" s="95"/>
      <c r="AE218" s="111"/>
      <c r="AF218" s="111"/>
      <c r="AG218" s="111"/>
      <c r="AH218" s="111"/>
      <c r="AI218" s="111"/>
      <c r="AJ218" s="111"/>
      <c r="AK218" s="111"/>
      <c r="AL218" s="111"/>
      <c r="AM218" s="111"/>
      <c r="AN218" s="111"/>
      <c r="AO218" s="111"/>
      <c r="AP218" s="111"/>
      <c r="AQ218" s="111"/>
    </row>
    <row r="219" spans="17:43" ht="15">
      <c r="Q219" s="125"/>
      <c r="W219" s="179" t="str">
        <f t="shared" si="18"/>
        <v>Int</v>
      </c>
      <c r="X219">
        <f t="shared" si="19"/>
        <v>1</v>
      </c>
      <c r="Y219" t="str">
        <f t="shared" si="20"/>
        <v>A1Int</v>
      </c>
      <c r="Z219" s="193" t="s">
        <v>43</v>
      </c>
      <c r="AA219" s="193" t="s">
        <v>362</v>
      </c>
      <c r="AB219" s="179" t="s">
        <v>677</v>
      </c>
      <c r="AC219" s="94"/>
      <c r="AD219" s="95"/>
      <c r="AE219" s="111"/>
      <c r="AF219" s="111"/>
      <c r="AG219" s="111"/>
      <c r="AH219" s="111"/>
      <c r="AI219" s="111"/>
      <c r="AJ219" s="111"/>
      <c r="AK219" s="111"/>
      <c r="AL219" s="111"/>
      <c r="AM219" s="111"/>
      <c r="AN219" s="111"/>
      <c r="AO219" s="111"/>
      <c r="AP219" s="111"/>
      <c r="AQ219" s="111"/>
    </row>
    <row r="220" spans="17:43" ht="15">
      <c r="Q220" s="125"/>
      <c r="W220" s="179" t="str">
        <f t="shared" si="18"/>
        <v>Int</v>
      </c>
      <c r="X220">
        <f t="shared" si="19"/>
        <v>2</v>
      </c>
      <c r="Y220" t="str">
        <f t="shared" si="20"/>
        <v>A2Int</v>
      </c>
      <c r="Z220" s="193" t="s">
        <v>43</v>
      </c>
      <c r="AA220" s="193" t="s">
        <v>396</v>
      </c>
      <c r="AB220" s="179" t="s">
        <v>677</v>
      </c>
      <c r="AC220" s="94"/>
      <c r="AD220" s="95"/>
      <c r="AE220" s="111"/>
      <c r="AF220" s="111"/>
      <c r="AG220" s="111"/>
      <c r="AH220" s="111"/>
      <c r="AI220" s="111"/>
      <c r="AJ220" s="111"/>
      <c r="AK220" s="111"/>
      <c r="AL220" s="111"/>
      <c r="AM220" s="111"/>
      <c r="AN220" s="111"/>
      <c r="AO220" s="111"/>
      <c r="AP220" s="111"/>
      <c r="AQ220" s="111"/>
    </row>
    <row r="221" spans="17:43" ht="15">
      <c r="Q221" s="125"/>
      <c r="W221" s="179" t="str">
        <f t="shared" si="18"/>
        <v>Int</v>
      </c>
      <c r="X221">
        <f t="shared" si="19"/>
        <v>3</v>
      </c>
      <c r="Y221" t="str">
        <f t="shared" si="20"/>
        <v>A3Int</v>
      </c>
      <c r="Z221" s="193" t="s">
        <v>43</v>
      </c>
      <c r="AA221" s="193" t="s">
        <v>1983</v>
      </c>
      <c r="AB221" s="179" t="s">
        <v>677</v>
      </c>
      <c r="AC221" s="94"/>
      <c r="AD221" s="95"/>
      <c r="AE221" s="111"/>
      <c r="AF221" s="111"/>
      <c r="AG221" s="111"/>
      <c r="AH221" s="111"/>
      <c r="AI221" s="111"/>
      <c r="AJ221" s="111"/>
      <c r="AK221" s="111"/>
      <c r="AL221" s="111"/>
      <c r="AM221" s="111"/>
      <c r="AN221" s="111"/>
      <c r="AO221" s="111"/>
      <c r="AP221" s="111"/>
      <c r="AQ221" s="111"/>
    </row>
    <row r="222" spans="17:43" ht="15">
      <c r="Q222" s="125"/>
      <c r="W222" s="179" t="str">
        <f t="shared" si="18"/>
        <v>Int</v>
      </c>
      <c r="X222">
        <f t="shared" si="19"/>
        <v>4</v>
      </c>
      <c r="Y222" t="str">
        <f t="shared" si="20"/>
        <v>A4Int</v>
      </c>
      <c r="Z222" s="193" t="s">
        <v>43</v>
      </c>
      <c r="AA222" s="193" t="s">
        <v>1285</v>
      </c>
      <c r="AB222" s="179" t="s">
        <v>677</v>
      </c>
      <c r="AC222" s="94"/>
      <c r="AD222" s="95"/>
      <c r="AE222" s="111"/>
      <c r="AF222" s="111"/>
      <c r="AG222" s="111"/>
      <c r="AH222" s="111"/>
      <c r="AI222" s="111"/>
      <c r="AJ222" s="111"/>
      <c r="AK222" s="111"/>
      <c r="AL222" s="111"/>
      <c r="AM222" s="111"/>
      <c r="AN222" s="111"/>
      <c r="AO222" s="111"/>
      <c r="AP222" s="111"/>
      <c r="AQ222" s="111"/>
    </row>
    <row r="223" spans="17:43" ht="15">
      <c r="Q223" s="125"/>
      <c r="W223" s="179" t="str">
        <f t="shared" si="18"/>
        <v>Int</v>
      </c>
      <c r="X223">
        <f t="shared" si="19"/>
        <v>1</v>
      </c>
      <c r="Y223" t="str">
        <f t="shared" si="20"/>
        <v>C1Int</v>
      </c>
      <c r="Z223" s="193" t="s">
        <v>39</v>
      </c>
      <c r="AA223" s="193" t="s">
        <v>361</v>
      </c>
      <c r="AB223" s="179" t="s">
        <v>677</v>
      </c>
      <c r="AC223" s="94"/>
      <c r="AD223" s="95"/>
      <c r="AE223" s="111"/>
      <c r="AF223" s="111"/>
      <c r="AG223" s="111"/>
      <c r="AH223" s="111"/>
      <c r="AI223" s="111"/>
      <c r="AJ223" s="111"/>
      <c r="AK223" s="111"/>
      <c r="AL223" s="111"/>
      <c r="AM223" s="111"/>
      <c r="AN223" s="111"/>
      <c r="AO223" s="111"/>
      <c r="AP223" s="111"/>
      <c r="AQ223" s="111"/>
    </row>
    <row r="224" spans="17:43" ht="15">
      <c r="Q224" s="125"/>
      <c r="W224" s="179" t="str">
        <f t="shared" si="18"/>
        <v>Int</v>
      </c>
      <c r="X224">
        <f t="shared" si="19"/>
        <v>2</v>
      </c>
      <c r="Y224" t="str">
        <f t="shared" si="20"/>
        <v>C2Int</v>
      </c>
      <c r="Z224" s="193" t="s">
        <v>39</v>
      </c>
      <c r="AA224" s="193" t="s">
        <v>367</v>
      </c>
      <c r="AB224" s="179" t="s">
        <v>677</v>
      </c>
      <c r="AC224" s="94"/>
      <c r="AD224" s="95"/>
      <c r="AE224" s="111"/>
      <c r="AF224" s="111"/>
      <c r="AG224" s="111"/>
      <c r="AH224" s="111"/>
      <c r="AI224" s="111"/>
      <c r="AJ224" s="111"/>
      <c r="AK224" s="111"/>
      <c r="AL224" s="111"/>
      <c r="AM224" s="111"/>
      <c r="AN224" s="111"/>
      <c r="AO224" s="111"/>
      <c r="AP224" s="111"/>
      <c r="AQ224" s="111"/>
    </row>
    <row r="225" spans="17:43" ht="15">
      <c r="Q225" s="125"/>
      <c r="W225" s="179" t="str">
        <f t="shared" si="18"/>
        <v>Int</v>
      </c>
      <c r="X225">
        <f t="shared" si="19"/>
        <v>3</v>
      </c>
      <c r="Y225" t="str">
        <f t="shared" si="20"/>
        <v>C3Int</v>
      </c>
      <c r="Z225" s="193" t="s">
        <v>39</v>
      </c>
      <c r="AA225" s="193" t="s">
        <v>378</v>
      </c>
      <c r="AB225" s="179" t="s">
        <v>677</v>
      </c>
      <c r="AC225" s="94"/>
      <c r="AD225" s="95"/>
      <c r="AE225" s="111"/>
      <c r="AF225" s="111"/>
      <c r="AG225" s="111"/>
      <c r="AH225" s="111"/>
      <c r="AI225" s="111"/>
      <c r="AJ225" s="111"/>
      <c r="AK225" s="111"/>
      <c r="AL225" s="111"/>
      <c r="AM225" s="111"/>
      <c r="AN225" s="111"/>
      <c r="AO225" s="111"/>
      <c r="AP225" s="111"/>
      <c r="AQ225" s="111"/>
    </row>
    <row r="226" spans="17:43" ht="15">
      <c r="W226" s="179" t="str">
        <f t="shared" si="18"/>
        <v>Int</v>
      </c>
      <c r="X226">
        <f t="shared" si="19"/>
        <v>4</v>
      </c>
      <c r="Y226" t="str">
        <f t="shared" si="20"/>
        <v>C4Int</v>
      </c>
      <c r="Z226" s="193" t="s">
        <v>39</v>
      </c>
      <c r="AA226" s="193" t="s">
        <v>463</v>
      </c>
      <c r="AB226" s="179" t="s">
        <v>677</v>
      </c>
      <c r="AC226" s="94"/>
      <c r="AD226" s="95"/>
      <c r="AE226" s="111"/>
      <c r="AF226" s="111"/>
      <c r="AG226" s="111"/>
      <c r="AH226" s="111"/>
      <c r="AI226" s="111"/>
      <c r="AJ226" s="111"/>
      <c r="AK226" s="111"/>
      <c r="AL226" s="111"/>
      <c r="AM226" s="111"/>
      <c r="AN226" s="111"/>
      <c r="AO226" s="111"/>
      <c r="AP226" s="111"/>
      <c r="AQ226" s="111"/>
    </row>
    <row r="227" spans="17:43" ht="15">
      <c r="W227" s="179" t="str">
        <f t="shared" si="18"/>
        <v>Int</v>
      </c>
      <c r="X227">
        <f t="shared" si="19"/>
        <v>5</v>
      </c>
      <c r="Y227" t="str">
        <f t="shared" si="20"/>
        <v>C5Int</v>
      </c>
      <c r="Z227" s="193" t="s">
        <v>39</v>
      </c>
      <c r="AA227" s="193" t="s">
        <v>473</v>
      </c>
      <c r="AB227" s="179" t="s">
        <v>677</v>
      </c>
      <c r="AC227" s="94"/>
      <c r="AD227" s="95"/>
      <c r="AE227" s="111"/>
      <c r="AF227" s="111"/>
      <c r="AG227" s="111"/>
      <c r="AH227" s="111"/>
      <c r="AI227" s="111"/>
      <c r="AJ227" s="111"/>
      <c r="AK227" s="111"/>
      <c r="AL227" s="111"/>
      <c r="AM227" s="111"/>
      <c r="AN227" s="111"/>
      <c r="AO227" s="111"/>
      <c r="AP227" s="111"/>
      <c r="AQ227" s="111"/>
    </row>
    <row r="228" spans="17:43" ht="15">
      <c r="W228" s="179" t="str">
        <f t="shared" si="18"/>
        <v>Int</v>
      </c>
      <c r="X228">
        <f t="shared" si="19"/>
        <v>6</v>
      </c>
      <c r="Y228" t="str">
        <f t="shared" si="20"/>
        <v>C6Int</v>
      </c>
      <c r="Z228" s="193" t="s">
        <v>39</v>
      </c>
      <c r="AA228" s="193" t="s">
        <v>1329</v>
      </c>
      <c r="AB228" s="179" t="s">
        <v>677</v>
      </c>
      <c r="AC228" s="94"/>
      <c r="AD228" s="95"/>
      <c r="AE228" s="111"/>
      <c r="AF228" s="111"/>
      <c r="AG228" s="111"/>
      <c r="AH228" s="111"/>
      <c r="AI228" s="111"/>
      <c r="AJ228" s="111"/>
      <c r="AK228" s="111"/>
      <c r="AL228" s="111"/>
      <c r="AM228" s="111"/>
      <c r="AN228" s="111"/>
      <c r="AO228" s="111"/>
      <c r="AP228" s="111"/>
      <c r="AQ228" s="111"/>
    </row>
    <row r="229" spans="17:43" ht="15">
      <c r="W229" s="179" t="str">
        <f t="shared" si="18"/>
        <v>Int</v>
      </c>
      <c r="X229">
        <f t="shared" si="19"/>
        <v>7</v>
      </c>
      <c r="Y229" t="str">
        <f t="shared" si="20"/>
        <v>C7Int</v>
      </c>
      <c r="Z229" s="193" t="s">
        <v>39</v>
      </c>
      <c r="AA229" s="193" t="s">
        <v>580</v>
      </c>
      <c r="AB229" s="179" t="s">
        <v>677</v>
      </c>
      <c r="AC229" s="94"/>
      <c r="AD229" s="95"/>
      <c r="AE229" s="111"/>
      <c r="AF229" s="111"/>
      <c r="AG229" s="111"/>
      <c r="AH229" s="111"/>
      <c r="AI229" s="111"/>
      <c r="AJ229" s="111"/>
      <c r="AK229" s="111"/>
      <c r="AL229" s="111"/>
      <c r="AM229" s="111"/>
      <c r="AN229" s="111"/>
      <c r="AO229" s="111"/>
      <c r="AP229" s="111"/>
      <c r="AQ229" s="111"/>
    </row>
    <row r="230" spans="17:43" ht="15">
      <c r="W230" s="179" t="str">
        <f t="shared" si="18"/>
        <v>Int</v>
      </c>
      <c r="X230">
        <f t="shared" si="19"/>
        <v>8</v>
      </c>
      <c r="Y230" t="str">
        <f t="shared" si="20"/>
        <v>C8Int</v>
      </c>
      <c r="Z230" s="193" t="s">
        <v>39</v>
      </c>
      <c r="AA230" s="193" t="s">
        <v>620</v>
      </c>
      <c r="AB230" s="179" t="s">
        <v>677</v>
      </c>
      <c r="AC230" s="94"/>
      <c r="AD230" s="95"/>
      <c r="AE230" s="111"/>
      <c r="AF230" s="111"/>
      <c r="AG230" s="111"/>
      <c r="AH230" s="111"/>
      <c r="AI230" s="111"/>
      <c r="AJ230" s="111"/>
      <c r="AK230" s="111"/>
      <c r="AL230" s="111"/>
      <c r="AM230" s="111"/>
      <c r="AN230" s="111"/>
      <c r="AO230" s="111"/>
      <c r="AP230" s="111"/>
      <c r="AQ230" s="111"/>
    </row>
    <row r="231" spans="17:43" ht="15">
      <c r="W231" s="179" t="str">
        <f t="shared" si="18"/>
        <v>Int</v>
      </c>
      <c r="X231">
        <f t="shared" si="19"/>
        <v>1</v>
      </c>
      <c r="Y231" t="str">
        <f t="shared" si="20"/>
        <v>D1Int</v>
      </c>
      <c r="Z231" s="193" t="s">
        <v>37</v>
      </c>
      <c r="AA231" s="193" t="s">
        <v>1955</v>
      </c>
      <c r="AB231" s="179" t="s">
        <v>677</v>
      </c>
      <c r="AC231" s="94"/>
      <c r="AD231" s="95"/>
      <c r="AE231" s="111"/>
      <c r="AF231" s="111"/>
      <c r="AG231" s="111"/>
      <c r="AH231" s="111"/>
      <c r="AI231" s="111"/>
      <c r="AJ231" s="111"/>
      <c r="AK231" s="111"/>
      <c r="AL231" s="111"/>
      <c r="AM231" s="111"/>
      <c r="AN231" s="111"/>
      <c r="AO231" s="111"/>
      <c r="AP231" s="111"/>
      <c r="AQ231" s="111"/>
    </row>
    <row r="232" spans="17:43" ht="15">
      <c r="W232" s="179" t="str">
        <f t="shared" si="18"/>
        <v>Int</v>
      </c>
      <c r="X232">
        <f t="shared" si="19"/>
        <v>2</v>
      </c>
      <c r="Y232" t="str">
        <f t="shared" si="20"/>
        <v>D2Int</v>
      </c>
      <c r="Z232" s="193" t="s">
        <v>37</v>
      </c>
      <c r="AA232" s="193" t="s">
        <v>1921</v>
      </c>
      <c r="AB232" s="179" t="s">
        <v>677</v>
      </c>
      <c r="AC232" s="94"/>
      <c r="AD232" s="95"/>
      <c r="AE232" s="111"/>
      <c r="AF232" s="111"/>
      <c r="AG232" s="111"/>
      <c r="AH232" s="111"/>
      <c r="AI232" s="111"/>
      <c r="AJ232" s="111"/>
      <c r="AK232" s="111"/>
      <c r="AL232" s="111"/>
      <c r="AM232" s="111"/>
      <c r="AN232" s="111"/>
      <c r="AO232" s="111"/>
      <c r="AP232" s="111"/>
      <c r="AQ232" s="111"/>
    </row>
    <row r="233" spans="17:43" ht="15">
      <c r="W233" s="179" t="str">
        <f t="shared" si="18"/>
        <v>Int</v>
      </c>
      <c r="X233">
        <f t="shared" si="19"/>
        <v>3</v>
      </c>
      <c r="Y233" t="str">
        <f t="shared" si="20"/>
        <v>D3Int</v>
      </c>
      <c r="Z233" s="193" t="s">
        <v>37</v>
      </c>
      <c r="AA233" s="193" t="s">
        <v>443</v>
      </c>
      <c r="AB233" s="179" t="s">
        <v>677</v>
      </c>
      <c r="AC233" s="94"/>
      <c r="AD233" s="95"/>
      <c r="AE233" s="111"/>
      <c r="AF233" s="111"/>
      <c r="AG233" s="111"/>
      <c r="AH233" s="111"/>
      <c r="AI233" s="111"/>
      <c r="AJ233" s="111"/>
      <c r="AK233" s="111"/>
      <c r="AL233" s="111"/>
      <c r="AM233" s="111"/>
      <c r="AN233" s="111"/>
      <c r="AO233" s="111"/>
      <c r="AP233" s="111"/>
      <c r="AQ233" s="111"/>
    </row>
    <row r="234" spans="17:43" ht="15">
      <c r="W234" s="179" t="str">
        <f t="shared" si="18"/>
        <v>Int</v>
      </c>
      <c r="X234">
        <f t="shared" si="19"/>
        <v>4</v>
      </c>
      <c r="Y234" t="str">
        <f t="shared" si="20"/>
        <v>D4Int</v>
      </c>
      <c r="Z234" s="193" t="s">
        <v>37</v>
      </c>
      <c r="AA234" s="193" t="s">
        <v>551</v>
      </c>
      <c r="AB234" s="179" t="s">
        <v>677</v>
      </c>
      <c r="AC234" s="94"/>
      <c r="AD234" s="95"/>
      <c r="AE234" s="111"/>
      <c r="AF234" s="111"/>
      <c r="AG234" s="111"/>
      <c r="AH234" s="111"/>
      <c r="AI234" s="111"/>
      <c r="AJ234" s="111"/>
      <c r="AK234" s="111"/>
      <c r="AL234" s="111"/>
      <c r="AM234" s="111"/>
      <c r="AN234" s="111"/>
      <c r="AO234" s="111"/>
      <c r="AP234" s="111"/>
      <c r="AQ234" s="111"/>
    </row>
    <row r="235" spans="17:43" ht="15">
      <c r="W235" s="179" t="str">
        <f t="shared" si="18"/>
        <v>Int</v>
      </c>
      <c r="X235">
        <f t="shared" si="19"/>
        <v>5</v>
      </c>
      <c r="Y235" t="str">
        <f t="shared" si="20"/>
        <v>D5Int</v>
      </c>
      <c r="Z235" s="193" t="s">
        <v>37</v>
      </c>
      <c r="AA235" s="193" t="s">
        <v>560</v>
      </c>
      <c r="AB235" s="179" t="s">
        <v>677</v>
      </c>
      <c r="AC235" s="94"/>
      <c r="AD235" s="95"/>
      <c r="AE235" s="111"/>
      <c r="AF235" s="111"/>
      <c r="AG235" s="111"/>
      <c r="AH235" s="111"/>
      <c r="AI235" s="111"/>
      <c r="AJ235" s="111"/>
      <c r="AK235" s="111"/>
      <c r="AL235" s="111"/>
      <c r="AM235" s="111"/>
      <c r="AN235" s="111"/>
      <c r="AO235" s="111"/>
      <c r="AP235" s="111"/>
      <c r="AQ235" s="111"/>
    </row>
    <row r="236" spans="17:43" ht="15">
      <c r="W236" s="179" t="str">
        <f t="shared" si="18"/>
        <v>Int</v>
      </c>
      <c r="X236">
        <f t="shared" si="19"/>
        <v>6</v>
      </c>
      <c r="Y236" t="str">
        <f t="shared" si="20"/>
        <v>D6Int</v>
      </c>
      <c r="Z236" s="193" t="s">
        <v>37</v>
      </c>
      <c r="AA236" s="193" t="s">
        <v>576</v>
      </c>
      <c r="AB236" s="179" t="s">
        <v>677</v>
      </c>
      <c r="AC236" s="94"/>
      <c r="AD236" s="95"/>
      <c r="AE236" s="111"/>
      <c r="AF236" s="111"/>
      <c r="AG236" s="111"/>
      <c r="AH236" s="111"/>
      <c r="AI236" s="111"/>
      <c r="AJ236" s="111"/>
      <c r="AK236" s="111"/>
      <c r="AL236" s="111"/>
      <c r="AM236" s="111"/>
      <c r="AN236" s="111"/>
      <c r="AO236" s="111"/>
      <c r="AP236" s="111"/>
      <c r="AQ236" s="111"/>
    </row>
    <row r="237" spans="17:43" ht="15">
      <c r="W237" s="179" t="str">
        <f t="shared" si="18"/>
        <v>Int</v>
      </c>
      <c r="X237">
        <f t="shared" si="19"/>
        <v>7</v>
      </c>
      <c r="Y237" t="str">
        <f t="shared" si="20"/>
        <v>D7Int</v>
      </c>
      <c r="Z237" s="193" t="s">
        <v>37</v>
      </c>
      <c r="AA237" s="193" t="s">
        <v>594</v>
      </c>
      <c r="AB237" s="179" t="s">
        <v>677</v>
      </c>
      <c r="AC237" s="94"/>
      <c r="AD237" s="95"/>
      <c r="AE237" s="111"/>
      <c r="AF237" s="111"/>
      <c r="AG237" s="111"/>
      <c r="AH237" s="111"/>
      <c r="AI237" s="111"/>
      <c r="AJ237" s="111"/>
      <c r="AK237" s="111"/>
      <c r="AL237" s="111"/>
      <c r="AM237" s="111"/>
      <c r="AN237" s="111"/>
      <c r="AO237" s="111"/>
      <c r="AP237" s="111"/>
      <c r="AQ237" s="111"/>
    </row>
    <row r="238" spans="17:43" ht="15">
      <c r="W238" s="179" t="str">
        <f t="shared" si="18"/>
        <v>Int</v>
      </c>
      <c r="X238">
        <f t="shared" si="19"/>
        <v>8</v>
      </c>
      <c r="Y238" t="str">
        <f t="shared" si="20"/>
        <v>D8Int</v>
      </c>
      <c r="Z238" s="193" t="s">
        <v>37</v>
      </c>
      <c r="AA238" s="193" t="s">
        <v>599</v>
      </c>
      <c r="AB238" s="179" t="s">
        <v>677</v>
      </c>
      <c r="AC238" s="94"/>
      <c r="AD238" s="95"/>
      <c r="AE238" s="111"/>
      <c r="AF238" s="111"/>
      <c r="AG238" s="111"/>
      <c r="AH238" s="111"/>
      <c r="AI238" s="111"/>
      <c r="AJ238" s="111"/>
      <c r="AK238" s="111"/>
      <c r="AL238" s="111"/>
      <c r="AM238" s="111"/>
      <c r="AN238" s="111"/>
      <c r="AO238" s="111"/>
      <c r="AP238" s="111"/>
      <c r="AQ238" s="111"/>
    </row>
    <row r="239" spans="17:43" ht="15">
      <c r="W239" s="179" t="str">
        <f t="shared" si="18"/>
        <v>Int</v>
      </c>
      <c r="X239">
        <f t="shared" si="19"/>
        <v>9</v>
      </c>
      <c r="Y239" t="str">
        <f t="shared" si="20"/>
        <v>D9Int</v>
      </c>
      <c r="Z239" s="193" t="s">
        <v>37</v>
      </c>
      <c r="AA239" s="193" t="s">
        <v>1830</v>
      </c>
      <c r="AB239" s="179" t="s">
        <v>677</v>
      </c>
      <c r="AC239" s="94"/>
      <c r="AD239" s="95"/>
      <c r="AE239" s="111"/>
      <c r="AF239" s="111"/>
      <c r="AG239" s="111"/>
      <c r="AH239" s="111"/>
      <c r="AI239" s="111"/>
      <c r="AJ239" s="111"/>
      <c r="AK239" s="111"/>
      <c r="AL239" s="111"/>
      <c r="AM239" s="111"/>
      <c r="AN239" s="111"/>
      <c r="AO239" s="111"/>
      <c r="AP239" s="111"/>
      <c r="AQ239" s="111"/>
    </row>
    <row r="240" spans="17:43" ht="15">
      <c r="W240" s="179" t="str">
        <f t="shared" si="18"/>
        <v>Int</v>
      </c>
      <c r="X240">
        <f t="shared" si="19"/>
        <v>1</v>
      </c>
      <c r="Y240" t="str">
        <f t="shared" si="20"/>
        <v>P1Int</v>
      </c>
      <c r="Z240" s="193" t="s">
        <v>35</v>
      </c>
      <c r="AA240" s="193" t="s">
        <v>885</v>
      </c>
      <c r="AB240" s="179" t="s">
        <v>677</v>
      </c>
      <c r="AC240" s="94"/>
      <c r="AD240" s="95"/>
      <c r="AE240" s="111"/>
      <c r="AF240" s="111"/>
      <c r="AG240" s="111"/>
      <c r="AH240" s="111"/>
      <c r="AI240" s="111"/>
      <c r="AJ240" s="111"/>
      <c r="AK240" s="111"/>
      <c r="AL240" s="111"/>
      <c r="AM240" s="111"/>
      <c r="AN240" s="111"/>
      <c r="AO240" s="111"/>
      <c r="AP240" s="111"/>
      <c r="AQ240" s="111"/>
    </row>
    <row r="241" spans="23:43" ht="15">
      <c r="W241" s="179" t="str">
        <f t="shared" si="18"/>
        <v>Int</v>
      </c>
      <c r="X241">
        <f t="shared" si="19"/>
        <v>2</v>
      </c>
      <c r="Y241" t="str">
        <f t="shared" si="20"/>
        <v>P2Int</v>
      </c>
      <c r="Z241" s="193" t="s">
        <v>35</v>
      </c>
      <c r="AA241" s="193" t="s">
        <v>356</v>
      </c>
      <c r="AB241" s="179" t="s">
        <v>677</v>
      </c>
      <c r="AC241" s="94"/>
      <c r="AD241"/>
      <c r="AE241" s="111"/>
      <c r="AF241" s="111"/>
      <c r="AG241" s="111"/>
      <c r="AH241" s="111"/>
      <c r="AI241" s="111"/>
      <c r="AJ241" s="111"/>
      <c r="AK241" s="111"/>
      <c r="AL241" s="111"/>
      <c r="AM241" s="111"/>
      <c r="AN241" s="111"/>
      <c r="AO241" s="111"/>
      <c r="AP241" s="111"/>
      <c r="AQ241" s="111"/>
    </row>
    <row r="242" spans="23:43" ht="15">
      <c r="W242" s="179" t="str">
        <f t="shared" si="18"/>
        <v>Int</v>
      </c>
      <c r="X242">
        <f t="shared" si="19"/>
        <v>3</v>
      </c>
      <c r="Y242" t="str">
        <f t="shared" si="20"/>
        <v>P3Int</v>
      </c>
      <c r="Z242" s="193" t="s">
        <v>35</v>
      </c>
      <c r="AA242" s="193" t="s">
        <v>385</v>
      </c>
      <c r="AB242" s="179" t="s">
        <v>677</v>
      </c>
      <c r="AC242" s="94"/>
      <c r="AD242" s="95"/>
      <c r="AE242" s="111"/>
      <c r="AF242" s="111"/>
      <c r="AG242" s="111"/>
      <c r="AH242" s="111"/>
      <c r="AI242" s="111"/>
      <c r="AJ242" s="111"/>
      <c r="AK242" s="111"/>
      <c r="AL242" s="111"/>
      <c r="AM242" s="111"/>
      <c r="AN242" s="111"/>
      <c r="AO242" s="111"/>
      <c r="AP242" s="111"/>
      <c r="AQ242" s="111"/>
    </row>
    <row r="243" spans="23:43" ht="15">
      <c r="W243" s="179" t="str">
        <f t="shared" si="18"/>
        <v>Juv</v>
      </c>
      <c r="X243">
        <f t="shared" si="19"/>
        <v>1</v>
      </c>
      <c r="Y243" t="str">
        <f t="shared" si="20"/>
        <v>A1Juv</v>
      </c>
      <c r="Z243" s="193" t="s">
        <v>43</v>
      </c>
      <c r="AA243" s="193" t="s">
        <v>355</v>
      </c>
      <c r="AB243" s="179" t="s">
        <v>676</v>
      </c>
      <c r="AC243" s="94"/>
      <c r="AD243" s="95"/>
      <c r="AE243" s="111"/>
      <c r="AF243" s="111"/>
      <c r="AG243" s="111"/>
      <c r="AH243" s="111"/>
      <c r="AI243" s="111"/>
      <c r="AJ243" s="111"/>
      <c r="AK243" s="111"/>
      <c r="AL243" s="111"/>
      <c r="AM243" s="111"/>
      <c r="AN243" s="111"/>
      <c r="AO243" s="111"/>
      <c r="AP243" s="111"/>
      <c r="AQ243" s="111"/>
    </row>
    <row r="244" spans="23:43" ht="15">
      <c r="W244" s="179" t="str">
        <f t="shared" si="18"/>
        <v>Juv</v>
      </c>
      <c r="X244">
        <f t="shared" si="19"/>
        <v>2</v>
      </c>
      <c r="Y244" t="str">
        <f t="shared" si="20"/>
        <v>A2Juv</v>
      </c>
      <c r="Z244" s="193" t="s">
        <v>43</v>
      </c>
      <c r="AA244" s="193" t="s">
        <v>393</v>
      </c>
      <c r="AB244" s="179" t="s">
        <v>676</v>
      </c>
      <c r="AC244" s="94"/>
      <c r="AD244" s="95"/>
      <c r="AE244" s="111"/>
      <c r="AF244" s="111"/>
      <c r="AG244" s="111"/>
      <c r="AH244" s="111"/>
      <c r="AI244" s="111"/>
      <c r="AJ244" s="111"/>
      <c r="AK244" s="111"/>
      <c r="AL244" s="111"/>
      <c r="AM244" s="111"/>
      <c r="AN244" s="111"/>
      <c r="AO244" s="111"/>
      <c r="AP244" s="111"/>
      <c r="AQ244" s="111"/>
    </row>
    <row r="245" spans="23:43" ht="15">
      <c r="W245" s="179" t="str">
        <f t="shared" si="18"/>
        <v>Juv</v>
      </c>
      <c r="X245">
        <f t="shared" si="19"/>
        <v>3</v>
      </c>
      <c r="Y245" t="str">
        <f t="shared" si="20"/>
        <v>A3Juv</v>
      </c>
      <c r="Z245" s="193" t="s">
        <v>43</v>
      </c>
      <c r="AA245" s="193" t="s">
        <v>433</v>
      </c>
      <c r="AB245" s="179" t="s">
        <v>676</v>
      </c>
      <c r="AC245" s="94"/>
      <c r="AD245" s="95"/>
      <c r="AE245" s="111"/>
      <c r="AF245" s="111"/>
      <c r="AG245" s="111"/>
      <c r="AH245" s="111"/>
      <c r="AI245" s="111"/>
      <c r="AJ245" s="111"/>
      <c r="AK245" s="111"/>
      <c r="AL245" s="111"/>
      <c r="AM245" s="111"/>
      <c r="AN245" s="111"/>
      <c r="AO245" s="111"/>
      <c r="AP245" s="111"/>
      <c r="AQ245" s="111"/>
    </row>
    <row r="246" spans="23:43" ht="15">
      <c r="W246" s="179" t="str">
        <f t="shared" si="18"/>
        <v>Juv</v>
      </c>
      <c r="X246">
        <f t="shared" si="19"/>
        <v>4</v>
      </c>
      <c r="Y246" t="str">
        <f t="shared" si="20"/>
        <v>A4Juv</v>
      </c>
      <c r="Z246" s="193" t="s">
        <v>43</v>
      </c>
      <c r="AA246" s="193" t="s">
        <v>489</v>
      </c>
      <c r="AB246" s="179" t="s">
        <v>676</v>
      </c>
      <c r="AC246" s="94"/>
      <c r="AD246" s="95"/>
      <c r="AE246" s="111"/>
      <c r="AF246" s="111"/>
      <c r="AG246" s="111"/>
      <c r="AH246" s="111"/>
      <c r="AI246" s="111"/>
      <c r="AJ246" s="111"/>
      <c r="AK246" s="111"/>
      <c r="AL246" s="111"/>
      <c r="AM246" s="111"/>
      <c r="AN246" s="111"/>
      <c r="AO246" s="111"/>
      <c r="AP246" s="111"/>
      <c r="AQ246" s="111"/>
    </row>
    <row r="247" spans="23:43" ht="15">
      <c r="W247" s="179" t="str">
        <f t="shared" si="18"/>
        <v>Juv</v>
      </c>
      <c r="X247">
        <f t="shared" si="19"/>
        <v>1</v>
      </c>
      <c r="Y247" t="str">
        <f t="shared" si="20"/>
        <v>C1Juv</v>
      </c>
      <c r="Z247" s="193" t="s">
        <v>39</v>
      </c>
      <c r="AA247" s="193" t="s">
        <v>1836</v>
      </c>
      <c r="AB247" s="179" t="s">
        <v>676</v>
      </c>
      <c r="AC247" s="94"/>
      <c r="AD247" s="95"/>
      <c r="AE247" s="111"/>
      <c r="AF247" s="111"/>
      <c r="AG247" s="111"/>
      <c r="AH247" s="111"/>
      <c r="AI247" s="111"/>
      <c r="AJ247" s="111"/>
      <c r="AK247" s="111"/>
      <c r="AL247" s="111"/>
      <c r="AM247" s="111"/>
      <c r="AN247" s="111"/>
      <c r="AO247" s="111"/>
      <c r="AP247" s="111"/>
      <c r="AQ247" s="111"/>
    </row>
    <row r="248" spans="23:43" ht="15">
      <c r="W248" s="179" t="str">
        <f t="shared" si="18"/>
        <v>Juv</v>
      </c>
      <c r="X248">
        <f t="shared" si="19"/>
        <v>2</v>
      </c>
      <c r="Y248" t="str">
        <f t="shared" si="20"/>
        <v>C2Juv</v>
      </c>
      <c r="Z248" s="193" t="s">
        <v>39</v>
      </c>
      <c r="AA248" s="193" t="s">
        <v>340</v>
      </c>
      <c r="AB248" s="179" t="s">
        <v>676</v>
      </c>
      <c r="AC248" s="94"/>
      <c r="AD248" s="95"/>
      <c r="AE248" s="111"/>
      <c r="AF248" s="111"/>
      <c r="AG248" s="111"/>
      <c r="AH248" s="111"/>
      <c r="AI248" s="111"/>
      <c r="AJ248" s="111"/>
      <c r="AK248" s="111"/>
      <c r="AL248" s="111"/>
      <c r="AM248" s="111"/>
      <c r="AN248" s="111"/>
      <c r="AO248" s="111"/>
      <c r="AP248" s="111"/>
      <c r="AQ248" s="111"/>
    </row>
    <row r="249" spans="23:43" ht="15">
      <c r="W249" s="179" t="str">
        <f t="shared" si="18"/>
        <v>Juv</v>
      </c>
      <c r="X249">
        <f t="shared" si="19"/>
        <v>3</v>
      </c>
      <c r="Y249" t="str">
        <f t="shared" si="20"/>
        <v>C3Juv</v>
      </c>
      <c r="Z249" s="193" t="s">
        <v>39</v>
      </c>
      <c r="AA249" s="193" t="s">
        <v>1339</v>
      </c>
      <c r="AB249" s="179" t="s">
        <v>676</v>
      </c>
      <c r="AC249" s="94"/>
      <c r="AD249" s="95"/>
      <c r="AE249" s="111"/>
      <c r="AF249" s="111"/>
      <c r="AG249" s="111"/>
      <c r="AH249" s="111"/>
      <c r="AI249" s="111"/>
      <c r="AJ249" s="111"/>
      <c r="AK249" s="111"/>
      <c r="AL249" s="111"/>
      <c r="AM249" s="111"/>
      <c r="AN249" s="111"/>
      <c r="AO249" s="111"/>
      <c r="AP249" s="111"/>
      <c r="AQ249" s="111"/>
    </row>
    <row r="250" spans="23:43" ht="15">
      <c r="W250" s="179" t="str">
        <f t="shared" si="18"/>
        <v>Juv</v>
      </c>
      <c r="X250">
        <f t="shared" si="19"/>
        <v>4</v>
      </c>
      <c r="Y250" t="str">
        <f t="shared" si="20"/>
        <v>C4Juv</v>
      </c>
      <c r="Z250" s="193" t="s">
        <v>39</v>
      </c>
      <c r="AA250" s="193" t="s">
        <v>1734</v>
      </c>
      <c r="AB250" s="179" t="s">
        <v>676</v>
      </c>
      <c r="AC250" s="94"/>
      <c r="AD250" s="95"/>
      <c r="AE250" s="111"/>
      <c r="AF250" s="111"/>
      <c r="AG250" s="111"/>
      <c r="AH250" s="111"/>
      <c r="AI250" s="111"/>
      <c r="AJ250" s="111"/>
      <c r="AK250" s="111"/>
      <c r="AL250" s="111"/>
      <c r="AM250" s="111"/>
      <c r="AN250" s="111"/>
      <c r="AO250" s="111"/>
      <c r="AP250" s="111"/>
      <c r="AQ250" s="111"/>
    </row>
    <row r="251" spans="23:43" ht="15">
      <c r="W251" s="179" t="str">
        <f t="shared" si="18"/>
        <v>Juv</v>
      </c>
      <c r="X251">
        <f t="shared" si="19"/>
        <v>5</v>
      </c>
      <c r="Y251" t="str">
        <f t="shared" si="20"/>
        <v>C5Juv</v>
      </c>
      <c r="Z251" s="193" t="s">
        <v>39</v>
      </c>
      <c r="AA251" s="193" t="s">
        <v>513</v>
      </c>
      <c r="AB251" s="179" t="s">
        <v>676</v>
      </c>
      <c r="AC251" s="94"/>
      <c r="AD251" s="95"/>
      <c r="AE251" s="111"/>
      <c r="AF251" s="111"/>
      <c r="AG251" s="111"/>
      <c r="AH251" s="111"/>
      <c r="AI251" s="111"/>
      <c r="AJ251" s="111"/>
      <c r="AK251" s="111"/>
      <c r="AL251" s="111"/>
      <c r="AM251" s="111"/>
      <c r="AN251" s="111"/>
      <c r="AO251" s="111"/>
      <c r="AP251" s="111"/>
      <c r="AQ251" s="111"/>
    </row>
    <row r="252" spans="23:43" ht="15">
      <c r="W252" s="179" t="str">
        <f t="shared" si="18"/>
        <v>Juv</v>
      </c>
      <c r="X252">
        <f t="shared" si="19"/>
        <v>6</v>
      </c>
      <c r="Y252" t="str">
        <f t="shared" si="20"/>
        <v>C6Juv</v>
      </c>
      <c r="Z252" s="193" t="s">
        <v>39</v>
      </c>
      <c r="AA252" s="193" t="s">
        <v>543</v>
      </c>
      <c r="AB252" s="179" t="s">
        <v>676</v>
      </c>
      <c r="AC252" s="94"/>
      <c r="AD252" s="95"/>
      <c r="AE252" s="111"/>
      <c r="AF252" s="111"/>
      <c r="AG252" s="111"/>
      <c r="AH252" s="111"/>
      <c r="AI252" s="111"/>
      <c r="AJ252" s="111"/>
      <c r="AK252" s="111"/>
      <c r="AL252" s="111"/>
      <c r="AM252" s="111"/>
      <c r="AN252" s="111"/>
      <c r="AO252" s="111"/>
      <c r="AP252" s="111"/>
      <c r="AQ252" s="111"/>
    </row>
    <row r="253" spans="23:43" ht="15">
      <c r="W253" s="179" t="str">
        <f t="shared" si="18"/>
        <v>Juv</v>
      </c>
      <c r="X253">
        <f t="shared" si="19"/>
        <v>7</v>
      </c>
      <c r="Y253" t="str">
        <f t="shared" si="20"/>
        <v>C7Juv</v>
      </c>
      <c r="Z253" s="193" t="s">
        <v>39</v>
      </c>
      <c r="AA253" s="193" t="s">
        <v>1938</v>
      </c>
      <c r="AB253" s="179" t="s">
        <v>676</v>
      </c>
      <c r="AC253" s="94"/>
      <c r="AD253" s="95"/>
      <c r="AE253" s="111"/>
      <c r="AF253" s="111"/>
      <c r="AG253" s="111"/>
      <c r="AH253" s="111"/>
      <c r="AI253" s="111"/>
      <c r="AJ253" s="111"/>
      <c r="AK253" s="111"/>
      <c r="AL253" s="111"/>
      <c r="AM253" s="111"/>
      <c r="AN253" s="111"/>
      <c r="AO253" s="111"/>
      <c r="AP253" s="111"/>
      <c r="AQ253" s="111"/>
    </row>
    <row r="254" spans="23:43" ht="15">
      <c r="W254" s="179" t="str">
        <f t="shared" si="18"/>
        <v>Juv</v>
      </c>
      <c r="X254">
        <f t="shared" si="19"/>
        <v>8</v>
      </c>
      <c r="Y254" t="str">
        <f t="shared" si="20"/>
        <v>C8Juv</v>
      </c>
      <c r="Z254" s="193" t="s">
        <v>39</v>
      </c>
      <c r="AA254" s="193" t="s">
        <v>582</v>
      </c>
      <c r="AB254" s="179" t="s">
        <v>676</v>
      </c>
      <c r="AC254" s="94"/>
      <c r="AD254" s="95"/>
      <c r="AE254" s="111"/>
      <c r="AF254" s="111"/>
      <c r="AG254" s="111"/>
      <c r="AH254" s="111"/>
      <c r="AI254" s="111"/>
      <c r="AJ254" s="111"/>
      <c r="AK254" s="111"/>
      <c r="AL254" s="111"/>
      <c r="AM254" s="111"/>
      <c r="AN254" s="111"/>
      <c r="AO254" s="111"/>
      <c r="AP254" s="111"/>
      <c r="AQ254" s="111"/>
    </row>
    <row r="255" spans="23:43" ht="15">
      <c r="W255" s="179" t="str">
        <f t="shared" si="18"/>
        <v>Juv</v>
      </c>
      <c r="X255">
        <f t="shared" si="19"/>
        <v>9</v>
      </c>
      <c r="Y255" t="str">
        <f t="shared" si="20"/>
        <v>C9Juv</v>
      </c>
      <c r="Z255" s="193" t="s">
        <v>39</v>
      </c>
      <c r="AA255" s="193" t="s">
        <v>608</v>
      </c>
      <c r="AB255" s="179" t="s">
        <v>676</v>
      </c>
      <c r="AC255" s="94"/>
      <c r="AD255" s="95"/>
      <c r="AE255" s="111"/>
      <c r="AF255" s="111"/>
      <c r="AG255" s="111"/>
      <c r="AH255" s="111"/>
      <c r="AI255" s="111"/>
      <c r="AJ255" s="111"/>
      <c r="AK255" s="111"/>
      <c r="AL255" s="111"/>
      <c r="AM255" s="111"/>
      <c r="AN255" s="111"/>
      <c r="AO255" s="111"/>
      <c r="AP255" s="111"/>
      <c r="AQ255" s="111"/>
    </row>
    <row r="256" spans="23:43" ht="15">
      <c r="W256" s="179" t="str">
        <f t="shared" si="18"/>
        <v>Juv</v>
      </c>
      <c r="X256">
        <f t="shared" si="19"/>
        <v>1</v>
      </c>
      <c r="Y256" t="str">
        <f t="shared" si="20"/>
        <v>D1Juv</v>
      </c>
      <c r="Z256" s="193" t="s">
        <v>37</v>
      </c>
      <c r="AA256" s="193" t="s">
        <v>312</v>
      </c>
      <c r="AB256" s="179" t="s">
        <v>676</v>
      </c>
      <c r="AC256" s="94"/>
      <c r="AD256" s="95"/>
      <c r="AE256" s="111"/>
      <c r="AF256" s="111"/>
      <c r="AG256" s="111"/>
      <c r="AH256" s="111"/>
      <c r="AI256" s="111"/>
      <c r="AJ256" s="111"/>
      <c r="AK256" s="111"/>
      <c r="AL256" s="111"/>
      <c r="AM256" s="111"/>
      <c r="AN256" s="111"/>
      <c r="AO256" s="111"/>
      <c r="AP256" s="111"/>
      <c r="AQ256" s="111"/>
    </row>
    <row r="257" spans="23:43" ht="15">
      <c r="W257" s="179" t="str">
        <f t="shared" si="18"/>
        <v>Juv</v>
      </c>
      <c r="X257">
        <f t="shared" si="19"/>
        <v>2</v>
      </c>
      <c r="Y257" t="str">
        <f t="shared" si="20"/>
        <v>D2Juv</v>
      </c>
      <c r="Z257" s="193" t="s">
        <v>37</v>
      </c>
      <c r="AA257" s="193" t="s">
        <v>309</v>
      </c>
      <c r="AB257" s="179" t="s">
        <v>676</v>
      </c>
      <c r="AC257" s="94"/>
      <c r="AD257" s="95"/>
      <c r="AE257" s="111"/>
      <c r="AF257" s="111"/>
      <c r="AG257" s="111"/>
      <c r="AH257" s="111"/>
      <c r="AI257" s="111"/>
      <c r="AJ257" s="111"/>
      <c r="AK257" s="111"/>
      <c r="AL257" s="111"/>
      <c r="AM257" s="111"/>
      <c r="AN257" s="111"/>
      <c r="AO257" s="111"/>
      <c r="AP257" s="111"/>
      <c r="AQ257" s="111"/>
    </row>
    <row r="258" spans="23:43" ht="15">
      <c r="W258" s="179" t="str">
        <f t="shared" si="18"/>
        <v>Juv</v>
      </c>
      <c r="X258">
        <f t="shared" si="19"/>
        <v>3</v>
      </c>
      <c r="Y258" t="str">
        <f t="shared" si="20"/>
        <v>D3Juv</v>
      </c>
      <c r="Z258" s="193" t="s">
        <v>37</v>
      </c>
      <c r="AA258" s="193" t="s">
        <v>349</v>
      </c>
      <c r="AB258" s="179" t="s">
        <v>676</v>
      </c>
      <c r="AC258" s="94"/>
      <c r="AD258" s="95"/>
      <c r="AE258" s="111"/>
      <c r="AF258" s="111"/>
      <c r="AG258" s="111"/>
      <c r="AH258" s="111"/>
      <c r="AI258" s="111"/>
      <c r="AJ258" s="111"/>
      <c r="AK258" s="111"/>
      <c r="AL258" s="111"/>
      <c r="AM258" s="111"/>
      <c r="AN258" s="111"/>
      <c r="AO258" s="111"/>
      <c r="AP258" s="111"/>
      <c r="AQ258" s="111"/>
    </row>
    <row r="259" spans="23:43" ht="15">
      <c r="W259" s="179" t="str">
        <f t="shared" ref="W259:W322" si="21">MID(AB259,1,3)</f>
        <v>Juv</v>
      </c>
      <c r="X259">
        <f t="shared" ref="X259:X322" si="22">IF(Z259&lt;&gt;Z258,1,X258+1)</f>
        <v>4</v>
      </c>
      <c r="Y259" t="str">
        <f t="shared" ref="Y259:Y322" si="23">Z259&amp;X259&amp;W259</f>
        <v>D4Juv</v>
      </c>
      <c r="Z259" s="193" t="s">
        <v>37</v>
      </c>
      <c r="AA259" s="193" t="s">
        <v>360</v>
      </c>
      <c r="AB259" s="179" t="s">
        <v>676</v>
      </c>
      <c r="AC259" s="94"/>
      <c r="AD259" s="95"/>
      <c r="AE259" s="111"/>
      <c r="AF259" s="111"/>
      <c r="AG259" s="111"/>
      <c r="AH259" s="111"/>
      <c r="AI259" s="111"/>
      <c r="AJ259" s="111"/>
      <c r="AK259" s="111"/>
      <c r="AL259" s="111"/>
      <c r="AM259" s="111"/>
      <c r="AN259" s="111"/>
      <c r="AO259" s="111"/>
      <c r="AP259" s="111"/>
      <c r="AQ259" s="111"/>
    </row>
    <row r="260" spans="23:43" ht="15">
      <c r="W260" s="179" t="str">
        <f t="shared" si="21"/>
        <v>Juv</v>
      </c>
      <c r="X260">
        <f t="shared" si="22"/>
        <v>5</v>
      </c>
      <c r="Y260" t="str">
        <f t="shared" si="23"/>
        <v>D5Juv</v>
      </c>
      <c r="Z260" s="193" t="s">
        <v>37</v>
      </c>
      <c r="AA260" s="193" t="s">
        <v>417</v>
      </c>
      <c r="AB260" s="179" t="s">
        <v>676</v>
      </c>
      <c r="AC260" s="94"/>
      <c r="AD260" s="95"/>
      <c r="AE260" s="111"/>
      <c r="AF260" s="111"/>
      <c r="AG260" s="111"/>
      <c r="AH260" s="111"/>
      <c r="AI260" s="111"/>
      <c r="AJ260" s="111"/>
      <c r="AK260" s="111"/>
      <c r="AL260" s="111"/>
      <c r="AM260" s="111"/>
      <c r="AN260" s="111"/>
      <c r="AO260" s="111"/>
      <c r="AP260" s="111"/>
      <c r="AQ260" s="111"/>
    </row>
    <row r="261" spans="23:43" ht="15">
      <c r="W261" s="179" t="str">
        <f t="shared" si="21"/>
        <v>Juv</v>
      </c>
      <c r="X261">
        <f t="shared" si="22"/>
        <v>6</v>
      </c>
      <c r="Y261" t="str">
        <f t="shared" si="23"/>
        <v>D6Juv</v>
      </c>
      <c r="Z261" s="193" t="s">
        <v>37</v>
      </c>
      <c r="AA261" s="193" t="s">
        <v>451</v>
      </c>
      <c r="AB261" s="179" t="s">
        <v>676</v>
      </c>
      <c r="AC261" s="94"/>
      <c r="AD261" s="95"/>
      <c r="AE261" s="111"/>
      <c r="AF261" s="111"/>
      <c r="AG261" s="111"/>
      <c r="AH261" s="111"/>
      <c r="AI261" s="111"/>
      <c r="AJ261" s="111"/>
      <c r="AK261" s="111"/>
      <c r="AL261" s="111"/>
      <c r="AM261" s="111"/>
      <c r="AN261" s="111"/>
      <c r="AO261" s="111"/>
      <c r="AP261" s="111"/>
      <c r="AQ261" s="111"/>
    </row>
    <row r="262" spans="23:43" ht="15">
      <c r="W262" s="179" t="str">
        <f t="shared" si="21"/>
        <v>Juv</v>
      </c>
      <c r="X262">
        <f t="shared" si="22"/>
        <v>7</v>
      </c>
      <c r="Y262" t="str">
        <f t="shared" si="23"/>
        <v>D7Juv</v>
      </c>
      <c r="Z262" s="193" t="s">
        <v>37</v>
      </c>
      <c r="AA262" s="193" t="s">
        <v>1981</v>
      </c>
      <c r="AB262" s="179" t="s">
        <v>676</v>
      </c>
      <c r="AC262" s="94"/>
      <c r="AD262" s="95"/>
      <c r="AE262" s="111"/>
      <c r="AF262" s="111"/>
      <c r="AG262" s="111"/>
      <c r="AH262" s="111"/>
      <c r="AI262" s="111"/>
      <c r="AJ262" s="111"/>
      <c r="AK262" s="111"/>
      <c r="AL262" s="111"/>
      <c r="AM262" s="111"/>
      <c r="AN262" s="111"/>
      <c r="AO262" s="111"/>
      <c r="AP262" s="111"/>
      <c r="AQ262" s="111"/>
    </row>
    <row r="263" spans="23:43" ht="15">
      <c r="W263" s="179" t="str">
        <f t="shared" si="21"/>
        <v>Juv</v>
      </c>
      <c r="X263">
        <f t="shared" si="22"/>
        <v>8</v>
      </c>
      <c r="Y263" t="str">
        <f t="shared" si="23"/>
        <v>D8Juv</v>
      </c>
      <c r="Z263" s="193" t="s">
        <v>37</v>
      </c>
      <c r="AA263" s="193" t="s">
        <v>529</v>
      </c>
      <c r="AB263" s="179" t="s">
        <v>676</v>
      </c>
      <c r="AC263" s="94"/>
      <c r="AD263"/>
      <c r="AE263" s="111"/>
      <c r="AF263" s="111"/>
      <c r="AG263" s="111"/>
      <c r="AH263" s="111"/>
      <c r="AI263" s="111"/>
      <c r="AJ263" s="111"/>
      <c r="AK263" s="111"/>
      <c r="AL263" s="111"/>
      <c r="AM263" s="111"/>
      <c r="AN263" s="111"/>
      <c r="AO263" s="111"/>
      <c r="AP263" s="111"/>
      <c r="AQ263" s="111"/>
    </row>
    <row r="264" spans="23:43" ht="15">
      <c r="W264" s="179" t="str">
        <f t="shared" si="21"/>
        <v>Juv</v>
      </c>
      <c r="X264">
        <f t="shared" si="22"/>
        <v>9</v>
      </c>
      <c r="Y264" t="str">
        <f t="shared" si="23"/>
        <v>D9Juv</v>
      </c>
      <c r="Z264" s="193" t="s">
        <v>37</v>
      </c>
      <c r="AA264" s="193" t="s">
        <v>588</v>
      </c>
      <c r="AB264" s="179" t="s">
        <v>676</v>
      </c>
      <c r="AC264" s="94"/>
      <c r="AD264" s="95"/>
      <c r="AE264" s="111"/>
      <c r="AF264" s="111"/>
      <c r="AG264" s="111"/>
      <c r="AH264" s="111"/>
      <c r="AI264" s="111"/>
      <c r="AJ264" s="111"/>
      <c r="AK264" s="111"/>
      <c r="AL264" s="111"/>
      <c r="AM264" s="111"/>
      <c r="AN264" s="111"/>
      <c r="AO264" s="111"/>
      <c r="AP264" s="111"/>
      <c r="AQ264" s="111"/>
    </row>
    <row r="265" spans="23:43" ht="15">
      <c r="W265" s="179" t="str">
        <f t="shared" si="21"/>
        <v>Juv</v>
      </c>
      <c r="X265">
        <f t="shared" si="22"/>
        <v>1</v>
      </c>
      <c r="Y265" t="str">
        <f t="shared" si="23"/>
        <v>P1Juv</v>
      </c>
      <c r="Z265" s="193" t="s">
        <v>35</v>
      </c>
      <c r="AA265" s="193" t="s">
        <v>316</v>
      </c>
      <c r="AB265" s="179" t="s">
        <v>676</v>
      </c>
      <c r="AC265" s="94"/>
      <c r="AD265" s="95"/>
      <c r="AE265" s="111"/>
      <c r="AF265" s="111"/>
      <c r="AG265" s="111"/>
      <c r="AH265" s="111"/>
      <c r="AI265" s="111"/>
      <c r="AJ265" s="111"/>
      <c r="AK265" s="111"/>
      <c r="AL265" s="111"/>
      <c r="AM265" s="111"/>
      <c r="AN265" s="111"/>
      <c r="AO265" s="111"/>
      <c r="AP265" s="111"/>
      <c r="AQ265" s="111"/>
    </row>
    <row r="266" spans="23:43" ht="15">
      <c r="W266" s="179" t="str">
        <f t="shared" si="21"/>
        <v>Juv</v>
      </c>
      <c r="X266">
        <f t="shared" si="22"/>
        <v>2</v>
      </c>
      <c r="Y266" t="str">
        <f t="shared" si="23"/>
        <v>P2Juv</v>
      </c>
      <c r="Z266" s="193" t="s">
        <v>35</v>
      </c>
      <c r="AA266" s="193" t="s">
        <v>1684</v>
      </c>
      <c r="AB266" s="179" t="s">
        <v>676</v>
      </c>
      <c r="AC266" s="94"/>
      <c r="AD266" s="95"/>
      <c r="AE266" s="111"/>
      <c r="AF266" s="111"/>
      <c r="AG266" s="111"/>
      <c r="AH266" s="111"/>
      <c r="AI266" s="111"/>
      <c r="AJ266" s="111"/>
      <c r="AK266" s="111"/>
      <c r="AL266" s="111"/>
      <c r="AM266" s="111"/>
      <c r="AN266" s="111"/>
      <c r="AO266" s="111"/>
      <c r="AP266" s="111"/>
      <c r="AQ266" s="111"/>
    </row>
    <row r="267" spans="23:43" ht="15">
      <c r="W267" s="179" t="str">
        <f t="shared" si="21"/>
        <v>Juv</v>
      </c>
      <c r="X267">
        <f t="shared" si="22"/>
        <v>3</v>
      </c>
      <c r="Y267" t="str">
        <f t="shared" si="23"/>
        <v>P3Juv</v>
      </c>
      <c r="Z267" s="193" t="s">
        <v>35</v>
      </c>
      <c r="AA267" s="193" t="s">
        <v>886</v>
      </c>
      <c r="AB267" s="179" t="s">
        <v>676</v>
      </c>
      <c r="AC267" s="94"/>
      <c r="AD267" s="95"/>
      <c r="AE267" s="111"/>
      <c r="AF267" s="111"/>
      <c r="AG267" s="111"/>
      <c r="AH267" s="111"/>
      <c r="AI267" s="111"/>
      <c r="AJ267" s="111"/>
      <c r="AK267" s="111"/>
      <c r="AL267" s="111"/>
      <c r="AM267" s="111"/>
      <c r="AN267" s="111"/>
      <c r="AO267" s="111"/>
      <c r="AP267" s="111"/>
      <c r="AQ267" s="111"/>
    </row>
    <row r="268" spans="23:43" ht="15">
      <c r="W268" s="179" t="str">
        <f t="shared" si="21"/>
        <v>Laz</v>
      </c>
      <c r="X268">
        <f t="shared" si="22"/>
        <v>1</v>
      </c>
      <c r="Y268" t="str">
        <f t="shared" si="23"/>
        <v>A1Laz</v>
      </c>
      <c r="Z268" s="193" t="s">
        <v>43</v>
      </c>
      <c r="AA268" s="193" t="s">
        <v>1796</v>
      </c>
      <c r="AB268" s="179" t="s">
        <v>682</v>
      </c>
      <c r="AC268" s="94"/>
      <c r="AD268"/>
      <c r="AE268" s="111"/>
      <c r="AF268" s="111"/>
      <c r="AG268" s="111"/>
      <c r="AH268" s="111"/>
      <c r="AI268" s="111"/>
      <c r="AJ268" s="111"/>
      <c r="AK268" s="111"/>
      <c r="AL268" s="111"/>
      <c r="AM268" s="111"/>
      <c r="AN268" s="111"/>
      <c r="AO268" s="111"/>
      <c r="AP268" s="111"/>
      <c r="AQ268" s="111"/>
    </row>
    <row r="269" spans="23:43" ht="15">
      <c r="W269" s="179" t="str">
        <f t="shared" si="21"/>
        <v>Laz</v>
      </c>
      <c r="X269">
        <f t="shared" si="22"/>
        <v>2</v>
      </c>
      <c r="Y269" t="str">
        <f t="shared" si="23"/>
        <v>A2Laz</v>
      </c>
      <c r="Z269" s="193" t="s">
        <v>43</v>
      </c>
      <c r="AA269" s="193" t="s">
        <v>347</v>
      </c>
      <c r="AB269" s="179" t="s">
        <v>682</v>
      </c>
      <c r="AC269" s="94"/>
      <c r="AD269" s="95"/>
      <c r="AE269" s="111"/>
      <c r="AF269" s="111"/>
      <c r="AG269" s="111"/>
      <c r="AH269" s="111"/>
      <c r="AI269" s="111"/>
      <c r="AJ269" s="111"/>
      <c r="AK269" s="111"/>
      <c r="AL269" s="111"/>
      <c r="AM269" s="111"/>
      <c r="AN269" s="111"/>
      <c r="AO269" s="111"/>
      <c r="AP269" s="111"/>
      <c r="AQ269" s="111"/>
    </row>
    <row r="270" spans="23:43" ht="15">
      <c r="W270" s="179" t="str">
        <f t="shared" si="21"/>
        <v>Laz</v>
      </c>
      <c r="X270">
        <f t="shared" si="22"/>
        <v>3</v>
      </c>
      <c r="Y270" t="str">
        <f t="shared" si="23"/>
        <v>A3Laz</v>
      </c>
      <c r="Z270" s="193" t="s">
        <v>43</v>
      </c>
      <c r="AA270" s="193" t="s">
        <v>401</v>
      </c>
      <c r="AB270" s="179" t="s">
        <v>682</v>
      </c>
      <c r="AC270" s="94"/>
      <c r="AD270" s="95"/>
      <c r="AE270" s="111"/>
      <c r="AF270" s="111"/>
      <c r="AG270" s="111"/>
      <c r="AH270" s="111"/>
      <c r="AI270" s="111"/>
      <c r="AJ270" s="111"/>
      <c r="AK270" s="111"/>
      <c r="AL270" s="111"/>
      <c r="AM270" s="111"/>
      <c r="AN270" s="111"/>
      <c r="AO270" s="111"/>
      <c r="AP270" s="111"/>
      <c r="AQ270" s="111"/>
    </row>
    <row r="271" spans="23:43" ht="15">
      <c r="W271" s="179" t="str">
        <f t="shared" si="21"/>
        <v>Laz</v>
      </c>
      <c r="X271">
        <f t="shared" si="22"/>
        <v>4</v>
      </c>
      <c r="Y271" t="str">
        <f t="shared" si="23"/>
        <v>A4Laz</v>
      </c>
      <c r="Z271" s="193" t="s">
        <v>43</v>
      </c>
      <c r="AA271" s="193" t="s">
        <v>1982</v>
      </c>
      <c r="AB271" s="179" t="s">
        <v>682</v>
      </c>
      <c r="AC271" s="94"/>
      <c r="AD271" s="95"/>
      <c r="AE271" s="111"/>
      <c r="AF271" s="111"/>
      <c r="AG271" s="111"/>
      <c r="AH271" s="111"/>
      <c r="AI271" s="111"/>
      <c r="AJ271" s="111"/>
      <c r="AK271" s="111"/>
      <c r="AL271" s="111"/>
      <c r="AM271" s="111"/>
      <c r="AN271" s="111"/>
      <c r="AO271" s="111"/>
      <c r="AP271" s="111"/>
      <c r="AQ271" s="111"/>
    </row>
    <row r="272" spans="23:43" ht="15">
      <c r="W272" s="179" t="str">
        <f t="shared" si="21"/>
        <v>Laz</v>
      </c>
      <c r="X272">
        <f t="shared" si="22"/>
        <v>5</v>
      </c>
      <c r="Y272" t="str">
        <f t="shared" si="23"/>
        <v>A5Laz</v>
      </c>
      <c r="Z272" s="193" t="s">
        <v>43</v>
      </c>
      <c r="AA272" s="193" t="s">
        <v>1799</v>
      </c>
      <c r="AB272" s="179" t="s">
        <v>682</v>
      </c>
      <c r="AC272" s="94"/>
      <c r="AD272" s="95"/>
      <c r="AE272" s="111"/>
      <c r="AF272" s="111"/>
      <c r="AG272" s="111"/>
      <c r="AH272" s="111"/>
      <c r="AI272" s="111"/>
      <c r="AJ272" s="111"/>
      <c r="AK272" s="111"/>
      <c r="AL272" s="111"/>
      <c r="AM272" s="111"/>
      <c r="AN272" s="111"/>
      <c r="AO272" s="111"/>
      <c r="AP272" s="111"/>
      <c r="AQ272" s="111"/>
    </row>
    <row r="273" spans="23:43" ht="15">
      <c r="W273" s="179" t="str">
        <f t="shared" si="21"/>
        <v>Laz</v>
      </c>
      <c r="X273">
        <f t="shared" si="22"/>
        <v>1</v>
      </c>
      <c r="Y273" t="str">
        <f t="shared" si="23"/>
        <v>C1Laz</v>
      </c>
      <c r="Z273" s="193" t="s">
        <v>39</v>
      </c>
      <c r="AA273" s="193" t="s">
        <v>1837</v>
      </c>
      <c r="AB273" s="179" t="s">
        <v>682</v>
      </c>
      <c r="AC273" s="94"/>
      <c r="AD273" s="95"/>
      <c r="AE273" s="111"/>
      <c r="AF273" s="111"/>
      <c r="AG273" s="111"/>
      <c r="AH273" s="111"/>
      <c r="AI273" s="111"/>
      <c r="AJ273" s="111"/>
      <c r="AK273" s="111"/>
      <c r="AL273" s="111"/>
      <c r="AM273" s="111"/>
      <c r="AN273" s="111"/>
      <c r="AO273" s="111"/>
      <c r="AP273" s="111"/>
      <c r="AQ273" s="111"/>
    </row>
    <row r="274" spans="23:43" ht="15">
      <c r="W274" s="179" t="str">
        <f t="shared" si="21"/>
        <v>Laz</v>
      </c>
      <c r="X274">
        <f t="shared" si="22"/>
        <v>2</v>
      </c>
      <c r="Y274" t="str">
        <f t="shared" si="23"/>
        <v>C2Laz</v>
      </c>
      <c r="Z274" s="193" t="s">
        <v>39</v>
      </c>
      <c r="AA274" s="193" t="s">
        <v>1301</v>
      </c>
      <c r="AB274" s="179" t="s">
        <v>682</v>
      </c>
      <c r="AC274" s="94"/>
      <c r="AD274" s="95"/>
      <c r="AE274" s="111"/>
      <c r="AF274" s="111"/>
      <c r="AG274" s="111"/>
      <c r="AH274" s="111"/>
      <c r="AI274" s="111"/>
      <c r="AJ274" s="111"/>
      <c r="AK274" s="111"/>
      <c r="AL274" s="111"/>
      <c r="AM274" s="111"/>
      <c r="AN274" s="111"/>
      <c r="AO274" s="111"/>
      <c r="AP274" s="111"/>
      <c r="AQ274" s="111"/>
    </row>
    <row r="275" spans="23:43" ht="15">
      <c r="W275" s="179" t="str">
        <f t="shared" si="21"/>
        <v>Laz</v>
      </c>
      <c r="X275">
        <f t="shared" si="22"/>
        <v>3</v>
      </c>
      <c r="Y275" t="str">
        <f t="shared" si="23"/>
        <v>C3Laz</v>
      </c>
      <c r="Z275" s="193" t="s">
        <v>39</v>
      </c>
      <c r="AA275" s="193" t="s">
        <v>456</v>
      </c>
      <c r="AB275" s="179" t="s">
        <v>682</v>
      </c>
      <c r="AC275" s="94"/>
      <c r="AD275"/>
      <c r="AE275" s="111"/>
      <c r="AF275" s="111"/>
      <c r="AG275" s="111"/>
      <c r="AH275" s="111"/>
      <c r="AI275" s="111"/>
      <c r="AJ275" s="111"/>
      <c r="AK275" s="111"/>
      <c r="AL275" s="111"/>
      <c r="AM275" s="111"/>
      <c r="AN275" s="111"/>
      <c r="AO275" s="111"/>
      <c r="AP275" s="111"/>
      <c r="AQ275" s="111"/>
    </row>
    <row r="276" spans="23:43" ht="15">
      <c r="W276" s="179" t="str">
        <f t="shared" si="21"/>
        <v>Laz</v>
      </c>
      <c r="X276">
        <f t="shared" si="22"/>
        <v>4</v>
      </c>
      <c r="Y276" t="str">
        <f t="shared" si="23"/>
        <v>C4Laz</v>
      </c>
      <c r="Z276" s="193" t="s">
        <v>39</v>
      </c>
      <c r="AA276" s="193" t="s">
        <v>1740</v>
      </c>
      <c r="AB276" s="179" t="s">
        <v>682</v>
      </c>
      <c r="AC276" s="94"/>
      <c r="AD276" s="95"/>
      <c r="AE276" s="111"/>
      <c r="AF276" s="111"/>
      <c r="AG276" s="111"/>
      <c r="AH276" s="111"/>
      <c r="AI276" s="111"/>
      <c r="AJ276" s="111"/>
      <c r="AK276" s="111"/>
      <c r="AL276" s="111"/>
      <c r="AM276" s="111"/>
      <c r="AN276" s="111"/>
      <c r="AO276" s="111"/>
      <c r="AP276" s="111"/>
      <c r="AQ276" s="111"/>
    </row>
    <row r="277" spans="23:43" ht="15">
      <c r="W277" s="179" t="str">
        <f t="shared" si="21"/>
        <v>Laz</v>
      </c>
      <c r="X277">
        <f t="shared" si="22"/>
        <v>5</v>
      </c>
      <c r="Y277" t="str">
        <f t="shared" si="23"/>
        <v>C5Laz</v>
      </c>
      <c r="Z277" s="193" t="s">
        <v>39</v>
      </c>
      <c r="AA277" s="193" t="s">
        <v>1340</v>
      </c>
      <c r="AB277" s="179" t="s">
        <v>682</v>
      </c>
      <c r="AC277" s="94"/>
      <c r="AD277" s="95"/>
      <c r="AE277" s="111"/>
      <c r="AF277" s="111"/>
      <c r="AG277" s="111"/>
      <c r="AH277" s="111"/>
      <c r="AI277" s="111"/>
      <c r="AJ277" s="111"/>
      <c r="AK277" s="111"/>
      <c r="AL277" s="111"/>
      <c r="AM277" s="111"/>
      <c r="AN277" s="111"/>
      <c r="AO277" s="111"/>
      <c r="AP277" s="111"/>
      <c r="AQ277" s="111"/>
    </row>
    <row r="278" spans="23:43" ht="15">
      <c r="W278" s="179" t="str">
        <f t="shared" si="21"/>
        <v>Laz</v>
      </c>
      <c r="X278">
        <f t="shared" si="22"/>
        <v>6</v>
      </c>
      <c r="Y278" t="str">
        <f t="shared" si="23"/>
        <v>C6Laz</v>
      </c>
      <c r="Z278" s="193" t="s">
        <v>39</v>
      </c>
      <c r="AA278" s="193" t="s">
        <v>538</v>
      </c>
      <c r="AB278" s="179" t="s">
        <v>682</v>
      </c>
      <c r="AC278" s="94"/>
      <c r="AD278" s="95"/>
      <c r="AE278" s="111"/>
      <c r="AF278" s="111"/>
      <c r="AG278" s="111"/>
      <c r="AH278" s="111"/>
      <c r="AI278" s="111"/>
      <c r="AJ278" s="111"/>
      <c r="AK278" s="111"/>
      <c r="AL278" s="111"/>
      <c r="AM278" s="111"/>
      <c r="AN278" s="111"/>
      <c r="AO278" s="111"/>
      <c r="AP278" s="111"/>
      <c r="AQ278" s="111"/>
    </row>
    <row r="279" spans="23:43" ht="15">
      <c r="W279" s="179" t="str">
        <f t="shared" si="21"/>
        <v>Laz</v>
      </c>
      <c r="X279">
        <f t="shared" si="22"/>
        <v>7</v>
      </c>
      <c r="Y279" t="str">
        <f t="shared" si="23"/>
        <v>C7Laz</v>
      </c>
      <c r="Z279" s="193" t="s">
        <v>39</v>
      </c>
      <c r="AA279" s="193" t="s">
        <v>1704</v>
      </c>
      <c r="AB279" s="179" t="s">
        <v>682</v>
      </c>
      <c r="AC279" s="94"/>
      <c r="AD279" s="95"/>
      <c r="AE279" s="111"/>
      <c r="AF279" s="111"/>
      <c r="AG279" s="111"/>
      <c r="AH279" s="111"/>
      <c r="AI279" s="111"/>
      <c r="AJ279" s="111"/>
      <c r="AK279" s="111"/>
      <c r="AL279" s="111"/>
      <c r="AM279" s="111"/>
      <c r="AN279" s="111"/>
      <c r="AO279" s="111"/>
      <c r="AP279" s="111"/>
      <c r="AQ279" s="111"/>
    </row>
    <row r="280" spans="23:43" ht="15">
      <c r="W280" s="179" t="str">
        <f t="shared" si="21"/>
        <v>Laz</v>
      </c>
      <c r="X280">
        <f t="shared" si="22"/>
        <v>8</v>
      </c>
      <c r="Y280" t="str">
        <f t="shared" si="23"/>
        <v>C8Laz</v>
      </c>
      <c r="Z280" s="193" t="s">
        <v>39</v>
      </c>
      <c r="AA280" s="193" t="s">
        <v>555</v>
      </c>
      <c r="AB280" s="179" t="s">
        <v>682</v>
      </c>
      <c r="AC280" s="94"/>
      <c r="AD280" s="95"/>
      <c r="AE280" s="111"/>
      <c r="AF280" s="111"/>
      <c r="AG280" s="111"/>
      <c r="AH280" s="111"/>
      <c r="AI280" s="111"/>
      <c r="AJ280" s="111"/>
      <c r="AK280" s="111"/>
      <c r="AL280" s="111"/>
      <c r="AM280" s="111"/>
      <c r="AN280" s="111"/>
      <c r="AO280" s="111"/>
      <c r="AP280" s="111"/>
      <c r="AQ280" s="111"/>
    </row>
    <row r="281" spans="23:43" ht="15">
      <c r="W281" s="179" t="str">
        <f t="shared" si="21"/>
        <v>Laz</v>
      </c>
      <c r="X281">
        <f t="shared" si="22"/>
        <v>9</v>
      </c>
      <c r="Y281" t="str">
        <f t="shared" si="23"/>
        <v>C9Laz</v>
      </c>
      <c r="Z281" s="193" t="s">
        <v>39</v>
      </c>
      <c r="AA281" s="193" t="s">
        <v>563</v>
      </c>
      <c r="AB281" s="179" t="s">
        <v>682</v>
      </c>
      <c r="AC281" s="94"/>
      <c r="AD281" s="95"/>
      <c r="AE281" s="111"/>
      <c r="AF281" s="111"/>
      <c r="AG281" s="111"/>
      <c r="AH281" s="111"/>
      <c r="AI281" s="111"/>
      <c r="AJ281" s="111"/>
      <c r="AK281" s="111"/>
      <c r="AL281" s="111"/>
      <c r="AM281" s="111"/>
      <c r="AN281" s="111"/>
      <c r="AO281" s="111"/>
      <c r="AP281" s="111"/>
      <c r="AQ281" s="111"/>
    </row>
    <row r="282" spans="23:43" ht="15">
      <c r="W282" s="179" t="str">
        <f t="shared" si="21"/>
        <v>Laz</v>
      </c>
      <c r="X282">
        <f t="shared" si="22"/>
        <v>10</v>
      </c>
      <c r="Y282" t="str">
        <f t="shared" si="23"/>
        <v>C10Laz</v>
      </c>
      <c r="Z282" s="193" t="s">
        <v>39</v>
      </c>
      <c r="AA282" s="193" t="s">
        <v>578</v>
      </c>
      <c r="AB282" s="179" t="s">
        <v>682</v>
      </c>
      <c r="AC282" s="94"/>
      <c r="AD282" s="95"/>
      <c r="AE282" s="111"/>
      <c r="AF282" s="111"/>
      <c r="AG282" s="111"/>
      <c r="AH282" s="111"/>
      <c r="AI282" s="111"/>
      <c r="AJ282" s="111"/>
      <c r="AK282" s="111"/>
      <c r="AL282" s="111"/>
      <c r="AM282" s="111"/>
      <c r="AN282" s="111"/>
      <c r="AO282" s="111"/>
      <c r="AP282" s="111"/>
      <c r="AQ282" s="111"/>
    </row>
    <row r="283" spans="23:43" ht="15">
      <c r="W283" s="179" t="str">
        <f t="shared" si="21"/>
        <v>Laz</v>
      </c>
      <c r="X283">
        <f t="shared" si="22"/>
        <v>1</v>
      </c>
      <c r="Y283" t="str">
        <f t="shared" si="23"/>
        <v>D1Laz</v>
      </c>
      <c r="Z283" s="193" t="s">
        <v>37</v>
      </c>
      <c r="AA283" s="193" t="s">
        <v>353</v>
      </c>
      <c r="AB283" s="179" t="s">
        <v>682</v>
      </c>
      <c r="AC283" s="94"/>
      <c r="AD283" s="95"/>
      <c r="AE283" s="111"/>
      <c r="AF283" s="111"/>
      <c r="AG283" s="111"/>
      <c r="AH283" s="111"/>
      <c r="AI283" s="111"/>
      <c r="AJ283" s="111"/>
      <c r="AK283" s="111"/>
      <c r="AL283" s="111"/>
      <c r="AM283" s="111"/>
      <c r="AN283" s="111"/>
      <c r="AO283" s="111"/>
      <c r="AP283" s="111"/>
      <c r="AQ283" s="111"/>
    </row>
    <row r="284" spans="23:43" ht="15">
      <c r="W284" s="179" t="str">
        <f t="shared" si="21"/>
        <v>Laz</v>
      </c>
      <c r="X284">
        <f t="shared" si="22"/>
        <v>2</v>
      </c>
      <c r="Y284" t="str">
        <f t="shared" si="23"/>
        <v>D2Laz</v>
      </c>
      <c r="Z284" s="193" t="s">
        <v>37</v>
      </c>
      <c r="AA284" s="193" t="s">
        <v>1289</v>
      </c>
      <c r="AB284" s="179" t="s">
        <v>682</v>
      </c>
      <c r="AC284" s="94"/>
      <c r="AD284" s="95"/>
      <c r="AE284" s="111"/>
      <c r="AF284" s="111"/>
      <c r="AG284" s="111"/>
      <c r="AH284" s="111"/>
      <c r="AI284" s="111"/>
      <c r="AJ284" s="111"/>
      <c r="AK284" s="111"/>
      <c r="AL284" s="111"/>
      <c r="AM284" s="111"/>
      <c r="AN284" s="111"/>
      <c r="AO284" s="111"/>
      <c r="AP284" s="111"/>
      <c r="AQ284" s="111"/>
    </row>
    <row r="285" spans="23:43" ht="15">
      <c r="W285" s="179" t="str">
        <f t="shared" si="21"/>
        <v>Laz</v>
      </c>
      <c r="X285">
        <f t="shared" si="22"/>
        <v>3</v>
      </c>
      <c r="Y285" t="str">
        <f t="shared" si="23"/>
        <v>D3Laz</v>
      </c>
      <c r="Z285" s="193" t="s">
        <v>37</v>
      </c>
      <c r="AA285" s="193" t="s">
        <v>455</v>
      </c>
      <c r="AB285" s="179" t="s">
        <v>682</v>
      </c>
      <c r="AC285" s="94"/>
      <c r="AD285" s="95"/>
      <c r="AE285" s="111"/>
      <c r="AF285" s="111"/>
      <c r="AG285" s="111"/>
      <c r="AH285" s="111"/>
      <c r="AI285" s="111"/>
      <c r="AJ285" s="111"/>
      <c r="AK285" s="111"/>
      <c r="AL285" s="111"/>
      <c r="AM285" s="111"/>
      <c r="AN285" s="111"/>
      <c r="AO285" s="111"/>
      <c r="AP285" s="111"/>
      <c r="AQ285" s="111"/>
    </row>
    <row r="286" spans="23:43" ht="15">
      <c r="W286" s="179" t="str">
        <f t="shared" si="21"/>
        <v>Laz</v>
      </c>
      <c r="X286">
        <f t="shared" si="22"/>
        <v>4</v>
      </c>
      <c r="Y286" t="str">
        <f t="shared" si="23"/>
        <v>D4Laz</v>
      </c>
      <c r="Z286" s="193" t="s">
        <v>37</v>
      </c>
      <c r="AA286" s="193" t="s">
        <v>533</v>
      </c>
      <c r="AB286" s="179" t="s">
        <v>682</v>
      </c>
      <c r="AC286" s="94"/>
      <c r="AD286" s="95"/>
      <c r="AE286" s="111"/>
      <c r="AF286" s="111"/>
      <c r="AG286" s="111"/>
      <c r="AH286" s="111"/>
      <c r="AI286" s="111"/>
      <c r="AJ286" s="111"/>
      <c r="AK286" s="111"/>
      <c r="AL286" s="111"/>
      <c r="AM286" s="111"/>
      <c r="AN286" s="111"/>
      <c r="AO286" s="111"/>
      <c r="AP286" s="111"/>
      <c r="AQ286" s="111"/>
    </row>
    <row r="287" spans="23:43" ht="15">
      <c r="W287" s="179" t="str">
        <f t="shared" si="21"/>
        <v>Laz</v>
      </c>
      <c r="X287">
        <f t="shared" si="22"/>
        <v>5</v>
      </c>
      <c r="Y287" t="str">
        <f t="shared" si="23"/>
        <v>D5Laz</v>
      </c>
      <c r="Z287" s="193" t="s">
        <v>37</v>
      </c>
      <c r="AA287" s="193" t="s">
        <v>564</v>
      </c>
      <c r="AB287" s="179" t="s">
        <v>682</v>
      </c>
      <c r="AC287" s="94"/>
      <c r="AD287" s="95"/>
      <c r="AE287" s="111"/>
      <c r="AF287" s="111"/>
      <c r="AG287" s="111"/>
      <c r="AH287" s="111"/>
      <c r="AI287" s="111"/>
      <c r="AJ287" s="111"/>
      <c r="AK287" s="111"/>
      <c r="AL287" s="111"/>
      <c r="AM287" s="111"/>
      <c r="AN287" s="111"/>
      <c r="AO287" s="111"/>
      <c r="AP287" s="111"/>
      <c r="AQ287" s="111"/>
    </row>
    <row r="288" spans="23:43" ht="15">
      <c r="W288" s="179" t="str">
        <f t="shared" si="21"/>
        <v>Laz</v>
      </c>
      <c r="X288">
        <f t="shared" si="22"/>
        <v>6</v>
      </c>
      <c r="Y288" t="str">
        <f t="shared" si="23"/>
        <v>D6Laz</v>
      </c>
      <c r="Z288" s="193" t="s">
        <v>37</v>
      </c>
      <c r="AA288" s="193" t="s">
        <v>574</v>
      </c>
      <c r="AB288" s="179" t="s">
        <v>682</v>
      </c>
      <c r="AC288" s="94"/>
      <c r="AD288" s="95"/>
      <c r="AE288" s="111"/>
      <c r="AF288" s="111"/>
      <c r="AG288" s="111"/>
      <c r="AH288" s="111"/>
      <c r="AI288" s="111"/>
      <c r="AJ288" s="111"/>
      <c r="AK288" s="111"/>
      <c r="AL288" s="111"/>
      <c r="AM288" s="111"/>
      <c r="AN288" s="111"/>
      <c r="AO288" s="111"/>
      <c r="AP288" s="111"/>
      <c r="AQ288" s="111"/>
    </row>
    <row r="289" spans="23:43" ht="15">
      <c r="W289" s="179" t="str">
        <f t="shared" si="21"/>
        <v>Laz</v>
      </c>
      <c r="X289">
        <f t="shared" si="22"/>
        <v>7</v>
      </c>
      <c r="Y289" t="str">
        <f t="shared" si="23"/>
        <v>D7Laz</v>
      </c>
      <c r="Z289" s="193" t="s">
        <v>37</v>
      </c>
      <c r="AA289" s="193" t="s">
        <v>617</v>
      </c>
      <c r="AB289" s="179" t="s">
        <v>682</v>
      </c>
      <c r="AC289" s="94"/>
      <c r="AD289" s="95"/>
      <c r="AE289" s="111"/>
      <c r="AF289" s="111"/>
      <c r="AG289" s="111"/>
      <c r="AH289" s="111"/>
      <c r="AI289" s="111"/>
      <c r="AJ289" s="111"/>
      <c r="AK289" s="111"/>
      <c r="AL289" s="111"/>
      <c r="AM289" s="111"/>
      <c r="AN289" s="111"/>
      <c r="AO289" s="111"/>
      <c r="AP289" s="111"/>
      <c r="AQ289" s="111"/>
    </row>
    <row r="290" spans="23:43" ht="15">
      <c r="W290" s="179" t="str">
        <f t="shared" si="21"/>
        <v>Laz</v>
      </c>
      <c r="X290">
        <f t="shared" si="22"/>
        <v>1</v>
      </c>
      <c r="Y290" t="str">
        <f t="shared" si="23"/>
        <v>P1Laz</v>
      </c>
      <c r="Z290" s="193" t="s">
        <v>35</v>
      </c>
      <c r="AA290" s="193" t="s">
        <v>1686</v>
      </c>
      <c r="AB290" s="179" t="s">
        <v>682</v>
      </c>
      <c r="AC290" s="94"/>
      <c r="AD290" s="95"/>
      <c r="AE290" s="111"/>
      <c r="AF290" s="111"/>
      <c r="AG290" s="111"/>
      <c r="AH290" s="111"/>
      <c r="AI290" s="111"/>
      <c r="AJ290" s="111"/>
      <c r="AK290" s="111"/>
      <c r="AL290" s="111"/>
      <c r="AM290" s="111"/>
      <c r="AN290" s="111"/>
      <c r="AO290" s="111"/>
      <c r="AP290" s="111"/>
      <c r="AQ290" s="111"/>
    </row>
    <row r="291" spans="23:43" ht="15">
      <c r="W291" s="179" t="str">
        <f t="shared" si="21"/>
        <v>Laz</v>
      </c>
      <c r="X291">
        <f t="shared" si="22"/>
        <v>2</v>
      </c>
      <c r="Y291" t="str">
        <f t="shared" si="23"/>
        <v>P2Laz</v>
      </c>
      <c r="Z291" s="193" t="s">
        <v>35</v>
      </c>
      <c r="AA291" s="193" t="s">
        <v>373</v>
      </c>
      <c r="AB291" s="179" t="s">
        <v>682</v>
      </c>
      <c r="AC291" s="94"/>
      <c r="AD291" s="95"/>
      <c r="AE291" s="111"/>
      <c r="AF291" s="111"/>
      <c r="AG291" s="111"/>
      <c r="AH291" s="111"/>
      <c r="AI291" s="111"/>
      <c r="AJ291" s="111"/>
      <c r="AK291" s="111"/>
      <c r="AL291" s="111"/>
      <c r="AM291" s="111"/>
      <c r="AN291" s="111"/>
      <c r="AO291" s="111"/>
      <c r="AP291" s="111"/>
      <c r="AQ291" s="111"/>
    </row>
    <row r="292" spans="23:43" ht="15">
      <c r="W292" s="179" t="str">
        <f t="shared" si="21"/>
        <v>Laz</v>
      </c>
      <c r="X292">
        <f t="shared" si="22"/>
        <v>3</v>
      </c>
      <c r="Y292" t="str">
        <f t="shared" si="23"/>
        <v>P3Laz</v>
      </c>
      <c r="Z292" s="193" t="s">
        <v>35</v>
      </c>
      <c r="AA292" s="193" t="s">
        <v>1444</v>
      </c>
      <c r="AB292" s="179" t="s">
        <v>682</v>
      </c>
      <c r="AC292" s="94"/>
      <c r="AD292" s="95"/>
      <c r="AE292" s="111"/>
      <c r="AF292" s="111"/>
      <c r="AG292" s="111"/>
      <c r="AH292" s="111"/>
      <c r="AI292" s="111"/>
      <c r="AJ292" s="111"/>
      <c r="AK292" s="111"/>
      <c r="AL292" s="111"/>
      <c r="AM292" s="111"/>
      <c r="AN292" s="111"/>
      <c r="AO292" s="111"/>
      <c r="AP292" s="111"/>
      <c r="AQ292" s="111"/>
    </row>
    <row r="293" spans="23:43" ht="15">
      <c r="W293" s="179" t="str">
        <f t="shared" si="21"/>
        <v>Laz</v>
      </c>
      <c r="X293">
        <f t="shared" si="22"/>
        <v>4</v>
      </c>
      <c r="Y293" t="str">
        <f t="shared" si="23"/>
        <v>P4Laz</v>
      </c>
      <c r="Z293" s="193" t="s">
        <v>35</v>
      </c>
      <c r="AA293" s="193" t="s">
        <v>442</v>
      </c>
      <c r="AB293" s="179" t="s">
        <v>682</v>
      </c>
      <c r="AC293" s="94"/>
      <c r="AD293" s="95"/>
      <c r="AE293" s="111"/>
      <c r="AF293" s="111"/>
      <c r="AG293" s="111"/>
      <c r="AH293" s="111"/>
      <c r="AI293" s="111"/>
      <c r="AJ293" s="111"/>
      <c r="AK293" s="111"/>
      <c r="AL293" s="111"/>
      <c r="AM293" s="111"/>
      <c r="AN293" s="111"/>
      <c r="AO293" s="111"/>
      <c r="AP293" s="111"/>
      <c r="AQ293" s="111"/>
    </row>
    <row r="294" spans="23:43" ht="15">
      <c r="W294" s="179" t="str">
        <f t="shared" si="21"/>
        <v>Mil</v>
      </c>
      <c r="X294">
        <f t="shared" si="22"/>
        <v>1</v>
      </c>
      <c r="Y294" t="str">
        <f t="shared" si="23"/>
        <v>A1Mil</v>
      </c>
      <c r="Z294" s="193" t="s">
        <v>43</v>
      </c>
      <c r="AA294" s="193" t="s">
        <v>1778</v>
      </c>
      <c r="AB294" s="179" t="s">
        <v>678</v>
      </c>
      <c r="AC294" s="94"/>
      <c r="AD294" s="95"/>
      <c r="AE294" s="111"/>
      <c r="AF294" s="111"/>
      <c r="AG294" s="111"/>
      <c r="AH294" s="111"/>
      <c r="AI294" s="111"/>
      <c r="AJ294" s="111"/>
      <c r="AK294" s="111"/>
      <c r="AL294" s="111"/>
      <c r="AM294" s="111"/>
      <c r="AN294" s="111"/>
      <c r="AO294" s="111"/>
      <c r="AP294" s="111"/>
      <c r="AQ294" s="111"/>
    </row>
    <row r="295" spans="23:43" ht="15">
      <c r="W295" s="179" t="str">
        <f t="shared" si="21"/>
        <v>Mil</v>
      </c>
      <c r="X295">
        <f t="shared" si="22"/>
        <v>2</v>
      </c>
      <c r="Y295" t="str">
        <f t="shared" si="23"/>
        <v>A2Mil</v>
      </c>
      <c r="Z295" s="193" t="s">
        <v>43</v>
      </c>
      <c r="AA295" s="193" t="s">
        <v>1783</v>
      </c>
      <c r="AB295" s="179" t="s">
        <v>678</v>
      </c>
      <c r="AC295" s="94"/>
      <c r="AD295" s="95"/>
      <c r="AE295" s="111"/>
      <c r="AF295" s="111"/>
      <c r="AG295" s="111"/>
      <c r="AH295" s="111"/>
      <c r="AI295" s="111"/>
      <c r="AJ295" s="111"/>
      <c r="AK295" s="111"/>
      <c r="AL295" s="111"/>
      <c r="AM295" s="111"/>
      <c r="AN295" s="111"/>
      <c r="AO295" s="111"/>
      <c r="AP295" s="111"/>
      <c r="AQ295" s="111"/>
    </row>
    <row r="296" spans="23:43" ht="15">
      <c r="W296" s="179" t="str">
        <f t="shared" si="21"/>
        <v>Mil</v>
      </c>
      <c r="X296">
        <f t="shared" si="22"/>
        <v>3</v>
      </c>
      <c r="Y296" t="str">
        <f t="shared" si="23"/>
        <v>A3Mil</v>
      </c>
      <c r="Z296" s="193" t="s">
        <v>43</v>
      </c>
      <c r="AA296" s="193" t="s">
        <v>1782</v>
      </c>
      <c r="AB296" s="179" t="s">
        <v>678</v>
      </c>
      <c r="AC296" s="94"/>
      <c r="AD296" s="95"/>
      <c r="AE296" s="111"/>
      <c r="AF296" s="111"/>
      <c r="AG296" s="111"/>
      <c r="AH296" s="111"/>
      <c r="AI296" s="111"/>
      <c r="AJ296" s="111"/>
      <c r="AK296" s="111"/>
      <c r="AL296" s="111"/>
      <c r="AM296" s="111"/>
      <c r="AN296" s="111"/>
      <c r="AO296" s="111"/>
      <c r="AP296" s="111"/>
      <c r="AQ296" s="111"/>
    </row>
    <row r="297" spans="23:43" ht="15">
      <c r="W297" s="179" t="str">
        <f t="shared" si="21"/>
        <v>Mil</v>
      </c>
      <c r="X297">
        <f t="shared" si="22"/>
        <v>4</v>
      </c>
      <c r="Y297" t="str">
        <f t="shared" si="23"/>
        <v>A4Mil</v>
      </c>
      <c r="Z297" s="193" t="s">
        <v>43</v>
      </c>
      <c r="AA297" s="193" t="s">
        <v>418</v>
      </c>
      <c r="AB297" s="179" t="s">
        <v>678</v>
      </c>
      <c r="AC297" s="94"/>
      <c r="AD297" s="95"/>
      <c r="AE297" s="111"/>
      <c r="AF297" s="111"/>
      <c r="AG297" s="111"/>
      <c r="AH297" s="111"/>
      <c r="AI297" s="111"/>
      <c r="AJ297" s="111"/>
      <c r="AK297" s="111"/>
      <c r="AL297" s="111"/>
      <c r="AM297" s="111"/>
      <c r="AN297" s="111"/>
      <c r="AO297" s="111"/>
      <c r="AP297" s="111"/>
      <c r="AQ297" s="111"/>
    </row>
    <row r="298" spans="23:43" ht="15">
      <c r="W298" s="179" t="str">
        <f t="shared" si="21"/>
        <v>Mil</v>
      </c>
      <c r="X298">
        <f t="shared" si="22"/>
        <v>1</v>
      </c>
      <c r="Y298" t="str">
        <f t="shared" si="23"/>
        <v>C1Mil</v>
      </c>
      <c r="Z298" s="193" t="s">
        <v>39</v>
      </c>
      <c r="AA298" s="193" t="s">
        <v>346</v>
      </c>
      <c r="AB298" s="179" t="s">
        <v>678</v>
      </c>
      <c r="AC298" s="94"/>
      <c r="AD298" s="95"/>
      <c r="AE298" s="111"/>
      <c r="AF298" s="111"/>
      <c r="AG298" s="111"/>
      <c r="AH298" s="111"/>
      <c r="AI298" s="111"/>
      <c r="AJ298" s="111"/>
      <c r="AK298" s="111"/>
      <c r="AL298" s="111"/>
      <c r="AM298" s="111"/>
      <c r="AN298" s="111"/>
      <c r="AO298" s="111"/>
      <c r="AP298" s="111"/>
      <c r="AQ298" s="111"/>
    </row>
    <row r="299" spans="23:43" ht="15">
      <c r="W299" s="179" t="str">
        <f t="shared" si="21"/>
        <v>Mil</v>
      </c>
      <c r="X299">
        <f t="shared" si="22"/>
        <v>2</v>
      </c>
      <c r="Y299" t="str">
        <f t="shared" si="23"/>
        <v>C2Mil</v>
      </c>
      <c r="Z299" s="193" t="s">
        <v>39</v>
      </c>
      <c r="AA299" s="193" t="s">
        <v>357</v>
      </c>
      <c r="AB299" s="179" t="s">
        <v>678</v>
      </c>
      <c r="AC299" s="94"/>
      <c r="AD299" s="95"/>
      <c r="AE299" s="111"/>
      <c r="AF299" s="111"/>
      <c r="AG299" s="111"/>
      <c r="AH299" s="111"/>
      <c r="AI299" s="111"/>
      <c r="AJ299" s="111"/>
      <c r="AK299" s="111"/>
      <c r="AL299" s="111"/>
      <c r="AM299" s="111"/>
      <c r="AN299" s="111"/>
      <c r="AO299" s="111"/>
      <c r="AP299" s="111"/>
      <c r="AQ299" s="111"/>
    </row>
    <row r="300" spans="23:43" ht="15">
      <c r="W300" s="179" t="str">
        <f t="shared" si="21"/>
        <v>Mil</v>
      </c>
      <c r="X300">
        <f t="shared" si="22"/>
        <v>3</v>
      </c>
      <c r="Y300" t="str">
        <f t="shared" si="23"/>
        <v>C3Mil</v>
      </c>
      <c r="Z300" s="193" t="s">
        <v>39</v>
      </c>
      <c r="AA300" s="193" t="s">
        <v>1735</v>
      </c>
      <c r="AB300" s="179" t="s">
        <v>678</v>
      </c>
      <c r="AC300" s="94"/>
      <c r="AD300" s="95"/>
      <c r="AE300" s="111"/>
      <c r="AF300" s="111"/>
      <c r="AG300" s="111"/>
      <c r="AH300" s="111"/>
      <c r="AI300" s="111"/>
      <c r="AJ300" s="111"/>
      <c r="AK300" s="111"/>
      <c r="AL300" s="111"/>
      <c r="AM300" s="111"/>
      <c r="AN300" s="111"/>
      <c r="AO300" s="111"/>
      <c r="AP300" s="111"/>
      <c r="AQ300" s="111"/>
    </row>
    <row r="301" spans="23:43" ht="15">
      <c r="W301" s="179" t="str">
        <f t="shared" si="21"/>
        <v>Mil</v>
      </c>
      <c r="X301">
        <f t="shared" si="22"/>
        <v>4</v>
      </c>
      <c r="Y301" t="str">
        <f t="shared" si="23"/>
        <v>C4Mil</v>
      </c>
      <c r="Z301" s="193" t="s">
        <v>39</v>
      </c>
      <c r="AA301" s="193" t="s">
        <v>1295</v>
      </c>
      <c r="AB301" s="179" t="s">
        <v>678</v>
      </c>
      <c r="AC301" s="94"/>
      <c r="AD301" s="95"/>
      <c r="AE301" s="111"/>
      <c r="AF301" s="111"/>
      <c r="AG301" s="111"/>
      <c r="AH301" s="111"/>
      <c r="AI301" s="111"/>
      <c r="AJ301" s="111"/>
      <c r="AK301" s="111"/>
      <c r="AL301" s="111"/>
      <c r="AM301" s="111"/>
      <c r="AN301" s="111"/>
      <c r="AO301" s="111"/>
      <c r="AP301" s="111"/>
      <c r="AQ301" s="111"/>
    </row>
    <row r="302" spans="23:43">
      <c r="W302" s="179" t="str">
        <f t="shared" si="21"/>
        <v>Mil</v>
      </c>
      <c r="X302">
        <f t="shared" si="22"/>
        <v>5</v>
      </c>
      <c r="Y302" t="str">
        <f t="shared" si="23"/>
        <v>C5Mil</v>
      </c>
      <c r="Z302" t="s">
        <v>39</v>
      </c>
      <c r="AA302" t="s">
        <v>1303</v>
      </c>
      <c r="AB302" s="179" t="s">
        <v>678</v>
      </c>
      <c r="AC302" s="94"/>
      <c r="AD302" s="95"/>
      <c r="AE302" s="111"/>
      <c r="AF302" s="111"/>
      <c r="AG302" s="111"/>
      <c r="AH302" s="111"/>
      <c r="AI302" s="111"/>
      <c r="AJ302" s="111"/>
      <c r="AK302" s="111"/>
      <c r="AL302" s="111"/>
      <c r="AM302" s="111"/>
      <c r="AN302" s="111"/>
      <c r="AO302" s="111"/>
      <c r="AP302" s="111"/>
      <c r="AQ302" s="111"/>
    </row>
    <row r="303" spans="23:43" ht="15">
      <c r="W303" s="179" t="str">
        <f t="shared" si="21"/>
        <v>Mil</v>
      </c>
      <c r="X303">
        <f t="shared" si="22"/>
        <v>6</v>
      </c>
      <c r="Y303" t="str">
        <f t="shared" si="23"/>
        <v>C6Mil</v>
      </c>
      <c r="Z303" s="193" t="s">
        <v>39</v>
      </c>
      <c r="AA303" s="193" t="s">
        <v>1307</v>
      </c>
      <c r="AB303" s="179" t="s">
        <v>678</v>
      </c>
      <c r="AC303" s="94"/>
      <c r="AD303" s="95"/>
      <c r="AE303" s="111"/>
      <c r="AF303" s="111"/>
      <c r="AG303" s="111"/>
      <c r="AH303" s="111"/>
      <c r="AI303" s="111"/>
      <c r="AJ303" s="111"/>
      <c r="AK303" s="111"/>
      <c r="AL303" s="111"/>
      <c r="AM303" s="111"/>
      <c r="AN303" s="111"/>
      <c r="AO303" s="111"/>
      <c r="AP303" s="111"/>
      <c r="AQ303" s="111"/>
    </row>
    <row r="304" spans="23:43" ht="15">
      <c r="W304" s="179" t="str">
        <f t="shared" si="21"/>
        <v>Mil</v>
      </c>
      <c r="X304">
        <f t="shared" si="22"/>
        <v>7</v>
      </c>
      <c r="Y304" t="str">
        <f t="shared" si="23"/>
        <v>C7Mil</v>
      </c>
      <c r="Z304" s="193" t="s">
        <v>39</v>
      </c>
      <c r="AA304" s="193" t="s">
        <v>1306</v>
      </c>
      <c r="AB304" s="179" t="s">
        <v>678</v>
      </c>
      <c r="AC304" s="94"/>
      <c r="AD304" s="95"/>
      <c r="AE304" s="111"/>
      <c r="AF304" s="111"/>
      <c r="AG304" s="111"/>
      <c r="AH304" s="111"/>
      <c r="AI304" s="111"/>
      <c r="AJ304" s="111"/>
      <c r="AK304" s="111"/>
      <c r="AL304" s="111"/>
      <c r="AM304" s="111"/>
      <c r="AN304" s="111"/>
      <c r="AO304" s="111"/>
      <c r="AP304" s="111"/>
      <c r="AQ304" s="111"/>
    </row>
    <row r="305" spans="23:43" ht="15">
      <c r="W305" s="179" t="str">
        <f t="shared" si="21"/>
        <v>Mil</v>
      </c>
      <c r="X305">
        <f t="shared" si="22"/>
        <v>8</v>
      </c>
      <c r="Y305" t="str">
        <f t="shared" si="23"/>
        <v>C8Mil</v>
      </c>
      <c r="Z305" s="193" t="s">
        <v>39</v>
      </c>
      <c r="AA305" s="193" t="s">
        <v>559</v>
      </c>
      <c r="AB305" s="179" t="s">
        <v>678</v>
      </c>
      <c r="AC305" s="94"/>
      <c r="AD305" s="95"/>
      <c r="AE305" s="111"/>
      <c r="AF305" s="111"/>
      <c r="AG305" s="111"/>
      <c r="AH305" s="111"/>
      <c r="AI305" s="111"/>
      <c r="AJ305" s="111"/>
      <c r="AK305" s="111"/>
      <c r="AL305" s="111"/>
      <c r="AM305" s="111"/>
      <c r="AN305" s="111"/>
      <c r="AO305" s="111"/>
      <c r="AP305" s="111"/>
      <c r="AQ305" s="111"/>
    </row>
    <row r="306" spans="23:43" ht="15">
      <c r="W306" s="179" t="str">
        <f t="shared" si="21"/>
        <v>Mil</v>
      </c>
      <c r="X306">
        <f t="shared" si="22"/>
        <v>9</v>
      </c>
      <c r="Y306" t="str">
        <f t="shared" si="23"/>
        <v>C9Mil</v>
      </c>
      <c r="Z306" s="193" t="s">
        <v>39</v>
      </c>
      <c r="AA306" s="193" t="s">
        <v>610</v>
      </c>
      <c r="AB306" s="179" t="s">
        <v>678</v>
      </c>
      <c r="AC306" s="94"/>
      <c r="AD306" s="95"/>
      <c r="AE306" s="111"/>
      <c r="AF306" s="111"/>
      <c r="AG306" s="111"/>
      <c r="AH306" s="111"/>
      <c r="AI306" s="111"/>
      <c r="AJ306" s="111"/>
      <c r="AK306" s="111"/>
      <c r="AL306" s="111"/>
      <c r="AM306" s="111"/>
      <c r="AN306" s="111"/>
      <c r="AO306" s="111"/>
      <c r="AP306" s="111"/>
      <c r="AQ306" s="111"/>
    </row>
    <row r="307" spans="23:43" ht="15">
      <c r="W307" s="179" t="str">
        <f t="shared" si="21"/>
        <v>Mil</v>
      </c>
      <c r="X307">
        <f t="shared" si="22"/>
        <v>10</v>
      </c>
      <c r="Y307" t="str">
        <f t="shared" si="23"/>
        <v>C10Mil</v>
      </c>
      <c r="Z307" s="193" t="s">
        <v>39</v>
      </c>
      <c r="AA307" s="193" t="s">
        <v>1958</v>
      </c>
      <c r="AB307" s="179" t="s">
        <v>678</v>
      </c>
      <c r="AC307" s="94"/>
      <c r="AD307" s="95"/>
      <c r="AE307" s="111"/>
      <c r="AF307" s="111"/>
      <c r="AG307" s="111"/>
      <c r="AH307" s="111"/>
      <c r="AI307" s="111"/>
      <c r="AJ307" s="111"/>
      <c r="AK307" s="111"/>
      <c r="AL307" s="111"/>
      <c r="AM307" s="111"/>
      <c r="AN307" s="111"/>
      <c r="AO307" s="111"/>
      <c r="AP307" s="111"/>
      <c r="AQ307" s="111"/>
    </row>
    <row r="308" spans="23:43" ht="15">
      <c r="W308" s="179" t="str">
        <f t="shared" si="21"/>
        <v>Mil</v>
      </c>
      <c r="X308">
        <f t="shared" si="22"/>
        <v>1</v>
      </c>
      <c r="Y308" t="str">
        <f t="shared" si="23"/>
        <v>D1Mil</v>
      </c>
      <c r="Z308" s="193" t="s">
        <v>37</v>
      </c>
      <c r="AA308" s="193" t="s">
        <v>298</v>
      </c>
      <c r="AB308" s="179" t="s">
        <v>678</v>
      </c>
      <c r="AC308" s="94"/>
      <c r="AD308" s="95"/>
      <c r="AE308" s="111"/>
      <c r="AF308" s="111"/>
      <c r="AG308" s="111"/>
      <c r="AH308" s="111"/>
      <c r="AI308" s="111"/>
      <c r="AJ308" s="111"/>
      <c r="AK308" s="111"/>
      <c r="AL308" s="111"/>
      <c r="AM308" s="111"/>
      <c r="AN308" s="111"/>
      <c r="AO308" s="111"/>
      <c r="AP308" s="111"/>
      <c r="AQ308" s="111"/>
    </row>
    <row r="309" spans="23:43" ht="15">
      <c r="W309" s="179" t="str">
        <f t="shared" si="21"/>
        <v>Mil</v>
      </c>
      <c r="X309">
        <f t="shared" si="22"/>
        <v>2</v>
      </c>
      <c r="Y309" t="str">
        <f t="shared" si="23"/>
        <v>D2Mil</v>
      </c>
      <c r="Z309" s="193" t="s">
        <v>37</v>
      </c>
      <c r="AA309" s="193" t="s">
        <v>330</v>
      </c>
      <c r="AB309" s="179" t="s">
        <v>678</v>
      </c>
      <c r="AC309" s="94"/>
      <c r="AD309" s="95"/>
      <c r="AE309" s="111"/>
      <c r="AF309" s="111"/>
      <c r="AG309" s="111"/>
      <c r="AH309" s="111"/>
      <c r="AI309" s="111"/>
      <c r="AJ309" s="111"/>
      <c r="AK309" s="111"/>
      <c r="AL309" s="111"/>
      <c r="AM309" s="111"/>
      <c r="AN309" s="111"/>
      <c r="AO309" s="111"/>
      <c r="AP309" s="111"/>
      <c r="AQ309" s="111"/>
    </row>
    <row r="310" spans="23:43" ht="15">
      <c r="W310" s="179" t="str">
        <f t="shared" si="21"/>
        <v>Mil</v>
      </c>
      <c r="X310">
        <f t="shared" si="22"/>
        <v>3</v>
      </c>
      <c r="Y310" t="str">
        <f t="shared" si="23"/>
        <v>D3Mil</v>
      </c>
      <c r="Z310" s="193" t="s">
        <v>37</v>
      </c>
      <c r="AA310" s="193" t="s">
        <v>371</v>
      </c>
      <c r="AB310" s="179" t="s">
        <v>678</v>
      </c>
      <c r="AC310" s="94"/>
      <c r="AD310" s="95"/>
      <c r="AE310" s="111"/>
      <c r="AF310" s="111"/>
      <c r="AG310" s="111"/>
      <c r="AH310" s="111"/>
      <c r="AI310" s="111"/>
      <c r="AJ310" s="111"/>
      <c r="AK310" s="111"/>
      <c r="AL310" s="111"/>
      <c r="AM310" s="111"/>
      <c r="AN310" s="111"/>
      <c r="AO310" s="111"/>
      <c r="AP310" s="111"/>
      <c r="AQ310" s="111"/>
    </row>
    <row r="311" spans="23:43" ht="15">
      <c r="W311" s="179" t="str">
        <f t="shared" si="21"/>
        <v>Mil</v>
      </c>
      <c r="X311">
        <f t="shared" si="22"/>
        <v>4</v>
      </c>
      <c r="Y311" t="str">
        <f t="shared" si="23"/>
        <v>D4Mil</v>
      </c>
      <c r="Z311" s="193" t="s">
        <v>37</v>
      </c>
      <c r="AA311" s="193" t="s">
        <v>388</v>
      </c>
      <c r="AB311" s="179" t="s">
        <v>678</v>
      </c>
      <c r="AC311" s="94"/>
      <c r="AD311" s="95"/>
      <c r="AE311" s="111"/>
      <c r="AF311" s="111"/>
      <c r="AG311" s="111"/>
      <c r="AH311" s="111"/>
      <c r="AI311" s="111"/>
      <c r="AJ311" s="111"/>
      <c r="AK311" s="111"/>
      <c r="AL311" s="111"/>
      <c r="AM311" s="111"/>
      <c r="AN311" s="111"/>
      <c r="AO311" s="111"/>
      <c r="AP311" s="111"/>
      <c r="AQ311" s="111"/>
    </row>
    <row r="312" spans="23:43" ht="15">
      <c r="W312" s="179" t="str">
        <f t="shared" si="21"/>
        <v>Mil</v>
      </c>
      <c r="X312">
        <f t="shared" si="22"/>
        <v>5</v>
      </c>
      <c r="Y312" t="str">
        <f t="shared" si="23"/>
        <v>D5Mil</v>
      </c>
      <c r="Z312" s="193" t="s">
        <v>37</v>
      </c>
      <c r="AA312" s="193" t="s">
        <v>429</v>
      </c>
      <c r="AB312" s="179" t="s">
        <v>678</v>
      </c>
      <c r="AC312" s="94"/>
      <c r="AD312" s="95"/>
      <c r="AE312" s="111"/>
      <c r="AF312" s="111"/>
      <c r="AG312" s="111"/>
      <c r="AH312" s="111"/>
      <c r="AI312" s="111"/>
      <c r="AJ312" s="111"/>
      <c r="AK312" s="111"/>
      <c r="AL312" s="111"/>
      <c r="AM312" s="111"/>
      <c r="AN312" s="111"/>
      <c r="AO312" s="111"/>
      <c r="AP312" s="111"/>
      <c r="AQ312" s="111"/>
    </row>
    <row r="313" spans="23:43" ht="15">
      <c r="W313" s="179" t="str">
        <f t="shared" si="21"/>
        <v>Mil</v>
      </c>
      <c r="X313">
        <f t="shared" si="22"/>
        <v>6</v>
      </c>
      <c r="Y313" t="str">
        <f t="shared" si="23"/>
        <v>D6Mil</v>
      </c>
      <c r="Z313" s="193" t="s">
        <v>37</v>
      </c>
      <c r="AA313" s="193" t="s">
        <v>1281</v>
      </c>
      <c r="AB313" s="179" t="s">
        <v>678</v>
      </c>
      <c r="AC313" s="94"/>
      <c r="AD313" s="95"/>
      <c r="AE313" s="111"/>
      <c r="AF313" s="111"/>
      <c r="AG313" s="111"/>
      <c r="AH313" s="111"/>
      <c r="AI313" s="111"/>
      <c r="AJ313" s="111"/>
      <c r="AK313" s="111"/>
      <c r="AL313" s="111"/>
      <c r="AM313" s="111"/>
      <c r="AN313" s="111"/>
      <c r="AO313" s="111"/>
      <c r="AP313" s="111"/>
      <c r="AQ313" s="111"/>
    </row>
    <row r="314" spans="23:43" ht="15">
      <c r="W314" s="179" t="str">
        <f t="shared" si="21"/>
        <v>Mil</v>
      </c>
      <c r="X314">
        <f t="shared" si="22"/>
        <v>7</v>
      </c>
      <c r="Y314" t="str">
        <f t="shared" si="23"/>
        <v>D7Mil</v>
      </c>
      <c r="Z314" s="193" t="s">
        <v>37</v>
      </c>
      <c r="AA314" s="193" t="s">
        <v>1701</v>
      </c>
      <c r="AB314" s="179" t="s">
        <v>678</v>
      </c>
      <c r="AC314" s="94"/>
      <c r="AD314" s="95"/>
      <c r="AE314" s="111"/>
      <c r="AF314" s="111"/>
      <c r="AG314" s="111"/>
      <c r="AH314" s="111"/>
      <c r="AI314" s="111"/>
      <c r="AJ314" s="111"/>
      <c r="AK314" s="111"/>
      <c r="AL314" s="111"/>
      <c r="AM314" s="111"/>
      <c r="AN314" s="111"/>
      <c r="AO314" s="111"/>
      <c r="AP314" s="111"/>
      <c r="AQ314" s="111"/>
    </row>
    <row r="315" spans="23:43" ht="15">
      <c r="W315" s="179" t="str">
        <f t="shared" si="21"/>
        <v>Mil</v>
      </c>
      <c r="X315">
        <f t="shared" si="22"/>
        <v>8</v>
      </c>
      <c r="Y315" t="str">
        <f t="shared" si="23"/>
        <v>D8Mil</v>
      </c>
      <c r="Z315" s="193" t="s">
        <v>37</v>
      </c>
      <c r="AA315" s="193" t="s">
        <v>562</v>
      </c>
      <c r="AB315" s="179" t="s">
        <v>678</v>
      </c>
      <c r="AC315" s="94"/>
      <c r="AD315" s="95"/>
      <c r="AE315" s="111"/>
      <c r="AF315" s="111"/>
      <c r="AG315" s="111"/>
      <c r="AH315" s="111"/>
      <c r="AI315" s="111"/>
      <c r="AJ315" s="111"/>
      <c r="AK315" s="111"/>
      <c r="AL315" s="111"/>
      <c r="AM315" s="111"/>
      <c r="AN315" s="111"/>
      <c r="AO315" s="111"/>
      <c r="AP315" s="111"/>
      <c r="AQ315" s="111"/>
    </row>
    <row r="316" spans="23:43" ht="15">
      <c r="W316" s="179" t="str">
        <f t="shared" si="21"/>
        <v>Mil</v>
      </c>
      <c r="X316">
        <f t="shared" si="22"/>
        <v>9</v>
      </c>
      <c r="Y316" t="str">
        <f t="shared" si="23"/>
        <v>D9Mil</v>
      </c>
      <c r="Z316" s="193" t="s">
        <v>37</v>
      </c>
      <c r="AA316" s="193" t="s">
        <v>1861</v>
      </c>
      <c r="AB316" s="179" t="s">
        <v>678</v>
      </c>
      <c r="AC316" s="94"/>
      <c r="AD316" s="95"/>
      <c r="AE316" s="111"/>
      <c r="AF316" s="111"/>
      <c r="AG316" s="111"/>
      <c r="AH316" s="111"/>
      <c r="AI316" s="111"/>
      <c r="AJ316" s="111"/>
      <c r="AK316" s="111"/>
      <c r="AL316" s="111"/>
      <c r="AM316" s="111"/>
      <c r="AN316" s="111"/>
      <c r="AO316" s="111"/>
      <c r="AP316" s="111"/>
      <c r="AQ316" s="111"/>
    </row>
    <row r="317" spans="23:43" ht="15">
      <c r="W317" s="179" t="str">
        <f t="shared" si="21"/>
        <v>Mil</v>
      </c>
      <c r="X317">
        <f t="shared" si="22"/>
        <v>10</v>
      </c>
      <c r="Y317" t="str">
        <f t="shared" si="23"/>
        <v>D10Mil</v>
      </c>
      <c r="Z317" s="193" t="s">
        <v>37</v>
      </c>
      <c r="AA317" s="193" t="s">
        <v>1297</v>
      </c>
      <c r="AB317" s="179" t="s">
        <v>678</v>
      </c>
      <c r="AC317" s="94"/>
      <c r="AD317" s="95"/>
      <c r="AE317" s="111"/>
      <c r="AF317" s="111"/>
      <c r="AG317" s="111"/>
      <c r="AH317" s="111"/>
      <c r="AI317" s="111"/>
      <c r="AJ317" s="111"/>
      <c r="AK317" s="111"/>
      <c r="AL317" s="111"/>
      <c r="AM317" s="111"/>
      <c r="AN317" s="111"/>
      <c r="AO317" s="111"/>
      <c r="AP317" s="111"/>
      <c r="AQ317" s="111"/>
    </row>
    <row r="318" spans="23:43" ht="15">
      <c r="W318" s="179" t="str">
        <f t="shared" si="21"/>
        <v>Mil</v>
      </c>
      <c r="X318">
        <f t="shared" si="22"/>
        <v>11</v>
      </c>
      <c r="Y318" t="str">
        <f t="shared" si="23"/>
        <v>D11Mil</v>
      </c>
      <c r="Z318" s="193" t="s">
        <v>37</v>
      </c>
      <c r="AA318" s="193" t="s">
        <v>623</v>
      </c>
      <c r="AB318" s="179" t="s">
        <v>678</v>
      </c>
      <c r="AC318" s="94"/>
      <c r="AD318" s="95"/>
      <c r="AE318" s="111"/>
      <c r="AF318" s="111"/>
      <c r="AG318" s="111"/>
      <c r="AH318" s="111"/>
      <c r="AI318" s="111"/>
      <c r="AJ318" s="111"/>
      <c r="AK318" s="111"/>
      <c r="AL318" s="111"/>
      <c r="AM318" s="111"/>
      <c r="AN318" s="111"/>
      <c r="AO318" s="111"/>
      <c r="AP318" s="111"/>
      <c r="AQ318" s="111"/>
    </row>
    <row r="319" spans="23:43" ht="15">
      <c r="W319" s="179" t="str">
        <f t="shared" si="21"/>
        <v>Mil</v>
      </c>
      <c r="X319">
        <f t="shared" si="22"/>
        <v>1</v>
      </c>
      <c r="Y319" t="str">
        <f t="shared" si="23"/>
        <v>P1Mil</v>
      </c>
      <c r="Z319" s="193" t="s">
        <v>35</v>
      </c>
      <c r="AA319" s="193" t="s">
        <v>1867</v>
      </c>
      <c r="AB319" s="179" t="s">
        <v>678</v>
      </c>
      <c r="AC319" s="94"/>
      <c r="AD319" s="95"/>
      <c r="AE319" s="111"/>
      <c r="AF319" s="111"/>
      <c r="AG319" s="111"/>
      <c r="AH319" s="111"/>
      <c r="AI319" s="111"/>
      <c r="AJ319" s="111"/>
      <c r="AK319" s="111"/>
      <c r="AL319" s="111"/>
      <c r="AM319" s="111"/>
      <c r="AN319" s="111"/>
      <c r="AO319" s="111"/>
      <c r="AP319" s="111"/>
      <c r="AQ319" s="111"/>
    </row>
    <row r="320" spans="23:43" ht="15">
      <c r="W320" s="179" t="str">
        <f t="shared" si="21"/>
        <v>Mil</v>
      </c>
      <c r="X320">
        <f t="shared" si="22"/>
        <v>2</v>
      </c>
      <c r="Y320" t="str">
        <f t="shared" si="23"/>
        <v>P2Mil</v>
      </c>
      <c r="Z320" s="193" t="s">
        <v>35</v>
      </c>
      <c r="AA320" s="193" t="s">
        <v>1294</v>
      </c>
      <c r="AB320" s="179" t="s">
        <v>678</v>
      </c>
      <c r="AC320" s="94"/>
      <c r="AD320" s="95"/>
      <c r="AE320" s="111"/>
      <c r="AF320" s="111"/>
      <c r="AG320" s="111"/>
      <c r="AH320" s="111"/>
      <c r="AI320" s="111"/>
      <c r="AJ320" s="111"/>
      <c r="AK320" s="111"/>
      <c r="AL320" s="111"/>
      <c r="AM320" s="111"/>
      <c r="AN320" s="111"/>
      <c r="AO320" s="111"/>
      <c r="AP320" s="111"/>
      <c r="AQ320" s="111"/>
    </row>
    <row r="321" spans="23:43" ht="15">
      <c r="W321" s="179" t="str">
        <f t="shared" si="21"/>
        <v>Mil</v>
      </c>
      <c r="X321">
        <f t="shared" si="22"/>
        <v>3</v>
      </c>
      <c r="Y321" t="str">
        <f t="shared" si="23"/>
        <v>P3Mil</v>
      </c>
      <c r="Z321" s="193" t="s">
        <v>35</v>
      </c>
      <c r="AA321" s="193" t="s">
        <v>348</v>
      </c>
      <c r="AB321" s="179" t="s">
        <v>678</v>
      </c>
      <c r="AC321" s="94"/>
      <c r="AD321" s="95"/>
      <c r="AE321" s="111"/>
      <c r="AF321" s="111"/>
      <c r="AG321" s="111"/>
      <c r="AH321" s="111"/>
      <c r="AI321" s="111"/>
      <c r="AJ321" s="111"/>
      <c r="AK321" s="111"/>
      <c r="AL321" s="111"/>
      <c r="AM321" s="111"/>
      <c r="AN321" s="111"/>
      <c r="AO321" s="111"/>
      <c r="AP321" s="111"/>
      <c r="AQ321" s="111"/>
    </row>
    <row r="322" spans="23:43" ht="15">
      <c r="W322" s="179" t="str">
        <f t="shared" si="21"/>
        <v>Mil</v>
      </c>
      <c r="X322">
        <f t="shared" si="22"/>
        <v>4</v>
      </c>
      <c r="Y322" t="str">
        <f t="shared" si="23"/>
        <v>P4Mil</v>
      </c>
      <c r="Z322" s="193" t="s">
        <v>35</v>
      </c>
      <c r="AA322" s="193" t="s">
        <v>434</v>
      </c>
      <c r="AB322" s="179" t="s">
        <v>678</v>
      </c>
      <c r="AC322" s="94"/>
      <c r="AD322" s="95"/>
      <c r="AE322" s="111"/>
      <c r="AF322" s="111"/>
      <c r="AG322" s="111"/>
      <c r="AH322" s="111"/>
      <c r="AI322" s="111"/>
      <c r="AJ322" s="111"/>
      <c r="AK322" s="111"/>
      <c r="AL322" s="111"/>
      <c r="AM322" s="111"/>
      <c r="AN322" s="111"/>
      <c r="AO322" s="111"/>
      <c r="AP322" s="111"/>
      <c r="AQ322" s="111"/>
    </row>
    <row r="323" spans="23:43" ht="15">
      <c r="W323" s="179" t="str">
        <f t="shared" ref="W323:W386" si="24">MID(AB323,1,3)</f>
        <v>Nap</v>
      </c>
      <c r="X323">
        <f t="shared" ref="X323:X386" si="25">IF(Z323&lt;&gt;Z322,1,X322+1)</f>
        <v>1</v>
      </c>
      <c r="Y323" t="str">
        <f t="shared" ref="Y323:Y386" si="26">Z323&amp;X323&amp;W323</f>
        <v>A1Nap</v>
      </c>
      <c r="Z323" s="193" t="s">
        <v>43</v>
      </c>
      <c r="AA323" s="193" t="s">
        <v>328</v>
      </c>
      <c r="AB323" s="179" t="s">
        <v>681</v>
      </c>
      <c r="AC323" s="94"/>
      <c r="AD323"/>
      <c r="AE323" s="111"/>
      <c r="AF323" s="111"/>
      <c r="AG323" s="111"/>
      <c r="AH323" s="111"/>
      <c r="AI323" s="111"/>
      <c r="AJ323" s="111"/>
      <c r="AK323" s="111"/>
      <c r="AL323" s="111"/>
      <c r="AM323" s="111"/>
      <c r="AN323" s="111"/>
      <c r="AO323" s="111"/>
      <c r="AP323" s="111"/>
      <c r="AQ323" s="111"/>
    </row>
    <row r="324" spans="23:43" ht="15">
      <c r="W324" s="179" t="str">
        <f t="shared" si="24"/>
        <v>Nap</v>
      </c>
      <c r="X324">
        <f t="shared" si="25"/>
        <v>2</v>
      </c>
      <c r="Y324" t="str">
        <f t="shared" si="26"/>
        <v>A2Nap</v>
      </c>
      <c r="Z324" s="193" t="s">
        <v>43</v>
      </c>
      <c r="AA324" s="193" t="s">
        <v>408</v>
      </c>
      <c r="AB324" s="179" t="s">
        <v>681</v>
      </c>
      <c r="AC324" s="94"/>
      <c r="AD324" s="95"/>
      <c r="AE324" s="111"/>
      <c r="AF324" s="111"/>
      <c r="AG324" s="111"/>
      <c r="AH324" s="111"/>
      <c r="AI324" s="111"/>
      <c r="AJ324" s="111"/>
      <c r="AK324" s="111"/>
      <c r="AL324" s="111"/>
      <c r="AM324" s="111"/>
      <c r="AN324" s="111"/>
      <c r="AO324" s="111"/>
      <c r="AP324" s="111"/>
      <c r="AQ324" s="111"/>
    </row>
    <row r="325" spans="23:43" ht="15">
      <c r="W325" s="179" t="str">
        <f t="shared" si="24"/>
        <v>Nap</v>
      </c>
      <c r="X325">
        <f t="shared" si="25"/>
        <v>3</v>
      </c>
      <c r="Y325" t="str">
        <f t="shared" si="26"/>
        <v>A3Nap</v>
      </c>
      <c r="Z325" s="193" t="s">
        <v>43</v>
      </c>
      <c r="AA325" s="193" t="s">
        <v>552</v>
      </c>
      <c r="AB325" s="179" t="s">
        <v>681</v>
      </c>
      <c r="AC325" s="94"/>
      <c r="AD325" s="95"/>
      <c r="AE325" s="111"/>
      <c r="AF325" s="111"/>
      <c r="AG325" s="111"/>
      <c r="AH325" s="111"/>
      <c r="AI325" s="111"/>
      <c r="AJ325" s="111"/>
      <c r="AK325" s="111"/>
      <c r="AL325" s="111"/>
      <c r="AM325" s="111"/>
      <c r="AN325" s="111"/>
      <c r="AO325" s="111"/>
      <c r="AP325" s="111"/>
      <c r="AQ325" s="111"/>
    </row>
    <row r="326" spans="23:43" ht="15">
      <c r="W326" s="179" t="str">
        <f t="shared" si="24"/>
        <v>Nap</v>
      </c>
      <c r="X326">
        <f t="shared" si="25"/>
        <v>4</v>
      </c>
      <c r="Y326" t="str">
        <f t="shared" si="26"/>
        <v>A4Nap</v>
      </c>
      <c r="Z326" s="193" t="s">
        <v>43</v>
      </c>
      <c r="AA326" s="193" t="s">
        <v>454</v>
      </c>
      <c r="AB326" s="179" t="s">
        <v>681</v>
      </c>
      <c r="AC326" s="94"/>
      <c r="AD326" s="95"/>
      <c r="AE326" s="111"/>
      <c r="AF326" s="111"/>
      <c r="AG326" s="111"/>
      <c r="AH326" s="111"/>
      <c r="AI326" s="111"/>
      <c r="AJ326" s="111"/>
      <c r="AK326" s="111"/>
      <c r="AL326" s="111"/>
      <c r="AM326" s="111"/>
      <c r="AN326" s="111"/>
      <c r="AO326" s="111"/>
      <c r="AP326" s="111"/>
      <c r="AQ326" s="111"/>
    </row>
    <row r="327" spans="23:43" ht="15">
      <c r="W327" s="179" t="str">
        <f t="shared" si="24"/>
        <v>Nap</v>
      </c>
      <c r="X327">
        <f t="shared" si="25"/>
        <v>5</v>
      </c>
      <c r="Y327" t="str">
        <f t="shared" si="26"/>
        <v>A5Nap</v>
      </c>
      <c r="Z327" s="193" t="s">
        <v>43</v>
      </c>
      <c r="AA327" s="193" t="s">
        <v>1792</v>
      </c>
      <c r="AB327" s="179" t="s">
        <v>681</v>
      </c>
      <c r="AC327" s="94"/>
      <c r="AD327" s="95"/>
      <c r="AE327" s="111"/>
      <c r="AF327" s="111"/>
      <c r="AG327" s="111"/>
      <c r="AH327" s="111"/>
      <c r="AI327" s="111"/>
      <c r="AJ327" s="111"/>
      <c r="AK327" s="111"/>
      <c r="AL327" s="111"/>
      <c r="AM327" s="111"/>
      <c r="AN327" s="111"/>
      <c r="AO327" s="111"/>
      <c r="AP327" s="111"/>
      <c r="AQ327" s="111"/>
    </row>
    <row r="328" spans="23:43" ht="15">
      <c r="W328" s="179" t="str">
        <f t="shared" si="24"/>
        <v>Nap</v>
      </c>
      <c r="X328">
        <f t="shared" si="25"/>
        <v>1</v>
      </c>
      <c r="Y328" t="str">
        <f t="shared" si="26"/>
        <v>C1Nap</v>
      </c>
      <c r="Z328" s="193" t="s">
        <v>39</v>
      </c>
      <c r="AA328" s="193" t="s">
        <v>302</v>
      </c>
      <c r="AB328" s="179" t="s">
        <v>681</v>
      </c>
      <c r="AC328" s="94"/>
      <c r="AD328" s="95"/>
      <c r="AE328" s="111"/>
      <c r="AF328" s="111"/>
      <c r="AG328" s="111"/>
      <c r="AH328" s="111"/>
      <c r="AI328" s="111"/>
      <c r="AJ328" s="111"/>
      <c r="AK328" s="111"/>
      <c r="AL328" s="111"/>
      <c r="AM328" s="111"/>
      <c r="AN328" s="111"/>
      <c r="AO328" s="111"/>
      <c r="AP328" s="111"/>
      <c r="AQ328" s="111"/>
    </row>
    <row r="329" spans="23:43" ht="15">
      <c r="W329" s="179" t="str">
        <f t="shared" si="24"/>
        <v>Nap</v>
      </c>
      <c r="X329">
        <f t="shared" si="25"/>
        <v>2</v>
      </c>
      <c r="Y329" t="str">
        <f t="shared" si="26"/>
        <v>C2Nap</v>
      </c>
      <c r="Z329" s="193" t="s">
        <v>39</v>
      </c>
      <c r="AA329" s="193" t="s">
        <v>437</v>
      </c>
      <c r="AB329" s="179" t="s">
        <v>681</v>
      </c>
      <c r="AC329" s="94"/>
      <c r="AD329" s="95"/>
      <c r="AE329" s="111"/>
      <c r="AF329" s="111"/>
      <c r="AG329" s="111"/>
      <c r="AH329" s="111"/>
      <c r="AI329" s="111"/>
      <c r="AJ329" s="111"/>
      <c r="AK329" s="111"/>
      <c r="AL329" s="111"/>
      <c r="AM329" s="111"/>
      <c r="AN329" s="111"/>
      <c r="AO329" s="111"/>
      <c r="AP329" s="111"/>
      <c r="AQ329" s="111"/>
    </row>
    <row r="330" spans="23:43" ht="15">
      <c r="W330" s="179" t="str">
        <f t="shared" si="24"/>
        <v>Nap</v>
      </c>
      <c r="X330">
        <f t="shared" si="25"/>
        <v>3</v>
      </c>
      <c r="Y330" t="str">
        <f t="shared" si="26"/>
        <v>C3Nap</v>
      </c>
      <c r="Z330" s="193" t="s">
        <v>39</v>
      </c>
      <c r="AA330" s="193" t="s">
        <v>468</v>
      </c>
      <c r="AB330" s="179" t="s">
        <v>681</v>
      </c>
      <c r="AC330" s="94"/>
      <c r="AD330" s="95"/>
      <c r="AE330" s="111"/>
      <c r="AF330" s="111"/>
      <c r="AG330" s="111"/>
      <c r="AH330" s="111"/>
      <c r="AI330" s="111"/>
      <c r="AJ330" s="111"/>
      <c r="AK330" s="111"/>
      <c r="AL330" s="111"/>
      <c r="AM330" s="111"/>
      <c r="AN330" s="111"/>
      <c r="AO330" s="111"/>
      <c r="AP330" s="111"/>
      <c r="AQ330" s="111"/>
    </row>
    <row r="331" spans="23:43" ht="15">
      <c r="W331" s="179" t="str">
        <f t="shared" si="24"/>
        <v>Nap</v>
      </c>
      <c r="X331">
        <f t="shared" si="25"/>
        <v>4</v>
      </c>
      <c r="Y331" t="str">
        <f t="shared" si="26"/>
        <v>C4Nap</v>
      </c>
      <c r="Z331" s="193" t="s">
        <v>39</v>
      </c>
      <c r="AA331" s="193" t="s">
        <v>483</v>
      </c>
      <c r="AB331" s="179" t="s">
        <v>681</v>
      </c>
      <c r="AC331" s="94"/>
      <c r="AD331" s="95"/>
      <c r="AE331" s="111"/>
      <c r="AF331" s="111"/>
      <c r="AG331" s="111"/>
      <c r="AH331" s="111"/>
      <c r="AI331" s="111"/>
      <c r="AJ331" s="111"/>
      <c r="AK331" s="111"/>
      <c r="AL331" s="111"/>
      <c r="AM331" s="111"/>
      <c r="AN331" s="111"/>
      <c r="AO331" s="111"/>
      <c r="AP331" s="111"/>
      <c r="AQ331" s="111"/>
    </row>
    <row r="332" spans="23:43" ht="15">
      <c r="W332" s="179" t="str">
        <f t="shared" si="24"/>
        <v>Nap</v>
      </c>
      <c r="X332">
        <f t="shared" si="25"/>
        <v>5</v>
      </c>
      <c r="Y332" t="str">
        <f t="shared" si="26"/>
        <v>C5Nap</v>
      </c>
      <c r="Z332" s="193" t="s">
        <v>39</v>
      </c>
      <c r="AA332" s="193" t="s">
        <v>508</v>
      </c>
      <c r="AB332" s="179" t="s">
        <v>681</v>
      </c>
      <c r="AC332" s="94"/>
      <c r="AD332" s="95"/>
      <c r="AE332" s="111"/>
      <c r="AF332" s="111"/>
      <c r="AG332" s="111"/>
      <c r="AH332" s="111"/>
      <c r="AI332" s="111"/>
      <c r="AJ332" s="111"/>
      <c r="AK332" s="111"/>
      <c r="AL332" s="111"/>
      <c r="AM332" s="111"/>
      <c r="AN332" s="111"/>
      <c r="AO332" s="111"/>
      <c r="AP332" s="111"/>
      <c r="AQ332" s="111"/>
    </row>
    <row r="333" spans="23:43" ht="15">
      <c r="W333" s="179" t="str">
        <f t="shared" si="24"/>
        <v>Nap</v>
      </c>
      <c r="X333">
        <f t="shared" si="25"/>
        <v>6</v>
      </c>
      <c r="Y333" t="str">
        <f t="shared" si="26"/>
        <v>C6Nap</v>
      </c>
      <c r="Z333" s="193" t="s">
        <v>39</v>
      </c>
      <c r="AA333" s="193" t="s">
        <v>1331</v>
      </c>
      <c r="AB333" s="179" t="s">
        <v>681</v>
      </c>
      <c r="AC333" s="94"/>
      <c r="AD333" s="95"/>
      <c r="AE333" s="111"/>
      <c r="AF333" s="111"/>
      <c r="AG333" s="111"/>
      <c r="AH333" s="111"/>
      <c r="AI333" s="111"/>
      <c r="AJ333" s="111"/>
      <c r="AK333" s="111"/>
      <c r="AL333" s="111"/>
      <c r="AM333" s="111"/>
      <c r="AN333" s="111"/>
      <c r="AO333" s="111"/>
      <c r="AP333" s="111"/>
      <c r="AQ333" s="111"/>
    </row>
    <row r="334" spans="23:43" ht="15">
      <c r="W334" s="179" t="str">
        <f t="shared" si="24"/>
        <v>Nap</v>
      </c>
      <c r="X334">
        <f t="shared" si="25"/>
        <v>7</v>
      </c>
      <c r="Y334" t="str">
        <f t="shared" si="26"/>
        <v>C7Nap</v>
      </c>
      <c r="Z334" s="193" t="s">
        <v>39</v>
      </c>
      <c r="AA334" s="193" t="s">
        <v>624</v>
      </c>
      <c r="AB334" s="179" t="s">
        <v>681</v>
      </c>
      <c r="AC334" s="94"/>
      <c r="AD334" s="95"/>
      <c r="AE334" s="111"/>
      <c r="AF334" s="111"/>
      <c r="AG334" s="111"/>
      <c r="AH334" s="111"/>
      <c r="AI334" s="111"/>
      <c r="AJ334" s="111"/>
      <c r="AK334" s="111"/>
      <c r="AL334" s="111"/>
      <c r="AM334" s="111"/>
      <c r="AN334" s="111"/>
      <c r="AO334" s="111"/>
      <c r="AP334" s="111"/>
      <c r="AQ334" s="111"/>
    </row>
    <row r="335" spans="23:43" ht="15">
      <c r="W335" s="179" t="str">
        <f t="shared" si="24"/>
        <v>Nap</v>
      </c>
      <c r="X335">
        <f t="shared" si="25"/>
        <v>1</v>
      </c>
      <c r="Y335" t="str">
        <f t="shared" si="26"/>
        <v>D1Nap</v>
      </c>
      <c r="Z335" s="193" t="s">
        <v>37</v>
      </c>
      <c r="AA335" s="193" t="s">
        <v>308</v>
      </c>
      <c r="AB335" s="179" t="s">
        <v>681</v>
      </c>
      <c r="AC335" s="94"/>
      <c r="AD335" s="95"/>
      <c r="AE335" s="111"/>
      <c r="AF335" s="111"/>
      <c r="AG335" s="111"/>
      <c r="AH335" s="111"/>
      <c r="AI335" s="111"/>
      <c r="AJ335" s="111"/>
      <c r="AK335" s="111"/>
      <c r="AL335" s="111"/>
      <c r="AM335" s="111"/>
      <c r="AN335" s="111"/>
      <c r="AO335" s="111"/>
      <c r="AP335" s="111"/>
      <c r="AQ335" s="111"/>
    </row>
    <row r="336" spans="23:43" ht="15">
      <c r="W336" s="179" t="str">
        <f t="shared" si="24"/>
        <v>Nap</v>
      </c>
      <c r="X336">
        <f t="shared" si="25"/>
        <v>2</v>
      </c>
      <c r="Y336" t="str">
        <f t="shared" si="26"/>
        <v>D2Nap</v>
      </c>
      <c r="Z336" s="193" t="s">
        <v>37</v>
      </c>
      <c r="AA336" s="193" t="s">
        <v>419</v>
      </c>
      <c r="AB336" s="179" t="s">
        <v>681</v>
      </c>
      <c r="AC336" s="94"/>
      <c r="AD336" s="95"/>
      <c r="AE336" s="111"/>
      <c r="AF336" s="111"/>
      <c r="AG336" s="111"/>
      <c r="AH336" s="111"/>
      <c r="AI336" s="111"/>
      <c r="AJ336" s="111"/>
      <c r="AK336" s="111"/>
      <c r="AL336" s="111"/>
      <c r="AM336" s="111"/>
      <c r="AN336" s="111"/>
      <c r="AO336" s="111"/>
      <c r="AP336" s="111"/>
      <c r="AQ336" s="111"/>
    </row>
    <row r="337" spans="23:43" ht="15">
      <c r="W337" s="179" t="str">
        <f t="shared" si="24"/>
        <v>Nap</v>
      </c>
      <c r="X337">
        <f t="shared" si="25"/>
        <v>3</v>
      </c>
      <c r="Y337" t="str">
        <f t="shared" si="26"/>
        <v>D3Nap</v>
      </c>
      <c r="Z337" s="193" t="s">
        <v>37</v>
      </c>
      <c r="AA337" s="193" t="s">
        <v>500</v>
      </c>
      <c r="AB337" s="179" t="s">
        <v>681</v>
      </c>
      <c r="AC337" s="94"/>
      <c r="AD337" s="95"/>
      <c r="AE337" s="111"/>
      <c r="AF337" s="111"/>
      <c r="AG337" s="111"/>
      <c r="AH337" s="111"/>
      <c r="AI337" s="111"/>
      <c r="AJ337" s="111"/>
      <c r="AK337" s="111"/>
      <c r="AL337" s="111"/>
      <c r="AM337" s="111"/>
      <c r="AN337" s="111"/>
      <c r="AO337" s="111"/>
      <c r="AP337" s="111"/>
      <c r="AQ337" s="111"/>
    </row>
    <row r="338" spans="23:43" ht="15">
      <c r="W338" s="179" t="str">
        <f t="shared" si="24"/>
        <v>Nap</v>
      </c>
      <c r="X338">
        <f t="shared" si="25"/>
        <v>4</v>
      </c>
      <c r="Y338" t="str">
        <f t="shared" si="26"/>
        <v>D4Nap</v>
      </c>
      <c r="Z338" s="193" t="s">
        <v>37</v>
      </c>
      <c r="AA338" s="193" t="s">
        <v>515</v>
      </c>
      <c r="AB338" s="179" t="s">
        <v>681</v>
      </c>
      <c r="AC338" s="94"/>
      <c r="AD338" s="95"/>
      <c r="AE338" s="111"/>
      <c r="AF338" s="111"/>
      <c r="AG338" s="111"/>
      <c r="AH338" s="111"/>
      <c r="AI338" s="111"/>
      <c r="AJ338" s="111"/>
      <c r="AK338" s="111"/>
      <c r="AL338" s="111"/>
      <c r="AM338" s="111"/>
      <c r="AN338" s="111"/>
      <c r="AO338" s="111"/>
      <c r="AP338" s="111"/>
      <c r="AQ338" s="111"/>
    </row>
    <row r="339" spans="23:43" ht="15">
      <c r="W339" s="179" t="str">
        <f t="shared" si="24"/>
        <v>Nap</v>
      </c>
      <c r="X339">
        <f t="shared" si="25"/>
        <v>5</v>
      </c>
      <c r="Y339" t="str">
        <f t="shared" si="26"/>
        <v>D5Nap</v>
      </c>
      <c r="Z339" s="193" t="s">
        <v>37</v>
      </c>
      <c r="AA339" s="193" t="s">
        <v>523</v>
      </c>
      <c r="AB339" s="179" t="s">
        <v>681</v>
      </c>
      <c r="AC339" s="94"/>
      <c r="AD339" s="95"/>
      <c r="AE339" s="111"/>
      <c r="AF339" s="111"/>
      <c r="AG339" s="111"/>
      <c r="AH339" s="111"/>
      <c r="AI339" s="111"/>
      <c r="AJ339" s="111"/>
      <c r="AK339" s="111"/>
      <c r="AL339" s="111"/>
      <c r="AM339" s="111"/>
      <c r="AN339" s="111"/>
      <c r="AO339" s="111"/>
      <c r="AP339" s="111"/>
      <c r="AQ339" s="111"/>
    </row>
    <row r="340" spans="23:43" ht="15">
      <c r="W340" s="179" t="str">
        <f t="shared" si="24"/>
        <v>Nap</v>
      </c>
      <c r="X340">
        <f t="shared" si="25"/>
        <v>6</v>
      </c>
      <c r="Y340" t="str">
        <f t="shared" si="26"/>
        <v>D6Nap</v>
      </c>
      <c r="Z340" s="193" t="s">
        <v>37</v>
      </c>
      <c r="AA340" s="193" t="s">
        <v>534</v>
      </c>
      <c r="AB340" s="179" t="s">
        <v>681</v>
      </c>
      <c r="AC340" s="94"/>
      <c r="AD340" s="95"/>
      <c r="AE340" s="111"/>
      <c r="AF340" s="111"/>
      <c r="AG340" s="111"/>
      <c r="AH340" s="111"/>
      <c r="AI340" s="111"/>
      <c r="AJ340" s="111"/>
      <c r="AK340" s="111"/>
      <c r="AL340" s="111"/>
      <c r="AM340" s="111"/>
      <c r="AN340" s="111"/>
      <c r="AO340" s="111"/>
      <c r="AP340" s="111"/>
      <c r="AQ340" s="111"/>
    </row>
    <row r="341" spans="23:43" ht="15">
      <c r="W341" s="179" t="str">
        <f t="shared" si="24"/>
        <v>Nap</v>
      </c>
      <c r="X341">
        <f t="shared" si="25"/>
        <v>7</v>
      </c>
      <c r="Y341" t="str">
        <f t="shared" si="26"/>
        <v>D7Nap</v>
      </c>
      <c r="Z341" s="193" t="s">
        <v>37</v>
      </c>
      <c r="AA341" s="193" t="s">
        <v>537</v>
      </c>
      <c r="AB341" s="179" t="s">
        <v>681</v>
      </c>
      <c r="AC341" s="94"/>
      <c r="AD341" s="95"/>
      <c r="AE341" s="111"/>
      <c r="AF341" s="111"/>
      <c r="AG341" s="111"/>
      <c r="AH341" s="111"/>
      <c r="AI341" s="111"/>
      <c r="AJ341" s="111"/>
      <c r="AK341" s="111"/>
      <c r="AL341" s="111"/>
      <c r="AM341" s="111"/>
      <c r="AN341" s="111"/>
      <c r="AO341" s="111"/>
      <c r="AP341" s="111"/>
      <c r="AQ341" s="111"/>
    </row>
    <row r="342" spans="23:43" ht="15">
      <c r="W342" s="179" t="str">
        <f t="shared" si="24"/>
        <v>Nap</v>
      </c>
      <c r="X342">
        <f t="shared" si="25"/>
        <v>8</v>
      </c>
      <c r="Y342" t="str">
        <f t="shared" si="26"/>
        <v>D8Nap</v>
      </c>
      <c r="Z342" s="193" t="s">
        <v>37</v>
      </c>
      <c r="AA342" s="193" t="s">
        <v>542</v>
      </c>
      <c r="AB342" s="179" t="s">
        <v>681</v>
      </c>
      <c r="AC342" s="94"/>
      <c r="AD342" s="95"/>
      <c r="AE342" s="111"/>
      <c r="AF342" s="111"/>
      <c r="AG342" s="111"/>
      <c r="AH342" s="111"/>
      <c r="AI342" s="111"/>
      <c r="AJ342" s="111"/>
      <c r="AK342" s="111"/>
      <c r="AL342" s="111"/>
      <c r="AM342" s="111"/>
      <c r="AN342" s="111"/>
      <c r="AO342" s="111"/>
      <c r="AP342" s="111"/>
      <c r="AQ342" s="111"/>
    </row>
    <row r="343" spans="23:43" ht="15">
      <c r="W343" s="179" t="str">
        <f t="shared" si="24"/>
        <v>Nap</v>
      </c>
      <c r="X343">
        <f t="shared" si="25"/>
        <v>9</v>
      </c>
      <c r="Y343" t="str">
        <f t="shared" si="26"/>
        <v>D9Nap</v>
      </c>
      <c r="Z343" s="193" t="s">
        <v>37</v>
      </c>
      <c r="AA343" s="193" t="s">
        <v>611</v>
      </c>
      <c r="AB343" s="179" t="s">
        <v>681</v>
      </c>
      <c r="AC343" s="94"/>
      <c r="AD343" s="95"/>
      <c r="AE343" s="111"/>
      <c r="AF343" s="111"/>
      <c r="AG343" s="111"/>
      <c r="AH343" s="111"/>
      <c r="AI343" s="111"/>
      <c r="AJ343" s="111"/>
      <c r="AK343" s="111"/>
      <c r="AL343" s="111"/>
      <c r="AM343" s="111"/>
      <c r="AN343" s="111"/>
      <c r="AO343" s="111"/>
      <c r="AP343" s="111"/>
      <c r="AQ343" s="111"/>
    </row>
    <row r="344" spans="23:43" ht="15">
      <c r="W344" s="179" t="str">
        <f t="shared" si="24"/>
        <v>Nap</v>
      </c>
      <c r="X344">
        <f t="shared" si="25"/>
        <v>1</v>
      </c>
      <c r="Y344" t="str">
        <f t="shared" si="26"/>
        <v>P1Nap</v>
      </c>
      <c r="Z344" s="193" t="s">
        <v>35</v>
      </c>
      <c r="AA344" s="193" t="s">
        <v>412</v>
      </c>
      <c r="AB344" s="179" t="s">
        <v>681</v>
      </c>
      <c r="AC344" s="94"/>
      <c r="AD344" s="95"/>
      <c r="AE344" s="111"/>
      <c r="AF344" s="111"/>
      <c r="AG344" s="111"/>
      <c r="AH344" s="111"/>
      <c r="AI344" s="111"/>
      <c r="AJ344" s="111"/>
      <c r="AK344" s="111"/>
      <c r="AL344" s="111"/>
      <c r="AM344" s="111"/>
      <c r="AN344" s="111"/>
      <c r="AO344" s="111"/>
      <c r="AP344" s="111"/>
      <c r="AQ344" s="111"/>
    </row>
    <row r="345" spans="23:43" ht="15">
      <c r="W345" s="179" t="str">
        <f t="shared" si="24"/>
        <v>Nap</v>
      </c>
      <c r="X345">
        <f t="shared" si="25"/>
        <v>2</v>
      </c>
      <c r="Y345" t="str">
        <f t="shared" si="26"/>
        <v>P2Nap</v>
      </c>
      <c r="Z345" s="193" t="s">
        <v>35</v>
      </c>
      <c r="AA345" s="193" t="s">
        <v>416</v>
      </c>
      <c r="AB345" s="179" t="s">
        <v>681</v>
      </c>
      <c r="AC345" s="94"/>
      <c r="AD345" s="95"/>
      <c r="AE345" s="111"/>
      <c r="AF345" s="111"/>
      <c r="AG345" s="111"/>
      <c r="AH345" s="111"/>
      <c r="AI345" s="111"/>
      <c r="AJ345" s="111"/>
      <c r="AK345" s="111"/>
      <c r="AL345" s="111"/>
      <c r="AM345" s="111"/>
      <c r="AN345" s="111"/>
      <c r="AO345" s="111"/>
      <c r="AP345" s="111"/>
      <c r="AQ345" s="111"/>
    </row>
    <row r="346" spans="23:43" ht="15">
      <c r="W346" s="179" t="str">
        <f t="shared" si="24"/>
        <v>Nap</v>
      </c>
      <c r="X346">
        <f t="shared" si="25"/>
        <v>3</v>
      </c>
      <c r="Y346" t="str">
        <f t="shared" si="26"/>
        <v>P3Nap</v>
      </c>
      <c r="Z346" s="193" t="s">
        <v>35</v>
      </c>
      <c r="AA346" s="193" t="s">
        <v>426</v>
      </c>
      <c r="AB346" s="179" t="s">
        <v>681</v>
      </c>
      <c r="AC346" s="94"/>
      <c r="AD346" s="95"/>
      <c r="AE346" s="111"/>
      <c r="AF346" s="111"/>
      <c r="AG346" s="111"/>
      <c r="AH346" s="111"/>
      <c r="AI346" s="111"/>
      <c r="AJ346" s="111"/>
      <c r="AK346" s="111"/>
      <c r="AL346" s="111"/>
      <c r="AM346" s="111"/>
      <c r="AN346" s="111"/>
      <c r="AO346" s="111"/>
      <c r="AP346" s="111"/>
      <c r="AQ346" s="111"/>
    </row>
    <row r="347" spans="23:43" ht="15">
      <c r="W347" s="179" t="str">
        <f t="shared" si="24"/>
        <v>Rom</v>
      </c>
      <c r="X347">
        <f t="shared" si="25"/>
        <v>1</v>
      </c>
      <c r="Y347" t="str">
        <f t="shared" si="26"/>
        <v>A1Rom</v>
      </c>
      <c r="Z347" s="193" t="s">
        <v>43</v>
      </c>
      <c r="AA347" s="193" t="s">
        <v>341</v>
      </c>
      <c r="AB347" s="179" t="s">
        <v>695</v>
      </c>
      <c r="AC347" s="94"/>
      <c r="AD347" s="95"/>
      <c r="AE347" s="111"/>
      <c r="AF347" s="111"/>
      <c r="AG347" s="111"/>
      <c r="AH347" s="111"/>
      <c r="AI347" s="111"/>
      <c r="AJ347" s="111"/>
      <c r="AK347" s="111"/>
      <c r="AL347" s="111"/>
      <c r="AM347" s="111"/>
      <c r="AN347" s="111"/>
      <c r="AO347" s="111"/>
      <c r="AP347" s="111"/>
      <c r="AQ347" s="111"/>
    </row>
    <row r="348" spans="23:43" ht="15">
      <c r="W348" s="179" t="str">
        <f t="shared" si="24"/>
        <v>Rom</v>
      </c>
      <c r="X348">
        <f t="shared" si="25"/>
        <v>2</v>
      </c>
      <c r="Y348" t="str">
        <f t="shared" si="26"/>
        <v>A2Rom</v>
      </c>
      <c r="Z348" s="193" t="s">
        <v>43</v>
      </c>
      <c r="AA348" s="193" t="s">
        <v>358</v>
      </c>
      <c r="AB348" s="179" t="s">
        <v>695</v>
      </c>
      <c r="AC348" s="94"/>
      <c r="AD348" s="95"/>
      <c r="AE348" s="111"/>
      <c r="AF348" s="111"/>
      <c r="AG348" s="111"/>
      <c r="AH348" s="111"/>
      <c r="AI348" s="111"/>
      <c r="AJ348" s="111"/>
      <c r="AK348" s="111"/>
      <c r="AL348" s="111"/>
      <c r="AM348" s="111"/>
      <c r="AN348" s="111"/>
      <c r="AO348" s="111"/>
      <c r="AP348" s="111"/>
      <c r="AQ348" s="111"/>
    </row>
    <row r="349" spans="23:43" ht="15">
      <c r="W349" s="179" t="str">
        <f t="shared" si="24"/>
        <v>Rom</v>
      </c>
      <c r="X349">
        <f t="shared" si="25"/>
        <v>3</v>
      </c>
      <c r="Y349" t="str">
        <f t="shared" si="26"/>
        <v>A3Rom</v>
      </c>
      <c r="Z349" s="193" t="s">
        <v>43</v>
      </c>
      <c r="AA349" s="193" t="s">
        <v>365</v>
      </c>
      <c r="AB349" s="179" t="s">
        <v>695</v>
      </c>
      <c r="AC349" s="94"/>
      <c r="AD349" s="95"/>
      <c r="AE349" s="111"/>
      <c r="AF349" s="111"/>
      <c r="AG349" s="111"/>
      <c r="AH349" s="111"/>
      <c r="AI349" s="111"/>
      <c r="AJ349" s="111"/>
      <c r="AK349" s="111"/>
      <c r="AL349" s="111"/>
      <c r="AM349" s="111"/>
      <c r="AN349" s="111"/>
      <c r="AO349" s="111"/>
      <c r="AP349" s="111"/>
      <c r="AQ349" s="111"/>
    </row>
    <row r="350" spans="23:43" ht="15">
      <c r="W350" s="179" t="str">
        <f t="shared" si="24"/>
        <v>Rom</v>
      </c>
      <c r="X350">
        <f t="shared" si="25"/>
        <v>4</v>
      </c>
      <c r="Y350" t="str">
        <f t="shared" si="26"/>
        <v>A4Rom</v>
      </c>
      <c r="Z350" s="193" t="s">
        <v>43</v>
      </c>
      <c r="AA350" s="193" t="s">
        <v>509</v>
      </c>
      <c r="AB350" s="179" t="s">
        <v>695</v>
      </c>
      <c r="AC350" s="94"/>
      <c r="AD350" s="95"/>
      <c r="AE350" s="111"/>
      <c r="AF350" s="111"/>
      <c r="AG350" s="111"/>
      <c r="AH350" s="111"/>
      <c r="AI350" s="111"/>
      <c r="AJ350" s="111"/>
      <c r="AK350" s="111"/>
      <c r="AL350" s="111"/>
      <c r="AM350" s="111"/>
      <c r="AN350" s="111"/>
      <c r="AO350" s="111"/>
      <c r="AP350" s="111"/>
      <c r="AQ350" s="111"/>
    </row>
    <row r="351" spans="23:43" ht="15">
      <c r="W351" s="179" t="str">
        <f t="shared" si="24"/>
        <v>Rom</v>
      </c>
      <c r="X351">
        <f t="shared" si="25"/>
        <v>1</v>
      </c>
      <c r="Y351" t="str">
        <f t="shared" si="26"/>
        <v>C1Rom</v>
      </c>
      <c r="Z351" s="193" t="s">
        <v>39</v>
      </c>
      <c r="AA351" s="193" t="s">
        <v>424</v>
      </c>
      <c r="AB351" s="179" t="s">
        <v>695</v>
      </c>
      <c r="AC351" s="94"/>
      <c r="AD351" s="95"/>
      <c r="AE351" s="111"/>
      <c r="AF351" s="111"/>
      <c r="AG351" s="111"/>
      <c r="AH351" s="111"/>
      <c r="AI351" s="111"/>
      <c r="AJ351" s="111"/>
      <c r="AK351" s="111"/>
      <c r="AL351" s="111"/>
      <c r="AM351" s="111"/>
      <c r="AN351" s="111"/>
      <c r="AO351" s="111"/>
      <c r="AP351" s="111"/>
      <c r="AQ351" s="111"/>
    </row>
    <row r="352" spans="23:43" ht="15">
      <c r="W352" s="179" t="str">
        <f t="shared" si="24"/>
        <v>Rom</v>
      </c>
      <c r="X352">
        <f t="shared" si="25"/>
        <v>2</v>
      </c>
      <c r="Y352" t="str">
        <f t="shared" si="26"/>
        <v>C2Rom</v>
      </c>
      <c r="Z352" s="193" t="s">
        <v>39</v>
      </c>
      <c r="AA352" s="193" t="s">
        <v>485</v>
      </c>
      <c r="AB352" s="179" t="s">
        <v>695</v>
      </c>
      <c r="AC352" s="94"/>
      <c r="AD352" s="95"/>
      <c r="AE352" s="111"/>
      <c r="AF352" s="111"/>
      <c r="AG352" s="111"/>
      <c r="AH352" s="111"/>
      <c r="AI352" s="111"/>
      <c r="AJ352" s="111"/>
      <c r="AK352" s="111"/>
      <c r="AL352" s="111"/>
      <c r="AM352" s="111"/>
      <c r="AN352" s="111"/>
      <c r="AO352" s="111"/>
      <c r="AP352" s="111"/>
      <c r="AQ352" s="111"/>
    </row>
    <row r="353" spans="23:43" ht="15">
      <c r="W353" s="179" t="str">
        <f t="shared" si="24"/>
        <v>Rom</v>
      </c>
      <c r="X353">
        <f t="shared" si="25"/>
        <v>3</v>
      </c>
      <c r="Y353" t="str">
        <f t="shared" si="26"/>
        <v>C3Rom</v>
      </c>
      <c r="Z353" s="193" t="s">
        <v>39</v>
      </c>
      <c r="AA353" s="193" t="s">
        <v>381</v>
      </c>
      <c r="AB353" s="179" t="s">
        <v>695</v>
      </c>
      <c r="AC353" s="94"/>
      <c r="AD353" s="95"/>
      <c r="AE353" s="111"/>
      <c r="AF353" s="111"/>
      <c r="AG353" s="111"/>
      <c r="AH353" s="111"/>
      <c r="AI353" s="111"/>
      <c r="AJ353" s="111"/>
      <c r="AK353" s="111"/>
      <c r="AL353" s="111"/>
      <c r="AM353" s="111"/>
      <c r="AN353" s="111"/>
      <c r="AO353" s="111"/>
      <c r="AP353" s="111"/>
      <c r="AQ353" s="111"/>
    </row>
    <row r="354" spans="23:43" ht="15">
      <c r="W354" s="179" t="str">
        <f t="shared" si="24"/>
        <v>Rom</v>
      </c>
      <c r="X354">
        <f t="shared" si="25"/>
        <v>4</v>
      </c>
      <c r="Y354" t="str">
        <f t="shared" si="26"/>
        <v>C4Rom</v>
      </c>
      <c r="Z354" s="193" t="s">
        <v>39</v>
      </c>
      <c r="AA354" s="193" t="s">
        <v>1756</v>
      </c>
      <c r="AB354" s="179" t="s">
        <v>695</v>
      </c>
      <c r="AC354" s="94"/>
      <c r="AD354" s="95"/>
      <c r="AE354" s="111"/>
      <c r="AF354" s="111"/>
      <c r="AG354" s="111"/>
      <c r="AH354" s="111"/>
      <c r="AI354" s="111"/>
      <c r="AJ354" s="111"/>
      <c r="AK354" s="111"/>
      <c r="AL354" s="111"/>
      <c r="AM354" s="111"/>
      <c r="AN354" s="111"/>
      <c r="AO354" s="111"/>
      <c r="AP354" s="111"/>
      <c r="AQ354" s="111"/>
    </row>
    <row r="355" spans="23:43">
      <c r="W355" s="179" t="str">
        <f t="shared" si="24"/>
        <v>Rom</v>
      </c>
      <c r="X355">
        <f t="shared" si="25"/>
        <v>5</v>
      </c>
      <c r="Y355" t="str">
        <f t="shared" si="26"/>
        <v>C5Rom</v>
      </c>
      <c r="Z355" t="s">
        <v>39</v>
      </c>
      <c r="AA355" t="s">
        <v>567</v>
      </c>
      <c r="AB355" s="179" t="s">
        <v>695</v>
      </c>
      <c r="AC355" s="94"/>
      <c r="AD355" s="95"/>
      <c r="AE355" s="111"/>
      <c r="AF355" s="111"/>
      <c r="AG355" s="111"/>
      <c r="AH355" s="111"/>
      <c r="AI355" s="111"/>
      <c r="AJ355" s="111"/>
      <c r="AK355" s="111"/>
      <c r="AL355" s="111"/>
      <c r="AM355" s="111"/>
      <c r="AN355" s="111"/>
      <c r="AO355" s="111"/>
      <c r="AP355" s="111"/>
      <c r="AQ355" s="111"/>
    </row>
    <row r="356" spans="23:43" ht="15">
      <c r="W356" s="179" t="str">
        <f t="shared" si="24"/>
        <v>Rom</v>
      </c>
      <c r="X356">
        <f t="shared" si="25"/>
        <v>6</v>
      </c>
      <c r="Y356" t="str">
        <f t="shared" si="26"/>
        <v>C6Rom</v>
      </c>
      <c r="Z356" s="193" t="s">
        <v>39</v>
      </c>
      <c r="AA356" s="193" t="s">
        <v>579</v>
      </c>
      <c r="AB356" s="179" t="s">
        <v>695</v>
      </c>
      <c r="AC356" s="94"/>
      <c r="AD356" s="95"/>
      <c r="AE356" s="111"/>
      <c r="AF356" s="111"/>
      <c r="AG356" s="111"/>
      <c r="AH356" s="111"/>
      <c r="AI356" s="111"/>
      <c r="AJ356" s="111"/>
      <c r="AK356" s="111"/>
      <c r="AL356" s="111"/>
      <c r="AM356" s="111"/>
      <c r="AN356" s="111"/>
      <c r="AO356" s="111"/>
      <c r="AP356" s="111"/>
      <c r="AQ356" s="111"/>
    </row>
    <row r="357" spans="23:43" ht="15">
      <c r="W357" s="179" t="str">
        <f t="shared" si="24"/>
        <v>Rom</v>
      </c>
      <c r="X357">
        <f t="shared" si="25"/>
        <v>7</v>
      </c>
      <c r="Y357" t="str">
        <f t="shared" si="26"/>
        <v>C7Rom</v>
      </c>
      <c r="Z357" s="193" t="s">
        <v>39</v>
      </c>
      <c r="AA357" s="193" t="s">
        <v>581</v>
      </c>
      <c r="AB357" s="179" t="s">
        <v>695</v>
      </c>
      <c r="AC357" s="94"/>
      <c r="AD357" s="95"/>
      <c r="AE357" s="111"/>
      <c r="AF357" s="111"/>
      <c r="AG357" s="111"/>
      <c r="AH357" s="111"/>
      <c r="AI357" s="111"/>
      <c r="AJ357" s="111"/>
      <c r="AK357" s="111"/>
      <c r="AL357" s="111"/>
      <c r="AM357" s="111"/>
      <c r="AN357" s="111"/>
      <c r="AO357" s="111"/>
      <c r="AP357" s="111"/>
      <c r="AQ357" s="111"/>
    </row>
    <row r="358" spans="23:43" ht="15">
      <c r="W358" s="179" t="str">
        <f t="shared" si="24"/>
        <v>Rom</v>
      </c>
      <c r="X358">
        <f t="shared" si="25"/>
        <v>8</v>
      </c>
      <c r="Y358" t="str">
        <f t="shared" si="26"/>
        <v>C8Rom</v>
      </c>
      <c r="Z358" s="193" t="s">
        <v>39</v>
      </c>
      <c r="AA358" s="193" t="s">
        <v>606</v>
      </c>
      <c r="AB358" s="179" t="s">
        <v>695</v>
      </c>
      <c r="AC358" s="94"/>
      <c r="AD358" s="95"/>
      <c r="AE358" s="111"/>
      <c r="AF358" s="111"/>
      <c r="AG358" s="111"/>
      <c r="AH358" s="111"/>
      <c r="AI358" s="111"/>
      <c r="AJ358" s="111"/>
      <c r="AK358" s="111"/>
      <c r="AL358" s="111"/>
      <c r="AM358" s="111"/>
      <c r="AN358" s="111"/>
      <c r="AO358" s="111"/>
      <c r="AP358" s="111"/>
      <c r="AQ358" s="111"/>
    </row>
    <row r="359" spans="23:43" ht="15">
      <c r="W359" s="179" t="str">
        <f t="shared" si="24"/>
        <v>Rom</v>
      </c>
      <c r="X359">
        <f t="shared" si="25"/>
        <v>9</v>
      </c>
      <c r="Y359" t="str">
        <f t="shared" si="26"/>
        <v>C9Rom</v>
      </c>
      <c r="Z359" s="193" t="s">
        <v>39</v>
      </c>
      <c r="AA359" s="193" t="s">
        <v>1744</v>
      </c>
      <c r="AB359" s="179" t="s">
        <v>695</v>
      </c>
      <c r="AC359" s="94"/>
      <c r="AD359" s="95"/>
      <c r="AE359" s="111"/>
      <c r="AF359" s="111"/>
      <c r="AG359" s="111"/>
      <c r="AH359" s="111"/>
      <c r="AI359" s="111"/>
      <c r="AJ359" s="111"/>
      <c r="AK359" s="111"/>
      <c r="AL359" s="111"/>
      <c r="AM359" s="111"/>
      <c r="AN359" s="111"/>
      <c r="AO359" s="111"/>
      <c r="AP359" s="111"/>
      <c r="AQ359" s="111"/>
    </row>
    <row r="360" spans="23:43" ht="15">
      <c r="W360" s="179" t="str">
        <f t="shared" si="24"/>
        <v>Rom</v>
      </c>
      <c r="X360">
        <f t="shared" si="25"/>
        <v>1</v>
      </c>
      <c r="Y360" t="str">
        <f t="shared" si="26"/>
        <v>D1Rom</v>
      </c>
      <c r="Z360" s="193" t="s">
        <v>37</v>
      </c>
      <c r="AA360" s="193" t="s">
        <v>380</v>
      </c>
      <c r="AB360" s="179" t="s">
        <v>695</v>
      </c>
      <c r="AC360" s="94"/>
      <c r="AD360" s="95"/>
      <c r="AE360" s="111"/>
      <c r="AF360" s="111"/>
      <c r="AG360" s="111"/>
      <c r="AH360" s="111"/>
      <c r="AI360" s="111"/>
      <c r="AJ360" s="111"/>
      <c r="AK360" s="111"/>
      <c r="AL360" s="111"/>
      <c r="AM360" s="111"/>
      <c r="AN360" s="111"/>
      <c r="AO360" s="111"/>
      <c r="AP360" s="111"/>
      <c r="AQ360" s="111"/>
    </row>
    <row r="361" spans="23:43">
      <c r="W361" s="179" t="str">
        <f t="shared" si="24"/>
        <v>Rom</v>
      </c>
      <c r="X361">
        <f t="shared" si="25"/>
        <v>2</v>
      </c>
      <c r="Y361" t="str">
        <f t="shared" si="26"/>
        <v>D2Rom</v>
      </c>
      <c r="Z361" t="s">
        <v>37</v>
      </c>
      <c r="AA361" t="s">
        <v>399</v>
      </c>
      <c r="AB361" s="179" t="s">
        <v>695</v>
      </c>
      <c r="AC361" s="94"/>
      <c r="AD361" s="95"/>
      <c r="AE361" s="111"/>
      <c r="AF361" s="111"/>
      <c r="AG361" s="111"/>
      <c r="AH361" s="111"/>
      <c r="AI361" s="111"/>
      <c r="AJ361" s="111"/>
      <c r="AK361" s="111"/>
      <c r="AL361" s="111"/>
      <c r="AM361" s="111"/>
      <c r="AN361" s="111"/>
      <c r="AO361" s="111"/>
      <c r="AP361" s="111"/>
      <c r="AQ361" s="111"/>
    </row>
    <row r="362" spans="23:43" ht="15">
      <c r="W362" s="179" t="str">
        <f t="shared" si="24"/>
        <v>Rom</v>
      </c>
      <c r="X362">
        <f t="shared" si="25"/>
        <v>3</v>
      </c>
      <c r="Y362" t="str">
        <f t="shared" si="26"/>
        <v>D3Rom</v>
      </c>
      <c r="Z362" s="193" t="s">
        <v>37</v>
      </c>
      <c r="AA362" s="193" t="s">
        <v>467</v>
      </c>
      <c r="AB362" s="179" t="s">
        <v>695</v>
      </c>
      <c r="AC362" s="94"/>
      <c r="AD362" s="95"/>
      <c r="AE362" s="111"/>
      <c r="AF362" s="111"/>
      <c r="AG362" s="111"/>
      <c r="AH362" s="111"/>
      <c r="AI362" s="111"/>
      <c r="AJ362" s="111"/>
      <c r="AK362" s="111"/>
      <c r="AL362" s="111"/>
      <c r="AM362" s="111"/>
      <c r="AN362" s="111"/>
      <c r="AO362" s="111"/>
      <c r="AP362" s="111"/>
      <c r="AQ362" s="111"/>
    </row>
    <row r="363" spans="23:43" ht="15">
      <c r="W363" s="179" t="str">
        <f t="shared" si="24"/>
        <v>Rom</v>
      </c>
      <c r="X363">
        <f t="shared" si="25"/>
        <v>4</v>
      </c>
      <c r="Y363" t="str">
        <f t="shared" si="26"/>
        <v>D4Rom</v>
      </c>
      <c r="Z363" s="193" t="s">
        <v>37</v>
      </c>
      <c r="AA363" s="193" t="s">
        <v>922</v>
      </c>
      <c r="AB363" s="179" t="s">
        <v>695</v>
      </c>
      <c r="AC363" s="94"/>
      <c r="AD363" s="95"/>
      <c r="AE363" s="111"/>
      <c r="AF363" s="111"/>
      <c r="AG363" s="111"/>
      <c r="AH363" s="111"/>
      <c r="AI363" s="111"/>
      <c r="AJ363" s="111"/>
      <c r="AK363" s="111"/>
      <c r="AL363" s="111"/>
      <c r="AM363" s="111"/>
      <c r="AN363" s="111"/>
      <c r="AO363" s="111"/>
      <c r="AP363" s="111"/>
      <c r="AQ363" s="111"/>
    </row>
    <row r="364" spans="23:43" ht="15">
      <c r="W364" s="179" t="str">
        <f t="shared" si="24"/>
        <v>Rom</v>
      </c>
      <c r="X364">
        <f t="shared" si="25"/>
        <v>5</v>
      </c>
      <c r="Y364" t="str">
        <f t="shared" si="26"/>
        <v>D5Rom</v>
      </c>
      <c r="Z364" s="193" t="s">
        <v>37</v>
      </c>
      <c r="AA364" s="193" t="s">
        <v>1862</v>
      </c>
      <c r="AB364" s="179" t="s">
        <v>695</v>
      </c>
      <c r="AC364" s="94"/>
      <c r="AD364" s="95"/>
      <c r="AE364" s="111"/>
      <c r="AF364" s="111"/>
      <c r="AG364" s="111"/>
      <c r="AH364" s="111"/>
      <c r="AI364" s="111"/>
      <c r="AJ364" s="111"/>
      <c r="AK364" s="111"/>
      <c r="AL364" s="111"/>
      <c r="AM364" s="111"/>
      <c r="AN364" s="111"/>
      <c r="AO364" s="111"/>
      <c r="AP364" s="111"/>
      <c r="AQ364" s="111"/>
    </row>
    <row r="365" spans="23:43" ht="15">
      <c r="W365" s="179" t="str">
        <f t="shared" si="24"/>
        <v>Rom</v>
      </c>
      <c r="X365">
        <f t="shared" si="25"/>
        <v>6</v>
      </c>
      <c r="Y365" t="str">
        <f t="shared" si="26"/>
        <v>D6Rom</v>
      </c>
      <c r="Z365" s="193" t="s">
        <v>37</v>
      </c>
      <c r="AA365" s="193" t="s">
        <v>521</v>
      </c>
      <c r="AB365" s="179" t="s">
        <v>695</v>
      </c>
      <c r="AC365" s="94"/>
      <c r="AD365" s="95"/>
      <c r="AE365" s="111"/>
      <c r="AF365" s="111"/>
      <c r="AG365" s="111"/>
      <c r="AH365" s="111"/>
      <c r="AI365" s="111"/>
      <c r="AJ365" s="111"/>
      <c r="AK365" s="111"/>
      <c r="AL365" s="111"/>
      <c r="AM365" s="111"/>
      <c r="AN365" s="111"/>
      <c r="AO365" s="111"/>
      <c r="AP365" s="111"/>
      <c r="AQ365" s="111"/>
    </row>
    <row r="366" spans="23:43" ht="15">
      <c r="W366" s="179" t="str">
        <f t="shared" si="24"/>
        <v>Rom</v>
      </c>
      <c r="X366">
        <f t="shared" si="25"/>
        <v>7</v>
      </c>
      <c r="Y366" t="str">
        <f t="shared" si="26"/>
        <v>D7Rom</v>
      </c>
      <c r="Z366" s="193" t="s">
        <v>37</v>
      </c>
      <c r="AA366" s="193" t="s">
        <v>1700</v>
      </c>
      <c r="AB366" s="179" t="s">
        <v>695</v>
      </c>
      <c r="AC366" s="94"/>
      <c r="AD366" s="95"/>
      <c r="AE366" s="111"/>
      <c r="AF366" s="111"/>
      <c r="AG366" s="111"/>
      <c r="AH366" s="111"/>
      <c r="AI366" s="111"/>
      <c r="AJ366" s="111"/>
      <c r="AK366" s="111"/>
      <c r="AL366" s="111"/>
      <c r="AM366" s="111"/>
      <c r="AN366" s="111"/>
      <c r="AO366" s="111"/>
      <c r="AP366" s="111"/>
      <c r="AQ366" s="111"/>
    </row>
    <row r="367" spans="23:43" ht="15">
      <c r="W367" s="179" t="str">
        <f t="shared" si="24"/>
        <v>Rom</v>
      </c>
      <c r="X367">
        <f t="shared" si="25"/>
        <v>8</v>
      </c>
      <c r="Y367" t="str">
        <f t="shared" si="26"/>
        <v>D8Rom</v>
      </c>
      <c r="Z367" s="193" t="s">
        <v>37</v>
      </c>
      <c r="AA367" s="193" t="s">
        <v>1692</v>
      </c>
      <c r="AB367" s="179" t="s">
        <v>695</v>
      </c>
      <c r="AC367" s="94"/>
      <c r="AD367" s="95"/>
      <c r="AE367" s="111"/>
      <c r="AF367" s="111"/>
      <c r="AG367" s="111"/>
      <c r="AH367" s="111"/>
      <c r="AI367" s="111"/>
      <c r="AJ367" s="111"/>
      <c r="AK367" s="111"/>
      <c r="AL367" s="111"/>
      <c r="AM367" s="111"/>
      <c r="AN367" s="111"/>
      <c r="AO367" s="111"/>
      <c r="AP367" s="111"/>
      <c r="AQ367" s="111"/>
    </row>
    <row r="368" spans="23:43" ht="15">
      <c r="W368" s="179" t="str">
        <f t="shared" si="24"/>
        <v>Rom</v>
      </c>
      <c r="X368">
        <f t="shared" si="25"/>
        <v>9</v>
      </c>
      <c r="Y368" t="str">
        <f t="shared" si="26"/>
        <v>D9Rom</v>
      </c>
      <c r="Z368" s="193" t="s">
        <v>37</v>
      </c>
      <c r="AA368" s="193" t="s">
        <v>539</v>
      </c>
      <c r="AB368" s="179" t="s">
        <v>695</v>
      </c>
      <c r="AC368" s="94"/>
      <c r="AD368" s="95"/>
      <c r="AE368" s="111"/>
      <c r="AF368" s="111"/>
      <c r="AG368" s="111"/>
      <c r="AH368" s="111"/>
      <c r="AI368" s="111"/>
      <c r="AJ368" s="111"/>
      <c r="AK368" s="111"/>
      <c r="AL368" s="111"/>
      <c r="AM368" s="111"/>
      <c r="AN368" s="111"/>
      <c r="AO368" s="111"/>
      <c r="AP368" s="111"/>
      <c r="AQ368" s="111"/>
    </row>
    <row r="369" spans="23:43" ht="15">
      <c r="W369" s="179" t="str">
        <f t="shared" si="24"/>
        <v>Rom</v>
      </c>
      <c r="X369">
        <f t="shared" si="25"/>
        <v>1</v>
      </c>
      <c r="Y369" t="str">
        <f t="shared" si="26"/>
        <v>P1Rom</v>
      </c>
      <c r="Z369" s="193" t="s">
        <v>35</v>
      </c>
      <c r="AA369" s="193" t="s">
        <v>300</v>
      </c>
      <c r="AB369" s="179" t="s">
        <v>695</v>
      </c>
      <c r="AC369" s="94"/>
      <c r="AD369" s="95"/>
      <c r="AE369" s="111"/>
      <c r="AF369" s="111"/>
      <c r="AG369" s="111"/>
      <c r="AH369" s="111"/>
      <c r="AI369" s="111"/>
      <c r="AJ369" s="111"/>
      <c r="AK369" s="111"/>
      <c r="AL369" s="111"/>
      <c r="AM369" s="111"/>
      <c r="AN369" s="111"/>
      <c r="AO369" s="111"/>
      <c r="AP369" s="111"/>
      <c r="AQ369" s="111"/>
    </row>
    <row r="370" spans="23:43" ht="15">
      <c r="W370" s="179" t="str">
        <f t="shared" si="24"/>
        <v>Rom</v>
      </c>
      <c r="X370">
        <f t="shared" si="25"/>
        <v>2</v>
      </c>
      <c r="Y370" t="str">
        <f t="shared" si="26"/>
        <v>P2Rom</v>
      </c>
      <c r="Z370" s="193" t="s">
        <v>35</v>
      </c>
      <c r="AA370" s="193" t="s">
        <v>370</v>
      </c>
      <c r="AB370" s="179" t="s">
        <v>695</v>
      </c>
      <c r="AC370" s="94"/>
      <c r="AD370" s="95"/>
      <c r="AE370" s="111"/>
      <c r="AF370" s="111"/>
      <c r="AG370" s="111"/>
      <c r="AH370" s="111"/>
      <c r="AI370" s="111"/>
      <c r="AJ370" s="111"/>
      <c r="AK370" s="111"/>
      <c r="AL370" s="111"/>
      <c r="AM370" s="111"/>
      <c r="AN370" s="111"/>
      <c r="AO370" s="111"/>
      <c r="AP370" s="111"/>
      <c r="AQ370" s="111"/>
    </row>
    <row r="371" spans="23:43" ht="15">
      <c r="W371" s="179" t="str">
        <f t="shared" si="24"/>
        <v>Rom</v>
      </c>
      <c r="X371">
        <f t="shared" si="25"/>
        <v>3</v>
      </c>
      <c r="Y371" t="str">
        <f t="shared" si="26"/>
        <v>P3Rom</v>
      </c>
      <c r="Z371" s="193" t="s">
        <v>35</v>
      </c>
      <c r="AA371" s="193" t="s">
        <v>428</v>
      </c>
      <c r="AB371" s="179" t="s">
        <v>695</v>
      </c>
      <c r="AC371" s="94"/>
      <c r="AD371" s="95"/>
      <c r="AE371" s="111"/>
      <c r="AF371" s="111"/>
      <c r="AG371" s="111"/>
      <c r="AH371" s="111"/>
      <c r="AI371" s="111"/>
      <c r="AJ371" s="111"/>
      <c r="AK371" s="111"/>
      <c r="AL371" s="111"/>
      <c r="AM371" s="111"/>
      <c r="AN371" s="111"/>
      <c r="AO371" s="111"/>
      <c r="AP371" s="111"/>
      <c r="AQ371" s="111"/>
    </row>
    <row r="372" spans="23:43" ht="15">
      <c r="W372" s="179" t="str">
        <f t="shared" si="24"/>
        <v>Sam</v>
      </c>
      <c r="X372">
        <f t="shared" si="25"/>
        <v>1</v>
      </c>
      <c r="Y372" t="str">
        <f t="shared" si="26"/>
        <v>A1Sam</v>
      </c>
      <c r="Z372" s="193" t="s">
        <v>43</v>
      </c>
      <c r="AA372" s="193" t="s">
        <v>331</v>
      </c>
      <c r="AB372" s="179" t="s">
        <v>688</v>
      </c>
      <c r="AC372" s="94"/>
      <c r="AD372" s="95"/>
      <c r="AE372" s="111"/>
      <c r="AF372" s="111"/>
      <c r="AG372" s="111"/>
      <c r="AH372" s="111"/>
      <c r="AI372" s="111"/>
      <c r="AJ372" s="111"/>
      <c r="AK372" s="111"/>
      <c r="AL372" s="111"/>
      <c r="AM372" s="111"/>
      <c r="AN372" s="111"/>
      <c r="AO372" s="111"/>
      <c r="AP372" s="111"/>
      <c r="AQ372" s="111"/>
    </row>
    <row r="373" spans="23:43" ht="15">
      <c r="W373" s="179" t="str">
        <f t="shared" si="24"/>
        <v>Sam</v>
      </c>
      <c r="X373">
        <f t="shared" si="25"/>
        <v>2</v>
      </c>
      <c r="Y373" t="str">
        <f t="shared" si="26"/>
        <v>A2Sam</v>
      </c>
      <c r="Z373" s="193" t="s">
        <v>43</v>
      </c>
      <c r="AA373" s="193" t="s">
        <v>1794</v>
      </c>
      <c r="AB373" s="179" t="s">
        <v>688</v>
      </c>
      <c r="AC373" s="94"/>
      <c r="AD373" s="95"/>
      <c r="AE373" s="111"/>
      <c r="AF373" s="111"/>
      <c r="AG373" s="111"/>
      <c r="AH373" s="111"/>
      <c r="AI373" s="111"/>
      <c r="AJ373" s="111"/>
      <c r="AK373" s="111"/>
      <c r="AL373" s="111"/>
      <c r="AM373" s="111"/>
      <c r="AN373" s="111"/>
      <c r="AO373" s="111"/>
      <c r="AP373" s="111"/>
      <c r="AQ373" s="111"/>
    </row>
    <row r="374" spans="23:43" ht="15">
      <c r="W374" s="179" t="str">
        <f t="shared" si="24"/>
        <v>Sam</v>
      </c>
      <c r="X374">
        <f t="shared" si="25"/>
        <v>3</v>
      </c>
      <c r="Y374" t="str">
        <f t="shared" si="26"/>
        <v>A3Sam</v>
      </c>
      <c r="Z374" s="193" t="s">
        <v>43</v>
      </c>
      <c r="AA374" s="193" t="s">
        <v>494</v>
      </c>
      <c r="AB374" s="179" t="s">
        <v>688</v>
      </c>
      <c r="AC374" s="94"/>
      <c r="AD374" s="95"/>
      <c r="AE374" s="111"/>
      <c r="AF374" s="111"/>
      <c r="AG374" s="111"/>
      <c r="AH374" s="111"/>
      <c r="AI374" s="111"/>
      <c r="AJ374" s="111"/>
      <c r="AK374" s="111"/>
      <c r="AL374" s="111"/>
      <c r="AM374" s="111"/>
      <c r="AN374" s="111"/>
      <c r="AO374" s="111"/>
      <c r="AP374" s="111"/>
      <c r="AQ374" s="111"/>
    </row>
    <row r="375" spans="23:43" ht="15">
      <c r="W375" s="179" t="str">
        <f t="shared" si="24"/>
        <v>Sam</v>
      </c>
      <c r="X375">
        <f t="shared" si="25"/>
        <v>4</v>
      </c>
      <c r="Y375" t="str">
        <f t="shared" si="26"/>
        <v>A4Sam</v>
      </c>
      <c r="Z375" s="193" t="s">
        <v>43</v>
      </c>
      <c r="AA375" s="193" t="s">
        <v>522</v>
      </c>
      <c r="AB375" s="179" t="s">
        <v>688</v>
      </c>
      <c r="AC375" s="94"/>
      <c r="AD375" s="95"/>
      <c r="AE375" s="111"/>
      <c r="AF375" s="111"/>
      <c r="AG375" s="111"/>
      <c r="AH375" s="111"/>
      <c r="AI375" s="111"/>
      <c r="AJ375" s="111"/>
      <c r="AK375" s="111"/>
      <c r="AL375" s="111"/>
      <c r="AM375" s="111"/>
      <c r="AN375" s="111"/>
      <c r="AO375" s="111"/>
      <c r="AP375" s="111"/>
      <c r="AQ375" s="111"/>
    </row>
    <row r="376" spans="23:43" ht="15">
      <c r="W376" s="179" t="str">
        <f t="shared" si="24"/>
        <v>Sam</v>
      </c>
      <c r="X376">
        <f t="shared" si="25"/>
        <v>1</v>
      </c>
      <c r="Y376" t="str">
        <f t="shared" si="26"/>
        <v>C1Sam</v>
      </c>
      <c r="Z376" s="193" t="s">
        <v>39</v>
      </c>
      <c r="AA376" s="193" t="s">
        <v>1296</v>
      </c>
      <c r="AB376" s="179" t="s">
        <v>688</v>
      </c>
      <c r="AC376" s="94"/>
      <c r="AD376" s="95"/>
      <c r="AE376" s="111"/>
      <c r="AF376" s="111"/>
      <c r="AG376" s="111"/>
      <c r="AH376" s="111"/>
      <c r="AI376" s="111"/>
      <c r="AJ376" s="111"/>
      <c r="AK376" s="111"/>
      <c r="AL376" s="111"/>
      <c r="AM376" s="111"/>
      <c r="AN376" s="111"/>
      <c r="AO376" s="111"/>
      <c r="AP376" s="111"/>
      <c r="AQ376" s="111"/>
    </row>
    <row r="377" spans="23:43" ht="15">
      <c r="W377" s="179" t="str">
        <f t="shared" si="24"/>
        <v>Sam</v>
      </c>
      <c r="X377">
        <f t="shared" si="25"/>
        <v>2</v>
      </c>
      <c r="Y377" t="str">
        <f t="shared" si="26"/>
        <v>C2Sam</v>
      </c>
      <c r="Z377" s="193" t="s">
        <v>39</v>
      </c>
      <c r="AA377" s="193" t="s">
        <v>1304</v>
      </c>
      <c r="AB377" s="179" t="s">
        <v>688</v>
      </c>
      <c r="AC377" s="94"/>
      <c r="AD377" s="95"/>
      <c r="AE377" s="111"/>
      <c r="AF377" s="111"/>
      <c r="AG377" s="111"/>
      <c r="AH377" s="111"/>
      <c r="AI377" s="111"/>
      <c r="AJ377" s="111"/>
      <c r="AK377" s="111"/>
      <c r="AL377" s="111"/>
      <c r="AM377" s="111"/>
      <c r="AN377" s="111"/>
      <c r="AO377" s="111"/>
      <c r="AP377" s="111"/>
      <c r="AQ377" s="111"/>
    </row>
    <row r="378" spans="23:43" ht="15">
      <c r="W378" s="179" t="str">
        <f t="shared" si="24"/>
        <v>Sam</v>
      </c>
      <c r="X378">
        <f t="shared" si="25"/>
        <v>3</v>
      </c>
      <c r="Y378" t="str">
        <f t="shared" si="26"/>
        <v>C3Sam</v>
      </c>
      <c r="Z378" s="193" t="s">
        <v>39</v>
      </c>
      <c r="AA378" s="193" t="s">
        <v>383</v>
      </c>
      <c r="AB378" s="179" t="s">
        <v>688</v>
      </c>
      <c r="AC378" s="94"/>
      <c r="AD378" s="95"/>
      <c r="AE378" s="111"/>
      <c r="AF378" s="111"/>
      <c r="AG378" s="111"/>
      <c r="AH378" s="111"/>
      <c r="AI378" s="111"/>
      <c r="AJ378" s="111"/>
      <c r="AK378" s="111"/>
      <c r="AL378" s="111"/>
      <c r="AM378" s="111"/>
      <c r="AN378" s="111"/>
      <c r="AO378" s="111"/>
      <c r="AP378" s="111"/>
      <c r="AQ378" s="111"/>
    </row>
    <row r="379" spans="23:43" ht="15">
      <c r="W379" s="179" t="str">
        <f t="shared" si="24"/>
        <v>Sam</v>
      </c>
      <c r="X379">
        <f t="shared" si="25"/>
        <v>4</v>
      </c>
      <c r="Y379" t="str">
        <f t="shared" si="26"/>
        <v>C4Sam</v>
      </c>
      <c r="Z379" s="193" t="s">
        <v>39</v>
      </c>
      <c r="AA379" s="193" t="s">
        <v>351</v>
      </c>
      <c r="AB379" s="179" t="s">
        <v>688</v>
      </c>
      <c r="AC379" s="94"/>
      <c r="AD379" s="95"/>
      <c r="AE379" s="111"/>
      <c r="AF379" s="111"/>
      <c r="AG379" s="111"/>
      <c r="AH379" s="111"/>
      <c r="AI379" s="111"/>
      <c r="AJ379" s="111"/>
      <c r="AK379" s="111"/>
      <c r="AL379" s="111"/>
      <c r="AM379" s="111"/>
      <c r="AN379" s="111"/>
      <c r="AO379" s="111"/>
      <c r="AP379" s="111"/>
      <c r="AQ379" s="111"/>
    </row>
    <row r="380" spans="23:43" ht="15">
      <c r="W380" s="179" t="str">
        <f t="shared" si="24"/>
        <v>Sam</v>
      </c>
      <c r="X380">
        <f t="shared" si="25"/>
        <v>5</v>
      </c>
      <c r="Y380" t="str">
        <f t="shared" si="26"/>
        <v>C5Sam</v>
      </c>
      <c r="Z380" s="193" t="s">
        <v>39</v>
      </c>
      <c r="AA380" s="193" t="s">
        <v>530</v>
      </c>
      <c r="AB380" s="179" t="s">
        <v>688</v>
      </c>
      <c r="AC380" s="94"/>
      <c r="AD380" s="95"/>
      <c r="AE380" s="111"/>
      <c r="AF380" s="111"/>
      <c r="AG380" s="111"/>
      <c r="AH380" s="111"/>
      <c r="AI380" s="111"/>
      <c r="AJ380" s="111"/>
      <c r="AK380" s="111"/>
      <c r="AL380" s="111"/>
      <c r="AM380" s="111"/>
      <c r="AN380" s="111"/>
      <c r="AO380" s="111"/>
      <c r="AP380" s="111"/>
      <c r="AQ380" s="111"/>
    </row>
    <row r="381" spans="23:43" ht="15">
      <c r="W381" s="179" t="str">
        <f t="shared" si="24"/>
        <v>Sam</v>
      </c>
      <c r="X381">
        <f t="shared" si="25"/>
        <v>6</v>
      </c>
      <c r="Y381" t="str">
        <f t="shared" si="26"/>
        <v>C6Sam</v>
      </c>
      <c r="Z381" s="193" t="s">
        <v>39</v>
      </c>
      <c r="AA381" s="193" t="s">
        <v>1330</v>
      </c>
      <c r="AB381" s="179" t="s">
        <v>688</v>
      </c>
      <c r="AC381" s="94"/>
      <c r="AD381" s="95"/>
      <c r="AE381" s="111"/>
      <c r="AF381" s="111"/>
      <c r="AG381" s="111"/>
      <c r="AH381" s="111"/>
      <c r="AI381" s="111"/>
      <c r="AJ381" s="111"/>
      <c r="AK381" s="111"/>
      <c r="AL381" s="111"/>
      <c r="AM381" s="111"/>
      <c r="AN381" s="111"/>
      <c r="AO381" s="111"/>
      <c r="AP381" s="111"/>
      <c r="AQ381" s="111"/>
    </row>
    <row r="382" spans="23:43" ht="15">
      <c r="W382" s="179" t="str">
        <f t="shared" si="24"/>
        <v>Sam</v>
      </c>
      <c r="X382">
        <f t="shared" si="25"/>
        <v>7</v>
      </c>
      <c r="Y382" t="str">
        <f t="shared" si="26"/>
        <v>C7Sam</v>
      </c>
      <c r="Z382" s="193" t="s">
        <v>39</v>
      </c>
      <c r="AA382" s="193" t="s">
        <v>1923</v>
      </c>
      <c r="AB382" s="179" t="s">
        <v>688</v>
      </c>
      <c r="AC382" s="94"/>
      <c r="AD382" s="95"/>
      <c r="AE382" s="111"/>
      <c r="AF382" s="111"/>
      <c r="AG382" s="111"/>
      <c r="AH382" s="111"/>
      <c r="AI382" s="111"/>
      <c r="AJ382" s="111"/>
      <c r="AK382" s="111"/>
      <c r="AL382" s="111"/>
      <c r="AM382" s="111"/>
      <c r="AN382" s="111"/>
      <c r="AO382" s="111"/>
      <c r="AP382" s="111"/>
      <c r="AQ382" s="111"/>
    </row>
    <row r="383" spans="23:43" ht="15">
      <c r="W383" s="179" t="str">
        <f t="shared" si="24"/>
        <v>Sam</v>
      </c>
      <c r="X383">
        <f t="shared" si="25"/>
        <v>8</v>
      </c>
      <c r="Y383" t="str">
        <f t="shared" si="26"/>
        <v>C8Sam</v>
      </c>
      <c r="Z383" s="193" t="s">
        <v>39</v>
      </c>
      <c r="AA383" s="193" t="s">
        <v>616</v>
      </c>
      <c r="AB383" s="179" t="s">
        <v>688</v>
      </c>
      <c r="AC383" s="94"/>
      <c r="AD383" s="95"/>
      <c r="AE383" s="111"/>
      <c r="AF383" s="111"/>
      <c r="AG383" s="111"/>
      <c r="AH383" s="111"/>
      <c r="AI383" s="111"/>
      <c r="AJ383" s="111"/>
      <c r="AK383" s="111"/>
      <c r="AL383" s="111"/>
      <c r="AM383" s="111"/>
      <c r="AN383" s="111"/>
      <c r="AO383" s="111"/>
      <c r="AP383" s="111"/>
      <c r="AQ383" s="111"/>
    </row>
    <row r="384" spans="23:43" ht="15">
      <c r="W384" s="179" t="str">
        <f t="shared" si="24"/>
        <v>Sam</v>
      </c>
      <c r="X384">
        <f t="shared" si="25"/>
        <v>9</v>
      </c>
      <c r="Y384" t="str">
        <f t="shared" si="26"/>
        <v>C9Sam</v>
      </c>
      <c r="Z384" s="193" t="s">
        <v>39</v>
      </c>
      <c r="AA384" s="193" t="s">
        <v>622</v>
      </c>
      <c r="AB384" s="179" t="s">
        <v>688</v>
      </c>
      <c r="AC384" s="94"/>
      <c r="AD384" s="95"/>
      <c r="AE384" s="111"/>
      <c r="AF384" s="111"/>
      <c r="AG384" s="111"/>
      <c r="AH384" s="111"/>
      <c r="AI384" s="111"/>
      <c r="AJ384" s="111"/>
      <c r="AK384" s="111"/>
      <c r="AL384" s="111"/>
      <c r="AM384" s="111"/>
      <c r="AN384" s="111"/>
      <c r="AO384" s="111"/>
      <c r="AP384" s="111"/>
      <c r="AQ384" s="111"/>
    </row>
    <row r="385" spans="23:43" ht="15">
      <c r="W385" s="179" t="str">
        <f t="shared" si="24"/>
        <v>Sam</v>
      </c>
      <c r="X385">
        <f t="shared" si="25"/>
        <v>1</v>
      </c>
      <c r="Y385" t="str">
        <f t="shared" si="26"/>
        <v>D1Sam</v>
      </c>
      <c r="Z385" s="193" t="s">
        <v>37</v>
      </c>
      <c r="AA385" s="193" t="s">
        <v>1961</v>
      </c>
      <c r="AB385" s="179" t="s">
        <v>688</v>
      </c>
      <c r="AC385" s="94"/>
      <c r="AD385" s="95"/>
      <c r="AE385" s="111"/>
      <c r="AF385" s="111"/>
      <c r="AG385" s="111"/>
      <c r="AH385" s="111"/>
      <c r="AI385" s="111"/>
      <c r="AJ385" s="111"/>
      <c r="AK385" s="111"/>
      <c r="AL385" s="111"/>
      <c r="AM385" s="111"/>
      <c r="AN385" s="111"/>
      <c r="AO385" s="111"/>
      <c r="AP385" s="111"/>
      <c r="AQ385" s="111"/>
    </row>
    <row r="386" spans="23:43" ht="15">
      <c r="W386" s="179" t="str">
        <f t="shared" si="24"/>
        <v>Sam</v>
      </c>
      <c r="X386">
        <f t="shared" si="25"/>
        <v>2</v>
      </c>
      <c r="Y386" t="str">
        <f t="shared" si="26"/>
        <v>D2Sam</v>
      </c>
      <c r="Z386" s="193" t="s">
        <v>37</v>
      </c>
      <c r="AA386" s="193" t="s">
        <v>1723</v>
      </c>
      <c r="AB386" s="179" t="s">
        <v>688</v>
      </c>
      <c r="AC386" s="94"/>
      <c r="AD386" s="95"/>
      <c r="AE386" s="111"/>
      <c r="AF386" s="111"/>
      <c r="AG386" s="111"/>
      <c r="AH386" s="111"/>
      <c r="AI386" s="111"/>
      <c r="AJ386" s="111"/>
      <c r="AK386" s="111"/>
      <c r="AL386" s="111"/>
      <c r="AM386" s="111"/>
      <c r="AN386" s="111"/>
      <c r="AO386" s="111"/>
      <c r="AP386" s="111"/>
      <c r="AQ386" s="111"/>
    </row>
    <row r="387" spans="23:43" ht="15">
      <c r="W387" s="179" t="str">
        <f t="shared" ref="W387:W450" si="27">MID(AB387,1,3)</f>
        <v>Sam</v>
      </c>
      <c r="X387">
        <f t="shared" ref="X387:X450" si="28">IF(Z387&lt;&gt;Z386,1,X386+1)</f>
        <v>3</v>
      </c>
      <c r="Y387" t="str">
        <f t="shared" ref="Y387:Y450" si="29">Z387&amp;X387&amp;W387</f>
        <v>D3Sam</v>
      </c>
      <c r="Z387" s="193" t="s">
        <v>37</v>
      </c>
      <c r="AA387" s="193" t="s">
        <v>1305</v>
      </c>
      <c r="AB387" s="179" t="s">
        <v>688</v>
      </c>
      <c r="AC387" s="94"/>
      <c r="AD387" s="95"/>
      <c r="AE387" s="111"/>
      <c r="AF387" s="111"/>
      <c r="AG387" s="111"/>
      <c r="AH387" s="111"/>
      <c r="AI387" s="111"/>
      <c r="AJ387" s="111"/>
      <c r="AK387" s="111"/>
      <c r="AL387" s="111"/>
      <c r="AM387" s="111"/>
      <c r="AN387" s="111"/>
      <c r="AO387" s="111"/>
      <c r="AP387" s="111"/>
      <c r="AQ387" s="111"/>
    </row>
    <row r="388" spans="23:43" ht="15">
      <c r="W388" s="179" t="str">
        <f t="shared" si="27"/>
        <v>Sam</v>
      </c>
      <c r="X388">
        <f t="shared" si="28"/>
        <v>4</v>
      </c>
      <c r="Y388" t="str">
        <f t="shared" si="29"/>
        <v>D4Sam</v>
      </c>
      <c r="Z388" s="193" t="s">
        <v>37</v>
      </c>
      <c r="AA388" s="193" t="s">
        <v>481</v>
      </c>
      <c r="AB388" s="179" t="s">
        <v>688</v>
      </c>
      <c r="AC388" s="94"/>
      <c r="AD388" s="95"/>
      <c r="AE388" s="111"/>
      <c r="AF388" s="111"/>
      <c r="AG388" s="111"/>
      <c r="AH388" s="111"/>
      <c r="AI388" s="111"/>
      <c r="AJ388" s="111"/>
      <c r="AK388" s="111"/>
      <c r="AL388" s="111"/>
      <c r="AM388" s="111"/>
      <c r="AN388" s="111"/>
      <c r="AO388" s="111"/>
      <c r="AP388" s="111"/>
      <c r="AQ388" s="111"/>
    </row>
    <row r="389" spans="23:43" ht="15">
      <c r="W389" s="179" t="str">
        <f t="shared" si="27"/>
        <v>Sam</v>
      </c>
      <c r="X389">
        <f t="shared" si="28"/>
        <v>5</v>
      </c>
      <c r="Y389" t="str">
        <f t="shared" si="29"/>
        <v>D5Sam</v>
      </c>
      <c r="Z389" s="193" t="s">
        <v>37</v>
      </c>
      <c r="AA389" s="193" t="s">
        <v>1992</v>
      </c>
      <c r="AB389" s="179" t="s">
        <v>688</v>
      </c>
      <c r="AC389" s="94"/>
      <c r="AD389" s="95"/>
      <c r="AE389" s="111"/>
      <c r="AF389" s="111"/>
      <c r="AG389" s="111"/>
      <c r="AH389" s="111"/>
      <c r="AI389" s="111"/>
      <c r="AJ389" s="111"/>
      <c r="AK389" s="111"/>
      <c r="AL389" s="111"/>
      <c r="AM389" s="111"/>
      <c r="AN389" s="111"/>
      <c r="AO389" s="111"/>
      <c r="AP389" s="111"/>
      <c r="AQ389" s="111"/>
    </row>
    <row r="390" spans="23:43" ht="15">
      <c r="W390" s="179" t="str">
        <f t="shared" si="27"/>
        <v>Sam</v>
      </c>
      <c r="X390">
        <f t="shared" si="28"/>
        <v>6</v>
      </c>
      <c r="Y390" t="str">
        <f t="shared" si="29"/>
        <v>D6Sam</v>
      </c>
      <c r="Z390" t="s">
        <v>37</v>
      </c>
      <c r="AA390" s="193" t="s">
        <v>558</v>
      </c>
      <c r="AB390" s="179" t="s">
        <v>688</v>
      </c>
      <c r="AC390" s="94"/>
      <c r="AD390" s="95"/>
      <c r="AE390" s="111"/>
      <c r="AF390" s="111"/>
      <c r="AG390" s="111"/>
      <c r="AH390" s="111"/>
      <c r="AI390" s="111"/>
      <c r="AJ390" s="111"/>
      <c r="AK390" s="111"/>
      <c r="AL390" s="111"/>
      <c r="AM390" s="111"/>
      <c r="AN390" s="111"/>
      <c r="AO390" s="111"/>
      <c r="AP390" s="111"/>
      <c r="AQ390" s="111"/>
    </row>
    <row r="391" spans="23:43" ht="15">
      <c r="W391" s="179" t="str">
        <f t="shared" si="27"/>
        <v>Sam</v>
      </c>
      <c r="X391">
        <f t="shared" si="28"/>
        <v>7</v>
      </c>
      <c r="Y391" t="str">
        <f t="shared" si="29"/>
        <v>D7Sam</v>
      </c>
      <c r="Z391" s="193" t="s">
        <v>37</v>
      </c>
      <c r="AA391" s="193" t="s">
        <v>577</v>
      </c>
      <c r="AB391" s="179" t="s">
        <v>688</v>
      </c>
      <c r="AC391" s="94"/>
      <c r="AD391" s="95"/>
      <c r="AE391" s="111"/>
      <c r="AF391" s="111"/>
      <c r="AG391" s="111"/>
      <c r="AH391" s="111"/>
      <c r="AI391" s="111"/>
      <c r="AJ391" s="111"/>
      <c r="AK391" s="111"/>
      <c r="AL391" s="111"/>
      <c r="AM391" s="111"/>
      <c r="AN391" s="111"/>
      <c r="AO391" s="111"/>
      <c r="AP391" s="111"/>
      <c r="AQ391" s="111"/>
    </row>
    <row r="392" spans="23:43" ht="15">
      <c r="W392" s="179" t="str">
        <f t="shared" si="27"/>
        <v>Sam</v>
      </c>
      <c r="X392">
        <f t="shared" si="28"/>
        <v>8</v>
      </c>
      <c r="Y392" t="str">
        <f t="shared" si="29"/>
        <v>D8Sam</v>
      </c>
      <c r="Z392" s="193" t="s">
        <v>37</v>
      </c>
      <c r="AA392" s="193" t="s">
        <v>597</v>
      </c>
      <c r="AB392" s="179" t="s">
        <v>688</v>
      </c>
      <c r="AC392" s="94"/>
      <c r="AD392" s="95"/>
      <c r="AE392" s="111"/>
      <c r="AF392" s="111"/>
      <c r="AG392" s="111"/>
      <c r="AH392" s="111"/>
      <c r="AI392" s="111"/>
      <c r="AJ392" s="111"/>
      <c r="AK392" s="111"/>
      <c r="AL392" s="111"/>
      <c r="AM392" s="111"/>
      <c r="AN392" s="111"/>
      <c r="AO392" s="111"/>
      <c r="AP392" s="111"/>
      <c r="AQ392" s="111"/>
    </row>
    <row r="393" spans="23:43" ht="15">
      <c r="W393" s="179" t="str">
        <f t="shared" si="27"/>
        <v>Sam</v>
      </c>
      <c r="X393">
        <f t="shared" si="28"/>
        <v>9</v>
      </c>
      <c r="Y393" t="str">
        <f t="shared" si="29"/>
        <v>D9Sam</v>
      </c>
      <c r="Z393" s="193" t="s">
        <v>37</v>
      </c>
      <c r="AA393" s="193" t="s">
        <v>598</v>
      </c>
      <c r="AB393" s="179" t="s">
        <v>688</v>
      </c>
      <c r="AC393" s="94"/>
      <c r="AD393" s="95"/>
      <c r="AE393" s="111"/>
      <c r="AF393" s="111"/>
      <c r="AG393" s="111"/>
      <c r="AH393" s="111"/>
      <c r="AI393" s="111"/>
      <c r="AJ393" s="111"/>
      <c r="AK393" s="111"/>
      <c r="AL393" s="111"/>
      <c r="AM393" s="111"/>
      <c r="AN393" s="111"/>
      <c r="AO393" s="111"/>
      <c r="AP393" s="111"/>
      <c r="AQ393" s="111"/>
    </row>
    <row r="394" spans="23:43" ht="15">
      <c r="W394" s="179" t="str">
        <f t="shared" si="27"/>
        <v>Sam</v>
      </c>
      <c r="X394">
        <f t="shared" si="28"/>
        <v>10</v>
      </c>
      <c r="Y394" t="str">
        <f t="shared" si="29"/>
        <v>D10Sam</v>
      </c>
      <c r="Z394" s="193" t="s">
        <v>37</v>
      </c>
      <c r="AA394" s="193" t="s">
        <v>602</v>
      </c>
      <c r="AB394" s="179" t="s">
        <v>688</v>
      </c>
      <c r="AC394" s="94"/>
      <c r="AD394" s="95"/>
      <c r="AE394" s="111"/>
      <c r="AF394" s="111"/>
      <c r="AG394" s="111"/>
      <c r="AH394" s="111"/>
      <c r="AI394" s="111"/>
      <c r="AJ394" s="111"/>
      <c r="AK394" s="111"/>
      <c r="AL394" s="111"/>
      <c r="AM394" s="111"/>
      <c r="AN394" s="111"/>
      <c r="AO394" s="111"/>
      <c r="AP394" s="111"/>
      <c r="AQ394" s="111"/>
    </row>
    <row r="395" spans="23:43" ht="15">
      <c r="W395" s="179" t="str">
        <f t="shared" si="27"/>
        <v>Sam</v>
      </c>
      <c r="X395">
        <f t="shared" si="28"/>
        <v>11</v>
      </c>
      <c r="Y395" t="str">
        <f t="shared" si="29"/>
        <v>D11Sam</v>
      </c>
      <c r="Z395" s="193" t="s">
        <v>37</v>
      </c>
      <c r="AA395" s="193" t="s">
        <v>1828</v>
      </c>
      <c r="AB395" s="179" t="s">
        <v>688</v>
      </c>
      <c r="AC395" s="94"/>
      <c r="AD395" s="95"/>
      <c r="AE395" s="111"/>
      <c r="AF395" s="111"/>
      <c r="AG395" s="111"/>
      <c r="AH395" s="111"/>
      <c r="AI395" s="111"/>
      <c r="AJ395" s="111"/>
      <c r="AK395" s="111"/>
      <c r="AL395" s="111"/>
      <c r="AM395" s="111"/>
      <c r="AN395" s="111"/>
      <c r="AO395" s="111"/>
      <c r="AP395" s="111"/>
      <c r="AQ395" s="111"/>
    </row>
    <row r="396" spans="23:43" ht="15">
      <c r="W396" s="179" t="str">
        <f t="shared" si="27"/>
        <v>Sam</v>
      </c>
      <c r="X396">
        <f t="shared" si="28"/>
        <v>1</v>
      </c>
      <c r="Y396" t="str">
        <f t="shared" si="29"/>
        <v>P1Sam</v>
      </c>
      <c r="Z396" s="193" t="s">
        <v>35</v>
      </c>
      <c r="AA396" s="193" t="s">
        <v>402</v>
      </c>
      <c r="AB396" s="179" t="s">
        <v>688</v>
      </c>
      <c r="AC396" s="94"/>
      <c r="AD396" s="95"/>
      <c r="AE396" s="111"/>
      <c r="AF396" s="111"/>
      <c r="AG396" s="111"/>
      <c r="AH396" s="111"/>
      <c r="AI396" s="111"/>
      <c r="AJ396" s="111"/>
      <c r="AK396" s="111"/>
      <c r="AL396" s="111"/>
      <c r="AM396" s="111"/>
      <c r="AN396" s="111"/>
      <c r="AO396" s="111"/>
      <c r="AP396" s="111"/>
      <c r="AQ396" s="111"/>
    </row>
    <row r="397" spans="23:43" ht="15">
      <c r="W397" s="179" t="str">
        <f t="shared" si="27"/>
        <v>Sam</v>
      </c>
      <c r="X397">
        <f t="shared" si="28"/>
        <v>2</v>
      </c>
      <c r="Y397" t="str">
        <f t="shared" si="29"/>
        <v>P2Sam</v>
      </c>
      <c r="Z397" s="193" t="s">
        <v>35</v>
      </c>
      <c r="AA397" s="193" t="s">
        <v>439</v>
      </c>
      <c r="AB397" s="179" t="s">
        <v>688</v>
      </c>
      <c r="AC397" s="94"/>
      <c r="AD397" s="95"/>
      <c r="AE397" s="111"/>
      <c r="AF397" s="111"/>
      <c r="AG397" s="111"/>
      <c r="AH397" s="111"/>
      <c r="AI397" s="111"/>
      <c r="AJ397" s="111"/>
      <c r="AK397" s="111"/>
      <c r="AL397" s="111"/>
      <c r="AM397" s="111"/>
      <c r="AN397" s="111"/>
      <c r="AO397" s="111"/>
      <c r="AP397" s="111"/>
      <c r="AQ397" s="111"/>
    </row>
    <row r="398" spans="23:43" ht="15">
      <c r="W398" s="179" t="str">
        <f t="shared" si="27"/>
        <v>Sam</v>
      </c>
      <c r="X398">
        <f t="shared" si="28"/>
        <v>3</v>
      </c>
      <c r="Y398" t="str">
        <f t="shared" si="29"/>
        <v>P3Sam</v>
      </c>
      <c r="Z398" s="193" t="s">
        <v>35</v>
      </c>
      <c r="AA398" s="193" t="s">
        <v>446</v>
      </c>
      <c r="AB398" s="179" t="s">
        <v>688</v>
      </c>
      <c r="AC398" s="94"/>
      <c r="AD398" s="95"/>
      <c r="AE398" s="111"/>
      <c r="AF398" s="111"/>
      <c r="AG398" s="111"/>
      <c r="AH398" s="111"/>
      <c r="AI398" s="111"/>
      <c r="AJ398" s="111"/>
      <c r="AK398" s="111"/>
      <c r="AL398" s="111"/>
      <c r="AM398" s="111"/>
      <c r="AN398" s="111"/>
      <c r="AO398" s="111"/>
      <c r="AP398" s="111"/>
      <c r="AQ398" s="111"/>
    </row>
    <row r="399" spans="23:43" ht="15">
      <c r="W399" s="179" t="str">
        <f t="shared" si="27"/>
        <v>Sas</v>
      </c>
      <c r="X399">
        <f t="shared" si="28"/>
        <v>1</v>
      </c>
      <c r="Y399" t="str">
        <f t="shared" si="29"/>
        <v>A1Sas</v>
      </c>
      <c r="Z399" s="193" t="s">
        <v>43</v>
      </c>
      <c r="AA399" s="193" t="s">
        <v>315</v>
      </c>
      <c r="AB399" s="179" t="s">
        <v>685</v>
      </c>
      <c r="AC399" s="94"/>
      <c r="AD399" s="95"/>
      <c r="AE399" s="111"/>
      <c r="AF399" s="111"/>
      <c r="AG399" s="111"/>
      <c r="AH399" s="111"/>
      <c r="AI399" s="111"/>
      <c r="AJ399" s="111"/>
      <c r="AK399" s="111"/>
      <c r="AL399" s="111"/>
      <c r="AM399" s="111"/>
      <c r="AN399" s="111"/>
      <c r="AO399" s="111"/>
      <c r="AP399" s="111"/>
      <c r="AQ399" s="111"/>
    </row>
    <row r="400" spans="23:43" ht="15">
      <c r="W400" s="179" t="str">
        <f t="shared" si="27"/>
        <v>Sas</v>
      </c>
      <c r="X400">
        <f t="shared" si="28"/>
        <v>2</v>
      </c>
      <c r="Y400" t="str">
        <f t="shared" si="29"/>
        <v>A2Sas</v>
      </c>
      <c r="Z400" s="193" t="s">
        <v>43</v>
      </c>
      <c r="AA400" s="193" t="s">
        <v>369</v>
      </c>
      <c r="AB400" s="179" t="s">
        <v>685</v>
      </c>
      <c r="AC400" s="94"/>
      <c r="AD400" s="95"/>
      <c r="AE400" s="111"/>
      <c r="AF400" s="111"/>
      <c r="AG400" s="111"/>
      <c r="AH400" s="111"/>
      <c r="AI400" s="111"/>
      <c r="AJ400" s="111"/>
      <c r="AK400" s="111"/>
      <c r="AL400" s="111"/>
      <c r="AM400" s="111"/>
      <c r="AN400" s="111"/>
      <c r="AO400" s="111"/>
      <c r="AP400" s="111"/>
      <c r="AQ400" s="111"/>
    </row>
    <row r="401" spans="23:43" ht="15">
      <c r="W401" s="179" t="str">
        <f t="shared" si="27"/>
        <v>Sas</v>
      </c>
      <c r="X401">
        <f t="shared" si="28"/>
        <v>3</v>
      </c>
      <c r="Y401" t="str">
        <f t="shared" si="29"/>
        <v>A3Sas</v>
      </c>
      <c r="Z401" s="193" t="s">
        <v>43</v>
      </c>
      <c r="AA401" s="193" t="s">
        <v>441</v>
      </c>
      <c r="AB401" s="179" t="s">
        <v>685</v>
      </c>
      <c r="AC401" s="94"/>
      <c r="AD401" s="95"/>
      <c r="AE401" s="111"/>
      <c r="AF401" s="111"/>
      <c r="AG401" s="111"/>
      <c r="AH401" s="111"/>
      <c r="AI401" s="111"/>
      <c r="AJ401" s="111"/>
      <c r="AK401" s="111"/>
      <c r="AL401" s="111"/>
      <c r="AM401" s="111"/>
      <c r="AN401" s="111"/>
      <c r="AO401" s="111"/>
      <c r="AP401" s="111"/>
      <c r="AQ401" s="111"/>
    </row>
    <row r="402" spans="23:43" ht="15">
      <c r="W402" s="179" t="str">
        <f t="shared" si="27"/>
        <v>Sas</v>
      </c>
      <c r="X402">
        <f t="shared" si="28"/>
        <v>4</v>
      </c>
      <c r="Y402" t="str">
        <f t="shared" si="29"/>
        <v>A4Sas</v>
      </c>
      <c r="Z402" s="193" t="s">
        <v>43</v>
      </c>
      <c r="AA402" s="193" t="s">
        <v>586</v>
      </c>
      <c r="AB402" s="179" t="s">
        <v>685</v>
      </c>
      <c r="AC402" s="94"/>
      <c r="AD402" s="95"/>
      <c r="AE402" s="111"/>
      <c r="AF402" s="111"/>
      <c r="AG402" s="111"/>
      <c r="AH402" s="111"/>
      <c r="AI402" s="111"/>
      <c r="AJ402" s="111"/>
      <c r="AK402" s="111"/>
      <c r="AL402" s="111"/>
      <c r="AM402" s="111"/>
      <c r="AN402" s="111"/>
      <c r="AO402" s="111"/>
      <c r="AP402" s="111"/>
      <c r="AQ402" s="111"/>
    </row>
    <row r="403" spans="23:43" ht="15">
      <c r="W403" s="179" t="str">
        <f t="shared" si="27"/>
        <v>Sas</v>
      </c>
      <c r="X403">
        <f t="shared" si="28"/>
        <v>5</v>
      </c>
      <c r="Y403" t="str">
        <f t="shared" si="29"/>
        <v>A5Sas</v>
      </c>
      <c r="Z403" s="193" t="s">
        <v>43</v>
      </c>
      <c r="AA403" s="193" t="s">
        <v>1332</v>
      </c>
      <c r="AB403" s="179" t="s">
        <v>685</v>
      </c>
      <c r="AC403" s="94"/>
      <c r="AD403" s="95"/>
      <c r="AE403" s="111"/>
      <c r="AF403" s="111"/>
      <c r="AG403" s="111"/>
      <c r="AH403" s="111"/>
      <c r="AI403" s="111"/>
      <c r="AJ403" s="111"/>
      <c r="AK403" s="111"/>
      <c r="AL403" s="111"/>
      <c r="AM403" s="111"/>
      <c r="AN403" s="111"/>
      <c r="AO403" s="111"/>
      <c r="AP403" s="111"/>
      <c r="AQ403" s="111"/>
    </row>
    <row r="404" spans="23:43" ht="15">
      <c r="W404" s="179" t="str">
        <f t="shared" si="27"/>
        <v>Sas</v>
      </c>
      <c r="X404">
        <f t="shared" si="28"/>
        <v>1</v>
      </c>
      <c r="Y404" t="str">
        <f t="shared" si="29"/>
        <v>C1Sas</v>
      </c>
      <c r="Z404" s="193" t="s">
        <v>39</v>
      </c>
      <c r="AA404" s="193" t="s">
        <v>350</v>
      </c>
      <c r="AB404" s="179" t="s">
        <v>685</v>
      </c>
      <c r="AC404" s="94"/>
      <c r="AD404" s="95"/>
      <c r="AE404" s="111"/>
      <c r="AF404" s="111"/>
      <c r="AG404" s="111"/>
      <c r="AH404" s="111"/>
      <c r="AI404" s="111"/>
      <c r="AJ404" s="111"/>
      <c r="AK404" s="111"/>
      <c r="AL404" s="111"/>
      <c r="AM404" s="111"/>
      <c r="AN404" s="111"/>
      <c r="AO404" s="111"/>
      <c r="AP404" s="111"/>
      <c r="AQ404" s="111"/>
    </row>
    <row r="405" spans="23:43" ht="15">
      <c r="W405" s="179" t="str">
        <f t="shared" si="27"/>
        <v>Sas</v>
      </c>
      <c r="X405">
        <f t="shared" si="28"/>
        <v>2</v>
      </c>
      <c r="Y405" t="str">
        <f t="shared" si="29"/>
        <v>C2Sas</v>
      </c>
      <c r="Z405" s="193" t="s">
        <v>39</v>
      </c>
      <c r="AA405" s="193" t="s">
        <v>1772</v>
      </c>
      <c r="AB405" s="179" t="s">
        <v>685</v>
      </c>
      <c r="AC405" s="94"/>
      <c r="AD405" s="95"/>
      <c r="AE405" s="111"/>
      <c r="AF405" s="111"/>
      <c r="AG405" s="111"/>
      <c r="AH405" s="111"/>
      <c r="AI405" s="111"/>
      <c r="AJ405" s="111"/>
      <c r="AK405" s="111"/>
      <c r="AL405" s="111"/>
      <c r="AM405" s="111"/>
      <c r="AN405" s="111"/>
      <c r="AO405" s="111"/>
      <c r="AP405" s="111"/>
      <c r="AQ405" s="111"/>
    </row>
    <row r="406" spans="23:43" ht="15">
      <c r="W406" s="179" t="str">
        <f t="shared" si="27"/>
        <v>Sas</v>
      </c>
      <c r="X406">
        <f t="shared" si="28"/>
        <v>3</v>
      </c>
      <c r="Y406" t="str">
        <f t="shared" si="29"/>
        <v>C3Sas</v>
      </c>
      <c r="Z406" s="193" t="s">
        <v>39</v>
      </c>
      <c r="AA406" s="193" t="s">
        <v>447</v>
      </c>
      <c r="AB406" s="179" t="s">
        <v>685</v>
      </c>
      <c r="AC406" s="94"/>
      <c r="AD406" s="95"/>
      <c r="AE406" s="111"/>
      <c r="AF406" s="111"/>
      <c r="AG406" s="111"/>
      <c r="AH406" s="111"/>
      <c r="AI406" s="111"/>
      <c r="AJ406" s="111"/>
      <c r="AK406" s="111"/>
      <c r="AL406" s="111"/>
      <c r="AM406" s="111"/>
      <c r="AN406" s="111"/>
      <c r="AO406" s="111"/>
      <c r="AP406" s="111"/>
      <c r="AQ406" s="111"/>
    </row>
    <row r="407" spans="23:43" ht="15">
      <c r="W407" s="179" t="str">
        <f t="shared" si="27"/>
        <v>Sas</v>
      </c>
      <c r="X407">
        <f t="shared" si="28"/>
        <v>4</v>
      </c>
      <c r="Y407" t="str">
        <f t="shared" si="29"/>
        <v>C4Sas</v>
      </c>
      <c r="Z407" s="193" t="s">
        <v>39</v>
      </c>
      <c r="AA407" s="193" t="s">
        <v>540</v>
      </c>
      <c r="AB407" s="179" t="s">
        <v>685</v>
      </c>
      <c r="AC407" s="94"/>
      <c r="AD407" s="95"/>
      <c r="AE407" s="111"/>
      <c r="AF407" s="111"/>
      <c r="AG407" s="111"/>
      <c r="AH407" s="111"/>
      <c r="AI407" s="111"/>
      <c r="AJ407" s="111"/>
      <c r="AK407" s="111"/>
      <c r="AL407" s="111"/>
      <c r="AM407" s="111"/>
      <c r="AN407" s="111"/>
      <c r="AO407" s="111"/>
      <c r="AP407" s="111"/>
      <c r="AQ407" s="111"/>
    </row>
    <row r="408" spans="23:43" ht="15">
      <c r="W408" s="179" t="str">
        <f t="shared" si="27"/>
        <v>Sas</v>
      </c>
      <c r="X408">
        <f t="shared" si="28"/>
        <v>5</v>
      </c>
      <c r="Y408" t="str">
        <f t="shared" si="29"/>
        <v>C5Sas</v>
      </c>
      <c r="Z408" s="193" t="s">
        <v>39</v>
      </c>
      <c r="AA408" s="193" t="s">
        <v>548</v>
      </c>
      <c r="AB408" s="179" t="s">
        <v>685</v>
      </c>
      <c r="AC408" s="94"/>
      <c r="AD408" s="95"/>
      <c r="AE408" s="111"/>
      <c r="AF408" s="111"/>
      <c r="AG408" s="111"/>
      <c r="AH408" s="111"/>
      <c r="AI408" s="111"/>
      <c r="AJ408" s="111"/>
      <c r="AK408" s="111"/>
      <c r="AL408" s="111"/>
      <c r="AM408" s="111"/>
      <c r="AN408" s="111"/>
      <c r="AO408" s="111"/>
      <c r="AP408" s="111"/>
      <c r="AQ408" s="111"/>
    </row>
    <row r="409" spans="23:43" ht="15">
      <c r="W409" s="179" t="str">
        <f t="shared" si="27"/>
        <v>Sas</v>
      </c>
      <c r="X409">
        <f t="shared" si="28"/>
        <v>6</v>
      </c>
      <c r="Y409" t="str">
        <f t="shared" si="29"/>
        <v>C6Sas</v>
      </c>
      <c r="Z409" s="193" t="s">
        <v>39</v>
      </c>
      <c r="AA409" s="193" t="s">
        <v>556</v>
      </c>
      <c r="AB409" s="179" t="s">
        <v>685</v>
      </c>
      <c r="AC409" s="94"/>
      <c r="AD409" s="95"/>
      <c r="AE409" s="111"/>
      <c r="AF409" s="111"/>
      <c r="AG409" s="111"/>
      <c r="AH409" s="111"/>
      <c r="AI409" s="111"/>
      <c r="AJ409" s="111"/>
      <c r="AK409" s="111"/>
      <c r="AL409" s="111"/>
      <c r="AM409" s="111"/>
      <c r="AN409" s="111"/>
      <c r="AO409" s="111"/>
      <c r="AP409" s="111"/>
      <c r="AQ409" s="111"/>
    </row>
    <row r="410" spans="23:43" ht="15">
      <c r="W410" s="179" t="str">
        <f t="shared" si="27"/>
        <v>Sas</v>
      </c>
      <c r="X410">
        <f t="shared" si="28"/>
        <v>7</v>
      </c>
      <c r="Y410" t="str">
        <f t="shared" si="29"/>
        <v>C7Sas</v>
      </c>
      <c r="Z410" s="193" t="s">
        <v>39</v>
      </c>
      <c r="AA410" s="193" t="s">
        <v>603</v>
      </c>
      <c r="AB410" s="179" t="s">
        <v>685</v>
      </c>
      <c r="AC410" s="94"/>
      <c r="AD410" s="95"/>
      <c r="AE410" s="111"/>
      <c r="AF410" s="111"/>
      <c r="AG410" s="111"/>
      <c r="AH410" s="111"/>
      <c r="AI410" s="111"/>
      <c r="AJ410" s="111"/>
      <c r="AK410" s="111"/>
      <c r="AL410" s="111"/>
      <c r="AM410" s="111"/>
      <c r="AN410" s="111"/>
      <c r="AO410" s="111"/>
      <c r="AP410" s="111"/>
      <c r="AQ410" s="111"/>
    </row>
    <row r="411" spans="23:43" ht="15">
      <c r="W411" s="179" t="str">
        <f t="shared" si="27"/>
        <v>Sas</v>
      </c>
      <c r="X411">
        <f t="shared" si="28"/>
        <v>1</v>
      </c>
      <c r="Y411" t="str">
        <f t="shared" si="29"/>
        <v>D1Sas</v>
      </c>
      <c r="Z411" s="193" t="s">
        <v>37</v>
      </c>
      <c r="AA411" s="193" t="s">
        <v>301</v>
      </c>
      <c r="AB411" s="179" t="s">
        <v>685</v>
      </c>
      <c r="AC411" s="94"/>
      <c r="AD411" s="95"/>
      <c r="AE411" s="111"/>
      <c r="AF411" s="111"/>
      <c r="AG411" s="111"/>
      <c r="AH411" s="111"/>
      <c r="AI411" s="111"/>
      <c r="AJ411" s="111"/>
      <c r="AK411" s="111"/>
      <c r="AL411" s="111"/>
      <c r="AM411" s="111"/>
      <c r="AN411" s="111"/>
      <c r="AO411" s="111"/>
      <c r="AP411" s="111"/>
      <c r="AQ411" s="111"/>
    </row>
    <row r="412" spans="23:43" ht="15">
      <c r="W412" s="179" t="str">
        <f t="shared" si="27"/>
        <v>Sas</v>
      </c>
      <c r="X412">
        <f t="shared" si="28"/>
        <v>2</v>
      </c>
      <c r="Y412" t="str">
        <f t="shared" si="29"/>
        <v>D2Sas</v>
      </c>
      <c r="Z412" s="193" t="s">
        <v>37</v>
      </c>
      <c r="AA412" s="193" t="s">
        <v>1286</v>
      </c>
      <c r="AB412" s="179" t="s">
        <v>685</v>
      </c>
      <c r="AC412" s="94"/>
      <c r="AD412" s="95"/>
      <c r="AE412" s="111"/>
      <c r="AF412" s="111"/>
      <c r="AG412" s="111"/>
      <c r="AH412" s="111"/>
      <c r="AI412" s="111"/>
      <c r="AJ412" s="111"/>
      <c r="AK412" s="111"/>
      <c r="AL412" s="111"/>
      <c r="AM412" s="111"/>
      <c r="AN412" s="111"/>
      <c r="AO412" s="111"/>
      <c r="AP412" s="111"/>
      <c r="AQ412" s="111"/>
    </row>
    <row r="413" spans="23:43" ht="15">
      <c r="W413" s="179" t="str">
        <f t="shared" si="27"/>
        <v>Sas</v>
      </c>
      <c r="X413">
        <f t="shared" si="28"/>
        <v>3</v>
      </c>
      <c r="Y413" t="str">
        <f t="shared" si="29"/>
        <v>D3Sas</v>
      </c>
      <c r="Z413" s="193" t="s">
        <v>37</v>
      </c>
      <c r="AA413" s="193" t="s">
        <v>394</v>
      </c>
      <c r="AB413" s="179" t="s">
        <v>685</v>
      </c>
      <c r="AC413" s="94"/>
      <c r="AD413" s="95"/>
      <c r="AE413" s="111"/>
      <c r="AF413" s="111"/>
      <c r="AG413" s="111"/>
      <c r="AH413" s="111"/>
      <c r="AI413" s="111"/>
      <c r="AJ413" s="111"/>
      <c r="AK413" s="111"/>
      <c r="AL413" s="111"/>
      <c r="AM413" s="111"/>
      <c r="AN413" s="111"/>
      <c r="AO413" s="111"/>
      <c r="AP413" s="111"/>
      <c r="AQ413" s="111"/>
    </row>
    <row r="414" spans="23:43" ht="15">
      <c r="W414" s="179" t="str">
        <f t="shared" si="27"/>
        <v>Sas</v>
      </c>
      <c r="X414">
        <f t="shared" si="28"/>
        <v>4</v>
      </c>
      <c r="Y414" t="str">
        <f t="shared" si="29"/>
        <v>D4Sas</v>
      </c>
      <c r="Z414" s="193" t="s">
        <v>37</v>
      </c>
      <c r="AA414" s="193" t="s">
        <v>457</v>
      </c>
      <c r="AB414" s="179" t="s">
        <v>685</v>
      </c>
      <c r="AC414" s="94"/>
      <c r="AD414" s="95"/>
      <c r="AE414" s="111"/>
      <c r="AF414" s="111"/>
      <c r="AG414" s="111"/>
      <c r="AH414" s="111"/>
      <c r="AI414" s="111"/>
      <c r="AJ414" s="111"/>
      <c r="AK414" s="111"/>
      <c r="AL414" s="111"/>
      <c r="AM414" s="111"/>
      <c r="AN414" s="111"/>
      <c r="AO414" s="111"/>
      <c r="AP414" s="111"/>
      <c r="AQ414" s="111"/>
    </row>
    <row r="415" spans="23:43" ht="15">
      <c r="W415" s="179" t="str">
        <f t="shared" si="27"/>
        <v>Sas</v>
      </c>
      <c r="X415">
        <f t="shared" si="28"/>
        <v>5</v>
      </c>
      <c r="Y415" t="str">
        <f t="shared" si="29"/>
        <v>D5Sas</v>
      </c>
      <c r="Z415" s="193" t="s">
        <v>37</v>
      </c>
      <c r="AA415" s="193" t="s">
        <v>496</v>
      </c>
      <c r="AB415" s="179" t="s">
        <v>685</v>
      </c>
      <c r="AC415" s="94"/>
      <c r="AD415" s="95"/>
      <c r="AE415" s="111"/>
      <c r="AF415" s="111"/>
      <c r="AG415" s="111"/>
      <c r="AH415" s="111"/>
      <c r="AI415" s="111"/>
      <c r="AJ415" s="111"/>
      <c r="AK415" s="111"/>
      <c r="AL415" s="111"/>
      <c r="AM415" s="111"/>
      <c r="AN415" s="111"/>
      <c r="AO415" s="111"/>
      <c r="AP415" s="111"/>
      <c r="AQ415" s="111"/>
    </row>
    <row r="416" spans="23:43" ht="15">
      <c r="W416" s="179" t="str">
        <f t="shared" si="27"/>
        <v>Sas</v>
      </c>
      <c r="X416">
        <f t="shared" si="28"/>
        <v>6</v>
      </c>
      <c r="Y416" t="str">
        <f t="shared" si="29"/>
        <v>D6Sas</v>
      </c>
      <c r="Z416" s="193" t="s">
        <v>37</v>
      </c>
      <c r="AA416" s="193" t="s">
        <v>503</v>
      </c>
      <c r="AB416" s="179" t="s">
        <v>685</v>
      </c>
      <c r="AC416" s="94"/>
      <c r="AD416" s="95"/>
      <c r="AE416" s="111"/>
      <c r="AF416" s="111"/>
      <c r="AG416" s="111"/>
      <c r="AH416" s="111"/>
      <c r="AI416" s="111"/>
      <c r="AJ416" s="111"/>
      <c r="AK416" s="111"/>
      <c r="AL416" s="111"/>
      <c r="AM416" s="111"/>
      <c r="AN416" s="111"/>
      <c r="AO416" s="111"/>
      <c r="AP416" s="111"/>
      <c r="AQ416" s="111"/>
    </row>
    <row r="417" spans="23:43" ht="15">
      <c r="W417" s="179" t="str">
        <f t="shared" si="27"/>
        <v>Sas</v>
      </c>
      <c r="X417">
        <f t="shared" si="28"/>
        <v>7</v>
      </c>
      <c r="Y417" t="str">
        <f t="shared" si="29"/>
        <v>D7Sas</v>
      </c>
      <c r="Z417" s="193" t="s">
        <v>37</v>
      </c>
      <c r="AA417" s="193" t="s">
        <v>528</v>
      </c>
      <c r="AB417" s="179" t="s">
        <v>685</v>
      </c>
      <c r="AC417" s="94"/>
      <c r="AD417" s="95"/>
      <c r="AE417" s="111"/>
      <c r="AF417" s="111"/>
      <c r="AG417" s="111"/>
      <c r="AH417" s="111"/>
      <c r="AI417" s="111"/>
      <c r="AJ417" s="111"/>
      <c r="AK417" s="111"/>
      <c r="AL417" s="111"/>
      <c r="AM417" s="111"/>
      <c r="AN417" s="111"/>
      <c r="AO417" s="111"/>
      <c r="AP417" s="111"/>
      <c r="AQ417" s="111"/>
    </row>
    <row r="418" spans="23:43" ht="15">
      <c r="W418" s="179" t="str">
        <f t="shared" si="27"/>
        <v>Sas</v>
      </c>
      <c r="X418">
        <f t="shared" si="28"/>
        <v>8</v>
      </c>
      <c r="Y418" t="str">
        <f t="shared" si="29"/>
        <v>D8Sas</v>
      </c>
      <c r="Z418" s="193" t="s">
        <v>37</v>
      </c>
      <c r="AA418" s="193" t="s">
        <v>531</v>
      </c>
      <c r="AB418" s="179" t="s">
        <v>685</v>
      </c>
      <c r="AC418" s="94"/>
      <c r="AD418" s="95"/>
      <c r="AE418" s="111"/>
      <c r="AF418" s="111"/>
      <c r="AG418" s="111"/>
      <c r="AH418" s="111"/>
      <c r="AI418" s="111"/>
      <c r="AJ418" s="111"/>
      <c r="AK418" s="111"/>
      <c r="AL418" s="111"/>
      <c r="AM418" s="111"/>
      <c r="AN418" s="111"/>
      <c r="AO418" s="111"/>
      <c r="AP418" s="111"/>
      <c r="AQ418" s="111"/>
    </row>
    <row r="419" spans="23:43" ht="15">
      <c r="W419" s="179" t="str">
        <f t="shared" si="27"/>
        <v>Sas</v>
      </c>
      <c r="X419">
        <f t="shared" si="28"/>
        <v>9</v>
      </c>
      <c r="Y419" t="str">
        <f t="shared" si="29"/>
        <v>D9Sas</v>
      </c>
      <c r="Z419" s="193" t="s">
        <v>37</v>
      </c>
      <c r="AA419" s="193" t="s">
        <v>568</v>
      </c>
      <c r="AB419" s="179" t="s">
        <v>685</v>
      </c>
      <c r="AC419" s="94"/>
      <c r="AD419" s="95"/>
      <c r="AE419" s="111"/>
      <c r="AF419" s="111"/>
      <c r="AG419" s="111"/>
      <c r="AH419" s="111"/>
      <c r="AI419" s="111"/>
      <c r="AJ419" s="111"/>
      <c r="AK419" s="111"/>
      <c r="AL419" s="111"/>
      <c r="AM419" s="111"/>
      <c r="AN419" s="111"/>
      <c r="AO419" s="111"/>
      <c r="AP419" s="111"/>
      <c r="AQ419" s="111"/>
    </row>
    <row r="420" spans="23:43" ht="15">
      <c r="W420" s="179" t="str">
        <f t="shared" si="27"/>
        <v>Sas</v>
      </c>
      <c r="X420">
        <f t="shared" si="28"/>
        <v>10</v>
      </c>
      <c r="Y420" t="str">
        <f t="shared" si="29"/>
        <v>D10Sas</v>
      </c>
      <c r="Z420" s="193" t="s">
        <v>37</v>
      </c>
      <c r="AA420" s="193" t="s">
        <v>1960</v>
      </c>
      <c r="AB420" s="179" t="s">
        <v>685</v>
      </c>
      <c r="AC420" s="94"/>
      <c r="AD420" s="95"/>
      <c r="AE420" s="111"/>
      <c r="AF420" s="111"/>
      <c r="AG420" s="111"/>
      <c r="AH420" s="111"/>
      <c r="AI420" s="111"/>
      <c r="AJ420" s="111"/>
      <c r="AK420" s="111"/>
      <c r="AL420" s="111"/>
      <c r="AM420" s="111"/>
      <c r="AN420" s="111"/>
      <c r="AO420" s="111"/>
      <c r="AP420" s="111"/>
      <c r="AQ420" s="111"/>
    </row>
    <row r="421" spans="23:43" ht="15">
      <c r="W421" s="179" t="str">
        <f t="shared" si="27"/>
        <v>Sas</v>
      </c>
      <c r="X421">
        <f t="shared" si="28"/>
        <v>1</v>
      </c>
      <c r="Y421" t="str">
        <f t="shared" si="29"/>
        <v>P1Sas</v>
      </c>
      <c r="Z421" s="193" t="s">
        <v>35</v>
      </c>
      <c r="AA421" s="193" t="s">
        <v>325</v>
      </c>
      <c r="AB421" s="179" t="s">
        <v>685</v>
      </c>
      <c r="AC421" s="94"/>
      <c r="AD421" s="95"/>
      <c r="AE421" s="111"/>
      <c r="AF421" s="111"/>
      <c r="AG421" s="111"/>
      <c r="AH421" s="111"/>
      <c r="AI421" s="111"/>
      <c r="AJ421" s="111"/>
      <c r="AK421" s="111"/>
      <c r="AL421" s="111"/>
      <c r="AM421" s="111"/>
      <c r="AN421" s="111"/>
      <c r="AO421" s="111"/>
      <c r="AP421" s="111"/>
      <c r="AQ421" s="111"/>
    </row>
    <row r="422" spans="23:43" ht="15">
      <c r="W422" s="179" t="str">
        <f t="shared" si="27"/>
        <v>Sas</v>
      </c>
      <c r="X422">
        <f t="shared" si="28"/>
        <v>2</v>
      </c>
      <c r="Y422" t="str">
        <f t="shared" si="29"/>
        <v>P2Sas</v>
      </c>
      <c r="Z422" s="193" t="s">
        <v>35</v>
      </c>
      <c r="AA422" s="193" t="s">
        <v>375</v>
      </c>
      <c r="AB422" s="179" t="s">
        <v>685</v>
      </c>
      <c r="AC422" s="94"/>
      <c r="AD422" s="95"/>
      <c r="AE422" s="111"/>
      <c r="AF422" s="111"/>
      <c r="AG422" s="111"/>
      <c r="AH422" s="111"/>
      <c r="AI422" s="111"/>
      <c r="AJ422" s="111"/>
      <c r="AK422" s="111"/>
      <c r="AL422" s="111"/>
      <c r="AM422" s="111"/>
      <c r="AN422" s="111"/>
      <c r="AO422" s="111"/>
      <c r="AP422" s="111"/>
      <c r="AQ422" s="111"/>
    </row>
    <row r="423" spans="23:43" ht="15">
      <c r="W423" s="179" t="str">
        <f t="shared" si="27"/>
        <v>Sas</v>
      </c>
      <c r="X423">
        <f t="shared" si="28"/>
        <v>3</v>
      </c>
      <c r="Y423" t="str">
        <f t="shared" si="29"/>
        <v>P3Sas</v>
      </c>
      <c r="Z423" s="193" t="s">
        <v>35</v>
      </c>
      <c r="AA423" s="193" t="s">
        <v>387</v>
      </c>
      <c r="AB423" s="179" t="s">
        <v>685</v>
      </c>
      <c r="AC423" s="94"/>
      <c r="AD423" s="95"/>
      <c r="AE423" s="111"/>
      <c r="AF423" s="111"/>
      <c r="AG423" s="111"/>
      <c r="AH423" s="111"/>
      <c r="AI423" s="111"/>
      <c r="AJ423" s="111"/>
      <c r="AK423" s="111"/>
      <c r="AL423" s="111"/>
      <c r="AM423" s="111"/>
      <c r="AN423" s="111"/>
      <c r="AO423" s="111"/>
      <c r="AP423" s="111"/>
      <c r="AQ423" s="111"/>
    </row>
    <row r="424" spans="23:43" ht="15">
      <c r="W424" s="179" t="str">
        <f t="shared" si="27"/>
        <v>Sas</v>
      </c>
      <c r="X424">
        <f t="shared" si="28"/>
        <v>4</v>
      </c>
      <c r="Y424" t="str">
        <f t="shared" si="29"/>
        <v>P4Sas</v>
      </c>
      <c r="Z424" s="193" t="s">
        <v>35</v>
      </c>
      <c r="AA424" s="193" t="s">
        <v>921</v>
      </c>
      <c r="AB424" s="179" t="s">
        <v>685</v>
      </c>
      <c r="AC424" s="94"/>
      <c r="AD424" s="95"/>
      <c r="AE424" s="111"/>
      <c r="AF424" s="111"/>
      <c r="AG424" s="111"/>
      <c r="AH424" s="111"/>
      <c r="AI424" s="111"/>
      <c r="AJ424" s="111"/>
      <c r="AK424" s="111"/>
      <c r="AL424" s="111"/>
      <c r="AM424" s="111"/>
      <c r="AN424" s="111"/>
      <c r="AO424" s="111"/>
      <c r="AP424" s="111"/>
      <c r="AQ424" s="111"/>
    </row>
    <row r="425" spans="23:43" ht="15">
      <c r="W425" s="179" t="str">
        <f t="shared" si="27"/>
        <v>SPA</v>
      </c>
      <c r="X425">
        <f t="shared" si="28"/>
        <v>1</v>
      </c>
      <c r="Y425" t="str">
        <f t="shared" si="29"/>
        <v>A1SPA</v>
      </c>
      <c r="Z425" s="193" t="s">
        <v>43</v>
      </c>
      <c r="AA425" s="193" t="s">
        <v>1777</v>
      </c>
      <c r="AB425" s="179" t="s">
        <v>1477</v>
      </c>
      <c r="AC425" s="94"/>
      <c r="AD425" s="95"/>
      <c r="AE425" s="111"/>
      <c r="AF425" s="111"/>
      <c r="AG425" s="111"/>
      <c r="AH425" s="111"/>
      <c r="AI425" s="111"/>
      <c r="AJ425" s="111"/>
      <c r="AK425" s="111"/>
      <c r="AL425" s="111"/>
      <c r="AM425" s="111"/>
      <c r="AN425" s="111"/>
      <c r="AO425" s="111"/>
      <c r="AP425" s="111"/>
      <c r="AQ425" s="111"/>
    </row>
    <row r="426" spans="23:43" ht="15">
      <c r="W426" s="179" t="str">
        <f t="shared" si="27"/>
        <v>SPA</v>
      </c>
      <c r="X426">
        <f t="shared" si="28"/>
        <v>2</v>
      </c>
      <c r="Y426" t="str">
        <f t="shared" si="29"/>
        <v>A2SPA</v>
      </c>
      <c r="Z426" s="193" t="s">
        <v>43</v>
      </c>
      <c r="AA426" s="193" t="s">
        <v>1801</v>
      </c>
      <c r="AB426" s="179" t="s">
        <v>1477</v>
      </c>
      <c r="AC426" s="94"/>
      <c r="AD426"/>
      <c r="AE426" s="111"/>
      <c r="AF426" s="111"/>
      <c r="AG426" s="111"/>
      <c r="AH426" s="111"/>
      <c r="AI426" s="111"/>
      <c r="AJ426" s="111"/>
      <c r="AK426" s="111"/>
      <c r="AL426" s="111"/>
      <c r="AM426" s="111"/>
      <c r="AN426" s="111"/>
      <c r="AO426" s="111"/>
      <c r="AP426" s="111"/>
      <c r="AQ426" s="111"/>
    </row>
    <row r="427" spans="23:43" ht="15">
      <c r="W427" s="179" t="str">
        <f t="shared" si="27"/>
        <v>SPA</v>
      </c>
      <c r="X427">
        <f t="shared" si="28"/>
        <v>3</v>
      </c>
      <c r="Y427" t="str">
        <f t="shared" si="29"/>
        <v>A3SPA</v>
      </c>
      <c r="Z427" s="193" t="s">
        <v>43</v>
      </c>
      <c r="AA427" s="193" t="s">
        <v>319</v>
      </c>
      <c r="AB427" s="179" t="s">
        <v>1477</v>
      </c>
      <c r="AC427" s="94"/>
      <c r="AD427" s="95"/>
      <c r="AE427" s="111"/>
      <c r="AF427" s="111"/>
      <c r="AG427" s="111"/>
      <c r="AH427" s="111"/>
      <c r="AI427" s="111"/>
      <c r="AJ427" s="111"/>
      <c r="AK427" s="111"/>
      <c r="AL427" s="111"/>
      <c r="AM427" s="111"/>
      <c r="AN427" s="111"/>
      <c r="AO427" s="111"/>
      <c r="AP427" s="111"/>
      <c r="AQ427" s="111"/>
    </row>
    <row r="428" spans="23:43" ht="15">
      <c r="W428" s="179" t="str">
        <f t="shared" si="27"/>
        <v>SPA</v>
      </c>
      <c r="X428">
        <f t="shared" si="28"/>
        <v>4</v>
      </c>
      <c r="Y428" t="str">
        <f t="shared" si="29"/>
        <v>A4SPA</v>
      </c>
      <c r="Z428" s="193" t="s">
        <v>43</v>
      </c>
      <c r="AA428" s="193" t="s">
        <v>374</v>
      </c>
      <c r="AB428" s="179" t="s">
        <v>1477</v>
      </c>
      <c r="AC428" s="94"/>
      <c r="AD428" s="95"/>
      <c r="AE428" s="111"/>
      <c r="AF428" s="111"/>
      <c r="AG428" s="111"/>
      <c r="AH428" s="111"/>
      <c r="AI428" s="111"/>
      <c r="AJ428" s="111"/>
      <c r="AK428" s="111"/>
      <c r="AL428" s="111"/>
      <c r="AM428" s="111"/>
      <c r="AN428" s="111"/>
      <c r="AO428" s="111"/>
      <c r="AP428" s="111"/>
      <c r="AQ428" s="111"/>
    </row>
    <row r="429" spans="23:43" ht="15">
      <c r="W429" s="179" t="str">
        <f t="shared" si="27"/>
        <v>SPA</v>
      </c>
      <c r="X429">
        <f t="shared" si="28"/>
        <v>5</v>
      </c>
      <c r="Y429" t="str">
        <f t="shared" si="29"/>
        <v>A5SPA</v>
      </c>
      <c r="Z429" s="193" t="s">
        <v>43</v>
      </c>
      <c r="AA429" s="193" t="s">
        <v>470</v>
      </c>
      <c r="AB429" s="179" t="s">
        <v>1477</v>
      </c>
      <c r="AC429" s="94"/>
      <c r="AD429" s="95"/>
      <c r="AE429" s="111"/>
      <c r="AF429" s="111"/>
      <c r="AG429" s="111"/>
      <c r="AH429" s="111"/>
      <c r="AI429" s="111"/>
      <c r="AJ429" s="111"/>
      <c r="AK429" s="111"/>
      <c r="AL429" s="111"/>
      <c r="AM429" s="111"/>
      <c r="AN429" s="111"/>
      <c r="AO429" s="111"/>
      <c r="AP429" s="111"/>
      <c r="AQ429" s="111"/>
    </row>
    <row r="430" spans="23:43" ht="15">
      <c r="W430" s="179" t="str">
        <f t="shared" si="27"/>
        <v>SPA</v>
      </c>
      <c r="X430">
        <f t="shared" si="28"/>
        <v>1</v>
      </c>
      <c r="Y430" t="str">
        <f t="shared" si="29"/>
        <v>C1SPA</v>
      </c>
      <c r="Z430" s="193" t="s">
        <v>39</v>
      </c>
      <c r="AA430" s="193" t="s">
        <v>479</v>
      </c>
      <c r="AB430" s="179" t="s">
        <v>1477</v>
      </c>
      <c r="AC430" s="94"/>
      <c r="AD430" s="95"/>
      <c r="AE430" s="111"/>
      <c r="AF430" s="111"/>
      <c r="AG430" s="111"/>
      <c r="AH430" s="111"/>
      <c r="AI430" s="111"/>
      <c r="AJ430" s="111"/>
      <c r="AK430" s="111"/>
      <c r="AL430" s="111"/>
      <c r="AM430" s="111"/>
      <c r="AN430" s="111"/>
      <c r="AO430" s="111"/>
      <c r="AP430" s="111"/>
      <c r="AQ430" s="111"/>
    </row>
    <row r="431" spans="23:43" ht="15">
      <c r="W431" s="179" t="str">
        <f t="shared" si="27"/>
        <v>SPA</v>
      </c>
      <c r="X431">
        <f t="shared" si="28"/>
        <v>2</v>
      </c>
      <c r="Y431" t="str">
        <f t="shared" si="29"/>
        <v>C2SPA</v>
      </c>
      <c r="Z431" s="193" t="s">
        <v>39</v>
      </c>
      <c r="AA431" s="193" t="s">
        <v>1857</v>
      </c>
      <c r="AB431" s="179" t="s">
        <v>1477</v>
      </c>
      <c r="AC431" s="94"/>
      <c r="AD431" s="95"/>
      <c r="AE431" s="111"/>
      <c r="AF431" s="111"/>
      <c r="AG431" s="111"/>
      <c r="AH431" s="111"/>
      <c r="AI431" s="111"/>
      <c r="AJ431" s="111"/>
      <c r="AK431" s="111"/>
      <c r="AL431" s="111"/>
      <c r="AM431" s="111"/>
      <c r="AN431" s="111"/>
      <c r="AO431" s="111"/>
      <c r="AP431" s="111"/>
      <c r="AQ431" s="111"/>
    </row>
    <row r="432" spans="23:43" ht="15">
      <c r="W432" s="179" t="str">
        <f t="shared" si="27"/>
        <v>SPA</v>
      </c>
      <c r="X432">
        <f t="shared" si="28"/>
        <v>3</v>
      </c>
      <c r="Y432" t="str">
        <f t="shared" si="29"/>
        <v>C3SPA</v>
      </c>
      <c r="Z432" s="193" t="s">
        <v>39</v>
      </c>
      <c r="AA432" s="193" t="s">
        <v>1741</v>
      </c>
      <c r="AB432" s="179" t="s">
        <v>1477</v>
      </c>
      <c r="AC432" s="94"/>
      <c r="AD432" s="95"/>
      <c r="AE432" s="111"/>
      <c r="AF432" s="111"/>
      <c r="AG432" s="111"/>
      <c r="AH432" s="111"/>
      <c r="AI432" s="111"/>
      <c r="AJ432" s="111"/>
      <c r="AK432" s="111"/>
      <c r="AL432" s="111"/>
      <c r="AM432" s="111"/>
      <c r="AN432" s="111"/>
      <c r="AO432" s="111"/>
      <c r="AP432" s="111"/>
      <c r="AQ432" s="111"/>
    </row>
    <row r="433" spans="23:43" ht="15">
      <c r="W433" s="179" t="str">
        <f t="shared" si="27"/>
        <v>SPA</v>
      </c>
      <c r="X433">
        <f t="shared" si="28"/>
        <v>4</v>
      </c>
      <c r="Y433" t="str">
        <f t="shared" si="29"/>
        <v>C4SPA</v>
      </c>
      <c r="Z433" s="193" t="s">
        <v>39</v>
      </c>
      <c r="AA433" s="193" t="s">
        <v>596</v>
      </c>
      <c r="AB433" s="179" t="s">
        <v>1477</v>
      </c>
      <c r="AC433" s="94"/>
      <c r="AD433" s="95"/>
      <c r="AE433" s="111"/>
      <c r="AF433" s="111"/>
      <c r="AG433" s="111"/>
      <c r="AH433" s="111"/>
      <c r="AI433" s="111"/>
      <c r="AJ433" s="111"/>
      <c r="AK433" s="111"/>
      <c r="AL433" s="111"/>
      <c r="AM433" s="111"/>
      <c r="AN433" s="111"/>
      <c r="AO433" s="111"/>
      <c r="AP433" s="111"/>
      <c r="AQ433" s="111"/>
    </row>
    <row r="434" spans="23:43" ht="15">
      <c r="W434" s="179" t="str">
        <f t="shared" si="27"/>
        <v>SPA</v>
      </c>
      <c r="X434">
        <f t="shared" si="28"/>
        <v>5</v>
      </c>
      <c r="Y434" t="str">
        <f t="shared" si="29"/>
        <v>C5SPA</v>
      </c>
      <c r="Z434" s="193" t="s">
        <v>39</v>
      </c>
      <c r="AA434" s="193" t="s">
        <v>1748</v>
      </c>
      <c r="AB434" s="179" t="s">
        <v>1477</v>
      </c>
      <c r="AC434" s="94"/>
      <c r="AD434" s="95"/>
      <c r="AE434" s="111"/>
      <c r="AF434" s="111"/>
      <c r="AG434" s="111"/>
      <c r="AH434" s="111"/>
      <c r="AI434" s="111"/>
      <c r="AJ434" s="111"/>
      <c r="AK434" s="111"/>
      <c r="AL434" s="111"/>
      <c r="AM434" s="111"/>
      <c r="AN434" s="111"/>
      <c r="AO434" s="111"/>
      <c r="AP434" s="111"/>
      <c r="AQ434" s="111"/>
    </row>
    <row r="435" spans="23:43" ht="15">
      <c r="W435" s="179" t="str">
        <f t="shared" si="27"/>
        <v>SPA</v>
      </c>
      <c r="X435">
        <f t="shared" si="28"/>
        <v>6</v>
      </c>
      <c r="Y435" t="str">
        <f t="shared" si="29"/>
        <v>C6SPA</v>
      </c>
      <c r="Z435" s="193" t="s">
        <v>39</v>
      </c>
      <c r="AA435" s="193" t="s">
        <v>1776</v>
      </c>
      <c r="AB435" s="179" t="s">
        <v>1477</v>
      </c>
      <c r="AC435" s="94"/>
      <c r="AD435" s="95"/>
      <c r="AE435" s="111"/>
      <c r="AF435" s="111"/>
      <c r="AG435" s="111"/>
      <c r="AH435" s="111"/>
      <c r="AI435" s="111"/>
      <c r="AJ435" s="111"/>
      <c r="AK435" s="111"/>
      <c r="AL435" s="111"/>
      <c r="AM435" s="111"/>
      <c r="AN435" s="111"/>
      <c r="AO435" s="111"/>
      <c r="AP435" s="111"/>
      <c r="AQ435" s="111"/>
    </row>
    <row r="436" spans="23:43" ht="15">
      <c r="W436" s="179" t="str">
        <f t="shared" si="27"/>
        <v>SPA</v>
      </c>
      <c r="X436">
        <f t="shared" si="28"/>
        <v>7</v>
      </c>
      <c r="Y436" t="str">
        <f t="shared" si="29"/>
        <v>C7SPA</v>
      </c>
      <c r="Z436" s="193" t="s">
        <v>39</v>
      </c>
      <c r="AA436" s="193" t="s">
        <v>1993</v>
      </c>
      <c r="AB436" s="179" t="s">
        <v>1477</v>
      </c>
      <c r="AC436" s="94"/>
      <c r="AD436" s="95"/>
      <c r="AE436" s="111"/>
      <c r="AF436" s="111"/>
      <c r="AG436" s="111"/>
      <c r="AH436" s="111"/>
      <c r="AI436" s="111"/>
      <c r="AJ436" s="111"/>
      <c r="AK436" s="111"/>
      <c r="AL436" s="111"/>
      <c r="AM436" s="111"/>
      <c r="AN436" s="111"/>
      <c r="AO436" s="111"/>
      <c r="AP436" s="111"/>
      <c r="AQ436" s="111"/>
    </row>
    <row r="437" spans="23:43" ht="15">
      <c r="W437" s="179" t="str">
        <f t="shared" si="27"/>
        <v>SPA</v>
      </c>
      <c r="X437">
        <f t="shared" si="28"/>
        <v>8</v>
      </c>
      <c r="Y437" t="str">
        <f t="shared" si="29"/>
        <v>C8SPA</v>
      </c>
      <c r="Z437" s="193" t="s">
        <v>39</v>
      </c>
      <c r="AA437" s="193" t="s">
        <v>1344</v>
      </c>
      <c r="AB437" s="179" t="s">
        <v>1477</v>
      </c>
      <c r="AC437" s="94"/>
      <c r="AD437" s="95"/>
      <c r="AE437" s="111"/>
      <c r="AF437" s="111"/>
      <c r="AG437" s="111"/>
      <c r="AH437" s="111"/>
      <c r="AI437" s="111"/>
      <c r="AJ437" s="111"/>
      <c r="AK437" s="111"/>
      <c r="AL437" s="111"/>
      <c r="AM437" s="111"/>
      <c r="AN437" s="111"/>
      <c r="AO437" s="111"/>
      <c r="AP437" s="111"/>
      <c r="AQ437" s="111"/>
    </row>
    <row r="438" spans="23:43" ht="15">
      <c r="W438" s="179" t="str">
        <f t="shared" si="27"/>
        <v>SPA</v>
      </c>
      <c r="X438">
        <f t="shared" si="28"/>
        <v>1</v>
      </c>
      <c r="Y438" t="str">
        <f t="shared" si="29"/>
        <v>D1SPA</v>
      </c>
      <c r="Z438" s="193" t="s">
        <v>37</v>
      </c>
      <c r="AA438" s="193" t="s">
        <v>435</v>
      </c>
      <c r="AB438" s="179" t="s">
        <v>1477</v>
      </c>
      <c r="AC438" s="94"/>
      <c r="AD438" s="95"/>
      <c r="AE438" s="111"/>
      <c r="AF438" s="111"/>
      <c r="AG438" s="111"/>
      <c r="AH438" s="111"/>
      <c r="AI438" s="111"/>
      <c r="AJ438" s="111"/>
      <c r="AK438" s="111"/>
      <c r="AL438" s="111"/>
      <c r="AM438" s="111"/>
      <c r="AN438" s="111"/>
      <c r="AO438" s="111"/>
      <c r="AP438" s="111"/>
      <c r="AQ438" s="111"/>
    </row>
    <row r="439" spans="23:43" ht="15">
      <c r="W439" s="179" t="str">
        <f t="shared" si="27"/>
        <v>SPA</v>
      </c>
      <c r="X439">
        <f t="shared" si="28"/>
        <v>2</v>
      </c>
      <c r="Y439" t="str">
        <f t="shared" si="29"/>
        <v>D2SPA</v>
      </c>
      <c r="Z439" s="193" t="s">
        <v>37</v>
      </c>
      <c r="AA439" s="193" t="s">
        <v>1728</v>
      </c>
      <c r="AB439" s="179" t="s">
        <v>1477</v>
      </c>
      <c r="AC439" s="94"/>
      <c r="AD439" s="95"/>
      <c r="AE439" s="111"/>
      <c r="AF439" s="111"/>
      <c r="AG439" s="111"/>
      <c r="AH439" s="111"/>
      <c r="AI439" s="111"/>
      <c r="AJ439" s="111"/>
      <c r="AK439" s="111"/>
      <c r="AL439" s="111"/>
      <c r="AM439" s="111"/>
      <c r="AN439" s="111"/>
      <c r="AO439" s="111"/>
      <c r="AP439" s="111"/>
      <c r="AQ439" s="111"/>
    </row>
    <row r="440" spans="23:43" ht="15">
      <c r="W440" s="179" t="str">
        <f t="shared" si="27"/>
        <v>SPA</v>
      </c>
      <c r="X440">
        <f t="shared" si="28"/>
        <v>3</v>
      </c>
      <c r="Y440" t="str">
        <f t="shared" si="29"/>
        <v>D3SPA</v>
      </c>
      <c r="Z440" s="193" t="s">
        <v>37</v>
      </c>
      <c r="AA440" s="193" t="s">
        <v>1979</v>
      </c>
      <c r="AB440" s="179" t="s">
        <v>1477</v>
      </c>
      <c r="AC440" s="94"/>
      <c r="AD440" s="95"/>
      <c r="AE440" s="111"/>
      <c r="AF440" s="111"/>
      <c r="AG440" s="111"/>
      <c r="AH440" s="111"/>
      <c r="AI440" s="111"/>
      <c r="AJ440" s="111"/>
      <c r="AK440" s="111"/>
      <c r="AL440" s="111"/>
      <c r="AM440" s="111"/>
      <c r="AN440" s="111"/>
      <c r="AO440" s="111"/>
      <c r="AP440" s="111"/>
      <c r="AQ440" s="111"/>
    </row>
    <row r="441" spans="23:43" ht="15">
      <c r="W441" s="179" t="str">
        <f t="shared" si="27"/>
        <v>SPA</v>
      </c>
      <c r="X441">
        <f t="shared" si="28"/>
        <v>4</v>
      </c>
      <c r="Y441" t="str">
        <f t="shared" si="29"/>
        <v>D4SPA</v>
      </c>
      <c r="Z441" s="193" t="s">
        <v>37</v>
      </c>
      <c r="AA441" s="193" t="s">
        <v>475</v>
      </c>
      <c r="AB441" s="179" t="s">
        <v>1477</v>
      </c>
      <c r="AC441" s="94"/>
      <c r="AD441" s="95"/>
      <c r="AE441" s="111"/>
      <c r="AF441" s="111"/>
      <c r="AG441" s="111"/>
      <c r="AH441" s="111"/>
      <c r="AI441" s="111"/>
      <c r="AJ441" s="111"/>
      <c r="AK441" s="111"/>
      <c r="AL441" s="111"/>
      <c r="AM441" s="111"/>
      <c r="AN441" s="111"/>
      <c r="AO441" s="111"/>
      <c r="AP441" s="111"/>
      <c r="AQ441" s="111"/>
    </row>
    <row r="442" spans="23:43" ht="15">
      <c r="W442" s="179" t="str">
        <f t="shared" si="27"/>
        <v>SPA</v>
      </c>
      <c r="X442">
        <f t="shared" si="28"/>
        <v>5</v>
      </c>
      <c r="Y442" t="str">
        <f t="shared" si="29"/>
        <v>D5SPA</v>
      </c>
      <c r="Z442" s="193" t="s">
        <v>37</v>
      </c>
      <c r="AA442" s="193" t="s">
        <v>1831</v>
      </c>
      <c r="AB442" s="179" t="s">
        <v>1477</v>
      </c>
      <c r="AC442" s="94"/>
      <c r="AD442" s="95"/>
      <c r="AE442" s="111"/>
      <c r="AF442" s="111"/>
      <c r="AG442" s="111"/>
      <c r="AH442" s="111"/>
      <c r="AI442" s="111"/>
      <c r="AJ442" s="111"/>
      <c r="AK442" s="111"/>
      <c r="AL442" s="111"/>
      <c r="AM442" s="111"/>
      <c r="AN442" s="111"/>
      <c r="AO442" s="111"/>
      <c r="AP442" s="111"/>
      <c r="AQ442" s="111"/>
    </row>
    <row r="443" spans="23:43" ht="15">
      <c r="W443" s="179" t="str">
        <f t="shared" si="27"/>
        <v>SPA</v>
      </c>
      <c r="X443">
        <f t="shared" si="28"/>
        <v>6</v>
      </c>
      <c r="Y443" t="str">
        <f t="shared" si="29"/>
        <v>D6SPA</v>
      </c>
      <c r="Z443" s="193" t="s">
        <v>37</v>
      </c>
      <c r="AA443" s="193" t="s">
        <v>547</v>
      </c>
      <c r="AB443" s="179" t="s">
        <v>1477</v>
      </c>
      <c r="AC443" s="94"/>
      <c r="AD443" s="95"/>
      <c r="AE443" s="111"/>
      <c r="AF443" s="111"/>
      <c r="AG443" s="111"/>
      <c r="AH443" s="111"/>
      <c r="AI443" s="111"/>
      <c r="AJ443" s="111"/>
      <c r="AK443" s="111"/>
      <c r="AL443" s="111"/>
      <c r="AM443" s="111"/>
      <c r="AN443" s="111"/>
      <c r="AO443" s="111"/>
      <c r="AP443" s="111"/>
      <c r="AQ443" s="111"/>
    </row>
    <row r="444" spans="23:43" ht="15">
      <c r="W444" s="179" t="str">
        <f t="shared" si="27"/>
        <v>SPA</v>
      </c>
      <c r="X444">
        <f t="shared" si="28"/>
        <v>7</v>
      </c>
      <c r="Y444" t="str">
        <f t="shared" si="29"/>
        <v>D7SPA</v>
      </c>
      <c r="Z444" s="193" t="s">
        <v>37</v>
      </c>
      <c r="AA444" s="193" t="s">
        <v>1283</v>
      </c>
      <c r="AB444" s="179" t="s">
        <v>1477</v>
      </c>
      <c r="AC444" s="94"/>
      <c r="AD444" s="95"/>
      <c r="AE444" s="111"/>
      <c r="AF444" s="111"/>
      <c r="AG444" s="111"/>
      <c r="AH444" s="111"/>
      <c r="AI444" s="111"/>
      <c r="AJ444" s="111"/>
      <c r="AK444" s="111"/>
      <c r="AL444" s="111"/>
      <c r="AM444" s="111"/>
      <c r="AN444" s="111"/>
      <c r="AO444" s="111"/>
      <c r="AP444" s="111"/>
      <c r="AQ444" s="111"/>
    </row>
    <row r="445" spans="23:43" ht="15">
      <c r="W445" s="179" t="str">
        <f t="shared" si="27"/>
        <v>SPA</v>
      </c>
      <c r="X445">
        <f t="shared" si="28"/>
        <v>8</v>
      </c>
      <c r="Y445" t="str">
        <f t="shared" si="29"/>
        <v>D8SPA</v>
      </c>
      <c r="Z445" s="193" t="s">
        <v>37</v>
      </c>
      <c r="AA445" s="193" t="s">
        <v>589</v>
      </c>
      <c r="AB445" s="179" t="s">
        <v>1477</v>
      </c>
      <c r="AC445" s="94"/>
      <c r="AD445" s="95"/>
      <c r="AE445" s="111"/>
      <c r="AF445" s="111"/>
      <c r="AG445" s="111"/>
      <c r="AH445" s="111"/>
      <c r="AI445" s="111"/>
      <c r="AJ445" s="111"/>
      <c r="AK445" s="111"/>
      <c r="AL445" s="111"/>
      <c r="AM445" s="111"/>
      <c r="AN445" s="111"/>
      <c r="AO445" s="111"/>
      <c r="AP445" s="111"/>
      <c r="AQ445" s="111"/>
    </row>
    <row r="446" spans="23:43" ht="15">
      <c r="W446" s="179" t="str">
        <f t="shared" si="27"/>
        <v>SPA</v>
      </c>
      <c r="X446">
        <f t="shared" si="28"/>
        <v>9</v>
      </c>
      <c r="Y446" t="str">
        <f t="shared" si="29"/>
        <v>D9SPA</v>
      </c>
      <c r="Z446" s="193" t="s">
        <v>37</v>
      </c>
      <c r="AA446" s="193" t="s">
        <v>1731</v>
      </c>
      <c r="AB446" s="179" t="s">
        <v>1477</v>
      </c>
      <c r="AC446" s="94"/>
      <c r="AD446" s="95"/>
      <c r="AE446" s="111"/>
      <c r="AF446" s="111"/>
      <c r="AG446" s="111"/>
      <c r="AH446" s="111"/>
      <c r="AI446" s="111"/>
      <c r="AJ446" s="111"/>
      <c r="AK446" s="111"/>
      <c r="AL446" s="111"/>
      <c r="AM446" s="111"/>
      <c r="AN446" s="111"/>
      <c r="AO446" s="111"/>
      <c r="AP446" s="111"/>
      <c r="AQ446" s="111"/>
    </row>
    <row r="447" spans="23:43" ht="15">
      <c r="W447" s="179" t="str">
        <f t="shared" si="27"/>
        <v>SPA</v>
      </c>
      <c r="X447">
        <f t="shared" si="28"/>
        <v>10</v>
      </c>
      <c r="Y447" t="str">
        <f t="shared" si="29"/>
        <v>D10SPA</v>
      </c>
      <c r="Z447" s="193" t="s">
        <v>37</v>
      </c>
      <c r="AA447" s="193" t="s">
        <v>1721</v>
      </c>
      <c r="AB447" s="179" t="s">
        <v>1477</v>
      </c>
      <c r="AC447" s="94"/>
      <c r="AD447" s="95"/>
      <c r="AE447" s="111"/>
      <c r="AF447" s="111"/>
      <c r="AG447" s="111"/>
      <c r="AH447" s="111"/>
      <c r="AI447" s="111"/>
      <c r="AJ447" s="111"/>
      <c r="AK447" s="111"/>
      <c r="AL447" s="111"/>
      <c r="AM447" s="111"/>
      <c r="AN447" s="111"/>
      <c r="AO447" s="111"/>
      <c r="AP447" s="111"/>
      <c r="AQ447" s="111"/>
    </row>
    <row r="448" spans="23:43" ht="15">
      <c r="W448" s="179" t="str">
        <f t="shared" si="27"/>
        <v>SPA</v>
      </c>
      <c r="X448">
        <f t="shared" si="28"/>
        <v>1</v>
      </c>
      <c r="Y448" t="str">
        <f t="shared" si="29"/>
        <v>P1SPA</v>
      </c>
      <c r="Z448" s="193" t="s">
        <v>35</v>
      </c>
      <c r="AA448" s="193" t="s">
        <v>352</v>
      </c>
      <c r="AB448" s="179" t="s">
        <v>1477</v>
      </c>
      <c r="AC448" s="94"/>
      <c r="AD448" s="95"/>
      <c r="AE448" s="111"/>
      <c r="AF448" s="111"/>
      <c r="AG448" s="111"/>
      <c r="AH448" s="111"/>
      <c r="AI448" s="111"/>
      <c r="AJ448" s="111"/>
      <c r="AK448" s="111"/>
      <c r="AL448" s="111"/>
      <c r="AM448" s="111"/>
      <c r="AN448" s="111"/>
      <c r="AO448" s="111"/>
      <c r="AP448" s="111"/>
      <c r="AQ448" s="111"/>
    </row>
    <row r="449" spans="23:43" ht="15">
      <c r="W449" s="179" t="str">
        <f t="shared" si="27"/>
        <v>SPA</v>
      </c>
      <c r="X449">
        <f t="shared" si="28"/>
        <v>2</v>
      </c>
      <c r="Y449" t="str">
        <f t="shared" si="29"/>
        <v>P2SPA</v>
      </c>
      <c r="Z449" s="193" t="s">
        <v>35</v>
      </c>
      <c r="AA449" s="193" t="s">
        <v>1814</v>
      </c>
      <c r="AB449" s="179" t="s">
        <v>1477</v>
      </c>
      <c r="AC449" s="94"/>
      <c r="AD449" s="95"/>
      <c r="AE449" s="111"/>
      <c r="AF449" s="111"/>
      <c r="AG449" s="111"/>
      <c r="AH449" s="111"/>
      <c r="AI449" s="111"/>
      <c r="AJ449" s="111"/>
      <c r="AK449" s="111"/>
      <c r="AL449" s="111"/>
      <c r="AM449" s="111"/>
      <c r="AN449" s="111"/>
      <c r="AO449" s="111"/>
      <c r="AP449" s="111"/>
      <c r="AQ449" s="111"/>
    </row>
    <row r="450" spans="23:43" ht="15">
      <c r="W450" s="179" t="str">
        <f t="shared" si="27"/>
        <v>SPA</v>
      </c>
      <c r="X450">
        <f t="shared" si="28"/>
        <v>3</v>
      </c>
      <c r="Y450" t="str">
        <f t="shared" si="29"/>
        <v>P3SPA</v>
      </c>
      <c r="Z450" s="193" t="s">
        <v>35</v>
      </c>
      <c r="AA450" s="193" t="s">
        <v>1675</v>
      </c>
      <c r="AB450" s="179" t="s">
        <v>1477</v>
      </c>
      <c r="AC450" s="94"/>
      <c r="AD450" s="95"/>
      <c r="AE450" s="111"/>
      <c r="AF450" s="111"/>
      <c r="AG450" s="111"/>
      <c r="AH450" s="111"/>
      <c r="AI450" s="111"/>
      <c r="AJ450" s="111"/>
      <c r="AK450" s="111"/>
      <c r="AL450" s="111"/>
      <c r="AM450" s="111"/>
      <c r="AN450" s="111"/>
      <c r="AO450" s="111"/>
      <c r="AP450" s="111"/>
      <c r="AQ450" s="111"/>
    </row>
    <row r="451" spans="23:43" ht="15">
      <c r="W451" s="179" t="str">
        <f t="shared" ref="W451:W514" si="30">MID(AB451,1,3)</f>
        <v>SPA</v>
      </c>
      <c r="X451">
        <f t="shared" ref="X451:X514" si="31">IF(Z451&lt;&gt;Z450,1,X450+1)</f>
        <v>4</v>
      </c>
      <c r="Y451" t="str">
        <f t="shared" ref="Y451:Y514" si="32">Z451&amp;X451&amp;W451</f>
        <v>P4SPA</v>
      </c>
      <c r="Z451" s="193" t="s">
        <v>35</v>
      </c>
      <c r="AA451" s="193" t="s">
        <v>1691</v>
      </c>
      <c r="AB451" s="179" t="s">
        <v>1477</v>
      </c>
      <c r="AC451" s="94"/>
      <c r="AD451" s="95"/>
      <c r="AE451" s="111"/>
      <c r="AF451" s="111"/>
      <c r="AG451" s="111"/>
      <c r="AH451" s="111"/>
      <c r="AI451" s="111"/>
      <c r="AJ451" s="111"/>
      <c r="AK451" s="111"/>
      <c r="AL451" s="111"/>
      <c r="AM451" s="111"/>
      <c r="AN451" s="111"/>
      <c r="AO451" s="111"/>
      <c r="AP451" s="111"/>
      <c r="AQ451" s="111"/>
    </row>
    <row r="452" spans="23:43" ht="15">
      <c r="W452" s="179" t="str">
        <f t="shared" si="30"/>
        <v>Tor</v>
      </c>
      <c r="X452">
        <f t="shared" si="31"/>
        <v>1</v>
      </c>
      <c r="Y452" t="str">
        <f t="shared" si="32"/>
        <v>A1Tor</v>
      </c>
      <c r="Z452" s="193" t="s">
        <v>43</v>
      </c>
      <c r="AA452" s="193" t="s">
        <v>310</v>
      </c>
      <c r="AB452" s="179" t="s">
        <v>687</v>
      </c>
      <c r="AC452" s="94"/>
      <c r="AD452" s="95"/>
      <c r="AE452" s="111"/>
      <c r="AF452" s="111"/>
      <c r="AG452" s="111"/>
      <c r="AH452" s="111"/>
      <c r="AI452" s="111"/>
      <c r="AJ452" s="111"/>
      <c r="AK452" s="111"/>
      <c r="AL452" s="111"/>
      <c r="AM452" s="111"/>
      <c r="AN452" s="111"/>
      <c r="AO452" s="111"/>
      <c r="AP452" s="111"/>
      <c r="AQ452" s="111"/>
    </row>
    <row r="453" spans="23:43" ht="15">
      <c r="W453" s="179" t="str">
        <f t="shared" si="30"/>
        <v>Tor</v>
      </c>
      <c r="X453">
        <f t="shared" si="31"/>
        <v>2</v>
      </c>
      <c r="Y453" t="str">
        <f t="shared" si="32"/>
        <v>A2Tor</v>
      </c>
      <c r="Z453" s="193" t="s">
        <v>43</v>
      </c>
      <c r="AA453" s="193" t="s">
        <v>1292</v>
      </c>
      <c r="AB453" s="179" t="s">
        <v>687</v>
      </c>
      <c r="AC453" s="94"/>
      <c r="AD453" s="95"/>
      <c r="AE453" s="111"/>
      <c r="AF453" s="111"/>
      <c r="AG453" s="111"/>
      <c r="AH453" s="111"/>
      <c r="AI453" s="111"/>
      <c r="AJ453" s="111"/>
      <c r="AK453" s="111"/>
      <c r="AL453" s="111"/>
      <c r="AM453" s="111"/>
      <c r="AN453" s="111"/>
      <c r="AO453" s="111"/>
      <c r="AP453" s="111"/>
      <c r="AQ453" s="111"/>
    </row>
    <row r="454" spans="23:43" ht="15">
      <c r="W454" s="179" t="str">
        <f t="shared" si="30"/>
        <v>Tor</v>
      </c>
      <c r="X454">
        <f t="shared" si="31"/>
        <v>3</v>
      </c>
      <c r="Y454" t="str">
        <f t="shared" si="32"/>
        <v>A3Tor</v>
      </c>
      <c r="Z454" s="193" t="s">
        <v>43</v>
      </c>
      <c r="AA454" s="193" t="s">
        <v>1929</v>
      </c>
      <c r="AB454" s="179" t="s">
        <v>687</v>
      </c>
      <c r="AC454" s="94"/>
      <c r="AD454" s="95"/>
      <c r="AE454" s="111"/>
      <c r="AF454" s="111"/>
      <c r="AG454" s="111"/>
      <c r="AH454" s="111"/>
      <c r="AI454" s="111"/>
      <c r="AJ454" s="111"/>
      <c r="AK454" s="111"/>
      <c r="AL454" s="111"/>
      <c r="AM454" s="111"/>
      <c r="AN454" s="111"/>
      <c r="AO454" s="111"/>
      <c r="AP454" s="111"/>
      <c r="AQ454" s="111"/>
    </row>
    <row r="455" spans="23:43" ht="15">
      <c r="W455" s="179" t="str">
        <f t="shared" si="30"/>
        <v>Tor</v>
      </c>
      <c r="X455">
        <f t="shared" si="31"/>
        <v>4</v>
      </c>
      <c r="Y455" t="str">
        <f t="shared" si="32"/>
        <v>A4Tor</v>
      </c>
      <c r="Z455" s="193" t="s">
        <v>43</v>
      </c>
      <c r="AA455" s="193" t="s">
        <v>493</v>
      </c>
      <c r="AB455" s="179" t="s">
        <v>687</v>
      </c>
      <c r="AC455" s="94"/>
      <c r="AD455" s="95"/>
      <c r="AE455" s="111"/>
      <c r="AF455" s="111"/>
      <c r="AG455" s="111"/>
      <c r="AH455" s="111"/>
      <c r="AI455" s="111"/>
      <c r="AJ455" s="111"/>
      <c r="AK455" s="111"/>
      <c r="AL455" s="111"/>
      <c r="AM455" s="111"/>
      <c r="AN455" s="111"/>
      <c r="AO455" s="111"/>
      <c r="AP455" s="111"/>
      <c r="AQ455" s="111"/>
    </row>
    <row r="456" spans="23:43" ht="15">
      <c r="W456" s="179" t="str">
        <f t="shared" si="30"/>
        <v>Tor</v>
      </c>
      <c r="X456">
        <f t="shared" si="31"/>
        <v>5</v>
      </c>
      <c r="Y456" t="str">
        <f t="shared" si="32"/>
        <v>A5Tor</v>
      </c>
      <c r="Z456" s="193" t="s">
        <v>43</v>
      </c>
      <c r="AA456" s="193" t="s">
        <v>532</v>
      </c>
      <c r="AB456" s="179" t="s">
        <v>687</v>
      </c>
      <c r="AC456" s="94"/>
      <c r="AD456" s="95"/>
      <c r="AE456" s="111"/>
      <c r="AF456" s="111"/>
      <c r="AG456" s="111"/>
      <c r="AH456" s="111"/>
      <c r="AI456" s="111"/>
      <c r="AJ456" s="111"/>
      <c r="AK456" s="111"/>
      <c r="AL456" s="111"/>
      <c r="AM456" s="111"/>
      <c r="AN456" s="111"/>
      <c r="AO456" s="111"/>
      <c r="AP456" s="111"/>
      <c r="AQ456" s="111"/>
    </row>
    <row r="457" spans="23:43" ht="15">
      <c r="W457" s="179" t="str">
        <f t="shared" si="30"/>
        <v>Tor</v>
      </c>
      <c r="X457">
        <f t="shared" si="31"/>
        <v>6</v>
      </c>
      <c r="Y457" t="str">
        <f t="shared" si="32"/>
        <v>A6Tor</v>
      </c>
      <c r="Z457" s="193" t="s">
        <v>43</v>
      </c>
      <c r="AA457" s="193" t="s">
        <v>462</v>
      </c>
      <c r="AB457" s="179" t="s">
        <v>687</v>
      </c>
      <c r="AC457" s="94"/>
      <c r="AD457" s="95"/>
      <c r="AE457" s="111"/>
      <c r="AF457" s="111"/>
      <c r="AG457" s="111"/>
      <c r="AH457" s="111"/>
      <c r="AI457" s="111"/>
      <c r="AJ457" s="111"/>
      <c r="AK457" s="111"/>
      <c r="AL457" s="111"/>
      <c r="AM457" s="111"/>
      <c r="AN457" s="111"/>
      <c r="AO457" s="111"/>
      <c r="AP457" s="111"/>
      <c r="AQ457" s="111"/>
    </row>
    <row r="458" spans="23:43" ht="15">
      <c r="W458" s="179" t="str">
        <f t="shared" si="30"/>
        <v>Tor</v>
      </c>
      <c r="X458">
        <f t="shared" si="31"/>
        <v>7</v>
      </c>
      <c r="Y458" t="str">
        <f t="shared" si="32"/>
        <v>A7Tor</v>
      </c>
      <c r="Z458" s="193" t="s">
        <v>43</v>
      </c>
      <c r="AA458" s="193" t="s">
        <v>499</v>
      </c>
      <c r="AB458" s="179" t="s">
        <v>687</v>
      </c>
      <c r="AC458" s="94"/>
      <c r="AD458" s="95"/>
      <c r="AE458" s="111"/>
      <c r="AF458" s="111"/>
      <c r="AG458" s="111"/>
      <c r="AH458" s="111"/>
      <c r="AI458" s="111"/>
      <c r="AJ458" s="111"/>
      <c r="AK458" s="111"/>
      <c r="AL458" s="111"/>
      <c r="AM458" s="111"/>
      <c r="AN458" s="111"/>
      <c r="AO458" s="111"/>
      <c r="AP458" s="111"/>
      <c r="AQ458" s="111"/>
    </row>
    <row r="459" spans="23:43" ht="15">
      <c r="W459" s="179" t="str">
        <f t="shared" si="30"/>
        <v>Tor</v>
      </c>
      <c r="X459">
        <f t="shared" si="31"/>
        <v>1</v>
      </c>
      <c r="Y459" t="str">
        <f t="shared" si="32"/>
        <v>C1Tor</v>
      </c>
      <c r="Z459" s="193" t="s">
        <v>39</v>
      </c>
      <c r="AA459" s="193" t="s">
        <v>299</v>
      </c>
      <c r="AB459" s="179" t="s">
        <v>687</v>
      </c>
      <c r="AC459" s="94"/>
      <c r="AD459" s="95"/>
      <c r="AE459" s="111"/>
      <c r="AF459" s="111"/>
      <c r="AG459" s="111"/>
      <c r="AH459" s="111"/>
      <c r="AI459" s="111"/>
      <c r="AJ459" s="111"/>
      <c r="AK459" s="111"/>
      <c r="AL459" s="111"/>
      <c r="AM459" s="111"/>
      <c r="AN459" s="111"/>
      <c r="AO459" s="111"/>
      <c r="AP459" s="111"/>
      <c r="AQ459" s="111"/>
    </row>
    <row r="460" spans="23:43" ht="15">
      <c r="W460" s="179" t="str">
        <f t="shared" si="30"/>
        <v>Tor</v>
      </c>
      <c r="X460">
        <f t="shared" si="31"/>
        <v>2</v>
      </c>
      <c r="Y460" t="str">
        <f t="shared" si="32"/>
        <v>C2Tor</v>
      </c>
      <c r="Z460" s="193" t="s">
        <v>39</v>
      </c>
      <c r="AA460" s="193" t="s">
        <v>333</v>
      </c>
      <c r="AB460" s="179" t="s">
        <v>687</v>
      </c>
      <c r="AC460" s="94"/>
      <c r="AD460" s="95"/>
      <c r="AE460" s="111"/>
      <c r="AF460" s="111"/>
      <c r="AG460" s="111"/>
      <c r="AH460" s="111"/>
      <c r="AI460" s="111"/>
      <c r="AJ460" s="111"/>
      <c r="AK460" s="111"/>
      <c r="AL460" s="111"/>
      <c r="AM460" s="111"/>
      <c r="AN460" s="111"/>
      <c r="AO460" s="111"/>
      <c r="AP460" s="111"/>
      <c r="AQ460" s="111"/>
    </row>
    <row r="461" spans="23:43" ht="15">
      <c r="W461" s="179" t="str">
        <f t="shared" si="30"/>
        <v>Tor</v>
      </c>
      <c r="X461">
        <f t="shared" si="31"/>
        <v>3</v>
      </c>
      <c r="Y461" t="str">
        <f t="shared" si="32"/>
        <v>C3Tor</v>
      </c>
      <c r="Z461" s="193" t="s">
        <v>39</v>
      </c>
      <c r="AA461" s="193" t="s">
        <v>1738</v>
      </c>
      <c r="AB461" s="179" t="s">
        <v>687</v>
      </c>
      <c r="AC461" s="94"/>
      <c r="AD461" s="95"/>
      <c r="AE461" s="111"/>
      <c r="AF461" s="111"/>
      <c r="AG461" s="111"/>
      <c r="AH461" s="111"/>
      <c r="AI461" s="111"/>
      <c r="AJ461" s="111"/>
      <c r="AK461" s="111"/>
      <c r="AL461" s="111"/>
      <c r="AM461" s="111"/>
      <c r="AN461" s="111"/>
      <c r="AO461" s="111"/>
      <c r="AP461" s="111"/>
      <c r="AQ461" s="111"/>
    </row>
    <row r="462" spans="23:43" ht="15">
      <c r="W462" s="179" t="str">
        <f t="shared" si="30"/>
        <v>Tor</v>
      </c>
      <c r="X462">
        <f t="shared" si="31"/>
        <v>4</v>
      </c>
      <c r="Y462" t="str">
        <f t="shared" si="32"/>
        <v>C4Tor</v>
      </c>
      <c r="Z462" s="193" t="s">
        <v>39</v>
      </c>
      <c r="AA462" s="193" t="s">
        <v>1279</v>
      </c>
      <c r="AB462" s="179" t="s">
        <v>687</v>
      </c>
      <c r="AC462" s="94"/>
      <c r="AD462" s="95"/>
      <c r="AE462" s="111"/>
      <c r="AF462" s="111"/>
      <c r="AG462" s="111"/>
      <c r="AH462" s="111"/>
      <c r="AI462" s="111"/>
      <c r="AJ462" s="111"/>
      <c r="AK462" s="111"/>
      <c r="AL462" s="111"/>
      <c r="AM462" s="111"/>
      <c r="AN462" s="111"/>
      <c r="AO462" s="111"/>
      <c r="AP462" s="111"/>
      <c r="AQ462" s="111"/>
    </row>
    <row r="463" spans="23:43" ht="15">
      <c r="W463" s="179" t="str">
        <f t="shared" si="30"/>
        <v>Tor</v>
      </c>
      <c r="X463">
        <f t="shared" si="31"/>
        <v>5</v>
      </c>
      <c r="Y463" t="str">
        <f t="shared" si="32"/>
        <v>C5Tor</v>
      </c>
      <c r="Z463" s="193" t="s">
        <v>39</v>
      </c>
      <c r="AA463" s="193" t="s">
        <v>571</v>
      </c>
      <c r="AB463" s="179" t="s">
        <v>687</v>
      </c>
      <c r="AC463" s="94"/>
      <c r="AD463" s="95"/>
      <c r="AE463" s="111"/>
      <c r="AF463" s="111"/>
      <c r="AG463" s="111"/>
      <c r="AH463" s="111"/>
      <c r="AI463" s="111"/>
      <c r="AJ463" s="111"/>
      <c r="AK463" s="111"/>
      <c r="AL463" s="111"/>
      <c r="AM463" s="111"/>
      <c r="AN463" s="111"/>
      <c r="AO463" s="111"/>
      <c r="AP463" s="111"/>
      <c r="AQ463" s="111"/>
    </row>
    <row r="464" spans="23:43" ht="15">
      <c r="W464" s="179" t="str">
        <f t="shared" si="30"/>
        <v>Tor</v>
      </c>
      <c r="X464">
        <f t="shared" si="31"/>
        <v>6</v>
      </c>
      <c r="Y464" t="str">
        <f t="shared" si="32"/>
        <v>C6Tor</v>
      </c>
      <c r="Z464" s="193" t="s">
        <v>39</v>
      </c>
      <c r="AA464" s="193" t="s">
        <v>595</v>
      </c>
      <c r="AB464" s="179" t="s">
        <v>687</v>
      </c>
      <c r="AC464" s="94"/>
      <c r="AD464" s="95"/>
      <c r="AE464" s="111"/>
      <c r="AF464" s="111"/>
      <c r="AG464" s="111"/>
      <c r="AH464" s="111"/>
      <c r="AI464" s="111"/>
      <c r="AJ464" s="111"/>
      <c r="AK464" s="111"/>
      <c r="AL464" s="111"/>
      <c r="AM464" s="111"/>
      <c r="AN464" s="111"/>
      <c r="AO464" s="111"/>
      <c r="AP464" s="111"/>
      <c r="AQ464" s="111"/>
    </row>
    <row r="465" spans="23:43" ht="15">
      <c r="W465" s="179" t="str">
        <f t="shared" si="30"/>
        <v>Tor</v>
      </c>
      <c r="X465">
        <f t="shared" si="31"/>
        <v>7</v>
      </c>
      <c r="Y465" t="str">
        <f t="shared" si="32"/>
        <v>C7Tor</v>
      </c>
      <c r="Z465" s="193" t="s">
        <v>39</v>
      </c>
      <c r="AA465" s="193" t="s">
        <v>619</v>
      </c>
      <c r="AB465" s="179" t="s">
        <v>687</v>
      </c>
      <c r="AC465" s="94"/>
      <c r="AD465" s="95"/>
      <c r="AE465" s="111"/>
      <c r="AF465" s="111"/>
      <c r="AG465" s="111"/>
      <c r="AH465" s="111"/>
      <c r="AI465" s="111"/>
      <c r="AJ465" s="111"/>
      <c r="AK465" s="111"/>
      <c r="AL465" s="111"/>
      <c r="AM465" s="111"/>
      <c r="AN465" s="111"/>
      <c r="AO465" s="111"/>
      <c r="AP465" s="111"/>
      <c r="AQ465" s="111"/>
    </row>
    <row r="466" spans="23:43" ht="15">
      <c r="W466" s="179" t="str">
        <f t="shared" si="30"/>
        <v>Tor</v>
      </c>
      <c r="X466">
        <f t="shared" si="31"/>
        <v>1</v>
      </c>
      <c r="Y466" t="str">
        <f t="shared" si="32"/>
        <v>D1Tor</v>
      </c>
      <c r="Z466" s="193" t="s">
        <v>37</v>
      </c>
      <c r="AA466" s="193" t="s">
        <v>322</v>
      </c>
      <c r="AB466" s="179" t="s">
        <v>687</v>
      </c>
      <c r="AC466" s="94"/>
      <c r="AD466" s="95"/>
      <c r="AE466" s="111"/>
      <c r="AF466" s="111"/>
      <c r="AG466" s="111"/>
      <c r="AH466" s="111"/>
      <c r="AI466" s="111"/>
      <c r="AJ466" s="111"/>
      <c r="AK466" s="111"/>
      <c r="AL466" s="111"/>
      <c r="AM466" s="111"/>
      <c r="AN466" s="111"/>
      <c r="AO466" s="111"/>
      <c r="AP466" s="111"/>
      <c r="AQ466" s="111"/>
    </row>
    <row r="467" spans="23:43" ht="15">
      <c r="W467" s="179" t="str">
        <f t="shared" si="30"/>
        <v>Tor</v>
      </c>
      <c r="X467">
        <f t="shared" si="31"/>
        <v>2</v>
      </c>
      <c r="Y467" t="str">
        <f t="shared" si="32"/>
        <v>D2Tor</v>
      </c>
      <c r="Z467" s="193" t="s">
        <v>37</v>
      </c>
      <c r="AA467" s="193" t="s">
        <v>345</v>
      </c>
      <c r="AB467" s="179" t="s">
        <v>687</v>
      </c>
      <c r="AC467" s="94"/>
      <c r="AD467" s="95"/>
      <c r="AE467" s="111"/>
      <c r="AF467" s="111"/>
      <c r="AG467" s="111"/>
      <c r="AH467" s="111"/>
      <c r="AI467" s="111"/>
      <c r="AJ467" s="111"/>
      <c r="AK467" s="111"/>
      <c r="AL467" s="111"/>
      <c r="AM467" s="111"/>
      <c r="AN467" s="111"/>
      <c r="AO467" s="111"/>
      <c r="AP467" s="111"/>
      <c r="AQ467" s="111"/>
    </row>
    <row r="468" spans="23:43" ht="15">
      <c r="W468" s="179" t="str">
        <f t="shared" si="30"/>
        <v>Tor</v>
      </c>
      <c r="X468">
        <f t="shared" si="31"/>
        <v>3</v>
      </c>
      <c r="Y468" t="str">
        <f t="shared" si="32"/>
        <v>D3Tor</v>
      </c>
      <c r="Z468" s="193" t="s">
        <v>37</v>
      </c>
      <c r="AA468" s="193" t="s">
        <v>1714</v>
      </c>
      <c r="AB468" s="179" t="s">
        <v>687</v>
      </c>
      <c r="AC468" s="94"/>
      <c r="AD468" s="95"/>
      <c r="AE468" s="111"/>
      <c r="AF468" s="111"/>
      <c r="AG468" s="111"/>
      <c r="AH468" s="111"/>
      <c r="AI468" s="111"/>
      <c r="AJ468" s="111"/>
      <c r="AK468" s="111"/>
      <c r="AL468" s="111"/>
      <c r="AM468" s="111"/>
      <c r="AN468" s="111"/>
      <c r="AO468" s="111"/>
      <c r="AP468" s="111"/>
      <c r="AQ468" s="111"/>
    </row>
    <row r="469" spans="23:43" ht="15">
      <c r="W469" s="179" t="str">
        <f t="shared" si="30"/>
        <v>Tor</v>
      </c>
      <c r="X469">
        <f t="shared" si="31"/>
        <v>4</v>
      </c>
      <c r="Y469" t="str">
        <f t="shared" si="32"/>
        <v>D4Tor</v>
      </c>
      <c r="Z469" s="193" t="s">
        <v>37</v>
      </c>
      <c r="AA469" s="193" t="s">
        <v>1988</v>
      </c>
      <c r="AB469" s="179" t="s">
        <v>687</v>
      </c>
      <c r="AC469" s="94"/>
      <c r="AD469" s="95"/>
      <c r="AE469" s="111"/>
      <c r="AF469" s="111"/>
      <c r="AG469" s="111"/>
      <c r="AH469" s="111"/>
      <c r="AI469" s="111"/>
      <c r="AJ469" s="111"/>
      <c r="AK469" s="111"/>
      <c r="AL469" s="111"/>
      <c r="AM469" s="111"/>
      <c r="AN469" s="111"/>
      <c r="AO469" s="111"/>
      <c r="AP469" s="111"/>
      <c r="AQ469" s="111"/>
    </row>
    <row r="470" spans="23:43" ht="15">
      <c r="W470" s="179" t="str">
        <f t="shared" si="30"/>
        <v>Tor</v>
      </c>
      <c r="X470">
        <f t="shared" si="31"/>
        <v>5</v>
      </c>
      <c r="Y470" t="str">
        <f t="shared" si="32"/>
        <v>D5Tor</v>
      </c>
      <c r="Z470" s="193" t="s">
        <v>37</v>
      </c>
      <c r="AA470" s="193" t="s">
        <v>453</v>
      </c>
      <c r="AB470" s="179" t="s">
        <v>687</v>
      </c>
      <c r="AC470" s="94"/>
      <c r="AD470" s="95"/>
      <c r="AE470" s="111"/>
      <c r="AF470" s="111"/>
      <c r="AG470" s="111"/>
      <c r="AH470" s="111"/>
      <c r="AI470" s="111"/>
      <c r="AJ470" s="111"/>
      <c r="AK470" s="111"/>
      <c r="AL470" s="111"/>
      <c r="AM470" s="111"/>
      <c r="AN470" s="111"/>
      <c r="AO470" s="111"/>
      <c r="AP470" s="111"/>
      <c r="AQ470" s="111"/>
    </row>
    <row r="471" spans="23:43" ht="15">
      <c r="W471" s="179" t="str">
        <f t="shared" si="30"/>
        <v>Tor</v>
      </c>
      <c r="X471">
        <f t="shared" si="31"/>
        <v>6</v>
      </c>
      <c r="Y471" t="str">
        <f t="shared" si="32"/>
        <v>D6Tor</v>
      </c>
      <c r="Z471" s="193" t="s">
        <v>37</v>
      </c>
      <c r="AA471" s="193" t="s">
        <v>1709</v>
      </c>
      <c r="AB471" s="179" t="s">
        <v>687</v>
      </c>
      <c r="AC471" s="94"/>
      <c r="AD471" s="95"/>
      <c r="AE471" s="111"/>
      <c r="AF471" s="111"/>
      <c r="AG471" s="111"/>
      <c r="AH471" s="111"/>
      <c r="AI471" s="111"/>
      <c r="AJ471" s="111"/>
      <c r="AK471" s="111"/>
      <c r="AL471" s="111"/>
      <c r="AM471" s="111"/>
      <c r="AN471" s="111"/>
      <c r="AO471" s="111"/>
      <c r="AP471" s="111"/>
      <c r="AQ471" s="111"/>
    </row>
    <row r="472" spans="23:43" ht="15">
      <c r="W472" s="179" t="str">
        <f t="shared" si="30"/>
        <v>Tor</v>
      </c>
      <c r="X472">
        <f t="shared" si="31"/>
        <v>7</v>
      </c>
      <c r="Y472" t="str">
        <f t="shared" si="32"/>
        <v>D7Tor</v>
      </c>
      <c r="Z472" s="193" t="s">
        <v>37</v>
      </c>
      <c r="AA472" s="193" t="s">
        <v>553</v>
      </c>
      <c r="AB472" s="179" t="s">
        <v>687</v>
      </c>
      <c r="AC472" s="94"/>
      <c r="AD472" s="95"/>
      <c r="AE472" s="111"/>
      <c r="AF472" s="111"/>
      <c r="AG472" s="111"/>
      <c r="AH472" s="111"/>
      <c r="AI472" s="111"/>
      <c r="AJ472" s="111"/>
      <c r="AK472" s="111"/>
      <c r="AL472" s="111"/>
      <c r="AM472" s="111"/>
      <c r="AN472" s="111"/>
      <c r="AO472" s="111"/>
      <c r="AP472" s="111"/>
      <c r="AQ472" s="111"/>
    </row>
    <row r="473" spans="23:43" ht="15">
      <c r="W473" s="179" t="str">
        <f t="shared" si="30"/>
        <v>Tor</v>
      </c>
      <c r="X473">
        <f t="shared" si="31"/>
        <v>8</v>
      </c>
      <c r="Y473" t="str">
        <f t="shared" si="32"/>
        <v>D8Tor</v>
      </c>
      <c r="Z473" s="193" t="s">
        <v>37</v>
      </c>
      <c r="AA473" s="193" t="s">
        <v>554</v>
      </c>
      <c r="AB473" s="179" t="s">
        <v>687</v>
      </c>
      <c r="AC473" s="94"/>
      <c r="AD473" s="95"/>
      <c r="AE473" s="111"/>
      <c r="AF473" s="111"/>
      <c r="AG473" s="111"/>
      <c r="AH473" s="111"/>
      <c r="AI473" s="111"/>
      <c r="AJ473" s="111"/>
      <c r="AK473" s="111"/>
      <c r="AL473" s="111"/>
      <c r="AM473" s="111"/>
      <c r="AN473" s="111"/>
      <c r="AO473" s="111"/>
      <c r="AP473" s="111"/>
      <c r="AQ473" s="111"/>
    </row>
    <row r="474" spans="23:43" ht="15">
      <c r="W474" s="179" t="str">
        <f t="shared" si="30"/>
        <v>Tor</v>
      </c>
      <c r="X474">
        <f t="shared" si="31"/>
        <v>9</v>
      </c>
      <c r="Y474" t="str">
        <f t="shared" si="32"/>
        <v>D9Tor</v>
      </c>
      <c r="Z474" s="193" t="s">
        <v>37</v>
      </c>
      <c r="AA474" s="193" t="s">
        <v>1922</v>
      </c>
      <c r="AB474" s="179" t="s">
        <v>687</v>
      </c>
      <c r="AC474" s="94"/>
      <c r="AD474" s="95"/>
      <c r="AE474" s="111"/>
      <c r="AF474" s="111"/>
      <c r="AG474" s="111"/>
      <c r="AH474" s="111"/>
      <c r="AI474" s="111"/>
      <c r="AJ474" s="111"/>
      <c r="AK474" s="111"/>
      <c r="AL474" s="111"/>
      <c r="AM474" s="111"/>
      <c r="AN474" s="111"/>
      <c r="AO474" s="111"/>
      <c r="AP474" s="111"/>
      <c r="AQ474" s="111"/>
    </row>
    <row r="475" spans="23:43" ht="15">
      <c r="W475" s="179" t="str">
        <f t="shared" si="30"/>
        <v>Tor</v>
      </c>
      <c r="X475">
        <f t="shared" si="31"/>
        <v>1</v>
      </c>
      <c r="Y475" t="str">
        <f t="shared" si="32"/>
        <v>P1Tor</v>
      </c>
      <c r="Z475" s="193" t="s">
        <v>35</v>
      </c>
      <c r="AA475" s="193" t="s">
        <v>359</v>
      </c>
      <c r="AB475" s="179" t="s">
        <v>687</v>
      </c>
      <c r="AC475" s="94"/>
      <c r="AD475" s="95"/>
      <c r="AE475" s="111"/>
      <c r="AF475" s="111"/>
      <c r="AG475" s="111"/>
      <c r="AH475" s="111"/>
      <c r="AI475" s="111"/>
      <c r="AJ475" s="111"/>
      <c r="AK475" s="111"/>
      <c r="AL475" s="111"/>
      <c r="AM475" s="111"/>
      <c r="AN475" s="111"/>
      <c r="AO475" s="111"/>
      <c r="AP475" s="111"/>
      <c r="AQ475" s="111"/>
    </row>
    <row r="476" spans="23:43" ht="15">
      <c r="W476" s="179" t="str">
        <f t="shared" si="30"/>
        <v>Tor</v>
      </c>
      <c r="X476">
        <f t="shared" si="31"/>
        <v>2</v>
      </c>
      <c r="Y476" t="str">
        <f t="shared" si="32"/>
        <v>P2Tor</v>
      </c>
      <c r="Z476" s="193" t="s">
        <v>35</v>
      </c>
      <c r="AA476" s="193" t="s">
        <v>1868</v>
      </c>
      <c r="AB476" s="179" t="s">
        <v>687</v>
      </c>
      <c r="AC476" s="94"/>
      <c r="AD476"/>
      <c r="AE476" s="111"/>
      <c r="AF476" s="111"/>
      <c r="AG476" s="111"/>
      <c r="AH476" s="111"/>
      <c r="AI476" s="111"/>
      <c r="AJ476" s="111"/>
      <c r="AK476" s="111"/>
      <c r="AL476" s="111"/>
      <c r="AM476" s="111"/>
      <c r="AN476" s="111"/>
      <c r="AO476" s="111"/>
      <c r="AP476" s="111"/>
      <c r="AQ476" s="111"/>
    </row>
    <row r="477" spans="23:43" ht="15">
      <c r="W477" s="179" t="str">
        <f t="shared" si="30"/>
        <v>Tor</v>
      </c>
      <c r="X477">
        <f t="shared" si="31"/>
        <v>3</v>
      </c>
      <c r="Y477" t="str">
        <f t="shared" si="32"/>
        <v>P3Tor</v>
      </c>
      <c r="Z477" s="193" t="s">
        <v>35</v>
      </c>
      <c r="AA477" s="193" t="s">
        <v>1676</v>
      </c>
      <c r="AB477" s="179" t="s">
        <v>687</v>
      </c>
      <c r="AC477" s="94"/>
      <c r="AD477" s="95"/>
      <c r="AE477" s="111"/>
      <c r="AF477" s="111"/>
      <c r="AG477" s="111"/>
      <c r="AH477" s="111"/>
      <c r="AI477" s="111"/>
      <c r="AJ477" s="111"/>
      <c r="AK477" s="111"/>
      <c r="AL477" s="111"/>
      <c r="AM477" s="111"/>
      <c r="AN477" s="111"/>
      <c r="AO477" s="111"/>
      <c r="AP477" s="111"/>
      <c r="AQ477" s="111"/>
    </row>
    <row r="478" spans="23:43" ht="15">
      <c r="W478" s="179" t="str">
        <f t="shared" si="30"/>
        <v>Udi</v>
      </c>
      <c r="X478">
        <f t="shared" si="31"/>
        <v>1</v>
      </c>
      <c r="Y478" t="str">
        <f t="shared" si="32"/>
        <v>A1Udi</v>
      </c>
      <c r="Z478" s="193" t="s">
        <v>43</v>
      </c>
      <c r="AA478" s="193" t="s">
        <v>1810</v>
      </c>
      <c r="AB478" s="179" t="s">
        <v>684</v>
      </c>
      <c r="AC478" s="94"/>
      <c r="AD478" s="95"/>
      <c r="AE478" s="111"/>
      <c r="AF478" s="111"/>
      <c r="AG478" s="111"/>
      <c r="AH478" s="111"/>
      <c r="AI478" s="111"/>
      <c r="AJ478" s="111"/>
      <c r="AK478" s="111"/>
      <c r="AL478" s="111"/>
      <c r="AM478" s="111"/>
      <c r="AN478" s="111"/>
      <c r="AO478" s="111"/>
      <c r="AP478" s="111"/>
      <c r="AQ478" s="111"/>
    </row>
    <row r="479" spans="23:43" ht="15">
      <c r="W479" s="179" t="str">
        <f t="shared" si="30"/>
        <v>Udi</v>
      </c>
      <c r="X479">
        <f t="shared" si="31"/>
        <v>2</v>
      </c>
      <c r="Y479" t="str">
        <f t="shared" si="32"/>
        <v>A2Udi</v>
      </c>
      <c r="Z479" s="193" t="s">
        <v>43</v>
      </c>
      <c r="AA479" s="193" t="s">
        <v>368</v>
      </c>
      <c r="AB479" s="179" t="s">
        <v>684</v>
      </c>
      <c r="AC479" s="94"/>
      <c r="AD479" s="95"/>
      <c r="AE479" s="111"/>
      <c r="AF479" s="111"/>
      <c r="AG479" s="111"/>
      <c r="AH479" s="111"/>
      <c r="AI479" s="111"/>
      <c r="AJ479" s="111"/>
      <c r="AK479" s="111"/>
      <c r="AL479" s="111"/>
      <c r="AM479" s="111"/>
      <c r="AN479" s="111"/>
      <c r="AO479" s="111"/>
      <c r="AP479" s="111"/>
      <c r="AQ479" s="111"/>
    </row>
    <row r="480" spans="23:43" ht="15">
      <c r="W480" s="179" t="str">
        <f t="shared" si="30"/>
        <v>Udi</v>
      </c>
      <c r="X480">
        <f t="shared" si="31"/>
        <v>3</v>
      </c>
      <c r="Y480" t="str">
        <f t="shared" si="32"/>
        <v>A3Udi</v>
      </c>
      <c r="Z480" s="193" t="s">
        <v>43</v>
      </c>
      <c r="AA480" s="193" t="s">
        <v>1779</v>
      </c>
      <c r="AB480" s="179" t="s">
        <v>684</v>
      </c>
      <c r="AC480" s="94"/>
      <c r="AD480" s="95"/>
      <c r="AE480" s="111"/>
      <c r="AF480" s="111"/>
      <c r="AG480" s="111"/>
      <c r="AH480" s="111"/>
      <c r="AI480" s="111"/>
      <c r="AJ480" s="111"/>
      <c r="AK480" s="111"/>
      <c r="AL480" s="111"/>
      <c r="AM480" s="111"/>
      <c r="AN480" s="111"/>
      <c r="AO480" s="111"/>
      <c r="AP480" s="111"/>
      <c r="AQ480" s="111"/>
    </row>
    <row r="481" spans="23:43" ht="15">
      <c r="W481" s="179" t="str">
        <f t="shared" si="30"/>
        <v>Udi</v>
      </c>
      <c r="X481">
        <f t="shared" si="31"/>
        <v>4</v>
      </c>
      <c r="Y481" t="str">
        <f t="shared" si="32"/>
        <v>A4Udi</v>
      </c>
      <c r="Z481" s="193" t="s">
        <v>43</v>
      </c>
      <c r="AA481" s="193" t="s">
        <v>1851</v>
      </c>
      <c r="AB481" s="179" t="s">
        <v>684</v>
      </c>
      <c r="AC481" s="94"/>
      <c r="AD481" s="95"/>
      <c r="AE481" s="111"/>
      <c r="AF481" s="111"/>
      <c r="AG481" s="111"/>
      <c r="AH481" s="111"/>
      <c r="AI481" s="111"/>
      <c r="AJ481" s="111"/>
      <c r="AK481" s="111"/>
      <c r="AL481" s="111"/>
      <c r="AM481" s="111"/>
      <c r="AN481" s="111"/>
      <c r="AO481" s="111"/>
      <c r="AP481" s="111"/>
      <c r="AQ481" s="111"/>
    </row>
    <row r="482" spans="23:43" ht="15">
      <c r="W482" s="179" t="str">
        <f t="shared" si="30"/>
        <v>Udi</v>
      </c>
      <c r="X482">
        <f t="shared" si="31"/>
        <v>5</v>
      </c>
      <c r="Y482" t="str">
        <f t="shared" si="32"/>
        <v>A5Udi</v>
      </c>
      <c r="Z482" s="193" t="s">
        <v>43</v>
      </c>
      <c r="AA482" s="193" t="s">
        <v>438</v>
      </c>
      <c r="AB482" s="179" t="s">
        <v>684</v>
      </c>
      <c r="AC482" s="94"/>
      <c r="AD482" s="95"/>
      <c r="AE482" s="111"/>
      <c r="AF482" s="111"/>
      <c r="AG482" s="111"/>
      <c r="AH482" s="111"/>
      <c r="AI482" s="111"/>
      <c r="AJ482" s="111"/>
      <c r="AK482" s="111"/>
      <c r="AL482" s="111"/>
      <c r="AM482" s="111"/>
      <c r="AN482" s="111"/>
      <c r="AO482" s="111"/>
      <c r="AP482" s="111"/>
      <c r="AQ482" s="111"/>
    </row>
    <row r="483" spans="23:43" ht="15">
      <c r="W483" s="179" t="str">
        <f t="shared" si="30"/>
        <v>Udi</v>
      </c>
      <c r="X483">
        <f t="shared" si="31"/>
        <v>6</v>
      </c>
      <c r="Y483" t="str">
        <f t="shared" si="32"/>
        <v>A6Udi</v>
      </c>
      <c r="Z483" s="193" t="s">
        <v>43</v>
      </c>
      <c r="AA483" s="193" t="s">
        <v>445</v>
      </c>
      <c r="AB483" s="179" t="s">
        <v>684</v>
      </c>
      <c r="AC483" s="94"/>
      <c r="AD483" s="95"/>
      <c r="AE483" s="111"/>
      <c r="AF483" s="111"/>
      <c r="AG483" s="111"/>
      <c r="AH483" s="111"/>
      <c r="AI483" s="111"/>
      <c r="AJ483" s="111"/>
      <c r="AK483" s="111"/>
      <c r="AL483" s="111"/>
      <c r="AM483" s="111"/>
      <c r="AN483" s="111"/>
      <c r="AO483" s="111"/>
      <c r="AP483" s="111"/>
      <c r="AQ483" s="111"/>
    </row>
    <row r="484" spans="23:43" ht="15">
      <c r="W484" s="179" t="str">
        <f t="shared" si="30"/>
        <v>Udi</v>
      </c>
      <c r="X484">
        <f t="shared" si="31"/>
        <v>7</v>
      </c>
      <c r="Y484" t="str">
        <f t="shared" si="32"/>
        <v>A7Udi</v>
      </c>
      <c r="Z484" s="193" t="s">
        <v>43</v>
      </c>
      <c r="AA484" s="193" t="s">
        <v>484</v>
      </c>
      <c r="AB484" s="179" t="s">
        <v>684</v>
      </c>
      <c r="AC484" s="94"/>
      <c r="AD484" s="95"/>
      <c r="AE484" s="111"/>
      <c r="AF484" s="111"/>
      <c r="AG484" s="111"/>
      <c r="AH484" s="111"/>
      <c r="AI484" s="111"/>
      <c r="AJ484" s="111"/>
      <c r="AK484" s="111"/>
      <c r="AL484" s="111"/>
      <c r="AM484" s="111"/>
      <c r="AN484" s="111"/>
      <c r="AO484" s="111"/>
      <c r="AP484" s="111"/>
      <c r="AQ484" s="111"/>
    </row>
    <row r="485" spans="23:43" ht="15">
      <c r="W485" s="179" t="str">
        <f t="shared" si="30"/>
        <v>Udi</v>
      </c>
      <c r="X485">
        <f t="shared" si="31"/>
        <v>1</v>
      </c>
      <c r="Y485" t="str">
        <f t="shared" si="32"/>
        <v>C1Udi</v>
      </c>
      <c r="Z485" s="193" t="s">
        <v>39</v>
      </c>
      <c r="AA485" s="193" t="s">
        <v>318</v>
      </c>
      <c r="AB485" s="179" t="s">
        <v>684</v>
      </c>
      <c r="AC485" s="94"/>
      <c r="AD485" s="95"/>
      <c r="AE485" s="111"/>
      <c r="AF485" s="111"/>
      <c r="AG485" s="111"/>
      <c r="AH485" s="111"/>
      <c r="AI485" s="111"/>
      <c r="AJ485" s="111"/>
      <c r="AK485" s="111"/>
      <c r="AL485" s="111"/>
      <c r="AM485" s="111"/>
      <c r="AN485" s="111"/>
      <c r="AO485" s="111"/>
      <c r="AP485" s="111"/>
      <c r="AQ485" s="111"/>
    </row>
    <row r="486" spans="23:43" ht="15">
      <c r="W486" s="179" t="str">
        <f t="shared" si="30"/>
        <v>Udi</v>
      </c>
      <c r="X486">
        <f t="shared" si="31"/>
        <v>2</v>
      </c>
      <c r="Y486" t="str">
        <f t="shared" si="32"/>
        <v>C2Udi</v>
      </c>
      <c r="Z486" s="193" t="s">
        <v>39</v>
      </c>
      <c r="AA486" s="193" t="s">
        <v>1763</v>
      </c>
      <c r="AB486" s="179" t="s">
        <v>684</v>
      </c>
      <c r="AC486" s="94"/>
      <c r="AD486" s="95"/>
      <c r="AE486" s="111"/>
      <c r="AF486" s="111"/>
      <c r="AG486" s="111"/>
      <c r="AH486" s="111"/>
      <c r="AI486" s="111"/>
      <c r="AJ486" s="111"/>
      <c r="AK486" s="111"/>
      <c r="AL486" s="111"/>
      <c r="AM486" s="111"/>
      <c r="AN486" s="111"/>
      <c r="AO486" s="111"/>
      <c r="AP486" s="111"/>
      <c r="AQ486" s="111"/>
    </row>
    <row r="487" spans="23:43" ht="15">
      <c r="W487" s="179" t="str">
        <f t="shared" si="30"/>
        <v>Udi</v>
      </c>
      <c r="X487">
        <f t="shared" si="31"/>
        <v>3</v>
      </c>
      <c r="Y487" t="str">
        <f t="shared" si="32"/>
        <v>C3Udi</v>
      </c>
      <c r="Z487" s="193" t="s">
        <v>39</v>
      </c>
      <c r="AA487" s="193" t="s">
        <v>1940</v>
      </c>
      <c r="AB487" s="179" t="s">
        <v>684</v>
      </c>
      <c r="AC487" s="94"/>
      <c r="AD487" s="95"/>
      <c r="AE487" s="111"/>
      <c r="AF487" s="111"/>
      <c r="AG487" s="111"/>
      <c r="AH487" s="111"/>
      <c r="AI487" s="111"/>
      <c r="AJ487" s="111"/>
      <c r="AK487" s="111"/>
      <c r="AL487" s="111"/>
      <c r="AM487" s="111"/>
      <c r="AN487" s="111"/>
      <c r="AO487" s="111"/>
      <c r="AP487" s="111"/>
      <c r="AQ487" s="111"/>
    </row>
    <row r="488" spans="23:43" ht="15">
      <c r="W488" s="179" t="str">
        <f t="shared" si="30"/>
        <v>Udi</v>
      </c>
      <c r="X488">
        <f t="shared" si="31"/>
        <v>4</v>
      </c>
      <c r="Y488" t="str">
        <f t="shared" si="32"/>
        <v>C4Udi</v>
      </c>
      <c r="Z488" s="193" t="s">
        <v>39</v>
      </c>
      <c r="AA488" s="193" t="s">
        <v>421</v>
      </c>
      <c r="AB488" s="179" t="s">
        <v>684</v>
      </c>
      <c r="AC488" s="94"/>
      <c r="AD488" s="95"/>
      <c r="AE488" s="111"/>
      <c r="AF488" s="111"/>
      <c r="AG488" s="111"/>
      <c r="AH488" s="111"/>
      <c r="AI488" s="111"/>
      <c r="AJ488" s="111"/>
      <c r="AK488" s="111"/>
      <c r="AL488" s="111"/>
      <c r="AM488" s="111"/>
      <c r="AN488" s="111"/>
      <c r="AO488" s="111"/>
      <c r="AP488" s="111"/>
      <c r="AQ488" s="111"/>
    </row>
    <row r="489" spans="23:43" ht="15">
      <c r="W489" s="179" t="str">
        <f t="shared" si="30"/>
        <v>Udi</v>
      </c>
      <c r="X489">
        <f t="shared" si="31"/>
        <v>5</v>
      </c>
      <c r="Y489" t="str">
        <f t="shared" si="32"/>
        <v>C5Udi</v>
      </c>
      <c r="Z489" s="193" t="s">
        <v>39</v>
      </c>
      <c r="AA489" s="193" t="s">
        <v>459</v>
      </c>
      <c r="AB489" s="179" t="s">
        <v>684</v>
      </c>
      <c r="AC489" s="94"/>
      <c r="AD489" s="95"/>
      <c r="AE489" s="111"/>
      <c r="AF489" s="111"/>
      <c r="AG489" s="111"/>
      <c r="AH489" s="111"/>
      <c r="AI489" s="111"/>
      <c r="AJ489" s="111"/>
      <c r="AK489" s="111"/>
      <c r="AL489" s="111"/>
      <c r="AM489" s="111"/>
      <c r="AN489" s="111"/>
      <c r="AO489" s="111"/>
      <c r="AP489" s="111"/>
      <c r="AQ489" s="111"/>
    </row>
    <row r="490" spans="23:43" ht="15">
      <c r="W490" s="179" t="str">
        <f t="shared" si="30"/>
        <v>Udi</v>
      </c>
      <c r="X490">
        <f t="shared" si="31"/>
        <v>6</v>
      </c>
      <c r="Y490" t="str">
        <f t="shared" si="32"/>
        <v>C6Udi</v>
      </c>
      <c r="Z490" s="193" t="s">
        <v>39</v>
      </c>
      <c r="AA490" s="193" t="s">
        <v>482</v>
      </c>
      <c r="AB490" s="179" t="s">
        <v>684</v>
      </c>
      <c r="AC490" s="94"/>
      <c r="AD490" s="95"/>
      <c r="AE490" s="111"/>
      <c r="AF490" s="111"/>
      <c r="AG490" s="111"/>
      <c r="AH490" s="111"/>
      <c r="AI490" s="111"/>
      <c r="AJ490" s="111"/>
      <c r="AK490" s="111"/>
      <c r="AL490" s="111"/>
      <c r="AM490" s="111"/>
      <c r="AN490" s="111"/>
      <c r="AO490" s="111"/>
      <c r="AP490" s="111"/>
      <c r="AQ490" s="111"/>
    </row>
    <row r="491" spans="23:43" ht="15">
      <c r="W491" s="179" t="str">
        <f t="shared" si="30"/>
        <v>Udi</v>
      </c>
      <c r="X491">
        <f t="shared" si="31"/>
        <v>7</v>
      </c>
      <c r="Y491" t="str">
        <f t="shared" si="32"/>
        <v>C7Udi</v>
      </c>
      <c r="Z491" s="193" t="s">
        <v>39</v>
      </c>
      <c r="AA491" s="193" t="s">
        <v>1742</v>
      </c>
      <c r="AB491" s="179" t="s">
        <v>684</v>
      </c>
      <c r="AC491" s="94"/>
      <c r="AD491" s="95"/>
      <c r="AE491" s="111"/>
      <c r="AF491" s="111"/>
      <c r="AG491" s="111"/>
      <c r="AH491" s="111"/>
      <c r="AI491" s="111"/>
      <c r="AJ491" s="111"/>
      <c r="AK491" s="111"/>
      <c r="AL491" s="111"/>
      <c r="AM491" s="111"/>
      <c r="AN491" s="111"/>
      <c r="AO491" s="111"/>
      <c r="AP491" s="111"/>
      <c r="AQ491" s="111"/>
    </row>
    <row r="492" spans="23:43" ht="15">
      <c r="W492" s="179" t="str">
        <f t="shared" si="30"/>
        <v>Udi</v>
      </c>
      <c r="X492">
        <f t="shared" si="31"/>
        <v>8</v>
      </c>
      <c r="Y492" t="str">
        <f t="shared" si="32"/>
        <v>C8Udi</v>
      </c>
      <c r="Z492" s="193" t="s">
        <v>39</v>
      </c>
      <c r="AA492" s="193" t="s">
        <v>504</v>
      </c>
      <c r="AB492" s="179" t="s">
        <v>684</v>
      </c>
      <c r="AC492" s="94"/>
      <c r="AD492" s="95"/>
      <c r="AE492" s="111"/>
      <c r="AF492" s="111"/>
      <c r="AG492" s="111"/>
      <c r="AH492" s="111"/>
      <c r="AI492" s="111"/>
      <c r="AJ492" s="111"/>
      <c r="AK492" s="111"/>
      <c r="AL492" s="111"/>
      <c r="AM492" s="111"/>
      <c r="AN492" s="111"/>
      <c r="AO492" s="111"/>
      <c r="AP492" s="111"/>
      <c r="AQ492" s="111"/>
    </row>
    <row r="493" spans="23:43" ht="15">
      <c r="W493" s="179" t="str">
        <f t="shared" si="30"/>
        <v>Udi</v>
      </c>
      <c r="X493">
        <f t="shared" si="31"/>
        <v>1</v>
      </c>
      <c r="Y493" t="str">
        <f t="shared" si="32"/>
        <v>D1Udi</v>
      </c>
      <c r="Z493" s="193" t="s">
        <v>37</v>
      </c>
      <c r="AA493" s="193" t="s">
        <v>304</v>
      </c>
      <c r="AB493" s="179" t="s">
        <v>684</v>
      </c>
      <c r="AC493" s="94"/>
      <c r="AD493" s="95"/>
      <c r="AE493" s="111"/>
      <c r="AF493" s="111"/>
      <c r="AG493" s="111"/>
      <c r="AH493" s="111"/>
      <c r="AI493" s="111"/>
      <c r="AJ493" s="111"/>
      <c r="AK493" s="111"/>
      <c r="AL493" s="111"/>
      <c r="AM493" s="111"/>
      <c r="AN493" s="111"/>
      <c r="AO493" s="111"/>
      <c r="AP493" s="111"/>
      <c r="AQ493" s="111"/>
    </row>
    <row r="494" spans="23:43" ht="15">
      <c r="W494" s="179" t="str">
        <f t="shared" si="30"/>
        <v>Udi</v>
      </c>
      <c r="X494">
        <f t="shared" si="31"/>
        <v>2</v>
      </c>
      <c r="Y494" t="str">
        <f t="shared" si="32"/>
        <v>D2Udi</v>
      </c>
      <c r="Z494" s="193" t="s">
        <v>37</v>
      </c>
      <c r="AA494" s="193" t="s">
        <v>321</v>
      </c>
      <c r="AB494" s="179" t="s">
        <v>684</v>
      </c>
      <c r="AC494" s="94"/>
      <c r="AD494" s="95"/>
      <c r="AE494" s="111"/>
      <c r="AF494" s="111"/>
      <c r="AG494" s="111"/>
      <c r="AH494" s="111"/>
      <c r="AI494" s="111"/>
      <c r="AJ494" s="111"/>
      <c r="AK494" s="111"/>
      <c r="AL494" s="111"/>
      <c r="AM494" s="111"/>
      <c r="AN494" s="111"/>
      <c r="AO494" s="111"/>
      <c r="AP494" s="111"/>
      <c r="AQ494" s="111"/>
    </row>
    <row r="495" spans="23:43" ht="15">
      <c r="W495" s="179" t="str">
        <f t="shared" si="30"/>
        <v>Udi</v>
      </c>
      <c r="X495">
        <f t="shared" si="31"/>
        <v>3</v>
      </c>
      <c r="Y495" t="str">
        <f t="shared" si="32"/>
        <v>D3Udi</v>
      </c>
      <c r="Z495" s="193" t="s">
        <v>37</v>
      </c>
      <c r="AA495" s="193" t="s">
        <v>1719</v>
      </c>
      <c r="AB495" s="179" t="s">
        <v>684</v>
      </c>
      <c r="AC495" s="94"/>
      <c r="AD495" s="95"/>
      <c r="AE495" s="111"/>
      <c r="AF495" s="111"/>
      <c r="AG495" s="111"/>
      <c r="AH495" s="111"/>
      <c r="AI495" s="111"/>
      <c r="AJ495" s="111"/>
      <c r="AK495" s="111"/>
      <c r="AL495" s="111"/>
      <c r="AM495" s="111"/>
      <c r="AN495" s="111"/>
      <c r="AO495" s="111"/>
      <c r="AP495" s="111"/>
      <c r="AQ495" s="111"/>
    </row>
    <row r="496" spans="23:43" ht="15">
      <c r="W496" s="179" t="str">
        <f t="shared" si="30"/>
        <v>Udi</v>
      </c>
      <c r="X496">
        <f t="shared" si="31"/>
        <v>4</v>
      </c>
      <c r="Y496" t="str">
        <f t="shared" si="32"/>
        <v>D4Udi</v>
      </c>
      <c r="Z496" s="193" t="s">
        <v>37</v>
      </c>
      <c r="AA496" s="193" t="s">
        <v>449</v>
      </c>
      <c r="AB496" s="179" t="s">
        <v>684</v>
      </c>
      <c r="AC496" s="94"/>
      <c r="AD496" s="95"/>
      <c r="AE496" s="111"/>
      <c r="AF496" s="111"/>
      <c r="AG496" s="111"/>
      <c r="AH496" s="111"/>
      <c r="AI496" s="111"/>
      <c r="AJ496" s="111"/>
      <c r="AK496" s="111"/>
      <c r="AL496" s="111"/>
      <c r="AM496" s="111"/>
      <c r="AN496" s="111"/>
      <c r="AO496" s="111"/>
      <c r="AP496" s="111"/>
      <c r="AQ496" s="111"/>
    </row>
    <row r="497" spans="23:43" ht="15">
      <c r="W497" s="179" t="str">
        <f t="shared" si="30"/>
        <v>Udi</v>
      </c>
      <c r="X497">
        <f t="shared" si="31"/>
        <v>5</v>
      </c>
      <c r="Y497" t="str">
        <f t="shared" si="32"/>
        <v>D5Udi</v>
      </c>
      <c r="Z497" s="193" t="s">
        <v>37</v>
      </c>
      <c r="AA497" s="193" t="s">
        <v>1703</v>
      </c>
      <c r="AB497" s="179" t="s">
        <v>684</v>
      </c>
      <c r="AC497" s="94"/>
      <c r="AD497" s="95"/>
      <c r="AE497" s="111"/>
      <c r="AF497" s="111"/>
      <c r="AG497" s="111"/>
      <c r="AH497" s="111"/>
      <c r="AI497" s="111"/>
      <c r="AJ497" s="111"/>
      <c r="AK497" s="111"/>
      <c r="AL497" s="111"/>
      <c r="AM497" s="111"/>
      <c r="AN497" s="111"/>
      <c r="AO497" s="111"/>
      <c r="AP497" s="111"/>
      <c r="AQ497" s="111"/>
    </row>
    <row r="498" spans="23:43" ht="15">
      <c r="W498" s="179" t="str">
        <f t="shared" si="30"/>
        <v>Udi</v>
      </c>
      <c r="X498">
        <f t="shared" si="31"/>
        <v>6</v>
      </c>
      <c r="Y498" t="str">
        <f t="shared" si="32"/>
        <v>D6Udi</v>
      </c>
      <c r="Z498" s="193" t="s">
        <v>37</v>
      </c>
      <c r="AA498" s="193" t="s">
        <v>1942</v>
      </c>
      <c r="AB498" s="179" t="s">
        <v>684</v>
      </c>
      <c r="AC498" s="94"/>
      <c r="AD498" s="95"/>
      <c r="AE498" s="111"/>
      <c r="AF498" s="111"/>
      <c r="AG498" s="111"/>
      <c r="AH498" s="111"/>
      <c r="AI498" s="111"/>
      <c r="AJ498" s="111"/>
      <c r="AK498" s="111"/>
      <c r="AL498" s="111"/>
      <c r="AM498" s="111"/>
      <c r="AN498" s="111"/>
      <c r="AO498" s="111"/>
      <c r="AP498" s="111"/>
      <c r="AQ498" s="111"/>
    </row>
    <row r="499" spans="23:43" ht="15">
      <c r="W499" s="179" t="str">
        <f t="shared" si="30"/>
        <v>Udi</v>
      </c>
      <c r="X499">
        <f t="shared" si="31"/>
        <v>7</v>
      </c>
      <c r="Y499" t="str">
        <f t="shared" si="32"/>
        <v>D7Udi</v>
      </c>
      <c r="Z499" s="193" t="s">
        <v>37</v>
      </c>
      <c r="AA499" s="193" t="s">
        <v>591</v>
      </c>
      <c r="AB499" s="179" t="s">
        <v>684</v>
      </c>
      <c r="AC499" s="94"/>
      <c r="AD499" s="95"/>
      <c r="AE499" s="111"/>
      <c r="AF499" s="111"/>
      <c r="AG499" s="111"/>
      <c r="AH499" s="111"/>
      <c r="AI499" s="111"/>
      <c r="AJ499" s="111"/>
      <c r="AK499" s="111"/>
      <c r="AL499" s="111"/>
      <c r="AM499" s="111"/>
      <c r="AN499" s="111"/>
      <c r="AO499" s="111"/>
      <c r="AP499" s="111"/>
      <c r="AQ499" s="111"/>
    </row>
    <row r="500" spans="23:43" ht="15">
      <c r="W500" s="179" t="str">
        <f t="shared" si="30"/>
        <v>Udi</v>
      </c>
      <c r="X500">
        <f t="shared" si="31"/>
        <v>8</v>
      </c>
      <c r="Y500" t="str">
        <f t="shared" si="32"/>
        <v>D8Udi</v>
      </c>
      <c r="Z500" s="193" t="s">
        <v>37</v>
      </c>
      <c r="AA500" s="193" t="s">
        <v>1957</v>
      </c>
      <c r="AB500" s="179" t="s">
        <v>684</v>
      </c>
      <c r="AC500" s="94"/>
      <c r="AD500" s="95"/>
      <c r="AE500" s="111"/>
      <c r="AF500" s="111"/>
      <c r="AG500" s="111"/>
      <c r="AH500" s="111"/>
      <c r="AI500" s="111"/>
      <c r="AJ500" s="111"/>
      <c r="AK500" s="111"/>
      <c r="AL500" s="111"/>
      <c r="AM500" s="111"/>
      <c r="AN500" s="111"/>
      <c r="AO500" s="111"/>
      <c r="AP500" s="111"/>
      <c r="AQ500" s="111"/>
    </row>
    <row r="501" spans="23:43" ht="15">
      <c r="W501" s="179" t="str">
        <f t="shared" si="30"/>
        <v>Udi</v>
      </c>
      <c r="X501">
        <f t="shared" si="31"/>
        <v>9</v>
      </c>
      <c r="Y501" t="str">
        <f t="shared" si="32"/>
        <v>D9Udi</v>
      </c>
      <c r="Z501" s="193" t="s">
        <v>37</v>
      </c>
      <c r="AA501" s="193" t="s">
        <v>618</v>
      </c>
      <c r="AB501" s="179" t="s">
        <v>684</v>
      </c>
      <c r="AC501" s="94"/>
      <c r="AD501" s="95"/>
      <c r="AE501" s="111"/>
      <c r="AF501" s="111"/>
      <c r="AG501" s="111"/>
      <c r="AH501" s="111"/>
      <c r="AI501" s="111"/>
      <c r="AJ501" s="111"/>
      <c r="AK501" s="111"/>
      <c r="AL501" s="111"/>
      <c r="AM501" s="111"/>
      <c r="AN501" s="111"/>
      <c r="AO501" s="111"/>
      <c r="AP501" s="111"/>
      <c r="AQ501" s="111"/>
    </row>
    <row r="502" spans="23:43" ht="15">
      <c r="W502" s="179" t="str">
        <f t="shared" si="30"/>
        <v>Udi</v>
      </c>
      <c r="X502">
        <f t="shared" si="31"/>
        <v>1</v>
      </c>
      <c r="Y502" t="str">
        <f t="shared" si="32"/>
        <v>P1Udi</v>
      </c>
      <c r="Z502" s="193" t="s">
        <v>35</v>
      </c>
      <c r="AA502" s="193" t="s">
        <v>314</v>
      </c>
      <c r="AB502" s="179" t="s">
        <v>684</v>
      </c>
      <c r="AC502" s="94"/>
      <c r="AD502" s="95"/>
      <c r="AE502" s="111"/>
      <c r="AF502" s="111"/>
      <c r="AG502" s="111"/>
      <c r="AH502" s="111"/>
      <c r="AI502" s="111"/>
      <c r="AJ502" s="111"/>
      <c r="AK502" s="111"/>
      <c r="AL502" s="111"/>
      <c r="AM502" s="111"/>
      <c r="AN502" s="111"/>
      <c r="AO502" s="111"/>
      <c r="AP502" s="111"/>
      <c r="AQ502" s="111"/>
    </row>
    <row r="503" spans="23:43" ht="15">
      <c r="W503" s="179" t="str">
        <f t="shared" si="30"/>
        <v>Udi</v>
      </c>
      <c r="X503">
        <f t="shared" si="31"/>
        <v>2</v>
      </c>
      <c r="Y503" t="str">
        <f t="shared" si="32"/>
        <v>P2Udi</v>
      </c>
      <c r="Z503" s="193" t="s">
        <v>35</v>
      </c>
      <c r="AA503" s="193" t="s">
        <v>420</v>
      </c>
      <c r="AB503" s="179" t="s">
        <v>684</v>
      </c>
      <c r="AC503" s="94"/>
      <c r="AD503" s="95"/>
      <c r="AE503" s="111"/>
      <c r="AF503" s="111"/>
      <c r="AG503" s="111"/>
      <c r="AH503" s="111"/>
      <c r="AI503" s="111"/>
      <c r="AJ503" s="111"/>
      <c r="AK503" s="111"/>
      <c r="AL503" s="111"/>
      <c r="AM503" s="111"/>
      <c r="AN503" s="111"/>
      <c r="AO503" s="111"/>
      <c r="AP503" s="111"/>
      <c r="AQ503" s="111"/>
    </row>
    <row r="504" spans="23:43" ht="15">
      <c r="W504" s="179" t="str">
        <f t="shared" si="30"/>
        <v>Ver</v>
      </c>
      <c r="X504">
        <f t="shared" si="31"/>
        <v>1</v>
      </c>
      <c r="Y504" t="str">
        <f t="shared" si="32"/>
        <v>A1Ver</v>
      </c>
      <c r="Z504" s="193" t="s">
        <v>43</v>
      </c>
      <c r="AA504" s="193" t="s">
        <v>1785</v>
      </c>
      <c r="AB504" s="179" t="s">
        <v>1674</v>
      </c>
      <c r="AC504" s="94"/>
      <c r="AD504" s="95"/>
      <c r="AE504" s="111"/>
      <c r="AF504" s="111"/>
      <c r="AG504" s="111"/>
      <c r="AH504" s="111"/>
      <c r="AI504" s="111"/>
      <c r="AJ504" s="111"/>
      <c r="AK504" s="111"/>
      <c r="AL504" s="111"/>
      <c r="AM504" s="111"/>
      <c r="AN504" s="111"/>
      <c r="AO504" s="111"/>
      <c r="AP504" s="111"/>
      <c r="AQ504" s="111"/>
    </row>
    <row r="505" spans="23:43" ht="15">
      <c r="W505" s="179" t="str">
        <f t="shared" si="30"/>
        <v>Ver</v>
      </c>
      <c r="X505">
        <f t="shared" si="31"/>
        <v>2</v>
      </c>
      <c r="Y505" t="str">
        <f t="shared" si="32"/>
        <v>A2Ver</v>
      </c>
      <c r="Z505" s="193" t="s">
        <v>43</v>
      </c>
      <c r="AA505" s="193" t="s">
        <v>1809</v>
      </c>
      <c r="AB505" s="179" t="s">
        <v>1674</v>
      </c>
      <c r="AC505" s="94"/>
      <c r="AD505" s="95"/>
      <c r="AE505" s="111"/>
      <c r="AF505" s="111"/>
      <c r="AG505" s="111"/>
      <c r="AH505" s="111"/>
      <c r="AI505" s="111"/>
      <c r="AJ505" s="111"/>
      <c r="AK505" s="111"/>
      <c r="AL505" s="111"/>
      <c r="AM505" s="111"/>
      <c r="AN505" s="111"/>
      <c r="AO505" s="111"/>
      <c r="AP505" s="111"/>
      <c r="AQ505" s="111"/>
    </row>
    <row r="506" spans="23:43" ht="15">
      <c r="W506" s="179" t="str">
        <f t="shared" si="30"/>
        <v>Ver</v>
      </c>
      <c r="X506">
        <f t="shared" si="31"/>
        <v>3</v>
      </c>
      <c r="Y506" t="str">
        <f t="shared" si="32"/>
        <v>A3Ver</v>
      </c>
      <c r="Z506" s="193" t="s">
        <v>43</v>
      </c>
      <c r="AA506" s="193" t="s">
        <v>1791</v>
      </c>
      <c r="AB506" s="179" t="s">
        <v>1674</v>
      </c>
      <c r="AC506" s="94"/>
      <c r="AD506" s="95"/>
      <c r="AE506" s="111"/>
      <c r="AF506" s="111"/>
      <c r="AG506" s="111"/>
      <c r="AH506" s="111"/>
      <c r="AI506" s="111"/>
      <c r="AJ506" s="111"/>
      <c r="AK506" s="111"/>
      <c r="AL506" s="111"/>
      <c r="AM506" s="111"/>
      <c r="AN506" s="111"/>
      <c r="AO506" s="111"/>
      <c r="AP506" s="111"/>
      <c r="AQ506" s="111"/>
    </row>
    <row r="507" spans="23:43" ht="15">
      <c r="W507" s="179" t="str">
        <f t="shared" si="30"/>
        <v>Ver</v>
      </c>
      <c r="X507">
        <f t="shared" si="31"/>
        <v>4</v>
      </c>
      <c r="Y507" t="str">
        <f t="shared" si="32"/>
        <v>A4Ver</v>
      </c>
      <c r="Z507" s="193" t="s">
        <v>43</v>
      </c>
      <c r="AA507" s="193" t="s">
        <v>1986</v>
      </c>
      <c r="AB507" s="179" t="s">
        <v>1674</v>
      </c>
      <c r="AC507" s="94"/>
      <c r="AD507" s="95"/>
      <c r="AE507" s="111"/>
      <c r="AF507" s="111"/>
      <c r="AG507" s="111"/>
      <c r="AH507" s="111"/>
      <c r="AI507" s="111"/>
      <c r="AJ507" s="111"/>
      <c r="AK507" s="111"/>
      <c r="AL507" s="111"/>
      <c r="AM507" s="111"/>
      <c r="AN507" s="111"/>
      <c r="AO507" s="111"/>
      <c r="AP507" s="111"/>
      <c r="AQ507" s="111"/>
    </row>
    <row r="508" spans="23:43" ht="15">
      <c r="W508" s="179" t="str">
        <f t="shared" si="30"/>
        <v>Ver</v>
      </c>
      <c r="X508">
        <f t="shared" si="31"/>
        <v>5</v>
      </c>
      <c r="Y508" t="str">
        <f t="shared" si="32"/>
        <v>A5Ver</v>
      </c>
      <c r="Z508" s="193" t="s">
        <v>43</v>
      </c>
      <c r="AA508" s="193" t="s">
        <v>1780</v>
      </c>
      <c r="AB508" s="179" t="s">
        <v>1674</v>
      </c>
      <c r="AC508" s="94"/>
      <c r="AD508" s="95"/>
      <c r="AE508" s="111"/>
      <c r="AF508" s="111"/>
      <c r="AG508" s="111"/>
      <c r="AH508" s="111"/>
      <c r="AI508" s="111"/>
      <c r="AJ508" s="111"/>
      <c r="AK508" s="111"/>
      <c r="AL508" s="111"/>
      <c r="AM508" s="111"/>
      <c r="AN508" s="111"/>
      <c r="AO508" s="111"/>
      <c r="AP508" s="111"/>
      <c r="AQ508" s="111"/>
    </row>
    <row r="509" spans="23:43" ht="15">
      <c r="W509" s="179" t="str">
        <f t="shared" si="30"/>
        <v>Ver</v>
      </c>
      <c r="X509">
        <f t="shared" si="31"/>
        <v>6</v>
      </c>
      <c r="Y509" t="str">
        <f t="shared" si="32"/>
        <v>A6Ver</v>
      </c>
      <c r="Z509" s="193" t="s">
        <v>43</v>
      </c>
      <c r="AA509" s="193" t="s">
        <v>1793</v>
      </c>
      <c r="AB509" s="179" t="s">
        <v>1674</v>
      </c>
      <c r="AC509" s="94"/>
      <c r="AD509" s="95"/>
      <c r="AE509" s="111"/>
      <c r="AF509" s="111"/>
      <c r="AG509" s="111"/>
      <c r="AH509" s="111"/>
      <c r="AI509" s="111"/>
      <c r="AJ509" s="111"/>
      <c r="AK509" s="111"/>
      <c r="AL509" s="111"/>
      <c r="AM509" s="111"/>
      <c r="AN509" s="111"/>
      <c r="AO509" s="111"/>
      <c r="AP509" s="111"/>
      <c r="AQ509" s="111"/>
    </row>
    <row r="510" spans="23:43" ht="15">
      <c r="W510" s="179" t="str">
        <f t="shared" si="30"/>
        <v>Ver</v>
      </c>
      <c r="X510">
        <f t="shared" si="31"/>
        <v>1</v>
      </c>
      <c r="Y510" t="str">
        <f t="shared" si="32"/>
        <v>C1Ver</v>
      </c>
      <c r="Z510" s="193" t="s">
        <v>39</v>
      </c>
      <c r="AA510" s="193" t="s">
        <v>1739</v>
      </c>
      <c r="AB510" s="179" t="s">
        <v>1674</v>
      </c>
      <c r="AC510" s="94"/>
      <c r="AD510" s="95"/>
      <c r="AE510" s="111"/>
      <c r="AF510" s="111"/>
      <c r="AG510" s="111"/>
      <c r="AH510" s="111"/>
      <c r="AI510" s="111"/>
      <c r="AJ510" s="111"/>
      <c r="AK510" s="111"/>
      <c r="AL510" s="111"/>
      <c r="AM510" s="111"/>
      <c r="AN510" s="111"/>
      <c r="AO510" s="111"/>
      <c r="AP510" s="111"/>
      <c r="AQ510" s="111"/>
    </row>
    <row r="511" spans="23:43" ht="15">
      <c r="W511" s="179" t="str">
        <f t="shared" si="30"/>
        <v>Ver</v>
      </c>
      <c r="X511">
        <f t="shared" si="31"/>
        <v>2</v>
      </c>
      <c r="Y511" t="str">
        <f t="shared" si="32"/>
        <v>C2Ver</v>
      </c>
      <c r="Z511" s="193" t="s">
        <v>39</v>
      </c>
      <c r="AA511" s="193" t="s">
        <v>377</v>
      </c>
      <c r="AB511" s="179" t="s">
        <v>1674</v>
      </c>
      <c r="AC511" s="94"/>
      <c r="AD511" s="95"/>
      <c r="AE511" s="111"/>
      <c r="AF511" s="111"/>
      <c r="AG511" s="111"/>
      <c r="AH511" s="111"/>
      <c r="AI511" s="111"/>
      <c r="AJ511" s="111"/>
      <c r="AK511" s="111"/>
      <c r="AL511" s="111"/>
      <c r="AM511" s="111"/>
      <c r="AN511" s="111"/>
      <c r="AO511" s="111"/>
      <c r="AP511" s="111"/>
      <c r="AQ511" s="111"/>
    </row>
    <row r="512" spans="23:43" ht="15">
      <c r="W512" s="179" t="str">
        <f t="shared" si="30"/>
        <v>Ver</v>
      </c>
      <c r="X512">
        <f t="shared" si="31"/>
        <v>3</v>
      </c>
      <c r="Y512" t="str">
        <f t="shared" si="32"/>
        <v>C3Ver</v>
      </c>
      <c r="Z512" s="193" t="s">
        <v>39</v>
      </c>
      <c r="AA512" s="193" t="s">
        <v>1760</v>
      </c>
      <c r="AB512" s="179" t="s">
        <v>1674</v>
      </c>
      <c r="AC512" s="94"/>
      <c r="AD512" s="95"/>
      <c r="AE512" s="111"/>
      <c r="AF512" s="111"/>
      <c r="AG512" s="111"/>
      <c r="AH512" s="111"/>
      <c r="AI512" s="111"/>
      <c r="AJ512" s="111"/>
      <c r="AK512" s="111"/>
      <c r="AL512" s="111"/>
      <c r="AM512" s="111"/>
      <c r="AN512" s="111"/>
      <c r="AO512" s="111"/>
      <c r="AP512" s="111"/>
      <c r="AQ512" s="111"/>
    </row>
    <row r="513" spans="23:43" ht="15">
      <c r="W513" s="179" t="str">
        <f t="shared" si="30"/>
        <v>Ver</v>
      </c>
      <c r="X513">
        <f t="shared" si="31"/>
        <v>4</v>
      </c>
      <c r="Y513" t="str">
        <f t="shared" si="32"/>
        <v>C4Ver</v>
      </c>
      <c r="Z513" s="193" t="s">
        <v>39</v>
      </c>
      <c r="AA513" s="193" t="s">
        <v>1757</v>
      </c>
      <c r="AB513" s="179" t="s">
        <v>1674</v>
      </c>
      <c r="AC513" s="94"/>
      <c r="AD513" s="95"/>
      <c r="AE513" s="111"/>
      <c r="AF513" s="111"/>
      <c r="AG513" s="111"/>
      <c r="AH513" s="111"/>
      <c r="AI513" s="111"/>
      <c r="AJ513" s="111"/>
      <c r="AK513" s="111"/>
      <c r="AL513" s="111"/>
      <c r="AM513" s="111"/>
      <c r="AN513" s="111"/>
      <c r="AO513" s="111"/>
      <c r="AP513" s="111"/>
      <c r="AQ513" s="111"/>
    </row>
    <row r="514" spans="23:43" ht="15">
      <c r="W514" s="179" t="str">
        <f t="shared" si="30"/>
        <v>Ver</v>
      </c>
      <c r="X514">
        <f t="shared" si="31"/>
        <v>5</v>
      </c>
      <c r="Y514" t="str">
        <f t="shared" si="32"/>
        <v>C5Ver</v>
      </c>
      <c r="Z514" s="193" t="s">
        <v>39</v>
      </c>
      <c r="AA514" s="193" t="s">
        <v>1758</v>
      </c>
      <c r="AB514" s="179" t="s">
        <v>1674</v>
      </c>
      <c r="AC514" s="94"/>
      <c r="AD514" s="95"/>
      <c r="AE514" s="111"/>
      <c r="AF514" s="111"/>
      <c r="AG514" s="111"/>
      <c r="AH514" s="111"/>
      <c r="AI514" s="111"/>
      <c r="AJ514" s="111"/>
      <c r="AK514" s="111"/>
      <c r="AL514" s="111"/>
      <c r="AM514" s="111"/>
      <c r="AN514" s="111"/>
      <c r="AO514" s="111"/>
      <c r="AP514" s="111"/>
      <c r="AQ514" s="111"/>
    </row>
    <row r="515" spans="23:43" ht="15">
      <c r="W515" s="179" t="str">
        <f t="shared" ref="W515:W534" si="33">MID(AB515,1,3)</f>
        <v>Ver</v>
      </c>
      <c r="X515">
        <f t="shared" ref="X515:X534" si="34">IF(Z515&lt;&gt;Z514,1,X514+1)</f>
        <v>6</v>
      </c>
      <c r="Y515" t="str">
        <f t="shared" ref="Y515:Y534" si="35">Z515&amp;X515&amp;W515</f>
        <v>C6Ver</v>
      </c>
      <c r="Z515" s="193" t="s">
        <v>39</v>
      </c>
      <c r="AA515" s="193" t="s">
        <v>1859</v>
      </c>
      <c r="AB515" s="179" t="s">
        <v>1674</v>
      </c>
      <c r="AC515" s="94"/>
      <c r="AD515" s="95"/>
      <c r="AE515" s="111"/>
      <c r="AF515" s="111"/>
      <c r="AG515" s="111"/>
      <c r="AH515" s="111"/>
      <c r="AI515" s="111"/>
      <c r="AJ515" s="111"/>
      <c r="AK515" s="111"/>
      <c r="AL515" s="111"/>
      <c r="AM515" s="111"/>
      <c r="AN515" s="111"/>
      <c r="AO515" s="111"/>
      <c r="AP515" s="111"/>
      <c r="AQ515" s="111"/>
    </row>
    <row r="516" spans="23:43" ht="15">
      <c r="W516" s="179" t="str">
        <f t="shared" si="33"/>
        <v>Ver</v>
      </c>
      <c r="X516">
        <f t="shared" si="34"/>
        <v>7</v>
      </c>
      <c r="Y516" t="str">
        <f t="shared" si="35"/>
        <v>C7Ver</v>
      </c>
      <c r="Z516" s="193" t="s">
        <v>39</v>
      </c>
      <c r="AA516" s="193" t="s">
        <v>1860</v>
      </c>
      <c r="AB516" s="179" t="s">
        <v>1674</v>
      </c>
      <c r="AC516" s="94"/>
      <c r="AD516" s="95"/>
      <c r="AE516" s="111"/>
      <c r="AF516" s="111"/>
      <c r="AG516" s="111"/>
      <c r="AH516" s="111"/>
      <c r="AI516" s="111"/>
      <c r="AJ516" s="111"/>
      <c r="AK516" s="111"/>
      <c r="AL516" s="111"/>
      <c r="AM516" s="111"/>
      <c r="AN516" s="111"/>
      <c r="AO516" s="111"/>
      <c r="AP516" s="111"/>
      <c r="AQ516" s="111"/>
    </row>
    <row r="517" spans="23:43" ht="15">
      <c r="W517" s="179" t="str">
        <f t="shared" si="33"/>
        <v>Ver</v>
      </c>
      <c r="X517">
        <f t="shared" si="34"/>
        <v>1</v>
      </c>
      <c r="Y517" t="str">
        <f t="shared" si="35"/>
        <v>D1Ver</v>
      </c>
      <c r="Z517" s="193" t="s">
        <v>37</v>
      </c>
      <c r="AA517" s="193" t="s">
        <v>1866</v>
      </c>
      <c r="AB517" s="179" t="s">
        <v>1674</v>
      </c>
      <c r="AC517" s="94"/>
      <c r="AD517" s="95"/>
      <c r="AE517" s="111"/>
      <c r="AF517" s="111"/>
      <c r="AG517" s="111"/>
      <c r="AH517" s="111"/>
      <c r="AI517" s="111"/>
      <c r="AJ517" s="111"/>
      <c r="AK517" s="111"/>
      <c r="AL517" s="111"/>
      <c r="AM517" s="111"/>
      <c r="AN517" s="111"/>
      <c r="AO517" s="111"/>
      <c r="AP517" s="111"/>
      <c r="AQ517" s="111"/>
    </row>
    <row r="518" spans="23:43" ht="15">
      <c r="W518" s="179" t="str">
        <f t="shared" si="33"/>
        <v>Ver</v>
      </c>
      <c r="X518">
        <f t="shared" si="34"/>
        <v>2</v>
      </c>
      <c r="Y518" t="str">
        <f t="shared" si="35"/>
        <v>D2Ver</v>
      </c>
      <c r="Z518" s="193" t="s">
        <v>37</v>
      </c>
      <c r="AA518" s="193" t="s">
        <v>1730</v>
      </c>
      <c r="AB518" s="179" t="s">
        <v>1674</v>
      </c>
      <c r="AC518" s="94"/>
      <c r="AD518" s="95"/>
      <c r="AE518" s="111"/>
      <c r="AF518" s="111"/>
      <c r="AG518" s="111"/>
      <c r="AH518" s="111"/>
      <c r="AI518" s="111"/>
      <c r="AJ518" s="111"/>
      <c r="AK518" s="111"/>
      <c r="AL518" s="111"/>
      <c r="AM518" s="111"/>
      <c r="AN518" s="111"/>
      <c r="AO518" s="111"/>
      <c r="AP518" s="111"/>
      <c r="AQ518" s="111"/>
    </row>
    <row r="519" spans="23:43" ht="15">
      <c r="W519" s="179" t="str">
        <f t="shared" si="33"/>
        <v>Ver</v>
      </c>
      <c r="X519">
        <f t="shared" si="34"/>
        <v>3</v>
      </c>
      <c r="Y519" t="str">
        <f t="shared" si="35"/>
        <v>D3Ver</v>
      </c>
      <c r="Z519" s="193" t="s">
        <v>37</v>
      </c>
      <c r="AA519" s="193" t="s">
        <v>1708</v>
      </c>
      <c r="AB519" s="179" t="s">
        <v>1674</v>
      </c>
      <c r="AC519" s="94"/>
      <c r="AD519" s="95"/>
      <c r="AE519" s="111"/>
      <c r="AF519" s="111"/>
      <c r="AG519" s="111"/>
      <c r="AH519" s="111"/>
      <c r="AI519" s="111"/>
      <c r="AJ519" s="111"/>
      <c r="AK519" s="111"/>
      <c r="AL519" s="111"/>
      <c r="AM519" s="111"/>
      <c r="AN519" s="111"/>
      <c r="AO519" s="111"/>
      <c r="AP519" s="111"/>
      <c r="AQ519" s="111"/>
    </row>
    <row r="520" spans="23:43" ht="15">
      <c r="W520" s="179" t="str">
        <f t="shared" si="33"/>
        <v>Ver</v>
      </c>
      <c r="X520">
        <f t="shared" si="34"/>
        <v>4</v>
      </c>
      <c r="Y520" t="str">
        <f t="shared" si="35"/>
        <v>D4Ver</v>
      </c>
      <c r="Z520" s="193" t="s">
        <v>37</v>
      </c>
      <c r="AA520" s="193" t="s">
        <v>1863</v>
      </c>
      <c r="AB520" s="179" t="s">
        <v>1674</v>
      </c>
      <c r="AC520" s="94"/>
      <c r="AD520" s="95"/>
      <c r="AE520" s="111"/>
      <c r="AF520" s="111"/>
      <c r="AG520" s="111"/>
      <c r="AH520" s="111"/>
      <c r="AI520" s="111"/>
      <c r="AJ520" s="111"/>
      <c r="AK520" s="111"/>
      <c r="AL520" s="111"/>
      <c r="AM520" s="111"/>
      <c r="AN520" s="111"/>
      <c r="AO520" s="111"/>
      <c r="AP520" s="111"/>
      <c r="AQ520" s="111"/>
    </row>
    <row r="521" spans="23:43" ht="15">
      <c r="W521" s="179" t="str">
        <f t="shared" si="33"/>
        <v>Ver</v>
      </c>
      <c r="X521">
        <f t="shared" si="34"/>
        <v>5</v>
      </c>
      <c r="Y521" t="str">
        <f t="shared" si="35"/>
        <v>D5Ver</v>
      </c>
      <c r="Z521" s="193" t="s">
        <v>37</v>
      </c>
      <c r="AA521" s="193" t="s">
        <v>413</v>
      </c>
      <c r="AB521" s="179" t="s">
        <v>1674</v>
      </c>
      <c r="AC521" s="94"/>
      <c r="AD521" s="95"/>
      <c r="AE521" s="111"/>
      <c r="AF521" s="111"/>
      <c r="AG521" s="111"/>
      <c r="AH521" s="111"/>
      <c r="AI521" s="111"/>
      <c r="AJ521" s="111"/>
      <c r="AK521" s="111"/>
      <c r="AL521" s="111"/>
      <c r="AM521" s="111"/>
      <c r="AN521" s="111"/>
      <c r="AO521" s="111"/>
      <c r="AP521" s="111"/>
      <c r="AQ521" s="111"/>
    </row>
    <row r="522" spans="23:43" ht="15">
      <c r="W522" s="179" t="str">
        <f t="shared" si="33"/>
        <v>Ver</v>
      </c>
      <c r="X522">
        <f t="shared" si="34"/>
        <v>6</v>
      </c>
      <c r="Y522" t="str">
        <f t="shared" si="35"/>
        <v>D6Ver</v>
      </c>
      <c r="Z522" s="193" t="s">
        <v>37</v>
      </c>
      <c r="AA522" s="193" t="s">
        <v>1720</v>
      </c>
      <c r="AB522" s="179" t="s">
        <v>1674</v>
      </c>
      <c r="AC522" s="94"/>
      <c r="AD522" s="95"/>
      <c r="AE522" s="111"/>
      <c r="AF522" s="111"/>
      <c r="AG522" s="111"/>
      <c r="AH522" s="111"/>
      <c r="AI522" s="111"/>
      <c r="AJ522" s="111"/>
      <c r="AK522" s="111"/>
      <c r="AL522" s="111"/>
      <c r="AM522" s="111"/>
      <c r="AN522" s="111"/>
      <c r="AO522" s="111"/>
      <c r="AP522" s="111"/>
      <c r="AQ522" s="111"/>
    </row>
    <row r="523" spans="23:43" ht="15">
      <c r="W523" s="179" t="str">
        <f t="shared" si="33"/>
        <v>Ver</v>
      </c>
      <c r="X523">
        <f t="shared" si="34"/>
        <v>7</v>
      </c>
      <c r="Y523" t="str">
        <f t="shared" si="35"/>
        <v>D7Ver</v>
      </c>
      <c r="Z523" s="193" t="s">
        <v>37</v>
      </c>
      <c r="AA523" s="193" t="s">
        <v>478</v>
      </c>
      <c r="AB523" s="179" t="s">
        <v>1674</v>
      </c>
      <c r="AC523" s="94"/>
      <c r="AD523" s="95"/>
      <c r="AE523" s="111"/>
      <c r="AF523" s="111"/>
      <c r="AG523" s="111"/>
      <c r="AH523" s="111"/>
      <c r="AI523" s="111"/>
      <c r="AJ523" s="111"/>
      <c r="AK523" s="111"/>
      <c r="AL523" s="111"/>
      <c r="AM523" s="111"/>
      <c r="AN523" s="111"/>
      <c r="AO523" s="111"/>
      <c r="AP523" s="111"/>
      <c r="AQ523" s="111"/>
    </row>
    <row r="524" spans="23:43" ht="15">
      <c r="W524" s="179" t="str">
        <f t="shared" si="33"/>
        <v>Ver</v>
      </c>
      <c r="X524">
        <f t="shared" si="34"/>
        <v>8</v>
      </c>
      <c r="Y524" t="str">
        <f t="shared" si="35"/>
        <v>D8Ver</v>
      </c>
      <c r="Z524" s="193" t="s">
        <v>37</v>
      </c>
      <c r="AA524" s="193" t="s">
        <v>510</v>
      </c>
      <c r="AB524" s="179" t="s">
        <v>1674</v>
      </c>
      <c r="AC524" s="94"/>
      <c r="AD524" s="95"/>
      <c r="AE524" s="111"/>
      <c r="AF524" s="111"/>
      <c r="AG524" s="111"/>
      <c r="AH524" s="111"/>
      <c r="AI524" s="111"/>
      <c r="AJ524" s="111"/>
      <c r="AK524" s="111"/>
      <c r="AL524" s="111"/>
      <c r="AM524" s="111"/>
      <c r="AN524" s="111"/>
      <c r="AO524" s="111"/>
      <c r="AP524" s="111"/>
      <c r="AQ524" s="111"/>
    </row>
    <row r="525" spans="23:43" ht="15">
      <c r="W525" s="179" t="str">
        <f t="shared" si="33"/>
        <v>Ver</v>
      </c>
      <c r="X525">
        <f t="shared" si="34"/>
        <v>9</v>
      </c>
      <c r="Y525" t="str">
        <f t="shared" si="35"/>
        <v>D9Ver</v>
      </c>
      <c r="Z525" s="193" t="s">
        <v>37</v>
      </c>
      <c r="AA525" s="193" t="s">
        <v>1693</v>
      </c>
      <c r="AB525" s="179" t="s">
        <v>1674</v>
      </c>
      <c r="AC525" s="94"/>
      <c r="AD525" s="95"/>
      <c r="AE525" s="111"/>
      <c r="AF525" s="111"/>
      <c r="AG525" s="111"/>
      <c r="AH525" s="111"/>
      <c r="AI525" s="111"/>
      <c r="AJ525" s="111"/>
      <c r="AK525" s="111"/>
      <c r="AL525" s="111"/>
      <c r="AM525" s="111"/>
      <c r="AN525" s="111"/>
      <c r="AO525" s="111"/>
      <c r="AP525" s="111"/>
      <c r="AQ525" s="111"/>
    </row>
    <row r="526" spans="23:43" ht="15">
      <c r="W526" s="179" t="str">
        <f t="shared" si="33"/>
        <v>Ver</v>
      </c>
      <c r="X526">
        <f t="shared" si="34"/>
        <v>10</v>
      </c>
      <c r="Y526" t="str">
        <f t="shared" si="35"/>
        <v>D10Ver</v>
      </c>
      <c r="Z526" s="193" t="s">
        <v>37</v>
      </c>
      <c r="AA526" s="193" t="s">
        <v>1718</v>
      </c>
      <c r="AB526" s="179" t="s">
        <v>1674</v>
      </c>
      <c r="AC526" s="94"/>
      <c r="AD526" s="95"/>
      <c r="AE526" s="111"/>
      <c r="AF526" s="111"/>
      <c r="AG526" s="111"/>
      <c r="AH526" s="111"/>
      <c r="AI526" s="111"/>
      <c r="AJ526" s="111"/>
      <c r="AK526" s="111"/>
      <c r="AL526" s="111"/>
      <c r="AM526" s="111"/>
      <c r="AN526" s="111"/>
      <c r="AO526" s="111"/>
      <c r="AP526" s="111"/>
      <c r="AQ526" s="111"/>
    </row>
    <row r="527" spans="23:43" ht="15">
      <c r="W527" s="179" t="str">
        <f t="shared" si="33"/>
        <v>Ver</v>
      </c>
      <c r="X527">
        <f t="shared" si="34"/>
        <v>1</v>
      </c>
      <c r="Y527" t="str">
        <f t="shared" si="35"/>
        <v>P1Ver</v>
      </c>
      <c r="Z527" s="193" t="s">
        <v>35</v>
      </c>
      <c r="AA527" s="193" t="s">
        <v>1690</v>
      </c>
      <c r="AB527" s="179" t="s">
        <v>1674</v>
      </c>
      <c r="AC527" s="94"/>
      <c r="AD527" s="95"/>
      <c r="AE527" s="111"/>
      <c r="AF527" s="111"/>
      <c r="AG527" s="111"/>
      <c r="AH527" s="111"/>
      <c r="AI527" s="111"/>
      <c r="AJ527" s="111"/>
      <c r="AK527" s="111"/>
      <c r="AL527" s="111"/>
      <c r="AM527" s="111"/>
      <c r="AN527" s="111"/>
      <c r="AO527" s="111"/>
      <c r="AP527" s="111"/>
      <c r="AQ527" s="111"/>
    </row>
    <row r="528" spans="23:43" ht="15">
      <c r="W528" s="179" t="str">
        <f t="shared" si="33"/>
        <v>Ver</v>
      </c>
      <c r="X528">
        <f t="shared" si="34"/>
        <v>2</v>
      </c>
      <c r="Y528" t="str">
        <f t="shared" si="35"/>
        <v>P2Ver</v>
      </c>
      <c r="Z528" s="193" t="s">
        <v>35</v>
      </c>
      <c r="AA528" s="193" t="s">
        <v>1679</v>
      </c>
      <c r="AB528" s="179" t="s">
        <v>1674</v>
      </c>
      <c r="AC528" s="94"/>
      <c r="AD528" s="95"/>
      <c r="AE528" s="111"/>
      <c r="AF528" s="111"/>
      <c r="AG528" s="111"/>
      <c r="AH528" s="111"/>
      <c r="AI528" s="111"/>
      <c r="AJ528" s="111"/>
      <c r="AK528" s="111"/>
      <c r="AL528" s="111"/>
      <c r="AM528" s="111"/>
      <c r="AN528" s="111"/>
      <c r="AO528" s="111"/>
      <c r="AP528" s="111"/>
      <c r="AQ528" s="111"/>
    </row>
    <row r="529" spans="23:43" ht="15">
      <c r="W529" s="179" t="str">
        <f t="shared" si="33"/>
        <v>Ver</v>
      </c>
      <c r="X529">
        <f t="shared" si="34"/>
        <v>3</v>
      </c>
      <c r="Y529" t="str">
        <f t="shared" si="35"/>
        <v>P3Ver</v>
      </c>
      <c r="Z529" s="193" t="s">
        <v>35</v>
      </c>
      <c r="AA529" s="193" t="s">
        <v>1681</v>
      </c>
      <c r="AB529" s="179" t="s">
        <v>1674</v>
      </c>
      <c r="AC529" s="94"/>
      <c r="AD529" s="95"/>
      <c r="AE529" s="111"/>
      <c r="AF529" s="111"/>
      <c r="AG529" s="111"/>
      <c r="AH529" s="111"/>
      <c r="AI529" s="111"/>
      <c r="AJ529" s="111"/>
      <c r="AK529" s="111"/>
      <c r="AL529" s="111"/>
      <c r="AM529" s="111"/>
      <c r="AN529" s="111"/>
      <c r="AO529" s="111"/>
      <c r="AP529" s="111"/>
      <c r="AQ529" s="111"/>
    </row>
    <row r="530" spans="23:43" ht="15">
      <c r="W530" s="179" t="str">
        <f t="shared" si="33"/>
        <v>Ver</v>
      </c>
      <c r="X530">
        <f t="shared" si="34"/>
        <v>1</v>
      </c>
      <c r="Y530" t="str">
        <f t="shared" si="35"/>
        <v>D1Ver</v>
      </c>
      <c r="Z530" s="193" t="s">
        <v>37</v>
      </c>
      <c r="AA530" s="193" t="s">
        <v>1730</v>
      </c>
      <c r="AB530" s="179" t="s">
        <v>1674</v>
      </c>
      <c r="AC530" s="94"/>
      <c r="AD530" s="95"/>
      <c r="AE530" s="111"/>
      <c r="AF530" s="111"/>
      <c r="AG530" s="111"/>
      <c r="AH530" s="111"/>
      <c r="AI530" s="111"/>
      <c r="AJ530" s="111"/>
      <c r="AK530" s="111"/>
      <c r="AL530" s="111"/>
      <c r="AM530" s="111"/>
      <c r="AN530" s="111"/>
      <c r="AO530" s="111"/>
      <c r="AP530" s="111"/>
      <c r="AQ530" s="111"/>
    </row>
    <row r="531" spans="23:43" ht="15">
      <c r="W531" s="179" t="str">
        <f t="shared" si="33"/>
        <v>Ver</v>
      </c>
      <c r="X531">
        <f t="shared" si="34"/>
        <v>2</v>
      </c>
      <c r="Y531" t="str">
        <f t="shared" si="35"/>
        <v>D2Ver</v>
      </c>
      <c r="Z531" s="193" t="s">
        <v>37</v>
      </c>
      <c r="AA531" s="193" t="s">
        <v>1708</v>
      </c>
      <c r="AB531" s="179" t="s">
        <v>1674</v>
      </c>
      <c r="AC531" s="94"/>
      <c r="AD531" s="95"/>
      <c r="AE531" s="111"/>
      <c r="AF531" s="111"/>
      <c r="AG531" s="111"/>
      <c r="AH531" s="111"/>
      <c r="AI531" s="111"/>
      <c r="AJ531" s="111"/>
      <c r="AK531" s="111"/>
      <c r="AL531" s="111"/>
      <c r="AM531" s="111"/>
      <c r="AN531" s="111"/>
      <c r="AO531" s="111"/>
      <c r="AP531" s="111"/>
      <c r="AQ531" s="111"/>
    </row>
    <row r="532" spans="23:43" ht="15">
      <c r="W532" s="179" t="str">
        <f t="shared" si="33"/>
        <v>Ver</v>
      </c>
      <c r="X532">
        <f t="shared" si="34"/>
        <v>3</v>
      </c>
      <c r="Y532" t="str">
        <f t="shared" si="35"/>
        <v>D3Ver</v>
      </c>
      <c r="Z532" s="193" t="s">
        <v>37</v>
      </c>
      <c r="AA532" s="193" t="s">
        <v>1863</v>
      </c>
      <c r="AB532" s="179" t="s">
        <v>1674</v>
      </c>
      <c r="AC532" s="94"/>
      <c r="AD532" s="95"/>
      <c r="AE532" s="111"/>
      <c r="AF532" s="111"/>
      <c r="AG532" s="111"/>
      <c r="AH532" s="111"/>
      <c r="AI532" s="111"/>
      <c r="AJ532" s="111"/>
      <c r="AK532" s="111"/>
      <c r="AL532" s="111"/>
      <c r="AM532" s="111"/>
      <c r="AN532" s="111"/>
      <c r="AO532" s="111"/>
      <c r="AP532" s="111"/>
      <c r="AQ532" s="111"/>
    </row>
    <row r="533" spans="23:43" ht="15">
      <c r="W533" s="179" t="str">
        <f t="shared" si="33"/>
        <v>Ver</v>
      </c>
      <c r="X533">
        <f t="shared" si="34"/>
        <v>4</v>
      </c>
      <c r="Y533" t="str">
        <f t="shared" si="35"/>
        <v>D4Ver</v>
      </c>
      <c r="Z533" s="193" t="s">
        <v>37</v>
      </c>
      <c r="AA533" s="193" t="s">
        <v>413</v>
      </c>
      <c r="AB533" s="179" t="s">
        <v>1674</v>
      </c>
      <c r="AC533" s="94"/>
      <c r="AD533" s="95"/>
      <c r="AE533" s="111"/>
      <c r="AF533" s="111"/>
      <c r="AG533" s="111"/>
      <c r="AH533" s="111"/>
      <c r="AI533" s="111"/>
      <c r="AJ533" s="111"/>
      <c r="AK533" s="111"/>
      <c r="AL533" s="111"/>
      <c r="AM533" s="111"/>
      <c r="AN533" s="111"/>
      <c r="AO533" s="111"/>
      <c r="AP533" s="111"/>
      <c r="AQ533" s="111"/>
    </row>
    <row r="534" spans="23:43" ht="15">
      <c r="W534" s="179" t="str">
        <f t="shared" si="33"/>
        <v>Ver</v>
      </c>
      <c r="X534">
        <f t="shared" si="34"/>
        <v>5</v>
      </c>
      <c r="Y534" t="str">
        <f t="shared" si="35"/>
        <v>D5Ver</v>
      </c>
      <c r="Z534" s="193" t="s">
        <v>37</v>
      </c>
      <c r="AA534" s="193" t="s">
        <v>1720</v>
      </c>
      <c r="AB534" s="179" t="s">
        <v>1674</v>
      </c>
      <c r="AC534" s="94"/>
      <c r="AD534" s="95"/>
      <c r="AE534" s="111"/>
      <c r="AF534" s="111"/>
      <c r="AG534" s="111"/>
      <c r="AH534" s="111"/>
      <c r="AI534" s="111"/>
      <c r="AJ534" s="111"/>
      <c r="AK534" s="111"/>
      <c r="AL534" s="111"/>
      <c r="AM534" s="111"/>
      <c r="AN534" s="111"/>
      <c r="AO534" s="111"/>
      <c r="AP534" s="111"/>
      <c r="AQ534" s="111"/>
    </row>
    <row r="535" spans="23:43" ht="15">
      <c r="W535" s="179"/>
      <c r="Z535" s="193" t="s">
        <v>37</v>
      </c>
      <c r="AA535" s="193" t="s">
        <v>478</v>
      </c>
      <c r="AB535" s="193" t="s">
        <v>1674</v>
      </c>
      <c r="AC535" s="94"/>
      <c r="AD535" s="95"/>
      <c r="AE535" s="111"/>
      <c r="AF535" s="111"/>
      <c r="AG535" s="111"/>
      <c r="AH535" s="111"/>
      <c r="AI535" s="111"/>
      <c r="AJ535" s="111"/>
      <c r="AK535" s="111"/>
      <c r="AL535" s="111"/>
      <c r="AM535" s="111"/>
      <c r="AN535" s="111"/>
      <c r="AO535" s="111"/>
      <c r="AP535" s="111"/>
      <c r="AQ535" s="111"/>
    </row>
    <row r="536" spans="23:43" ht="15">
      <c r="W536" s="179"/>
      <c r="Z536" s="193" t="s">
        <v>37</v>
      </c>
      <c r="AA536" s="193" t="s">
        <v>510</v>
      </c>
      <c r="AB536" s="193" t="s">
        <v>1674</v>
      </c>
      <c r="AC536" s="94"/>
      <c r="AD536" s="95"/>
      <c r="AE536" s="111"/>
      <c r="AF536" s="111"/>
      <c r="AG536" s="111"/>
      <c r="AH536" s="111"/>
      <c r="AI536" s="111"/>
      <c r="AJ536" s="111"/>
      <c r="AK536" s="111"/>
      <c r="AL536" s="111"/>
      <c r="AM536" s="111"/>
      <c r="AN536" s="111"/>
      <c r="AO536" s="111"/>
      <c r="AP536" s="111"/>
      <c r="AQ536" s="111"/>
    </row>
    <row r="537" spans="23:43" ht="15">
      <c r="W537" s="179"/>
      <c r="Z537" s="193" t="s">
        <v>37</v>
      </c>
      <c r="AA537" s="193" t="s">
        <v>1693</v>
      </c>
      <c r="AB537" s="193" t="s">
        <v>1674</v>
      </c>
      <c r="AC537" s="94"/>
      <c r="AD537" s="95"/>
      <c r="AE537" s="111"/>
      <c r="AF537" s="111"/>
      <c r="AG537" s="111"/>
      <c r="AH537" s="111"/>
      <c r="AI537" s="111"/>
      <c r="AJ537" s="111"/>
      <c r="AK537" s="111"/>
      <c r="AL537" s="111"/>
      <c r="AM537" s="111"/>
      <c r="AN537" s="111"/>
      <c r="AO537" s="111"/>
      <c r="AP537" s="111"/>
      <c r="AQ537" s="111"/>
    </row>
    <row r="538" spans="23:43" ht="15">
      <c r="W538" s="179"/>
      <c r="Z538" s="193" t="s">
        <v>37</v>
      </c>
      <c r="AA538" s="193" t="s">
        <v>1718</v>
      </c>
      <c r="AB538" s="193" t="s">
        <v>1674</v>
      </c>
      <c r="AC538" s="94"/>
      <c r="AD538" s="95"/>
      <c r="AE538" s="111"/>
      <c r="AF538" s="111"/>
      <c r="AG538" s="111"/>
      <c r="AH538" s="111"/>
      <c r="AI538" s="111"/>
      <c r="AJ538" s="111"/>
      <c r="AK538" s="111"/>
      <c r="AL538" s="111"/>
      <c r="AM538" s="111"/>
      <c r="AN538" s="111"/>
      <c r="AO538" s="111"/>
      <c r="AP538" s="111"/>
      <c r="AQ538" s="111"/>
    </row>
    <row r="539" spans="23:43" ht="15">
      <c r="W539" s="179"/>
      <c r="Z539" s="193" t="s">
        <v>35</v>
      </c>
      <c r="AA539" s="193" t="s">
        <v>1690</v>
      </c>
      <c r="AB539" s="193" t="s">
        <v>1674</v>
      </c>
      <c r="AC539" s="94"/>
      <c r="AD539" s="95"/>
      <c r="AE539" s="111"/>
      <c r="AF539" s="111"/>
      <c r="AG539" s="111"/>
      <c r="AH539" s="111"/>
      <c r="AI539" s="111"/>
      <c r="AJ539" s="111"/>
      <c r="AK539" s="111"/>
      <c r="AL539" s="111"/>
      <c r="AM539" s="111"/>
      <c r="AN539" s="111"/>
      <c r="AO539" s="111"/>
      <c r="AP539" s="111"/>
      <c r="AQ539" s="111"/>
    </row>
    <row r="540" spans="23:43" ht="15">
      <c r="W540" s="179"/>
      <c r="Z540" s="193" t="s">
        <v>35</v>
      </c>
      <c r="AA540" s="193" t="s">
        <v>1679</v>
      </c>
      <c r="AB540" s="193" t="s">
        <v>1674</v>
      </c>
      <c r="AC540" s="94"/>
      <c r="AD540" s="95"/>
      <c r="AE540" s="111"/>
      <c r="AF540" s="111"/>
      <c r="AG540" s="111"/>
      <c r="AH540" s="111"/>
      <c r="AI540" s="111"/>
      <c r="AJ540" s="111"/>
      <c r="AK540" s="111"/>
      <c r="AL540" s="111"/>
      <c r="AM540" s="111"/>
      <c r="AN540" s="111"/>
      <c r="AO540" s="111"/>
      <c r="AP540" s="111"/>
      <c r="AQ540" s="111"/>
    </row>
    <row r="541" spans="23:43" ht="15">
      <c r="W541" s="179"/>
      <c r="Z541" s="193" t="s">
        <v>35</v>
      </c>
      <c r="AA541" s="193" t="s">
        <v>1681</v>
      </c>
      <c r="AB541" s="193" t="s">
        <v>1674</v>
      </c>
      <c r="AC541" s="94"/>
      <c r="AD541" s="95"/>
      <c r="AE541" s="111"/>
      <c r="AF541" s="111"/>
      <c r="AG541" s="111"/>
      <c r="AH541" s="111"/>
      <c r="AI541" s="111"/>
      <c r="AJ541" s="111"/>
      <c r="AK541" s="111"/>
      <c r="AL541" s="111"/>
      <c r="AM541" s="111"/>
      <c r="AN541" s="111"/>
      <c r="AO541" s="111"/>
      <c r="AP541" s="111"/>
      <c r="AQ541" s="111"/>
    </row>
    <row r="542" spans="23:43" ht="15">
      <c r="W542" s="179"/>
      <c r="Z542" s="193"/>
      <c r="AA542" s="193"/>
      <c r="AB542" s="193"/>
      <c r="AC542" s="94"/>
      <c r="AD542" s="95"/>
      <c r="AE542" s="111"/>
      <c r="AF542" s="111"/>
      <c r="AG542" s="111"/>
      <c r="AH542" s="111"/>
      <c r="AI542" s="111"/>
      <c r="AJ542" s="111"/>
      <c r="AK542" s="111"/>
      <c r="AL542" s="111"/>
      <c r="AM542" s="111"/>
      <c r="AN542" s="111"/>
      <c r="AO542" s="111"/>
      <c r="AP542" s="111"/>
      <c r="AQ542" s="111"/>
    </row>
    <row r="543" spans="23:43" ht="15">
      <c r="W543" s="179"/>
      <c r="Z543" s="193"/>
      <c r="AA543" s="193"/>
      <c r="AB543" s="193"/>
      <c r="AC543" s="94"/>
      <c r="AD543" s="95"/>
      <c r="AE543" s="111"/>
      <c r="AF543" s="111"/>
      <c r="AG543" s="111"/>
      <c r="AH543" s="111"/>
      <c r="AI543" s="111"/>
      <c r="AJ543" s="111"/>
      <c r="AK543" s="111"/>
      <c r="AL543" s="111"/>
      <c r="AM543" s="111"/>
      <c r="AN543" s="111"/>
      <c r="AO543" s="111"/>
      <c r="AP543" s="111"/>
      <c r="AQ543" s="111"/>
    </row>
    <row r="544" spans="23:43" ht="15">
      <c r="W544" s="179"/>
      <c r="Z544" s="193"/>
      <c r="AA544" s="193"/>
      <c r="AB544" s="193"/>
      <c r="AC544" s="94"/>
      <c r="AD544" s="95"/>
      <c r="AE544" s="111"/>
      <c r="AF544" s="111"/>
      <c r="AG544" s="111"/>
      <c r="AH544" s="111"/>
      <c r="AI544" s="111"/>
      <c r="AJ544" s="111"/>
      <c r="AK544" s="111"/>
      <c r="AL544" s="111"/>
      <c r="AM544" s="111"/>
      <c r="AN544" s="111"/>
      <c r="AO544" s="111"/>
      <c r="AP544" s="111"/>
      <c r="AQ544" s="111"/>
    </row>
    <row r="545" spans="23:43" ht="15">
      <c r="W545" s="179"/>
      <c r="Z545" s="193"/>
      <c r="AA545" s="193"/>
      <c r="AB545" s="193"/>
      <c r="AC545" s="94"/>
      <c r="AD545" s="95"/>
      <c r="AE545" s="111"/>
      <c r="AF545" s="111"/>
      <c r="AG545" s="111"/>
      <c r="AH545" s="111"/>
      <c r="AI545" s="111"/>
      <c r="AJ545" s="111"/>
      <c r="AK545" s="111"/>
      <c r="AL545" s="111"/>
      <c r="AM545" s="111"/>
      <c r="AN545" s="111"/>
      <c r="AO545" s="111"/>
      <c r="AP545" s="111"/>
      <c r="AQ545" s="111"/>
    </row>
    <row r="546" spans="23:43" ht="15">
      <c r="W546" s="179"/>
      <c r="Z546" s="193"/>
      <c r="AA546" s="193"/>
      <c r="AB546" s="193"/>
      <c r="AC546" s="94"/>
      <c r="AD546" s="95"/>
      <c r="AE546" s="111"/>
      <c r="AF546" s="111"/>
      <c r="AG546" s="111"/>
      <c r="AH546" s="111"/>
      <c r="AI546" s="111"/>
      <c r="AJ546" s="111"/>
      <c r="AK546" s="111"/>
      <c r="AL546" s="111"/>
      <c r="AM546" s="111"/>
      <c r="AN546" s="111"/>
      <c r="AO546" s="111"/>
      <c r="AP546" s="111"/>
      <c r="AQ546" s="111"/>
    </row>
    <row r="547" spans="23:43" ht="15">
      <c r="W547" s="179"/>
      <c r="Z547" s="193"/>
      <c r="AA547" s="193"/>
      <c r="AB547" s="193"/>
      <c r="AC547" s="94"/>
      <c r="AD547" s="95"/>
      <c r="AE547" s="111"/>
      <c r="AF547" s="111"/>
      <c r="AG547" s="111"/>
      <c r="AH547" s="111"/>
      <c r="AI547" s="111"/>
      <c r="AJ547" s="111"/>
      <c r="AK547" s="111"/>
      <c r="AL547" s="111"/>
      <c r="AM547" s="111"/>
      <c r="AN547" s="111"/>
      <c r="AO547" s="111"/>
      <c r="AP547" s="111"/>
      <c r="AQ547" s="111"/>
    </row>
    <row r="548" spans="23:43" ht="15">
      <c r="W548" s="179"/>
      <c r="Z548" s="193"/>
      <c r="AA548" s="193"/>
      <c r="AB548" s="193"/>
      <c r="AC548" s="94"/>
      <c r="AD548" s="95"/>
      <c r="AE548" s="111"/>
      <c r="AF548" s="111"/>
      <c r="AG548" s="111"/>
      <c r="AH548" s="111"/>
      <c r="AI548" s="111"/>
      <c r="AJ548" s="111"/>
      <c r="AK548" s="111"/>
      <c r="AL548" s="111"/>
      <c r="AM548" s="111"/>
      <c r="AN548" s="111"/>
      <c r="AO548" s="111"/>
      <c r="AP548" s="111"/>
      <c r="AQ548" s="111"/>
    </row>
    <row r="549" spans="23:43" ht="15">
      <c r="W549" s="179"/>
      <c r="Z549" s="193"/>
      <c r="AA549" s="193"/>
      <c r="AB549" s="193"/>
      <c r="AC549" s="94"/>
      <c r="AD549" s="95"/>
      <c r="AE549" s="111"/>
      <c r="AF549" s="111"/>
      <c r="AG549" s="111"/>
      <c r="AH549" s="111"/>
      <c r="AI549" s="111"/>
      <c r="AJ549" s="111"/>
      <c r="AK549" s="111"/>
      <c r="AL549" s="111"/>
      <c r="AM549" s="111"/>
      <c r="AN549" s="111"/>
      <c r="AO549" s="111"/>
      <c r="AP549" s="111"/>
      <c r="AQ549" s="111"/>
    </row>
    <row r="550" spans="23:43" ht="15">
      <c r="W550" s="179"/>
      <c r="Z550" s="193"/>
      <c r="AA550" s="193"/>
      <c r="AB550" s="193"/>
      <c r="AC550" s="94"/>
      <c r="AD550" s="95"/>
      <c r="AE550" s="111"/>
      <c r="AF550" s="111"/>
      <c r="AG550" s="111"/>
      <c r="AH550" s="111"/>
      <c r="AI550" s="111"/>
      <c r="AJ550" s="111"/>
      <c r="AK550" s="111"/>
      <c r="AL550" s="111"/>
      <c r="AM550" s="111"/>
      <c r="AN550" s="111"/>
      <c r="AO550" s="111"/>
      <c r="AP550" s="111"/>
      <c r="AQ550" s="111"/>
    </row>
    <row r="551" spans="23:43" ht="15">
      <c r="W551" s="179"/>
      <c r="Z551" s="193"/>
      <c r="AA551" s="193"/>
      <c r="AB551" s="193"/>
      <c r="AC551" s="94"/>
      <c r="AD551" s="95"/>
      <c r="AE551" s="111"/>
      <c r="AF551" s="111"/>
      <c r="AG551" s="111"/>
      <c r="AH551" s="111"/>
      <c r="AI551" s="111"/>
      <c r="AJ551" s="111"/>
      <c r="AK551" s="111"/>
      <c r="AL551" s="111"/>
      <c r="AM551" s="111"/>
      <c r="AN551" s="111"/>
      <c r="AO551" s="111"/>
      <c r="AP551" s="111"/>
      <c r="AQ551" s="111"/>
    </row>
    <row r="552" spans="23:43" ht="15">
      <c r="W552" s="179"/>
      <c r="Z552" s="193"/>
      <c r="AA552" s="193"/>
      <c r="AB552" s="193"/>
      <c r="AC552" s="94"/>
      <c r="AD552" s="95"/>
      <c r="AE552" s="111"/>
      <c r="AF552" s="111"/>
      <c r="AG552" s="111"/>
      <c r="AH552" s="111"/>
      <c r="AI552" s="111"/>
      <c r="AJ552" s="111"/>
      <c r="AK552" s="111"/>
      <c r="AL552" s="111"/>
      <c r="AM552" s="111"/>
      <c r="AN552" s="111"/>
      <c r="AO552" s="111"/>
      <c r="AP552" s="111"/>
      <c r="AQ552" s="111"/>
    </row>
    <row r="553" spans="23:43" ht="15">
      <c r="W553" s="179"/>
      <c r="Z553" s="193"/>
      <c r="AA553" s="193"/>
      <c r="AB553" s="193"/>
      <c r="AC553" s="95"/>
      <c r="AD553" s="111"/>
      <c r="AE553" s="111"/>
      <c r="AF553" s="111"/>
      <c r="AG553" s="111"/>
      <c r="AH553" s="111"/>
      <c r="AI553" s="111"/>
      <c r="AJ553" s="111"/>
      <c r="AK553" s="111"/>
      <c r="AL553" s="111"/>
      <c r="AM553" s="111"/>
      <c r="AN553" s="111"/>
      <c r="AO553" s="111"/>
      <c r="AP553" s="111"/>
    </row>
    <row r="554" spans="23:43" ht="15">
      <c r="W554" s="179"/>
      <c r="Z554" s="193"/>
      <c r="AA554" s="193"/>
      <c r="AB554" s="193"/>
    </row>
    <row r="555" spans="23:43" ht="15">
      <c r="W555" s="179"/>
      <c r="Z555" s="193"/>
      <c r="AA555" s="193"/>
      <c r="AB555" s="193"/>
    </row>
    <row r="556" spans="23:43" ht="15">
      <c r="W556" s="179"/>
      <c r="Z556" s="193"/>
      <c r="AA556" s="193"/>
      <c r="AB556" s="193"/>
    </row>
    <row r="557" spans="23:43" ht="15">
      <c r="W557" s="179"/>
      <c r="Z557" s="193"/>
      <c r="AA557" s="193"/>
      <c r="AB557" s="193"/>
    </row>
    <row r="558" spans="23:43" ht="15">
      <c r="W558" s="179"/>
      <c r="Z558" s="193"/>
      <c r="AA558" s="193"/>
      <c r="AB558" s="193"/>
    </row>
    <row r="559" spans="23:43" ht="15">
      <c r="W559" s="179"/>
      <c r="Z559" s="193"/>
      <c r="AA559" s="193"/>
      <c r="AB559" s="193"/>
    </row>
    <row r="560" spans="23:43" ht="15">
      <c r="W560" s="179"/>
      <c r="Z560" s="193"/>
      <c r="AA560" s="193"/>
      <c r="AB560" s="193"/>
    </row>
    <row r="561" spans="23:28" ht="15">
      <c r="W561" s="179"/>
      <c r="Z561" s="193"/>
      <c r="AA561" s="193"/>
      <c r="AB561" s="193"/>
    </row>
    <row r="562" spans="23:28" ht="15">
      <c r="W562" s="179"/>
      <c r="Z562" s="193"/>
      <c r="AA562" s="193"/>
      <c r="AB562" s="193"/>
    </row>
    <row r="563" spans="23:28" ht="15">
      <c r="W563" s="179"/>
      <c r="Z563" s="193"/>
      <c r="AA563" s="193"/>
      <c r="AB563" s="193"/>
    </row>
    <row r="564" spans="23:28" ht="15">
      <c r="W564" s="179"/>
      <c r="Z564" s="193"/>
      <c r="AA564" s="193"/>
      <c r="AB564" s="193"/>
    </row>
    <row r="565" spans="23:28" ht="15">
      <c r="W565" s="179"/>
      <c r="Z565" s="193"/>
      <c r="AA565" s="193"/>
      <c r="AB565" s="193"/>
    </row>
    <row r="566" spans="23:28" ht="15">
      <c r="W566" s="179"/>
      <c r="Z566" s="193"/>
      <c r="AA566" s="193"/>
      <c r="AB566" s="193"/>
    </row>
  </sheetData>
  <sheetProtection formatColumns="0" formatRows="0"/>
  <mergeCells count="27">
    <mergeCell ref="C1:G1"/>
    <mergeCell ref="H1:L1"/>
    <mergeCell ref="M1:O1"/>
    <mergeCell ref="A2:A3"/>
    <mergeCell ref="A4:A5"/>
    <mergeCell ref="A6:A7"/>
    <mergeCell ref="A8:A9"/>
    <mergeCell ref="A10:A11"/>
    <mergeCell ref="A12:A13"/>
    <mergeCell ref="A14:A15"/>
    <mergeCell ref="A16:A17"/>
    <mergeCell ref="A18:A19"/>
    <mergeCell ref="A20:A21"/>
    <mergeCell ref="A22:A23"/>
    <mergeCell ref="A24:A25"/>
    <mergeCell ref="A26:A27"/>
    <mergeCell ref="A28:A29"/>
    <mergeCell ref="A30:A31"/>
    <mergeCell ref="A44:A45"/>
    <mergeCell ref="A46:A47"/>
    <mergeCell ref="A48:A49"/>
    <mergeCell ref="A32:A33"/>
    <mergeCell ref="A34:A35"/>
    <mergeCell ref="A36:A37"/>
    <mergeCell ref="A38:A39"/>
    <mergeCell ref="A40:A41"/>
    <mergeCell ref="A42:A43"/>
  </mergeCells>
  <conditionalFormatting sqref="B42:B43">
    <cfRule type="expression" dxfId="169" priority="16" stopIfTrue="1">
      <formula>OR(COUNTIF($Q$5:$Q$7,B42)&gt;0)</formula>
    </cfRule>
    <cfRule type="expression" dxfId="168" priority="17" stopIfTrue="1">
      <formula>OR(COUNTIF($R$5:$R$114,B42)&gt;0)</formula>
    </cfRule>
  </conditionalFormatting>
  <conditionalFormatting sqref="C42:O43">
    <cfRule type="expression" dxfId="167" priority="18" stopIfTrue="1">
      <formula>OR(COUNTIF($Q$10:$Q$38,C42)&gt;0)</formula>
    </cfRule>
    <cfRule type="expression" dxfId="166" priority="19" stopIfTrue="1">
      <formula>OR(COUNTIF($S$5:$U$169,C42)&gt;0)</formula>
    </cfRule>
  </conditionalFormatting>
  <conditionalFormatting sqref="B44:B45">
    <cfRule type="expression" dxfId="165" priority="20" stopIfTrue="1">
      <formula>OR(COUNTIF($Q$5:$Q$7,B44)&gt;0)</formula>
    </cfRule>
    <cfRule type="expression" dxfId="164" priority="21" stopIfTrue="1">
      <formula>OR(COUNTIF($R$5:$R$114,B44)&gt;0)</formula>
    </cfRule>
  </conditionalFormatting>
  <conditionalFormatting sqref="C44:O45">
    <cfRule type="expression" dxfId="163" priority="22" stopIfTrue="1">
      <formula>OR(COUNTIF($Q$10:$Q$38,C44)&gt;0)</formula>
    </cfRule>
    <cfRule type="expression" dxfId="162" priority="23" stopIfTrue="1">
      <formula>OR(COUNTIF($S$5:$U$169,C44)&gt;0)</formula>
    </cfRule>
  </conditionalFormatting>
  <conditionalFormatting sqref="B46:B47">
    <cfRule type="expression" dxfId="161" priority="24" stopIfTrue="1">
      <formula>OR(COUNTIF($Q$5:$Q$7,B46)&gt;0)</formula>
    </cfRule>
    <cfRule type="expression" dxfId="160" priority="25" stopIfTrue="1">
      <formula>OR(COUNTIF($R$5:$R$114,B46)&gt;0)</formula>
    </cfRule>
  </conditionalFormatting>
  <conditionalFormatting sqref="C46:O47">
    <cfRule type="expression" dxfId="159" priority="26" stopIfTrue="1">
      <formula>OR(COUNTIF($Q$10:$Q$38,C46)&gt;0)</formula>
    </cfRule>
    <cfRule type="expression" dxfId="158" priority="27" stopIfTrue="1">
      <formula>OR(COUNTIF($S$5:$U$169,C46)&gt;0)</formula>
    </cfRule>
  </conditionalFormatting>
  <conditionalFormatting sqref="B48:B49">
    <cfRule type="expression" dxfId="157" priority="28" stopIfTrue="1">
      <formula>OR(COUNTIF($Q$5:$Q$7,B48)&gt;0)</formula>
    </cfRule>
    <cfRule type="expression" dxfId="156" priority="29" stopIfTrue="1">
      <formula>OR(COUNTIF($R$5:$R$114,B48)&gt;0)</formula>
    </cfRule>
  </conditionalFormatting>
  <conditionalFormatting sqref="C48:O49">
    <cfRule type="expression" dxfId="155" priority="30" stopIfTrue="1">
      <formula>OR(COUNTIF($Q$10:$Q$38,C48)&gt;0)</formula>
    </cfRule>
    <cfRule type="expression" dxfId="154" priority="31" stopIfTrue="1">
      <formula>OR(COUNTIF($S$5:$U$169,C48)&gt;0)</formula>
    </cfRule>
  </conditionalFormatting>
  <conditionalFormatting sqref="AC553:AD553 AD6 AD42:AQ49 AQ51:AQ552 AD51:AP553 AD50:AW50">
    <cfRule type="expression" dxfId="153" priority="32" stopIfTrue="1">
      <formula>VLOOKUP($B6,TabAlgTutti,1,FALSE)=$B6</formula>
    </cfRule>
  </conditionalFormatting>
  <conditionalFormatting sqref="AD2 AD7">
    <cfRule type="expression" dxfId="152" priority="33" stopIfTrue="1">
      <formula>VLOOKUP($B2,TabAlgTutti,1,FALSE)=$B2</formula>
    </cfRule>
  </conditionalFormatting>
  <conditionalFormatting sqref="AO6">
    <cfRule type="expression" dxfId="151" priority="34" stopIfTrue="1">
      <formula>VLOOKUP($B6,TabAlgTutti,1,FALSE)=$B6</formula>
    </cfRule>
  </conditionalFormatting>
  <conditionalFormatting sqref="AN2 AN7">
    <cfRule type="expression" dxfId="150" priority="35" stopIfTrue="1">
      <formula>VLOOKUP($B2,TabAlgTutti,1,FALSE)=$B2</formula>
    </cfRule>
  </conditionalFormatting>
  <conditionalFormatting sqref="AN6">
    <cfRule type="expression" dxfId="149" priority="36" stopIfTrue="1">
      <formula>VLOOKUP($B6,TabAlgTutti,1,FALSE)=$B6</formula>
    </cfRule>
  </conditionalFormatting>
  <conditionalFormatting sqref="AM2 AM7">
    <cfRule type="expression" dxfId="148" priority="37" stopIfTrue="1">
      <formula>VLOOKUP($B2,TabAlgTutti,1,FALSE)=$B2</formula>
    </cfRule>
  </conditionalFormatting>
  <conditionalFormatting sqref="AM6">
    <cfRule type="expression" dxfId="147" priority="38" stopIfTrue="1">
      <formula>VLOOKUP($B6,TabAlgTutti,1,FALSE)=$B6</formula>
    </cfRule>
  </conditionalFormatting>
  <conditionalFormatting sqref="AL2 AL7">
    <cfRule type="expression" dxfId="146" priority="39" stopIfTrue="1">
      <formula>VLOOKUP($B2,TabAlgTutti,1,FALSE)=$B2</formula>
    </cfRule>
  </conditionalFormatting>
  <conditionalFormatting sqref="AL6">
    <cfRule type="expression" dxfId="145" priority="40" stopIfTrue="1">
      <formula>VLOOKUP($B6,TabAlgTutti,1,FALSE)=$B6</formula>
    </cfRule>
  </conditionalFormatting>
  <conditionalFormatting sqref="AK2 AK7">
    <cfRule type="expression" dxfId="144" priority="41" stopIfTrue="1">
      <formula>VLOOKUP($B2,TabAlgTutti,1,FALSE)=$B2</formula>
    </cfRule>
  </conditionalFormatting>
  <conditionalFormatting sqref="AK6">
    <cfRule type="expression" dxfId="143" priority="42" stopIfTrue="1">
      <formula>VLOOKUP($B6,TabAlgTutti,1,FALSE)=$B6</formula>
    </cfRule>
  </conditionalFormatting>
  <conditionalFormatting sqref="AJ2 AJ7">
    <cfRule type="expression" dxfId="142" priority="43" stopIfTrue="1">
      <formula>VLOOKUP($B2,TabAlgTutti,1,FALSE)=$B2</formula>
    </cfRule>
  </conditionalFormatting>
  <conditionalFormatting sqref="AJ6">
    <cfRule type="expression" dxfId="141" priority="44" stopIfTrue="1">
      <formula>VLOOKUP($B6,TabAlgTutti,1,FALSE)=$B6</formula>
    </cfRule>
  </conditionalFormatting>
  <conditionalFormatting sqref="AI2 AI7">
    <cfRule type="expression" dxfId="140" priority="45" stopIfTrue="1">
      <formula>VLOOKUP($B2,TabAlgTutti,1,FALSE)=$B2</formula>
    </cfRule>
  </conditionalFormatting>
  <conditionalFormatting sqref="AI6">
    <cfRule type="expression" dxfId="139" priority="46" stopIfTrue="1">
      <formula>VLOOKUP($B6,TabAlgTutti,1,FALSE)=$B6</formula>
    </cfRule>
  </conditionalFormatting>
  <conditionalFormatting sqref="AH2 AH7">
    <cfRule type="expression" dxfId="138" priority="47" stopIfTrue="1">
      <formula>VLOOKUP($B2,TabAlgTutti,1,FALSE)=$B2</formula>
    </cfRule>
  </conditionalFormatting>
  <conditionalFormatting sqref="AH6">
    <cfRule type="expression" dxfId="137" priority="48" stopIfTrue="1">
      <formula>VLOOKUP($B6,TabAlgTutti,1,FALSE)=$B6</formula>
    </cfRule>
  </conditionalFormatting>
  <conditionalFormatting sqref="AG2 AG7">
    <cfRule type="expression" dxfId="136" priority="49" stopIfTrue="1">
      <formula>VLOOKUP($B2,TabAlgTutti,1,FALSE)=$B2</formula>
    </cfRule>
  </conditionalFormatting>
  <conditionalFormatting sqref="AG6">
    <cfRule type="expression" dxfId="135" priority="50" stopIfTrue="1">
      <formula>VLOOKUP($B6,TabAlgTutti,1,FALSE)=$B6</formula>
    </cfRule>
  </conditionalFormatting>
  <conditionalFormatting sqref="AF2 AF7">
    <cfRule type="expression" dxfId="134" priority="51" stopIfTrue="1">
      <formula>VLOOKUP($B2,TabAlgTutti,1,FALSE)=$B2</formula>
    </cfRule>
  </conditionalFormatting>
  <conditionalFormatting sqref="AF6">
    <cfRule type="expression" dxfId="133" priority="52" stopIfTrue="1">
      <formula>VLOOKUP($B6,TabAlgTutti,1,FALSE)=$B6</formula>
    </cfRule>
  </conditionalFormatting>
  <conditionalFormatting sqref="AE2 AE7">
    <cfRule type="expression" dxfId="132" priority="53" stopIfTrue="1">
      <formula>VLOOKUP($B2,TabAlgTutti,1,FALSE)=$B2</formula>
    </cfRule>
  </conditionalFormatting>
  <conditionalFormatting sqref="AE6">
    <cfRule type="expression" dxfId="131" priority="54" stopIfTrue="1">
      <formula>VLOOKUP($B6,TabAlgTutti,1,FALSE)=$B6</formula>
    </cfRule>
  </conditionalFormatting>
  <conditionalFormatting sqref="BA6">
    <cfRule type="expression" dxfId="130" priority="55" stopIfTrue="1">
      <formula>VLOOKUP($B6,TabAlgTutti,1,FALSE)=$B6</formula>
    </cfRule>
  </conditionalFormatting>
  <conditionalFormatting sqref="BA2 BA7">
    <cfRule type="expression" dxfId="129" priority="56" stopIfTrue="1">
      <formula>VLOOKUP($B2,TabAlgTutti,1,FALSE)=$B2</formula>
    </cfRule>
  </conditionalFormatting>
  <conditionalFormatting sqref="AO2 AO7">
    <cfRule type="expression" dxfId="128" priority="57" stopIfTrue="1">
      <formula>VLOOKUP($B2,TabAlgTutti,1,FALSE)=$B2</formula>
    </cfRule>
  </conditionalFormatting>
  <conditionalFormatting sqref="AP6">
    <cfRule type="expression" dxfId="127" priority="58" stopIfTrue="1">
      <formula>VLOOKUP($B6,TabAlgTutti,1,FALSE)=$B6</formula>
    </cfRule>
  </conditionalFormatting>
  <conditionalFormatting sqref="AP2 AP7">
    <cfRule type="expression" dxfId="126" priority="59" stopIfTrue="1">
      <formula>VLOOKUP($B2,TabAlgTutti,1,FALSE)=$B2</formula>
    </cfRule>
  </conditionalFormatting>
  <conditionalFormatting sqref="AQ6">
    <cfRule type="expression" dxfId="125" priority="60" stopIfTrue="1">
      <formula>VLOOKUP($B6,TabAlgTutti,1,FALSE)=$B6</formula>
    </cfRule>
  </conditionalFormatting>
  <conditionalFormatting sqref="AQ2 AQ7">
    <cfRule type="expression" dxfId="124" priority="61" stopIfTrue="1">
      <formula>VLOOKUP($B2,TabAlgTutti,1,FALSE)=$B2</formula>
    </cfRule>
  </conditionalFormatting>
  <conditionalFormatting sqref="AR6">
    <cfRule type="expression" dxfId="123" priority="62" stopIfTrue="1">
      <formula>VLOOKUP($B6,TabAlgTutti,1,FALSE)=$B6</formula>
    </cfRule>
  </conditionalFormatting>
  <conditionalFormatting sqref="AR2 AR7">
    <cfRule type="expression" dxfId="122" priority="63" stopIfTrue="1">
      <formula>VLOOKUP($B2,TabAlgTutti,1,FALSE)=$B2</formula>
    </cfRule>
  </conditionalFormatting>
  <conditionalFormatting sqref="AS6">
    <cfRule type="expression" dxfId="121" priority="64" stopIfTrue="1">
      <formula>VLOOKUP($B6,TabAlgTutti,1,FALSE)=$B6</formula>
    </cfRule>
  </conditionalFormatting>
  <conditionalFormatting sqref="AS2 AS7">
    <cfRule type="expression" dxfId="120" priority="65" stopIfTrue="1">
      <formula>VLOOKUP($B2,TabAlgTutti,1,FALSE)=$B2</formula>
    </cfRule>
  </conditionalFormatting>
  <conditionalFormatting sqref="AT6">
    <cfRule type="expression" dxfId="119" priority="66" stopIfTrue="1">
      <formula>VLOOKUP($B6,TabAlgTutti,1,FALSE)=$B6</formula>
    </cfRule>
  </conditionalFormatting>
  <conditionalFormatting sqref="AT2 AT7">
    <cfRule type="expression" dxfId="118" priority="67" stopIfTrue="1">
      <formula>VLOOKUP($B2,TabAlgTutti,1,FALSE)=$B2</formula>
    </cfRule>
  </conditionalFormatting>
  <conditionalFormatting sqref="AU6">
    <cfRule type="expression" dxfId="117" priority="68" stopIfTrue="1">
      <formula>VLOOKUP($B6,TabAlgTutti,1,FALSE)=$B6</formula>
    </cfRule>
  </conditionalFormatting>
  <conditionalFormatting sqref="AU2 AU7">
    <cfRule type="expression" dxfId="116" priority="69" stopIfTrue="1">
      <formula>VLOOKUP($B2,TabAlgTutti,1,FALSE)=$B2</formula>
    </cfRule>
  </conditionalFormatting>
  <conditionalFormatting sqref="AV6">
    <cfRule type="expression" dxfId="115" priority="70" stopIfTrue="1">
      <formula>VLOOKUP($B6,TabAlgTutti,1,FALSE)=$B6</formula>
    </cfRule>
  </conditionalFormatting>
  <conditionalFormatting sqref="AV2 AV7">
    <cfRule type="expression" dxfId="114" priority="71" stopIfTrue="1">
      <formula>VLOOKUP($B2,TabAlgTutti,1,FALSE)=$B2</formula>
    </cfRule>
  </conditionalFormatting>
  <conditionalFormatting sqref="AW6">
    <cfRule type="expression" dxfId="113" priority="72" stopIfTrue="1">
      <formula>VLOOKUP($B6,TabAlgTutti,1,FALSE)=$B6</formula>
    </cfRule>
  </conditionalFormatting>
  <conditionalFormatting sqref="AW2 AW7">
    <cfRule type="expression" dxfId="112" priority="73" stopIfTrue="1">
      <formula>VLOOKUP($B2,TabAlgTutti,1,FALSE)=$B2</formula>
    </cfRule>
  </conditionalFormatting>
  <conditionalFormatting sqref="AX6">
    <cfRule type="expression" dxfId="111" priority="74" stopIfTrue="1">
      <formula>VLOOKUP($B6,TabAlgTutti,1,FALSE)=$B6</formula>
    </cfRule>
  </conditionalFormatting>
  <conditionalFormatting sqref="AX2 AX7">
    <cfRule type="expression" dxfId="110" priority="75" stopIfTrue="1">
      <formula>VLOOKUP($B2,TabAlgTutti,1,FALSE)=$B2</formula>
    </cfRule>
  </conditionalFormatting>
  <conditionalFormatting sqref="AY6">
    <cfRule type="expression" dxfId="109" priority="76" stopIfTrue="1">
      <formula>VLOOKUP($B6,TabAlgTutti,1,FALSE)=$B6</formula>
    </cfRule>
  </conditionalFormatting>
  <conditionalFormatting sqref="AY2 AY7">
    <cfRule type="expression" dxfId="108" priority="77" stopIfTrue="1">
      <formula>VLOOKUP($B2,TabAlgTutti,1,FALSE)=$B2</formula>
    </cfRule>
  </conditionalFormatting>
  <conditionalFormatting sqref="AZ6">
    <cfRule type="expression" dxfId="107" priority="78" stopIfTrue="1">
      <formula>VLOOKUP($B6,TabAlgTutti,1,FALSE)=$B6</formula>
    </cfRule>
  </conditionalFormatting>
  <conditionalFormatting sqref="AZ2 AZ7">
    <cfRule type="expression" dxfId="106" priority="79" stopIfTrue="1">
      <formula>VLOOKUP($B2,TabAlgTutti,1,FALSE)=$B2</formula>
    </cfRule>
  </conditionalFormatting>
  <conditionalFormatting sqref="Z2:AA566">
    <cfRule type="expression" dxfId="105" priority="11" stopIfTrue="1">
      <formula>VLOOKUP($B2,TabAlgTutti,1,FALSE)=$B2</formula>
    </cfRule>
  </conditionalFormatting>
  <conditionalFormatting sqref="AD34:BA35 AD21:BA21">
    <cfRule type="expression" dxfId="104" priority="81" stopIfTrue="1">
      <formula>VLOOKUP($B18,TabAlgTutti,1,FALSE)=$B18</formula>
    </cfRule>
  </conditionalFormatting>
  <conditionalFormatting sqref="AA554">
    <cfRule type="expression" dxfId="103" priority="15" stopIfTrue="1">
      <formula>VLOOKUP($B554,TabAlgTutti,1,FALSE)=$B554</formula>
    </cfRule>
  </conditionalFormatting>
  <conditionalFormatting sqref="B2:B41">
    <cfRule type="expression" dxfId="102" priority="10" stopIfTrue="1">
      <formula>OR(COUNTIF($Q$5:$Q$211,B2)&gt;0)</formula>
    </cfRule>
    <cfRule type="expression" dxfId="101" priority="80" stopIfTrue="1">
      <formula>OR(COUNTIF($R$5:$R$211,B2)&gt;0)</formula>
    </cfRule>
  </conditionalFormatting>
  <conditionalFormatting sqref="C2:G41">
    <cfRule type="expression" dxfId="100" priority="83" stopIfTrue="1">
      <formula>OR(COUNTIF($Q$5:$Q$211,C2)&gt;0)</formula>
    </cfRule>
    <cfRule type="expression" dxfId="99" priority="84" stopIfTrue="1">
      <formula>OR(COUNTIF($S$5:$S$211,C2)&gt;0)</formula>
    </cfRule>
  </conditionalFormatting>
  <conditionalFormatting sqref="H2:L41">
    <cfRule type="expression" dxfId="98" priority="7" stopIfTrue="1">
      <formula>OR(COUNTIF($Q$5:$Q$211,H2)&gt;0)</formula>
    </cfRule>
    <cfRule type="expression" dxfId="97" priority="9" stopIfTrue="1">
      <formula>OR(COUNTIF($T$5:$T$211,H2)&gt;0)</formula>
    </cfRule>
  </conditionalFormatting>
  <conditionalFormatting sqref="M2:O41">
    <cfRule type="expression" dxfId="96" priority="6" stopIfTrue="1">
      <formula>OR(COUNTIF($Q$5:$Q$211,M2)&gt;0)</formula>
    </cfRule>
    <cfRule type="expression" dxfId="95" priority="8" stopIfTrue="1">
      <formula>OR(COUNTIF($U$5:$U$211,M2)&gt;0)</formula>
    </cfRule>
  </conditionalFormatting>
  <conditionalFormatting sqref="B2:O41">
    <cfRule type="containsBlanks" dxfId="94" priority="5" stopIfTrue="1">
      <formula>LEN(TRIM(B2))=0</formula>
    </cfRule>
  </conditionalFormatting>
  <dataValidations count="4">
    <dataValidation type="list" allowBlank="1" showErrorMessage="1" sqref="C2:G49" xr:uid="{00000000-0002-0000-0800-000000000000}">
      <formula1>INDIRECT("Sq"&amp;TRUNC(ROW()/2)&amp;"Dif")</formula1>
      <formula2>0</formula2>
    </dataValidation>
    <dataValidation type="list" allowBlank="1" showErrorMessage="1" sqref="B2:B49" xr:uid="{00000000-0002-0000-0800-000001000000}">
      <formula1>INDIRECT("Sq"&amp;TRUNC(ROW()/2)&amp;"Por")</formula1>
      <formula2>0</formula2>
    </dataValidation>
    <dataValidation type="list" allowBlank="1" showErrorMessage="1" sqref="H2:L49" xr:uid="{00000000-0002-0000-0800-000002000000}">
      <formula1>INDIRECT("Sq"&amp;TRUNC(ROW()/2)&amp;"Cen")</formula1>
      <formula2>0</formula2>
    </dataValidation>
    <dataValidation type="list" allowBlank="1" showErrorMessage="1" sqref="M2:O49" xr:uid="{00000000-0002-0000-0800-000003000000}">
      <formula1>INDIRECT("Sq"&amp;TRUNC(ROW()/2)&amp;"Att")</formula1>
      <formula2>0</formula2>
    </dataValidation>
  </dataValidations>
  <pageMargins left="0.7" right="0.7" top="0.75" bottom="0.75" header="0.51180555555555551" footer="0.51180555555555551"/>
  <pageSetup paperSize="9"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7">
    <tabColor indexed="63"/>
  </sheetPr>
  <dimension ref="A1:M53"/>
  <sheetViews>
    <sheetView topLeftCell="A22" workbookViewId="0">
      <selection activeCell="M53" sqref="M53"/>
    </sheetView>
  </sheetViews>
  <sheetFormatPr defaultRowHeight="12.75"/>
  <sheetData>
    <row r="1" spans="1:13" ht="18">
      <c r="A1" s="567" t="s">
        <v>788</v>
      </c>
      <c r="B1" s="567"/>
      <c r="C1" s="567"/>
      <c r="D1" s="567"/>
      <c r="E1" s="567"/>
      <c r="F1" s="567"/>
      <c r="G1" s="567"/>
      <c r="H1" s="567"/>
      <c r="I1" s="567"/>
      <c r="J1" s="567"/>
      <c r="K1" s="567"/>
      <c r="L1" s="567"/>
    </row>
    <row r="3" spans="1:13">
      <c r="A3" s="565" t="s">
        <v>789</v>
      </c>
      <c r="B3" s="565"/>
      <c r="C3" s="565"/>
      <c r="D3" s="565"/>
      <c r="E3" s="565"/>
      <c r="F3" s="565"/>
      <c r="G3" s="565"/>
      <c r="H3" s="565"/>
      <c r="I3" s="565"/>
      <c r="J3" s="565"/>
      <c r="K3" s="565"/>
      <c r="L3" s="565"/>
    </row>
    <row r="4" spans="1:13">
      <c r="A4" s="565" t="s">
        <v>790</v>
      </c>
      <c r="B4" s="565"/>
      <c r="C4" s="565"/>
      <c r="D4" s="565"/>
      <c r="E4" s="565"/>
      <c r="F4" s="565"/>
      <c r="G4" s="565"/>
      <c r="H4" s="565"/>
      <c r="I4" s="565"/>
      <c r="J4" s="565"/>
      <c r="K4" s="565"/>
      <c r="L4" s="565"/>
    </row>
    <row r="5" spans="1:13">
      <c r="A5" s="565" t="s">
        <v>791</v>
      </c>
      <c r="B5" s="565"/>
      <c r="C5" s="565"/>
      <c r="D5" s="565"/>
      <c r="E5" s="565"/>
      <c r="F5" s="565"/>
      <c r="G5" s="565"/>
      <c r="H5" s="565"/>
      <c r="I5" s="565"/>
      <c r="J5" s="565"/>
      <c r="K5" s="565"/>
      <c r="L5" s="565"/>
    </row>
    <row r="7" spans="1:13">
      <c r="A7" s="568"/>
      <c r="B7" s="568"/>
      <c r="C7" s="568"/>
      <c r="D7" s="568"/>
      <c r="E7" s="568"/>
      <c r="F7" s="568"/>
      <c r="G7" s="568"/>
    </row>
    <row r="8" spans="1:13">
      <c r="A8" s="126"/>
      <c r="B8" s="126"/>
      <c r="C8" s="126"/>
      <c r="D8" s="126"/>
      <c r="E8" s="126"/>
      <c r="F8" s="126"/>
      <c r="G8" s="126"/>
    </row>
    <row r="9" spans="1:13">
      <c r="A9" s="127" t="s">
        <v>792</v>
      </c>
    </row>
    <row r="10" spans="1:13">
      <c r="A10" s="564" t="s">
        <v>793</v>
      </c>
      <c r="B10" s="564"/>
      <c r="C10" s="564"/>
      <c r="D10" s="564"/>
      <c r="E10" s="564"/>
      <c r="F10" s="564"/>
      <c r="G10" s="564"/>
    </row>
    <row r="11" spans="1:13">
      <c r="A11" s="128" t="s">
        <v>794</v>
      </c>
      <c r="B11" s="129"/>
      <c r="C11" s="129"/>
      <c r="D11" s="129"/>
      <c r="E11" s="129"/>
      <c r="F11" s="129"/>
    </row>
    <row r="12" spans="1:13">
      <c r="A12" s="565" t="s">
        <v>795</v>
      </c>
      <c r="B12" s="565"/>
      <c r="C12" s="565"/>
      <c r="D12" s="565"/>
      <c r="E12" s="565"/>
      <c r="F12" s="565"/>
      <c r="G12" s="565"/>
      <c r="H12" s="565"/>
      <c r="I12" s="565"/>
      <c r="J12" s="565"/>
      <c r="K12" s="565"/>
      <c r="L12" s="565"/>
    </row>
    <row r="13" spans="1:13">
      <c r="A13" s="565" t="s">
        <v>796</v>
      </c>
      <c r="B13" s="565"/>
      <c r="C13" s="565"/>
      <c r="D13" s="565"/>
      <c r="E13" s="565"/>
      <c r="F13" s="565"/>
      <c r="G13" s="565"/>
      <c r="H13" s="565"/>
      <c r="I13" s="565"/>
      <c r="J13" s="565"/>
      <c r="K13" s="565"/>
      <c r="L13" s="565"/>
    </row>
    <row r="14" spans="1:13">
      <c r="A14" s="564" t="s">
        <v>797</v>
      </c>
      <c r="B14" s="564"/>
      <c r="C14" s="564"/>
      <c r="D14" s="564"/>
      <c r="E14" s="564"/>
      <c r="F14" s="564"/>
      <c r="G14" s="564"/>
      <c r="H14" s="564"/>
      <c r="I14" s="564"/>
      <c r="J14" s="564"/>
      <c r="K14" s="564"/>
      <c r="L14" s="564"/>
      <c r="M14" s="564"/>
    </row>
    <row r="18" spans="1:13">
      <c r="A18" s="566" t="s">
        <v>798</v>
      </c>
      <c r="B18" s="566"/>
    </row>
    <row r="20" spans="1:13">
      <c r="A20" s="565" t="s">
        <v>799</v>
      </c>
      <c r="B20" s="565"/>
      <c r="C20" s="565"/>
      <c r="D20" s="565"/>
      <c r="E20" s="565"/>
      <c r="F20" s="565"/>
      <c r="G20" s="565"/>
      <c r="H20" s="565"/>
      <c r="I20" s="565"/>
      <c r="J20" s="565"/>
      <c r="K20" s="565"/>
      <c r="L20" s="565"/>
    </row>
    <row r="21" spans="1:13">
      <c r="A21" s="564" t="s">
        <v>800</v>
      </c>
      <c r="B21" s="564"/>
      <c r="C21" s="564"/>
      <c r="D21" s="564"/>
      <c r="E21" s="564"/>
      <c r="F21" s="564"/>
      <c r="G21" s="564"/>
      <c r="H21" s="564"/>
      <c r="I21" s="564"/>
      <c r="J21" s="564"/>
      <c r="K21" s="564"/>
      <c r="L21" s="564"/>
    </row>
    <row r="22" spans="1:13">
      <c r="A22" s="564" t="s">
        <v>801</v>
      </c>
      <c r="B22" s="564"/>
      <c r="C22" s="564"/>
      <c r="D22" s="564"/>
      <c r="E22" s="564"/>
      <c r="F22" s="564"/>
      <c r="G22" s="564"/>
      <c r="H22" s="564"/>
      <c r="I22" s="564"/>
      <c r="J22" s="564"/>
      <c r="K22" s="564"/>
      <c r="L22" s="564"/>
    </row>
    <row r="23" spans="1:13">
      <c r="A23" s="564" t="s">
        <v>802</v>
      </c>
      <c r="B23" s="564"/>
      <c r="C23" s="564"/>
      <c r="D23" s="564"/>
      <c r="E23" s="564"/>
      <c r="F23" s="564"/>
      <c r="G23" s="564"/>
      <c r="H23" s="564"/>
      <c r="I23" s="564"/>
      <c r="J23" s="564"/>
      <c r="K23" s="564"/>
      <c r="L23" s="564"/>
      <c r="M23" s="564"/>
    </row>
    <row r="24" spans="1:13">
      <c r="A24" s="130"/>
      <c r="B24" s="130"/>
      <c r="C24" s="130"/>
      <c r="D24" s="130"/>
      <c r="E24" s="130"/>
      <c r="F24" s="130"/>
      <c r="G24" s="130"/>
      <c r="H24" s="130"/>
      <c r="I24" s="130"/>
      <c r="J24" s="130"/>
      <c r="K24" s="130"/>
      <c r="L24" s="130"/>
      <c r="M24" s="130"/>
    </row>
    <row r="25" spans="1:13">
      <c r="A25" s="130"/>
      <c r="B25" s="130"/>
      <c r="C25" s="130"/>
      <c r="D25" s="130"/>
      <c r="E25" s="130"/>
      <c r="F25" s="130"/>
      <c r="G25" s="130"/>
      <c r="H25" s="130"/>
      <c r="I25" s="130"/>
      <c r="J25" s="130"/>
      <c r="K25" s="130"/>
      <c r="L25" s="130"/>
      <c r="M25" s="130"/>
    </row>
    <row r="26" spans="1:13">
      <c r="M26" s="130"/>
    </row>
    <row r="27" spans="1:13">
      <c r="A27" s="131" t="s">
        <v>803</v>
      </c>
    </row>
    <row r="28" spans="1:13">
      <c r="A28" s="131" t="s">
        <v>804</v>
      </c>
    </row>
    <row r="30" spans="1:13">
      <c r="A30" s="132" t="s">
        <v>805</v>
      </c>
    </row>
    <row r="31" spans="1:13">
      <c r="A31" s="133"/>
    </row>
    <row r="32" spans="1:13">
      <c r="A32" s="132" t="s">
        <v>806</v>
      </c>
    </row>
    <row r="33" spans="1:1">
      <c r="A33" s="132" t="s">
        <v>807</v>
      </c>
    </row>
    <row r="34" spans="1:1">
      <c r="A34" s="132" t="s">
        <v>808</v>
      </c>
    </row>
    <row r="35" spans="1:1">
      <c r="A35" s="132" t="s">
        <v>809</v>
      </c>
    </row>
    <row r="36" spans="1:1">
      <c r="A36" s="132" t="s">
        <v>810</v>
      </c>
    </row>
    <row r="37" spans="1:1">
      <c r="A37" s="132" t="s">
        <v>811</v>
      </c>
    </row>
    <row r="38" spans="1:1">
      <c r="A38" s="132" t="s">
        <v>812</v>
      </c>
    </row>
    <row r="39" spans="1:1">
      <c r="A39" s="133"/>
    </row>
    <row r="40" spans="1:1">
      <c r="A40" s="132" t="s">
        <v>813</v>
      </c>
    </row>
    <row r="41" spans="1:1">
      <c r="A41" s="132" t="s">
        <v>814</v>
      </c>
    </row>
    <row r="42" spans="1:1">
      <c r="A42" s="132" t="s">
        <v>815</v>
      </c>
    </row>
    <row r="43" spans="1:1">
      <c r="A43" s="132" t="s">
        <v>816</v>
      </c>
    </row>
    <row r="44" spans="1:1">
      <c r="A44" s="133"/>
    </row>
    <row r="45" spans="1:1">
      <c r="A45" s="132" t="s">
        <v>817</v>
      </c>
    </row>
    <row r="46" spans="1:1">
      <c r="A46" s="132" t="s">
        <v>818</v>
      </c>
    </row>
    <row r="47" spans="1:1">
      <c r="A47" s="133"/>
    </row>
    <row r="48" spans="1:1">
      <c r="A48" s="132" t="s">
        <v>819</v>
      </c>
    </row>
    <row r="49" spans="1:1">
      <c r="A49" s="132" t="s">
        <v>820</v>
      </c>
    </row>
    <row r="50" spans="1:1">
      <c r="A50" s="132" t="s">
        <v>821</v>
      </c>
    </row>
    <row r="51" spans="1:1">
      <c r="A51" s="132" t="s">
        <v>822</v>
      </c>
    </row>
    <row r="52" spans="1:1">
      <c r="A52" s="132" t="s">
        <v>823</v>
      </c>
    </row>
    <row r="53" spans="1:1">
      <c r="A53" s="134" t="s">
        <v>824</v>
      </c>
    </row>
  </sheetData>
  <sheetProtection selectLockedCells="1" selectUnlockedCells="1"/>
  <mergeCells count="14">
    <mergeCell ref="A1:L1"/>
    <mergeCell ref="A3:L3"/>
    <mergeCell ref="A4:L4"/>
    <mergeCell ref="A5:L5"/>
    <mergeCell ref="A7:G7"/>
    <mergeCell ref="A10:G10"/>
    <mergeCell ref="A22:L22"/>
    <mergeCell ref="A23:M23"/>
    <mergeCell ref="A12:L12"/>
    <mergeCell ref="A13:L13"/>
    <mergeCell ref="A14:M14"/>
    <mergeCell ref="A18:B18"/>
    <mergeCell ref="A20:L20"/>
    <mergeCell ref="A21:L21"/>
  </mergeCell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8">
    <tabColor indexed="47"/>
  </sheetPr>
  <dimension ref="A1:M54"/>
  <sheetViews>
    <sheetView topLeftCell="A19" workbookViewId="0">
      <selection activeCell="C31" sqref="C31"/>
    </sheetView>
  </sheetViews>
  <sheetFormatPr defaultRowHeight="12.75"/>
  <cols>
    <col min="1" max="1" width="13.140625" style="135" customWidth="1"/>
    <col min="2" max="2" width="17.42578125" style="135" customWidth="1"/>
    <col min="3" max="3" width="17.85546875" style="135" customWidth="1"/>
    <col min="4" max="4" width="9.140625" style="135"/>
    <col min="5" max="5" width="13.85546875" style="135" customWidth="1"/>
    <col min="6" max="6" width="9.42578125" style="135" customWidth="1"/>
    <col min="7" max="16384" width="9.140625" style="135"/>
  </cols>
  <sheetData>
    <row r="1" spans="1:13">
      <c r="A1" s="136" t="s">
        <v>825</v>
      </c>
      <c r="B1" s="574" t="s">
        <v>826</v>
      </c>
      <c r="C1" s="574"/>
      <c r="D1" s="574"/>
      <c r="E1" s="574"/>
      <c r="F1" s="574"/>
      <c r="G1" s="574"/>
      <c r="H1" s="574"/>
      <c r="I1" s="574"/>
      <c r="J1" s="574"/>
      <c r="K1" s="574"/>
      <c r="L1" s="574"/>
      <c r="M1" s="574"/>
    </row>
    <row r="2" spans="1:13" s="138" customFormat="1">
      <c r="A2" s="137"/>
      <c r="B2" s="137"/>
      <c r="C2" s="137"/>
      <c r="D2" s="137"/>
      <c r="E2" s="137"/>
      <c r="F2" s="137"/>
      <c r="G2" s="137"/>
      <c r="H2" s="137"/>
      <c r="I2" s="137"/>
      <c r="J2" s="137"/>
      <c r="K2" s="137"/>
      <c r="L2" s="137"/>
      <c r="M2" s="137"/>
    </row>
    <row r="4" spans="1:13">
      <c r="A4" s="572" t="s">
        <v>827</v>
      </c>
      <c r="B4" s="572"/>
      <c r="C4" s="572" t="s">
        <v>828</v>
      </c>
      <c r="D4" s="572"/>
      <c r="E4" s="575" t="s">
        <v>829</v>
      </c>
      <c r="F4" s="575"/>
      <c r="G4" s="572" t="s">
        <v>830</v>
      </c>
      <c r="H4" s="572"/>
    </row>
    <row r="5" spans="1:13">
      <c r="A5" s="139" t="s">
        <v>831</v>
      </c>
      <c r="B5" s="140">
        <v>1.3332999999999999</v>
      </c>
      <c r="C5" s="139" t="s">
        <v>831</v>
      </c>
      <c r="D5" s="140">
        <v>1.3332999999999999</v>
      </c>
      <c r="E5" s="139" t="s">
        <v>831</v>
      </c>
      <c r="F5" s="140">
        <v>1.3332999999999999</v>
      </c>
      <c r="G5" s="140" t="s">
        <v>831</v>
      </c>
      <c r="H5" s="140">
        <v>1.3332999999999999</v>
      </c>
    </row>
    <row r="6" spans="1:13">
      <c r="A6" s="139" t="s">
        <v>832</v>
      </c>
      <c r="B6" s="140">
        <v>1</v>
      </c>
      <c r="C6" s="139" t="s">
        <v>832</v>
      </c>
      <c r="D6" s="140">
        <v>1</v>
      </c>
      <c r="E6" s="139" t="s">
        <v>832</v>
      </c>
      <c r="F6" s="140">
        <v>1.3374999999999999</v>
      </c>
      <c r="G6" s="140" t="s">
        <v>832</v>
      </c>
      <c r="H6" s="140">
        <v>1.3374999999999999</v>
      </c>
    </row>
    <row r="7" spans="1:13">
      <c r="A7" s="139" t="s">
        <v>833</v>
      </c>
      <c r="B7" s="140">
        <v>1.4</v>
      </c>
      <c r="C7" s="139" t="s">
        <v>833</v>
      </c>
      <c r="D7" s="140">
        <v>1.55</v>
      </c>
      <c r="E7" s="139" t="s">
        <v>833</v>
      </c>
      <c r="F7" s="140">
        <v>1.4125000000000001</v>
      </c>
      <c r="G7" s="140" t="s">
        <v>833</v>
      </c>
      <c r="H7" s="140">
        <v>1.9624999999999999</v>
      </c>
    </row>
    <row r="8" spans="1:13">
      <c r="A8" s="139" t="s">
        <v>834</v>
      </c>
      <c r="B8" s="140">
        <v>1.1625000000000001</v>
      </c>
      <c r="C8" s="139" t="s">
        <v>834</v>
      </c>
      <c r="D8" s="140">
        <v>1.1625000000000001</v>
      </c>
      <c r="E8" s="139" t="s">
        <v>834</v>
      </c>
      <c r="F8" s="140">
        <v>1.25</v>
      </c>
      <c r="G8" s="140" t="s">
        <v>834</v>
      </c>
      <c r="H8" s="140">
        <v>1.25</v>
      </c>
    </row>
    <row r="9" spans="1:13">
      <c r="A9" s="139" t="s">
        <v>835</v>
      </c>
      <c r="B9" s="141">
        <v>1.4375</v>
      </c>
      <c r="C9" s="139" t="s">
        <v>835</v>
      </c>
      <c r="D9" s="141">
        <v>1.4375</v>
      </c>
      <c r="E9" s="139" t="s">
        <v>835</v>
      </c>
      <c r="F9" s="141">
        <v>1.3332999999999999</v>
      </c>
      <c r="G9" s="140" t="s">
        <v>835</v>
      </c>
      <c r="H9" s="141">
        <v>1.3332999999999999</v>
      </c>
    </row>
    <row r="10" spans="1:13">
      <c r="A10" s="139" t="s">
        <v>836</v>
      </c>
      <c r="B10" s="141">
        <v>1.3332999999999999</v>
      </c>
      <c r="C10" s="139" t="s">
        <v>836</v>
      </c>
      <c r="D10" s="141">
        <v>1.3332999999999999</v>
      </c>
      <c r="E10" s="139" t="s">
        <v>836</v>
      </c>
      <c r="F10" s="141">
        <v>1.3332999999999999</v>
      </c>
      <c r="G10" s="140" t="s">
        <v>836</v>
      </c>
      <c r="H10" s="141">
        <v>1.3332999999999999</v>
      </c>
    </row>
    <row r="11" spans="1:13">
      <c r="A11" s="139" t="s">
        <v>837</v>
      </c>
      <c r="B11" s="141">
        <v>1.1000000000000001</v>
      </c>
      <c r="C11" s="139" t="s">
        <v>837</v>
      </c>
      <c r="D11" s="141">
        <v>1.1000000000000001</v>
      </c>
      <c r="E11" s="139" t="s">
        <v>837</v>
      </c>
      <c r="F11" s="141">
        <v>1.1000000000000001</v>
      </c>
      <c r="G11" s="140" t="s">
        <v>837</v>
      </c>
      <c r="H11" s="141">
        <v>1.1000000000000001</v>
      </c>
    </row>
    <row r="12" spans="1:13">
      <c r="A12" s="139" t="s">
        <v>838</v>
      </c>
      <c r="B12" s="141">
        <v>1.2</v>
      </c>
      <c r="C12" s="139" t="s">
        <v>838</v>
      </c>
      <c r="D12" s="141">
        <v>1.2</v>
      </c>
      <c r="E12" s="139" t="s">
        <v>838</v>
      </c>
      <c r="F12" s="141">
        <v>1.2</v>
      </c>
      <c r="G12" s="140" t="s">
        <v>838</v>
      </c>
      <c r="H12" s="141">
        <v>1.2</v>
      </c>
      <c r="K12" s="142"/>
    </row>
    <row r="13" spans="1:13">
      <c r="A13" s="139" t="s">
        <v>839</v>
      </c>
      <c r="B13" s="141">
        <v>-1.05</v>
      </c>
      <c r="C13" s="139" t="s">
        <v>839</v>
      </c>
      <c r="D13" s="141">
        <v>-1.05</v>
      </c>
      <c r="E13" s="139" t="s">
        <v>839</v>
      </c>
      <c r="F13" s="141">
        <v>-1.05</v>
      </c>
      <c r="G13" s="140" t="s">
        <v>839</v>
      </c>
      <c r="H13" s="141">
        <v>-1.05</v>
      </c>
      <c r="K13" s="142"/>
    </row>
    <row r="14" spans="1:13">
      <c r="K14" s="142"/>
    </row>
    <row r="15" spans="1:13">
      <c r="A15" s="572" t="s">
        <v>840</v>
      </c>
      <c r="B15" s="572"/>
      <c r="C15" s="572" t="s">
        <v>841</v>
      </c>
      <c r="D15" s="572"/>
      <c r="E15" s="572" t="s">
        <v>842</v>
      </c>
      <c r="F15" s="572"/>
      <c r="K15" s="142"/>
    </row>
    <row r="16" spans="1:13">
      <c r="A16" s="139" t="s">
        <v>831</v>
      </c>
      <c r="B16" s="140">
        <v>1.3332999999999999</v>
      </c>
      <c r="C16" s="140" t="s">
        <v>831</v>
      </c>
      <c r="D16" s="140">
        <v>1.3332999999999999</v>
      </c>
      <c r="E16" s="139" t="s">
        <v>831</v>
      </c>
      <c r="F16" s="140">
        <v>1.5333000000000001</v>
      </c>
    </row>
    <row r="17" spans="1:10">
      <c r="A17" s="139" t="s">
        <v>832</v>
      </c>
      <c r="B17" s="140">
        <v>1.2124999999999999</v>
      </c>
      <c r="C17" s="140" t="s">
        <v>832</v>
      </c>
      <c r="D17" s="140">
        <v>1.2124999999999999</v>
      </c>
      <c r="E17" s="139" t="s">
        <v>832</v>
      </c>
      <c r="F17" s="140">
        <v>1.8374999999999999</v>
      </c>
    </row>
    <row r="18" spans="1:10">
      <c r="A18" s="139" t="s">
        <v>833</v>
      </c>
      <c r="B18" s="140">
        <v>1.6</v>
      </c>
      <c r="C18" s="140" t="s">
        <v>833</v>
      </c>
      <c r="D18" s="140">
        <v>1.25</v>
      </c>
      <c r="E18" s="139" t="s">
        <v>833</v>
      </c>
      <c r="F18" s="140">
        <v>1.2</v>
      </c>
    </row>
    <row r="19" spans="1:10">
      <c r="A19" s="139" t="s">
        <v>834</v>
      </c>
      <c r="B19" s="140">
        <v>1.4875</v>
      </c>
      <c r="C19" s="140" t="s">
        <v>834</v>
      </c>
      <c r="D19" s="140">
        <v>1.4375</v>
      </c>
      <c r="E19" s="139" t="s">
        <v>834</v>
      </c>
      <c r="F19" s="140">
        <v>1.7625</v>
      </c>
    </row>
    <row r="20" spans="1:10">
      <c r="A20" s="139" t="s">
        <v>835</v>
      </c>
      <c r="B20" s="141">
        <v>1.3332999999999999</v>
      </c>
      <c r="C20" s="140" t="s">
        <v>835</v>
      </c>
      <c r="D20" s="141">
        <v>1.3332999999999999</v>
      </c>
      <c r="E20" s="139" t="s">
        <v>835</v>
      </c>
      <c r="F20" s="141">
        <v>1.3332999999999999</v>
      </c>
    </row>
    <row r="21" spans="1:10">
      <c r="A21" s="139" t="s">
        <v>836</v>
      </c>
      <c r="B21" s="141">
        <v>1.3332999999999999</v>
      </c>
      <c r="C21" s="140" t="s">
        <v>836</v>
      </c>
      <c r="D21" s="141">
        <v>1.3332999999999999</v>
      </c>
      <c r="E21" s="139" t="s">
        <v>836</v>
      </c>
      <c r="F21" s="141">
        <v>1.8</v>
      </c>
    </row>
    <row r="22" spans="1:10">
      <c r="A22" s="139" t="s">
        <v>837</v>
      </c>
      <c r="B22" s="141">
        <v>1.1000000000000001</v>
      </c>
      <c r="C22" s="140" t="s">
        <v>837</v>
      </c>
      <c r="D22" s="141">
        <v>1.1000000000000001</v>
      </c>
      <c r="E22" s="139" t="s">
        <v>837</v>
      </c>
      <c r="F22" s="141">
        <v>1.8</v>
      </c>
    </row>
    <row r="23" spans="1:10">
      <c r="A23" s="139" t="s">
        <v>838</v>
      </c>
      <c r="B23" s="141">
        <v>1.2</v>
      </c>
      <c r="C23" s="140" t="s">
        <v>838</v>
      </c>
      <c r="D23" s="141">
        <v>1.2</v>
      </c>
      <c r="E23" s="139" t="s">
        <v>838</v>
      </c>
      <c r="F23" s="141">
        <v>1.1000000000000001</v>
      </c>
    </row>
    <row r="24" spans="1:10">
      <c r="A24" s="139" t="s">
        <v>839</v>
      </c>
      <c r="B24" s="141">
        <v>1.05</v>
      </c>
      <c r="C24" s="140" t="s">
        <v>839</v>
      </c>
      <c r="D24" s="141">
        <v>1.05</v>
      </c>
      <c r="E24" s="139" t="s">
        <v>839</v>
      </c>
      <c r="F24" s="141">
        <v>1.05</v>
      </c>
    </row>
    <row r="28" spans="1:10">
      <c r="A28" s="573" t="s">
        <v>843</v>
      </c>
      <c r="B28" s="573"/>
      <c r="C28" s="143">
        <f>Asta!U3</f>
        <v>350</v>
      </c>
    </row>
    <row r="30" spans="1:10">
      <c r="A30" s="570" t="s">
        <v>844</v>
      </c>
      <c r="B30" s="570"/>
      <c r="C30" s="570"/>
      <c r="D30" s="570"/>
      <c r="E30" s="570"/>
      <c r="F30" s="570"/>
      <c r="G30"/>
      <c r="H30"/>
      <c r="I30"/>
      <c r="J30"/>
    </row>
    <row r="31" spans="1:10">
      <c r="A31" t="s">
        <v>845</v>
      </c>
      <c r="B31" s="144" t="s">
        <v>393</v>
      </c>
      <c r="C31" s="144">
        <v>165</v>
      </c>
      <c r="D31" t="s">
        <v>846</v>
      </c>
      <c r="E31" t="s">
        <v>847</v>
      </c>
      <c r="F31" s="145">
        <f>C31/$C$28</f>
        <v>0.47142857142857142</v>
      </c>
      <c r="H31"/>
      <c r="I31"/>
      <c r="J31"/>
    </row>
    <row r="32" spans="1:10">
      <c r="A32" t="s">
        <v>848</v>
      </c>
      <c r="B32" s="144" t="s">
        <v>483</v>
      </c>
      <c r="C32" s="144">
        <v>75</v>
      </c>
      <c r="D32" t="s">
        <v>846</v>
      </c>
      <c r="E32" t="s">
        <v>849</v>
      </c>
      <c r="F32" s="145">
        <f>C32/$C$28</f>
        <v>0.21428571428571427</v>
      </c>
      <c r="H32"/>
      <c r="I32"/>
      <c r="J32"/>
    </row>
    <row r="33" spans="1:10">
      <c r="A33" t="s">
        <v>850</v>
      </c>
      <c r="B33" s="144" t="s">
        <v>523</v>
      </c>
      <c r="C33" s="144">
        <v>25</v>
      </c>
      <c r="D33" t="s">
        <v>846</v>
      </c>
      <c r="E33" t="s">
        <v>851</v>
      </c>
      <c r="F33" s="145">
        <f>C33/$C$28</f>
        <v>7.1428571428571425E-2</v>
      </c>
      <c r="H33"/>
      <c r="I33"/>
      <c r="J33"/>
    </row>
    <row r="34" spans="1:10">
      <c r="A34" t="s">
        <v>659</v>
      </c>
      <c r="B34" s="144" t="s">
        <v>316</v>
      </c>
      <c r="C34" s="144">
        <v>20</v>
      </c>
      <c r="D34" t="s">
        <v>846</v>
      </c>
      <c r="E34" t="s">
        <v>852</v>
      </c>
      <c r="F34" s="145">
        <f>C34/$C$28</f>
        <v>5.7142857142857141E-2</v>
      </c>
      <c r="H34"/>
      <c r="I34"/>
      <c r="J34"/>
    </row>
    <row r="35" spans="1:10" ht="12.75" customHeight="1"/>
    <row r="36" spans="1:10" ht="12.75" customHeight="1">
      <c r="A36" t="s">
        <v>853</v>
      </c>
      <c r="B36"/>
      <c r="C36" s="146" t="s">
        <v>854</v>
      </c>
      <c r="D36" s="569" t="s">
        <v>855</v>
      </c>
      <c r="E36" s="569"/>
      <c r="F36" s="569"/>
      <c r="G36" s="569"/>
      <c r="H36" s="569"/>
      <c r="I36" s="569"/>
      <c r="J36" s="569"/>
    </row>
    <row r="37" spans="1:10" ht="12.75" customHeight="1">
      <c r="A37"/>
      <c r="B37"/>
      <c r="C37"/>
      <c r="D37" s="569"/>
      <c r="E37" s="569"/>
      <c r="F37" s="569"/>
      <c r="G37" s="569"/>
      <c r="H37" s="569"/>
      <c r="I37" s="569"/>
      <c r="J37" s="569"/>
    </row>
    <row r="38" spans="1:10">
      <c r="A38"/>
      <c r="B38"/>
      <c r="C38"/>
      <c r="D38" s="569"/>
      <c r="E38" s="569"/>
      <c r="F38" s="569"/>
      <c r="G38" s="569"/>
      <c r="H38" s="569"/>
      <c r="I38" s="569"/>
      <c r="J38" s="569"/>
    </row>
    <row r="40" spans="1:10">
      <c r="A40" s="570" t="s">
        <v>856</v>
      </c>
      <c r="B40" s="570"/>
      <c r="C40" s="128" t="s">
        <v>857</v>
      </c>
      <c r="D40" s="128" t="s">
        <v>858</v>
      </c>
      <c r="E40" s="128" t="s">
        <v>859</v>
      </c>
      <c r="F40" s="128" t="s">
        <v>860</v>
      </c>
    </row>
    <row r="41" spans="1:10">
      <c r="A41" t="s">
        <v>845</v>
      </c>
      <c r="B41" s="144" t="s">
        <v>480</v>
      </c>
      <c r="C41" s="147">
        <f>VLOOKUP($B41,TabAlgAtt,9,FALSE)</f>
        <v>77.657200000000003</v>
      </c>
      <c r="D41" s="144">
        <v>78</v>
      </c>
      <c r="E41" s="147"/>
      <c r="F41" s="147"/>
    </row>
    <row r="42" spans="1:10">
      <c r="A42" t="s">
        <v>848</v>
      </c>
      <c r="B42" s="144" t="s">
        <v>605</v>
      </c>
      <c r="C42" s="147">
        <f>VLOOKUP($B42,TabAlgCen,9,FALSE)</f>
        <v>69.510800000000003</v>
      </c>
      <c r="D42" s="144">
        <v>70</v>
      </c>
      <c r="E42" s="147">
        <f>VLOOKUP($B42,TabAlgCen,12,FALSE)</f>
        <v>66.710800000000006</v>
      </c>
      <c r="F42" s="144">
        <v>67</v>
      </c>
    </row>
    <row r="43" spans="1:10">
      <c r="A43" t="s">
        <v>850</v>
      </c>
      <c r="B43" s="144" t="s">
        <v>322</v>
      </c>
      <c r="C43" s="147">
        <f>VLOOKUP($B43,TabAlgDif,9,FALSE)</f>
        <v>63.201700000000002</v>
      </c>
      <c r="D43" s="144">
        <v>63</v>
      </c>
      <c r="E43" s="147">
        <f>VLOOKUP($B43,TabAlgDif,12,FALSE)</f>
        <v>66.5017</v>
      </c>
      <c r="F43" s="144">
        <v>67</v>
      </c>
    </row>
    <row r="44" spans="1:10">
      <c r="A44" t="s">
        <v>659</v>
      </c>
      <c r="B44" s="144" t="s">
        <v>1679</v>
      </c>
      <c r="C44" s="147">
        <f>VLOOKUP($B44,TabAlgPor,9,FALSE)</f>
        <v>59.06669999999999</v>
      </c>
      <c r="D44" s="144">
        <v>60</v>
      </c>
      <c r="E44" s="147">
        <f>VLOOKUP($B44,TabAlgPor,12,FALSE)</f>
        <v>59.966699999999989</v>
      </c>
      <c r="F44" s="144">
        <v>60</v>
      </c>
    </row>
    <row r="46" spans="1:10">
      <c r="A46" s="570" t="s">
        <v>861</v>
      </c>
      <c r="B46" s="570"/>
      <c r="C46" s="128" t="s">
        <v>857</v>
      </c>
      <c r="E46" s="128" t="s">
        <v>859</v>
      </c>
    </row>
    <row r="47" spans="1:10">
      <c r="A47" t="s">
        <v>845</v>
      </c>
      <c r="B47" s="135" t="str">
        <f>B31</f>
        <v>HIGUAIN</v>
      </c>
      <c r="C47" s="147">
        <f>VLOOKUP($B31,TabAlgAtt,9,FALSE)</f>
        <v>113.4084</v>
      </c>
      <c r="E47" s="147">
        <f>VLOOKUP($B31,TabAlgAtt,9,FALSE)</f>
        <v>113.4084</v>
      </c>
    </row>
    <row r="48" spans="1:10">
      <c r="A48" t="s">
        <v>848</v>
      </c>
      <c r="B48" s="135" t="str">
        <f>B32</f>
        <v>HAMSIK</v>
      </c>
      <c r="C48" s="147">
        <f>VLOOKUP($B32,TabAlgCen,9,FALSE)</f>
        <v>97.33829999999999</v>
      </c>
      <c r="E48" s="147">
        <f>VLOOKUP($B32,TabAlgCen,12,FALSE)</f>
        <v>93.738299999999995</v>
      </c>
    </row>
    <row r="49" spans="1:10">
      <c r="A49" t="s">
        <v>850</v>
      </c>
      <c r="B49" s="135" t="str">
        <f>B33</f>
        <v>KOULIBALY</v>
      </c>
      <c r="C49" s="147">
        <f>VLOOKUP($B33,TabAlgDif,9,FALSE)</f>
        <v>83.171999999999983</v>
      </c>
      <c r="E49" s="147">
        <f>VLOOKUP($B33,TabAlgDif,12,FALSE)</f>
        <v>88.122</v>
      </c>
    </row>
    <row r="50" spans="1:10">
      <c r="A50" t="s">
        <v>659</v>
      </c>
      <c r="B50" s="135" t="str">
        <f>B34</f>
        <v>BUFFON</v>
      </c>
      <c r="C50" s="147">
        <f>VLOOKUP($B34,TabAlgPor,9,FALSE)</f>
        <v>81.779399999999995</v>
      </c>
      <c r="E50" s="147">
        <f>VLOOKUP($B34,TabAlgPor,12,FALSE)</f>
        <v>85.104399999999998</v>
      </c>
    </row>
    <row r="52" spans="1:10" ht="12.75" customHeight="1">
      <c r="A52" t="s">
        <v>853</v>
      </c>
      <c r="B52"/>
      <c r="C52" s="146" t="s">
        <v>854</v>
      </c>
      <c r="D52" s="571" t="s">
        <v>862</v>
      </c>
      <c r="E52" s="571"/>
      <c r="F52" s="571"/>
      <c r="G52" s="571"/>
      <c r="H52" s="571"/>
      <c r="I52" s="571"/>
      <c r="J52" s="571"/>
    </row>
    <row r="53" spans="1:10">
      <c r="A53"/>
      <c r="B53"/>
      <c r="C53"/>
      <c r="D53" s="571"/>
      <c r="E53" s="571"/>
      <c r="F53" s="571"/>
      <c r="G53" s="571"/>
      <c r="H53" s="571"/>
      <c r="I53" s="571"/>
      <c r="J53" s="571"/>
    </row>
    <row r="54" spans="1:10">
      <c r="A54"/>
      <c r="B54"/>
      <c r="C54"/>
      <c r="D54" s="94"/>
      <c r="E54" s="94"/>
      <c r="F54" s="94"/>
      <c r="G54" s="94"/>
      <c r="H54" s="94"/>
      <c r="I54" s="94"/>
      <c r="J54" s="94"/>
    </row>
  </sheetData>
  <sheetProtection selectLockedCells="1" selectUnlockedCells="1"/>
  <mergeCells count="14">
    <mergeCell ref="B1:M1"/>
    <mergeCell ref="A4:B4"/>
    <mergeCell ref="C4:D4"/>
    <mergeCell ref="E4:F4"/>
    <mergeCell ref="G4:H4"/>
    <mergeCell ref="D36:J38"/>
    <mergeCell ref="A40:B40"/>
    <mergeCell ref="A46:B46"/>
    <mergeCell ref="D52:J53"/>
    <mergeCell ref="A15:B15"/>
    <mergeCell ref="C15:D15"/>
    <mergeCell ref="E15:F15"/>
    <mergeCell ref="A28:B28"/>
    <mergeCell ref="A30:F30"/>
  </mergeCell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9">
    <tabColor indexed="63"/>
  </sheetPr>
  <dimension ref="A1:U586"/>
  <sheetViews>
    <sheetView zoomScale="90" zoomScaleNormal="90" workbookViewId="0">
      <pane xSplit="4" ySplit="1" topLeftCell="E21" activePane="bottomRight" state="frozen"/>
      <selection sqref="A1:L1"/>
      <selection pane="topRight" sqref="A1:L1"/>
      <selection pane="bottomLeft" sqref="A1:L1"/>
      <selection pane="bottomRight" activeCell="B66" sqref="B66"/>
    </sheetView>
  </sheetViews>
  <sheetFormatPr defaultRowHeight="12.75"/>
  <cols>
    <col min="1" max="1" width="5" hidden="1" customWidth="1"/>
    <col min="2" max="2" width="22.28515625" bestFit="1" customWidth="1"/>
    <col min="3" max="3" width="13.7109375" customWidth="1"/>
    <col min="4" max="4" width="9.140625" customWidth="1"/>
    <col min="6" max="6" width="4.5703125" customWidth="1"/>
    <col min="7" max="7" width="6.42578125" customWidth="1"/>
    <col min="8" max="8" width="7.140625" customWidth="1"/>
    <col min="9" max="9" width="9.42578125" customWidth="1"/>
    <col min="10" max="10" width="19" customWidth="1"/>
    <col min="11" max="11" width="22.5703125" style="148" hidden="1" customWidth="1"/>
    <col min="12" max="12" width="22.7109375" style="148" customWidth="1"/>
    <col min="13" max="13" width="17.28515625" hidden="1" customWidth="1"/>
    <col min="14" max="14" width="13.140625" style="148" hidden="1" customWidth="1"/>
    <col min="15" max="15" width="19.7109375" style="148" customWidth="1"/>
    <col min="16" max="16" width="10.28515625" customWidth="1"/>
    <col min="21" max="21" width="17.5703125" customWidth="1"/>
  </cols>
  <sheetData>
    <row r="1" spans="1:21">
      <c r="A1" t="s">
        <v>863</v>
      </c>
      <c r="B1" s="149" t="s">
        <v>36</v>
      </c>
      <c r="C1" s="150" t="s">
        <v>637</v>
      </c>
      <c r="D1" s="150" t="s">
        <v>864</v>
      </c>
      <c r="E1" s="150" t="s">
        <v>865</v>
      </c>
      <c r="F1" s="150" t="s">
        <v>866</v>
      </c>
      <c r="G1" s="150" t="s">
        <v>867</v>
      </c>
      <c r="H1" s="150" t="s">
        <v>868</v>
      </c>
      <c r="I1" s="150" t="s">
        <v>869</v>
      </c>
      <c r="J1" s="150" t="s">
        <v>870</v>
      </c>
      <c r="K1" s="150" t="s">
        <v>871</v>
      </c>
      <c r="L1" s="150" t="s">
        <v>871</v>
      </c>
      <c r="M1" s="150" t="s">
        <v>872</v>
      </c>
      <c r="N1" s="150" t="s">
        <v>873</v>
      </c>
      <c r="O1" s="151" t="s">
        <v>873</v>
      </c>
      <c r="P1" s="218" t="s">
        <v>874</v>
      </c>
      <c r="Q1" s="218" t="s">
        <v>671</v>
      </c>
      <c r="R1" s="218" t="s">
        <v>897</v>
      </c>
      <c r="S1" s="218" t="s">
        <v>898</v>
      </c>
      <c r="T1" s="218" t="s">
        <v>899</v>
      </c>
      <c r="U1" s="152" t="s">
        <v>875</v>
      </c>
    </row>
    <row r="2" spans="1:21">
      <c r="A2">
        <f ca="1">COUNTIF('I.A. + Fasce'!B$1:'I.A. + Fasce'!B$538,B2)</f>
        <v>1</v>
      </c>
      <c r="B2" s="199" t="s">
        <v>316</v>
      </c>
      <c r="C2" s="199" t="str">
        <f>VLOOKUP(B2,'IA FG'!$B$2:$G$534,6,FALSE)</f>
        <v>JUV</v>
      </c>
      <c r="D2" s="200">
        <v>9</v>
      </c>
      <c r="E2" s="201">
        <v>8</v>
      </c>
      <c r="F2" s="201">
        <v>7</v>
      </c>
      <c r="G2" s="201">
        <v>7</v>
      </c>
      <c r="H2" s="201">
        <v>9</v>
      </c>
      <c r="I2" s="201">
        <v>9</v>
      </c>
      <c r="J2" s="154">
        <f>$D2*Pesi!$B$5+Pesi!$B$6*$E2+$F2*Pesi!$B$7+Pesi!$B$8*$G2+$H2*Pesi!$B$9+Pesi!$B$10*$I2+VLOOKUP($C2,TabAlgSqu,2,FALSE)*Pesi!$B$11+Pesi!$B$12*VLOOKUP($C2,TabAlgFC,2,FALSE)+VLOOKUP($C2,TabAlgAll,2,FALSE)*Pesi!$B$13</f>
        <v>81.779399999999995</v>
      </c>
      <c r="K2" s="155">
        <f>IF(ISNA(MATCH($B2,Pesi!$B$31:$B$34,0)),VLOOKUP(Pesi!$B$34,TabAlgPor,10,FALSE)-((VLOOKUP(Pesi!$B$34,TabAlgPor,9,FALSE)-$J2)/(VLOOKUP(Pesi!$B$34,TabAlgPor,9,FALSE)-Pesi!$D$44))*VLOOKUP(Pesi!$B$34,TabAlgPor,10,FALSE),Pesi!$F$34*Pesi!$C$28)</f>
        <v>20</v>
      </c>
      <c r="L2" s="155">
        <f t="shared" ref="L2:L33" si="0">IF(K2&lt;=1,1,K2)</f>
        <v>20</v>
      </c>
      <c r="M2" s="154">
        <f>$D2*Pesi!$D$5+Pesi!$D$6*Portieri!$E3+Portieri!$F3*Pesi!$D$7+Pesi!$D$8*Portieri!$G3+Portieri!$H3*Pesi!$D$9+Pesi!$D$10*Portieri!$I3+VLOOKUP($C2,TabAlgSqu,2,FALSE)*Pesi!$D$11+Pesi!$D$12*VLOOKUP($C2,TabAlgFC,2,FALSE)+VLOOKUP($C2,TabAlgAll,2,FALSE)*Pesi!$D$13</f>
        <v>85.104399999999998</v>
      </c>
      <c r="N2" s="155">
        <f>IF(ISNA(MATCH($B2,Pesi!$B$31:$B$34,0)),VLOOKUP(Pesi!$B$34,TabAlgPor,13,FALSE)-((VLOOKUP(Pesi!$B$34,TabAlgPor,12,FALSE)-$M2)/(VLOOKUP(Pesi!$B$34,TabAlgPor,12,FALSE)-Pesi!$F$44))*VLOOKUP(Pesi!$B$34,TabAlgPor,13,FALSE),$K2*$M2/$J2)</f>
        <v>20.813163217142705</v>
      </c>
      <c r="O2" s="155">
        <f t="shared" ref="O2:O33" si="1">IF(N2&lt;=1,1,N2)</f>
        <v>20.813163217142705</v>
      </c>
      <c r="P2">
        <f t="shared" ref="P2:P33" si="2">SUM(D2:I2)</f>
        <v>49</v>
      </c>
      <c r="Q2" t="e">
        <f>VLOOKUP(B2,'C.P.'!$A$2:$B$164,2,FALSE)</f>
        <v>#N/A</v>
      </c>
      <c r="R2" t="e">
        <f>VLOOKUP(B2,'C.P.'!$C$2:$D$164,2,FALSE)</f>
        <v>#N/A</v>
      </c>
      <c r="S2" t="e">
        <f>VLOOKUP(B2,'C.P.'!$E$2:$F$164,2,FALSE)</f>
        <v>#N/A</v>
      </c>
      <c r="T2" t="e">
        <f>VLOOKUP(B2,'C.P.'!$G$2:$H$164,2,FALSE)</f>
        <v>#N/A</v>
      </c>
      <c r="U2" s="210" t="s">
        <v>876</v>
      </c>
    </row>
    <row r="3" spans="1:21">
      <c r="A3">
        <f ca="1">COUNTIF('I.A. + Fasce'!B$1:'I.A. + Fasce'!B$538,B3)</f>
        <v>1</v>
      </c>
      <c r="B3" s="199" t="s">
        <v>1294</v>
      </c>
      <c r="C3" s="199" t="str">
        <f>VLOOKUP(B3,'IA FG'!$B$2:$G$534,6,FALSE)</f>
        <v>MIL</v>
      </c>
      <c r="D3" s="200">
        <v>9</v>
      </c>
      <c r="E3" s="201">
        <v>9</v>
      </c>
      <c r="F3" s="201">
        <v>8</v>
      </c>
      <c r="G3" s="201">
        <v>8</v>
      </c>
      <c r="H3" s="201">
        <v>8</v>
      </c>
      <c r="I3" s="201">
        <v>9</v>
      </c>
      <c r="J3" s="154">
        <f>$D3*Pesi!$B$5+Pesi!$B$6*$E3+$F3*Pesi!$B$7+Pesi!$B$8*$G3+$H3*Pesi!$B$9+Pesi!$B$10*$I3+VLOOKUP($C3,TabAlgSqu,2,FALSE)*Pesi!$B$11+Pesi!$B$12*VLOOKUP($C3,TabAlgFC,2,FALSE)+VLOOKUP($C3,TabAlgAll,2,FALSE)*Pesi!$B$13</f>
        <v>80.180399999999977</v>
      </c>
      <c r="K3" s="155">
        <f>IF(ISNA(MATCH($B3,Pesi!$B$31:$B$34,0)),VLOOKUP(Pesi!$B$34,TabAlgPor,10,FALSE)-((VLOOKUP(Pesi!$B$34,TabAlgPor,9,FALSE)-$J3)/(VLOOKUP(Pesi!$B$34,TabAlgPor,9,FALSE)-Pesi!$D$44))*VLOOKUP(Pesi!$B$34,TabAlgPor,10,FALSE),Pesi!$F$34*Pesi!$C$28)</f>
        <v>18.531639990082354</v>
      </c>
      <c r="L3" s="155">
        <f t="shared" si="0"/>
        <v>18.531639990082354</v>
      </c>
      <c r="M3" s="154">
        <f>$D3*Pesi!$D$5+Pesi!$D$6*Portieri!$E2+Portieri!$F2*Pesi!$D$7+Pesi!$D$8*Portieri!$G2+Portieri!$H2*Pesi!$D$9+Pesi!$D$10*Portieri!$I2+VLOOKUP($C3,TabAlgSqu,2,FALSE)*Pesi!$D$11+Pesi!$D$12*VLOOKUP($C3,TabAlgFC,2,FALSE)+VLOOKUP($C3,TabAlgAll,2,FALSE)*Pesi!$D$13</f>
        <v>79.105399999999989</v>
      </c>
      <c r="N3" s="155">
        <f>IF(ISNA(MATCH($B3,Pesi!$B$31:$B$34,0)),VLOOKUP(Pesi!$B$34,TabAlgPor,13,FALSE)-((VLOOKUP(Pesi!$B$34,TabAlgPor,12,FALSE)-$M3)/(VLOOKUP(Pesi!$B$34,TabAlgPor,12,FALSE)-Pesi!$F$44))*VLOOKUP(Pesi!$B$34,TabAlgPor,13,FALSE),$K3*$M3/$J3)</f>
        <v>15.839606145886698</v>
      </c>
      <c r="O3" s="155">
        <f t="shared" si="1"/>
        <v>15.839606145886698</v>
      </c>
      <c r="P3">
        <f t="shared" si="2"/>
        <v>51</v>
      </c>
      <c r="Q3">
        <f>VLOOKUP(B3,'C.P.'!$A$2:$B$164,2,FALSE)</f>
        <v>1</v>
      </c>
      <c r="R3" t="e">
        <f>VLOOKUP(B3,'C.P.'!$C$2:$D$164,2,FALSE)</f>
        <v>#N/A</v>
      </c>
      <c r="S3" t="e">
        <f>VLOOKUP(B3,'C.P.'!$E$2:$F$164,2,FALSE)</f>
        <v>#N/A</v>
      </c>
      <c r="T3" t="e">
        <f>VLOOKUP(B3,'C.P.'!$G$2:$H$164,2,FALSE)</f>
        <v>#N/A</v>
      </c>
      <c r="U3" s="210" t="s">
        <v>877</v>
      </c>
    </row>
    <row r="4" spans="1:21">
      <c r="A4">
        <f ca="1">COUNTIF('I.A. + Fasce'!B$1:'I.A. + Fasce'!B$538,B4)</f>
        <v>1</v>
      </c>
      <c r="B4" s="199" t="s">
        <v>886</v>
      </c>
      <c r="C4" s="199" t="str">
        <f>VLOOKUP(B4,'IA FG'!$B$2:$G$534,6,FALSE)</f>
        <v>JUV</v>
      </c>
      <c r="D4" s="200">
        <v>9</v>
      </c>
      <c r="E4" s="201">
        <v>7</v>
      </c>
      <c r="F4" s="201">
        <v>7</v>
      </c>
      <c r="G4" s="201">
        <v>7</v>
      </c>
      <c r="H4" s="201">
        <v>9</v>
      </c>
      <c r="I4" s="201">
        <v>7</v>
      </c>
      <c r="J4" s="154">
        <f>$D4*Pesi!$B$5+Pesi!$B$6*$E4+$F4*Pesi!$B$7+Pesi!$B$8*$G4+$H4*Pesi!$B$9+Pesi!$B$10*$I4+VLOOKUP($C4,TabAlgSqu,2,FALSE)*Pesi!$B$11+Pesi!$B$12*VLOOKUP($C4,TabAlgFC,2,FALSE)+VLOOKUP($C4,TabAlgAll,2,FALSE)*Pesi!$B$13</f>
        <v>78.112799999999993</v>
      </c>
      <c r="K4" s="155">
        <f>IF(ISNA(MATCH($B4,Pesi!$B$31:$B$34,0)),VLOOKUP(Pesi!$B$34,TabAlgPor,10,FALSE)-((VLOOKUP(Pesi!$B$34,TabAlgPor,9,FALSE)-$J4)/(VLOOKUP(Pesi!$B$34,TabAlgPor,9,FALSE)-Pesi!$D$44))*VLOOKUP(Pesi!$B$34,TabAlgPor,10,FALSE),Pesi!$F$34*Pesi!$C$28)</f>
        <v>16.632965095457173</v>
      </c>
      <c r="L4" s="155">
        <f t="shared" si="0"/>
        <v>16.632965095457173</v>
      </c>
      <c r="M4" s="154">
        <f>$D4*Pesi!$D$5+Pesi!$D$6*Portieri!$E6+Portieri!$F6*Pesi!$D$7+Pesi!$D$8*Portieri!$G6+Portieri!$H6*Pesi!$D$9+Pesi!$D$10*Portieri!$I6+VLOOKUP($C4,TabAlgSqu,2,FALSE)*Pesi!$D$11+Pesi!$D$12*VLOOKUP($C4,TabAlgFC,2,FALSE)+VLOOKUP($C4,TabAlgAll,2,FALSE)*Pesi!$D$13</f>
        <v>79.621099999999998</v>
      </c>
      <c r="N4" s="155">
        <f>IF(ISNA(MATCH($B4,Pesi!$B$31:$B$34,0)),VLOOKUP(Pesi!$B$34,TabAlgPor,13,FALSE)-((VLOOKUP(Pesi!$B$34,TabAlgPor,12,FALSE)-$M4)/(VLOOKUP(Pesi!$B$34,TabAlgPor,12,FALSE)-Pesi!$F$44))*VLOOKUP(Pesi!$B$34,TabAlgPor,13,FALSE),$K4*$M4/$J4)</f>
        <v>16.267154634242551</v>
      </c>
      <c r="O4" s="155">
        <f t="shared" si="1"/>
        <v>16.267154634242551</v>
      </c>
      <c r="P4">
        <f t="shared" si="2"/>
        <v>46</v>
      </c>
      <c r="Q4" t="e">
        <f>VLOOKUP(B4,'C.P.'!$A$2:$B$164,2,FALSE)</f>
        <v>#N/A</v>
      </c>
      <c r="R4" t="e">
        <f>VLOOKUP(B4,'C.P.'!$C$2:$D$164,2,FALSE)</f>
        <v>#N/A</v>
      </c>
      <c r="S4" t="e">
        <f>VLOOKUP(B4,'C.P.'!$E$2:$F$164,2,FALSE)</f>
        <v>#N/A</v>
      </c>
      <c r="T4" t="e">
        <f>VLOOKUP(B4,'C.P.'!$G$2:$H$164,2,FALSE)</f>
        <v>#N/A</v>
      </c>
      <c r="U4" s="210" t="s">
        <v>880</v>
      </c>
    </row>
    <row r="5" spans="1:21">
      <c r="A5">
        <f ca="1">COUNTIF('I.A. + Fasce'!B$1:'I.A. + Fasce'!B$538,B5)</f>
        <v>1</v>
      </c>
      <c r="B5" s="199" t="s">
        <v>300</v>
      </c>
      <c r="C5" s="199" t="str">
        <f>VLOOKUP(B5,'IA FG'!$B$2:$G$534,6,FALSE)</f>
        <v>ROM</v>
      </c>
      <c r="D5" s="200">
        <v>9</v>
      </c>
      <c r="E5" s="201">
        <v>9</v>
      </c>
      <c r="F5" s="201">
        <v>7</v>
      </c>
      <c r="G5" s="201">
        <v>7</v>
      </c>
      <c r="H5" s="201">
        <v>8</v>
      </c>
      <c r="I5" s="201">
        <v>7</v>
      </c>
      <c r="J5" s="154">
        <f>$D5*Pesi!$B$5+Pesi!$B$6*$E5+$F5*Pesi!$B$7+Pesi!$B$8*$G5+$H5*Pesi!$B$9+Pesi!$B$10*$I5+VLOOKUP($C5,TabAlgSqu,2,FALSE)*Pesi!$B$11+Pesi!$B$12*VLOOKUP($C5,TabAlgFC,2,FALSE)+VLOOKUP($C5,TabAlgAll,2,FALSE)*Pesi!$B$13</f>
        <v>74.570799999999991</v>
      </c>
      <c r="K5" s="155">
        <f>IF(ISNA(MATCH($B5,Pesi!$B$31:$B$34,0)),VLOOKUP(Pesi!$B$34,TabAlgPor,10,FALSE)-((VLOOKUP(Pesi!$B$34,TabAlgPor,9,FALSE)-$J5)/(VLOOKUP(Pesi!$B$34,TabAlgPor,9,FALSE)-Pesi!$D$44))*VLOOKUP(Pesi!$B$34,TabAlgPor,10,FALSE),Pesi!$F$34*Pesi!$C$28)</f>
        <v>13.38035023921687</v>
      </c>
      <c r="L5" s="155">
        <f t="shared" si="0"/>
        <v>13.38035023921687</v>
      </c>
      <c r="M5" s="154">
        <f>$D5*Pesi!$D$5+Pesi!$D$6*Portieri!$E4+Portieri!$F4*Pesi!$D$7+Pesi!$D$8*Portieri!$G4+Portieri!$H4*Pesi!$D$9+Pesi!$D$10*Portieri!$I4+VLOOKUP($C5,TabAlgSqu,2,FALSE)*Pesi!$D$11+Pesi!$D$12*VLOOKUP($C5,TabAlgFC,2,FALSE)+VLOOKUP($C5,TabAlgAll,2,FALSE)*Pesi!$D$13</f>
        <v>75.058299999999988</v>
      </c>
      <c r="N5" s="155">
        <f>IF(ISNA(MATCH($B5,Pesi!$B$31:$B$34,0)),VLOOKUP(Pesi!$B$34,TabAlgPor,13,FALSE)-((VLOOKUP(Pesi!$B$34,TabAlgPor,12,FALSE)-$M5)/(VLOOKUP(Pesi!$B$34,TabAlgPor,12,FALSE)-Pesi!$F$44))*VLOOKUP(Pesi!$B$34,TabAlgPor,13,FALSE),$K5*$M5/$J5)</f>
        <v>12.484299790980856</v>
      </c>
      <c r="O5" s="155">
        <f t="shared" si="1"/>
        <v>12.484299790980856</v>
      </c>
      <c r="P5">
        <f t="shared" si="2"/>
        <v>47</v>
      </c>
      <c r="Q5" t="e">
        <f>VLOOKUP(B5,'C.P.'!$A$2:$B$164,2,FALSE)</f>
        <v>#N/A</v>
      </c>
      <c r="R5" t="e">
        <f>VLOOKUP(B5,'C.P.'!$C$2:$D$164,2,FALSE)</f>
        <v>#N/A</v>
      </c>
      <c r="S5" t="e">
        <f>VLOOKUP(B5,'C.P.'!$E$2:$F$164,2,FALSE)</f>
        <v>#N/A</v>
      </c>
      <c r="T5" t="e">
        <f>VLOOKUP(B5,'C.P.'!$G$2:$H$164,2,FALSE)</f>
        <v>#N/A</v>
      </c>
      <c r="U5" s="210" t="s">
        <v>878</v>
      </c>
    </row>
    <row r="6" spans="1:21">
      <c r="A6">
        <f ca="1">COUNTIF('I.A. + Fasce'!B$1:'I.A. + Fasce'!B$538,B6)</f>
        <v>1</v>
      </c>
      <c r="B6" s="199" t="s">
        <v>416</v>
      </c>
      <c r="C6" s="199" t="str">
        <f>VLOOKUP(B6,'IA FG'!$B$2:$G$534,6,FALSE)</f>
        <v>NAP</v>
      </c>
      <c r="D6" s="200">
        <v>8</v>
      </c>
      <c r="E6" s="201">
        <v>9</v>
      </c>
      <c r="F6" s="201">
        <v>7</v>
      </c>
      <c r="G6" s="201">
        <v>7</v>
      </c>
      <c r="H6" s="201">
        <v>7</v>
      </c>
      <c r="I6" s="201">
        <v>8</v>
      </c>
      <c r="J6" s="154">
        <f>$D6*Pesi!$B$5+Pesi!$B$6*$E6+$F6*Pesi!$B$7+Pesi!$B$8*$G6+$H6*Pesi!$B$9+Pesi!$B$10*$I6+VLOOKUP($C6,TabAlgSqu,2,FALSE)*Pesi!$B$11+Pesi!$B$12*VLOOKUP($C6,TabAlgFC,2,FALSE)+VLOOKUP($C6,TabAlgAll,2,FALSE)*Pesi!$B$13</f>
        <v>73.422299999999993</v>
      </c>
      <c r="K6" s="155">
        <f>IF(ISNA(MATCH($B6,Pesi!$B$31:$B$34,0)),VLOOKUP(Pesi!$B$34,TabAlgPor,10,FALSE)-((VLOOKUP(Pesi!$B$34,TabAlgPor,9,FALSE)-$J6)/(VLOOKUP(Pesi!$B$34,TabAlgPor,9,FALSE)-Pesi!$D$44))*VLOOKUP(Pesi!$B$34,TabAlgPor,10,FALSE),Pesi!$F$34*Pesi!$C$28)</f>
        <v>12.325683903137822</v>
      </c>
      <c r="L6" s="155">
        <f t="shared" si="0"/>
        <v>12.325683903137822</v>
      </c>
      <c r="M6" s="154">
        <f>$D6*Pesi!$D$5+Pesi!$D$6*Portieri!$E7+Portieri!$F7*Pesi!$D$7+Pesi!$D$8*Portieri!$G7+Portieri!$H7*Pesi!$D$9+Pesi!$D$10*Portieri!$I7+VLOOKUP($C6,TabAlgSqu,2,FALSE)*Pesi!$D$11+Pesi!$D$12*VLOOKUP($C6,TabAlgFC,2,FALSE)+VLOOKUP($C6,TabAlgAll,2,FALSE)*Pesi!$D$13</f>
        <v>74.138999999999996</v>
      </c>
      <c r="N6" s="155">
        <f>IF(ISNA(MATCH($B6,Pesi!$B$31:$B$34,0)),VLOOKUP(Pesi!$B$34,TabAlgPor,13,FALSE)-((VLOOKUP(Pesi!$B$34,TabAlgPor,12,FALSE)-$M6)/(VLOOKUP(Pesi!$B$34,TabAlgPor,12,FALSE)-Pesi!$F$44))*VLOOKUP(Pesi!$B$34,TabAlgPor,13,FALSE),$K6*$M6/$J6)</f>
        <v>11.72214092856952</v>
      </c>
      <c r="O6" s="155">
        <f t="shared" si="1"/>
        <v>11.72214092856952</v>
      </c>
      <c r="P6">
        <f t="shared" si="2"/>
        <v>46</v>
      </c>
      <c r="Q6" t="e">
        <f>VLOOKUP(B6,'C.P.'!$A$2:$B$164,2,FALSE)</f>
        <v>#N/A</v>
      </c>
      <c r="R6" t="e">
        <f>VLOOKUP(B6,'C.P.'!$C$2:$D$164,2,FALSE)</f>
        <v>#N/A</v>
      </c>
      <c r="S6" t="e">
        <f>VLOOKUP(B6,'C.P.'!$E$2:$F$164,2,FALSE)</f>
        <v>#N/A</v>
      </c>
      <c r="T6" t="e">
        <f>VLOOKUP(B6,'C.P.'!$G$2:$H$164,2,FALSE)</f>
        <v>#N/A</v>
      </c>
      <c r="U6" s="210" t="s">
        <v>882</v>
      </c>
    </row>
    <row r="7" spans="1:21">
      <c r="A7">
        <f ca="1">COUNTIF('I.A. + Fasce'!B$1:'I.A. + Fasce'!B$538,B7)</f>
        <v>1</v>
      </c>
      <c r="B7" s="199" t="s">
        <v>356</v>
      </c>
      <c r="C7" s="199" t="str">
        <f>VLOOKUP(B7,'IA FG'!$B$2:$G$534,6,FALSE)</f>
        <v>INT</v>
      </c>
      <c r="D7" s="200">
        <v>9</v>
      </c>
      <c r="E7" s="201">
        <v>10</v>
      </c>
      <c r="F7" s="201">
        <v>7</v>
      </c>
      <c r="G7" s="201">
        <v>7</v>
      </c>
      <c r="H7" s="201">
        <v>7</v>
      </c>
      <c r="I7" s="201">
        <v>7</v>
      </c>
      <c r="J7" s="154">
        <f>$D7*Pesi!$B$5+Pesi!$B$6*$E7+$F7*Pesi!$B$7+Pesi!$B$8*$G7+$H7*Pesi!$B$9+Pesi!$B$10*$I7+VLOOKUP($C7,TabAlgSqu,2,FALSE)*Pesi!$B$11+Pesi!$B$12*VLOOKUP($C7,TabAlgFC,2,FALSE)+VLOOKUP($C7,TabAlgAll,2,FALSE)*Pesi!$B$13</f>
        <v>72.535800000000009</v>
      </c>
      <c r="K7" s="155">
        <f>IF(ISNA(MATCH($B7,Pesi!$B$31:$B$34,0)),VLOOKUP(Pesi!$B$34,TabAlgPor,10,FALSE)-((VLOOKUP(Pesi!$B$34,TabAlgPor,9,FALSE)-$J7)/(VLOOKUP(Pesi!$B$34,TabAlgPor,9,FALSE)-Pesi!$D$44))*VLOOKUP(Pesi!$B$34,TabAlgPor,10,FALSE),Pesi!$F$34*Pesi!$C$28)</f>
        <v>11.511611890134725</v>
      </c>
      <c r="L7" s="155">
        <f t="shared" si="0"/>
        <v>11.511611890134725</v>
      </c>
      <c r="M7" s="154">
        <f>$D7*Pesi!$D$5+Pesi!$D$6*Portieri!$E5+Portieri!$F5*Pesi!$D$7+Pesi!$D$8*Portieri!$G5+Portieri!$H5*Pesi!$D$9+Pesi!$D$10*Portieri!$I5+VLOOKUP($C7,TabAlgSqu,2,FALSE)*Pesi!$D$11+Pesi!$D$12*VLOOKUP($C7,TabAlgFC,2,FALSE)+VLOOKUP($C7,TabAlgAll,2,FALSE)*Pesi!$D$13</f>
        <v>74.023300000000006</v>
      </c>
      <c r="N7" s="155">
        <f>IF(ISNA(MATCH($B7,Pesi!$B$31:$B$34,0)),VLOOKUP(Pesi!$B$34,TabAlgPor,13,FALSE)-((VLOOKUP(Pesi!$B$34,TabAlgPor,12,FALSE)-$M7)/(VLOOKUP(Pesi!$B$34,TabAlgPor,12,FALSE)-Pesi!$F$44))*VLOOKUP(Pesi!$B$34,TabAlgPor,13,FALSE),$K7*$M7/$J7)</f>
        <v>11.626218182587811</v>
      </c>
      <c r="O7" s="155">
        <f t="shared" si="1"/>
        <v>11.626218182587811</v>
      </c>
      <c r="P7">
        <f t="shared" si="2"/>
        <v>47</v>
      </c>
      <c r="Q7" t="e">
        <f>VLOOKUP(B7,'C.P.'!$A$2:$B$164,2,FALSE)</f>
        <v>#N/A</v>
      </c>
      <c r="R7" t="e">
        <f>VLOOKUP(B7,'C.P.'!$C$2:$D$164,2,FALSE)</f>
        <v>#N/A</v>
      </c>
      <c r="S7" t="e">
        <f>VLOOKUP(B7,'C.P.'!$E$2:$F$164,2,FALSE)</f>
        <v>#N/A</v>
      </c>
      <c r="T7" t="e">
        <f>VLOOKUP(B7,'C.P.'!$G$2:$H$164,2,FALSE)</f>
        <v>#N/A</v>
      </c>
      <c r="U7" s="210" t="s">
        <v>879</v>
      </c>
    </row>
    <row r="8" spans="1:21">
      <c r="A8">
        <f ca="1">COUNTIF('I.A. + Fasce'!B$1:'I.A. + Fasce'!B$538,B8)</f>
        <v>1</v>
      </c>
      <c r="B8" s="199" t="s">
        <v>1444</v>
      </c>
      <c r="C8" s="199" t="str">
        <f>VLOOKUP(B8,'IA FG'!$B$2:$G$534,6,FALSE)</f>
        <v>LAZ</v>
      </c>
      <c r="D8" s="200">
        <v>9</v>
      </c>
      <c r="E8" s="201">
        <v>9</v>
      </c>
      <c r="F8" s="201">
        <v>7</v>
      </c>
      <c r="G8" s="201">
        <v>7</v>
      </c>
      <c r="H8" s="201">
        <v>6</v>
      </c>
      <c r="I8" s="201">
        <v>7</v>
      </c>
      <c r="J8" s="154">
        <f>$D8*Pesi!$B$5+Pesi!$B$6*$E8+$F8*Pesi!$B$7+Pesi!$B$8*$G8+$H8*Pesi!$B$9+Pesi!$B$10*$I8+VLOOKUP($C8,TabAlgSqu,2,FALSE)*Pesi!$B$11+Pesi!$B$12*VLOOKUP($C8,TabAlgFC,2,FALSE)+VLOOKUP($C8,TabAlgAll,2,FALSE)*Pesi!$B$13</f>
        <v>71.209800000000001</v>
      </c>
      <c r="K8" s="155">
        <f>IF(ISNA(MATCH($B8,Pesi!$B$31:$B$34,0)),VLOOKUP(Pesi!$B$34,TabAlgPor,10,FALSE)-((VLOOKUP(Pesi!$B$34,TabAlgPor,9,FALSE)-$J8)/(VLOOKUP(Pesi!$B$34,TabAlgPor,9,FALSE)-Pesi!$D$44))*VLOOKUP(Pesi!$B$34,TabAlgPor,10,FALSE),Pesi!$F$34*Pesi!$C$28)</f>
        <v>10.29394749166644</v>
      </c>
      <c r="L8" s="155">
        <f t="shared" si="0"/>
        <v>10.29394749166644</v>
      </c>
      <c r="M8" s="154">
        <f>$D8*Pesi!$D$5+Pesi!$D$6*Portieri!$E8+Portieri!$F8*Pesi!$D$7+Pesi!$D$8*Portieri!$G8+Portieri!$H8*Pesi!$D$9+Pesi!$D$10*Portieri!$I8+VLOOKUP($C8,TabAlgSqu,2,FALSE)*Pesi!$D$11+Pesi!$D$12*VLOOKUP($C8,TabAlgFC,2,FALSE)+VLOOKUP($C8,TabAlgAll,2,FALSE)*Pesi!$D$13</f>
        <v>72.259799999999998</v>
      </c>
      <c r="N8" s="155">
        <f>IF(ISNA(MATCH($B8,Pesi!$B$31:$B$34,0)),VLOOKUP(Pesi!$B$34,TabAlgPor,13,FALSE)-((VLOOKUP(Pesi!$B$34,TabAlgPor,12,FALSE)-$M8)/(VLOOKUP(Pesi!$B$34,TabAlgPor,12,FALSE)-Pesi!$F$44))*VLOOKUP(Pesi!$B$34,TabAlgPor,13,FALSE),$K8*$M8/$J8)</f>
        <v>10.164163190895863</v>
      </c>
      <c r="O8" s="155">
        <f t="shared" si="1"/>
        <v>10.164163190895863</v>
      </c>
      <c r="P8">
        <f t="shared" si="2"/>
        <v>45</v>
      </c>
      <c r="Q8" t="e">
        <f>VLOOKUP(B8,'C.P.'!$A$2:$B$164,2,FALSE)</f>
        <v>#N/A</v>
      </c>
      <c r="R8" t="e">
        <f>VLOOKUP(B8,'C.P.'!$C$2:$D$164,2,FALSE)</f>
        <v>#N/A</v>
      </c>
      <c r="S8" t="e">
        <f>VLOOKUP(B8,'C.P.'!$E$2:$F$164,2,FALSE)</f>
        <v>#N/A</v>
      </c>
      <c r="T8" t="e">
        <f>VLOOKUP(B8,'C.P.'!$G$2:$H$164,2,FALSE)</f>
        <v>#N/A</v>
      </c>
      <c r="U8" s="210" t="s">
        <v>881</v>
      </c>
    </row>
    <row r="9" spans="1:21">
      <c r="A9">
        <f ca="1">COUNTIF('I.A. + Fasce'!B$1:'I.A. + Fasce'!B$538,B9)</f>
        <v>1</v>
      </c>
      <c r="B9" s="199" t="s">
        <v>432</v>
      </c>
      <c r="C9" s="199" t="str">
        <f>VLOOKUP(B9,'IA FG'!$B$2:$G$534,6,FALSE)</f>
        <v>FIO</v>
      </c>
      <c r="D9" s="200">
        <v>9</v>
      </c>
      <c r="E9" s="201">
        <v>9</v>
      </c>
      <c r="F9" s="201">
        <v>7</v>
      </c>
      <c r="G9" s="201">
        <v>6</v>
      </c>
      <c r="H9" s="201">
        <v>7</v>
      </c>
      <c r="I9" s="201">
        <v>7</v>
      </c>
      <c r="J9" s="154">
        <f>$D9*Pesi!$B$5+Pesi!$B$6*$E9+$F9*Pesi!$B$7+Pesi!$B$8*$G9+$H9*Pesi!$B$9+Pesi!$B$10*$I9+VLOOKUP($C9,TabAlgSqu,2,FALSE)*Pesi!$B$11+Pesi!$B$12*VLOOKUP($C9,TabAlgFC,2,FALSE)+VLOOKUP($C9,TabAlgAll,2,FALSE)*Pesi!$B$13</f>
        <v>70.555799999999991</v>
      </c>
      <c r="K9" s="155">
        <f>IF(ISNA(MATCH($B9,Pesi!$B$31:$B$34,0)),VLOOKUP(Pesi!$B$34,TabAlgPor,10,FALSE)-((VLOOKUP(Pesi!$B$34,TabAlgPor,9,FALSE)-$J9)/(VLOOKUP(Pesi!$B$34,TabAlgPor,9,FALSE)-Pesi!$D$44))*VLOOKUP(Pesi!$B$34,TabAlgPor,10,FALSE),Pesi!$F$34*Pesi!$C$28)</f>
        <v>9.6933799829196321</v>
      </c>
      <c r="L9" s="155">
        <f t="shared" si="0"/>
        <v>9.6933799829196321</v>
      </c>
      <c r="M9" s="154">
        <f>$D9*Pesi!$D$5+Pesi!$D$6*Portieri!$E9+Portieri!$F9*Pesi!$D$7+Pesi!$D$8*Portieri!$G9+Portieri!$H9*Pesi!$D$9+Pesi!$D$10*Portieri!$I9+VLOOKUP($C9,TabAlgSqu,2,FALSE)*Pesi!$D$11+Pesi!$D$12*VLOOKUP($C9,TabAlgFC,2,FALSE)+VLOOKUP($C9,TabAlgAll,2,FALSE)*Pesi!$D$13</f>
        <v>71.605799999999988</v>
      </c>
      <c r="N9" s="155">
        <f>IF(ISNA(MATCH($B9,Pesi!$B$31:$B$34,0)),VLOOKUP(Pesi!$B$34,TabAlgPor,13,FALSE)-((VLOOKUP(Pesi!$B$34,TabAlgPor,12,FALSE)-$M9)/(VLOOKUP(Pesi!$B$34,TabAlgPor,12,FALSE)-Pesi!$F$44))*VLOOKUP(Pesi!$B$34,TabAlgPor,13,FALSE),$K9*$M9/$J9)</f>
        <v>9.6219551021141552</v>
      </c>
      <c r="O9" s="155">
        <f t="shared" si="1"/>
        <v>9.6219551021141552</v>
      </c>
      <c r="P9">
        <f t="shared" si="2"/>
        <v>45</v>
      </c>
      <c r="Q9">
        <f>VLOOKUP(B9,'C.P.'!$A$2:$B$164,2,FALSE)</f>
        <v>0</v>
      </c>
      <c r="R9" t="e">
        <f>VLOOKUP(B9,'C.P.'!$C$2:$D$164,2,FALSE)</f>
        <v>#N/A</v>
      </c>
      <c r="S9" t="e">
        <f>VLOOKUP(B9,'C.P.'!$E$2:$F$164,2,FALSE)</f>
        <v>#N/A</v>
      </c>
      <c r="T9" t="e">
        <f>VLOOKUP(B9,'C.P.'!$G$2:$H$164,2,FALSE)</f>
        <v>#N/A</v>
      </c>
      <c r="U9" s="210" t="s">
        <v>884</v>
      </c>
    </row>
    <row r="10" spans="1:21">
      <c r="A10">
        <f ca="1">COUNTIF('I.A. + Fasce'!B$1:'I.A. + Fasce'!B$538,B10)</f>
        <v>1</v>
      </c>
      <c r="B10" s="199" t="s">
        <v>392</v>
      </c>
      <c r="C10" s="199" t="str">
        <f>VLOOKUP(B10,'IA FG'!$B$2:$G$534,6,FALSE)</f>
        <v>GEN</v>
      </c>
      <c r="D10" s="200">
        <v>6</v>
      </c>
      <c r="E10" s="201">
        <v>9</v>
      </c>
      <c r="F10" s="201">
        <v>8</v>
      </c>
      <c r="G10" s="201">
        <v>7</v>
      </c>
      <c r="H10" s="201">
        <v>7</v>
      </c>
      <c r="I10" s="201">
        <v>8</v>
      </c>
      <c r="J10" s="154">
        <f>$D10*Pesi!$B$5+Pesi!$B$6*$E10+$F10*Pesi!$B$7+Pesi!$B$8*$G10+$H10*Pesi!$B$9+Pesi!$B$10*$I10+VLOOKUP($C10,TabAlgSqu,2,FALSE)*Pesi!$B$11+Pesi!$B$12*VLOOKUP($C10,TabAlgFC,2,FALSE)+VLOOKUP($C10,TabAlgAll,2,FALSE)*Pesi!$B$13</f>
        <v>69.643699999999995</v>
      </c>
      <c r="K10" s="155">
        <f>IF(ISNA(MATCH($B10,Pesi!$B$31:$B$34,0)),VLOOKUP(Pesi!$B$34,TabAlgPor,10,FALSE)-((VLOOKUP(Pesi!$B$34,TabAlgPor,9,FALSE)-$J10)/(VLOOKUP(Pesi!$B$34,TabAlgPor,9,FALSE)-Pesi!$D$44))*VLOOKUP(Pesi!$B$34,TabAlgPor,10,FALSE),Pesi!$F$34*Pesi!$C$28)</f>
        <v>8.8557995169747539</v>
      </c>
      <c r="L10" s="155">
        <f t="shared" si="0"/>
        <v>8.8557995169747539</v>
      </c>
      <c r="M10" s="154">
        <f>$D10*Pesi!$D$5+Pesi!$D$6*Portieri!$E10+Portieri!$F10*Pesi!$D$7+Pesi!$D$8*Portieri!$G10+Portieri!$H10*Pesi!$D$9+Pesi!$D$10*Portieri!$I10+VLOOKUP($C10,TabAlgSqu,2,FALSE)*Pesi!$D$11+Pesi!$D$12*VLOOKUP($C10,TabAlgFC,2,FALSE)+VLOOKUP($C10,TabAlgAll,2,FALSE)*Pesi!$D$13</f>
        <v>70.843699999999998</v>
      </c>
      <c r="N10" s="155">
        <f>IF(ISNA(MATCH($B10,Pesi!$B$31:$B$34,0)),VLOOKUP(Pesi!$B$34,TabAlgPor,13,FALSE)-((VLOOKUP(Pesi!$B$34,TabAlgPor,12,FALSE)-$M10)/(VLOOKUP(Pesi!$B$34,TabAlgPor,12,FALSE)-Pesi!$F$44))*VLOOKUP(Pesi!$B$34,TabAlgPor,13,FALSE),$K10*$M10/$J10)</f>
        <v>8.9901251564558535</v>
      </c>
      <c r="O10" s="155">
        <f t="shared" si="1"/>
        <v>8.9901251564558535</v>
      </c>
      <c r="P10">
        <f t="shared" si="2"/>
        <v>45</v>
      </c>
      <c r="Q10" t="e">
        <f>VLOOKUP(B10,'C.P.'!$A$2:$B$164,2,FALSE)</f>
        <v>#N/A</v>
      </c>
      <c r="R10" t="e">
        <f>VLOOKUP(B10,'C.P.'!$C$2:$D$164,2,FALSE)</f>
        <v>#N/A</v>
      </c>
      <c r="S10" t="e">
        <f>VLOOKUP(B10,'C.P.'!$E$2:$F$164,2,FALSE)</f>
        <v>#N/A</v>
      </c>
      <c r="T10" t="e">
        <f>VLOOKUP(B10,'C.P.'!$G$2:$H$164,2,FALSE)</f>
        <v>#N/A</v>
      </c>
      <c r="U10" s="180" t="s">
        <v>883</v>
      </c>
    </row>
    <row r="11" spans="1:21">
      <c r="A11">
        <f ca="1">COUNTIF('I.A. + Fasce'!B$1:'I.A. + Fasce'!B$538,B11)</f>
        <v>1</v>
      </c>
      <c r="B11" s="199" t="s">
        <v>446</v>
      </c>
      <c r="C11" s="199" t="str">
        <f>VLOOKUP(B11,'IA FG'!$B$2:$G$534,6,FALSE)</f>
        <v>SAM</v>
      </c>
      <c r="D11" s="200">
        <v>6</v>
      </c>
      <c r="E11" s="201">
        <v>9</v>
      </c>
      <c r="F11" s="201">
        <v>9</v>
      </c>
      <c r="G11" s="201">
        <v>7</v>
      </c>
      <c r="H11" s="201">
        <v>6</v>
      </c>
      <c r="I11" s="201">
        <v>7</v>
      </c>
      <c r="J11" s="154">
        <f>$D11*Pesi!$B$5+Pesi!$B$6*$E11+$F11*Pesi!$B$7+Pesi!$B$8*$G11+$H11*Pesi!$B$9+Pesi!$B$10*$I11+VLOOKUP($C11,TabAlgSqu,2,FALSE)*Pesi!$B$11+Pesi!$B$12*VLOOKUP($C11,TabAlgFC,2,FALSE)+VLOOKUP($C11,TabAlgAll,2,FALSE)*Pesi!$B$13</f>
        <v>68.959400000000002</v>
      </c>
      <c r="K11" s="155">
        <f>IF(ISNA(MATCH($B11,Pesi!$B$31:$B$34,0)),VLOOKUP(Pesi!$B$34,TabAlgPor,10,FALSE)-((VLOOKUP(Pesi!$B$34,TabAlgPor,9,FALSE)-$J11)/(VLOOKUP(Pesi!$B$34,TabAlgPor,9,FALSE)-Pesi!$D$44))*VLOOKUP(Pesi!$B$34,TabAlgPor,10,FALSE),Pesi!$F$34*Pesi!$C$28)</f>
        <v>8.227407550253913</v>
      </c>
      <c r="L11" s="155">
        <f t="shared" si="0"/>
        <v>8.227407550253913</v>
      </c>
      <c r="M11" s="154">
        <f>$D11*Pesi!$D$5+Pesi!$D$6*Portieri!$E11+Portieri!$F11*Pesi!$D$7+Pesi!$D$8*Portieri!$G11+Portieri!$H11*Pesi!$D$9+Pesi!$D$10*Portieri!$I11+VLOOKUP($C11,TabAlgSqu,2,FALSE)*Pesi!$D$11+Pesi!$D$12*VLOOKUP($C11,TabAlgFC,2,FALSE)+VLOOKUP($C11,TabAlgAll,2,FALSE)*Pesi!$D$13</f>
        <v>70.309400000000011</v>
      </c>
      <c r="N11" s="155">
        <f>IF(ISNA(MATCH($B11,Pesi!$B$31:$B$34,0)),VLOOKUP(Pesi!$B$34,TabAlgPor,13,FALSE)-((VLOOKUP(Pesi!$B$34,TabAlgPor,12,FALSE)-$M11)/(VLOOKUP(Pesi!$B$34,TabAlgPor,12,FALSE)-Pesi!$F$44))*VLOOKUP(Pesi!$B$34,TabAlgPor,13,FALSE),$K11*$M11/$J11)</f>
        <v>8.5471560710796215</v>
      </c>
      <c r="O11" s="155">
        <f t="shared" si="1"/>
        <v>8.5471560710796215</v>
      </c>
      <c r="P11">
        <f t="shared" si="2"/>
        <v>44</v>
      </c>
      <c r="Q11" t="e">
        <f>VLOOKUP(B11,'C.P.'!$A$2:$B$164,2,FALSE)</f>
        <v>#N/A</v>
      </c>
      <c r="R11" t="e">
        <f>VLOOKUP(B11,'C.P.'!$C$2:$D$164,2,FALSE)</f>
        <v>#N/A</v>
      </c>
      <c r="S11" t="e">
        <f>VLOOKUP(B11,'C.P.'!$E$2:$F$164,2,FALSE)</f>
        <v>#N/A</v>
      </c>
      <c r="T11" t="e">
        <f>VLOOKUP(B11,'C.P.'!$G$2:$H$164,2,FALSE)</f>
        <v>#N/A</v>
      </c>
    </row>
    <row r="12" spans="1:21">
      <c r="A12">
        <f ca="1">COUNTIF('I.A. + Fasce'!B$1:'I.A. + Fasce'!B$538,B12)</f>
        <v>1</v>
      </c>
      <c r="B12" s="199" t="s">
        <v>325</v>
      </c>
      <c r="C12" s="199" t="str">
        <f>VLOOKUP(B12,'IA FG'!$B$2:$G$534,6,FALSE)</f>
        <v>SAS</v>
      </c>
      <c r="D12" s="200">
        <v>8</v>
      </c>
      <c r="E12" s="201">
        <v>9</v>
      </c>
      <c r="F12" s="201">
        <v>7</v>
      </c>
      <c r="G12" s="201">
        <v>7</v>
      </c>
      <c r="H12" s="201">
        <v>6</v>
      </c>
      <c r="I12" s="201">
        <v>7</v>
      </c>
      <c r="J12" s="154">
        <f>$D12*Pesi!$B$5+Pesi!$B$6*$E12+$F12*Pesi!$B$7+Pesi!$B$8*$G12+$H12*Pesi!$B$9+Pesi!$B$10*$I12+VLOOKUP($C12,TabAlgSqu,2,FALSE)*Pesi!$B$11+Pesi!$B$12*VLOOKUP($C12,TabAlgFC,2,FALSE)+VLOOKUP($C12,TabAlgAll,2,FALSE)*Pesi!$B$13</f>
        <v>68.459000000000003</v>
      </c>
      <c r="K12" s="155">
        <f>IF(ISNA(MATCH($B12,Pesi!$B$31:$B$34,0)),VLOOKUP(Pesi!$B$34,TabAlgPor,10,FALSE)-((VLOOKUP(Pesi!$B$34,TabAlgPor,9,FALSE)-$J12)/(VLOOKUP(Pesi!$B$34,TabAlgPor,9,FALSE)-Pesi!$D$44))*VLOOKUP(Pesi!$B$34,TabAlgPor,10,FALSE),Pesi!$F$34*Pesi!$C$28)</f>
        <v>7.7678907591577406</v>
      </c>
      <c r="L12" s="155">
        <f t="shared" si="0"/>
        <v>7.7678907591577406</v>
      </c>
      <c r="M12" s="154">
        <f>$D12*Pesi!$D$5+Pesi!$D$6*Portieri!$E12+Portieri!$F12*Pesi!$D$7+Pesi!$D$8*Portieri!$G12+Portieri!$H12*Pesi!$D$9+Pesi!$D$10*Portieri!$I12+VLOOKUP($C12,TabAlgSqu,2,FALSE)*Pesi!$D$11+Pesi!$D$12*VLOOKUP($C12,TabAlgFC,2,FALSE)+VLOOKUP($C12,TabAlgAll,2,FALSE)*Pesi!$D$13</f>
        <v>69.509</v>
      </c>
      <c r="N12" s="155">
        <f>IF(ISNA(MATCH($B12,Pesi!$B$31:$B$34,0)),VLOOKUP(Pesi!$B$34,TabAlgPor,13,FALSE)-((VLOOKUP(Pesi!$B$34,TabAlgPor,12,FALSE)-$M12)/(VLOOKUP(Pesi!$B$34,TabAlgPor,12,FALSE)-Pesi!$F$44))*VLOOKUP(Pesi!$B$34,TabAlgPor,13,FALSE),$K12*$M12/$J12)</f>
        <v>7.8835729605889799</v>
      </c>
      <c r="O12" s="155">
        <f t="shared" si="1"/>
        <v>7.8835729605889799</v>
      </c>
      <c r="P12">
        <f t="shared" si="2"/>
        <v>44</v>
      </c>
      <c r="Q12">
        <f>VLOOKUP(B12,'C.P.'!$A$2:$B$164,2,FALSE)</f>
        <v>0</v>
      </c>
      <c r="R12" t="e">
        <f>VLOOKUP(B12,'C.P.'!$C$2:$D$164,2,FALSE)</f>
        <v>#N/A</v>
      </c>
      <c r="S12" t="e">
        <f>VLOOKUP(B12,'C.P.'!$E$2:$F$164,2,FALSE)</f>
        <v>#N/A</v>
      </c>
      <c r="T12" t="e">
        <f>VLOOKUP(B12,'C.P.'!$G$2:$H$164,2,FALSE)</f>
        <v>#N/A</v>
      </c>
    </row>
    <row r="13" spans="1:21">
      <c r="A13">
        <f ca="1">COUNTIF('I.A. + Fasce'!B$1:'I.A. + Fasce'!B$538,B13)</f>
        <v>1</v>
      </c>
      <c r="B13" s="199" t="s">
        <v>311</v>
      </c>
      <c r="C13" s="199" t="str">
        <f>VLOOKUP(B13,'IA FG'!$B$2:$G$534,6,FALSE)</f>
        <v>ATA</v>
      </c>
      <c r="D13" s="200">
        <v>8</v>
      </c>
      <c r="E13" s="201">
        <v>9</v>
      </c>
      <c r="F13" s="201">
        <v>6</v>
      </c>
      <c r="G13" s="201">
        <v>5</v>
      </c>
      <c r="H13" s="201">
        <v>7</v>
      </c>
      <c r="I13" s="201">
        <v>8</v>
      </c>
      <c r="J13" s="154">
        <f>$D13*Pesi!$B$5+Pesi!$B$6*$E13+$F13*Pesi!$B$7+Pesi!$B$8*$G13+$H13*Pesi!$B$9+Pesi!$B$10*$I13+VLOOKUP($C13,TabAlgSqu,2,FALSE)*Pesi!$B$11+Pesi!$B$12*VLOOKUP($C13,TabAlgFC,2,FALSE)+VLOOKUP($C13,TabAlgAll,2,FALSE)*Pesi!$B$13</f>
        <v>67.886799999999994</v>
      </c>
      <c r="K13" s="155">
        <f>IF(ISNA(MATCH($B13,Pesi!$B$31:$B$34,0)),VLOOKUP(Pesi!$B$34,TabAlgPor,10,FALSE)-((VLOOKUP(Pesi!$B$34,TabAlgPor,9,FALSE)-$J13)/(VLOOKUP(Pesi!$B$34,TabAlgPor,9,FALSE)-Pesi!$D$44))*VLOOKUP(Pesi!$B$34,TabAlgPor,10,FALSE),Pesi!$F$34*Pesi!$C$28)</f>
        <v>7.2424401039514343</v>
      </c>
      <c r="L13" s="155">
        <f t="shared" si="0"/>
        <v>7.2424401039514343</v>
      </c>
      <c r="M13" s="154">
        <f>$D13*Pesi!$D$5+Pesi!$D$6*Portieri!$E13+Portieri!$F13*Pesi!$D$7+Pesi!$D$8*Portieri!$G13+Portieri!$H13*Pesi!$D$9+Pesi!$D$10*Portieri!$I13+VLOOKUP($C13,TabAlgSqu,2,FALSE)*Pesi!$D$11+Pesi!$D$12*VLOOKUP($C13,TabAlgFC,2,FALSE)+VLOOKUP($C13,TabAlgAll,2,FALSE)*Pesi!$D$13</f>
        <v>68.786799999999999</v>
      </c>
      <c r="N13" s="155">
        <f>IF(ISNA(MATCH($B13,Pesi!$B$31:$B$34,0)),VLOOKUP(Pesi!$B$34,TabAlgPor,13,FALSE)-((VLOOKUP(Pesi!$B$34,TabAlgPor,12,FALSE)-$M13)/(VLOOKUP(Pesi!$B$34,TabAlgPor,12,FALSE)-Pesi!$F$44))*VLOOKUP(Pesi!$B$34,TabAlgPor,13,FALSE),$K13*$M13/$J13)</f>
        <v>7.2848226827324893</v>
      </c>
      <c r="O13" s="155">
        <f t="shared" si="1"/>
        <v>7.2848226827324893</v>
      </c>
      <c r="P13">
        <f t="shared" si="2"/>
        <v>43</v>
      </c>
      <c r="Q13" t="e">
        <f>VLOOKUP(B13,'C.P.'!$A$2:$B$164,2,FALSE)</f>
        <v>#N/A</v>
      </c>
      <c r="R13" t="e">
        <f>VLOOKUP(B13,'C.P.'!$C$2:$D$164,2,FALSE)</f>
        <v>#N/A</v>
      </c>
      <c r="S13" t="e">
        <f>VLOOKUP(B13,'C.P.'!$E$2:$F$164,2,FALSE)</f>
        <v>#N/A</v>
      </c>
      <c r="T13" t="e">
        <f>VLOOKUP(B13,'C.P.'!$G$2:$H$164,2,FALSE)</f>
        <v>#N/A</v>
      </c>
    </row>
    <row r="14" spans="1:21">
      <c r="A14">
        <f ca="1">COUNTIF('I.A. + Fasce'!B$1:'I.A. + Fasce'!B$538,B14)</f>
        <v>1</v>
      </c>
      <c r="B14" s="199" t="s">
        <v>431</v>
      </c>
      <c r="C14" s="199" t="str">
        <f>VLOOKUP(B14,'IA FG'!$B$2:$G$534,6,FALSE)</f>
        <v>CHI</v>
      </c>
      <c r="D14" s="200">
        <v>7</v>
      </c>
      <c r="E14" s="201">
        <v>8</v>
      </c>
      <c r="F14" s="201">
        <v>7</v>
      </c>
      <c r="G14" s="201">
        <v>6</v>
      </c>
      <c r="H14" s="201">
        <v>6</v>
      </c>
      <c r="I14" s="201">
        <v>7</v>
      </c>
      <c r="J14" s="154">
        <f>$D14*Pesi!$B$5+Pesi!$B$6*$E14+$F14*Pesi!$B$7+Pesi!$B$8*$G14+$H14*Pesi!$B$9+Pesi!$B$10*$I14+VLOOKUP($C14,TabAlgSqu,2,FALSE)*Pesi!$B$11+Pesi!$B$12*VLOOKUP($C14,TabAlgFC,2,FALSE)+VLOOKUP($C14,TabAlgAll,2,FALSE)*Pesi!$B$13</f>
        <v>67.696699999999993</v>
      </c>
      <c r="K14" s="155">
        <f>IF(ISNA(MATCH($B14,Pesi!$B$31:$B$34,0)),VLOOKUP(Pesi!$B$34,TabAlgPor,10,FALSE)-((VLOOKUP(Pesi!$B$34,TabAlgPor,9,FALSE)-$J14)/(VLOOKUP(Pesi!$B$34,TabAlgPor,9,FALSE)-Pesi!$D$44))*VLOOKUP(Pesi!$B$34,TabAlgPor,10,FALSE),Pesi!$F$34*Pesi!$C$28)</f>
        <v>7.0678714748799276</v>
      </c>
      <c r="L14" s="155">
        <f t="shared" si="0"/>
        <v>7.0678714748799276</v>
      </c>
      <c r="M14" s="154">
        <f>$D14*Pesi!$D$5+Pesi!$D$6*Portieri!$E17+Portieri!$F17*Pesi!$D$7+Pesi!$D$8*Portieri!$G17+Portieri!$H17*Pesi!$D$9+Pesi!$D$10*Portieri!$I17+VLOOKUP($C14,TabAlgSqu,2,FALSE)*Pesi!$D$11+Pesi!$D$12*VLOOKUP($C14,TabAlgFC,2,FALSE)+VLOOKUP($C14,TabAlgAll,2,FALSE)*Pesi!$D$13</f>
        <v>65.163499999999999</v>
      </c>
      <c r="N14" s="155">
        <f>IF(ISNA(MATCH($B14,Pesi!$B$31:$B$34,0)),VLOOKUP(Pesi!$B$34,TabAlgPor,13,FALSE)-((VLOOKUP(Pesi!$B$34,TabAlgPor,12,FALSE)-$M14)/(VLOOKUP(Pesi!$B$34,TabAlgPor,12,FALSE)-Pesi!$F$44))*VLOOKUP(Pesi!$B$34,TabAlgPor,13,FALSE),$K14*$M14/$J14)</f>
        <v>4.2808738018720369</v>
      </c>
      <c r="O14" s="155">
        <f t="shared" si="1"/>
        <v>4.2808738018720369</v>
      </c>
      <c r="P14">
        <f t="shared" si="2"/>
        <v>41</v>
      </c>
      <c r="Q14" t="e">
        <f>VLOOKUP(B14,'C.P.'!$A$2:$B$164,2,FALSE)</f>
        <v>#N/A</v>
      </c>
      <c r="R14" t="e">
        <f>VLOOKUP(B14,'C.P.'!$C$2:$D$164,2,FALSE)</f>
        <v>#N/A</v>
      </c>
      <c r="S14" t="e">
        <f>VLOOKUP(B14,'C.P.'!$E$2:$F$164,2,FALSE)</f>
        <v>#N/A</v>
      </c>
      <c r="T14" t="e">
        <f>VLOOKUP(B14,'C.P.'!$G$2:$H$164,2,FALSE)</f>
        <v>#N/A</v>
      </c>
    </row>
    <row r="15" spans="1:21">
      <c r="A15">
        <f ca="1">COUNTIF('I.A. + Fasce'!B$1:'I.A. + Fasce'!B$538,B15)</f>
        <v>1</v>
      </c>
      <c r="B15" s="199" t="s">
        <v>379</v>
      </c>
      <c r="C15" s="199" t="str">
        <f>VLOOKUP(B15,'IA FG'!$B$2:$G$534,6,FALSE)</f>
        <v>BOL</v>
      </c>
      <c r="D15" s="200">
        <v>8</v>
      </c>
      <c r="E15" s="201">
        <v>9</v>
      </c>
      <c r="F15" s="201">
        <v>7</v>
      </c>
      <c r="G15" s="201">
        <v>6</v>
      </c>
      <c r="H15" s="201">
        <v>6</v>
      </c>
      <c r="I15" s="201">
        <v>7</v>
      </c>
      <c r="J15" s="154">
        <f>$D15*Pesi!$B$5+Pesi!$B$6*$E15+$F15*Pesi!$B$7+Pesi!$B$8*$G15+$H15*Pesi!$B$9+Pesi!$B$10*$I15+VLOOKUP($C15,TabAlgSqu,2,FALSE)*Pesi!$B$11+Pesi!$B$12*VLOOKUP($C15,TabAlgFC,2,FALSE)+VLOOKUP($C15,TabAlgAll,2,FALSE)*Pesi!$B$13</f>
        <v>67.177999999999997</v>
      </c>
      <c r="K15" s="155">
        <f>IF(ISNA(MATCH($B15,Pesi!$B$31:$B$34,0)),VLOOKUP(Pesi!$B$34,TabAlgPor,10,FALSE)-((VLOOKUP(Pesi!$B$34,TabAlgPor,9,FALSE)-$J15)/(VLOOKUP(Pesi!$B$34,TabAlgPor,9,FALSE)-Pesi!$D$44))*VLOOKUP(Pesi!$B$34,TabAlgPor,10,FALSE),Pesi!$F$34*Pesi!$C$28)</f>
        <v>6.5915498131261625</v>
      </c>
      <c r="L15" s="155">
        <f t="shared" si="0"/>
        <v>6.5915498131261625</v>
      </c>
      <c r="M15" s="154">
        <f>$D15*Pesi!$D$5+Pesi!$D$6*Portieri!$E14+Portieri!$F14*Pesi!$D$7+Pesi!$D$8*Portieri!$G14+Portieri!$H14*Pesi!$D$9+Pesi!$D$10*Portieri!$I14+VLOOKUP($C15,TabAlgSqu,2,FALSE)*Pesi!$D$11+Pesi!$D$12*VLOOKUP($C15,TabAlgFC,2,FALSE)+VLOOKUP($C15,TabAlgAll,2,FALSE)*Pesi!$D$13</f>
        <v>67.227999999999994</v>
      </c>
      <c r="N15" s="155">
        <f>IF(ISNA(MATCH($B15,Pesi!$B$31:$B$34,0)),VLOOKUP(Pesi!$B$34,TabAlgPor,13,FALSE)-((VLOOKUP(Pesi!$B$34,TabAlgPor,12,FALSE)-$M15)/(VLOOKUP(Pesi!$B$34,TabAlgPor,12,FALSE)-Pesi!$F$44))*VLOOKUP(Pesi!$B$34,TabAlgPor,13,FALSE),$K15*$M15/$J15)</f>
        <v>5.9924771647005048</v>
      </c>
      <c r="O15" s="155">
        <f t="shared" si="1"/>
        <v>5.9924771647005048</v>
      </c>
      <c r="P15">
        <f t="shared" si="2"/>
        <v>43</v>
      </c>
      <c r="Q15" t="e">
        <f>VLOOKUP(B15,'C.P.'!$A$2:$B$164,2,FALSE)</f>
        <v>#N/A</v>
      </c>
      <c r="R15" t="e">
        <f>VLOOKUP(B15,'C.P.'!$C$2:$D$164,2,FALSE)</f>
        <v>#N/A</v>
      </c>
      <c r="S15" t="e">
        <f>VLOOKUP(B15,'C.P.'!$E$2:$F$164,2,FALSE)</f>
        <v>#N/A</v>
      </c>
      <c r="T15" t="e">
        <f>VLOOKUP(B15,'C.P.'!$G$2:$H$164,2,FALSE)</f>
        <v>#N/A</v>
      </c>
    </row>
    <row r="16" spans="1:21">
      <c r="A16">
        <f ca="1">COUNTIF('I.A. + Fasce'!B$1:'I.A. + Fasce'!B$538,B16)</f>
        <v>1</v>
      </c>
      <c r="B16" s="199" t="s">
        <v>420</v>
      </c>
      <c r="C16" s="199" t="str">
        <f>VLOOKUP(B16,'IA FG'!$B$2:$G$534,6,FALSE)</f>
        <v>UDI</v>
      </c>
      <c r="D16" s="200">
        <v>8</v>
      </c>
      <c r="E16" s="201">
        <v>9</v>
      </c>
      <c r="F16" s="201">
        <v>6</v>
      </c>
      <c r="G16" s="201">
        <v>6</v>
      </c>
      <c r="H16" s="201">
        <v>6</v>
      </c>
      <c r="I16" s="201">
        <v>6</v>
      </c>
      <c r="J16" s="154">
        <f>$D16*Pesi!$B$5+Pesi!$B$6*$E16+$F16*Pesi!$B$7+Pesi!$B$8*$G16+$H16*Pesi!$B$9+Pesi!$B$10*$I16+VLOOKUP($C16,TabAlgSqu,2,FALSE)*Pesi!$B$11+Pesi!$B$12*VLOOKUP($C16,TabAlgFC,2,FALSE)+VLOOKUP($C16,TabAlgAll,2,FALSE)*Pesi!$B$13</f>
        <v>65.898200000000003</v>
      </c>
      <c r="K16" s="155">
        <f>IF(ISNA(MATCH($B16,Pesi!$B$31:$B$34,0)),VLOOKUP(Pesi!$B$34,TabAlgPor,10,FALSE)-((VLOOKUP(Pesi!$B$34,TabAlgPor,9,FALSE)-$J16)/(VLOOKUP(Pesi!$B$34,TabAlgPor,9,FALSE)-Pesi!$D$44))*VLOOKUP(Pesi!$B$34,TabAlgPor,10,FALSE),Pesi!$F$34*Pesi!$C$28)</f>
        <v>5.4163108258262422</v>
      </c>
      <c r="L16" s="155">
        <f t="shared" si="0"/>
        <v>5.4163108258262422</v>
      </c>
      <c r="M16" s="154">
        <f>$D16*Pesi!$D$5+Pesi!$D$6*Portieri!$E18+Portieri!$F18*Pesi!$D$7+Pesi!$D$8*Portieri!$G18+Portieri!$H18*Pesi!$D$9+Pesi!$D$10*Portieri!$I18+VLOOKUP($C16,TabAlgSqu,2,FALSE)*Pesi!$D$11+Pesi!$D$12*VLOOKUP($C16,TabAlgFC,2,FALSE)+VLOOKUP($C16,TabAlgAll,2,FALSE)*Pesi!$D$13</f>
        <v>67.969000000000008</v>
      </c>
      <c r="N16" s="155">
        <f>IF(ISNA(MATCH($B16,Pesi!$B$31:$B$34,0)),VLOOKUP(Pesi!$B$34,TabAlgPor,13,FALSE)-((VLOOKUP(Pesi!$B$34,TabAlgPor,12,FALSE)-$M16)/(VLOOKUP(Pesi!$B$34,TabAlgPor,12,FALSE)-Pesi!$F$44))*VLOOKUP(Pesi!$B$34,TabAlgPor,13,FALSE),$K16*$M16/$J16)</f>
        <v>6.6068138524485889</v>
      </c>
      <c r="O16" s="155">
        <f t="shared" si="1"/>
        <v>6.6068138524485889</v>
      </c>
      <c r="P16">
        <f t="shared" si="2"/>
        <v>41</v>
      </c>
      <c r="Q16" t="e">
        <f>VLOOKUP(B16,'C.P.'!$A$2:$B$164,2,FALSE)</f>
        <v>#N/A</v>
      </c>
      <c r="R16" t="e">
        <f>VLOOKUP(B16,'C.P.'!$C$2:$D$164,2,FALSE)</f>
        <v>#N/A</v>
      </c>
      <c r="S16" t="e">
        <f>VLOOKUP(B16,'C.P.'!$E$2:$F$164,2,FALSE)</f>
        <v>#N/A</v>
      </c>
      <c r="T16" t="e">
        <f>VLOOKUP(B16,'C.P.'!$G$2:$H$164,2,FALSE)</f>
        <v>#N/A</v>
      </c>
    </row>
    <row r="17" spans="1:21">
      <c r="A17">
        <f ca="1">COUNTIF('I.A. + Fasce'!B$1:'I.A. + Fasce'!B$538,B17)</f>
        <v>1</v>
      </c>
      <c r="B17" s="199" t="s">
        <v>428</v>
      </c>
      <c r="C17" s="199" t="str">
        <f>VLOOKUP(B17,'IA FG'!$B$2:$G$534,6,FALSE)</f>
        <v>ROM</v>
      </c>
      <c r="D17" s="200">
        <v>9</v>
      </c>
      <c r="E17" s="201">
        <v>3</v>
      </c>
      <c r="F17" s="201">
        <v>8</v>
      </c>
      <c r="G17" s="201">
        <v>8</v>
      </c>
      <c r="H17" s="201">
        <v>8</v>
      </c>
      <c r="I17" s="201">
        <v>3</v>
      </c>
      <c r="J17" s="154">
        <f>$D17*Pesi!$B$5+Pesi!$B$6*$E17+$F17*Pesi!$B$7+Pesi!$B$8*$G17+$H17*Pesi!$B$9+Pesi!$B$10*$I17+VLOOKUP($C17,TabAlgSqu,2,FALSE)*Pesi!$B$11+Pesi!$B$12*VLOOKUP($C17,TabAlgFC,2,FALSE)+VLOOKUP($C17,TabAlgAll,2,FALSE)*Pesi!$B$13</f>
        <v>65.8001</v>
      </c>
      <c r="K17" s="155">
        <f>IF(ISNA(MATCH($B17,Pesi!$B$31:$B$34,0)),VLOOKUP(Pesi!$B$34,TabAlgPor,10,FALSE)-((VLOOKUP(Pesi!$B$34,TabAlgPor,9,FALSE)-$J17)/(VLOOKUP(Pesi!$B$34,TabAlgPor,9,FALSE)-Pesi!$D$44))*VLOOKUP(Pesi!$B$34,TabAlgPor,10,FALSE),Pesi!$F$34*Pesi!$C$28)</f>
        <v>5.3262256995142216</v>
      </c>
      <c r="L17" s="155">
        <f t="shared" si="0"/>
        <v>5.3262256995142216</v>
      </c>
      <c r="M17" s="154">
        <f>$D17*Pesi!$D$5+Pesi!$D$6*Portieri!$E20+Portieri!$F20*Pesi!$D$7+Pesi!$D$8*Portieri!$G20+Portieri!$H20*Pesi!$D$9+Pesi!$D$10*Portieri!$I20+VLOOKUP($C17,TabAlgSqu,2,FALSE)*Pesi!$D$11+Pesi!$D$12*VLOOKUP($C17,TabAlgFC,2,FALSE)+VLOOKUP($C17,TabAlgAll,2,FALSE)*Pesi!$D$13</f>
        <v>66.8125</v>
      </c>
      <c r="N17" s="155">
        <f>IF(ISNA(MATCH($B17,Pesi!$B$31:$B$34,0)),VLOOKUP(Pesi!$B$34,TabAlgPor,13,FALSE)-((VLOOKUP(Pesi!$B$34,TabAlgPor,12,FALSE)-$M17)/(VLOOKUP(Pesi!$B$34,TabAlgPor,12,FALSE)-Pesi!$F$44))*VLOOKUP(Pesi!$B$34,TabAlgPor,13,FALSE),$K17*$M17/$J17)</f>
        <v>5.6480009248093843</v>
      </c>
      <c r="O17" s="155">
        <f t="shared" si="1"/>
        <v>5.6480009248093843</v>
      </c>
      <c r="P17">
        <f t="shared" si="2"/>
        <v>39</v>
      </c>
      <c r="Q17" t="e">
        <f>VLOOKUP(B17,'C.P.'!$A$2:$B$164,2,FALSE)</f>
        <v>#N/A</v>
      </c>
      <c r="R17" t="e">
        <f>VLOOKUP(B17,'C.P.'!$C$2:$D$164,2,FALSE)</f>
        <v>#N/A</v>
      </c>
      <c r="S17" t="e">
        <f>VLOOKUP(B17,'C.P.'!$E$2:$F$164,2,FALSE)</f>
        <v>#N/A</v>
      </c>
      <c r="T17" t="e">
        <f>VLOOKUP(B17,'C.P.'!$G$2:$H$164,2,FALSE)</f>
        <v>#N/A</v>
      </c>
    </row>
    <row r="18" spans="1:21">
      <c r="A18">
        <f ca="1">COUNTIF('I.A. + Fasce'!B$1:'I.A. + Fasce'!B$538,B18)</f>
        <v>1</v>
      </c>
      <c r="B18" s="199" t="s">
        <v>329</v>
      </c>
      <c r="C18" s="199" t="str">
        <f>VLOOKUP(B18,'IA FG'!$B$2:$G$534,6,FALSE)</f>
        <v>CRO</v>
      </c>
      <c r="D18" s="200">
        <v>8</v>
      </c>
      <c r="E18" s="201">
        <v>9</v>
      </c>
      <c r="F18" s="201">
        <v>7</v>
      </c>
      <c r="G18" s="201">
        <v>7</v>
      </c>
      <c r="H18" s="201">
        <v>4</v>
      </c>
      <c r="I18" s="201">
        <v>7</v>
      </c>
      <c r="J18" s="154">
        <f>$D18*Pesi!$B$5+Pesi!$B$6*$E18+$F18*Pesi!$B$7+Pesi!$B$8*$G18+$H18*Pesi!$B$9+Pesi!$B$10*$I18+VLOOKUP($C18,TabAlgSqu,2,FALSE)*Pesi!$B$11+Pesi!$B$12*VLOOKUP($C18,TabAlgFC,2,FALSE)+VLOOKUP($C18,TabAlgAll,2,FALSE)*Pesi!$B$13</f>
        <v>65.421500000000009</v>
      </c>
      <c r="K18" s="155">
        <f>IF(ISNA(MATCH($B18,Pesi!$B$31:$B$34,0)),VLOOKUP(Pesi!$B$34,TabAlgPor,10,FALSE)-((VLOOKUP(Pesi!$B$34,TabAlgPor,9,FALSE)-$J18)/(VLOOKUP(Pesi!$B$34,TabAlgPor,9,FALSE)-Pesi!$D$44))*VLOOKUP(Pesi!$B$34,TabAlgPor,10,FALSE),Pesi!$F$34*Pesi!$C$28)</f>
        <v>4.9785577196800741</v>
      </c>
      <c r="L18" s="155">
        <f t="shared" si="0"/>
        <v>4.9785577196800741</v>
      </c>
      <c r="M18" s="154">
        <f>$D18*Pesi!$D$5+Pesi!$D$6*Portieri!$E15+Portieri!$F15*Pesi!$D$7+Pesi!$D$8*Portieri!$G15+Portieri!$H15*Pesi!$D$9+Pesi!$D$10*Portieri!$I15+VLOOKUP($C18,TabAlgSqu,2,FALSE)*Pesi!$D$11+Pesi!$D$12*VLOOKUP($C18,TabAlgFC,2,FALSE)+VLOOKUP($C18,TabAlgAll,2,FALSE)*Pesi!$D$13</f>
        <v>68.184000000000012</v>
      </c>
      <c r="N18" s="155">
        <f>IF(ISNA(MATCH($B18,Pesi!$B$31:$B$34,0)),VLOOKUP(Pesi!$B$34,TabAlgPor,13,FALSE)-((VLOOKUP(Pesi!$B$34,TabAlgPor,12,FALSE)-$M18)/(VLOOKUP(Pesi!$B$34,TabAlgPor,12,FALSE)-Pesi!$F$44))*VLOOKUP(Pesi!$B$34,TabAlgPor,13,FALSE),$K18*$M18/$J18)</f>
        <v>6.785062688974687</v>
      </c>
      <c r="O18" s="155">
        <f t="shared" si="1"/>
        <v>6.785062688974687</v>
      </c>
      <c r="P18">
        <f t="shared" si="2"/>
        <v>42</v>
      </c>
      <c r="Q18">
        <f>VLOOKUP(B18,'C.P.'!$A$2:$B$164,2,FALSE)</f>
        <v>1</v>
      </c>
      <c r="R18" t="e">
        <f>VLOOKUP(B18,'C.P.'!$C$2:$D$164,2,FALSE)</f>
        <v>#N/A</v>
      </c>
      <c r="S18" t="e">
        <f>VLOOKUP(B18,'C.P.'!$E$2:$F$164,2,FALSE)</f>
        <v>#N/A</v>
      </c>
      <c r="T18" t="e">
        <f>VLOOKUP(B18,'C.P.'!$G$2:$H$164,2,FALSE)</f>
        <v>#N/A</v>
      </c>
    </row>
    <row r="19" spans="1:21">
      <c r="A19">
        <f ca="1">COUNTIF('I.A. + Fasce'!B$1:'I.A. + Fasce'!B$538,B19)</f>
        <v>1</v>
      </c>
      <c r="B19" s="199" t="s">
        <v>1676</v>
      </c>
      <c r="C19" s="199" t="str">
        <f>VLOOKUP(B19,'IA FG'!$B$2:$G$534,6,FALSE)</f>
        <v>TOR</v>
      </c>
      <c r="D19" s="200">
        <v>8</v>
      </c>
      <c r="E19" s="201">
        <v>9</v>
      </c>
      <c r="F19" s="201">
        <v>7</v>
      </c>
      <c r="G19" s="201">
        <v>6</v>
      </c>
      <c r="H19" s="201">
        <v>5</v>
      </c>
      <c r="I19" s="201">
        <v>6</v>
      </c>
      <c r="J19" s="154">
        <f>$D19*Pesi!$B$5+Pesi!$B$6*$E19+$F19*Pesi!$B$7+Pesi!$B$8*$G19+$H19*Pesi!$B$9+Pesi!$B$10*$I19+VLOOKUP($C19,TabAlgSqu,2,FALSE)*Pesi!$B$11+Pesi!$B$12*VLOOKUP($C19,TabAlgFC,2,FALSE)+VLOOKUP($C19,TabAlgAll,2,FALSE)*Pesi!$B$13</f>
        <v>64.160200000000003</v>
      </c>
      <c r="K19" s="155">
        <f>IF(ISNA(MATCH($B19,Pesi!$B$31:$B$34,0)),VLOOKUP(Pesi!$B$34,TabAlgPor,10,FALSE)-((VLOOKUP(Pesi!$B$34,TabAlgPor,9,FALSE)-$J19)/(VLOOKUP(Pesi!$B$34,TabAlgPor,9,FALSE)-Pesi!$D$44))*VLOOKUP(Pesi!$B$34,TabAlgPor,10,FALSE),Pesi!$F$34*Pesi!$C$28)</f>
        <v>3.8203072628263435</v>
      </c>
      <c r="L19" s="155">
        <f t="shared" si="0"/>
        <v>3.8203072628263435</v>
      </c>
      <c r="M19" s="154">
        <f>$D19*Pesi!$D$5+Pesi!$D$6*Portieri!$E19+Portieri!$F19*Pesi!$D$7+Pesi!$D$8*Portieri!$G19+Portieri!$H19*Pesi!$D$9+Pesi!$D$10*Portieri!$I19+VLOOKUP($C19,TabAlgSqu,2,FALSE)*Pesi!$D$11+Pesi!$D$12*VLOOKUP($C19,TabAlgFC,2,FALSE)+VLOOKUP($C19,TabAlgAll,2,FALSE)*Pesi!$D$13</f>
        <v>65.2102</v>
      </c>
      <c r="N19" s="155">
        <f>IF(ISNA(MATCH($B19,Pesi!$B$31:$B$34,0)),VLOOKUP(Pesi!$B$34,TabAlgPor,13,FALSE)-((VLOOKUP(Pesi!$B$34,TabAlgPor,12,FALSE)-$M19)/(VLOOKUP(Pesi!$B$34,TabAlgPor,12,FALSE)-Pesi!$F$44))*VLOOKUP(Pesi!$B$34,TabAlgPor,13,FALSE),$K19*$M19/$J19)</f>
        <v>4.3195911072942152</v>
      </c>
      <c r="O19" s="155">
        <f t="shared" si="1"/>
        <v>4.3195911072942152</v>
      </c>
      <c r="P19">
        <f t="shared" si="2"/>
        <v>41</v>
      </c>
      <c r="Q19" t="e">
        <f>VLOOKUP(B19,'C.P.'!$A$2:$B$164,2,FALSE)</f>
        <v>#N/A</v>
      </c>
      <c r="R19" t="e">
        <f>VLOOKUP(B19,'C.P.'!$C$2:$D$164,2,FALSE)</f>
        <v>#N/A</v>
      </c>
      <c r="S19" t="e">
        <f>VLOOKUP(B19,'C.P.'!$E$2:$F$164,2,FALSE)</f>
        <v>#N/A</v>
      </c>
      <c r="T19" t="e">
        <f>VLOOKUP(B19,'C.P.'!$G$2:$H$164,2,FALSE)</f>
        <v>#N/A</v>
      </c>
    </row>
    <row r="20" spans="1:21">
      <c r="A20">
        <f ca="1">COUNTIF('I.A. + Fasce'!B$1:'I.A. + Fasce'!B$538,B20)</f>
        <v>1</v>
      </c>
      <c r="B20" s="199" t="s">
        <v>1677</v>
      </c>
      <c r="C20" s="199" t="str">
        <f>VLOOKUP(B20,'IA FG'!$B$2:$G$534,6,FALSE)</f>
        <v>CAG</v>
      </c>
      <c r="D20" s="200">
        <v>8</v>
      </c>
      <c r="E20" s="201">
        <v>7</v>
      </c>
      <c r="F20" s="201">
        <v>7</v>
      </c>
      <c r="G20" s="201">
        <v>6</v>
      </c>
      <c r="H20" s="201">
        <v>5</v>
      </c>
      <c r="I20" s="201">
        <v>6</v>
      </c>
      <c r="J20" s="154">
        <f>$D20*Pesi!$B$5+Pesi!$B$6*$E20+$F20*Pesi!$B$7+Pesi!$B$8*$G20+$H20*Pesi!$B$9+Pesi!$B$10*$I20+VLOOKUP($C20,TabAlgSqu,2,FALSE)*Pesi!$B$11+Pesi!$B$12*VLOOKUP($C20,TabAlgFC,2,FALSE)+VLOOKUP($C20,TabAlgAll,2,FALSE)*Pesi!$B$13</f>
        <v>61.841200000000001</v>
      </c>
      <c r="K20" s="155">
        <f>IF(ISNA(MATCH($B20,Pesi!$B$31:$B$34,0)),VLOOKUP(Pesi!$B$34,TabAlgPor,10,FALSE)-((VLOOKUP(Pesi!$B$34,TabAlgPor,9,FALSE)-$J20)/(VLOOKUP(Pesi!$B$34,TabAlgPor,9,FALSE)-Pesi!$D$44))*VLOOKUP(Pesi!$B$34,TabAlgPor,10,FALSE),Pesi!$F$34*Pesi!$C$28)</f>
        <v>1.6907720139214142</v>
      </c>
      <c r="L20" s="155">
        <f t="shared" si="0"/>
        <v>1.6907720139214142</v>
      </c>
      <c r="M20" s="154">
        <f>$D20*Pesi!$D$5+Pesi!$D$6*Portieri!$E21+Portieri!$F21*Pesi!$D$7+Pesi!$D$8*Portieri!$G21+Portieri!$H21*Pesi!$D$9+Pesi!$D$10*Portieri!$I21+VLOOKUP($C20,TabAlgSqu,2,FALSE)*Pesi!$D$11+Pesi!$D$12*VLOOKUP($C20,TabAlgFC,2,FALSE)+VLOOKUP($C20,TabAlgAll,2,FALSE)*Pesi!$D$13</f>
        <v>60.995399999999997</v>
      </c>
      <c r="N20" s="155">
        <f>IF(ISNA(MATCH($B20,Pesi!$B$31:$B$34,0)),VLOOKUP(Pesi!$B$34,TabAlgPor,13,FALSE)-((VLOOKUP(Pesi!$B$34,TabAlgPor,12,FALSE)-$M20)/(VLOOKUP(Pesi!$B$34,TabAlgPor,12,FALSE)-Pesi!$F$44))*VLOOKUP(Pesi!$B$34,TabAlgPor,13,FALSE),$K20*$M20/$J20)</f>
        <v>0.8252506598980176</v>
      </c>
      <c r="O20" s="155">
        <f t="shared" si="1"/>
        <v>1</v>
      </c>
      <c r="P20">
        <f t="shared" si="2"/>
        <v>39</v>
      </c>
      <c r="Q20" t="e">
        <f>VLOOKUP(B20,'C.P.'!$A$2:$B$164,2,FALSE)</f>
        <v>#N/A</v>
      </c>
      <c r="R20" t="e">
        <f>VLOOKUP(B20,'C.P.'!$C$2:$D$164,2,FALSE)</f>
        <v>#N/A</v>
      </c>
      <c r="S20" t="e">
        <f>VLOOKUP(B20,'C.P.'!$E$2:$F$164,2,FALSE)</f>
        <v>#N/A</v>
      </c>
      <c r="T20" t="e">
        <f>VLOOKUP(B20,'C.P.'!$G$2:$H$164,2,FALSE)</f>
        <v>#N/A</v>
      </c>
    </row>
    <row r="21" spans="1:21">
      <c r="A21">
        <f ca="1">COUNTIF('I.A. + Fasce'!B$1:'I.A. + Fasce'!B$538,B21)</f>
        <v>1</v>
      </c>
      <c r="B21" s="199" t="s">
        <v>332</v>
      </c>
      <c r="C21" s="199" t="str">
        <f>VLOOKUP(B21,'IA FG'!$B$2:$G$534,6,FALSE)</f>
        <v>BOL</v>
      </c>
      <c r="D21" s="200">
        <v>8</v>
      </c>
      <c r="E21" s="201">
        <v>5</v>
      </c>
      <c r="F21" s="201">
        <v>7</v>
      </c>
      <c r="G21" s="201">
        <v>6</v>
      </c>
      <c r="H21" s="201">
        <v>6</v>
      </c>
      <c r="I21" s="201">
        <v>5</v>
      </c>
      <c r="J21" s="154">
        <f>$D21*Pesi!$B$5+Pesi!$B$6*$E21+$F21*Pesi!$B$7+Pesi!$B$8*$G21+$H21*Pesi!$B$9+Pesi!$B$10*$I21+VLOOKUP($C21,TabAlgSqu,2,FALSE)*Pesi!$B$11+Pesi!$B$12*VLOOKUP($C21,TabAlgFC,2,FALSE)+VLOOKUP($C21,TabAlgAll,2,FALSE)*Pesi!$B$13</f>
        <v>60.511400000000002</v>
      </c>
      <c r="K21" s="155">
        <f>IF(ISNA(MATCH($B21,Pesi!$B$31:$B$34,0)),VLOOKUP(Pesi!$B$34,TabAlgPor,10,FALSE)-((VLOOKUP(Pesi!$B$34,TabAlgPor,9,FALSE)-$J21)/(VLOOKUP(Pesi!$B$34,TabAlgPor,9,FALSE)-Pesi!$D$44))*VLOOKUP(Pesi!$B$34,TabAlgPor,10,FALSE),Pesi!$F$34*Pesi!$C$28)</f>
        <v>0.46961807946959055</v>
      </c>
      <c r="L21" s="155">
        <f t="shared" si="0"/>
        <v>1</v>
      </c>
      <c r="M21" s="154">
        <f>$D21*Pesi!$D$5+Pesi!$D$6*Portieri!$E23+Portieri!$F23*Pesi!$D$7+Pesi!$D$8*Portieri!$G23+Portieri!$H23*Pesi!$D$9+Pesi!$D$10*Portieri!$I23+VLOOKUP($C21,TabAlgSqu,2,FALSE)*Pesi!$D$11+Pesi!$D$12*VLOOKUP($C21,TabAlgFC,2,FALSE)+VLOOKUP($C21,TabAlgAll,2,FALSE)*Pesi!$D$13</f>
        <v>60.269799999999996</v>
      </c>
      <c r="N21" s="155">
        <f>IF(ISNA(MATCH($B21,Pesi!$B$31:$B$34,0)),VLOOKUP(Pesi!$B$34,TabAlgPor,13,FALSE)-((VLOOKUP(Pesi!$B$34,TabAlgPor,12,FALSE)-$M21)/(VLOOKUP(Pesi!$B$34,TabAlgPor,12,FALSE)-Pesi!$F$44))*VLOOKUP(Pesi!$B$34,TabAlgPor,13,FALSE),$K21*$M21/$J21)</f>
        <v>0.22368156323134514</v>
      </c>
      <c r="O21" s="155">
        <f t="shared" si="1"/>
        <v>1</v>
      </c>
      <c r="P21">
        <f t="shared" si="2"/>
        <v>37</v>
      </c>
      <c r="Q21" t="e">
        <f>VLOOKUP(B21,'C.P.'!$A$2:$B$164,2,FALSE)</f>
        <v>#N/A</v>
      </c>
      <c r="R21" t="e">
        <f>VLOOKUP(B21,'C.P.'!$C$2:$D$164,2,FALSE)</f>
        <v>#N/A</v>
      </c>
      <c r="S21" t="e">
        <f>VLOOKUP(B21,'C.P.'!$E$2:$F$164,2,FALSE)</f>
        <v>#N/A</v>
      </c>
      <c r="T21" t="e">
        <f>VLOOKUP(B21,'C.P.'!$G$2:$H$164,2,FALSE)</f>
        <v>#N/A</v>
      </c>
    </row>
    <row r="22" spans="1:21">
      <c r="A22">
        <f ca="1">COUNTIF('I.A. + Fasce'!B$1:'I.A. + Fasce'!B$538,B22)</f>
        <v>1</v>
      </c>
      <c r="B22" s="199" t="s">
        <v>409</v>
      </c>
      <c r="C22" s="199" t="str">
        <f>VLOOKUP(B22,'IA FG'!$B$2:$G$534,6,FALSE)</f>
        <v>CAG</v>
      </c>
      <c r="D22" s="200">
        <v>8</v>
      </c>
      <c r="E22" s="201">
        <v>5</v>
      </c>
      <c r="F22" s="201">
        <v>7</v>
      </c>
      <c r="G22" s="201">
        <v>8</v>
      </c>
      <c r="H22" s="201">
        <v>5</v>
      </c>
      <c r="I22" s="201">
        <v>4</v>
      </c>
      <c r="J22" s="154">
        <f>$D22*Pesi!$B$5+Pesi!$B$6*$E22+$F22*Pesi!$B$7+Pesi!$B$8*$G22+$H22*Pesi!$B$9+Pesi!$B$10*$I22+VLOOKUP($C22,TabAlgSqu,2,FALSE)*Pesi!$B$11+Pesi!$B$12*VLOOKUP($C22,TabAlgFC,2,FALSE)+VLOOKUP($C22,TabAlgAll,2,FALSE)*Pesi!$B$13</f>
        <v>59.499600000000001</v>
      </c>
      <c r="K22" s="155">
        <f>IF(ISNA(MATCH($B22,Pesi!$B$31:$B$34,0)),VLOOKUP(Pesi!$B$34,TabAlgPor,10,FALSE)-((VLOOKUP(Pesi!$B$34,TabAlgPor,9,FALSE)-$J22)/(VLOOKUP(Pesi!$B$34,TabAlgPor,9,FALSE)-Pesi!$D$44))*VLOOKUP(Pesi!$B$34,TabAlgPor,10,FALSE),Pesi!$F$34*Pesi!$C$28)</f>
        <v>-0.45951679109617061</v>
      </c>
      <c r="L22" s="155">
        <f t="shared" si="0"/>
        <v>1</v>
      </c>
      <c r="M22" s="154">
        <f>$D22*Pesi!$D$5+Pesi!$D$6*Portieri!$E25+Portieri!$F25*Pesi!$D$7+Pesi!$D$8*Portieri!$G25+Portieri!$H25*Pesi!$D$9+Pesi!$D$10*Portieri!$I25+VLOOKUP($C22,TabAlgSqu,2,FALSE)*Pesi!$D$11+Pesi!$D$12*VLOOKUP($C22,TabAlgFC,2,FALSE)+VLOOKUP($C22,TabAlgAll,2,FALSE)*Pesi!$D$13</f>
        <v>58.328799999999994</v>
      </c>
      <c r="N22" s="155">
        <f>IF(ISNA(MATCH($B22,Pesi!$B$31:$B$34,0)),VLOOKUP(Pesi!$B$34,TabAlgPor,13,FALSE)-((VLOOKUP(Pesi!$B$34,TabAlgPor,12,FALSE)-$M22)/(VLOOKUP(Pesi!$B$34,TabAlgPor,12,FALSE)-Pesi!$F$44))*VLOOKUP(Pesi!$B$34,TabAlgPor,13,FALSE),$K22*$M22/$J22)</f>
        <v>-1.3855323516391174</v>
      </c>
      <c r="O22" s="155">
        <f t="shared" si="1"/>
        <v>1</v>
      </c>
      <c r="P22">
        <f t="shared" si="2"/>
        <v>37</v>
      </c>
      <c r="Q22" t="e">
        <f>VLOOKUP(B22,'C.P.'!$A$2:$B$164,2,FALSE)</f>
        <v>#N/A</v>
      </c>
      <c r="R22" t="e">
        <f>VLOOKUP(B22,'C.P.'!$C$2:$D$164,2,FALSE)</f>
        <v>#N/A</v>
      </c>
      <c r="S22" t="e">
        <f>VLOOKUP(B22,'C.P.'!$E$2:$F$164,2,FALSE)</f>
        <v>#N/A</v>
      </c>
      <c r="T22" t="e">
        <f>VLOOKUP(B22,'C.P.'!$G$2:$H$164,2,FALSE)</f>
        <v>#N/A</v>
      </c>
    </row>
    <row r="23" spans="1:21">
      <c r="A23">
        <f ca="1">COUNTIF('I.A. + Fasce'!B$1:'I.A. + Fasce'!B$538,B23)</f>
        <v>1</v>
      </c>
      <c r="B23" s="199" t="s">
        <v>366</v>
      </c>
      <c r="C23" s="199" t="str">
        <f>VLOOKUP(B23,'IA FG'!$B$2:$G$534,6,FALSE)</f>
        <v>GEN</v>
      </c>
      <c r="D23" s="200">
        <v>8</v>
      </c>
      <c r="E23" s="201">
        <v>3</v>
      </c>
      <c r="F23" s="201">
        <v>6</v>
      </c>
      <c r="G23" s="201">
        <v>9</v>
      </c>
      <c r="H23" s="201">
        <v>7</v>
      </c>
      <c r="I23" s="201">
        <v>3</v>
      </c>
      <c r="J23" s="154">
        <f>$D23*Pesi!$B$5+Pesi!$B$6*$E23+$F23*Pesi!$B$7+Pesi!$B$8*$G23+$H23*Pesi!$B$9+Pesi!$B$10*$I23+VLOOKUP($C23,TabAlgSqu,2,FALSE)*Pesi!$B$11+Pesi!$B$12*VLOOKUP($C23,TabAlgFC,2,FALSE)+VLOOKUP($C23,TabAlgAll,2,FALSE)*Pesi!$B$13</f>
        <v>59.168799999999997</v>
      </c>
      <c r="K23" s="155">
        <f>IF(ISNA(MATCH($B23,Pesi!$B$31:$B$34,0)),VLOOKUP(Pesi!$B$34,TabAlgPor,10,FALSE)-((VLOOKUP(Pesi!$B$34,TabAlgPor,9,FALSE)-$J23)/(VLOOKUP(Pesi!$B$34,TabAlgPor,9,FALSE)-Pesi!$D$44))*VLOOKUP(Pesi!$B$34,TabAlgPor,10,FALSE),Pesi!$F$34*Pesi!$C$28)</f>
        <v>-0.76329008145311761</v>
      </c>
      <c r="L23" s="155">
        <f t="shared" si="0"/>
        <v>1</v>
      </c>
      <c r="M23" s="154">
        <f>$D23*Pesi!$D$5+Pesi!$D$6*Portieri!$E26+Portieri!$F26*Pesi!$D$7+Pesi!$D$8*Portieri!$G26+Portieri!$H26*Pesi!$D$9+Pesi!$D$10*Portieri!$I26+VLOOKUP($C23,TabAlgSqu,2,FALSE)*Pesi!$D$11+Pesi!$D$12*VLOOKUP($C23,TabAlgFC,2,FALSE)+VLOOKUP($C23,TabAlgAll,2,FALSE)*Pesi!$D$13</f>
        <v>55.143799999999999</v>
      </c>
      <c r="N23" s="155">
        <f>IF(ISNA(MATCH($B23,Pesi!$B$31:$B$34,0)),VLOOKUP(Pesi!$B$34,TabAlgPor,13,FALSE)-((VLOOKUP(Pesi!$B$34,TabAlgPor,12,FALSE)-$M23)/(VLOOKUP(Pesi!$B$34,TabAlgPor,12,FALSE)-Pesi!$F$44))*VLOOKUP(Pesi!$B$34,TabAlgPor,13,FALSE),$K23*$M23/$J23)</f>
        <v>-4.0261023252931132</v>
      </c>
      <c r="O23" s="155">
        <f t="shared" si="1"/>
        <v>1</v>
      </c>
      <c r="P23">
        <f t="shared" si="2"/>
        <v>36</v>
      </c>
      <c r="Q23" t="e">
        <f>VLOOKUP(B23,'C.P.'!$A$2:$B$164,2,FALSE)</f>
        <v>#N/A</v>
      </c>
      <c r="R23" t="e">
        <f>VLOOKUP(B23,'C.P.'!$C$2:$D$164,2,FALSE)</f>
        <v>#N/A</v>
      </c>
      <c r="S23" t="e">
        <f>VLOOKUP(B23,'C.P.'!$E$2:$F$164,2,FALSE)</f>
        <v>#N/A</v>
      </c>
      <c r="T23" t="e">
        <f>VLOOKUP(B23,'C.P.'!$G$2:$H$164,2,FALSE)</f>
        <v>#N/A</v>
      </c>
    </row>
    <row r="24" spans="1:21">
      <c r="A24">
        <f ca="1">COUNTIF('I.A. + Fasce'!B$1:'I.A. + Fasce'!B$538,B24)</f>
        <v>1</v>
      </c>
      <c r="B24" s="199" t="s">
        <v>1679</v>
      </c>
      <c r="C24" s="199" t="str">
        <f>VLOOKUP(B24,'IA FG'!$B$2:$G$534,6,FALSE)</f>
        <v>VER</v>
      </c>
      <c r="D24" s="200">
        <v>10</v>
      </c>
      <c r="E24" s="201">
        <v>7</v>
      </c>
      <c r="F24" s="201">
        <v>6</v>
      </c>
      <c r="G24" s="201">
        <v>5</v>
      </c>
      <c r="H24" s="201">
        <v>5</v>
      </c>
      <c r="I24" s="201">
        <v>4</v>
      </c>
      <c r="J24" s="154">
        <f>$D24*Pesi!$B$5+Pesi!$B$6*$E24+$F24*Pesi!$B$7+Pesi!$B$8*$G24+$H24*Pesi!$B$9+Pesi!$B$10*$I24+VLOOKUP($C24,TabAlgSqu,2,FALSE)*Pesi!$B$11+Pesi!$B$12*VLOOKUP($C24,TabAlgFC,2,FALSE)+VLOOKUP($C24,TabAlgAll,2,FALSE)*Pesi!$B$13</f>
        <v>59.06669999999999</v>
      </c>
      <c r="K24" s="155">
        <f>IF(ISNA(MATCH($B24,Pesi!$B$31:$B$34,0)),VLOOKUP(Pesi!$B$34,TabAlgPor,10,FALSE)-((VLOOKUP(Pesi!$B$34,TabAlgPor,9,FALSE)-$J24)/(VLOOKUP(Pesi!$B$34,TabAlgPor,9,FALSE)-Pesi!$D$44))*VLOOKUP(Pesi!$B$34,TabAlgPor,10,FALSE),Pesi!$F$34*Pesi!$C$28)</f>
        <v>-0.85704840353729494</v>
      </c>
      <c r="L24" s="155">
        <f t="shared" si="0"/>
        <v>1</v>
      </c>
      <c r="M24" s="154">
        <f>$D24*Pesi!$D$5+Pesi!$D$6*Portieri!$E24+Portieri!$F24*Pesi!$D$7+Pesi!$D$8*Portieri!$G24+Portieri!$H24*Pesi!$D$9+Pesi!$D$10*Portieri!$I24+VLOOKUP($C24,TabAlgSqu,2,FALSE)*Pesi!$D$11+Pesi!$D$12*VLOOKUP($C24,TabAlgFC,2,FALSE)+VLOOKUP($C24,TabAlgAll,2,FALSE)*Pesi!$D$13</f>
        <v>59.966699999999989</v>
      </c>
      <c r="N24" s="155">
        <f>IF(ISNA(MATCH($B24,Pesi!$B$31:$B$34,0)),VLOOKUP(Pesi!$B$34,TabAlgPor,13,FALSE)-((VLOOKUP(Pesi!$B$34,TabAlgPor,12,FALSE)-$M24)/(VLOOKUP(Pesi!$B$34,TabAlgPor,12,FALSE)-Pesi!$F$44))*VLOOKUP(Pesi!$B$34,TabAlgPor,13,FALSE),$K24*$M24/$J24)</f>
        <v>-2.760784305265318E-2</v>
      </c>
      <c r="O24" s="155">
        <f t="shared" si="1"/>
        <v>1</v>
      </c>
      <c r="P24">
        <f t="shared" si="2"/>
        <v>37</v>
      </c>
      <c r="Q24">
        <f>VLOOKUP(B24,'C.P.'!$A$2:$B$164,2,FALSE)</f>
        <v>-1</v>
      </c>
      <c r="R24" t="e">
        <f>VLOOKUP(B24,'C.P.'!$C$2:$D$164,2,FALSE)</f>
        <v>#N/A</v>
      </c>
      <c r="S24" t="e">
        <f>VLOOKUP(B24,'C.P.'!$E$2:$F$164,2,FALSE)</f>
        <v>#N/A</v>
      </c>
      <c r="T24" t="e">
        <f>VLOOKUP(B24,'C.P.'!$G$2:$H$164,2,FALSE)</f>
        <v>#N/A</v>
      </c>
    </row>
    <row r="25" spans="1:21">
      <c r="A25">
        <f ca="1">COUNTIF('I.A. + Fasce'!B$1:'I.A. + Fasce'!B$538,#REF!)</f>
        <v>0</v>
      </c>
      <c r="B25" s="199" t="s">
        <v>402</v>
      </c>
      <c r="C25" s="199" t="str">
        <f>VLOOKUP(B25,'IA FG'!$B$2:$G$534,6,FALSE)</f>
        <v>SAM</v>
      </c>
      <c r="D25" s="200">
        <v>8</v>
      </c>
      <c r="E25" s="201">
        <v>5</v>
      </c>
      <c r="F25" s="201">
        <v>7</v>
      </c>
      <c r="G25" s="201">
        <v>6</v>
      </c>
      <c r="H25" s="201">
        <v>6</v>
      </c>
      <c r="I25" s="201">
        <v>3</v>
      </c>
      <c r="J25" s="154">
        <f>$D25*Pesi!$B$5+Pesi!$B$6*$E25+$F25*Pesi!$B$7+Pesi!$B$8*$G25+$H25*Pesi!$B$9+Pesi!$B$10*$I25+VLOOKUP($C25,TabAlgSqu,2,FALSE)*Pesi!$B$11+Pesi!$B$12*VLOOKUP($C25,TabAlgFC,2,FALSE)+VLOOKUP($C25,TabAlgAll,2,FALSE)*Pesi!$B$13</f>
        <v>58.330299999999994</v>
      </c>
      <c r="K25" s="155">
        <f>IF(ISNA(MATCH($B25,Pesi!$B$31:$B$34,0)),VLOOKUP(Pesi!$B$34,TabAlgPor,10,FALSE)-((VLOOKUP(Pesi!$B$34,TabAlgPor,9,FALSE)-$J25)/(VLOOKUP(Pesi!$B$34,TabAlgPor,9,FALSE)-Pesi!$D$44))*VLOOKUP(Pesi!$B$34,TabAlgPor,10,FALSE),Pesi!$F$34*Pesi!$C$28)</f>
        <v>-1.5332837451904169</v>
      </c>
      <c r="L25" s="155">
        <f t="shared" si="0"/>
        <v>1</v>
      </c>
      <c r="M25" s="154">
        <f>$D25*Pesi!$D$5+Pesi!$D$6*Portieri!$E28+Portieri!$F28*Pesi!$D$7+Pesi!$D$8*Portieri!$G28+Portieri!$H28*Pesi!$D$9+Pesi!$D$10*Portieri!$I28+VLOOKUP($C25,TabAlgSqu,2,FALSE)*Pesi!$D$11+Pesi!$D$12*VLOOKUP($C25,TabAlgFC,2,FALSE)+VLOOKUP($C25,TabAlgAll,2,FALSE)*Pesi!$D$13</f>
        <v>58.496899999999997</v>
      </c>
      <c r="N25" s="155">
        <f>IF(ISNA(MATCH($B25,Pesi!$B$31:$B$34,0)),VLOOKUP(Pesi!$B$34,TabAlgPor,13,FALSE)-((VLOOKUP(Pesi!$B$34,TabAlgPor,12,FALSE)-$M25)/(VLOOKUP(Pesi!$B$34,TabAlgPor,12,FALSE)-Pesi!$F$44))*VLOOKUP(Pesi!$B$34,TabAlgPor,13,FALSE),$K25*$M25/$J25)</f>
        <v>-1.2461666334063892</v>
      </c>
      <c r="O25" s="155">
        <f t="shared" si="1"/>
        <v>1</v>
      </c>
      <c r="P25">
        <f t="shared" si="2"/>
        <v>35</v>
      </c>
      <c r="Q25" t="e">
        <f>VLOOKUP(B25,'C.P.'!$A$2:$B$164,2,FALSE)</f>
        <v>#N/A</v>
      </c>
      <c r="R25" t="e">
        <f>VLOOKUP(B25,'C.P.'!$C$2:$D$164,2,FALSE)</f>
        <v>#N/A</v>
      </c>
      <c r="S25" t="e">
        <f>VLOOKUP(B25,'C.P.'!$E$2:$F$164,2,FALSE)</f>
        <v>#N/A</v>
      </c>
      <c r="T25" t="e">
        <f>VLOOKUP(B25,'C.P.'!$G$2:$H$164,2,FALSE)</f>
        <v>#N/A</v>
      </c>
    </row>
    <row r="26" spans="1:21">
      <c r="A26">
        <f ca="1">COUNTIF('I.A. + Fasce'!B$1:'I.A. + Fasce'!B$538,B25)</f>
        <v>1</v>
      </c>
      <c r="B26" s="199" t="s">
        <v>1867</v>
      </c>
      <c r="C26" s="199" t="str">
        <f>VLOOKUP(B26,'IA FG'!$B$2:$G$534,6,FALSE)</f>
        <v>MIL</v>
      </c>
      <c r="D26" s="200">
        <v>9</v>
      </c>
      <c r="E26" s="201">
        <v>3</v>
      </c>
      <c r="F26" s="201">
        <v>6</v>
      </c>
      <c r="G26" s="201">
        <v>6</v>
      </c>
      <c r="H26" s="201">
        <v>6</v>
      </c>
      <c r="I26" s="201">
        <v>3</v>
      </c>
      <c r="J26" s="154">
        <f>$D26*Pesi!$B$5+Pesi!$B$6*$E26+$F26*Pesi!$B$7+Pesi!$B$8*$G26+$H26*Pesi!$B$9+Pesi!$B$10*$I26+VLOOKUP($C26,TabAlgSqu,2,FALSE)*Pesi!$B$11+Pesi!$B$12*VLOOKUP($C26,TabAlgFC,2,FALSE)+VLOOKUP($C26,TabAlgAll,2,FALSE)*Pesi!$B$13</f>
        <v>58.180599999999998</v>
      </c>
      <c r="K26" s="155">
        <f>IF(ISNA(MATCH($B26,Pesi!$B$31:$B$34,0)),VLOOKUP(Pesi!$B$34,TabAlgPor,10,FALSE)-((VLOOKUP(Pesi!$B$34,TabAlgPor,9,FALSE)-$J26)/(VLOOKUP(Pesi!$B$34,TabAlgPor,9,FALSE)-Pesi!$D$44))*VLOOKUP(Pesi!$B$34,TabAlgPor,10,FALSE),Pesi!$F$34*Pesi!$C$28)</f>
        <v>-1.670753096963189</v>
      </c>
      <c r="L26" s="155">
        <f t="shared" si="0"/>
        <v>1</v>
      </c>
      <c r="M26" s="154">
        <f>$D26*Pesi!$D$5+Pesi!$D$6*Portieri!$E33+Portieri!$F33*Pesi!$D$7+Pesi!$D$8*Portieri!$G33+Portieri!$H33*Pesi!$D$9+Pesi!$D$10*Portieri!$I33+VLOOKUP($C26,TabAlgSqu,2,FALSE)*Pesi!$D$11+Pesi!$D$12*VLOOKUP($C26,TabAlgFC,2,FALSE)+VLOOKUP($C26,TabAlgAll,2,FALSE)*Pesi!$D$13</f>
        <v>59.030599999999993</v>
      </c>
      <c r="N26" s="155">
        <f>IF(ISNA(MATCH($B26,Pesi!$B$31:$B$34,0)),VLOOKUP(Pesi!$B$34,TabAlgPor,13,FALSE)-((VLOOKUP(Pesi!$B$34,TabAlgPor,12,FALSE)-$M26)/(VLOOKUP(Pesi!$B$34,TabAlgPor,12,FALSE)-Pesi!$F$44))*VLOOKUP(Pesi!$B$34,TabAlgPor,13,FALSE),$K26*$M26/$J26)</f>
        <v>-0.80369498664370553</v>
      </c>
      <c r="O26" s="155">
        <f t="shared" si="1"/>
        <v>1</v>
      </c>
      <c r="P26">
        <f t="shared" si="2"/>
        <v>33</v>
      </c>
      <c r="Q26" t="e">
        <f>VLOOKUP(B26,'C.P.'!$A$2:$B$164,2,FALSE)</f>
        <v>#N/A</v>
      </c>
      <c r="R26" t="e">
        <f>VLOOKUP(B26,'C.P.'!$C$2:$D$164,2,FALSE)</f>
        <v>#N/A</v>
      </c>
      <c r="S26" t="e">
        <f>VLOOKUP(B26,'C.P.'!$E$2:$F$164,2,FALSE)</f>
        <v>#N/A</v>
      </c>
      <c r="T26" t="e">
        <f>VLOOKUP(B26,'C.P.'!$G$2:$H$164,2,FALSE)</f>
        <v>#N/A</v>
      </c>
    </row>
    <row r="27" spans="1:21">
      <c r="A27">
        <f ca="1">COUNTIF('I.A. + Fasce'!B$1:'I.A. + Fasce'!B$538,B26)</f>
        <v>1</v>
      </c>
      <c r="B27" s="199" t="s">
        <v>1684</v>
      </c>
      <c r="C27" s="199" t="str">
        <f>VLOOKUP(B27,'IA FG'!$B$2:$G$534,6,FALSE)</f>
        <v>JUV</v>
      </c>
      <c r="D27" s="200">
        <v>9</v>
      </c>
      <c r="E27" s="201">
        <v>3</v>
      </c>
      <c r="F27" s="201">
        <v>1</v>
      </c>
      <c r="G27" s="201">
        <v>6</v>
      </c>
      <c r="H27" s="201">
        <v>7</v>
      </c>
      <c r="I27" s="201">
        <v>4</v>
      </c>
      <c r="J27" s="154">
        <f>$D27*Pesi!$B$5+Pesi!$B$6*$E27+$F27*Pesi!$B$7+Pesi!$B$8*$G27+$H27*Pesi!$B$9+Pesi!$B$10*$I27+VLOOKUP($C27,TabAlgSqu,2,FALSE)*Pesi!$B$11+Pesi!$B$12*VLOOKUP($C27,TabAlgFC,2,FALSE)+VLOOKUP($C27,TabAlgAll,2,FALSE)*Pesi!$B$13</f>
        <v>57.67540000000001</v>
      </c>
      <c r="K27" s="155">
        <f>IF(ISNA(MATCH($B27,Pesi!$B$31:$B$34,0)),VLOOKUP(Pesi!$B$34,TabAlgPor,10,FALSE)-((VLOOKUP(Pesi!$B$34,TabAlgPor,9,FALSE)-$J27)/(VLOOKUP(Pesi!$B$34,TabAlgPor,9,FALSE)-Pesi!$D$44))*VLOOKUP(Pesi!$B$34,TabAlgPor,10,FALSE),Pesi!$F$34*Pesi!$C$28)</f>
        <v>-2.1346777229859306</v>
      </c>
      <c r="L27" s="155">
        <f t="shared" si="0"/>
        <v>1</v>
      </c>
      <c r="M27" s="154">
        <f>$D27*Pesi!$D$5+Pesi!$D$6*Portieri!$E44+Portieri!$F44*Pesi!$D$7+Pesi!$D$8*Portieri!$G44+Portieri!$H44*Pesi!$D$9+Pesi!$D$10*Portieri!$I44+VLOOKUP($C27,TabAlgSqu,2,FALSE)*Pesi!$D$11+Pesi!$D$12*VLOOKUP($C27,TabAlgFC,2,FALSE)+VLOOKUP($C27,TabAlgAll,2,FALSE)*Pesi!$D$13</f>
        <v>60.471300000000014</v>
      </c>
      <c r="N27" s="155">
        <f>IF(ISNA(MATCH($B27,Pesi!$B$31:$B$34,0)),VLOOKUP(Pesi!$B$34,TabAlgPor,13,FALSE)-((VLOOKUP(Pesi!$B$34,TabAlgPor,12,FALSE)-$M27)/(VLOOKUP(Pesi!$B$34,TabAlgPor,12,FALSE)-Pesi!$F$44))*VLOOKUP(Pesi!$B$34,TabAlgPor,13,FALSE),$K27*$M27/$J27)</f>
        <v>0.39073803095233117</v>
      </c>
      <c r="O27" s="155">
        <f t="shared" si="1"/>
        <v>1</v>
      </c>
      <c r="P27">
        <f t="shared" si="2"/>
        <v>30</v>
      </c>
      <c r="Q27" t="e">
        <f>VLOOKUP(B27,'C.P.'!$A$2:$B$164,2,FALSE)</f>
        <v>#N/A</v>
      </c>
      <c r="R27" t="e">
        <f>VLOOKUP(B27,'C.P.'!$C$2:$D$164,2,FALSE)</f>
        <v>#N/A</v>
      </c>
      <c r="S27" t="e">
        <f>VLOOKUP(B27,'C.P.'!$E$2:$F$164,2,FALSE)</f>
        <v>#N/A</v>
      </c>
      <c r="T27" t="e">
        <f>VLOOKUP(B27,'C.P.'!$G$2:$H$164,2,FALSE)</f>
        <v>#N/A</v>
      </c>
    </row>
    <row r="28" spans="1:21">
      <c r="A28">
        <f ca="1">COUNTIF('I.A. + Fasce'!B$1:'I.A. + Fasce'!B$538,B27)</f>
        <v>1</v>
      </c>
      <c r="B28" s="199" t="s">
        <v>1680</v>
      </c>
      <c r="C28" s="199" t="str">
        <f>VLOOKUP(B28,'IA FG'!$B$2:$G$534,6,FALSE)</f>
        <v>ATA</v>
      </c>
      <c r="D28" s="200">
        <v>8</v>
      </c>
      <c r="E28" s="201">
        <v>3</v>
      </c>
      <c r="F28" s="201">
        <v>6</v>
      </c>
      <c r="G28" s="201">
        <v>6</v>
      </c>
      <c r="H28" s="201">
        <v>6</v>
      </c>
      <c r="I28" s="201">
        <v>5</v>
      </c>
      <c r="J28" s="154">
        <f>$D28*Pesi!$B$5+Pesi!$B$6*$E28+$F28*Pesi!$B$7+Pesi!$B$8*$G28+$H28*Pesi!$B$9+Pesi!$B$10*$I28+VLOOKUP($C28,TabAlgSqu,2,FALSE)*Pesi!$B$11+Pesi!$B$12*VLOOKUP($C28,TabAlgFC,2,FALSE)+VLOOKUP($C28,TabAlgAll,2,FALSE)*Pesi!$B$13</f>
        <v>57.611899999999999</v>
      </c>
      <c r="K28" s="155">
        <f>IF(ISNA(MATCH($B28,Pesi!$B$31:$B$34,0)),VLOOKUP(Pesi!$B$34,TabAlgPor,10,FALSE)-((VLOOKUP(Pesi!$B$34,TabAlgPor,9,FALSE)-$J28)/(VLOOKUP(Pesi!$B$34,TabAlgPor,9,FALSE)-Pesi!$D$44))*VLOOKUP(Pesi!$B$34,TabAlgPor,10,FALSE),Pesi!$F$34*Pesi!$C$28)</f>
        <v>-2.1929897058688468</v>
      </c>
      <c r="L28" s="155">
        <f t="shared" si="0"/>
        <v>1</v>
      </c>
      <c r="M28" s="154">
        <f>$D28*Pesi!$D$5+Pesi!$D$6*Portieri!$E30+Portieri!$F30*Pesi!$D$7+Pesi!$D$8*Portieri!$G30+Portieri!$H30*Pesi!$D$9+Pesi!$D$10*Portieri!$I30+VLOOKUP($C28,TabAlgSqu,2,FALSE)*Pesi!$D$11+Pesi!$D$12*VLOOKUP($C28,TabAlgFC,2,FALSE)+VLOOKUP($C28,TabAlgAll,2,FALSE)*Pesi!$D$13</f>
        <v>57.911900000000003</v>
      </c>
      <c r="N28" s="155">
        <f>IF(ISNA(MATCH($B28,Pesi!$B$31:$B$34,0)),VLOOKUP(Pesi!$B$34,TabAlgPor,13,FALSE)-((VLOOKUP(Pesi!$B$34,TabAlgPor,12,FALSE)-$M28)/(VLOOKUP(Pesi!$B$34,TabAlgPor,12,FALSE)-Pesi!$F$44))*VLOOKUP(Pesi!$B$34,TabAlgPor,13,FALSE),$K28*$M28/$J28)</f>
        <v>-1.7311692816285458</v>
      </c>
      <c r="O28" s="155">
        <f t="shared" si="1"/>
        <v>1</v>
      </c>
      <c r="P28">
        <f t="shared" si="2"/>
        <v>34</v>
      </c>
      <c r="Q28" t="e">
        <f>VLOOKUP(B28,'C.P.'!$A$2:$B$164,2,FALSE)</f>
        <v>#N/A</v>
      </c>
      <c r="R28" t="e">
        <f>VLOOKUP(B28,'C.P.'!$C$2:$D$164,2,FALSE)</f>
        <v>#N/A</v>
      </c>
      <c r="S28" t="e">
        <f>VLOOKUP(B28,'C.P.'!$E$2:$F$164,2,FALSE)</f>
        <v>#N/A</v>
      </c>
      <c r="T28" t="e">
        <f>VLOOKUP(B28,'C.P.'!$G$2:$H$164,2,FALSE)</f>
        <v>#N/A</v>
      </c>
    </row>
    <row r="29" spans="1:21">
      <c r="A29">
        <f ca="1">COUNTIF('I.A. + Fasce'!B$1:'I.A. + Fasce'!B$538,B28)</f>
        <v>1</v>
      </c>
      <c r="B29" s="199" t="s">
        <v>412</v>
      </c>
      <c r="C29" s="199" t="str">
        <f>VLOOKUP(B29,'IA FG'!$B$2:$G$534,6,FALSE)</f>
        <v>NAP</v>
      </c>
      <c r="D29" s="200">
        <v>7</v>
      </c>
      <c r="E29" s="201">
        <v>5</v>
      </c>
      <c r="F29" s="201">
        <v>6</v>
      </c>
      <c r="G29" s="201">
        <v>5</v>
      </c>
      <c r="H29" s="201">
        <v>5</v>
      </c>
      <c r="I29" s="201">
        <v>5</v>
      </c>
      <c r="J29" s="154">
        <f>$D29*Pesi!$B$5+Pesi!$B$6*$E29+$F29*Pesi!$B$7+Pesi!$B$8*$G29+$H29*Pesi!$B$9+Pesi!$B$10*$I29+VLOOKUP($C29,TabAlgSqu,2,FALSE)*Pesi!$B$11+Pesi!$B$12*VLOOKUP($C29,TabAlgFC,2,FALSE)+VLOOKUP($C29,TabAlgAll,2,FALSE)*Pesi!$B$13</f>
        <v>57.489100000000008</v>
      </c>
      <c r="K29" s="155">
        <f>IF(ISNA(MATCH($B29,Pesi!$B$31:$B$34,0)),VLOOKUP(Pesi!$B$34,TabAlgPor,10,FALSE)-((VLOOKUP(Pesi!$B$34,TabAlgPor,9,FALSE)-$J29)/(VLOOKUP(Pesi!$B$34,TabAlgPor,9,FALSE)-Pesi!$D$44))*VLOOKUP(Pesi!$B$34,TabAlgPor,10,FALSE),Pesi!$F$34*Pesi!$C$28)</f>
        <v>-2.3057568160738953</v>
      </c>
      <c r="L29" s="155">
        <f t="shared" si="0"/>
        <v>1</v>
      </c>
      <c r="M29" s="154">
        <f>$D29*Pesi!$D$5+Pesi!$D$6*Portieri!$E35+Portieri!$F35*Pesi!$D$7+Pesi!$D$8*Portieri!$G35+Portieri!$H35*Pesi!$D$9+Pesi!$D$10*Portieri!$I35+VLOOKUP($C29,TabAlgSqu,2,FALSE)*Pesi!$D$11+Pesi!$D$12*VLOOKUP($C29,TabAlgFC,2,FALSE)+VLOOKUP($C29,TabAlgAll,2,FALSE)*Pesi!$D$13</f>
        <v>57.885000000000005</v>
      </c>
      <c r="N29" s="155">
        <f>IF(ISNA(MATCH($B29,Pesi!$B$31:$B$34,0)),VLOOKUP(Pesi!$B$34,TabAlgPor,13,FALSE)-((VLOOKUP(Pesi!$B$34,TabAlgPor,12,FALSE)-$M29)/(VLOOKUP(Pesi!$B$34,TabAlgPor,12,FALSE)-Pesi!$F$44))*VLOOKUP(Pesi!$B$34,TabAlgPor,13,FALSE),$K29*$M29/$J29)</f>
        <v>-1.7534711128032008</v>
      </c>
      <c r="O29" s="155">
        <f t="shared" si="1"/>
        <v>1</v>
      </c>
      <c r="P29">
        <f t="shared" si="2"/>
        <v>33</v>
      </c>
      <c r="Q29" t="e">
        <f>VLOOKUP(B29,'C.P.'!$A$2:$B$164,2,FALSE)</f>
        <v>#N/A</v>
      </c>
      <c r="R29" t="e">
        <f>VLOOKUP(B29,'C.P.'!$C$2:$D$164,2,FALSE)</f>
        <v>#N/A</v>
      </c>
      <c r="S29" t="e">
        <f>VLOOKUP(B29,'C.P.'!$E$2:$F$164,2,FALSE)</f>
        <v>#N/A</v>
      </c>
      <c r="T29" t="e">
        <f>VLOOKUP(B29,'C.P.'!$G$2:$H$164,2,FALSE)</f>
        <v>#N/A</v>
      </c>
    </row>
    <row r="30" spans="1:21">
      <c r="A30">
        <f ca="1">COUNTIF('I.A. + Fasce'!B$1:'I.A. + Fasce'!B$538,B29)</f>
        <v>1</v>
      </c>
      <c r="B30" s="199" t="s">
        <v>426</v>
      </c>
      <c r="C30" s="199" t="str">
        <f>VLOOKUP(B30,'IA FG'!$B$2:$G$534,6,FALSE)</f>
        <v>NAP</v>
      </c>
      <c r="D30" s="200">
        <v>7</v>
      </c>
      <c r="E30" s="201">
        <v>5</v>
      </c>
      <c r="F30" s="201">
        <v>6</v>
      </c>
      <c r="G30" s="201">
        <v>5</v>
      </c>
      <c r="H30" s="201">
        <v>5</v>
      </c>
      <c r="I30" s="201">
        <v>5</v>
      </c>
      <c r="J30" s="154">
        <f>$D30*Pesi!$B$5+Pesi!$B$6*$E30+$F30*Pesi!$B$7+Pesi!$B$8*$G30+$H30*Pesi!$B$9+Pesi!$B$10*$I30+VLOOKUP($C30,TabAlgSqu,2,FALSE)*Pesi!$B$11+Pesi!$B$12*VLOOKUP($C30,TabAlgFC,2,FALSE)+VLOOKUP($C30,TabAlgAll,2,FALSE)*Pesi!$B$13</f>
        <v>57.489100000000008</v>
      </c>
      <c r="K30" s="155">
        <f>IF(ISNA(MATCH($B30,Pesi!$B$31:$B$34,0)),VLOOKUP(Pesi!$B$34,TabAlgPor,10,FALSE)-((VLOOKUP(Pesi!$B$34,TabAlgPor,9,FALSE)-$J30)/(VLOOKUP(Pesi!$B$34,TabAlgPor,9,FALSE)-Pesi!$D$44))*VLOOKUP(Pesi!$B$34,TabAlgPor,10,FALSE),Pesi!$F$34*Pesi!$C$28)</f>
        <v>-2.3057568160738953</v>
      </c>
      <c r="L30" s="155">
        <f t="shared" si="0"/>
        <v>1</v>
      </c>
      <c r="M30" s="154">
        <f>$D30*Pesi!$D$5+Pesi!$D$6*Portieri!$E36+Portieri!$F36*Pesi!$D$7+Pesi!$D$8*Portieri!$G36+Portieri!$H36*Pesi!$D$9+Pesi!$D$10*Portieri!$I36+VLOOKUP($C30,TabAlgSqu,2,FALSE)*Pesi!$D$11+Pesi!$D$12*VLOOKUP($C30,TabAlgFC,2,FALSE)+VLOOKUP($C30,TabAlgAll,2,FALSE)*Pesi!$D$13</f>
        <v>57.218299999999999</v>
      </c>
      <c r="N30" s="155">
        <f>IF(ISNA(MATCH($B30,Pesi!$B$31:$B$34,0)),VLOOKUP(Pesi!$B$34,TabAlgPor,13,FALSE)-((VLOOKUP(Pesi!$B$34,TabAlgPor,12,FALSE)-$M30)/(VLOOKUP(Pesi!$B$34,TabAlgPor,12,FALSE)-Pesi!$F$44))*VLOOKUP(Pesi!$B$34,TabAlgPor,13,FALSE),$K30*$M30/$J30)</f>
        <v>-2.3062083189052878</v>
      </c>
      <c r="O30" s="155">
        <f t="shared" si="1"/>
        <v>1</v>
      </c>
      <c r="P30">
        <f t="shared" si="2"/>
        <v>33</v>
      </c>
      <c r="Q30" t="e">
        <f>VLOOKUP(B30,'C.P.'!$A$2:$B$164,2,FALSE)</f>
        <v>#N/A</v>
      </c>
      <c r="R30" t="e">
        <f>VLOOKUP(B30,'C.P.'!$C$2:$D$164,2,FALSE)</f>
        <v>#N/A</v>
      </c>
      <c r="S30" t="e">
        <f>VLOOKUP(B30,'C.P.'!$E$2:$F$164,2,FALSE)</f>
        <v>#N/A</v>
      </c>
      <c r="T30" t="e">
        <f>VLOOKUP(B30,'C.P.'!$G$2:$H$164,2,FALSE)</f>
        <v>#N/A</v>
      </c>
    </row>
    <row r="31" spans="1:21">
      <c r="A31">
        <f ca="1">COUNTIF('I.A. + Fasce'!B$1:'I.A. + Fasce'!B$538,B30)</f>
        <v>1</v>
      </c>
      <c r="B31" s="199" t="s">
        <v>1868</v>
      </c>
      <c r="C31" s="199" t="str">
        <f>VLOOKUP(B31,'IA FG'!$B$2:$G$534,6,FALSE)</f>
        <v>TOR</v>
      </c>
      <c r="D31" s="200">
        <v>8</v>
      </c>
      <c r="E31" s="201">
        <v>5</v>
      </c>
      <c r="F31" s="201">
        <v>6</v>
      </c>
      <c r="G31" s="201">
        <v>6</v>
      </c>
      <c r="H31" s="201">
        <v>5</v>
      </c>
      <c r="I31" s="201">
        <v>5</v>
      </c>
      <c r="J31" s="154">
        <f>$D31*Pesi!$B$5+Pesi!$B$6*$E31+$F31*Pesi!$B$7+Pesi!$B$8*$G31+$H31*Pesi!$B$9+Pesi!$B$10*$I31+VLOOKUP($C31,TabAlgSqu,2,FALSE)*Pesi!$B$11+Pesi!$B$12*VLOOKUP($C31,TabAlgFC,2,FALSE)+VLOOKUP($C31,TabAlgAll,2,FALSE)*Pesi!$B$13</f>
        <v>57.426899999999989</v>
      </c>
      <c r="K31" s="155">
        <f>IF(ISNA(MATCH($B31,Pesi!$B$31:$B$34,0)),VLOOKUP(Pesi!$B$34,TabAlgPor,10,FALSE)-((VLOOKUP(Pesi!$B$34,TabAlgPor,9,FALSE)-$J31)/(VLOOKUP(Pesi!$B$34,TabAlgPor,9,FALSE)-Pesi!$D$44))*VLOOKUP(Pesi!$B$34,TabAlgPor,10,FALSE),Pesi!$F$34*Pesi!$C$28)</f>
        <v>-2.3628750103308747</v>
      </c>
      <c r="L31" s="155">
        <f t="shared" si="0"/>
        <v>1</v>
      </c>
      <c r="M31" s="154">
        <f>$D31*Pesi!$D$5+Pesi!$D$6*Portieri!$E27+Portieri!$F27*Pesi!$D$7+Pesi!$D$8*Portieri!$G27+Portieri!$H27*Pesi!$D$9+Pesi!$D$10*Portieri!$I27+VLOOKUP($C31,TabAlgSqu,2,FALSE)*Pesi!$D$11+Pesi!$D$12*VLOOKUP($C31,TabAlgFC,2,FALSE)+VLOOKUP($C31,TabAlgAll,2,FALSE)*Pesi!$D$13</f>
        <v>50.118600000000001</v>
      </c>
      <c r="N31" s="155">
        <f>IF(ISNA(MATCH($B31,Pesi!$B$31:$B$34,0)),VLOOKUP(Pesi!$B$34,TabAlgPor,13,FALSE)-((VLOOKUP(Pesi!$B$34,TabAlgPor,12,FALSE)-$M31)/(VLOOKUP(Pesi!$B$34,TabAlgPor,12,FALSE)-Pesi!$F$44))*VLOOKUP(Pesi!$B$34,TabAlgPor,13,FALSE),$K31*$M31/$J31)</f>
        <v>-8.1923165267392939</v>
      </c>
      <c r="O31" s="155">
        <f t="shared" si="1"/>
        <v>1</v>
      </c>
      <c r="P31">
        <f t="shared" si="2"/>
        <v>35</v>
      </c>
      <c r="Q31" t="e">
        <f>VLOOKUP(B31,'C.P.'!$A$2:$B$164,2,FALSE)</f>
        <v>#N/A</v>
      </c>
      <c r="R31" t="e">
        <f>VLOOKUP(B31,'C.P.'!$C$2:$D$164,2,FALSE)</f>
        <v>#N/A</v>
      </c>
      <c r="S31" t="e">
        <f>VLOOKUP(B31,'C.P.'!$E$2:$F$164,2,FALSE)</f>
        <v>#N/A</v>
      </c>
      <c r="T31" t="e">
        <f>VLOOKUP(B31,'C.P.'!$G$2:$H$164,2,FALSE)</f>
        <v>#N/A</v>
      </c>
      <c r="U31" s="156"/>
    </row>
    <row r="32" spans="1:21">
      <c r="A32">
        <f ca="1">COUNTIF('I.A. + Fasce'!B$1:'I.A. + Fasce'!B$538,B31)</f>
        <v>1</v>
      </c>
      <c r="B32" s="199" t="s">
        <v>1675</v>
      </c>
      <c r="C32" s="199" t="str">
        <f>VLOOKUP(B32,'IA FG'!$B$2:$G$534,6,FALSE)</f>
        <v>SPA</v>
      </c>
      <c r="D32" s="200">
        <v>9</v>
      </c>
      <c r="E32" s="201">
        <v>9</v>
      </c>
      <c r="F32" s="201">
        <v>7</v>
      </c>
      <c r="G32" s="201">
        <v>6</v>
      </c>
      <c r="H32" s="201">
        <v>5</v>
      </c>
      <c r="I32" s="201">
        <v>6</v>
      </c>
      <c r="J32" s="154">
        <f>$D32*Pesi!$B$5+Pesi!$B$6*$E32+$F32*Pesi!$B$7+Pesi!$B$8*$G32+$H32*Pesi!$B$9+Pesi!$B$10*$I32+VLOOKUP($C32,TabAlgSqu,2,FALSE)*Pesi!$B$11+Pesi!$B$12*VLOOKUP($C32,TabAlgFC,2,FALSE)+VLOOKUP($C32,TabAlgAll,2,FALSE)*Pesi!$B$13</f>
        <v>57.335499999999996</v>
      </c>
      <c r="K32" s="155">
        <f>IF(ISNA(MATCH($B32,Pesi!$B$31:$B$34,0)),VLOOKUP(Pesi!$B$34,TabAlgPor,10,FALSE)-((VLOOKUP(Pesi!$B$34,TabAlgPor,9,FALSE)-$J32)/(VLOOKUP(Pesi!$B$34,TabAlgPor,9,FALSE)-Pesi!$D$44))*VLOOKUP(Pesi!$B$34,TabAlgPor,10,FALSE),Pesi!$F$34*Pesi!$C$28)</f>
        <v>-2.446807533724531</v>
      </c>
      <c r="L32" s="155">
        <f t="shared" si="0"/>
        <v>1</v>
      </c>
      <c r="M32" s="154">
        <f>$D32*Pesi!$D$5+Pesi!$D$6*Portieri!$E16+Portieri!$F16*Pesi!$D$7+Pesi!$D$8*Portieri!$G16+Portieri!$H16*Pesi!$D$9+Pesi!$D$10*Portieri!$I16+VLOOKUP($C32,TabAlgSqu,2,FALSE)*Pesi!$D$11+Pesi!$D$12*VLOOKUP($C32,TabAlgFC,2,FALSE)+VLOOKUP($C32,TabAlgAll,2,FALSE)*Pesi!$D$13</f>
        <v>58.272999999999996</v>
      </c>
      <c r="N32" s="155">
        <f>IF(ISNA(MATCH($B32,Pesi!$B$31:$B$34,0)),VLOOKUP(Pesi!$B$34,TabAlgPor,13,FALSE)-((VLOOKUP(Pesi!$B$34,TabAlgPor,12,FALSE)-$M32)/(VLOOKUP(Pesi!$B$34,TabAlgPor,12,FALSE)-Pesi!$F$44))*VLOOKUP(Pesi!$B$34,TabAlgPor,13,FALSE),$K32*$M32/$J32)</f>
        <v>-1.4317941427003085</v>
      </c>
      <c r="O32" s="155">
        <f t="shared" si="1"/>
        <v>1</v>
      </c>
      <c r="P32">
        <f t="shared" si="2"/>
        <v>42</v>
      </c>
      <c r="Q32">
        <f>VLOOKUP(B32,'C.P.'!$A$2:$B$164,2,FALSE)</f>
        <v>1</v>
      </c>
      <c r="R32" t="e">
        <f>VLOOKUP(B32,'C.P.'!$C$2:$D$164,2,FALSE)</f>
        <v>#N/A</v>
      </c>
      <c r="S32" t="e">
        <f>VLOOKUP(B32,'C.P.'!$E$2:$F$164,2,FALSE)</f>
        <v>#N/A</v>
      </c>
      <c r="T32" t="e">
        <f>VLOOKUP(B32,'C.P.'!$G$2:$H$164,2,FALSE)</f>
        <v>#N/A</v>
      </c>
    </row>
    <row r="33" spans="1:20">
      <c r="A33">
        <f ca="1">COUNTIF('I.A. + Fasce'!B$1:'I.A. + Fasce'!B$538,B32)</f>
        <v>1</v>
      </c>
      <c r="B33" s="199" t="s">
        <v>423</v>
      </c>
      <c r="C33" s="199" t="str">
        <f>VLOOKUP(B33,'IA FG'!$B$2:$G$534,6,FALSE)</f>
        <v>CHI</v>
      </c>
      <c r="D33" s="200">
        <v>8</v>
      </c>
      <c r="E33" s="201">
        <v>4</v>
      </c>
      <c r="F33" s="201">
        <v>7</v>
      </c>
      <c r="G33" s="201">
        <v>5</v>
      </c>
      <c r="H33" s="201">
        <v>5</v>
      </c>
      <c r="I33" s="201">
        <v>3</v>
      </c>
      <c r="J33" s="154">
        <f>$D33*Pesi!$B$5+Pesi!$B$6*$E33+$F33*Pesi!$B$7+Pesi!$B$8*$G33+$H33*Pesi!$B$9+Pesi!$B$10*$I33+VLOOKUP($C33,TabAlgSqu,2,FALSE)*Pesi!$B$11+Pesi!$B$12*VLOOKUP($C33,TabAlgFC,2,FALSE)+VLOOKUP($C33,TabAlgAll,2,FALSE)*Pesi!$B$13</f>
        <v>57.096799999999995</v>
      </c>
      <c r="K33" s="155">
        <f>IF(ISNA(MATCH($B33,Pesi!$B$31:$B$34,0)),VLOOKUP(Pesi!$B$34,TabAlgPor,10,FALSE)-((VLOOKUP(Pesi!$B$34,TabAlgPor,9,FALSE)-$J33)/(VLOOKUP(Pesi!$B$34,TabAlgPor,9,FALSE)-Pesi!$D$44))*VLOOKUP(Pesi!$B$34,TabAlgPor,10,FALSE),Pesi!$F$34*Pesi!$C$28)</f>
        <v>-2.6660054914276863</v>
      </c>
      <c r="L33" s="155">
        <f t="shared" si="0"/>
        <v>1</v>
      </c>
      <c r="M33" s="154">
        <f>$D33*Pesi!$D$5+Pesi!$D$6*Portieri!$E42+Portieri!$F42*Pesi!$D$7+Pesi!$D$8*Portieri!$G42+Portieri!$H42*Pesi!$D$9+Pesi!$D$10*Portieri!$I42+VLOOKUP($C33,TabAlgSqu,2,FALSE)*Pesi!$D$11+Pesi!$D$12*VLOOKUP($C33,TabAlgFC,2,FALSE)+VLOOKUP($C33,TabAlgAll,2,FALSE)*Pesi!$D$13</f>
        <v>57.196799999999996</v>
      </c>
      <c r="N33" s="155">
        <f>IF(ISNA(MATCH($B33,Pesi!$B$31:$B$34,0)),VLOOKUP(Pesi!$B$34,TabAlgPor,13,FALSE)-((VLOOKUP(Pesi!$B$34,TabAlgPor,12,FALSE)-$M33)/(VLOOKUP(Pesi!$B$34,TabAlgPor,12,FALSE)-Pesi!$F$44))*VLOOKUP(Pesi!$B$34,TabAlgPor,13,FALSE),$K33*$M33/$J33)</f>
        <v>-2.3240332025578994</v>
      </c>
      <c r="O33" s="155">
        <f t="shared" si="1"/>
        <v>1</v>
      </c>
      <c r="P33">
        <f t="shared" si="2"/>
        <v>32</v>
      </c>
      <c r="Q33" t="e">
        <f>VLOOKUP(B33,'C.P.'!$A$2:$B$164,2,FALSE)</f>
        <v>#N/A</v>
      </c>
      <c r="R33" t="e">
        <f>VLOOKUP(B33,'C.P.'!$C$2:$D$164,2,FALSE)</f>
        <v>#N/A</v>
      </c>
      <c r="S33" t="e">
        <f>VLOOKUP(B33,'C.P.'!$E$2:$F$164,2,FALSE)</f>
        <v>#N/A</v>
      </c>
      <c r="T33" t="e">
        <f>VLOOKUP(B33,'C.P.'!$G$2:$H$164,2,FALSE)</f>
        <v>#N/A</v>
      </c>
    </row>
    <row r="34" spans="1:20">
      <c r="A34">
        <f ca="1">COUNTIF('I.A. + Fasce'!B$1:'I.A. + Fasce'!B$538,B33)</f>
        <v>1</v>
      </c>
      <c r="B34" s="199" t="s">
        <v>314</v>
      </c>
      <c r="C34" s="199" t="str">
        <f>VLOOKUP(B34,'IA FG'!$B$2:$G$534,6,FALSE)</f>
        <v>UDI</v>
      </c>
      <c r="D34" s="200">
        <v>7</v>
      </c>
      <c r="E34" s="201">
        <v>3</v>
      </c>
      <c r="F34" s="201">
        <v>5</v>
      </c>
      <c r="G34" s="201">
        <v>6</v>
      </c>
      <c r="H34" s="201">
        <v>6</v>
      </c>
      <c r="I34" s="201">
        <v>5</v>
      </c>
      <c r="J34" s="154">
        <f>$D34*Pesi!$B$5+Pesi!$B$6*$E34+$F34*Pesi!$B$7+Pesi!$B$8*$G34+$H34*Pesi!$B$9+Pesi!$B$10*$I34+VLOOKUP($C34,TabAlgSqu,2,FALSE)*Pesi!$B$11+Pesi!$B$12*VLOOKUP($C34,TabAlgFC,2,FALSE)+VLOOKUP($C34,TabAlgAll,2,FALSE)*Pesi!$B$13</f>
        <v>55.831600000000002</v>
      </c>
      <c r="K34" s="155">
        <f>IF(ISNA(MATCH($B34,Pesi!$B$31:$B$34,0)),VLOOKUP(Pesi!$B$34,TabAlgPor,10,FALSE)-((VLOOKUP(Pesi!$B$34,TabAlgPor,9,FALSE)-$J34)/(VLOOKUP(Pesi!$B$34,TabAlgPor,9,FALSE)-Pesi!$D$44))*VLOOKUP(Pesi!$B$34,TabAlgPor,10,FALSE),Pesi!$F$34*Pesi!$C$28)</f>
        <v>-3.8278373141592503</v>
      </c>
      <c r="L34" s="155">
        <f t="shared" ref="L34:L65" si="3">IF(K34&lt;=1,1,K34)</f>
        <v>1</v>
      </c>
      <c r="M34" s="154">
        <f>$D34*Pesi!$D$5+Pesi!$D$6*Portieri!$E37+Portieri!$F37*Pesi!$D$7+Pesi!$D$8*Portieri!$G37+Portieri!$H37*Pesi!$D$9+Pesi!$D$10*Portieri!$I37+VLOOKUP($C34,TabAlgSqu,2,FALSE)*Pesi!$D$11+Pesi!$D$12*VLOOKUP($C34,TabAlgFC,2,FALSE)+VLOOKUP($C34,TabAlgAll,2,FALSE)*Pesi!$D$13</f>
        <v>55.464999999999996</v>
      </c>
      <c r="N34" s="155">
        <f>IF(ISNA(MATCH($B34,Pesi!$B$31:$B$34,0)),VLOOKUP(Pesi!$B$34,TabAlgPor,13,FALSE)-((VLOOKUP(Pesi!$B$34,TabAlgPor,12,FALSE)-$M34)/(VLOOKUP(Pesi!$B$34,TabAlgPor,12,FALSE)-Pesi!$F$44))*VLOOKUP(Pesi!$B$34,TabAlgPor,13,FALSE),$K34*$M34/$J34)</f>
        <v>-3.7598068541666905</v>
      </c>
      <c r="O34" s="155">
        <f t="shared" ref="O34:O65" si="4">IF(N34&lt;=1,1,N34)</f>
        <v>1</v>
      </c>
      <c r="P34">
        <f t="shared" ref="P34:P66" si="5">SUM(D34:I34)</f>
        <v>32</v>
      </c>
      <c r="Q34" t="e">
        <f>VLOOKUP(B34,'C.P.'!$A$2:$B$164,2,FALSE)</f>
        <v>#N/A</v>
      </c>
      <c r="R34" t="e">
        <f>VLOOKUP(B34,'C.P.'!$C$2:$D$164,2,FALSE)</f>
        <v>#N/A</v>
      </c>
      <c r="S34" t="e">
        <f>VLOOKUP(B34,'C.P.'!$E$2:$F$164,2,FALSE)</f>
        <v>#N/A</v>
      </c>
      <c r="T34" t="e">
        <f>VLOOKUP(B34,'C.P.'!$G$2:$H$164,2,FALSE)</f>
        <v>#N/A</v>
      </c>
    </row>
    <row r="35" spans="1:20">
      <c r="A35">
        <f ca="1">COUNTIF('I.A. + Fasce'!B$1:'I.A. + Fasce'!B$538,B34)</f>
        <v>1</v>
      </c>
      <c r="B35" s="199" t="s">
        <v>1681</v>
      </c>
      <c r="C35" s="199" t="str">
        <f>VLOOKUP(B35,'IA FG'!$B$2:$G$534,6,FALSE)</f>
        <v>VER</v>
      </c>
      <c r="D35" s="200">
        <v>8</v>
      </c>
      <c r="E35" s="201">
        <v>6</v>
      </c>
      <c r="F35" s="201">
        <v>6</v>
      </c>
      <c r="G35" s="201">
        <v>6</v>
      </c>
      <c r="H35" s="201">
        <v>5</v>
      </c>
      <c r="I35" s="201">
        <v>3</v>
      </c>
      <c r="J35" s="154">
        <f>$D35*Pesi!$B$5+Pesi!$B$6*$E35+$F35*Pesi!$B$7+Pesi!$B$8*$G35+$H35*Pesi!$B$9+Pesi!$B$10*$I35+VLOOKUP($C35,TabAlgSqu,2,FALSE)*Pesi!$B$11+Pesi!$B$12*VLOOKUP($C35,TabAlgFC,2,FALSE)+VLOOKUP($C35,TabAlgAll,2,FALSE)*Pesi!$B$13</f>
        <v>55.229299999999988</v>
      </c>
      <c r="K35" s="155">
        <f>IF(ISNA(MATCH($B35,Pesi!$B$31:$B$34,0)),VLOOKUP(Pesi!$B$34,TabAlgPor,10,FALSE)-((VLOOKUP(Pesi!$B$34,TabAlgPor,9,FALSE)-$J35)/(VLOOKUP(Pesi!$B$34,TabAlgPor,9,FALSE)-Pesi!$D$44))*VLOOKUP(Pesi!$B$34,TabAlgPor,10,FALSE),Pesi!$F$34*Pesi!$C$28)</f>
        <v>-4.3809287675510014</v>
      </c>
      <c r="L35" s="155">
        <f t="shared" si="3"/>
        <v>1</v>
      </c>
      <c r="M35" s="154">
        <f>$D35*Pesi!$D$5+Pesi!$D$6*Portieri!$E31+Portieri!$F31*Pesi!$D$7+Pesi!$D$8*Portieri!$G31+Portieri!$H31*Pesi!$D$9+Pesi!$D$10*Portieri!$I31+VLOOKUP($C35,TabAlgSqu,2,FALSE)*Pesi!$D$11+Pesi!$D$12*VLOOKUP($C35,TabAlgFC,2,FALSE)+VLOOKUP($C35,TabAlgAll,2,FALSE)*Pesi!$D$13</f>
        <v>57.795899999999996</v>
      </c>
      <c r="N35" s="155">
        <f>IF(ISNA(MATCH($B35,Pesi!$B$31:$B$34,0)),VLOOKUP(Pesi!$B$34,TabAlgPor,13,FALSE)-((VLOOKUP(Pesi!$B$34,TabAlgPor,12,FALSE)-$M35)/(VLOOKUP(Pesi!$B$34,TabAlgPor,12,FALSE)-Pesi!$F$44))*VLOOKUP(Pesi!$B$34,TabAlgPor,13,FALSE),$K35*$M35/$J35)</f>
        <v>-1.8273407469170486</v>
      </c>
      <c r="O35" s="155">
        <f t="shared" si="4"/>
        <v>1</v>
      </c>
      <c r="P35">
        <f t="shared" si="5"/>
        <v>34</v>
      </c>
      <c r="Q35" t="e">
        <f>VLOOKUP(B35,'C.P.'!$A$2:$B$164,2,FALSE)</f>
        <v>#N/A</v>
      </c>
      <c r="R35" t="e">
        <f>VLOOKUP(B35,'C.P.'!$C$2:$D$164,2,FALSE)</f>
        <v>#N/A</v>
      </c>
      <c r="S35" t="e">
        <f>VLOOKUP(B35,'C.P.'!$E$2:$F$164,2,FALSE)</f>
        <v>#N/A</v>
      </c>
      <c r="T35" t="e">
        <f>VLOOKUP(B35,'C.P.'!$G$2:$H$164,2,FALSE)</f>
        <v>#N/A</v>
      </c>
    </row>
    <row r="36" spans="1:20">
      <c r="A36">
        <f ca="1">COUNTIF('I.A. + Fasce'!B$1:'I.A. + Fasce'!B$538,B35)</f>
        <v>1</v>
      </c>
      <c r="B36" s="199" t="s">
        <v>359</v>
      </c>
      <c r="C36" s="199" t="str">
        <f>VLOOKUP(B36,'IA FG'!$B$2:$G$534,6,FALSE)</f>
        <v>TOR</v>
      </c>
      <c r="D36" s="200">
        <v>8</v>
      </c>
      <c r="E36" s="201">
        <v>4</v>
      </c>
      <c r="F36" s="201">
        <v>6</v>
      </c>
      <c r="G36" s="201">
        <v>6</v>
      </c>
      <c r="H36" s="201">
        <v>5</v>
      </c>
      <c r="I36" s="201">
        <v>4</v>
      </c>
      <c r="J36" s="154">
        <f>$D36*Pesi!$B$5+Pesi!$B$6*$E36+$F36*Pesi!$B$7+Pesi!$B$8*$G36+$H36*Pesi!$B$9+Pesi!$B$10*$I36+VLOOKUP($C36,TabAlgSqu,2,FALSE)*Pesi!$B$11+Pesi!$B$12*VLOOKUP($C36,TabAlgFC,2,FALSE)+VLOOKUP($C36,TabAlgAll,2,FALSE)*Pesi!$B$13</f>
        <v>55.093599999999995</v>
      </c>
      <c r="K36" s="155">
        <f>IF(ISNA(MATCH($B36,Pesi!$B$31:$B$34,0)),VLOOKUP(Pesi!$B$34,TabAlgPor,10,FALSE)-((VLOOKUP(Pesi!$B$34,TabAlgPor,9,FALSE)-$J36)/(VLOOKUP(Pesi!$B$34,TabAlgPor,9,FALSE)-Pesi!$D$44))*VLOOKUP(Pesi!$B$34,TabAlgPor,10,FALSE),Pesi!$F$34*Pesi!$C$28)</f>
        <v>-4.5055419341212399</v>
      </c>
      <c r="L36" s="155">
        <f t="shared" si="3"/>
        <v>1</v>
      </c>
      <c r="M36" s="154">
        <f>$D36*Pesi!$D$5+Pesi!$D$6*Portieri!$E34+Portieri!$F34*Pesi!$D$7+Pesi!$D$8*Portieri!$G34+Portieri!$H34*Pesi!$D$9+Pesi!$D$10*Portieri!$I34+VLOOKUP($C36,TabAlgSqu,2,FALSE)*Pesi!$D$11+Pesi!$D$12*VLOOKUP($C36,TabAlgFC,2,FALSE)+VLOOKUP($C36,TabAlgAll,2,FALSE)*Pesi!$D$13</f>
        <v>56.214399999999998</v>
      </c>
      <c r="N36" s="155">
        <f>IF(ISNA(MATCH($B36,Pesi!$B$31:$B$34,0)),VLOOKUP(Pesi!$B$34,TabAlgPor,13,FALSE)-((VLOOKUP(Pesi!$B$34,TabAlgPor,12,FALSE)-$M36)/(VLOOKUP(Pesi!$B$34,TabAlgPor,12,FALSE)-Pesi!$F$44))*VLOOKUP(Pesi!$B$34,TabAlgPor,13,FALSE),$K36*$M36/$J36)</f>
        <v>-3.1385060258287574</v>
      </c>
      <c r="O36" s="155">
        <f t="shared" si="4"/>
        <v>1</v>
      </c>
      <c r="P36">
        <f t="shared" si="5"/>
        <v>33</v>
      </c>
      <c r="Q36" t="e">
        <f>VLOOKUP(B36,'C.P.'!$A$2:$B$164,2,FALSE)</f>
        <v>#N/A</v>
      </c>
      <c r="R36" t="e">
        <f>VLOOKUP(B36,'C.P.'!$C$2:$D$164,2,FALSE)</f>
        <v>#N/A</v>
      </c>
      <c r="S36" t="e">
        <f>VLOOKUP(B36,'C.P.'!$E$2:$F$164,2,FALSE)</f>
        <v>#N/A</v>
      </c>
      <c r="T36" t="e">
        <f>VLOOKUP(B36,'C.P.'!$G$2:$H$164,2,FALSE)</f>
        <v>#N/A</v>
      </c>
    </row>
    <row r="37" spans="1:20">
      <c r="A37">
        <f ca="1">COUNTIF('I.A. + Fasce'!B$1:'I.A. + Fasce'!B$538,B36)</f>
        <v>1</v>
      </c>
      <c r="B37" s="199" t="s">
        <v>442</v>
      </c>
      <c r="C37" s="199" t="str">
        <f>VLOOKUP(B37,'IA FG'!$B$2:$G$534,6,FALSE)</f>
        <v>LAZ</v>
      </c>
      <c r="D37" s="200">
        <v>7</v>
      </c>
      <c r="E37" s="201">
        <v>3</v>
      </c>
      <c r="F37" s="201">
        <v>6</v>
      </c>
      <c r="G37" s="201">
        <v>6</v>
      </c>
      <c r="H37" s="201">
        <v>6</v>
      </c>
      <c r="I37" s="201">
        <v>3</v>
      </c>
      <c r="J37" s="154">
        <f>$D37*Pesi!$B$5+Pesi!$B$6*$E37+$F37*Pesi!$B$7+Pesi!$B$8*$G37+$H37*Pesi!$B$9+Pesi!$B$10*$I37+VLOOKUP($C37,TabAlgSqu,2,FALSE)*Pesi!$B$11+Pesi!$B$12*VLOOKUP($C37,TabAlgFC,2,FALSE)+VLOOKUP($C37,TabAlgAll,2,FALSE)*Pesi!$B$13</f>
        <v>54.647499999999994</v>
      </c>
      <c r="K37" s="155">
        <f>IF(ISNA(MATCH($B37,Pesi!$B$31:$B$34,0)),VLOOKUP(Pesi!$B$34,TabAlgPor,10,FALSE)-((VLOOKUP(Pesi!$B$34,TabAlgPor,9,FALSE)-$J37)/(VLOOKUP(Pesi!$B$34,TabAlgPor,9,FALSE)-Pesi!$D$44))*VLOOKUP(Pesi!$B$34,TabAlgPor,10,FALSE),Pesi!$F$34*Pesi!$C$28)</f>
        <v>-4.9151950926104568</v>
      </c>
      <c r="L37" s="155">
        <f t="shared" si="3"/>
        <v>1</v>
      </c>
      <c r="M37" s="154">
        <f>$D37*Pesi!$D$5+Pesi!$D$6*Portieri!$E43+Portieri!$F43*Pesi!$D$7+Pesi!$D$8*Portieri!$G43+Portieri!$H43*Pesi!$D$9+Pesi!$D$10*Portieri!$I43+VLOOKUP($C37,TabAlgSqu,2,FALSE)*Pesi!$D$11+Pesi!$D$12*VLOOKUP($C37,TabAlgFC,2,FALSE)+VLOOKUP($C37,TabAlgAll,2,FALSE)*Pesi!$D$13</f>
        <v>53.547499999999992</v>
      </c>
      <c r="N37" s="155">
        <f>IF(ISNA(MATCH($B37,Pesi!$B$31:$B$34,0)),VLOOKUP(Pesi!$B$34,TabAlgPor,13,FALSE)-((VLOOKUP(Pesi!$B$34,TabAlgPor,12,FALSE)-$M37)/(VLOOKUP(Pesi!$B$34,TabAlgPor,12,FALSE)-Pesi!$F$44))*VLOOKUP(Pesi!$B$34,TabAlgPor,13,FALSE),$K37*$M37/$J37)</f>
        <v>-5.3495377566726745</v>
      </c>
      <c r="O37" s="155">
        <f t="shared" si="4"/>
        <v>1</v>
      </c>
      <c r="P37">
        <f t="shared" si="5"/>
        <v>31</v>
      </c>
      <c r="Q37" t="e">
        <f>VLOOKUP(B37,'C.P.'!$A$2:$B$164,2,FALSE)</f>
        <v>#N/A</v>
      </c>
      <c r="R37" t="e">
        <f>VLOOKUP(B37,'C.P.'!$C$2:$D$164,2,FALSE)</f>
        <v>#N/A</v>
      </c>
      <c r="S37" t="e">
        <f>VLOOKUP(B37,'C.P.'!$E$2:$F$164,2,FALSE)</f>
        <v>#N/A</v>
      </c>
      <c r="T37" t="e">
        <f>VLOOKUP(B37,'C.P.'!$G$2:$H$164,2,FALSE)</f>
        <v>#N/A</v>
      </c>
    </row>
    <row r="38" spans="1:20">
      <c r="B38" s="199" t="s">
        <v>387</v>
      </c>
      <c r="C38" s="199" t="str">
        <f>VLOOKUP(B38,'IA FG'!$B$2:$G$534,6,FALSE)</f>
        <v>SAS</v>
      </c>
      <c r="D38" s="200">
        <v>7</v>
      </c>
      <c r="E38" s="201">
        <v>3</v>
      </c>
      <c r="F38" s="201">
        <v>7</v>
      </c>
      <c r="G38" s="201">
        <v>6</v>
      </c>
      <c r="H38" s="201">
        <v>6</v>
      </c>
      <c r="I38" s="201">
        <v>3</v>
      </c>
      <c r="J38" s="154">
        <f>$D38*Pesi!$B$5+Pesi!$B$6*$E38+$F38*Pesi!$B$7+Pesi!$B$8*$G38+$H38*Pesi!$B$9+Pesi!$B$10*$I38+VLOOKUP($C38,TabAlgSqu,2,FALSE)*Pesi!$B$11+Pesi!$B$12*VLOOKUP($C38,TabAlgFC,2,FALSE)+VLOOKUP($C38,TabAlgAll,2,FALSE)*Pesi!$B$13</f>
        <v>54.63</v>
      </c>
      <c r="K38" s="155">
        <f>IF(ISNA(MATCH($B38,Pesi!$B$31:$B$34,0)),VLOOKUP(Pesi!$B$34,TabAlgPor,10,FALSE)-((VLOOKUP(Pesi!$B$34,TabAlgPor,9,FALSE)-$J38)/(VLOOKUP(Pesi!$B$34,TabAlgPor,9,FALSE)-Pesi!$D$44))*VLOOKUP(Pesi!$B$34,TabAlgPor,10,FALSE),Pesi!$F$34*Pesi!$C$28)</f>
        <v>-4.9312653241136104</v>
      </c>
      <c r="L38" s="155">
        <f t="shared" si="3"/>
        <v>1</v>
      </c>
      <c r="M38" s="154">
        <f>$D38*Pesi!$D$5+Pesi!$D$6*Portieri!$E40+Portieri!$F40*Pesi!$D$7+Pesi!$D$8*Portieri!$G40+Portieri!$H40*Pesi!$D$9+Pesi!$D$10*Portieri!$I40+VLOOKUP($C38,TabAlgSqu,2,FALSE)*Pesi!$D$11+Pesi!$D$12*VLOOKUP($C38,TabAlgFC,2,FALSE)+VLOOKUP($C38,TabAlgAll,2,FALSE)*Pesi!$D$13</f>
        <v>56.234200000000008</v>
      </c>
      <c r="N38" s="155">
        <f>IF(ISNA(MATCH($B38,Pesi!$B$31:$B$34,0)),VLOOKUP(Pesi!$B$34,TabAlgPor,13,FALSE)-((VLOOKUP(Pesi!$B$34,TabAlgPor,12,FALSE)-$M38)/(VLOOKUP(Pesi!$B$34,TabAlgPor,12,FALSE)-Pesi!$F$44))*VLOOKUP(Pesi!$B$34,TabAlgPor,13,FALSE),$K38*$M38/$J38)</f>
        <v>-3.1220905515812269</v>
      </c>
      <c r="O38" s="155">
        <f t="shared" si="4"/>
        <v>1</v>
      </c>
      <c r="P38">
        <f t="shared" si="5"/>
        <v>32</v>
      </c>
      <c r="Q38" t="e">
        <f>VLOOKUP(B38,'C.P.'!$A$2:$B$164,2,FALSE)</f>
        <v>#N/A</v>
      </c>
      <c r="R38" t="e">
        <f>VLOOKUP(B38,'C.P.'!$C$2:$D$164,2,FALSE)</f>
        <v>#N/A</v>
      </c>
      <c r="S38" t="e">
        <f>VLOOKUP(B38,'C.P.'!$E$2:$F$164,2,FALSE)</f>
        <v>#N/A</v>
      </c>
      <c r="T38" t="e">
        <f>VLOOKUP(B38,'C.P.'!$G$2:$H$164,2,FALSE)</f>
        <v>#N/A</v>
      </c>
    </row>
    <row r="39" spans="1:20">
      <c r="A39">
        <f ca="1">COUNTIF('I.A. + Fasce'!B$1:'I.A. + Fasce'!B$538,#REF!)</f>
        <v>0</v>
      </c>
      <c r="B39" s="199" t="s">
        <v>385</v>
      </c>
      <c r="C39" s="199" t="str">
        <f>VLOOKUP(B39,'IA FG'!$B$2:$G$534,6,FALSE)</f>
        <v>INT</v>
      </c>
      <c r="D39" s="200">
        <v>7</v>
      </c>
      <c r="E39" s="201">
        <v>4</v>
      </c>
      <c r="F39" s="201">
        <v>6</v>
      </c>
      <c r="G39" s="201">
        <v>6</v>
      </c>
      <c r="H39" s="201">
        <v>6</v>
      </c>
      <c r="I39" s="201">
        <v>3</v>
      </c>
      <c r="J39" s="154">
        <f>$D39*Pesi!$B$5+Pesi!$B$6*$E39+$F39*Pesi!$B$7+Pesi!$B$8*$G39+$H39*Pesi!$B$9+Pesi!$B$10*$I39+VLOOKUP($C39,TabAlgSqu,2,FALSE)*Pesi!$B$11+Pesi!$B$12*VLOOKUP($C39,TabAlgFC,2,FALSE)+VLOOKUP($C39,TabAlgAll,2,FALSE)*Pesi!$B$13</f>
        <v>54.535999999999994</v>
      </c>
      <c r="K39" s="155">
        <f>IF(ISNA(MATCH($B39,Pesi!$B$31:$B$34,0)),VLOOKUP(Pesi!$B$34,TabAlgPor,10,FALSE)-((VLOOKUP(Pesi!$B$34,TabAlgPor,9,FALSE)-$J39)/(VLOOKUP(Pesi!$B$34,TabAlgPor,9,FALSE)-Pesi!$D$44))*VLOOKUP(Pesi!$B$34,TabAlgPor,10,FALSE),Pesi!$F$34*Pesi!$C$28)</f>
        <v>-5.0175854247591829</v>
      </c>
      <c r="L39" s="155">
        <f t="shared" si="3"/>
        <v>1</v>
      </c>
      <c r="M39" s="154">
        <f>$D39*Pesi!$D$5+Pesi!$D$6*Portieri!$E39+Portieri!$F39*Pesi!$D$7+Pesi!$D$8*Portieri!$G39+Portieri!$H39*Pesi!$D$9+Pesi!$D$10*Portieri!$I39+VLOOKUP($C39,TabAlgSqu,2,FALSE)*Pesi!$D$11+Pesi!$D$12*VLOOKUP($C39,TabAlgFC,2,FALSE)+VLOOKUP($C39,TabAlgAll,2,FALSE)*Pesi!$D$13</f>
        <v>55.435999999999993</v>
      </c>
      <c r="N39" s="155">
        <f>IF(ISNA(MATCH($B39,Pesi!$B$31:$B$34,0)),VLOOKUP(Pesi!$B$34,TabAlgPor,13,FALSE)-((VLOOKUP(Pesi!$B$34,TabAlgPor,12,FALSE)-$M39)/(VLOOKUP(Pesi!$B$34,TabAlgPor,12,FALSE)-Pesi!$F$44))*VLOOKUP(Pesi!$B$34,TabAlgPor,13,FALSE),$K39*$M39/$J39)</f>
        <v>-3.7838497204888206</v>
      </c>
      <c r="O39" s="155">
        <f t="shared" si="4"/>
        <v>1</v>
      </c>
      <c r="P39">
        <f t="shared" si="5"/>
        <v>32</v>
      </c>
      <c r="Q39" t="e">
        <f>VLOOKUP(B39,'C.P.'!$A$2:$B$164,2,FALSE)</f>
        <v>#N/A</v>
      </c>
      <c r="R39" t="e">
        <f>VLOOKUP(B39,'C.P.'!$C$2:$D$164,2,FALSE)</f>
        <v>#N/A</v>
      </c>
      <c r="S39" t="e">
        <f>VLOOKUP(B39,'C.P.'!$E$2:$F$164,2,FALSE)</f>
        <v>#N/A</v>
      </c>
      <c r="T39" t="e">
        <f>VLOOKUP(B39,'C.P.'!$G$2:$H$164,2,FALSE)</f>
        <v>#N/A</v>
      </c>
    </row>
    <row r="40" spans="1:20">
      <c r="A40">
        <f ca="1">COUNTIF('I.A. + Fasce'!B$1:'I.A. + Fasce'!B$538,B39)</f>
        <v>1</v>
      </c>
      <c r="B40" s="199" t="s">
        <v>338</v>
      </c>
      <c r="C40" s="199" t="str">
        <f>VLOOKUP(B40,'IA FG'!$B$2:$G$534,6,FALSE)</f>
        <v>FIO</v>
      </c>
      <c r="D40" s="200">
        <v>6</v>
      </c>
      <c r="E40" s="201">
        <v>5</v>
      </c>
      <c r="F40" s="201">
        <v>6</v>
      </c>
      <c r="G40" s="201">
        <v>6</v>
      </c>
      <c r="H40" s="201">
        <v>7</v>
      </c>
      <c r="I40" s="201">
        <v>2</v>
      </c>
      <c r="J40" s="154">
        <f>$D40*Pesi!$B$5+Pesi!$B$6*$E40+$F40*Pesi!$B$7+Pesi!$B$8*$G40+$H40*Pesi!$B$9+Pesi!$B$10*$I40+VLOOKUP($C40,TabAlgSqu,2,FALSE)*Pesi!$B$11+Pesi!$B$12*VLOOKUP($C40,TabAlgFC,2,FALSE)+VLOOKUP($C40,TabAlgAll,2,FALSE)*Pesi!$B$13</f>
        <v>54.489400000000003</v>
      </c>
      <c r="K40" s="155">
        <f>IF(ISNA(MATCH($B40,Pesi!$B$31:$B$34,0)),VLOOKUP(Pesi!$B$34,TabAlgPor,10,FALSE)-((VLOOKUP(Pesi!$B$34,TabAlgPor,9,FALSE)-$J40)/(VLOOKUP(Pesi!$B$34,TabAlgPor,9,FALSE)-Pesi!$D$44))*VLOOKUP(Pesi!$B$34,TabAlgPor,10,FALSE),Pesi!$F$34*Pesi!$C$28)</f>
        <v>-5.0603781555047398</v>
      </c>
      <c r="L40" s="155">
        <f t="shared" si="3"/>
        <v>1</v>
      </c>
      <c r="M40" s="154">
        <f>$D40*Pesi!$D$5+Pesi!$D$6*Portieri!$E38+Portieri!$F38*Pesi!$D$7+Pesi!$D$8*Portieri!$G38+Portieri!$H38*Pesi!$D$9+Pesi!$D$10*Portieri!$I38+VLOOKUP($C40,TabAlgSqu,2,FALSE)*Pesi!$D$11+Pesi!$D$12*VLOOKUP($C40,TabAlgFC,2,FALSE)+VLOOKUP($C40,TabAlgAll,2,FALSE)*Pesi!$D$13</f>
        <v>54.8352</v>
      </c>
      <c r="N40" s="155">
        <f>IF(ISNA(MATCH($B40,Pesi!$B$31:$B$34,0)),VLOOKUP(Pesi!$B$34,TabAlgPor,13,FALSE)-((VLOOKUP(Pesi!$B$34,TabAlgPor,12,FALSE)-$M40)/(VLOOKUP(Pesi!$B$34,TabAlgPor,12,FALSE)-Pesi!$F$44))*VLOOKUP(Pesi!$B$34,TabAlgPor,13,FALSE),$K40*$M40/$J40)</f>
        <v>-4.2819515855347561</v>
      </c>
      <c r="O40" s="155">
        <f t="shared" si="4"/>
        <v>1</v>
      </c>
      <c r="P40">
        <f t="shared" si="5"/>
        <v>32</v>
      </c>
      <c r="Q40" t="e">
        <f>VLOOKUP(B40,'C.P.'!$A$2:$B$164,2,FALSE)</f>
        <v>#N/A</v>
      </c>
      <c r="R40" t="e">
        <f>VLOOKUP(B40,'C.P.'!$C$2:$D$164,2,FALSE)</f>
        <v>#N/A</v>
      </c>
      <c r="S40" t="e">
        <f>VLOOKUP(B40,'C.P.'!$E$2:$F$164,2,FALSE)</f>
        <v>#N/A</v>
      </c>
      <c r="T40" t="e">
        <f>VLOOKUP(B40,'C.P.'!$G$2:$H$164,2,FALSE)</f>
        <v>#N/A</v>
      </c>
    </row>
    <row r="41" spans="1:20">
      <c r="A41">
        <f ca="1">COUNTIF('I.A. + Fasce'!B$1:'I.A. + Fasce'!B$538,B40)</f>
        <v>1</v>
      </c>
      <c r="B41" s="199" t="s">
        <v>1682</v>
      </c>
      <c r="C41" s="199" t="str">
        <f>VLOOKUP(B41,'IA FG'!$B$2:$G$534,6,FALSE)</f>
        <v>BOL</v>
      </c>
      <c r="D41" s="200">
        <v>8</v>
      </c>
      <c r="E41" s="201">
        <v>3</v>
      </c>
      <c r="F41" s="201">
        <v>6</v>
      </c>
      <c r="G41" s="201">
        <v>6</v>
      </c>
      <c r="H41" s="201">
        <v>6</v>
      </c>
      <c r="I41" s="201">
        <v>3</v>
      </c>
      <c r="J41" s="154">
        <f>$D41*Pesi!$B$5+Pesi!$B$6*$E41+$F41*Pesi!$B$7+Pesi!$B$8*$G41+$H41*Pesi!$B$9+Pesi!$B$10*$I41+VLOOKUP($C41,TabAlgSqu,2,FALSE)*Pesi!$B$11+Pesi!$B$12*VLOOKUP($C41,TabAlgFC,2,FALSE)+VLOOKUP($C41,TabAlgAll,2,FALSE)*Pesi!$B$13</f>
        <v>54.444799999999994</v>
      </c>
      <c r="K41" s="155">
        <f>IF(ISNA(MATCH($B41,Pesi!$B$31:$B$34,0)),VLOOKUP(Pesi!$B$34,TabAlgPor,10,FALSE)-((VLOOKUP(Pesi!$B$34,TabAlgPor,9,FALSE)-$J41)/(VLOOKUP(Pesi!$B$34,TabAlgPor,9,FALSE)-Pesi!$D$44))*VLOOKUP(Pesi!$B$34,TabAlgPor,10,FALSE),Pesi!$F$34*Pesi!$C$28)</f>
        <v>-5.1013342883642423</v>
      </c>
      <c r="L41" s="155">
        <f t="shared" si="3"/>
        <v>1</v>
      </c>
      <c r="M41" s="154">
        <f>$D41*Pesi!$D$5+Pesi!$D$6*Portieri!$E41+Portieri!$F41*Pesi!$D$7+Pesi!$D$8*Portieri!$G41+Portieri!$H41*Pesi!$D$9+Pesi!$D$10*Portieri!$I41+VLOOKUP($C41,TabAlgSqu,2,FALSE)*Pesi!$D$11+Pesi!$D$12*VLOOKUP($C41,TabAlgFC,2,FALSE)+VLOOKUP($C41,TabAlgAll,2,FALSE)*Pesi!$D$13</f>
        <v>55.344799999999999</v>
      </c>
      <c r="N41" s="155">
        <f>IF(ISNA(MATCH($B41,Pesi!$B$31:$B$34,0)),VLOOKUP(Pesi!$B$34,TabAlgPor,13,FALSE)-((VLOOKUP(Pesi!$B$34,TabAlgPor,12,FALSE)-$M41)/(VLOOKUP(Pesi!$B$34,TabAlgPor,12,FALSE)-Pesi!$F$44))*VLOOKUP(Pesi!$B$34,TabAlgPor,13,FALSE),$K41*$M41/$J41)</f>
        <v>-3.8594603897501116</v>
      </c>
      <c r="O41" s="155">
        <f t="shared" si="4"/>
        <v>1</v>
      </c>
      <c r="P41">
        <f t="shared" si="5"/>
        <v>32</v>
      </c>
      <c r="Q41" t="e">
        <f>VLOOKUP(B41,'C.P.'!$A$2:$B$164,2,FALSE)</f>
        <v>#N/A</v>
      </c>
      <c r="R41" t="e">
        <f>VLOOKUP(B41,'C.P.'!$C$2:$D$164,2,FALSE)</f>
        <v>#N/A</v>
      </c>
      <c r="S41" t="e">
        <f>VLOOKUP(B41,'C.P.'!$E$2:$F$164,2,FALSE)</f>
        <v>#N/A</v>
      </c>
      <c r="T41" t="e">
        <f>VLOOKUP(B41,'C.P.'!$G$2:$H$164,2,FALSE)</f>
        <v>#N/A</v>
      </c>
    </row>
    <row r="42" spans="1:20">
      <c r="A42">
        <f ca="1">COUNTIF('I.A. + Fasce'!B$1:'I.A. + Fasce'!B$538,B41)</f>
        <v>1</v>
      </c>
      <c r="B42" s="199" t="s">
        <v>434</v>
      </c>
      <c r="C42" s="199" t="str">
        <f>VLOOKUP(B42,'IA FG'!$B$2:$G$534,6,FALSE)</f>
        <v>MIL</v>
      </c>
      <c r="D42" s="200">
        <v>6</v>
      </c>
      <c r="E42" s="201">
        <v>2</v>
      </c>
      <c r="F42" s="201">
        <v>6</v>
      </c>
      <c r="G42" s="201">
        <v>6</v>
      </c>
      <c r="H42" s="201">
        <v>6</v>
      </c>
      <c r="I42" s="201">
        <v>3</v>
      </c>
      <c r="J42" s="154">
        <f>$D42*Pesi!$B$5+Pesi!$B$6*$E42+$F42*Pesi!$B$7+Pesi!$B$8*$G42+$H42*Pesi!$B$9+Pesi!$B$10*$I42+VLOOKUP($C42,TabAlgSqu,2,FALSE)*Pesi!$B$11+Pesi!$B$12*VLOOKUP($C42,TabAlgFC,2,FALSE)+VLOOKUP($C42,TabAlgAll,2,FALSE)*Pesi!$B$13</f>
        <v>53.180700000000002</v>
      </c>
      <c r="K42" s="155">
        <f>IF(ISNA(MATCH($B42,Pesi!$B$31:$B$34,0)),VLOOKUP(Pesi!$B$34,TabAlgPor,10,FALSE)-((VLOOKUP(Pesi!$B$34,TabAlgPor,9,FALSE)-$J42)/(VLOOKUP(Pesi!$B$34,TabAlgPor,9,FALSE)-Pesi!$D$44))*VLOOKUP(Pesi!$B$34,TabAlgPor,10,FALSE),Pesi!$F$34*Pesi!$C$28)</f>
        <v>-6.2621559822584629</v>
      </c>
      <c r="L42" s="155">
        <f t="shared" si="3"/>
        <v>1</v>
      </c>
      <c r="M42" s="154">
        <f>$D42*Pesi!$D$5+Pesi!$D$6*Portieri!$E50+Portieri!$F50*Pesi!$D$7+Pesi!$D$8*Portieri!$G50+Portieri!$H50*Pesi!$D$9+Pesi!$D$10*Portieri!$I50+VLOOKUP($C42,TabAlgSqu,2,FALSE)*Pesi!$D$11+Pesi!$D$12*VLOOKUP($C42,TabAlgFC,2,FALSE)+VLOOKUP($C42,TabAlgAll,2,FALSE)*Pesi!$D$13</f>
        <v>51.851600000000005</v>
      </c>
      <c r="N42" s="155">
        <f>IF(ISNA(MATCH($B42,Pesi!$B$31:$B$34,0)),VLOOKUP(Pesi!$B$34,TabAlgPor,13,FALSE)-((VLOOKUP(Pesi!$B$34,TabAlgPor,12,FALSE)-$M42)/(VLOOKUP(Pesi!$B$34,TabAlgPor,12,FALSE)-Pesi!$F$44))*VLOOKUP(Pesi!$B$34,TabAlgPor,13,FALSE),$K42*$M42/$J42)</f>
        <v>-6.7555479979033741</v>
      </c>
      <c r="O42" s="155">
        <f t="shared" si="4"/>
        <v>1</v>
      </c>
      <c r="P42">
        <f t="shared" si="5"/>
        <v>29</v>
      </c>
      <c r="Q42" t="e">
        <f>VLOOKUP(B42,'C.P.'!$A$2:$B$164,2,FALSE)</f>
        <v>#N/A</v>
      </c>
      <c r="R42" t="e">
        <f>VLOOKUP(B42,'C.P.'!$C$2:$D$164,2,FALSE)</f>
        <v>#N/A</v>
      </c>
      <c r="S42" t="e">
        <f>VLOOKUP(B42,'C.P.'!$E$2:$F$164,2,FALSE)</f>
        <v>#N/A</v>
      </c>
      <c r="T42" t="e">
        <f>VLOOKUP(B42,'C.P.'!$G$2:$H$164,2,FALSE)</f>
        <v>#N/A</v>
      </c>
    </row>
    <row r="43" spans="1:20">
      <c r="A43">
        <f ca="1">COUNTIF('I.A. + Fasce'!B$1:'I.A. + Fasce'!B$538,B42)</f>
        <v>1</v>
      </c>
      <c r="B43" s="199" t="s">
        <v>1935</v>
      </c>
      <c r="C43" s="199" t="str">
        <f>VLOOKUP(B43,'IA FG'!$B$2:$G$534,6,FALSE)</f>
        <v>ATA</v>
      </c>
      <c r="D43" s="200">
        <v>8</v>
      </c>
      <c r="E43" s="201">
        <v>1</v>
      </c>
      <c r="F43" s="201">
        <v>6</v>
      </c>
      <c r="G43" s="201">
        <v>6</v>
      </c>
      <c r="H43" s="201">
        <v>6</v>
      </c>
      <c r="I43" s="201">
        <v>3</v>
      </c>
      <c r="J43" s="154">
        <f>$D43*Pesi!$B$5+Pesi!$B$6*$E43+$F43*Pesi!$B$7+Pesi!$B$8*$G43+$H43*Pesi!$B$9+Pesi!$B$10*$I43+VLOOKUP($C43,TabAlgSqu,2,FALSE)*Pesi!$B$11+Pesi!$B$12*VLOOKUP($C43,TabAlgFC,2,FALSE)+VLOOKUP($C43,TabAlgAll,2,FALSE)*Pesi!$B$13</f>
        <v>52.945299999999996</v>
      </c>
      <c r="K43" s="155">
        <f>IF(ISNA(MATCH($B43,Pesi!$B$31:$B$34,0)),VLOOKUP(Pesi!$B$34,TabAlgPor,10,FALSE)-((VLOOKUP(Pesi!$B$34,TabAlgPor,9,FALSE)-$J43)/(VLOOKUP(Pesi!$B$34,TabAlgPor,9,FALSE)-Pesi!$D$44))*VLOOKUP(Pesi!$B$34,TabAlgPor,10,FALSE),Pesi!$F$34*Pesi!$C$28)</f>
        <v>-6.4783235534495951</v>
      </c>
      <c r="L43" s="155">
        <f t="shared" si="3"/>
        <v>1</v>
      </c>
      <c r="M43" s="154">
        <f>$D43*Pesi!$D$5+Pesi!$D$6*Portieri!$E45+Portieri!$F45*Pesi!$D$7+Pesi!$D$8*Portieri!$G45+Portieri!$H45*Pesi!$D$9+Pesi!$D$10*Portieri!$I45+VLOOKUP($C43,TabAlgSqu,2,FALSE)*Pesi!$D$11+Pesi!$D$12*VLOOKUP($C43,TabAlgFC,2,FALSE)+VLOOKUP($C43,TabAlgAll,2,FALSE)*Pesi!$D$13</f>
        <v>52.512000000000008</v>
      </c>
      <c r="N43" s="155">
        <f>IF(ISNA(MATCH($B43,Pesi!$B$31:$B$34,0)),VLOOKUP(Pesi!$B$34,TabAlgPor,13,FALSE)-((VLOOKUP(Pesi!$B$34,TabAlgPor,12,FALSE)-$M43)/(VLOOKUP(Pesi!$B$34,TabAlgPor,12,FALSE)-Pesi!$F$44))*VLOOKUP(Pesi!$B$34,TabAlgPor,13,FALSE),$K43*$M43/$J43)</f>
        <v>-6.2080338972436877</v>
      </c>
      <c r="O43" s="155">
        <f t="shared" si="4"/>
        <v>1</v>
      </c>
      <c r="P43">
        <f t="shared" si="5"/>
        <v>30</v>
      </c>
      <c r="Q43" t="e">
        <f>VLOOKUP(B43,'C.P.'!$A$2:$B$164,2,FALSE)</f>
        <v>#N/A</v>
      </c>
      <c r="R43" t="e">
        <f>VLOOKUP(B43,'C.P.'!$C$2:$D$164,2,FALSE)</f>
        <v>#N/A</v>
      </c>
      <c r="S43" t="e">
        <f>VLOOKUP(B43,'C.P.'!$E$2:$F$164,2,FALSE)</f>
        <v>#N/A</v>
      </c>
      <c r="T43" t="e">
        <f>VLOOKUP(B43,'C.P.'!$G$2:$H$164,2,FALSE)</f>
        <v>#N/A</v>
      </c>
    </row>
    <row r="44" spans="1:20">
      <c r="A44">
        <f ca="1">COUNTIF('I.A. + Fasce'!B$1:'I.A. + Fasce'!B$538,B43)</f>
        <v>1</v>
      </c>
      <c r="B44" s="199" t="s">
        <v>1686</v>
      </c>
      <c r="C44" s="199" t="str">
        <f>VLOOKUP(B44,'IA FG'!$B$2:$G$534,6,FALSE)</f>
        <v>LAZ</v>
      </c>
      <c r="D44" s="200">
        <v>7</v>
      </c>
      <c r="E44" s="201">
        <v>2</v>
      </c>
      <c r="F44" s="201">
        <v>6</v>
      </c>
      <c r="G44" s="201">
        <v>6</v>
      </c>
      <c r="H44" s="201">
        <v>6</v>
      </c>
      <c r="I44" s="201">
        <v>2</v>
      </c>
      <c r="J44" s="154">
        <f>$D44*Pesi!$B$5+Pesi!$B$6*$E44+$F44*Pesi!$B$7+Pesi!$B$8*$G44+$H44*Pesi!$B$9+Pesi!$B$10*$I44+VLOOKUP($C44,TabAlgSqu,2,FALSE)*Pesi!$B$11+Pesi!$B$12*VLOOKUP($C44,TabAlgFC,2,FALSE)+VLOOKUP($C44,TabAlgAll,2,FALSE)*Pesi!$B$13</f>
        <v>52.3142</v>
      </c>
      <c r="K44" s="155">
        <f>IF(ISNA(MATCH($B44,Pesi!$B$31:$B$34,0)),VLOOKUP(Pesi!$B$34,TabAlgPor,10,FALSE)-((VLOOKUP(Pesi!$B$34,TabAlgPor,9,FALSE)-$J44)/(VLOOKUP(Pesi!$B$34,TabAlgPor,9,FALSE)-Pesi!$D$44))*VLOOKUP(Pesi!$B$34,TabAlgPor,10,FALSE),Pesi!$F$34*Pesi!$C$28)</f>
        <v>-7.0578620164008221</v>
      </c>
      <c r="L44" s="155">
        <f t="shared" si="3"/>
        <v>1</v>
      </c>
      <c r="M44" s="154">
        <f>$D44*Pesi!$D$5+Pesi!$D$6*Portieri!$E47+Portieri!$F47*Pesi!$D$7+Pesi!$D$8*Portieri!$G47+Portieri!$H47*Pesi!$D$9+Pesi!$D$10*Portieri!$I47+VLOOKUP($C44,TabAlgSqu,2,FALSE)*Pesi!$D$11+Pesi!$D$12*VLOOKUP($C44,TabAlgFC,2,FALSE)+VLOOKUP($C44,TabAlgAll,2,FALSE)*Pesi!$D$13</f>
        <v>51.268399999999993</v>
      </c>
      <c r="N44" s="155">
        <f>IF(ISNA(MATCH($B44,Pesi!$B$31:$B$34,0)),VLOOKUP(Pesi!$B$34,TabAlgPor,13,FALSE)-((VLOOKUP(Pesi!$B$34,TabAlgPor,12,FALSE)-$M44)/(VLOOKUP(Pesi!$B$34,TabAlgPor,12,FALSE)-Pesi!$F$44))*VLOOKUP(Pesi!$B$34,TabAlgPor,13,FALSE),$K44*$M44/$J44)</f>
        <v>-7.2390583302848661</v>
      </c>
      <c r="O44" s="155">
        <f t="shared" si="4"/>
        <v>1</v>
      </c>
      <c r="P44">
        <f t="shared" si="5"/>
        <v>29</v>
      </c>
      <c r="Q44" t="e">
        <f>VLOOKUP(B44,'C.P.'!$A$2:$B$164,2,FALSE)</f>
        <v>#N/A</v>
      </c>
      <c r="R44" t="e">
        <f>VLOOKUP(B44,'C.P.'!$C$2:$D$164,2,FALSE)</f>
        <v>#N/A</v>
      </c>
      <c r="S44" t="e">
        <f>VLOOKUP(B44,'C.P.'!$E$2:$F$164,2,FALSE)</f>
        <v>#N/A</v>
      </c>
      <c r="T44" t="e">
        <f>VLOOKUP(B44,'C.P.'!$G$2:$H$164,2,FALSE)</f>
        <v>#N/A</v>
      </c>
    </row>
    <row r="45" spans="1:20">
      <c r="A45">
        <f ca="1">COUNTIF('I.A. + Fasce'!B$1:'I.A. + Fasce'!B$538,B44)</f>
        <v>1</v>
      </c>
      <c r="B45" s="199" t="s">
        <v>348</v>
      </c>
      <c r="C45" s="199" t="str">
        <f>VLOOKUP(B45,'IA FG'!$B$2:$G$534,6,FALSE)</f>
        <v>MIL</v>
      </c>
      <c r="D45" s="200">
        <v>7</v>
      </c>
      <c r="E45" s="201">
        <v>1</v>
      </c>
      <c r="F45" s="201">
        <v>6</v>
      </c>
      <c r="G45" s="201">
        <v>6</v>
      </c>
      <c r="H45" s="201">
        <v>6</v>
      </c>
      <c r="I45" s="201">
        <v>2</v>
      </c>
      <c r="J45" s="154">
        <f>$D45*Pesi!$B$5+Pesi!$B$6*$E45+$F45*Pesi!$B$7+Pesi!$B$8*$G45+$H45*Pesi!$B$9+Pesi!$B$10*$I45+VLOOKUP($C45,TabAlgSqu,2,FALSE)*Pesi!$B$11+Pesi!$B$12*VLOOKUP($C45,TabAlgFC,2,FALSE)+VLOOKUP($C45,TabAlgAll,2,FALSE)*Pesi!$B$13</f>
        <v>52.180700000000002</v>
      </c>
      <c r="K45" s="155">
        <f>IF(ISNA(MATCH($B45,Pesi!$B$31:$B$34,0)),VLOOKUP(Pesi!$B$34,TabAlgPor,10,FALSE)-((VLOOKUP(Pesi!$B$34,TabAlgPor,9,FALSE)-$J45)/(VLOOKUP(Pesi!$B$34,TabAlgPor,9,FALSE)-Pesi!$D$44))*VLOOKUP(Pesi!$B$34,TabAlgPor,10,FALSE),Pesi!$F$34*Pesi!$C$28)</f>
        <v>-7.180454925296381</v>
      </c>
      <c r="L45" s="155">
        <f t="shared" si="3"/>
        <v>1</v>
      </c>
      <c r="M45" s="154">
        <f>$D45*Pesi!$D$5+Pesi!$D$6*Portieri!$E53+Portieri!$F53*Pesi!$D$7+Pesi!$D$8*Portieri!$G53+Portieri!$H53*Pesi!$D$9+Pesi!$D$10*Portieri!$I53+VLOOKUP($C45,TabAlgSqu,2,FALSE)*Pesi!$D$11+Pesi!$D$12*VLOOKUP($C45,TabAlgFC,2,FALSE)+VLOOKUP($C45,TabAlgAll,2,FALSE)*Pesi!$D$13</f>
        <v>48.709900000000005</v>
      </c>
      <c r="N45" s="155">
        <f>IF(ISNA(MATCH($B45,Pesi!$B$31:$B$34,0)),VLOOKUP(Pesi!$B$34,TabAlgPor,13,FALSE)-((VLOOKUP(Pesi!$B$34,TabAlgPor,12,FALSE)-$M45)/(VLOOKUP(Pesi!$B$34,TabAlgPor,12,FALSE)-Pesi!$F$44))*VLOOKUP(Pesi!$B$34,TabAlgPor,13,FALSE),$K45*$M45/$J45)</f>
        <v>-9.3602194849453788</v>
      </c>
      <c r="O45" s="155">
        <f t="shared" si="4"/>
        <v>1</v>
      </c>
      <c r="P45">
        <f t="shared" si="5"/>
        <v>28</v>
      </c>
      <c r="Q45" t="e">
        <f>VLOOKUP(B45,'C.P.'!$A$2:$B$164,2,FALSE)</f>
        <v>#N/A</v>
      </c>
      <c r="R45" t="e">
        <f>VLOOKUP(B45,'C.P.'!$C$2:$D$164,2,FALSE)</f>
        <v>#N/A</v>
      </c>
      <c r="S45" t="e">
        <f>VLOOKUP(B45,'C.P.'!$E$2:$F$164,2,FALSE)</f>
        <v>#N/A</v>
      </c>
      <c r="T45" t="e">
        <f>VLOOKUP(B45,'C.P.'!$G$2:$H$164,2,FALSE)</f>
        <v>#N/A</v>
      </c>
    </row>
    <row r="46" spans="1:20" ht="12.75" customHeight="1">
      <c r="A46">
        <f ca="1">COUNTIF('I.A. + Fasce'!B$1:'I.A. + Fasce'!B$538,B45)</f>
        <v>1</v>
      </c>
      <c r="B46" s="442" t="s">
        <v>1934</v>
      </c>
      <c r="C46" s="199" t="str">
        <f>VLOOKUP(B46,'IA FG'!$B$2:$G$534,6,FALSE)</f>
        <v>FIO</v>
      </c>
      <c r="D46" s="200">
        <v>9</v>
      </c>
      <c r="E46" s="201">
        <v>1</v>
      </c>
      <c r="F46" s="201">
        <v>6</v>
      </c>
      <c r="G46" s="201">
        <v>6</v>
      </c>
      <c r="H46" s="201">
        <v>5</v>
      </c>
      <c r="I46" s="201">
        <v>2</v>
      </c>
      <c r="J46" s="154">
        <f>$D46*Pesi!$B$5+Pesi!$B$6*$E46+$F46*Pesi!$B$7+Pesi!$B$8*$G46+$H46*Pesi!$B$9+Pesi!$B$10*$I46+VLOOKUP($C46,TabAlgSqu,2,FALSE)*Pesi!$B$11+Pesi!$B$12*VLOOKUP($C46,TabAlgFC,2,FALSE)+VLOOKUP($C46,TabAlgAll,2,FALSE)*Pesi!$B$13</f>
        <v>51.6143</v>
      </c>
      <c r="K46" s="155">
        <f>IF(ISNA(MATCH($B46,Pesi!$B$31:$B$34,0)),VLOOKUP(Pesi!$B$34,TabAlgPor,10,FALSE)-((VLOOKUP(Pesi!$B$34,TabAlgPor,9,FALSE)-$J46)/(VLOOKUP(Pesi!$B$34,TabAlgPor,9,FALSE)-Pesi!$D$44))*VLOOKUP(Pesi!$B$34,TabAlgPor,10,FALSE),Pesi!$F$34*Pesi!$C$28)</f>
        <v>-7.700579446633057</v>
      </c>
      <c r="L46" s="155">
        <f t="shared" si="3"/>
        <v>1</v>
      </c>
      <c r="M46" s="154">
        <f>$D46*Pesi!$D$5+Pesi!$D$6*Portieri!$E65+Portieri!$F65*Pesi!$D$7+Pesi!$D$8*Portieri!$G65+Portieri!$H65*Pesi!$D$9+Pesi!$D$10*Portieri!$I65+VLOOKUP($C46,TabAlgSqu,2,FALSE)*Pesi!$D$11+Pesi!$D$12*VLOOKUP($C46,TabAlgFC,2,FALSE)+VLOOKUP($C46,TabAlgAll,2,FALSE)*Pesi!$D$13</f>
        <v>50.751800000000003</v>
      </c>
      <c r="N46" s="155">
        <f>IF(ISNA(MATCH($B46,Pesi!$B$31:$B$34,0)),VLOOKUP(Pesi!$B$34,TabAlgPor,13,FALSE)-((VLOOKUP(Pesi!$B$34,TabAlgPor,12,FALSE)-$M46)/(VLOOKUP(Pesi!$B$34,TabAlgPor,12,FALSE)-Pesi!$F$44))*VLOOKUP(Pesi!$B$34,TabAlgPor,13,FALSE),$K46*$M46/$J46)</f>
        <v>-7.6673529765610482</v>
      </c>
      <c r="O46" s="155">
        <f t="shared" si="4"/>
        <v>1</v>
      </c>
      <c r="P46">
        <f t="shared" si="5"/>
        <v>29</v>
      </c>
      <c r="Q46" t="e">
        <f>VLOOKUP(B46,'C.P.'!$A$2:$B$164,2,FALSE)</f>
        <v>#N/A</v>
      </c>
      <c r="R46" t="e">
        <f>VLOOKUP(B46,'C.P.'!$C$2:$D$164,2,FALSE)</f>
        <v>#N/A</v>
      </c>
      <c r="S46" t="e">
        <f>VLOOKUP(B46,'C.P.'!$E$2:$F$164,2,FALSE)</f>
        <v>#N/A</v>
      </c>
      <c r="T46" t="e">
        <f>VLOOKUP(B46,'C.P.'!$G$2:$H$164,2,FALSE)</f>
        <v>#N/A</v>
      </c>
    </row>
    <row r="47" spans="1:20">
      <c r="A47">
        <f ca="1">COUNTIF('I.A. + Fasce'!B$1:'I.A. + Fasce'!B$538,B46)</f>
        <v>1</v>
      </c>
      <c r="B47" s="199" t="s">
        <v>363</v>
      </c>
      <c r="C47" s="199" t="str">
        <f>VLOOKUP(B47,'IA FG'!$B$2:$G$534,6,FALSE)</f>
        <v>UDI</v>
      </c>
      <c r="D47" s="200">
        <v>8</v>
      </c>
      <c r="E47" s="201">
        <v>1</v>
      </c>
      <c r="F47" s="201">
        <v>7</v>
      </c>
      <c r="G47" s="201">
        <v>5</v>
      </c>
      <c r="H47" s="201">
        <v>6</v>
      </c>
      <c r="I47" s="201">
        <v>1</v>
      </c>
      <c r="J47" s="154">
        <f>$D47*Pesi!$B$5+Pesi!$B$6*$E47+$F47*Pesi!$B$7+Pesi!$B$8*$G47+$H47*Pesi!$B$9+Pesi!$B$10*$I47+VLOOKUP($C47,TabAlgSqu,2,FALSE)*Pesi!$B$11+Pesi!$B$12*VLOOKUP($C47,TabAlgFC,2,FALSE)+VLOOKUP($C47,TabAlgAll,2,FALSE)*Pesi!$B$13</f>
        <v>51.469200000000001</v>
      </c>
      <c r="K47" s="155">
        <f>IF(ISNA(MATCH($B47,Pesi!$B$31:$B$34,0)),VLOOKUP(Pesi!$B$34,TabAlgPor,10,FALSE)-((VLOOKUP(Pesi!$B$34,TabAlgPor,9,FALSE)-$J47)/(VLOOKUP(Pesi!$B$34,TabAlgPor,9,FALSE)-Pesi!$D$44))*VLOOKUP(Pesi!$B$34,TabAlgPor,10,FALSE),Pesi!$F$34*Pesi!$C$28)</f>
        <v>-7.8338246232678586</v>
      </c>
      <c r="L47" s="155">
        <f t="shared" si="3"/>
        <v>1</v>
      </c>
      <c r="M47" s="154">
        <f>$D47*Pesi!$D$5+Pesi!$D$6*Portieri!$E54+Portieri!$F54*Pesi!$D$7+Pesi!$D$8*Portieri!$G54+Portieri!$H54*Pesi!$D$9+Pesi!$D$10*Portieri!$I54+VLOOKUP($C47,TabAlgSqu,2,FALSE)*Pesi!$D$11+Pesi!$D$12*VLOOKUP($C47,TabAlgFC,2,FALSE)+VLOOKUP($C47,TabAlgAll,2,FALSE)*Pesi!$D$13</f>
        <v>50.969200000000001</v>
      </c>
      <c r="N47" s="155">
        <f>IF(ISNA(MATCH($B47,Pesi!$B$31:$B$34,0)),VLOOKUP(Pesi!$B$34,TabAlgPor,13,FALSE)-((VLOOKUP(Pesi!$B$34,TabAlgPor,12,FALSE)-$M47)/(VLOOKUP(Pesi!$B$34,TabAlgPor,12,FALSE)-Pesi!$F$44))*VLOOKUP(Pesi!$B$34,TabAlgPor,13,FALSE),$K47*$M47/$J47)</f>
        <v>-7.487114385580707</v>
      </c>
      <c r="O47" s="155">
        <f t="shared" si="4"/>
        <v>1</v>
      </c>
      <c r="P47">
        <f t="shared" si="5"/>
        <v>28</v>
      </c>
      <c r="Q47" t="e">
        <f>VLOOKUP(B47,'C.P.'!$A$2:$B$164,2,FALSE)</f>
        <v>#N/A</v>
      </c>
      <c r="R47" t="e">
        <f>VLOOKUP(B47,'C.P.'!$C$2:$D$164,2,FALSE)</f>
        <v>#N/A</v>
      </c>
      <c r="S47" t="e">
        <f>VLOOKUP(B47,'C.P.'!$E$2:$F$164,2,FALSE)</f>
        <v>#N/A</v>
      </c>
      <c r="T47" t="e">
        <f>VLOOKUP(B47,'C.P.'!$G$2:$H$164,2,FALSE)</f>
        <v>#N/A</v>
      </c>
    </row>
    <row r="48" spans="1:20">
      <c r="A48">
        <f ca="1">COUNTIF('I.A. + Fasce'!B$1:'I.A. + Fasce'!B$538,B47)</f>
        <v>0</v>
      </c>
      <c r="B48" s="199" t="s">
        <v>921</v>
      </c>
      <c r="C48" s="199" t="str">
        <f>VLOOKUP(B48,'IA FG'!$B$2:$G$534,6,FALSE)</f>
        <v>SAS</v>
      </c>
      <c r="D48" s="200">
        <v>8</v>
      </c>
      <c r="E48" s="201">
        <v>1</v>
      </c>
      <c r="F48" s="201">
        <v>6</v>
      </c>
      <c r="G48" s="201">
        <v>6</v>
      </c>
      <c r="H48" s="201">
        <v>6</v>
      </c>
      <c r="I48" s="201">
        <v>2</v>
      </c>
      <c r="J48" s="154">
        <f>$D48*Pesi!$B$5+Pesi!$B$6*$E48+$F48*Pesi!$B$7+Pesi!$B$8*$G48+$H48*Pesi!$B$9+Pesi!$B$10*$I48+VLOOKUP($C48,TabAlgSqu,2,FALSE)*Pesi!$B$11+Pesi!$B$12*VLOOKUP($C48,TabAlgFC,2,FALSE)+VLOOKUP($C48,TabAlgAll,2,FALSE)*Pesi!$B$13</f>
        <v>51.23</v>
      </c>
      <c r="K48" s="155">
        <f>IF(ISNA(MATCH($B48,Pesi!$B$31:$B$34,0)),VLOOKUP(Pesi!$B$34,TabAlgPor,10,FALSE)-((VLOOKUP(Pesi!$B$34,TabAlgPor,9,FALSE)-$J48)/(VLOOKUP(Pesi!$B$34,TabAlgPor,9,FALSE)-Pesi!$D$44))*VLOOKUP(Pesi!$B$34,TabAlgPor,10,FALSE),Pesi!$F$34*Pesi!$C$28)</f>
        <v>-8.053481730442531</v>
      </c>
      <c r="L48" s="155">
        <f t="shared" si="3"/>
        <v>1</v>
      </c>
      <c r="M48" s="154">
        <f>$D48*Pesi!$D$5+Pesi!$D$6*Portieri!$E49+Portieri!$F49*Pesi!$D$7+Pesi!$D$8*Portieri!$G49+Portieri!$H49*Pesi!$D$9+Pesi!$D$10*Portieri!$I49+VLOOKUP($C48,TabAlgSqu,2,FALSE)*Pesi!$D$11+Pesi!$D$12*VLOOKUP($C48,TabAlgFC,2,FALSE)+VLOOKUP($C48,TabAlgAll,2,FALSE)*Pesi!$D$13</f>
        <v>61.967400000000005</v>
      </c>
      <c r="N48" s="155">
        <f>IF(ISNA(MATCH($B48,Pesi!$B$31:$B$34,0)),VLOOKUP(Pesi!$B$34,TabAlgPor,13,FALSE)-((VLOOKUP(Pesi!$B$34,TabAlgPor,12,FALSE)-$M48)/(VLOOKUP(Pesi!$B$34,TabAlgPor,12,FALSE)-Pesi!$F$44))*VLOOKUP(Pesi!$B$34,TabAlgPor,13,FALSE),$K48*$M48/$J48)</f>
        <v>1.6311012138671579</v>
      </c>
      <c r="O48" s="155">
        <f t="shared" si="4"/>
        <v>1.6311012138671579</v>
      </c>
      <c r="P48">
        <f t="shared" si="5"/>
        <v>29</v>
      </c>
      <c r="Q48" t="e">
        <f>VLOOKUP(B48,'C.P.'!$A$2:$B$164,2,FALSE)</f>
        <v>#N/A</v>
      </c>
      <c r="R48" t="e">
        <f>VLOOKUP(B48,'C.P.'!$C$2:$D$164,2,FALSE)</f>
        <v>#N/A</v>
      </c>
      <c r="S48" t="e">
        <f>VLOOKUP(B48,'C.P.'!$E$2:$F$164,2,FALSE)</f>
        <v>#N/A</v>
      </c>
      <c r="T48" t="e">
        <f>VLOOKUP(B48,'C.P.'!$G$2:$H$164,2,FALSE)</f>
        <v>#N/A</v>
      </c>
    </row>
    <row r="49" spans="1:21">
      <c r="A49">
        <f ca="1">COUNTIF('I.A. + Fasce'!B$1:'I.A. + Fasce'!B$538,B48)</f>
        <v>1</v>
      </c>
      <c r="B49" s="199" t="s">
        <v>1678</v>
      </c>
      <c r="C49" s="199" t="str">
        <f>VLOOKUP(B49,'IA FG'!$B$2:$G$534,6,FALSE)</f>
        <v>BEN</v>
      </c>
      <c r="D49" s="200">
        <v>7</v>
      </c>
      <c r="E49" s="201">
        <v>8</v>
      </c>
      <c r="F49" s="201">
        <v>6</v>
      </c>
      <c r="G49" s="201">
        <v>5</v>
      </c>
      <c r="H49" s="201">
        <v>6</v>
      </c>
      <c r="I49" s="201">
        <v>5</v>
      </c>
      <c r="J49" s="154">
        <f>$D49*Pesi!$B$5+Pesi!$B$6*$E49+$F49*Pesi!$B$7+Pesi!$B$8*$G49+$H49*Pesi!$B$9+Pesi!$B$10*$I49+VLOOKUP($C49,TabAlgSqu,2,FALSE)*Pesi!$B$11+Pesi!$B$12*VLOOKUP($C49,TabAlgFC,2,FALSE)+VLOOKUP($C49,TabAlgAll,2,FALSE)*Pesi!$B$13</f>
        <v>51.195099999999996</v>
      </c>
      <c r="K49" s="155">
        <f>IF(ISNA(MATCH($B49,Pesi!$B$31:$B$34,0)),VLOOKUP(Pesi!$B$34,TabAlgPor,10,FALSE)-((VLOOKUP(Pesi!$B$34,TabAlgPor,9,FALSE)-$J49)/(VLOOKUP(Pesi!$B$34,TabAlgPor,9,FALSE)-Pesi!$D$44))*VLOOKUP(Pesi!$B$34,TabAlgPor,10,FALSE),Pesi!$F$34*Pesi!$C$28)</f>
        <v>-8.0855303635545575</v>
      </c>
      <c r="L49" s="155">
        <f t="shared" si="3"/>
        <v>1</v>
      </c>
      <c r="M49" s="154">
        <f>$D49*Pesi!$D$5+Pesi!$D$6*Portieri!$E22+Portieri!$F22*Pesi!$D$7+Pesi!$D$8*Portieri!$G22+Portieri!$H22*Pesi!$D$9+Pesi!$D$10*Portieri!$I22+VLOOKUP($C49,TabAlgSqu,2,FALSE)*Pesi!$D$11+Pesi!$D$12*VLOOKUP($C49,TabAlgFC,2,FALSE)+VLOOKUP($C49,TabAlgAll,2,FALSE)*Pesi!$D$13</f>
        <v>51.361799999999995</v>
      </c>
      <c r="N49" s="155">
        <f>IF(ISNA(MATCH($B49,Pesi!$B$31:$B$34,0)),VLOOKUP(Pesi!$B$34,TabAlgPor,13,FALSE)-((VLOOKUP(Pesi!$B$34,TabAlgPor,12,FALSE)-$M49)/(VLOOKUP(Pesi!$B$34,TabAlgPor,12,FALSE)-Pesi!$F$44))*VLOOKUP(Pesi!$B$34,TabAlgPor,13,FALSE),$K49*$M49/$J49)</f>
        <v>-7.1616237194405059</v>
      </c>
      <c r="O49" s="155">
        <f t="shared" si="4"/>
        <v>1</v>
      </c>
      <c r="P49">
        <f t="shared" si="5"/>
        <v>37</v>
      </c>
      <c r="Q49" t="e">
        <f>VLOOKUP(B49,'C.P.'!$A$2:$B$164,2,FALSE)</f>
        <v>#N/A</v>
      </c>
      <c r="R49" t="e">
        <f>VLOOKUP(B49,'C.P.'!$C$2:$D$164,2,FALSE)</f>
        <v>#N/A</v>
      </c>
      <c r="S49" t="e">
        <f>VLOOKUP(B49,'C.P.'!$E$2:$F$164,2,FALSE)</f>
        <v>#N/A</v>
      </c>
      <c r="T49" t="e">
        <f>VLOOKUP(B49,'C.P.'!$G$2:$H$164,2,FALSE)</f>
        <v>#N/A</v>
      </c>
      <c r="U49" s="156"/>
    </row>
    <row r="50" spans="1:21">
      <c r="A50">
        <f ca="1">COUNTIF('I.A. + Fasce'!B$1:'I.A. + Fasce'!B$538,B49)</f>
        <v>1</v>
      </c>
      <c r="B50" s="199" t="s">
        <v>448</v>
      </c>
      <c r="C50" s="199" t="str">
        <f>VLOOKUP(B50,'IA FG'!$B$2:$G$534,6,FALSE)</f>
        <v>GEN</v>
      </c>
      <c r="D50" s="200">
        <v>8</v>
      </c>
      <c r="E50" s="201">
        <v>1</v>
      </c>
      <c r="F50" s="201">
        <v>6</v>
      </c>
      <c r="G50" s="201">
        <v>6</v>
      </c>
      <c r="H50" s="201">
        <v>7</v>
      </c>
      <c r="I50" s="201">
        <v>1</v>
      </c>
      <c r="J50" s="154">
        <f>$D50*Pesi!$B$5+Pesi!$B$6*$E50+$F50*Pesi!$B$7+Pesi!$B$8*$G50+$H50*Pesi!$B$9+Pesi!$B$10*$I50+VLOOKUP($C50,TabAlgSqu,2,FALSE)*Pesi!$B$11+Pesi!$B$12*VLOOKUP($C50,TabAlgFC,2,FALSE)+VLOOKUP($C50,TabAlgAll,2,FALSE)*Pesi!$B$13</f>
        <v>51.014699999999998</v>
      </c>
      <c r="K50" s="155">
        <f>IF(ISNA(MATCH($B50,Pesi!$B$31:$B$34,0)),VLOOKUP(Pesi!$B$34,TabAlgPor,10,FALSE)-((VLOOKUP(Pesi!$B$34,TabAlgPor,9,FALSE)-$J50)/(VLOOKUP(Pesi!$B$34,TabAlgPor,9,FALSE)-Pesi!$D$44))*VLOOKUP(Pesi!$B$34,TabAlgPor,10,FALSE),Pesi!$F$34*Pesi!$C$28)</f>
        <v>-8.2511914928785934</v>
      </c>
      <c r="L50" s="155">
        <f t="shared" si="3"/>
        <v>1</v>
      </c>
      <c r="M50" s="154">
        <f>$D50*Pesi!$D$5+Pesi!$D$6*Portieri!$E51+Portieri!$F51*Pesi!$D$7+Pesi!$D$8*Portieri!$G51+Portieri!$H51*Pesi!$D$9+Pesi!$D$10*Portieri!$I51+VLOOKUP($C50,TabAlgSqu,2,FALSE)*Pesi!$D$11+Pesi!$D$12*VLOOKUP($C50,TabAlgFC,2,FALSE)+VLOOKUP($C50,TabAlgAll,2,FALSE)*Pesi!$D$13</f>
        <v>51.818799999999996</v>
      </c>
      <c r="N50" s="155">
        <f>IF(ISNA(MATCH($B50,Pesi!$B$31:$B$34,0)),VLOOKUP(Pesi!$B$34,TabAlgPor,13,FALSE)-((VLOOKUP(Pesi!$B$34,TabAlgPor,12,FALSE)-$M50)/(VLOOKUP(Pesi!$B$34,TabAlgPor,12,FALSE)-Pesi!$F$44))*VLOOKUP(Pesi!$B$34,TabAlgPor,13,FALSE),$K50*$M50/$J50)</f>
        <v>-6.7827413087780641</v>
      </c>
      <c r="O50" s="155">
        <f t="shared" si="4"/>
        <v>1</v>
      </c>
      <c r="P50">
        <f t="shared" si="5"/>
        <v>29</v>
      </c>
      <c r="Q50" t="e">
        <f>VLOOKUP(B50,'C.P.'!$A$2:$B$164,2,FALSE)</f>
        <v>#N/A</v>
      </c>
      <c r="R50" t="e">
        <f>VLOOKUP(B50,'C.P.'!$C$2:$D$164,2,FALSE)</f>
        <v>#N/A</v>
      </c>
      <c r="S50" t="e">
        <f>VLOOKUP(B50,'C.P.'!$E$2:$F$164,2,FALSE)</f>
        <v>#N/A</v>
      </c>
      <c r="T50" t="e">
        <f>VLOOKUP(B50,'C.P.'!$G$2:$H$164,2,FALSE)</f>
        <v>#N/A</v>
      </c>
    </row>
    <row r="51" spans="1:21">
      <c r="A51">
        <f ca="1">COUNTIF('I.A. + Fasce'!B$1:'I.A. + Fasce'!B$538,B50)</f>
        <v>1</v>
      </c>
      <c r="B51" s="199" t="s">
        <v>342</v>
      </c>
      <c r="C51" s="199" t="str">
        <f>VLOOKUP(B51,'IA FG'!$B$2:$G$534,6,FALSE)</f>
        <v>CRO</v>
      </c>
      <c r="D51" s="200">
        <v>8</v>
      </c>
      <c r="E51" s="201">
        <v>1</v>
      </c>
      <c r="F51" s="201">
        <v>7</v>
      </c>
      <c r="G51" s="201">
        <v>6</v>
      </c>
      <c r="H51" s="201">
        <v>4</v>
      </c>
      <c r="I51" s="201">
        <v>3</v>
      </c>
      <c r="J51" s="154">
        <f>$D51*Pesi!$B$5+Pesi!$B$6*$E51+$F51*Pesi!$B$7+Pesi!$B$8*$G51+$H51*Pesi!$B$9+Pesi!$B$10*$I51+VLOOKUP($C51,TabAlgSqu,2,FALSE)*Pesi!$B$11+Pesi!$B$12*VLOOKUP($C51,TabAlgFC,2,FALSE)+VLOOKUP($C51,TabAlgAll,2,FALSE)*Pesi!$B$13</f>
        <v>50.925799999999995</v>
      </c>
      <c r="K51" s="155">
        <f>IF(ISNA(MATCH($B51,Pesi!$B$31:$B$34,0)),VLOOKUP(Pesi!$B$34,TabAlgPor,10,FALSE)-((VLOOKUP(Pesi!$B$34,TabAlgPor,9,FALSE)-$J51)/(VLOOKUP(Pesi!$B$34,TabAlgPor,9,FALSE)-Pesi!$D$44))*VLOOKUP(Pesi!$B$34,TabAlgPor,10,FALSE),Pesi!$F$34*Pesi!$C$28)</f>
        <v>-8.3328282689146675</v>
      </c>
      <c r="L51" s="155">
        <f t="shared" si="3"/>
        <v>1</v>
      </c>
      <c r="M51" s="154">
        <f>$D51*Pesi!$D$5+Pesi!$D$6*Portieri!$E46+Portieri!$F46*Pesi!$D$7+Pesi!$D$8*Portieri!$G46+Portieri!$H46*Pesi!$D$9+Pesi!$D$10*Portieri!$I46+VLOOKUP($C51,TabAlgSqu,2,FALSE)*Pesi!$D$11+Pesi!$D$12*VLOOKUP($C51,TabAlgFC,2,FALSE)+VLOOKUP($C51,TabAlgAll,2,FALSE)*Pesi!$D$13</f>
        <v>50.53</v>
      </c>
      <c r="N51" s="155">
        <f>IF(ISNA(MATCH($B51,Pesi!$B$31:$B$34,0)),VLOOKUP(Pesi!$B$34,TabAlgPor,13,FALSE)-((VLOOKUP(Pesi!$B$34,TabAlgPor,12,FALSE)-$M51)/(VLOOKUP(Pesi!$B$34,TabAlgPor,12,FALSE)-Pesi!$F$44))*VLOOKUP(Pesi!$B$34,TabAlgPor,13,FALSE),$K51*$M51/$J51)</f>
        <v>-7.851239450707503</v>
      </c>
      <c r="O51" s="155">
        <f t="shared" si="4"/>
        <v>1</v>
      </c>
      <c r="P51">
        <f t="shared" si="5"/>
        <v>29</v>
      </c>
      <c r="Q51" t="e">
        <f>VLOOKUP(B51,'C.P.'!$A$2:$B$164,2,FALSE)</f>
        <v>#N/A</v>
      </c>
      <c r="R51" t="e">
        <f>VLOOKUP(B51,'C.P.'!$C$2:$D$164,2,FALSE)</f>
        <v>#N/A</v>
      </c>
      <c r="S51" t="e">
        <f>VLOOKUP(B51,'C.P.'!$E$2:$F$164,2,FALSE)</f>
        <v>#N/A</v>
      </c>
      <c r="T51" t="e">
        <f>VLOOKUP(B51,'C.P.'!$G$2:$H$164,2,FALSE)</f>
        <v>#N/A</v>
      </c>
    </row>
    <row r="52" spans="1:21">
      <c r="A52">
        <f ca="1">COUNTIF('I.A. + Fasce'!B$1:'I.A. + Fasce'!B$538,B51)</f>
        <v>1</v>
      </c>
      <c r="B52" s="199" t="s">
        <v>885</v>
      </c>
      <c r="C52" s="199" t="str">
        <f>VLOOKUP(B52,'IA FG'!$B$2:$G$534,6,FALSE)</f>
        <v>INT</v>
      </c>
      <c r="D52" s="200">
        <v>7</v>
      </c>
      <c r="E52" s="201">
        <v>2</v>
      </c>
      <c r="F52" s="201">
        <v>6</v>
      </c>
      <c r="G52" s="201">
        <v>5</v>
      </c>
      <c r="H52" s="201">
        <v>6</v>
      </c>
      <c r="I52" s="201">
        <v>2</v>
      </c>
      <c r="J52" s="154">
        <f>$D52*Pesi!$B$5+Pesi!$B$6*$E52+$F52*Pesi!$B$7+Pesi!$B$8*$G52+$H52*Pesi!$B$9+Pesi!$B$10*$I52+VLOOKUP($C52,TabAlgSqu,2,FALSE)*Pesi!$B$11+Pesi!$B$12*VLOOKUP($C52,TabAlgFC,2,FALSE)+VLOOKUP($C52,TabAlgAll,2,FALSE)*Pesi!$B$13</f>
        <v>50.040199999999999</v>
      </c>
      <c r="K52" s="155">
        <f>IF(ISNA(MATCH($B52,Pesi!$B$31:$B$34,0)),VLOOKUP(Pesi!$B$34,TabAlgPor,10,FALSE)-((VLOOKUP(Pesi!$B$34,TabAlgPor,9,FALSE)-$J52)/(VLOOKUP(Pesi!$B$34,TabAlgPor,9,FALSE)-Pesi!$D$44))*VLOOKUP(Pesi!$B$34,TabAlgPor,10,FALSE),Pesi!$F$34*Pesi!$C$28)</f>
        <v>-9.1460738128690444</v>
      </c>
      <c r="L52" s="155">
        <f t="shared" si="3"/>
        <v>1</v>
      </c>
      <c r="M52" s="154">
        <f>$D52*Pesi!$D$5+Pesi!$D$6*Portieri!$E52+Portieri!$F52*Pesi!$D$7+Pesi!$D$8*Portieri!$G52+Portieri!$H52*Pesi!$D$9+Pesi!$D$10*Portieri!$I52+VLOOKUP($C52,TabAlgSqu,2,FALSE)*Pesi!$D$11+Pesi!$D$12*VLOOKUP($C52,TabAlgFC,2,FALSE)+VLOOKUP($C52,TabAlgAll,2,FALSE)*Pesi!$D$13</f>
        <v>50.940199999999997</v>
      </c>
      <c r="N52" s="155">
        <f>IF(ISNA(MATCH($B52,Pesi!$B$31:$B$34,0)),VLOOKUP(Pesi!$B$34,TabAlgPor,13,FALSE)-((VLOOKUP(Pesi!$B$34,TabAlgPor,12,FALSE)-$M52)/(VLOOKUP(Pesi!$B$34,TabAlgPor,12,FALSE)-Pesi!$F$44))*VLOOKUP(Pesi!$B$34,TabAlgPor,13,FALSE),$K52*$M52/$J52)</f>
        <v>-7.5111572519028371</v>
      </c>
      <c r="O52" s="155">
        <f t="shared" si="4"/>
        <v>1</v>
      </c>
      <c r="P52">
        <f t="shared" si="5"/>
        <v>28</v>
      </c>
      <c r="Q52" t="e">
        <f>VLOOKUP(B52,'C.P.'!$A$2:$B$164,2,FALSE)</f>
        <v>#N/A</v>
      </c>
      <c r="R52" t="e">
        <f>VLOOKUP(B52,'C.P.'!$C$2:$D$164,2,FALSE)</f>
        <v>#N/A</v>
      </c>
      <c r="S52" t="e">
        <f>VLOOKUP(B52,'C.P.'!$E$2:$F$164,2,FALSE)</f>
        <v>#N/A</v>
      </c>
      <c r="T52" t="e">
        <f>VLOOKUP(B52,'C.P.'!$G$2:$H$164,2,FALSE)</f>
        <v>#N/A</v>
      </c>
    </row>
    <row r="53" spans="1:21">
      <c r="A53">
        <f ca="1">COUNTIF('I.A. + Fasce'!B$1:'I.A. + Fasce'!B$538,B52)</f>
        <v>1</v>
      </c>
      <c r="B53" s="199" t="s">
        <v>1688</v>
      </c>
      <c r="C53" s="199" t="str">
        <f>VLOOKUP(B53,'IA FG'!$B$2:$G$534,6,FALSE)</f>
        <v>CHI</v>
      </c>
      <c r="D53" s="200">
        <v>8</v>
      </c>
      <c r="E53" s="201">
        <v>2</v>
      </c>
      <c r="F53" s="201">
        <v>6</v>
      </c>
      <c r="G53" s="201">
        <v>5</v>
      </c>
      <c r="H53" s="201">
        <v>4</v>
      </c>
      <c r="I53" s="201">
        <v>1</v>
      </c>
      <c r="J53" s="154">
        <f>$D53*Pesi!$B$5+Pesi!$B$6*$E53+$F53*Pesi!$B$7+Pesi!$B$8*$G53+$H53*Pesi!$B$9+Pesi!$B$10*$I53+VLOOKUP($C53,TabAlgSqu,2,FALSE)*Pesi!$B$11+Pesi!$B$12*VLOOKUP($C53,TabAlgFC,2,FALSE)+VLOOKUP($C53,TabAlgAll,2,FALSE)*Pesi!$B$13</f>
        <v>49.592700000000001</v>
      </c>
      <c r="K53" s="155">
        <f>IF(ISNA(MATCH($B53,Pesi!$B$31:$B$34,0)),VLOOKUP(Pesi!$B$34,TabAlgPor,10,FALSE)-((VLOOKUP(Pesi!$B$34,TabAlgPor,9,FALSE)-$J53)/(VLOOKUP(Pesi!$B$34,TabAlgPor,9,FALSE)-Pesi!$D$44))*VLOOKUP(Pesi!$B$34,TabAlgPor,10,FALSE),Pesi!$F$34*Pesi!$C$28)</f>
        <v>-9.5570125898785108</v>
      </c>
      <c r="L53" s="155">
        <f t="shared" si="3"/>
        <v>1</v>
      </c>
      <c r="M53" s="154">
        <f>$D53*Pesi!$D$5+Pesi!$D$6*Portieri!$E57+Portieri!$F57*Pesi!$D$7+Pesi!$D$8*Portieri!$G57+Portieri!$H57*Pesi!$D$9+Pesi!$D$10*Portieri!$I57+VLOOKUP($C53,TabAlgSqu,2,FALSE)*Pesi!$D$11+Pesi!$D$12*VLOOKUP($C53,TabAlgFC,2,FALSE)+VLOOKUP($C53,TabAlgAll,2,FALSE)*Pesi!$D$13</f>
        <v>51.817700000000002</v>
      </c>
      <c r="N53" s="155">
        <f>IF(ISNA(MATCH($B53,Pesi!$B$31:$B$34,0)),VLOOKUP(Pesi!$B$34,TabAlgPor,13,FALSE)-((VLOOKUP(Pesi!$B$34,TabAlgPor,12,FALSE)-$M53)/(VLOOKUP(Pesi!$B$34,TabAlgPor,12,FALSE)-Pesi!$F$44))*VLOOKUP(Pesi!$B$34,TabAlgPor,13,FALSE),$K53*$M53/$J53)</f>
        <v>-6.7836532795695845</v>
      </c>
      <c r="O53" s="155">
        <f t="shared" si="4"/>
        <v>1</v>
      </c>
      <c r="P53">
        <f t="shared" si="5"/>
        <v>26</v>
      </c>
      <c r="Q53" t="e">
        <f>VLOOKUP(B53,'C.P.'!$A$2:$B$164,2,FALSE)</f>
        <v>#N/A</v>
      </c>
      <c r="R53" t="e">
        <f>VLOOKUP(B53,'C.P.'!$C$2:$D$164,2,FALSE)</f>
        <v>#N/A</v>
      </c>
      <c r="S53" t="e">
        <f>VLOOKUP(B53,'C.P.'!$E$2:$F$164,2,FALSE)</f>
        <v>#N/A</v>
      </c>
      <c r="T53" t="e">
        <f>VLOOKUP(B53,'C.P.'!$G$2:$H$164,2,FALSE)</f>
        <v>#N/A</v>
      </c>
    </row>
    <row r="54" spans="1:21">
      <c r="A54">
        <f ca="1">COUNTIF('I.A. + Fasce'!B$1:'I.A. + Fasce'!B$538,B53)</f>
        <v>1</v>
      </c>
      <c r="B54" s="199" t="s">
        <v>439</v>
      </c>
      <c r="C54" s="199" t="str">
        <f>VLOOKUP(B54,'IA FG'!$B$2:$G$534,6,FALSE)</f>
        <v>SAM</v>
      </c>
      <c r="D54" s="200">
        <v>8</v>
      </c>
      <c r="E54" s="201">
        <v>1</v>
      </c>
      <c r="F54" s="201">
        <v>6</v>
      </c>
      <c r="G54" s="201">
        <v>5</v>
      </c>
      <c r="H54" s="201">
        <v>6</v>
      </c>
      <c r="I54" s="201">
        <v>1</v>
      </c>
      <c r="J54" s="154">
        <f>$D54*Pesi!$B$5+Pesi!$B$6*$E54+$F54*Pesi!$B$7+Pesi!$B$8*$G54+$H54*Pesi!$B$9+Pesi!$B$10*$I54+VLOOKUP($C54,TabAlgSqu,2,FALSE)*Pesi!$B$11+Pesi!$B$12*VLOOKUP($C54,TabAlgFC,2,FALSE)+VLOOKUP($C54,TabAlgAll,2,FALSE)*Pesi!$B$13</f>
        <v>49.101200000000006</v>
      </c>
      <c r="K54" s="155">
        <f>IF(ISNA(MATCH($B54,Pesi!$B$31:$B$34,0)),VLOOKUP(Pesi!$B$34,TabAlgPor,10,FALSE)-((VLOOKUP(Pesi!$B$34,TabAlgPor,9,FALSE)-$J54)/(VLOOKUP(Pesi!$B$34,TabAlgPor,9,FALSE)-Pesi!$D$44))*VLOOKUP(Pesi!$B$34,TabAlgPor,10,FALSE),Pesi!$F$34*Pesi!$C$28)</f>
        <v>-10.008356520381643</v>
      </c>
      <c r="L54" s="155">
        <f t="shared" si="3"/>
        <v>1</v>
      </c>
      <c r="M54" s="154">
        <f>$D54*Pesi!$D$5+Pesi!$D$6*Portieri!$E56+Portieri!$F56*Pesi!$D$7+Pesi!$D$8*Portieri!$G56+Portieri!$H56*Pesi!$D$9+Pesi!$D$10*Portieri!$I56+VLOOKUP($C54,TabAlgSqu,2,FALSE)*Pesi!$D$11+Pesi!$D$12*VLOOKUP($C54,TabAlgFC,2,FALSE)+VLOOKUP($C54,TabAlgAll,2,FALSE)*Pesi!$D$13</f>
        <v>57.726100000000002</v>
      </c>
      <c r="N54" s="155">
        <f>IF(ISNA(MATCH($B54,Pesi!$B$31:$B$34,0)),VLOOKUP(Pesi!$B$34,TabAlgPor,13,FALSE)-((VLOOKUP(Pesi!$B$34,TabAlgPor,12,FALSE)-$M54)/(VLOOKUP(Pesi!$B$34,TabAlgPor,12,FALSE)-Pesi!$F$44))*VLOOKUP(Pesi!$B$34,TabAlgPor,13,FALSE),$K54*$M54/$J54)</f>
        <v>-1.8852094389613256</v>
      </c>
      <c r="O54" s="155">
        <f t="shared" si="4"/>
        <v>1</v>
      </c>
      <c r="P54">
        <f t="shared" si="5"/>
        <v>27</v>
      </c>
      <c r="Q54" t="e">
        <f>VLOOKUP(B54,'C.P.'!$A$2:$B$164,2,FALSE)</f>
        <v>#N/A</v>
      </c>
      <c r="R54" t="e">
        <f>VLOOKUP(B54,'C.P.'!$C$2:$D$164,2,FALSE)</f>
        <v>#N/A</v>
      </c>
      <c r="S54" t="e">
        <f>VLOOKUP(B54,'C.P.'!$E$2:$F$164,2,FALSE)</f>
        <v>#N/A</v>
      </c>
      <c r="T54" t="e">
        <f>VLOOKUP(B54,'C.P.'!$G$2:$H$164,2,FALSE)</f>
        <v>#N/A</v>
      </c>
    </row>
    <row r="55" spans="1:21">
      <c r="A55">
        <f ca="1">COUNTIF('I.A. + Fasce'!B$1:'I.A. + Fasce'!B$538,B54)</f>
        <v>1</v>
      </c>
      <c r="B55" s="199" t="s">
        <v>373</v>
      </c>
      <c r="C55" s="199" t="str">
        <f>VLOOKUP(B55,'IA FG'!$B$2:$G$534,6,FALSE)</f>
        <v>LAZ</v>
      </c>
      <c r="D55" s="200">
        <v>4</v>
      </c>
      <c r="E55" s="201">
        <v>2</v>
      </c>
      <c r="F55" s="201">
        <v>6</v>
      </c>
      <c r="G55" s="201">
        <v>6</v>
      </c>
      <c r="H55" s="201">
        <v>6</v>
      </c>
      <c r="I55" s="201">
        <v>2</v>
      </c>
      <c r="J55" s="154">
        <f>$D55*Pesi!$B$5+Pesi!$B$6*$E55+$F55*Pesi!$B$7+Pesi!$B$8*$G55+$H55*Pesi!$B$9+Pesi!$B$10*$I55+VLOOKUP($C55,TabAlgSqu,2,FALSE)*Pesi!$B$11+Pesi!$B$12*VLOOKUP($C55,TabAlgFC,2,FALSE)+VLOOKUP($C55,TabAlgAll,2,FALSE)*Pesi!$B$13</f>
        <v>48.314299999999996</v>
      </c>
      <c r="K55" s="155">
        <f>IF(ISNA(MATCH($B55,Pesi!$B$31:$B$34,0)),VLOOKUP(Pesi!$B$34,TabAlgPor,10,FALSE)-((VLOOKUP(Pesi!$B$34,TabAlgPor,9,FALSE)-$J55)/(VLOOKUP(Pesi!$B$34,TabAlgPor,9,FALSE)-Pesi!$D$44))*VLOOKUP(Pesi!$B$34,TabAlgPor,10,FALSE),Pesi!$F$34*Pesi!$C$28)</f>
        <v>-10.730965958658189</v>
      </c>
      <c r="L55" s="155">
        <f t="shared" si="3"/>
        <v>1</v>
      </c>
      <c r="M55" s="154">
        <f>$D55*Pesi!$D$5+Pesi!$D$6*Portieri!$E58+Portieri!$F58*Pesi!$D$7+Pesi!$D$8*Portieri!$G58+Portieri!$H58*Pesi!$D$9+Pesi!$D$10*Portieri!$I58+VLOOKUP($C55,TabAlgSqu,2,FALSE)*Pesi!$D$11+Pesi!$D$12*VLOOKUP($C55,TabAlgFC,2,FALSE)+VLOOKUP($C55,TabAlgAll,2,FALSE)*Pesi!$D$13</f>
        <v>51.272599999999997</v>
      </c>
      <c r="N55" s="155">
        <f>IF(ISNA(MATCH($B55,Pesi!$B$31:$B$34,0)),VLOOKUP(Pesi!$B$34,TabAlgPor,13,FALSE)-((VLOOKUP(Pesi!$B$34,TabAlgPor,12,FALSE)-$M55)/(VLOOKUP(Pesi!$B$34,TabAlgPor,12,FALSE)-Pesi!$F$44))*VLOOKUP(Pesi!$B$34,TabAlgPor,13,FALSE),$K55*$M55/$J55)</f>
        <v>-7.2355762599899371</v>
      </c>
      <c r="O55" s="155">
        <f t="shared" si="4"/>
        <v>1</v>
      </c>
      <c r="P55">
        <f t="shared" si="5"/>
        <v>26</v>
      </c>
      <c r="Q55" t="e">
        <f>VLOOKUP(B55,'C.P.'!$A$2:$B$164,2,FALSE)</f>
        <v>#N/A</v>
      </c>
      <c r="R55" t="e">
        <f>VLOOKUP(B55,'C.P.'!$C$2:$D$164,2,FALSE)</f>
        <v>#N/A</v>
      </c>
      <c r="S55" t="e">
        <f>VLOOKUP(B55,'C.P.'!$E$2:$F$164,2,FALSE)</f>
        <v>#N/A</v>
      </c>
      <c r="T55" t="e">
        <f>VLOOKUP(B55,'C.P.'!$G$2:$H$164,2,FALSE)</f>
        <v>#N/A</v>
      </c>
    </row>
    <row r="56" spans="1:21">
      <c r="A56">
        <f ca="1">COUNTIF('I.A. + Fasce'!B$1:'I.A. + Fasce'!B$538,B55)</f>
        <v>1</v>
      </c>
      <c r="B56" s="199" t="s">
        <v>1920</v>
      </c>
      <c r="C56" s="199" t="str">
        <f>VLOOKUP(B56,'IA FG'!$B$2:$G$534,6,FALSE)</f>
        <v>BEN</v>
      </c>
      <c r="D56" s="200">
        <v>8</v>
      </c>
      <c r="E56" s="201">
        <v>5</v>
      </c>
      <c r="F56" s="201">
        <v>6</v>
      </c>
      <c r="G56" s="201">
        <v>6</v>
      </c>
      <c r="H56" s="201">
        <v>5</v>
      </c>
      <c r="I56" s="201">
        <v>4</v>
      </c>
      <c r="J56" s="154">
        <f>$D56*Pesi!$B$5+Pesi!$B$6*$E56+$F56*Pesi!$B$7+Pesi!$B$8*$G56+$H56*Pesi!$B$9+Pesi!$B$10*$I56+VLOOKUP($C56,TabAlgSqu,2,FALSE)*Pesi!$B$11+Pesi!$B$12*VLOOKUP($C56,TabAlgFC,2,FALSE)+VLOOKUP($C56,TabAlgAll,2,FALSE)*Pesi!$B$13</f>
        <v>47.920099999999991</v>
      </c>
      <c r="K56" s="155">
        <f>IF(ISNA(MATCH($B56,Pesi!$B$31:$B$34,0)),VLOOKUP(Pesi!$B$34,TabAlgPor,10,FALSE)-((VLOOKUP(Pesi!$B$34,TabAlgPor,9,FALSE)-$J56)/(VLOOKUP(Pesi!$B$34,TabAlgPor,9,FALSE)-Pesi!$D$44))*VLOOKUP(Pesi!$B$34,TabAlgPor,10,FALSE),Pesi!$F$34*Pesi!$C$28)</f>
        <v>-11.092959402003739</v>
      </c>
      <c r="L56" s="155">
        <f t="shared" si="3"/>
        <v>1</v>
      </c>
      <c r="M56" s="154">
        <f>$D56*Pesi!$D$5+Pesi!$D$6*Portieri!$E29+Portieri!$F29*Pesi!$D$7+Pesi!$D$8*Portieri!$G29+Portieri!$H29*Pesi!$D$9+Pesi!$D$10*Portieri!$I29+VLOOKUP($C56,TabAlgSqu,2,FALSE)*Pesi!$D$11+Pesi!$D$12*VLOOKUP($C56,TabAlgFC,2,FALSE)+VLOOKUP($C56,TabAlgAll,2,FALSE)*Pesi!$D$13</f>
        <v>48.990899999999996</v>
      </c>
      <c r="N56" s="155">
        <f>IF(ISNA(MATCH($B56,Pesi!$B$31:$B$34,0)),VLOOKUP(Pesi!$B$34,TabAlgPor,13,FALSE)-((VLOOKUP(Pesi!$B$34,TabAlgPor,12,FALSE)-$M56)/(VLOOKUP(Pesi!$B$34,TabAlgPor,12,FALSE)-Pesi!$F$44))*VLOOKUP(Pesi!$B$34,TabAlgPor,13,FALSE),$K56*$M56/$J56)</f>
        <v>-9.12725240092756</v>
      </c>
      <c r="O56" s="155">
        <f t="shared" si="4"/>
        <v>1</v>
      </c>
      <c r="P56">
        <f t="shared" si="5"/>
        <v>34</v>
      </c>
      <c r="Q56" t="e">
        <f>VLOOKUP(B56,'C.P.'!$A$2:$B$164,2,FALSE)</f>
        <v>#N/A</v>
      </c>
      <c r="R56" t="e">
        <f>VLOOKUP(B56,'C.P.'!$C$2:$D$164,2,FALSE)</f>
        <v>#N/A</v>
      </c>
      <c r="S56" t="e">
        <f>VLOOKUP(B56,'C.P.'!$E$2:$F$164,2,FALSE)</f>
        <v>#N/A</v>
      </c>
      <c r="T56" t="e">
        <f>VLOOKUP(B56,'C.P.'!$G$2:$H$164,2,FALSE)</f>
        <v>#N/A</v>
      </c>
    </row>
    <row r="57" spans="1:21">
      <c r="A57">
        <f ca="1">COUNTIF('I.A. + Fasce'!B$1:'I.A. + Fasce'!B$538,B56)</f>
        <v>1</v>
      </c>
      <c r="B57" s="199" t="s">
        <v>1687</v>
      </c>
      <c r="C57" s="199" t="str">
        <f>VLOOKUP(B57,'IA FG'!$B$2:$G$534,6,FALSE)</f>
        <v>CAG</v>
      </c>
      <c r="D57" s="200">
        <v>8</v>
      </c>
      <c r="E57" s="201">
        <v>1</v>
      </c>
      <c r="F57" s="201">
        <v>6</v>
      </c>
      <c r="G57" s="201">
        <v>7</v>
      </c>
      <c r="H57" s="201">
        <v>4</v>
      </c>
      <c r="I57" s="201">
        <v>1</v>
      </c>
      <c r="J57" s="154">
        <f>$D57*Pesi!$B$5+Pesi!$B$6*$E57+$F57*Pesi!$B$7+Pesi!$B$8*$G57+$H57*Pesi!$B$9+Pesi!$B$10*$I57+VLOOKUP($C57,TabAlgSqu,2,FALSE)*Pesi!$B$11+Pesi!$B$12*VLOOKUP($C57,TabAlgFC,2,FALSE)+VLOOKUP($C57,TabAlgAll,2,FALSE)*Pesi!$B$13</f>
        <v>47.499699999999997</v>
      </c>
      <c r="K57" s="155">
        <f>IF(ISNA(MATCH($B57,Pesi!$B$31:$B$34,0)),VLOOKUP(Pesi!$B$34,TabAlgPor,10,FALSE)-((VLOOKUP(Pesi!$B$34,TabAlgPor,9,FALSE)-$J57)/(VLOOKUP(Pesi!$B$34,TabAlgPor,9,FALSE)-Pesi!$D$44))*VLOOKUP(Pesi!$B$34,TabAlgPor,10,FALSE),Pesi!$F$34*Pesi!$C$28)</f>
        <v>-11.479012277656871</v>
      </c>
      <c r="L57" s="155">
        <f t="shared" si="3"/>
        <v>1</v>
      </c>
      <c r="M57" s="154">
        <f>$D57*Pesi!$D$5+Pesi!$D$6*Portieri!$E55+Portieri!$F55*Pesi!$D$7+Pesi!$D$8*Portieri!$G55+Portieri!$H55*Pesi!$D$9+Pesi!$D$10*Portieri!$I55+VLOOKUP($C57,TabAlgSqu,2,FALSE)*Pesi!$D$11+Pesi!$D$12*VLOOKUP($C57,TabAlgFC,2,FALSE)+VLOOKUP($C57,TabAlgAll,2,FALSE)*Pesi!$D$13</f>
        <v>52.445500000000003</v>
      </c>
      <c r="N57" s="155">
        <f>IF(ISNA(MATCH($B57,Pesi!$B$31:$B$34,0)),VLOOKUP(Pesi!$B$34,TabAlgPor,13,FALSE)-((VLOOKUP(Pesi!$B$34,TabAlgPor,12,FALSE)-$M57)/(VLOOKUP(Pesi!$B$34,TabAlgPor,12,FALSE)-Pesi!$F$44))*VLOOKUP(Pesi!$B$34,TabAlgPor,13,FALSE),$K57*$M57/$J57)</f>
        <v>-6.2631666769133894</v>
      </c>
      <c r="O57" s="155">
        <f t="shared" si="4"/>
        <v>1</v>
      </c>
      <c r="P57">
        <f t="shared" si="5"/>
        <v>27</v>
      </c>
      <c r="Q57" t="e">
        <f>VLOOKUP(B57,'C.P.'!$A$2:$B$164,2,FALSE)</f>
        <v>#N/A</v>
      </c>
      <c r="R57" t="e">
        <f>VLOOKUP(B57,'C.P.'!$C$2:$D$164,2,FALSE)</f>
        <v>#N/A</v>
      </c>
      <c r="S57" t="e">
        <f>VLOOKUP(B57,'C.P.'!$E$2:$F$164,2,FALSE)</f>
        <v>#N/A</v>
      </c>
      <c r="T57" t="e">
        <f>VLOOKUP(B57,'C.P.'!$G$2:$H$164,2,FALSE)</f>
        <v>#N/A</v>
      </c>
    </row>
    <row r="58" spans="1:21">
      <c r="A58">
        <f ca="1">COUNTIF('I.A. + Fasce'!B$1:'I.A. + Fasce'!B$538,B57)</f>
        <v>1</v>
      </c>
      <c r="B58" s="199" t="s">
        <v>352</v>
      </c>
      <c r="C58" s="199" t="str">
        <f>VLOOKUP(B58,'IA FG'!$B$2:$G$534,6,FALSE)</f>
        <v>SPA</v>
      </c>
      <c r="D58" s="200">
        <v>9</v>
      </c>
      <c r="E58" s="201">
        <v>3</v>
      </c>
      <c r="F58" s="201">
        <v>6</v>
      </c>
      <c r="G58" s="201">
        <v>7</v>
      </c>
      <c r="H58" s="201">
        <v>5</v>
      </c>
      <c r="I58" s="201">
        <v>3</v>
      </c>
      <c r="J58" s="154">
        <f>$D58*Pesi!$B$5+Pesi!$B$6*$E58+$F58*Pesi!$B$7+Pesi!$B$8*$G58+$H58*Pesi!$B$9+Pesi!$B$10*$I58+VLOOKUP($C58,TabAlgSqu,2,FALSE)*Pesi!$B$11+Pesi!$B$12*VLOOKUP($C58,TabAlgFC,2,FALSE)+VLOOKUP($C58,TabAlgAll,2,FALSE)*Pesi!$B$13</f>
        <v>47.098099999999995</v>
      </c>
      <c r="K58" s="155">
        <f>IF(ISNA(MATCH($B58,Pesi!$B$31:$B$34,0)),VLOOKUP(Pesi!$B$34,TabAlgPor,10,FALSE)-((VLOOKUP(Pesi!$B$34,TabAlgPor,9,FALSE)-$J58)/(VLOOKUP(Pesi!$B$34,TabAlgPor,9,FALSE)-Pesi!$D$44))*VLOOKUP(Pesi!$B$34,TabAlgPor,10,FALSE),Pesi!$F$34*Pesi!$C$28)</f>
        <v>-11.847801133180905</v>
      </c>
      <c r="L58" s="155">
        <f t="shared" si="3"/>
        <v>1</v>
      </c>
      <c r="M58" s="154">
        <f>$D58*Pesi!$D$5+Pesi!$D$6*Portieri!$E32+Portieri!$F32*Pesi!$D$7+Pesi!$D$8*Portieri!$G32+Portieri!$H32*Pesi!$D$9+Pesi!$D$10*Portieri!$I32+VLOOKUP($C58,TabAlgSqu,2,FALSE)*Pesi!$D$11+Pesi!$D$12*VLOOKUP($C58,TabAlgFC,2,FALSE)+VLOOKUP($C58,TabAlgAll,2,FALSE)*Pesi!$D$13</f>
        <v>58.3855</v>
      </c>
      <c r="N58" s="155">
        <f>IF(ISNA(MATCH($B58,Pesi!$B$31:$B$34,0)),VLOOKUP(Pesi!$B$34,TabAlgPor,13,FALSE)-((VLOOKUP(Pesi!$B$34,TabAlgPor,12,FALSE)-$M58)/(VLOOKUP(Pesi!$B$34,TabAlgPor,12,FALSE)-Pesi!$F$44))*VLOOKUP(Pesi!$B$34,TabAlgPor,13,FALSE),$K58*$M58/$J58)</f>
        <v>-1.3385244026575762</v>
      </c>
      <c r="O58" s="155">
        <f t="shared" si="4"/>
        <v>1</v>
      </c>
      <c r="P58">
        <f t="shared" si="5"/>
        <v>33</v>
      </c>
      <c r="Q58" t="e">
        <f>VLOOKUP(B58,'C.P.'!$A$2:$B$164,2,FALSE)</f>
        <v>#N/A</v>
      </c>
      <c r="R58" t="e">
        <f>VLOOKUP(B58,'C.P.'!$C$2:$D$164,2,FALSE)</f>
        <v>#N/A</v>
      </c>
      <c r="S58" t="e">
        <f>VLOOKUP(B58,'C.P.'!$E$2:$F$164,2,FALSE)</f>
        <v>#N/A</v>
      </c>
      <c r="T58" t="e">
        <f>VLOOKUP(B58,'C.P.'!$G$2:$H$164,2,FALSE)</f>
        <v>#N/A</v>
      </c>
    </row>
    <row r="59" spans="1:21">
      <c r="A59">
        <f ca="1">COUNTIF('I.A. + Fasce'!B$1:'I.A. + Fasce'!B$538,B58)</f>
        <v>1</v>
      </c>
      <c r="B59" s="199" t="s">
        <v>1689</v>
      </c>
      <c r="C59" s="199" t="str">
        <f>VLOOKUP(B59,'IA FG'!$B$2:$G$534,6,FALSE)</f>
        <v>CRO</v>
      </c>
      <c r="D59" s="200">
        <v>8</v>
      </c>
      <c r="E59" s="201">
        <v>1</v>
      </c>
      <c r="F59" s="201">
        <v>6</v>
      </c>
      <c r="G59" s="201">
        <v>6</v>
      </c>
      <c r="H59" s="201">
        <v>4</v>
      </c>
      <c r="I59" s="201">
        <v>1</v>
      </c>
      <c r="J59" s="154">
        <f>$D59*Pesi!$B$5+Pesi!$B$6*$E59+$F59*Pesi!$B$7+Pesi!$B$8*$G59+$H59*Pesi!$B$9+Pesi!$B$10*$I59+VLOOKUP($C59,TabAlgSqu,2,FALSE)*Pesi!$B$11+Pesi!$B$12*VLOOKUP($C59,TabAlgFC,2,FALSE)+VLOOKUP($C59,TabAlgAll,2,FALSE)*Pesi!$B$13</f>
        <v>46.859199999999994</v>
      </c>
      <c r="K59" s="155">
        <f>IF(ISNA(MATCH($B59,Pesi!$B$31:$B$34,0)),VLOOKUP(Pesi!$B$34,TabAlgPor,10,FALSE)-((VLOOKUP(Pesi!$B$34,TabAlgPor,9,FALSE)-$J59)/(VLOOKUP(Pesi!$B$34,TabAlgPor,9,FALSE)-Pesi!$D$44))*VLOOKUP(Pesi!$B$34,TabAlgPor,10,FALSE),Pesi!$F$34*Pesi!$C$28)</f>
        <v>-12.067182750672664</v>
      </c>
      <c r="L59" s="155">
        <f t="shared" si="3"/>
        <v>1</v>
      </c>
      <c r="M59" s="154">
        <f>$D59*Pesi!$D$5+Pesi!$D$6*Portieri!$E59+Portieri!$F59*Pesi!$D$7+Pesi!$D$8*Portieri!$G59+Portieri!$H59*Pesi!$D$9+Pesi!$D$10*Portieri!$I59+VLOOKUP($C59,TabAlgSqu,2,FALSE)*Pesi!$D$11+Pesi!$D$12*VLOOKUP($C59,TabAlgFC,2,FALSE)+VLOOKUP($C59,TabAlgAll,2,FALSE)*Pesi!$D$13</f>
        <v>47.7592</v>
      </c>
      <c r="N59" s="155">
        <f>IF(ISNA(MATCH($B59,Pesi!$B$31:$B$34,0)),VLOOKUP(Pesi!$B$34,TabAlgPor,13,FALSE)-((VLOOKUP(Pesi!$B$34,TabAlgPor,12,FALSE)-$M59)/(VLOOKUP(Pesi!$B$34,TabAlgPor,12,FALSE)-Pesi!$F$44))*VLOOKUP(Pesi!$B$34,TabAlgPor,13,FALSE),$K59*$M59/$J59)</f>
        <v>-10.148410968133096</v>
      </c>
      <c r="O59" s="155">
        <f t="shared" si="4"/>
        <v>1</v>
      </c>
      <c r="P59">
        <f t="shared" si="5"/>
        <v>26</v>
      </c>
      <c r="Q59" t="e">
        <f>VLOOKUP(B59,'C.P.'!$A$2:$B$164,2,FALSE)</f>
        <v>#N/A</v>
      </c>
      <c r="R59" t="e">
        <f>VLOOKUP(B59,'C.P.'!$C$2:$D$164,2,FALSE)</f>
        <v>#N/A</v>
      </c>
      <c r="S59" t="e">
        <f>VLOOKUP(B59,'C.P.'!$E$2:$F$164,2,FALSE)</f>
        <v>#N/A</v>
      </c>
      <c r="T59" t="e">
        <f>VLOOKUP(B59,'C.P.'!$G$2:$H$164,2,FALSE)</f>
        <v>#N/A</v>
      </c>
    </row>
    <row r="60" spans="1:21">
      <c r="A60">
        <f ca="1">COUNTIF('I.A. + Fasce'!B$1:'I.A. + Fasce'!B$538,B59)</f>
        <v>1</v>
      </c>
      <c r="B60" s="199" t="s">
        <v>1690</v>
      </c>
      <c r="C60" s="199" t="str">
        <f>VLOOKUP(B60,'IA FG'!$B$2:$G$534,6,FALSE)</f>
        <v>VER</v>
      </c>
      <c r="D60" s="200">
        <v>7</v>
      </c>
      <c r="E60" s="201">
        <v>1</v>
      </c>
      <c r="F60" s="201">
        <v>5</v>
      </c>
      <c r="G60" s="201">
        <v>6</v>
      </c>
      <c r="H60" s="201">
        <v>5</v>
      </c>
      <c r="I60" s="201">
        <v>1</v>
      </c>
      <c r="J60" s="154">
        <f>$D60*Pesi!$B$5+Pesi!$B$6*$E60+$F60*Pesi!$B$7+Pesi!$B$8*$G60+$H60*Pesi!$B$9+Pesi!$B$10*$I60+VLOOKUP($C60,TabAlgSqu,2,FALSE)*Pesi!$B$11+Pesi!$B$12*VLOOKUP($C60,TabAlgFC,2,FALSE)+VLOOKUP($C60,TabAlgAll,2,FALSE)*Pesi!$B$13</f>
        <v>44.8294</v>
      </c>
      <c r="K60" s="155">
        <f>IF(ISNA(MATCH($B60,Pesi!$B$31:$B$34,0)),VLOOKUP(Pesi!$B$34,TabAlgPor,10,FALSE)-((VLOOKUP(Pesi!$B$34,TabAlgPor,9,FALSE)-$J60)/(VLOOKUP(Pesi!$B$34,TabAlgPor,9,FALSE)-Pesi!$D$44))*VLOOKUP(Pesi!$B$34,TabAlgPor,10,FALSE),Pesi!$F$34*Pesi!$C$28)</f>
        <v>-13.931145945251025</v>
      </c>
      <c r="L60" s="155">
        <f t="shared" si="3"/>
        <v>1</v>
      </c>
      <c r="M60" s="154">
        <f>$D60*Pesi!$D$5+Pesi!$D$6*Portieri!$E60+Portieri!$F60*Pesi!$D$7+Pesi!$D$8*Portieri!$G60+Portieri!$H60*Pesi!$D$9+Pesi!$D$10*Portieri!$I60+VLOOKUP($C60,TabAlgSqu,2,FALSE)*Pesi!$D$11+Pesi!$D$12*VLOOKUP($C60,TabAlgFC,2,FALSE)+VLOOKUP($C60,TabAlgAll,2,FALSE)*Pesi!$D$13</f>
        <v>45.5794</v>
      </c>
      <c r="N60" s="155">
        <f>IF(ISNA(MATCH($B60,Pesi!$B$31:$B$34,0)),VLOOKUP(Pesi!$B$34,TabAlgPor,13,FALSE)-((VLOOKUP(Pesi!$B$34,TabAlgPor,12,FALSE)-$M60)/(VLOOKUP(Pesi!$B$34,TabAlgPor,12,FALSE)-Pesi!$F$44))*VLOOKUP(Pesi!$B$34,TabAlgPor,13,FALSE),$K60*$M60/$J60)</f>
        <v>-11.955605451200913</v>
      </c>
      <c r="O60" s="155">
        <f t="shared" si="4"/>
        <v>1</v>
      </c>
      <c r="P60">
        <f t="shared" si="5"/>
        <v>25</v>
      </c>
      <c r="Q60" t="e">
        <f>VLOOKUP(B60,'C.P.'!$A$2:$B$164,2,FALSE)</f>
        <v>#N/A</v>
      </c>
      <c r="R60" t="e">
        <f>VLOOKUP(B60,'C.P.'!$C$2:$D$164,2,FALSE)</f>
        <v>#N/A</v>
      </c>
      <c r="S60" t="e">
        <f>VLOOKUP(B60,'C.P.'!$E$2:$F$164,2,FALSE)</f>
        <v>#N/A</v>
      </c>
      <c r="T60" t="e">
        <f>VLOOKUP(B60,'C.P.'!$G$2:$H$164,2,FALSE)</f>
        <v>#N/A</v>
      </c>
    </row>
    <row r="61" spans="1:21">
      <c r="A61">
        <f ca="1">COUNTIF('I.A. + Fasce'!B$1:'I.A. + Fasce'!B$538,B60)</f>
        <v>1</v>
      </c>
      <c r="B61" s="199" t="s">
        <v>370</v>
      </c>
      <c r="C61" s="199" t="str">
        <f>VLOOKUP(B61,'IA FG'!$B$2:$G$534,6,FALSE)</f>
        <v>ROM</v>
      </c>
      <c r="D61" s="200">
        <v>6</v>
      </c>
      <c r="E61" s="201">
        <v>1</v>
      </c>
      <c r="F61" s="201">
        <v>1</v>
      </c>
      <c r="G61" s="201">
        <v>5</v>
      </c>
      <c r="H61" s="201">
        <v>8</v>
      </c>
      <c r="I61" s="201">
        <v>1</v>
      </c>
      <c r="J61" s="154">
        <f>$D61*Pesi!$B$5+Pesi!$B$6*$E61+$F61*Pesi!$B$7+Pesi!$B$8*$G61+$H61*Pesi!$B$9+Pesi!$B$10*$I61+VLOOKUP($C61,TabAlgSqu,2,FALSE)*Pesi!$B$11+Pesi!$B$12*VLOOKUP($C61,TabAlgFC,2,FALSE)+VLOOKUP($C61,TabAlgAll,2,FALSE)*Pesi!$B$13</f>
        <v>43.8461</v>
      </c>
      <c r="K61" s="155">
        <f>IF(ISNA(MATCH($B61,Pesi!$B$31:$B$34,0)),VLOOKUP(Pesi!$B$34,TabAlgPor,10,FALSE)-((VLOOKUP(Pesi!$B$34,TabAlgPor,9,FALSE)-$J61)/(VLOOKUP(Pesi!$B$34,TabAlgPor,9,FALSE)-Pesi!$D$44))*VLOOKUP(Pesi!$B$34,TabAlgPor,10,FALSE),Pesi!$F$34*Pesi!$C$28)</f>
        <v>-14.834109295940209</v>
      </c>
      <c r="L61" s="155">
        <f t="shared" si="3"/>
        <v>1</v>
      </c>
      <c r="M61" s="154">
        <f>$D61*Pesi!$D$5+Pesi!$D$6*Portieri!$E61+Portieri!$F61*Pesi!$D$7+Pesi!$D$8*Portieri!$G61+Portieri!$H61*Pesi!$D$9+Pesi!$D$10*Portieri!$I61+VLOOKUP($C61,TabAlgSqu,2,FALSE)*Pesi!$D$11+Pesi!$D$12*VLOOKUP($C61,TabAlgFC,2,FALSE)+VLOOKUP($C61,TabAlgAll,2,FALSE)*Pesi!$D$13</f>
        <v>43.996100000000006</v>
      </c>
      <c r="N61" s="155">
        <f>IF(ISNA(MATCH($B61,Pesi!$B$31:$B$34,0)),VLOOKUP(Pesi!$B$34,TabAlgPor,13,FALSE)-((VLOOKUP(Pesi!$B$34,TabAlgPor,12,FALSE)-$M61)/(VLOOKUP(Pesi!$B$34,TabAlgPor,12,FALSE)-Pesi!$F$44))*VLOOKUP(Pesi!$B$34,TabAlgPor,13,FALSE),$K61*$M61/$J61)</f>
        <v>-13.268263045953301</v>
      </c>
      <c r="O61" s="155">
        <f t="shared" si="4"/>
        <v>1</v>
      </c>
      <c r="P61">
        <f t="shared" si="5"/>
        <v>22</v>
      </c>
      <c r="Q61" t="e">
        <f>VLOOKUP(B61,'C.P.'!$A$2:$B$164,2,FALSE)</f>
        <v>#N/A</v>
      </c>
      <c r="R61" t="e">
        <f>VLOOKUP(B61,'C.P.'!$C$2:$D$164,2,FALSE)</f>
        <v>#N/A</v>
      </c>
      <c r="S61" t="e">
        <f>VLOOKUP(B61,'C.P.'!$E$2:$F$164,2,FALSE)</f>
        <v>#N/A</v>
      </c>
      <c r="T61" t="e">
        <f>VLOOKUP(B61,'C.P.'!$G$2:$H$164,2,FALSE)</f>
        <v>#N/A</v>
      </c>
      <c r="U61" s="156"/>
    </row>
    <row r="62" spans="1:21">
      <c r="A62">
        <f ca="1">COUNTIF('I.A. + Fasce'!B$1:'I.A. + Fasce'!B$538,B61)</f>
        <v>1</v>
      </c>
      <c r="B62" s="199" t="s">
        <v>1814</v>
      </c>
      <c r="C62" s="199" t="str">
        <f>VLOOKUP(B62,'IA FG'!$B$2:$G$534,6,FALSE)</f>
        <v>SPA</v>
      </c>
      <c r="D62" s="200">
        <v>8</v>
      </c>
      <c r="E62" s="201">
        <v>2</v>
      </c>
      <c r="F62" s="201">
        <v>7</v>
      </c>
      <c r="G62" s="201">
        <v>6</v>
      </c>
      <c r="H62" s="201">
        <v>5</v>
      </c>
      <c r="I62" s="201">
        <v>2</v>
      </c>
      <c r="J62" s="154">
        <f>$D62*Pesi!$B$5+Pesi!$B$6*$E62+$F62*Pesi!$B$7+Pesi!$B$8*$G62+$H62*Pesi!$B$9+Pesi!$B$10*$I62+VLOOKUP($C62,TabAlgSqu,2,FALSE)*Pesi!$B$11+Pesi!$B$12*VLOOKUP($C62,TabAlgFC,2,FALSE)+VLOOKUP($C62,TabAlgAll,2,FALSE)*Pesi!$B$13</f>
        <v>43.669000000000004</v>
      </c>
      <c r="K62" s="155">
        <f>IF(ISNA(MATCH($B62,Pesi!$B$31:$B$34,0)),VLOOKUP(Pesi!$B$34,TabAlgPor,10,FALSE)-((VLOOKUP(Pesi!$B$34,TabAlgPor,9,FALSE)-$J62)/(VLOOKUP(Pesi!$B$34,TabAlgPor,9,FALSE)-Pesi!$D$44))*VLOOKUP(Pesi!$B$34,TabAlgPor,10,FALSE),Pesi!$F$34*Pesi!$C$28)</f>
        <v>-14.996740038752215</v>
      </c>
      <c r="L62" s="155">
        <f t="shared" si="3"/>
        <v>1</v>
      </c>
      <c r="M62" s="154">
        <f>$D62*Pesi!$D$5+Pesi!$D$6*Portieri!$E64+Portieri!$F64*Pesi!$D$7+Pesi!$D$8*Portieri!$G64+Portieri!$H64*Pesi!$D$9+Pesi!$D$10*Portieri!$I64+VLOOKUP($C62,TabAlgSqu,2,FALSE)*Pesi!$D$11+Pesi!$D$12*VLOOKUP($C62,TabAlgFC,2,FALSE)+VLOOKUP($C62,TabAlgAll,2,FALSE)*Pesi!$D$13</f>
        <v>33.360700000000001</v>
      </c>
      <c r="N62" s="155">
        <f>IF(ISNA(MATCH($B62,Pesi!$B$31:$B$34,0)),VLOOKUP(Pesi!$B$34,TabAlgPor,13,FALSE)-((VLOOKUP(Pesi!$B$34,TabAlgPor,12,FALSE)-$M62)/(VLOOKUP(Pesi!$B$34,TabAlgPor,12,FALSE)-Pesi!$F$44))*VLOOKUP(Pesi!$B$34,TabAlgPor,13,FALSE),$K62*$M62/$J62)</f>
        <v>-22.085694097067833</v>
      </c>
      <c r="O62" s="155">
        <f t="shared" si="4"/>
        <v>1</v>
      </c>
      <c r="P62">
        <f t="shared" si="5"/>
        <v>30</v>
      </c>
      <c r="Q62" t="e">
        <f>VLOOKUP(B62,'C.P.'!$A$2:$B$164,2,FALSE)</f>
        <v>#N/A</v>
      </c>
      <c r="R62" t="e">
        <f>VLOOKUP(B62,'C.P.'!$C$2:$D$164,2,FALSE)</f>
        <v>#N/A</v>
      </c>
      <c r="S62" t="e">
        <f>VLOOKUP(B62,'C.P.'!$E$2:$F$164,2,FALSE)</f>
        <v>#N/A</v>
      </c>
      <c r="T62" t="e">
        <f>VLOOKUP(B62,'C.P.'!$G$2:$H$164,2,FALSE)</f>
        <v>#N/A</v>
      </c>
    </row>
    <row r="63" spans="1:21">
      <c r="A63">
        <f ca="1">COUNTIF('I.A. + Fasce'!B$1:'I.A. + Fasce'!B$538,B62)</f>
        <v>1</v>
      </c>
      <c r="B63" s="199" t="s">
        <v>1683</v>
      </c>
      <c r="C63" s="199" t="str">
        <f>VLOOKUP(B63,'IA FG'!$B$2:$G$534,6,FALSE)</f>
        <v>BEN</v>
      </c>
      <c r="D63" s="200">
        <v>7</v>
      </c>
      <c r="E63" s="201">
        <v>2</v>
      </c>
      <c r="F63" s="201">
        <v>6</v>
      </c>
      <c r="G63" s="201">
        <v>6</v>
      </c>
      <c r="H63" s="201">
        <v>6</v>
      </c>
      <c r="I63" s="201">
        <v>2</v>
      </c>
      <c r="J63" s="154">
        <f>$D63*Pesi!$B$5+Pesi!$B$6*$E63+$F63*Pesi!$B$7+Pesi!$B$8*$G63+$H63*Pesi!$B$9+Pesi!$B$10*$I63+VLOOKUP($C63,TabAlgSqu,2,FALSE)*Pesi!$B$11+Pesi!$B$12*VLOOKUP($C63,TabAlgFC,2,FALSE)+VLOOKUP($C63,TabAlgAll,2,FALSE)*Pesi!$B$13</f>
        <v>42.357700000000001</v>
      </c>
      <c r="K63" s="155">
        <f>IF(ISNA(MATCH($B63,Pesi!$B$31:$B$34,0)),VLOOKUP(Pesi!$B$34,TabAlgPor,10,FALSE)-((VLOOKUP(Pesi!$B$34,TabAlgPor,9,FALSE)-$J63)/(VLOOKUP(Pesi!$B$34,TabAlgPor,9,FALSE)-Pesi!$D$44))*VLOOKUP(Pesi!$B$34,TabAlgPor,10,FALSE),Pesi!$F$34*Pesi!$C$28)</f>
        <v>-16.200905442757836</v>
      </c>
      <c r="L63" s="155">
        <f t="shared" si="3"/>
        <v>1</v>
      </c>
      <c r="M63" s="154">
        <f>$D63*Pesi!$D$5+Pesi!$D$6*Portieri!$E48+Portieri!$F48*Pesi!$D$7+Pesi!$D$8*Portieri!$G48+Portieri!$H48*Pesi!$D$9+Pesi!$D$10*Portieri!$I48+VLOOKUP($C63,TabAlgSqu,2,FALSE)*Pesi!$D$11+Pesi!$D$12*VLOOKUP($C63,TabAlgFC,2,FALSE)+VLOOKUP($C63,TabAlgAll,2,FALSE)*Pesi!$D$13</f>
        <v>42.2577</v>
      </c>
      <c r="N63" s="155">
        <f>IF(ISNA(MATCH($B63,Pesi!$B$31:$B$34,0)),VLOOKUP(Pesi!$B$34,TabAlgPor,13,FALSE)-((VLOOKUP(Pesi!$B$34,TabAlgPor,12,FALSE)-$M63)/(VLOOKUP(Pesi!$B$34,TabAlgPor,12,FALSE)-Pesi!$F$44))*VLOOKUP(Pesi!$B$34,TabAlgPor,13,FALSE),$K63*$M63/$J63)</f>
        <v>-14.709508522311271</v>
      </c>
      <c r="O63" s="155">
        <f t="shared" si="4"/>
        <v>1</v>
      </c>
      <c r="P63">
        <f t="shared" si="5"/>
        <v>29</v>
      </c>
      <c r="Q63" t="e">
        <f>VLOOKUP(B63,'C.P.'!$A$2:$B$164,2,FALSE)</f>
        <v>#N/A</v>
      </c>
      <c r="R63" t="e">
        <f>VLOOKUP(B63,'C.P.'!$C$2:$D$164,2,FALSE)</f>
        <v>#N/A</v>
      </c>
      <c r="S63" t="e">
        <f>VLOOKUP(B63,'C.P.'!$E$2:$F$164,2,FALSE)</f>
        <v>#N/A</v>
      </c>
      <c r="T63" t="e">
        <f>VLOOKUP(B63,'C.P.'!$G$2:$H$164,2,FALSE)</f>
        <v>#N/A</v>
      </c>
    </row>
    <row r="64" spans="1:21" ht="15" customHeight="1">
      <c r="A64">
        <f ca="1">COUNTIF('I.A. + Fasce'!B$1:'I.A. + Fasce'!B$538,B63)</f>
        <v>1</v>
      </c>
      <c r="B64" s="199" t="s">
        <v>375</v>
      </c>
      <c r="C64" s="199" t="str">
        <f>VLOOKUP(B64,'IA FG'!$B$2:$G$534,6,FALSE)</f>
        <v>SAS</v>
      </c>
      <c r="D64" s="200">
        <v>7</v>
      </c>
      <c r="E64" s="201">
        <v>1</v>
      </c>
      <c r="F64" s="201">
        <v>1</v>
      </c>
      <c r="G64" s="201">
        <v>5</v>
      </c>
      <c r="H64" s="201">
        <v>6</v>
      </c>
      <c r="I64" s="201">
        <v>1</v>
      </c>
      <c r="J64" s="154">
        <f>$D64*Pesi!$B$5+Pesi!$B$6*$E64+$F64*Pesi!$B$7+Pesi!$B$8*$G64+$H64*Pesi!$B$9+Pesi!$B$10*$I64+VLOOKUP($C64,TabAlgSqu,2,FALSE)*Pesi!$B$11+Pesi!$B$12*VLOOKUP($C64,TabAlgFC,2,FALSE)+VLOOKUP($C64,TabAlgAll,2,FALSE)*Pesi!$B$13</f>
        <v>40.4009</v>
      </c>
      <c r="K64" s="155">
        <f>IF(ISNA(MATCH($B64,Pesi!$B$31:$B$34,0)),VLOOKUP(Pesi!$B$34,TabAlgPor,10,FALSE)-((VLOOKUP(Pesi!$B$34,TabAlgPor,9,FALSE)-$J64)/(VLOOKUP(Pesi!$B$34,TabAlgPor,9,FALSE)-Pesi!$D$44))*VLOOKUP(Pesi!$B$34,TabAlgPor,10,FALSE),Pesi!$F$34*Pesi!$C$28)</f>
        <v>-17.997832814494437</v>
      </c>
      <c r="L64" s="155">
        <f t="shared" si="3"/>
        <v>1</v>
      </c>
      <c r="M64" s="154">
        <f>$D64*Pesi!$D$5+Pesi!$D$6*Portieri!$E62+Portieri!$F62*Pesi!$D$7+Pesi!$D$8*Portieri!$G62+Portieri!$H62*Pesi!$D$9+Pesi!$D$10*Portieri!$I62+VLOOKUP($C64,TabAlgSqu,2,FALSE)*Pesi!$D$11+Pesi!$D$12*VLOOKUP($C64,TabAlgFC,2,FALSE)+VLOOKUP($C64,TabAlgAll,2,FALSE)*Pesi!$D$13</f>
        <v>51.909200000000006</v>
      </c>
      <c r="N64" s="155">
        <f>IF(ISNA(MATCH($B64,Pesi!$B$31:$B$34,0)),VLOOKUP(Pesi!$B$34,TabAlgPor,13,FALSE)-((VLOOKUP(Pesi!$B$34,TabAlgPor,12,FALSE)-$M64)/(VLOOKUP(Pesi!$B$34,TabAlgPor,12,FALSE)-Pesi!$F$44))*VLOOKUP(Pesi!$B$34,TabAlgPor,13,FALSE),$K64*$M64/$J64)</f>
        <v>-6.7077938910015007</v>
      </c>
      <c r="O64" s="155">
        <f t="shared" si="4"/>
        <v>1</v>
      </c>
      <c r="P64">
        <f t="shared" si="5"/>
        <v>21</v>
      </c>
      <c r="Q64" t="e">
        <f>VLOOKUP(B64,'C.P.'!$A$2:$B$164,2,FALSE)</f>
        <v>#N/A</v>
      </c>
      <c r="R64" t="e">
        <f>VLOOKUP(B64,'C.P.'!$C$2:$D$164,2,FALSE)</f>
        <v>#N/A</v>
      </c>
      <c r="S64" t="e">
        <f>VLOOKUP(B64,'C.P.'!$E$2:$F$164,2,FALSE)</f>
        <v>#N/A</v>
      </c>
      <c r="T64" t="e">
        <f>VLOOKUP(B64,'C.P.'!$G$2:$H$164,2,FALSE)</f>
        <v>#N/A</v>
      </c>
    </row>
    <row r="65" spans="2:20">
      <c r="B65" s="199" t="s">
        <v>1812</v>
      </c>
      <c r="C65" s="199" t="str">
        <f>VLOOKUP(B65,'IA FG'!$B$2:$G$534,6,FALSE)</f>
        <v>BEN</v>
      </c>
      <c r="D65" s="200">
        <v>7</v>
      </c>
      <c r="E65" s="201">
        <v>3</v>
      </c>
      <c r="F65" s="201">
        <v>6</v>
      </c>
      <c r="G65" s="201">
        <v>4</v>
      </c>
      <c r="H65" s="201">
        <v>4</v>
      </c>
      <c r="I65" s="201">
        <v>2</v>
      </c>
      <c r="J65" s="154">
        <f>$D65*Pesi!$B$5+Pesi!$B$6*$E65+$F65*Pesi!$B$7+Pesi!$B$8*$G65+$H65*Pesi!$B$9+Pesi!$B$10*$I65+VLOOKUP($C65,TabAlgSqu,2,FALSE)*Pesi!$B$11+Pesi!$B$12*VLOOKUP($C65,TabAlgFC,2,FALSE)+VLOOKUP($C65,TabAlgAll,2,FALSE)*Pesi!$B$13</f>
        <v>38.157699999999998</v>
      </c>
      <c r="K65" s="155">
        <f>IF(ISNA(MATCH($B65,Pesi!$B$31:$B$34,0)),VLOOKUP(Pesi!$B$34,TabAlgPor,10,FALSE)-((VLOOKUP(Pesi!$B$34,TabAlgPor,9,FALSE)-$J65)/(VLOOKUP(Pesi!$B$34,TabAlgPor,9,FALSE)-Pesi!$D$44))*VLOOKUP(Pesi!$B$34,TabAlgPor,10,FALSE),Pesi!$F$34*Pesi!$C$28)</f>
        <v>-20.057761003517093</v>
      </c>
      <c r="L65" s="155">
        <f t="shared" si="3"/>
        <v>1</v>
      </c>
      <c r="M65" s="154">
        <f>$D65*Pesi!$D$5+Pesi!$D$6*Portieri!$E66+Portieri!$F66*Pesi!$D$7+Pesi!$D$8*Portieri!$G66+Portieri!$H66*Pesi!$D$9+Pesi!$D$10*Portieri!$I66+VLOOKUP($C65,TabAlgSqu,2,FALSE)*Pesi!$D$11+Pesi!$D$12*VLOOKUP($C65,TabAlgFC,2,FALSE)+VLOOKUP($C65,TabAlgAll,2,FALSE)*Pesi!$D$13</f>
        <v>27.974400000000003</v>
      </c>
      <c r="N65" s="155">
        <f>IF(ISNA(MATCH($B65,Pesi!$B$31:$B$34,0)),VLOOKUP(Pesi!$B$34,TabAlgPor,13,FALSE)-((VLOOKUP(Pesi!$B$34,TabAlgPor,12,FALSE)-$M65)/(VLOOKUP(Pesi!$B$34,TabAlgPor,12,FALSE)-Pesi!$F$44))*VLOOKUP(Pesi!$B$34,TabAlgPor,13,FALSE),$K65*$M65/$J65)</f>
        <v>-26.551283437442255</v>
      </c>
      <c r="O65" s="155">
        <f t="shared" si="4"/>
        <v>1</v>
      </c>
      <c r="P65">
        <f t="shared" si="5"/>
        <v>26</v>
      </c>
      <c r="Q65" t="e">
        <f>VLOOKUP(B65,'C.P.'!$A$2:$B$164,2,FALSE)</f>
        <v>#N/A</v>
      </c>
      <c r="R65" t="e">
        <f>VLOOKUP(B65,'C.P.'!$C$2:$D$164,2,FALSE)</f>
        <v>#N/A</v>
      </c>
      <c r="S65" t="e">
        <f>VLOOKUP(B65,'C.P.'!$E$2:$F$164,2,FALSE)</f>
        <v>#N/A</v>
      </c>
      <c r="T65" t="e">
        <f>VLOOKUP(B65,'C.P.'!$G$2:$H$164,2,FALSE)</f>
        <v>#N/A</v>
      </c>
    </row>
    <row r="66" spans="2:20">
      <c r="B66" s="199" t="s">
        <v>1691</v>
      </c>
      <c r="C66" s="199" t="str">
        <f>VLOOKUP(B66,'IA FG'!$B$2:$G$534,6,FALSE)</f>
        <v>SPA</v>
      </c>
      <c r="D66" s="200">
        <v>5</v>
      </c>
      <c r="E66" s="201">
        <v>1</v>
      </c>
      <c r="F66" s="201">
        <v>1</v>
      </c>
      <c r="G66" s="201">
        <v>4</v>
      </c>
      <c r="H66" s="201">
        <v>4</v>
      </c>
      <c r="I66" s="201">
        <v>1</v>
      </c>
      <c r="J66" s="154">
        <f>$D66*Pesi!$B$5+Pesi!$B$6*$E66+$F66*Pesi!$B$7+Pesi!$B$8*$G66+$H66*Pesi!$B$9+Pesi!$B$10*$I66+VLOOKUP($C66,TabAlgSqu,2,FALSE)*Pesi!$B$11+Pesi!$B$12*VLOOKUP($C66,TabAlgFC,2,FALSE)+VLOOKUP($C66,TabAlgAll,2,FALSE)*Pesi!$B$13</f>
        <v>25.173300000000001</v>
      </c>
      <c r="K66" s="155">
        <f>IF(ISNA(MATCH($B66,Pesi!$B$31:$B$34,0)),VLOOKUP(Pesi!$B$34,TabAlgPor,10,FALSE)-((VLOOKUP(Pesi!$B$34,TabAlgPor,9,FALSE)-$J66)/(VLOOKUP(Pesi!$B$34,TabAlgPor,9,FALSE)-Pesi!$D$44))*VLOOKUP(Pesi!$B$34,TabAlgPor,10,FALSE),Pesi!$F$34*Pesi!$C$28)</f>
        <v>-31.981321799498616</v>
      </c>
      <c r="L66" s="155">
        <f t="shared" ref="L66" si="6">IF(K66&lt;=1,1,K66)</f>
        <v>1</v>
      </c>
      <c r="M66" s="154">
        <f>$D66*Pesi!$D$5+Pesi!$D$6*Portieri!$E63+Portieri!$F63*Pesi!$D$7+Pesi!$D$8*Portieri!$G63+Portieri!$H63*Pesi!$D$9+Pesi!$D$10*Portieri!$I63+VLOOKUP($C66,TabAlgSqu,2,FALSE)*Pesi!$D$11+Pesi!$D$12*VLOOKUP($C66,TabAlgFC,2,FALSE)+VLOOKUP($C66,TabAlgAll,2,FALSE)*Pesi!$D$13</f>
        <v>40.606600000000007</v>
      </c>
      <c r="N66" s="155">
        <f>IF(ISNA(MATCH($B66,Pesi!$B$31:$B$34,0)),VLOOKUP(Pesi!$B$34,TabAlgPor,13,FALSE)-((VLOOKUP(Pesi!$B$34,TabAlgPor,12,FALSE)-$M66)/(VLOOKUP(Pesi!$B$34,TabAlgPor,12,FALSE)-Pesi!$F$44))*VLOOKUP(Pesi!$B$34,TabAlgPor,13,FALSE),$K66*$M66/$J66)</f>
        <v>-16.078376680396072</v>
      </c>
      <c r="O66" s="155">
        <f t="shared" ref="O66" si="7">IF(N66&lt;=1,1,N66)</f>
        <v>1</v>
      </c>
      <c r="P66">
        <f t="shared" si="5"/>
        <v>16</v>
      </c>
      <c r="Q66" t="e">
        <f>VLOOKUP(B66,'C.P.'!$A$2:$B$164,2,FALSE)</f>
        <v>#N/A</v>
      </c>
      <c r="R66" t="e">
        <f>VLOOKUP(B66,'C.P.'!$C$2:$D$164,2,FALSE)</f>
        <v>#N/A</v>
      </c>
      <c r="S66" t="e">
        <f>VLOOKUP(B66,'C.P.'!$E$2:$F$164,2,FALSE)</f>
        <v>#N/A</v>
      </c>
      <c r="T66" t="e">
        <f>VLOOKUP(B66,'C.P.'!$G$2:$H$164,2,FALSE)</f>
        <v>#N/A</v>
      </c>
    </row>
    <row r="74" spans="2:20">
      <c r="Q74" t="str">
        <f>""</f>
        <v/>
      </c>
    </row>
    <row r="75" spans="2:20">
      <c r="Q75" t="str">
        <f>""</f>
        <v/>
      </c>
    </row>
    <row r="76" spans="2:20">
      <c r="Q76" t="str">
        <f>""</f>
        <v/>
      </c>
    </row>
    <row r="77" spans="2:20">
      <c r="Q77" t="str">
        <f>""</f>
        <v/>
      </c>
    </row>
    <row r="78" spans="2:20">
      <c r="Q78" t="str">
        <f>""</f>
        <v/>
      </c>
    </row>
    <row r="79" spans="2:20">
      <c r="Q79" t="str">
        <f>""</f>
        <v/>
      </c>
    </row>
    <row r="80" spans="2:20">
      <c r="Q80" t="str">
        <f>""</f>
        <v/>
      </c>
    </row>
    <row r="81" spans="17:17">
      <c r="Q81" t="str">
        <f>""</f>
        <v/>
      </c>
    </row>
    <row r="82" spans="17:17">
      <c r="Q82" t="str">
        <f>""</f>
        <v/>
      </c>
    </row>
    <row r="83" spans="17:17">
      <c r="Q83" t="str">
        <f>""</f>
        <v/>
      </c>
    </row>
    <row r="84" spans="17:17">
      <c r="Q84" t="str">
        <f>""</f>
        <v/>
      </c>
    </row>
    <row r="85" spans="17:17">
      <c r="Q85" t="str">
        <f>""</f>
        <v/>
      </c>
    </row>
    <row r="86" spans="17:17">
      <c r="Q86" t="str">
        <f>""</f>
        <v/>
      </c>
    </row>
    <row r="87" spans="17:17">
      <c r="Q87" t="str">
        <f>""</f>
        <v/>
      </c>
    </row>
    <row r="88" spans="17:17">
      <c r="Q88" t="str">
        <f>""</f>
        <v/>
      </c>
    </row>
    <row r="89" spans="17:17">
      <c r="Q89" t="str">
        <f>""</f>
        <v/>
      </c>
    </row>
    <row r="90" spans="17:17">
      <c r="Q90" t="str">
        <f>""</f>
        <v/>
      </c>
    </row>
    <row r="91" spans="17:17">
      <c r="Q91" t="str">
        <f>""</f>
        <v/>
      </c>
    </row>
    <row r="92" spans="17:17">
      <c r="Q92" t="str">
        <f>""</f>
        <v/>
      </c>
    </row>
    <row r="93" spans="17:17">
      <c r="Q93" t="str">
        <f>""</f>
        <v/>
      </c>
    </row>
    <row r="94" spans="17:17">
      <c r="Q94" t="str">
        <f>""</f>
        <v/>
      </c>
    </row>
    <row r="95" spans="17:17">
      <c r="Q95" t="str">
        <f>""</f>
        <v/>
      </c>
    </row>
    <row r="96" spans="17:17">
      <c r="Q96" t="str">
        <f>""</f>
        <v/>
      </c>
    </row>
    <row r="97" spans="17:17">
      <c r="Q97" t="str">
        <f>""</f>
        <v/>
      </c>
    </row>
    <row r="98" spans="17:17">
      <c r="Q98" t="str">
        <f>""</f>
        <v/>
      </c>
    </row>
    <row r="99" spans="17:17">
      <c r="Q99" t="str">
        <f>""</f>
        <v/>
      </c>
    </row>
    <row r="100" spans="17:17">
      <c r="Q100" t="str">
        <f>""</f>
        <v/>
      </c>
    </row>
    <row r="101" spans="17:17">
      <c r="Q101" t="str">
        <f>""</f>
        <v/>
      </c>
    </row>
    <row r="102" spans="17:17">
      <c r="Q102" t="str">
        <f>""</f>
        <v/>
      </c>
    </row>
    <row r="103" spans="17:17">
      <c r="Q103" t="str">
        <f>""</f>
        <v/>
      </c>
    </row>
    <row r="104" spans="17:17">
      <c r="Q104" t="str">
        <f>""</f>
        <v/>
      </c>
    </row>
    <row r="105" spans="17:17">
      <c r="Q105" t="str">
        <f>""</f>
        <v/>
      </c>
    </row>
    <row r="106" spans="17:17">
      <c r="Q106" t="str">
        <f>""</f>
        <v/>
      </c>
    </row>
    <row r="107" spans="17:17">
      <c r="Q107" t="str">
        <f>""</f>
        <v/>
      </c>
    </row>
    <row r="108" spans="17:17">
      <c r="Q108" t="str">
        <f>""</f>
        <v/>
      </c>
    </row>
    <row r="109" spans="17:17">
      <c r="Q109" t="str">
        <f>""</f>
        <v/>
      </c>
    </row>
    <row r="110" spans="17:17">
      <c r="Q110" t="str">
        <f>""</f>
        <v/>
      </c>
    </row>
    <row r="111" spans="17:17">
      <c r="Q111" t="str">
        <f>""</f>
        <v/>
      </c>
    </row>
    <row r="112" spans="17:17">
      <c r="Q112" t="str">
        <f>""</f>
        <v/>
      </c>
    </row>
    <row r="113" spans="17:17">
      <c r="Q113" t="str">
        <f>""</f>
        <v/>
      </c>
    </row>
    <row r="114" spans="17:17">
      <c r="Q114" t="str">
        <f>""</f>
        <v/>
      </c>
    </row>
    <row r="115" spans="17:17">
      <c r="Q115" t="str">
        <f>""</f>
        <v/>
      </c>
    </row>
    <row r="116" spans="17:17">
      <c r="Q116" t="str">
        <f>""</f>
        <v/>
      </c>
    </row>
    <row r="117" spans="17:17">
      <c r="Q117" t="str">
        <f>""</f>
        <v/>
      </c>
    </row>
    <row r="118" spans="17:17">
      <c r="Q118" t="str">
        <f>""</f>
        <v/>
      </c>
    </row>
    <row r="119" spans="17:17">
      <c r="Q119" t="str">
        <f>""</f>
        <v/>
      </c>
    </row>
    <row r="120" spans="17:17">
      <c r="Q120" t="str">
        <f>""</f>
        <v/>
      </c>
    </row>
    <row r="121" spans="17:17">
      <c r="Q121" t="str">
        <f>""</f>
        <v/>
      </c>
    </row>
    <row r="122" spans="17:17">
      <c r="Q122" t="str">
        <f>""</f>
        <v/>
      </c>
    </row>
    <row r="123" spans="17:17">
      <c r="Q123" t="str">
        <f>""</f>
        <v/>
      </c>
    </row>
    <row r="124" spans="17:17">
      <c r="Q124" t="str">
        <f>""</f>
        <v/>
      </c>
    </row>
    <row r="125" spans="17:17">
      <c r="Q125" t="str">
        <f>""</f>
        <v/>
      </c>
    </row>
    <row r="126" spans="17:17">
      <c r="Q126" t="str">
        <f>""</f>
        <v/>
      </c>
    </row>
    <row r="127" spans="17:17">
      <c r="Q127" t="str">
        <f>""</f>
        <v/>
      </c>
    </row>
    <row r="128" spans="17:17">
      <c r="Q128" t="str">
        <f>""</f>
        <v/>
      </c>
    </row>
    <row r="129" spans="17:17">
      <c r="Q129" t="str">
        <f>""</f>
        <v/>
      </c>
    </row>
    <row r="130" spans="17:17">
      <c r="Q130" t="str">
        <f>""</f>
        <v/>
      </c>
    </row>
    <row r="131" spans="17:17">
      <c r="Q131" t="str">
        <f>""</f>
        <v/>
      </c>
    </row>
    <row r="132" spans="17:17">
      <c r="Q132" t="str">
        <f>""</f>
        <v/>
      </c>
    </row>
    <row r="133" spans="17:17">
      <c r="Q133" t="str">
        <f>""</f>
        <v/>
      </c>
    </row>
    <row r="134" spans="17:17">
      <c r="Q134" t="str">
        <f>""</f>
        <v/>
      </c>
    </row>
    <row r="135" spans="17:17">
      <c r="Q135" t="str">
        <f>""</f>
        <v/>
      </c>
    </row>
    <row r="136" spans="17:17">
      <c r="Q136" t="str">
        <f>""</f>
        <v/>
      </c>
    </row>
    <row r="137" spans="17:17">
      <c r="Q137" t="str">
        <f>""</f>
        <v/>
      </c>
    </row>
    <row r="138" spans="17:17">
      <c r="Q138" t="str">
        <f>""</f>
        <v/>
      </c>
    </row>
    <row r="139" spans="17:17">
      <c r="Q139" t="str">
        <f>""</f>
        <v/>
      </c>
    </row>
    <row r="140" spans="17:17">
      <c r="Q140" t="str">
        <f>""</f>
        <v/>
      </c>
    </row>
    <row r="141" spans="17:17">
      <c r="Q141" t="str">
        <f>""</f>
        <v/>
      </c>
    </row>
    <row r="142" spans="17:17">
      <c r="Q142" t="str">
        <f>""</f>
        <v/>
      </c>
    </row>
    <row r="143" spans="17:17">
      <c r="Q143" t="str">
        <f>""</f>
        <v/>
      </c>
    </row>
    <row r="144" spans="17:17">
      <c r="Q144" t="str">
        <f>""</f>
        <v/>
      </c>
    </row>
    <row r="145" spans="17:17">
      <c r="Q145" t="str">
        <f>""</f>
        <v/>
      </c>
    </row>
    <row r="146" spans="17:17">
      <c r="Q146" t="str">
        <f>""</f>
        <v/>
      </c>
    </row>
    <row r="147" spans="17:17">
      <c r="Q147" t="str">
        <f>""</f>
        <v/>
      </c>
    </row>
    <row r="148" spans="17:17">
      <c r="Q148" t="str">
        <f>""</f>
        <v/>
      </c>
    </row>
    <row r="149" spans="17:17">
      <c r="Q149" t="str">
        <f>""</f>
        <v/>
      </c>
    </row>
    <row r="150" spans="17:17">
      <c r="Q150" t="str">
        <f>""</f>
        <v/>
      </c>
    </row>
    <row r="151" spans="17:17">
      <c r="Q151" t="str">
        <f>""</f>
        <v/>
      </c>
    </row>
    <row r="152" spans="17:17">
      <c r="Q152" t="str">
        <f>""</f>
        <v/>
      </c>
    </row>
    <row r="153" spans="17:17">
      <c r="Q153" t="str">
        <f>""</f>
        <v/>
      </c>
    </row>
    <row r="154" spans="17:17">
      <c r="Q154" t="str">
        <f>""</f>
        <v/>
      </c>
    </row>
    <row r="155" spans="17:17">
      <c r="Q155" t="str">
        <f>""</f>
        <v/>
      </c>
    </row>
    <row r="156" spans="17:17">
      <c r="Q156" t="str">
        <f>""</f>
        <v/>
      </c>
    </row>
    <row r="157" spans="17:17">
      <c r="Q157" t="str">
        <f>""</f>
        <v/>
      </c>
    </row>
    <row r="158" spans="17:17">
      <c r="Q158" t="str">
        <f>""</f>
        <v/>
      </c>
    </row>
    <row r="159" spans="17:17">
      <c r="Q159" t="str">
        <f>""</f>
        <v/>
      </c>
    </row>
    <row r="160" spans="17:17">
      <c r="Q160" t="str">
        <f>""</f>
        <v/>
      </c>
    </row>
    <row r="161" spans="17:17">
      <c r="Q161" t="str">
        <f>""</f>
        <v/>
      </c>
    </row>
    <row r="162" spans="17:17">
      <c r="Q162" t="str">
        <f>""</f>
        <v/>
      </c>
    </row>
    <row r="163" spans="17:17">
      <c r="Q163" t="str">
        <f>""</f>
        <v/>
      </c>
    </row>
    <row r="164" spans="17:17">
      <c r="Q164" t="str">
        <f>""</f>
        <v/>
      </c>
    </row>
    <row r="165" spans="17:17">
      <c r="Q165" t="str">
        <f>""</f>
        <v/>
      </c>
    </row>
    <row r="166" spans="17:17">
      <c r="Q166" t="str">
        <f>""</f>
        <v/>
      </c>
    </row>
    <row r="167" spans="17:17">
      <c r="Q167" t="str">
        <f>""</f>
        <v/>
      </c>
    </row>
    <row r="168" spans="17:17">
      <c r="Q168" t="str">
        <f>""</f>
        <v/>
      </c>
    </row>
    <row r="169" spans="17:17">
      <c r="Q169" t="str">
        <f>""</f>
        <v/>
      </c>
    </row>
    <row r="170" spans="17:17">
      <c r="Q170" t="str">
        <f>""</f>
        <v/>
      </c>
    </row>
    <row r="171" spans="17:17">
      <c r="Q171" t="str">
        <f>""</f>
        <v/>
      </c>
    </row>
    <row r="172" spans="17:17">
      <c r="Q172" t="str">
        <f>""</f>
        <v/>
      </c>
    </row>
    <row r="173" spans="17:17">
      <c r="Q173" t="str">
        <f>""</f>
        <v/>
      </c>
    </row>
    <row r="174" spans="17:17">
      <c r="Q174" t="str">
        <f>""</f>
        <v/>
      </c>
    </row>
    <row r="175" spans="17:17">
      <c r="Q175" t="str">
        <f>""</f>
        <v/>
      </c>
    </row>
    <row r="176" spans="17:17">
      <c r="Q176" t="str">
        <f>""</f>
        <v/>
      </c>
    </row>
    <row r="177" spans="17:17">
      <c r="Q177" t="str">
        <f>""</f>
        <v/>
      </c>
    </row>
    <row r="178" spans="17:17">
      <c r="Q178" t="str">
        <f>""</f>
        <v/>
      </c>
    </row>
    <row r="179" spans="17:17">
      <c r="Q179" t="str">
        <f>""</f>
        <v/>
      </c>
    </row>
    <row r="180" spans="17:17">
      <c r="Q180" t="str">
        <f>""</f>
        <v/>
      </c>
    </row>
    <row r="181" spans="17:17">
      <c r="Q181" t="str">
        <f>""</f>
        <v/>
      </c>
    </row>
    <row r="182" spans="17:17">
      <c r="Q182" t="str">
        <f>""</f>
        <v/>
      </c>
    </row>
    <row r="183" spans="17:17">
      <c r="Q183" t="str">
        <f>""</f>
        <v/>
      </c>
    </row>
    <row r="184" spans="17:17">
      <c r="Q184" t="str">
        <f>""</f>
        <v/>
      </c>
    </row>
    <row r="185" spans="17:17">
      <c r="Q185" t="str">
        <f>""</f>
        <v/>
      </c>
    </row>
    <row r="186" spans="17:17">
      <c r="Q186" t="str">
        <f>""</f>
        <v/>
      </c>
    </row>
    <row r="187" spans="17:17">
      <c r="Q187" t="str">
        <f>""</f>
        <v/>
      </c>
    </row>
    <row r="188" spans="17:17">
      <c r="Q188" t="str">
        <f>""</f>
        <v/>
      </c>
    </row>
    <row r="189" spans="17:17">
      <c r="Q189" t="str">
        <f>""</f>
        <v/>
      </c>
    </row>
    <row r="190" spans="17:17">
      <c r="Q190" t="str">
        <f>""</f>
        <v/>
      </c>
    </row>
    <row r="191" spans="17:17">
      <c r="Q191" t="str">
        <f>""</f>
        <v/>
      </c>
    </row>
    <row r="192" spans="17:17">
      <c r="Q192" t="str">
        <f>""</f>
        <v/>
      </c>
    </row>
    <row r="193" spans="17:17">
      <c r="Q193" t="str">
        <f>""</f>
        <v/>
      </c>
    </row>
    <row r="194" spans="17:17">
      <c r="Q194" t="str">
        <f>""</f>
        <v/>
      </c>
    </row>
    <row r="195" spans="17:17">
      <c r="Q195" t="str">
        <f>""</f>
        <v/>
      </c>
    </row>
    <row r="196" spans="17:17">
      <c r="Q196" t="str">
        <f>""</f>
        <v/>
      </c>
    </row>
    <row r="197" spans="17:17">
      <c r="Q197" t="str">
        <f>""</f>
        <v/>
      </c>
    </row>
    <row r="198" spans="17:17">
      <c r="Q198" t="str">
        <f>""</f>
        <v/>
      </c>
    </row>
    <row r="199" spans="17:17">
      <c r="Q199" t="str">
        <f>""</f>
        <v/>
      </c>
    </row>
    <row r="200" spans="17:17">
      <c r="Q200" t="str">
        <f>""</f>
        <v/>
      </c>
    </row>
    <row r="201" spans="17:17">
      <c r="Q201" t="str">
        <f>""</f>
        <v/>
      </c>
    </row>
    <row r="202" spans="17:17">
      <c r="Q202" t="str">
        <f>""</f>
        <v/>
      </c>
    </row>
    <row r="203" spans="17:17">
      <c r="Q203" t="str">
        <f>""</f>
        <v/>
      </c>
    </row>
    <row r="204" spans="17:17">
      <c r="Q204" t="str">
        <f>""</f>
        <v/>
      </c>
    </row>
    <row r="205" spans="17:17">
      <c r="Q205" t="str">
        <f>""</f>
        <v/>
      </c>
    </row>
    <row r="206" spans="17:17">
      <c r="Q206" t="str">
        <f>""</f>
        <v/>
      </c>
    </row>
    <row r="207" spans="17:17">
      <c r="Q207" t="str">
        <f>""</f>
        <v/>
      </c>
    </row>
    <row r="208" spans="17:17">
      <c r="Q208" t="str">
        <f>""</f>
        <v/>
      </c>
    </row>
    <row r="209" spans="17:17">
      <c r="Q209" t="str">
        <f>""</f>
        <v/>
      </c>
    </row>
    <row r="210" spans="17:17">
      <c r="Q210" t="str">
        <f>""</f>
        <v/>
      </c>
    </row>
    <row r="211" spans="17:17">
      <c r="Q211" t="str">
        <f>""</f>
        <v/>
      </c>
    </row>
    <row r="212" spans="17:17">
      <c r="Q212" t="str">
        <f>""</f>
        <v/>
      </c>
    </row>
    <row r="213" spans="17:17">
      <c r="Q213" t="str">
        <f>""</f>
        <v/>
      </c>
    </row>
    <row r="214" spans="17:17">
      <c r="Q214" t="str">
        <f>""</f>
        <v/>
      </c>
    </row>
    <row r="215" spans="17:17">
      <c r="Q215" t="str">
        <f>""</f>
        <v/>
      </c>
    </row>
    <row r="216" spans="17:17">
      <c r="Q216" t="str">
        <f>""</f>
        <v/>
      </c>
    </row>
    <row r="217" spans="17:17">
      <c r="Q217" t="str">
        <f>""</f>
        <v/>
      </c>
    </row>
    <row r="218" spans="17:17">
      <c r="Q218" t="str">
        <f>""</f>
        <v/>
      </c>
    </row>
    <row r="219" spans="17:17">
      <c r="Q219" t="str">
        <f>""</f>
        <v/>
      </c>
    </row>
    <row r="220" spans="17:17">
      <c r="Q220" t="str">
        <f>""</f>
        <v/>
      </c>
    </row>
    <row r="221" spans="17:17">
      <c r="Q221" t="str">
        <f>""</f>
        <v/>
      </c>
    </row>
    <row r="222" spans="17:17">
      <c r="Q222" t="str">
        <f>""</f>
        <v/>
      </c>
    </row>
    <row r="223" spans="17:17">
      <c r="Q223" t="str">
        <f>""</f>
        <v/>
      </c>
    </row>
    <row r="224" spans="17:17">
      <c r="Q224" t="str">
        <f>""</f>
        <v/>
      </c>
    </row>
    <row r="225" spans="17:17">
      <c r="Q225" t="str">
        <f>""</f>
        <v/>
      </c>
    </row>
    <row r="226" spans="17:17">
      <c r="Q226" t="str">
        <f>""</f>
        <v/>
      </c>
    </row>
    <row r="227" spans="17:17">
      <c r="Q227" t="str">
        <f>""</f>
        <v/>
      </c>
    </row>
    <row r="228" spans="17:17">
      <c r="Q228" t="str">
        <f>""</f>
        <v/>
      </c>
    </row>
    <row r="229" spans="17:17">
      <c r="Q229" t="str">
        <f>""</f>
        <v/>
      </c>
    </row>
    <row r="230" spans="17:17">
      <c r="Q230" t="str">
        <f>""</f>
        <v/>
      </c>
    </row>
    <row r="231" spans="17:17">
      <c r="Q231" t="str">
        <f>""</f>
        <v/>
      </c>
    </row>
    <row r="232" spans="17:17">
      <c r="Q232" t="str">
        <f>""</f>
        <v/>
      </c>
    </row>
    <row r="233" spans="17:17">
      <c r="Q233" t="str">
        <f>""</f>
        <v/>
      </c>
    </row>
    <row r="234" spans="17:17">
      <c r="Q234" t="str">
        <f>""</f>
        <v/>
      </c>
    </row>
    <row r="235" spans="17:17">
      <c r="Q235" t="str">
        <f>""</f>
        <v/>
      </c>
    </row>
    <row r="236" spans="17:17">
      <c r="Q236" t="str">
        <f>""</f>
        <v/>
      </c>
    </row>
    <row r="237" spans="17:17">
      <c r="Q237" t="str">
        <f>""</f>
        <v/>
      </c>
    </row>
    <row r="238" spans="17:17">
      <c r="Q238" t="str">
        <f>""</f>
        <v/>
      </c>
    </row>
    <row r="239" spans="17:17">
      <c r="Q239" t="str">
        <f>""</f>
        <v/>
      </c>
    </row>
    <row r="240" spans="17:17">
      <c r="Q240" t="str">
        <f>""</f>
        <v/>
      </c>
    </row>
    <row r="241" spans="17:17">
      <c r="Q241" t="str">
        <f>""</f>
        <v/>
      </c>
    </row>
    <row r="242" spans="17:17">
      <c r="Q242" t="str">
        <f>""</f>
        <v/>
      </c>
    </row>
    <row r="243" spans="17:17">
      <c r="Q243" t="str">
        <f>""</f>
        <v/>
      </c>
    </row>
    <row r="244" spans="17:17">
      <c r="Q244" t="str">
        <f>""</f>
        <v/>
      </c>
    </row>
    <row r="245" spans="17:17">
      <c r="Q245" t="str">
        <f>""</f>
        <v/>
      </c>
    </row>
    <row r="246" spans="17:17">
      <c r="Q246" t="str">
        <f>""</f>
        <v/>
      </c>
    </row>
    <row r="247" spans="17:17">
      <c r="Q247" t="str">
        <f>""</f>
        <v/>
      </c>
    </row>
    <row r="248" spans="17:17">
      <c r="Q248" t="str">
        <f>""</f>
        <v/>
      </c>
    </row>
    <row r="249" spans="17:17">
      <c r="Q249" t="str">
        <f>""</f>
        <v/>
      </c>
    </row>
    <row r="250" spans="17:17">
      <c r="Q250" t="str">
        <f>""</f>
        <v/>
      </c>
    </row>
    <row r="251" spans="17:17">
      <c r="Q251" t="str">
        <f>""</f>
        <v/>
      </c>
    </row>
    <row r="252" spans="17:17">
      <c r="Q252" t="str">
        <f>""</f>
        <v/>
      </c>
    </row>
    <row r="253" spans="17:17">
      <c r="Q253" t="str">
        <f>""</f>
        <v/>
      </c>
    </row>
    <row r="254" spans="17:17">
      <c r="Q254" t="str">
        <f>""</f>
        <v/>
      </c>
    </row>
    <row r="255" spans="17:17">
      <c r="Q255" t="str">
        <f>""</f>
        <v/>
      </c>
    </row>
    <row r="256" spans="17:17">
      <c r="Q256" t="str">
        <f>""</f>
        <v/>
      </c>
    </row>
    <row r="257" spans="17:17">
      <c r="Q257" t="str">
        <f>""</f>
        <v/>
      </c>
    </row>
    <row r="258" spans="17:17">
      <c r="Q258" t="str">
        <f>""</f>
        <v/>
      </c>
    </row>
    <row r="259" spans="17:17">
      <c r="Q259" t="str">
        <f>""</f>
        <v/>
      </c>
    </row>
    <row r="260" spans="17:17">
      <c r="Q260" t="str">
        <f>""</f>
        <v/>
      </c>
    </row>
    <row r="261" spans="17:17">
      <c r="Q261" t="str">
        <f>""</f>
        <v/>
      </c>
    </row>
    <row r="262" spans="17:17">
      <c r="Q262" t="str">
        <f>""</f>
        <v/>
      </c>
    </row>
    <row r="263" spans="17:17">
      <c r="Q263" t="str">
        <f>""</f>
        <v/>
      </c>
    </row>
    <row r="264" spans="17:17">
      <c r="Q264" t="str">
        <f>""</f>
        <v/>
      </c>
    </row>
    <row r="265" spans="17:17">
      <c r="Q265" t="str">
        <f>""</f>
        <v/>
      </c>
    </row>
    <row r="266" spans="17:17">
      <c r="Q266" t="str">
        <f>""</f>
        <v/>
      </c>
    </row>
    <row r="267" spans="17:17">
      <c r="Q267" t="str">
        <f>""</f>
        <v/>
      </c>
    </row>
    <row r="268" spans="17:17">
      <c r="Q268" t="str">
        <f>""</f>
        <v/>
      </c>
    </row>
    <row r="269" spans="17:17">
      <c r="Q269" t="str">
        <f>""</f>
        <v/>
      </c>
    </row>
    <row r="275" spans="17:20">
      <c r="Q275" t="str">
        <f>""</f>
        <v/>
      </c>
    </row>
    <row r="276" spans="17:20">
      <c r="Q276" t="str">
        <f>""</f>
        <v/>
      </c>
    </row>
    <row r="277" spans="17:20">
      <c r="Q277" t="str">
        <f>""</f>
        <v/>
      </c>
    </row>
    <row r="278" spans="17:20">
      <c r="Q278" t="str">
        <f>""</f>
        <v/>
      </c>
    </row>
    <row r="279" spans="17:20">
      <c r="Q279" t="str">
        <f>""</f>
        <v/>
      </c>
    </row>
    <row r="280" spans="17:20">
      <c r="Q280" t="str">
        <f>""</f>
        <v/>
      </c>
    </row>
    <row r="281" spans="17:20">
      <c r="Q281" t="str">
        <f>""</f>
        <v/>
      </c>
    </row>
    <row r="282" spans="17:20">
      <c r="Q282" t="str">
        <f>""</f>
        <v/>
      </c>
    </row>
    <row r="283" spans="17:20">
      <c r="Q283" t="str">
        <f>""</f>
        <v/>
      </c>
    </row>
    <row r="284" spans="17:20">
      <c r="Q284" t="str">
        <f>""</f>
        <v/>
      </c>
    </row>
    <row r="285" spans="17:20">
      <c r="Q285" t="str">
        <f>""</f>
        <v/>
      </c>
      <c r="S285">
        <v>1</v>
      </c>
      <c r="T285">
        <v>2</v>
      </c>
    </row>
    <row r="286" spans="17:20">
      <c r="Q286" t="str">
        <f>""</f>
        <v/>
      </c>
    </row>
    <row r="287" spans="17:20">
      <c r="Q287" t="str">
        <f>""</f>
        <v/>
      </c>
    </row>
    <row r="288" spans="17:20">
      <c r="Q288" t="str">
        <f>""</f>
        <v/>
      </c>
    </row>
    <row r="289" spans="17:20">
      <c r="Q289" t="str">
        <f>""</f>
        <v/>
      </c>
      <c r="S289">
        <v>2</v>
      </c>
      <c r="T289">
        <v>1</v>
      </c>
    </row>
    <row r="290" spans="17:20">
      <c r="Q290" t="str">
        <f>""</f>
        <v/>
      </c>
      <c r="T290">
        <v>3</v>
      </c>
    </row>
    <row r="291" spans="17:20">
      <c r="Q291" t="str">
        <f>""</f>
        <v/>
      </c>
    </row>
    <row r="292" spans="17:20">
      <c r="Q292" t="str">
        <f>""</f>
        <v/>
      </c>
    </row>
    <row r="293" spans="17:20">
      <c r="Q293" t="str">
        <f>""</f>
        <v/>
      </c>
    </row>
    <row r="294" spans="17:20">
      <c r="Q294" t="str">
        <f>""</f>
        <v/>
      </c>
      <c r="R294">
        <v>3</v>
      </c>
    </row>
    <row r="295" spans="17:20">
      <c r="Q295" t="str">
        <f>""</f>
        <v/>
      </c>
      <c r="S295">
        <v>3</v>
      </c>
    </row>
    <row r="296" spans="17:20">
      <c r="Q296" t="str">
        <f>""</f>
        <v/>
      </c>
    </row>
    <row r="297" spans="17:20">
      <c r="Q297" t="str">
        <f>""</f>
        <v/>
      </c>
    </row>
    <row r="298" spans="17:20">
      <c r="Q298" t="str">
        <f>""</f>
        <v/>
      </c>
    </row>
    <row r="299" spans="17:20">
      <c r="Q299" t="str">
        <f>""</f>
        <v/>
      </c>
      <c r="S299">
        <v>1</v>
      </c>
      <c r="T299">
        <v>1</v>
      </c>
    </row>
    <row r="300" spans="17:20">
      <c r="Q300" t="str">
        <f>""</f>
        <v/>
      </c>
      <c r="S300">
        <v>2</v>
      </c>
    </row>
    <row r="301" spans="17:20">
      <c r="Q301" t="str">
        <f>""</f>
        <v/>
      </c>
      <c r="R301">
        <v>1</v>
      </c>
    </row>
    <row r="302" spans="17:20">
      <c r="Q302" t="str">
        <f>""</f>
        <v/>
      </c>
    </row>
    <row r="303" spans="17:20">
      <c r="Q303" t="str">
        <f>""</f>
        <v/>
      </c>
    </row>
    <row r="304" spans="17:20">
      <c r="Q304" t="str">
        <f>""</f>
        <v/>
      </c>
      <c r="S304">
        <v>3</v>
      </c>
      <c r="T304">
        <v>2</v>
      </c>
    </row>
    <row r="305" spans="17:20">
      <c r="Q305" t="str">
        <f>""</f>
        <v/>
      </c>
      <c r="R305">
        <v>1</v>
      </c>
      <c r="S305">
        <v>1</v>
      </c>
      <c r="T305">
        <v>1</v>
      </c>
    </row>
    <row r="306" spans="17:20">
      <c r="Q306" t="str">
        <f>""</f>
        <v/>
      </c>
    </row>
    <row r="307" spans="17:20">
      <c r="Q307" t="str">
        <f>""</f>
        <v/>
      </c>
    </row>
    <row r="308" spans="17:20">
      <c r="Q308" t="str">
        <f>""</f>
        <v/>
      </c>
    </row>
    <row r="309" spans="17:20">
      <c r="Q309" t="str">
        <f>""</f>
        <v/>
      </c>
    </row>
    <row r="310" spans="17:20">
      <c r="Q310" t="str">
        <f>""</f>
        <v/>
      </c>
    </row>
    <row r="311" spans="17:20">
      <c r="Q311" t="str">
        <f>""</f>
        <v/>
      </c>
    </row>
    <row r="312" spans="17:20">
      <c r="Q312" t="str">
        <f>""</f>
        <v/>
      </c>
    </row>
    <row r="313" spans="17:20">
      <c r="Q313" t="str">
        <f>""</f>
        <v/>
      </c>
      <c r="R313">
        <v>3</v>
      </c>
      <c r="S313">
        <v>1</v>
      </c>
    </row>
    <row r="314" spans="17:20">
      <c r="Q314" t="str">
        <f>""</f>
        <v/>
      </c>
    </row>
    <row r="315" spans="17:20">
      <c r="Q315" t="str">
        <f>""</f>
        <v/>
      </c>
    </row>
    <row r="316" spans="17:20">
      <c r="Q316" t="str">
        <f>""</f>
        <v/>
      </c>
      <c r="S316">
        <v>2</v>
      </c>
    </row>
    <row r="317" spans="17:20">
      <c r="Q317" t="str">
        <f>""</f>
        <v/>
      </c>
    </row>
    <row r="318" spans="17:20">
      <c r="Q318" t="str">
        <f>""</f>
        <v/>
      </c>
    </row>
    <row r="319" spans="17:20">
      <c r="Q319" t="str">
        <f>""</f>
        <v/>
      </c>
    </row>
    <row r="320" spans="17:20">
      <c r="Q320" t="str">
        <f>""</f>
        <v/>
      </c>
    </row>
    <row r="321" spans="17:20">
      <c r="Q321" t="str">
        <f>""</f>
        <v/>
      </c>
    </row>
    <row r="322" spans="17:20">
      <c r="Q322" t="str">
        <f>""</f>
        <v/>
      </c>
    </row>
    <row r="323" spans="17:20">
      <c r="Q323" t="str">
        <f>""</f>
        <v/>
      </c>
    </row>
    <row r="324" spans="17:20">
      <c r="Q324" t="str">
        <f>""</f>
        <v/>
      </c>
      <c r="T324">
        <v>3</v>
      </c>
    </row>
    <row r="325" spans="17:20">
      <c r="Q325" t="str">
        <f>""</f>
        <v/>
      </c>
    </row>
    <row r="326" spans="17:20">
      <c r="Q326" t="str">
        <f>""</f>
        <v/>
      </c>
    </row>
    <row r="327" spans="17:20">
      <c r="Q327" t="str">
        <f>""</f>
        <v/>
      </c>
      <c r="R327">
        <v>3</v>
      </c>
      <c r="S327">
        <v>1</v>
      </c>
    </row>
    <row r="328" spans="17:20">
      <c r="Q328" t="str">
        <f>""</f>
        <v/>
      </c>
    </row>
    <row r="329" spans="17:20">
      <c r="Q329" t="str">
        <f>""</f>
        <v/>
      </c>
      <c r="T329">
        <v>2</v>
      </c>
    </row>
    <row r="330" spans="17:20">
      <c r="Q330" t="str">
        <f>""</f>
        <v/>
      </c>
    </row>
    <row r="331" spans="17:20">
      <c r="Q331" t="str">
        <f>""</f>
        <v/>
      </c>
      <c r="T331">
        <v>3</v>
      </c>
    </row>
    <row r="332" spans="17:20">
      <c r="Q332" t="str">
        <f>""</f>
        <v/>
      </c>
      <c r="T332">
        <v>1</v>
      </c>
    </row>
    <row r="333" spans="17:20">
      <c r="Q333" t="str">
        <f>""</f>
        <v/>
      </c>
    </row>
    <row r="334" spans="17:20">
      <c r="Q334" t="str">
        <f>""</f>
        <v/>
      </c>
    </row>
    <row r="335" spans="17:20">
      <c r="Q335" t="str">
        <f>""</f>
        <v/>
      </c>
    </row>
    <row r="336" spans="17:20">
      <c r="Q336" t="str">
        <f>""</f>
        <v/>
      </c>
    </row>
    <row r="337" spans="17:20">
      <c r="Q337" t="str">
        <f>""</f>
        <v/>
      </c>
    </row>
    <row r="338" spans="17:20">
      <c r="Q338" t="str">
        <f>""</f>
        <v/>
      </c>
    </row>
    <row r="339" spans="17:20">
      <c r="Q339" t="str">
        <f>""</f>
        <v/>
      </c>
    </row>
    <row r="340" spans="17:20">
      <c r="Q340" t="str">
        <f>""</f>
        <v/>
      </c>
    </row>
    <row r="341" spans="17:20">
      <c r="Q341" t="str">
        <f>""</f>
        <v/>
      </c>
      <c r="T341">
        <v>3</v>
      </c>
    </row>
    <row r="342" spans="17:20">
      <c r="Q342" t="str">
        <f>""</f>
        <v/>
      </c>
      <c r="R342">
        <v>2</v>
      </c>
      <c r="S342">
        <v>2</v>
      </c>
      <c r="T342">
        <v>2</v>
      </c>
    </row>
    <row r="343" spans="17:20">
      <c r="Q343" t="str">
        <f>""</f>
        <v/>
      </c>
    </row>
    <row r="344" spans="17:20">
      <c r="Q344" t="str">
        <f>""</f>
        <v/>
      </c>
    </row>
    <row r="345" spans="17:20">
      <c r="Q345" t="str">
        <f>""</f>
        <v/>
      </c>
    </row>
    <row r="346" spans="17:20">
      <c r="Q346" t="str">
        <f>""</f>
        <v/>
      </c>
      <c r="R346">
        <v>3</v>
      </c>
      <c r="S346">
        <v>1</v>
      </c>
      <c r="T346">
        <v>1</v>
      </c>
    </row>
    <row r="347" spans="17:20">
      <c r="Q347" t="str">
        <f>""</f>
        <v/>
      </c>
    </row>
    <row r="348" spans="17:20">
      <c r="Q348" t="str">
        <f>""</f>
        <v/>
      </c>
    </row>
    <row r="349" spans="17:20">
      <c r="Q349" t="str">
        <f>""</f>
        <v/>
      </c>
    </row>
    <row r="350" spans="17:20">
      <c r="Q350" t="str">
        <f>""</f>
        <v/>
      </c>
      <c r="R350">
        <v>2</v>
      </c>
      <c r="S350">
        <v>1</v>
      </c>
      <c r="T350">
        <v>1</v>
      </c>
    </row>
    <row r="351" spans="17:20">
      <c r="Q351" t="str">
        <f>""</f>
        <v/>
      </c>
    </row>
    <row r="352" spans="17:20">
      <c r="Q352" t="str">
        <f>""</f>
        <v/>
      </c>
    </row>
    <row r="353" spans="17:20">
      <c r="Q353" t="str">
        <f>""</f>
        <v/>
      </c>
    </row>
    <row r="354" spans="17:20">
      <c r="Q354" t="str">
        <f>""</f>
        <v/>
      </c>
    </row>
    <row r="355" spans="17:20">
      <c r="Q355" t="str">
        <f>""</f>
        <v/>
      </c>
      <c r="S355">
        <v>3</v>
      </c>
      <c r="T355">
        <v>3</v>
      </c>
    </row>
    <row r="356" spans="17:20">
      <c r="Q356" t="str">
        <f>""</f>
        <v/>
      </c>
    </row>
    <row r="357" spans="17:20">
      <c r="Q357" t="str">
        <f>""</f>
        <v/>
      </c>
    </row>
    <row r="358" spans="17:20">
      <c r="Q358" t="str">
        <f>""</f>
        <v/>
      </c>
    </row>
    <row r="359" spans="17:20">
      <c r="Q359" t="str">
        <f>""</f>
        <v/>
      </c>
    </row>
    <row r="360" spans="17:20">
      <c r="Q360" t="str">
        <f>""</f>
        <v/>
      </c>
    </row>
    <row r="361" spans="17:20">
      <c r="Q361" t="str">
        <f>""</f>
        <v/>
      </c>
      <c r="T361">
        <v>3</v>
      </c>
    </row>
    <row r="362" spans="17:20">
      <c r="Q362" t="str">
        <f>""</f>
        <v/>
      </c>
    </row>
    <row r="363" spans="17:20">
      <c r="Q363" t="str">
        <f>""</f>
        <v/>
      </c>
    </row>
    <row r="364" spans="17:20">
      <c r="Q364" t="str">
        <f>""</f>
        <v/>
      </c>
      <c r="R364">
        <v>3</v>
      </c>
      <c r="S364">
        <v>1</v>
      </c>
      <c r="T364">
        <v>1</v>
      </c>
    </row>
    <row r="365" spans="17:20">
      <c r="Q365" t="str">
        <f>""</f>
        <v/>
      </c>
    </row>
    <row r="366" spans="17:20">
      <c r="Q366" t="str">
        <f>""</f>
        <v/>
      </c>
      <c r="S366">
        <v>2</v>
      </c>
      <c r="T366">
        <v>2</v>
      </c>
    </row>
    <row r="367" spans="17:20">
      <c r="Q367" t="str">
        <f>""</f>
        <v/>
      </c>
      <c r="R367">
        <v>1</v>
      </c>
      <c r="S367">
        <v>1</v>
      </c>
      <c r="T367">
        <v>1</v>
      </c>
    </row>
    <row r="368" spans="17:20">
      <c r="Q368" t="str">
        <f>""</f>
        <v/>
      </c>
      <c r="S368">
        <v>3</v>
      </c>
      <c r="T368">
        <v>3</v>
      </c>
    </row>
    <row r="369" spans="17:20">
      <c r="Q369" t="str">
        <f>""</f>
        <v/>
      </c>
    </row>
    <row r="370" spans="17:20">
      <c r="Q370" t="str">
        <f>""</f>
        <v/>
      </c>
    </row>
    <row r="371" spans="17:20">
      <c r="Q371" t="str">
        <f>""</f>
        <v/>
      </c>
    </row>
    <row r="372" spans="17:20">
      <c r="Q372" t="str">
        <f>""</f>
        <v/>
      </c>
    </row>
    <row r="373" spans="17:20">
      <c r="Q373" t="str">
        <f>""</f>
        <v/>
      </c>
    </row>
    <row r="374" spans="17:20">
      <c r="Q374" t="str">
        <f>""</f>
        <v/>
      </c>
    </row>
    <row r="375" spans="17:20">
      <c r="Q375" t="str">
        <f>""</f>
        <v/>
      </c>
    </row>
    <row r="376" spans="17:20">
      <c r="Q376" t="str">
        <f>""</f>
        <v/>
      </c>
    </row>
    <row r="377" spans="17:20">
      <c r="Q377" t="str">
        <f>""</f>
        <v/>
      </c>
      <c r="R377">
        <v>2</v>
      </c>
      <c r="S377">
        <v>1</v>
      </c>
      <c r="T377">
        <v>1</v>
      </c>
    </row>
    <row r="378" spans="17:20">
      <c r="Q378" t="str">
        <f>""</f>
        <v/>
      </c>
      <c r="S378">
        <v>2</v>
      </c>
      <c r="T378">
        <v>2</v>
      </c>
    </row>
    <row r="379" spans="17:20">
      <c r="Q379" t="str">
        <f>""</f>
        <v/>
      </c>
    </row>
    <row r="380" spans="17:20">
      <c r="Q380" t="str">
        <f>""</f>
        <v/>
      </c>
    </row>
    <row r="381" spans="17:20">
      <c r="Q381" t="str">
        <f>""</f>
        <v/>
      </c>
    </row>
    <row r="382" spans="17:20">
      <c r="Q382" t="str">
        <f>""</f>
        <v/>
      </c>
    </row>
    <row r="383" spans="17:20">
      <c r="Q383" t="str">
        <f>""</f>
        <v/>
      </c>
    </row>
    <row r="384" spans="17:20">
      <c r="Q384" t="str">
        <f>""</f>
        <v/>
      </c>
      <c r="S384">
        <v>3</v>
      </c>
      <c r="T384">
        <v>3</v>
      </c>
    </row>
    <row r="385" spans="17:20">
      <c r="Q385" t="str">
        <f>""</f>
        <v/>
      </c>
    </row>
    <row r="386" spans="17:20">
      <c r="Q386" t="str">
        <f>""</f>
        <v/>
      </c>
    </row>
    <row r="387" spans="17:20">
      <c r="Q387" t="str">
        <f>""</f>
        <v/>
      </c>
    </row>
    <row r="388" spans="17:20">
      <c r="Q388" t="str">
        <f>""</f>
        <v/>
      </c>
    </row>
    <row r="389" spans="17:20">
      <c r="Q389" t="str">
        <f>""</f>
        <v/>
      </c>
    </row>
    <row r="390" spans="17:20">
      <c r="Q390" t="str">
        <f>""</f>
        <v/>
      </c>
      <c r="R390">
        <v>2</v>
      </c>
    </row>
    <row r="391" spans="17:20">
      <c r="Q391" t="str">
        <f>""</f>
        <v/>
      </c>
      <c r="R391">
        <v>3</v>
      </c>
      <c r="S391">
        <v>1</v>
      </c>
      <c r="T391">
        <v>2</v>
      </c>
    </row>
    <row r="392" spans="17:20">
      <c r="Q392" t="str">
        <f>""</f>
        <v/>
      </c>
      <c r="S392">
        <v>3</v>
      </c>
    </row>
    <row r="393" spans="17:20">
      <c r="Q393" t="str">
        <f>""</f>
        <v/>
      </c>
    </row>
    <row r="394" spans="17:20">
      <c r="Q394" t="str">
        <f>""</f>
        <v/>
      </c>
    </row>
    <row r="395" spans="17:20">
      <c r="Q395" t="str">
        <f>""</f>
        <v/>
      </c>
    </row>
    <row r="396" spans="17:20">
      <c r="Q396" t="str">
        <f>""</f>
        <v/>
      </c>
      <c r="R396">
        <v>3</v>
      </c>
    </row>
    <row r="397" spans="17:20">
      <c r="Q397" t="str">
        <f>""</f>
        <v/>
      </c>
    </row>
    <row r="398" spans="17:20">
      <c r="Q398" t="str">
        <f>""</f>
        <v/>
      </c>
      <c r="T398">
        <v>1</v>
      </c>
    </row>
    <row r="399" spans="17:20">
      <c r="Q399" t="str">
        <f>""</f>
        <v/>
      </c>
    </row>
    <row r="400" spans="17:20">
      <c r="Q400" t="str">
        <f>""</f>
        <v/>
      </c>
    </row>
    <row r="401" spans="17:20">
      <c r="Q401" t="str">
        <f>""</f>
        <v/>
      </c>
    </row>
    <row r="402" spans="17:20">
      <c r="Q402" t="str">
        <f>""</f>
        <v/>
      </c>
      <c r="S402">
        <v>2</v>
      </c>
      <c r="T402">
        <v>2</v>
      </c>
    </row>
    <row r="403" spans="17:20">
      <c r="Q403" t="str">
        <f>""</f>
        <v/>
      </c>
    </row>
    <row r="404" spans="17:20">
      <c r="Q404" t="str">
        <f>""</f>
        <v/>
      </c>
    </row>
    <row r="405" spans="17:20">
      <c r="Q405" t="str">
        <f>""</f>
        <v/>
      </c>
    </row>
    <row r="406" spans="17:20">
      <c r="Q406" t="str">
        <f>""</f>
        <v/>
      </c>
    </row>
    <row r="407" spans="17:20">
      <c r="Q407" t="str">
        <f>""</f>
        <v/>
      </c>
      <c r="R407">
        <v>1</v>
      </c>
    </row>
    <row r="408" spans="17:20">
      <c r="Q408" t="str">
        <f>""</f>
        <v/>
      </c>
    </row>
    <row r="409" spans="17:20">
      <c r="Q409" t="str">
        <f>""</f>
        <v/>
      </c>
    </row>
    <row r="410" spans="17:20">
      <c r="Q410" t="str">
        <f>""</f>
        <v/>
      </c>
    </row>
    <row r="411" spans="17:20">
      <c r="Q411" t="str">
        <f>""</f>
        <v/>
      </c>
    </row>
    <row r="412" spans="17:20">
      <c r="Q412" t="str">
        <f>""</f>
        <v/>
      </c>
    </row>
    <row r="413" spans="17:20">
      <c r="Q413" t="str">
        <f>""</f>
        <v/>
      </c>
    </row>
    <row r="414" spans="17:20">
      <c r="Q414" t="str">
        <f>""</f>
        <v/>
      </c>
    </row>
    <row r="415" spans="17:20">
      <c r="Q415" t="str">
        <f>""</f>
        <v/>
      </c>
      <c r="T415">
        <v>1</v>
      </c>
    </row>
    <row r="416" spans="17:20">
      <c r="Q416" t="str">
        <f>""</f>
        <v/>
      </c>
      <c r="T416">
        <v>3</v>
      </c>
    </row>
    <row r="417" spans="17:20">
      <c r="Q417" t="str">
        <f>""</f>
        <v/>
      </c>
      <c r="R417">
        <v>2</v>
      </c>
      <c r="S417">
        <v>3</v>
      </c>
    </row>
    <row r="418" spans="17:20">
      <c r="Q418" t="str">
        <f>""</f>
        <v/>
      </c>
    </row>
    <row r="419" spans="17:20">
      <c r="Q419" t="str">
        <f>""</f>
        <v/>
      </c>
    </row>
    <row r="420" spans="17:20">
      <c r="Q420" t="str">
        <f>""</f>
        <v/>
      </c>
      <c r="S420">
        <v>3</v>
      </c>
      <c r="T420">
        <v>3</v>
      </c>
    </row>
    <row r="421" spans="17:20">
      <c r="Q421" t="str">
        <f>""</f>
        <v/>
      </c>
      <c r="S421">
        <v>2</v>
      </c>
      <c r="T421">
        <v>2</v>
      </c>
    </row>
    <row r="422" spans="17:20">
      <c r="Q422" t="str">
        <f>""</f>
        <v/>
      </c>
    </row>
    <row r="423" spans="17:20">
      <c r="Q423" t="str">
        <f>""</f>
        <v/>
      </c>
    </row>
    <row r="424" spans="17:20">
      <c r="Q424" t="str">
        <f>""</f>
        <v/>
      </c>
    </row>
    <row r="425" spans="17:20">
      <c r="Q425" t="str">
        <f>""</f>
        <v/>
      </c>
    </row>
    <row r="426" spans="17:20">
      <c r="Q426" t="str">
        <f>""</f>
        <v/>
      </c>
    </row>
    <row r="427" spans="17:20">
      <c r="Q427" t="str">
        <f>""</f>
        <v/>
      </c>
    </row>
    <row r="428" spans="17:20">
      <c r="Q428" t="str">
        <f>""</f>
        <v/>
      </c>
    </row>
    <row r="429" spans="17:20">
      <c r="Q429" t="str">
        <f>""</f>
        <v/>
      </c>
    </row>
    <row r="430" spans="17:20">
      <c r="Q430" t="str">
        <f>""</f>
        <v/>
      </c>
    </row>
    <row r="431" spans="17:20">
      <c r="Q431" t="str">
        <f>""</f>
        <v/>
      </c>
    </row>
    <row r="432" spans="17:20">
      <c r="Q432" t="str">
        <f>""</f>
        <v/>
      </c>
    </row>
    <row r="433" spans="17:20">
      <c r="Q433" t="str">
        <f>""</f>
        <v/>
      </c>
    </row>
    <row r="434" spans="17:20">
      <c r="Q434" t="str">
        <f>""</f>
        <v/>
      </c>
    </row>
    <row r="435" spans="17:20">
      <c r="Q435" t="str">
        <f>""</f>
        <v/>
      </c>
      <c r="S435">
        <v>3</v>
      </c>
      <c r="T435">
        <v>3</v>
      </c>
    </row>
    <row r="436" spans="17:20">
      <c r="Q436" t="str">
        <f>""</f>
        <v/>
      </c>
    </row>
    <row r="437" spans="17:20">
      <c r="Q437" t="str">
        <f>""</f>
        <v/>
      </c>
      <c r="S437">
        <v>2</v>
      </c>
      <c r="T437">
        <v>2</v>
      </c>
    </row>
    <row r="438" spans="17:20">
      <c r="Q438" t="str">
        <f>""</f>
        <v/>
      </c>
    </row>
    <row r="439" spans="17:20">
      <c r="Q439" t="str">
        <f>""</f>
        <v/>
      </c>
    </row>
    <row r="440" spans="17:20">
      <c r="Q440" t="str">
        <f>""</f>
        <v/>
      </c>
      <c r="S440">
        <v>2</v>
      </c>
      <c r="T440">
        <v>2</v>
      </c>
    </row>
    <row r="441" spans="17:20">
      <c r="Q441" t="str">
        <f>""</f>
        <v/>
      </c>
    </row>
    <row r="442" spans="17:20">
      <c r="Q442" t="str">
        <f>""</f>
        <v/>
      </c>
      <c r="R442">
        <v>3</v>
      </c>
    </row>
    <row r="443" spans="17:20">
      <c r="Q443" t="str">
        <f>""</f>
        <v/>
      </c>
      <c r="R443">
        <v>2</v>
      </c>
      <c r="S443">
        <v>1</v>
      </c>
      <c r="T443">
        <v>1</v>
      </c>
    </row>
    <row r="444" spans="17:20">
      <c r="Q444" t="str">
        <f>""</f>
        <v/>
      </c>
    </row>
    <row r="445" spans="17:20">
      <c r="Q445" t="str">
        <f>""</f>
        <v/>
      </c>
    </row>
    <row r="446" spans="17:20">
      <c r="Q446" t="str">
        <f>""</f>
        <v/>
      </c>
    </row>
    <row r="447" spans="17:20">
      <c r="Q447" t="str">
        <f>""</f>
        <v/>
      </c>
    </row>
    <row r="448" spans="17:20">
      <c r="Q448" t="str">
        <f>""</f>
        <v/>
      </c>
    </row>
    <row r="449" spans="17:20">
      <c r="Q449" t="str">
        <f>""</f>
        <v/>
      </c>
    </row>
    <row r="450" spans="17:20">
      <c r="Q450" t="str">
        <f>""</f>
        <v/>
      </c>
    </row>
    <row r="451" spans="17:20">
      <c r="Q451" t="str">
        <f>""</f>
        <v/>
      </c>
      <c r="S451">
        <v>1</v>
      </c>
      <c r="T451">
        <v>1</v>
      </c>
    </row>
    <row r="452" spans="17:20">
      <c r="Q452" t="str">
        <f>""</f>
        <v/>
      </c>
    </row>
    <row r="453" spans="17:20">
      <c r="Q453" t="str">
        <f>""</f>
        <v/>
      </c>
    </row>
    <row r="454" spans="17:20">
      <c r="Q454" t="str">
        <f>""</f>
        <v/>
      </c>
    </row>
    <row r="455" spans="17:20">
      <c r="Q455" t="str">
        <f>""</f>
        <v/>
      </c>
    </row>
    <row r="456" spans="17:20">
      <c r="Q456" t="str">
        <f>""</f>
        <v/>
      </c>
    </row>
    <row r="457" spans="17:20">
      <c r="Q457" t="str">
        <f>""</f>
        <v/>
      </c>
      <c r="S457">
        <v>3</v>
      </c>
      <c r="T457">
        <v>3</v>
      </c>
    </row>
    <row r="458" spans="17:20">
      <c r="Q458" t="str">
        <f>""</f>
        <v/>
      </c>
      <c r="R458">
        <v>2</v>
      </c>
      <c r="S458">
        <v>2</v>
      </c>
      <c r="T458">
        <v>2</v>
      </c>
    </row>
    <row r="459" spans="17:20">
      <c r="Q459" t="str">
        <f>""</f>
        <v/>
      </c>
    </row>
    <row r="460" spans="17:20">
      <c r="Q460" t="str">
        <f>""</f>
        <v/>
      </c>
    </row>
    <row r="461" spans="17:20">
      <c r="Q461" t="str">
        <f>""</f>
        <v/>
      </c>
    </row>
    <row r="462" spans="17:20">
      <c r="Q462" t="str">
        <f>""</f>
        <v/>
      </c>
    </row>
    <row r="463" spans="17:20">
      <c r="Q463" t="str">
        <f>""</f>
        <v/>
      </c>
    </row>
    <row r="464" spans="17:20">
      <c r="Q464" t="str">
        <f>""</f>
        <v/>
      </c>
    </row>
    <row r="486" spans="17:18">
      <c r="Q486" t="str">
        <f>""</f>
        <v/>
      </c>
      <c r="R486">
        <v>1</v>
      </c>
    </row>
    <row r="487" spans="17:18">
      <c r="Q487" t="str">
        <f>""</f>
        <v/>
      </c>
    </row>
    <row r="488" spans="17:18">
      <c r="Q488" t="str">
        <f>""</f>
        <v/>
      </c>
    </row>
    <row r="489" spans="17:18">
      <c r="Q489" t="str">
        <f>""</f>
        <v/>
      </c>
    </row>
    <row r="490" spans="17:18">
      <c r="Q490" t="str">
        <f>""</f>
        <v/>
      </c>
      <c r="R490">
        <v>1</v>
      </c>
    </row>
    <row r="491" spans="17:18">
      <c r="Q491" t="str">
        <f>""</f>
        <v/>
      </c>
      <c r="R491">
        <v>3</v>
      </c>
    </row>
    <row r="492" spans="17:18">
      <c r="Q492" t="str">
        <f>""</f>
        <v/>
      </c>
      <c r="R492">
        <v>2</v>
      </c>
    </row>
    <row r="493" spans="17:18">
      <c r="Q493" t="str">
        <f>""</f>
        <v/>
      </c>
      <c r="R493">
        <v>3</v>
      </c>
    </row>
    <row r="494" spans="17:18">
      <c r="Q494" t="str">
        <f>""</f>
        <v/>
      </c>
    </row>
    <row r="495" spans="17:18">
      <c r="Q495" t="str">
        <f>""</f>
        <v/>
      </c>
    </row>
    <row r="496" spans="17:18">
      <c r="Q496" t="str">
        <f>""</f>
        <v/>
      </c>
    </row>
    <row r="497" spans="17:20">
      <c r="Q497" t="str">
        <f>""</f>
        <v/>
      </c>
      <c r="R497">
        <v>2</v>
      </c>
      <c r="S497">
        <v>2</v>
      </c>
      <c r="T497">
        <v>2</v>
      </c>
    </row>
    <row r="498" spans="17:20">
      <c r="Q498" t="str">
        <f>""</f>
        <v/>
      </c>
    </row>
    <row r="499" spans="17:20">
      <c r="Q499" t="str">
        <f>""</f>
        <v/>
      </c>
    </row>
    <row r="500" spans="17:20">
      <c r="Q500" t="str">
        <f>""</f>
        <v/>
      </c>
      <c r="R500">
        <v>3</v>
      </c>
      <c r="S500">
        <v>3</v>
      </c>
    </row>
    <row r="501" spans="17:20">
      <c r="Q501" t="str">
        <f>""</f>
        <v/>
      </c>
    </row>
    <row r="502" spans="17:20">
      <c r="Q502" t="str">
        <f>""</f>
        <v/>
      </c>
    </row>
    <row r="503" spans="17:20">
      <c r="Q503" t="str">
        <f>""</f>
        <v/>
      </c>
    </row>
    <row r="504" spans="17:20">
      <c r="Q504" t="str">
        <f>""</f>
        <v/>
      </c>
    </row>
    <row r="505" spans="17:20">
      <c r="Q505" t="str">
        <f>""</f>
        <v/>
      </c>
      <c r="R505">
        <v>1</v>
      </c>
    </row>
    <row r="506" spans="17:20">
      <c r="Q506" t="str">
        <f>""</f>
        <v/>
      </c>
    </row>
    <row r="507" spans="17:20">
      <c r="Q507" t="str">
        <f>""</f>
        <v/>
      </c>
      <c r="R507">
        <v>2</v>
      </c>
    </row>
    <row r="508" spans="17:20">
      <c r="Q508" t="str">
        <f>""</f>
        <v/>
      </c>
    </row>
    <row r="509" spans="17:20">
      <c r="Q509" t="str">
        <f>""</f>
        <v/>
      </c>
      <c r="R509">
        <v>2</v>
      </c>
    </row>
    <row r="510" spans="17:20">
      <c r="Q510" t="str">
        <f>""</f>
        <v/>
      </c>
      <c r="R510">
        <v>1</v>
      </c>
      <c r="S510">
        <v>3</v>
      </c>
    </row>
    <row r="511" spans="17:20">
      <c r="Q511" t="str">
        <f>""</f>
        <v/>
      </c>
    </row>
    <row r="512" spans="17:20">
      <c r="Q512" t="str">
        <f>""</f>
        <v/>
      </c>
    </row>
    <row r="513" spans="17:20">
      <c r="Q513" t="str">
        <f>""</f>
        <v/>
      </c>
    </row>
    <row r="514" spans="17:20">
      <c r="Q514" t="str">
        <f>""</f>
        <v/>
      </c>
    </row>
    <row r="515" spans="17:20">
      <c r="Q515" t="str">
        <f>""</f>
        <v/>
      </c>
    </row>
    <row r="516" spans="17:20">
      <c r="Q516" t="str">
        <f>""</f>
        <v/>
      </c>
    </row>
    <row r="517" spans="17:20">
      <c r="Q517" t="str">
        <f>""</f>
        <v/>
      </c>
    </row>
    <row r="518" spans="17:20">
      <c r="Q518" t="str">
        <f>""</f>
        <v/>
      </c>
      <c r="R518">
        <v>2</v>
      </c>
      <c r="S518">
        <v>1</v>
      </c>
      <c r="T518">
        <v>2</v>
      </c>
    </row>
    <row r="519" spans="17:20">
      <c r="Q519" t="str">
        <f>""</f>
        <v/>
      </c>
    </row>
    <row r="520" spans="17:20">
      <c r="Q520" t="str">
        <f>""</f>
        <v/>
      </c>
      <c r="R520">
        <v>1</v>
      </c>
    </row>
    <row r="521" spans="17:20">
      <c r="Q521" t="str">
        <f>""</f>
        <v/>
      </c>
      <c r="S521">
        <v>3</v>
      </c>
    </row>
    <row r="522" spans="17:20">
      <c r="Q522" t="str">
        <f>""</f>
        <v/>
      </c>
      <c r="S522">
        <v>3</v>
      </c>
    </row>
    <row r="523" spans="17:20">
      <c r="Q523" t="str">
        <f>""</f>
        <v/>
      </c>
    </row>
    <row r="524" spans="17:20">
      <c r="Q524" t="str">
        <f>""</f>
        <v/>
      </c>
      <c r="R524">
        <v>1</v>
      </c>
    </row>
    <row r="525" spans="17:20">
      <c r="Q525" t="str">
        <f>""</f>
        <v/>
      </c>
    </row>
    <row r="526" spans="17:20">
      <c r="Q526" t="str">
        <f>""</f>
        <v/>
      </c>
      <c r="R526">
        <v>1</v>
      </c>
    </row>
    <row r="527" spans="17:20">
      <c r="Q527" t="str">
        <f>""</f>
        <v/>
      </c>
      <c r="R527">
        <v>3</v>
      </c>
      <c r="S527">
        <v>2</v>
      </c>
      <c r="T527">
        <v>2</v>
      </c>
    </row>
    <row r="528" spans="17:20">
      <c r="Q528" t="str">
        <f>""</f>
        <v/>
      </c>
    </row>
    <row r="529" spans="17:20">
      <c r="Q529" t="str">
        <f>""</f>
        <v/>
      </c>
      <c r="R529">
        <v>1</v>
      </c>
      <c r="S529">
        <v>2</v>
      </c>
      <c r="T529">
        <v>2</v>
      </c>
    </row>
    <row r="530" spans="17:20">
      <c r="Q530" t="str">
        <f>""</f>
        <v/>
      </c>
      <c r="R530">
        <v>2</v>
      </c>
    </row>
    <row r="531" spans="17:20">
      <c r="Q531" t="str">
        <f>""</f>
        <v/>
      </c>
    </row>
    <row r="532" spans="17:20">
      <c r="Q532" t="str">
        <f>""</f>
        <v/>
      </c>
    </row>
    <row r="533" spans="17:20">
      <c r="Q533" t="str">
        <f>""</f>
        <v/>
      </c>
    </row>
    <row r="534" spans="17:20">
      <c r="Q534" t="str">
        <f>""</f>
        <v/>
      </c>
    </row>
    <row r="535" spans="17:20">
      <c r="Q535" t="str">
        <f>""</f>
        <v/>
      </c>
      <c r="R535">
        <v>2</v>
      </c>
    </row>
    <row r="536" spans="17:20">
      <c r="Q536" t="str">
        <f>""</f>
        <v/>
      </c>
    </row>
    <row r="537" spans="17:20">
      <c r="Q537" t="str">
        <f>""</f>
        <v/>
      </c>
    </row>
    <row r="538" spans="17:20">
      <c r="Q538" t="str">
        <f>""</f>
        <v/>
      </c>
      <c r="R538">
        <v>1</v>
      </c>
    </row>
    <row r="539" spans="17:20">
      <c r="Q539" t="str">
        <f>""</f>
        <v/>
      </c>
    </row>
    <row r="540" spans="17:20">
      <c r="Q540" t="str">
        <f>""</f>
        <v/>
      </c>
    </row>
    <row r="541" spans="17:20">
      <c r="Q541" t="str">
        <f>""</f>
        <v/>
      </c>
    </row>
    <row r="542" spans="17:20">
      <c r="Q542" t="str">
        <f>""</f>
        <v/>
      </c>
      <c r="R542">
        <v>3</v>
      </c>
    </row>
    <row r="543" spans="17:20">
      <c r="Q543" t="str">
        <f>""</f>
        <v/>
      </c>
    </row>
    <row r="544" spans="17:20">
      <c r="Q544" t="str">
        <f>""</f>
        <v/>
      </c>
    </row>
    <row r="545" spans="17:20">
      <c r="Q545" t="str">
        <f>""</f>
        <v/>
      </c>
      <c r="R545">
        <v>1</v>
      </c>
      <c r="S545">
        <v>2</v>
      </c>
      <c r="T545">
        <v>3</v>
      </c>
    </row>
    <row r="546" spans="17:20">
      <c r="Q546" t="str">
        <f>""</f>
        <v/>
      </c>
    </row>
    <row r="547" spans="17:20">
      <c r="Q547" t="str">
        <f>""</f>
        <v/>
      </c>
      <c r="R547">
        <v>2</v>
      </c>
    </row>
    <row r="548" spans="17:20">
      <c r="Q548" t="str">
        <f>""</f>
        <v/>
      </c>
    </row>
    <row r="549" spans="17:20">
      <c r="Q549" t="str">
        <f>""</f>
        <v/>
      </c>
    </row>
    <row r="550" spans="17:20">
      <c r="Q550" t="str">
        <f>""</f>
        <v/>
      </c>
      <c r="R550">
        <v>1</v>
      </c>
    </row>
    <row r="551" spans="17:20">
      <c r="Q551" t="str">
        <f>""</f>
        <v/>
      </c>
    </row>
    <row r="552" spans="17:20">
      <c r="Q552" t="str">
        <f>""</f>
        <v/>
      </c>
      <c r="S552">
        <v>1</v>
      </c>
      <c r="T552">
        <v>2</v>
      </c>
    </row>
    <row r="553" spans="17:20">
      <c r="Q553" t="str">
        <f>""</f>
        <v/>
      </c>
      <c r="R553">
        <v>2</v>
      </c>
      <c r="S553">
        <v>1</v>
      </c>
      <c r="T553">
        <v>1</v>
      </c>
    </row>
    <row r="554" spans="17:20">
      <c r="Q554" t="str">
        <f>""</f>
        <v/>
      </c>
      <c r="R554">
        <v>3</v>
      </c>
      <c r="S554">
        <v>3</v>
      </c>
      <c r="T554">
        <v>3</v>
      </c>
    </row>
    <row r="555" spans="17:20">
      <c r="Q555" t="str">
        <f>""</f>
        <v/>
      </c>
    </row>
    <row r="556" spans="17:20">
      <c r="Q556" t="str">
        <f>""</f>
        <v/>
      </c>
    </row>
    <row r="557" spans="17:20">
      <c r="Q557" t="str">
        <f>""</f>
        <v/>
      </c>
    </row>
    <row r="558" spans="17:20">
      <c r="Q558" t="str">
        <f>""</f>
        <v/>
      </c>
    </row>
    <row r="559" spans="17:20">
      <c r="Q559" t="str">
        <f>""</f>
        <v/>
      </c>
    </row>
    <row r="560" spans="17:20">
      <c r="Q560" t="str">
        <f>""</f>
        <v/>
      </c>
    </row>
    <row r="561" spans="17:20">
      <c r="Q561" t="str">
        <f>""</f>
        <v/>
      </c>
    </row>
    <row r="562" spans="17:20">
      <c r="Q562" t="str">
        <f>""</f>
        <v/>
      </c>
    </row>
    <row r="563" spans="17:20">
      <c r="Q563" t="str">
        <f>""</f>
        <v/>
      </c>
      <c r="R563">
        <v>1</v>
      </c>
      <c r="S563">
        <v>1</v>
      </c>
    </row>
    <row r="564" spans="17:20">
      <c r="Q564" t="str">
        <f>""</f>
        <v/>
      </c>
    </row>
    <row r="565" spans="17:20">
      <c r="Q565" t="str">
        <f>""</f>
        <v/>
      </c>
      <c r="R565">
        <v>1</v>
      </c>
    </row>
    <row r="566" spans="17:20">
      <c r="Q566" t="str">
        <f>""</f>
        <v/>
      </c>
    </row>
    <row r="567" spans="17:20">
      <c r="Q567" t="str">
        <f>""</f>
        <v/>
      </c>
      <c r="R567">
        <v>3</v>
      </c>
    </row>
    <row r="568" spans="17:20">
      <c r="Q568" t="str">
        <f>""</f>
        <v/>
      </c>
      <c r="R568">
        <v>2</v>
      </c>
    </row>
    <row r="569" spans="17:20">
      <c r="Q569" t="str">
        <f>""</f>
        <v/>
      </c>
    </row>
    <row r="570" spans="17:20">
      <c r="Q570" t="str">
        <f>""</f>
        <v/>
      </c>
      <c r="R570">
        <v>1</v>
      </c>
      <c r="S570">
        <v>1</v>
      </c>
      <c r="T570">
        <v>1</v>
      </c>
    </row>
    <row r="571" spans="17:20">
      <c r="Q571" t="str">
        <f>""</f>
        <v/>
      </c>
    </row>
    <row r="572" spans="17:20">
      <c r="Q572" t="str">
        <f>""</f>
        <v/>
      </c>
      <c r="R572">
        <v>2</v>
      </c>
    </row>
    <row r="573" spans="17:20">
      <c r="Q573" t="str">
        <f>""</f>
        <v/>
      </c>
    </row>
    <row r="574" spans="17:20">
      <c r="Q574" t="str">
        <f>""</f>
        <v/>
      </c>
    </row>
    <row r="575" spans="17:20">
      <c r="Q575" t="str">
        <f>""</f>
        <v/>
      </c>
    </row>
    <row r="576" spans="17:20">
      <c r="Q576" t="str">
        <f>""</f>
        <v/>
      </c>
      <c r="R576">
        <v>1</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row>
    <row r="584" spans="17:18">
      <c r="Q584" t="str">
        <f>""</f>
        <v/>
      </c>
    </row>
    <row r="585" spans="17:18">
      <c r="Q585" t="str">
        <f>""</f>
        <v/>
      </c>
      <c r="R585">
        <v>1</v>
      </c>
    </row>
    <row r="586" spans="17:18">
      <c r="R586">
        <v>3</v>
      </c>
    </row>
  </sheetData>
  <sheetProtection formatColumns="0" formatRows="0"/>
  <autoFilter ref="B1:T1" xr:uid="{00000000-0009-0000-0000-00000B000000}">
    <sortState ref="B2:T66">
      <sortCondition descending="1" ref="J1"/>
    </sortState>
  </autoFilter>
  <conditionalFormatting sqref="A2:A25 A27:A64">
    <cfRule type="cellIs" dxfId="93" priority="6" stopIfTrue="1" operator="lessThan">
      <formula>1</formula>
    </cfRule>
  </conditionalFormatting>
  <conditionalFormatting sqref="A26">
    <cfRule type="cellIs" dxfId="92" priority="7" stopIfTrue="1" operator="lessThan">
      <formula>1</formula>
    </cfRule>
  </conditionalFormatting>
  <conditionalFormatting sqref="B2:C44 B45:B61 C45:C66">
    <cfRule type="expression" dxfId="91" priority="5" stopIfTrue="1">
      <formula>VLOOKUP($B2,TabTuttiGioc,1,FALSE)=$B2</formula>
    </cfRule>
  </conditionalFormatting>
  <conditionalFormatting sqref="B60:B63">
    <cfRule type="expression" dxfId="90" priority="4" stopIfTrue="1">
      <formula>VLOOKUP($B60,TabTuttiGioc,1,FALSE)=$B60</formula>
    </cfRule>
  </conditionalFormatting>
  <conditionalFormatting sqref="B45:C45">
    <cfRule type="expression" dxfId="89" priority="3" stopIfTrue="1">
      <formula>VLOOKUP($B45,TabTuttiGioc,1,FALSE)=$B45</formula>
    </cfRule>
  </conditionalFormatting>
  <conditionalFormatting sqref="B64:B66">
    <cfRule type="expression" dxfId="88" priority="1" stopIfTrue="1">
      <formula>VLOOKUP($B64,TabTuttiGioc,1,FALSE)=$B64</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0">
    <tabColor indexed="47"/>
  </sheetPr>
  <dimension ref="A1:U584"/>
  <sheetViews>
    <sheetView topLeftCell="B1" zoomScale="90" zoomScaleNormal="90" workbookViewId="0">
      <pane xSplit="2" ySplit="1" topLeftCell="D170" activePane="bottomRight" state="frozen"/>
      <selection sqref="A1:L1"/>
      <selection pane="topRight" sqref="A1:L1"/>
      <selection pane="bottomLeft" sqref="A1:L1"/>
      <selection pane="bottomRight" activeCell="I188" sqref="I188"/>
    </sheetView>
  </sheetViews>
  <sheetFormatPr defaultRowHeight="12.75"/>
  <cols>
    <col min="1" max="1" width="0" hidden="1" customWidth="1"/>
    <col min="2" max="2" width="17.85546875" customWidth="1"/>
    <col min="3" max="3" width="12.28515625" customWidth="1"/>
    <col min="4" max="4" width="6.85546875" style="148" customWidth="1"/>
    <col min="5" max="5" width="9.140625" style="148"/>
    <col min="6" max="6" width="4.5703125" style="148" customWidth="1"/>
    <col min="7" max="7" width="6.5703125" style="148" customWidth="1"/>
    <col min="8" max="8" width="9.28515625" style="148" customWidth="1"/>
    <col min="9" max="9" width="9.42578125" style="148" customWidth="1"/>
    <col min="10" max="10" width="18.42578125" style="148" customWidth="1"/>
    <col min="11" max="11" width="10.5703125" style="148" hidden="1" customWidth="1"/>
    <col min="12" max="12" width="22.7109375" style="148" customWidth="1"/>
    <col min="13" max="13" width="15.7109375" style="148" hidden="1" customWidth="1"/>
    <col min="14" max="14" width="16" style="148" hidden="1" customWidth="1"/>
    <col min="15" max="15" width="19.7109375" style="148" customWidth="1"/>
    <col min="17" max="17" width="14.140625" bestFit="1" customWidth="1"/>
    <col min="18" max="18" width="9.5703125" bestFit="1" customWidth="1"/>
    <col min="19" max="20" width="10.140625" bestFit="1" customWidth="1"/>
    <col min="21" max="21" width="17.5703125" customWidth="1"/>
  </cols>
  <sheetData>
    <row r="1" spans="1:21">
      <c r="A1" t="s">
        <v>863</v>
      </c>
      <c r="B1" s="204" t="s">
        <v>38</v>
      </c>
      <c r="C1" s="204" t="s">
        <v>637</v>
      </c>
      <c r="D1" s="204" t="s">
        <v>864</v>
      </c>
      <c r="E1" s="204" t="s">
        <v>865</v>
      </c>
      <c r="F1" s="204" t="s">
        <v>866</v>
      </c>
      <c r="G1" s="204" t="s">
        <v>887</v>
      </c>
      <c r="H1" s="204" t="s">
        <v>888</v>
      </c>
      <c r="I1" s="204" t="s">
        <v>869</v>
      </c>
      <c r="J1" s="157" t="s">
        <v>889</v>
      </c>
      <c r="K1" s="157" t="s">
        <v>890</v>
      </c>
      <c r="L1" s="157" t="s">
        <v>871</v>
      </c>
      <c r="M1" s="157" t="s">
        <v>872</v>
      </c>
      <c r="N1" s="157" t="s">
        <v>873</v>
      </c>
      <c r="O1" s="157" t="s">
        <v>873</v>
      </c>
      <c r="P1" s="218" t="s">
        <v>874</v>
      </c>
      <c r="Q1" s="218" t="s">
        <v>671</v>
      </c>
      <c r="R1" s="218" t="s">
        <v>897</v>
      </c>
      <c r="S1" s="218" t="s">
        <v>898</v>
      </c>
      <c r="T1" s="218" t="s">
        <v>899</v>
      </c>
      <c r="U1" s="152" t="s">
        <v>875</v>
      </c>
    </row>
    <row r="2" spans="1:21">
      <c r="A2">
        <f ca="1">COUNTIF('I.A. + Fasce'!B$1:'I.A. + Fasce'!B$538,#REF!)</f>
        <v>0</v>
      </c>
      <c r="B2" s="205" t="s">
        <v>312</v>
      </c>
      <c r="C2" s="206" t="str">
        <f>VLOOKUP(B2,'IA FG'!$B$2:$G$600,6,FALSE)</f>
        <v>JUV</v>
      </c>
      <c r="D2" s="207">
        <v>9</v>
      </c>
      <c r="E2" s="207">
        <v>9</v>
      </c>
      <c r="F2" s="207">
        <v>9</v>
      </c>
      <c r="G2" s="207">
        <v>7</v>
      </c>
      <c r="H2" s="207">
        <v>7</v>
      </c>
      <c r="I2" s="207">
        <v>10</v>
      </c>
      <c r="J2" s="159">
        <f>$D2*Pesi!$F$5+Pesi!$F$6*$E2+$F2*Pesi!$F$7+Pesi!$F$8*$G2+$H2*Pesi!$F$9+Pesi!$F$10*$I2+VLOOKUP($C2,TabAlgSqu,2,FALSE)*Pesi!$F$11+Pesi!$F$12*VLOOKUP($C2,TabAlgFC,2,FALSE)+VLOOKUP($C2,TabAlgAll,2,FALSE)*Pesi!$F$13</f>
        <v>87.070799999999991</v>
      </c>
      <c r="K2" s="155">
        <f>IF(ISNA(MATCH($B2,Pesi!$B$31:$B$34,0)),VLOOKUP(Pesi!$B$33,TabAlgDif,10,FALSE)-((VLOOKUP(Pesi!$B$33,TabAlgDif,9,FALSE)-$J2)/(VLOOKUP(Pesi!$B$33,TabAlgDif,9,FALSE)-Pesi!$D$43))*VLOOKUP(Pesi!$B$33,TabAlgDif,10,FALSE),Pesi!$F$33*Pesi!$C$28)</f>
        <v>29.831945270672232</v>
      </c>
      <c r="L2" s="155">
        <f t="shared" ref="L2:L33" si="0">IF(K2&lt;=1,1,K2)</f>
        <v>29.831945270672232</v>
      </c>
      <c r="M2" s="160">
        <f>$D2*Pesi!$H$5+Pesi!$H$6*$E2+$F2*Pesi!$H$7+Pesi!$H$8*$G2+$H2*Pesi!$H$9+Pesi!$H$10*$I2+VLOOKUP($C2,TabAlgSqu,2,FALSE)*Pesi!$H$11+Pesi!$H$12*VLOOKUP($C2,TabAlgFC,2,FALSE)+VLOOKUP($C2,TabAlgAll,2,FALSE)*Pesi!$H$13</f>
        <v>92.020799999999994</v>
      </c>
      <c r="N2" s="155">
        <f>IF(ISNA(MATCH($B2,Pesi!$B$31:$B$34,0)),VLOOKUP(Pesi!$B$33,TabAlgDif,13,FALSE)-((VLOOKUP(Pesi!$B$33,TabAlgDif,12,FALSE)-$M2)/(VLOOKUP(Pesi!$B$33,TabAlgDif,12,FALSE)-Pesi!$F$43))*VLOOKUP(Pesi!$B$33,TabAlgDif,13,FALSE),$K2*$M2/$J2)</f>
        <v>31.377140485424725</v>
      </c>
      <c r="O2" s="155">
        <f t="shared" ref="O2:O33" si="1">IF(N2&lt;=1,1,N2)</f>
        <v>31.377140485424725</v>
      </c>
      <c r="P2">
        <f t="shared" ref="P2:P33" si="2">SUM(D2:I2)</f>
        <v>51</v>
      </c>
      <c r="Q2">
        <f>VLOOKUP(B2,'C.P.'!$A$2:$B$164,2,FALSE)</f>
        <v>1</v>
      </c>
      <c r="R2" t="e">
        <f>VLOOKUP(C2,'C.P.'!$C$2:$C$164,2,FALSE)</f>
        <v>#N/A</v>
      </c>
      <c r="S2" t="e">
        <f>VLOOKUP(D2,'C.P.'!$E$2:$F$164,2,FALSE)</f>
        <v>#N/A</v>
      </c>
      <c r="T2" t="e">
        <f>VLOOKUP(E2,'C.P.'!$G$2:$H$164,2,FALSE)</f>
        <v>#N/A</v>
      </c>
      <c r="U2" s="210"/>
    </row>
    <row r="3" spans="1:21">
      <c r="A3">
        <f ca="1">COUNTIF('I.A. + Fasce'!B$1:'I.A. + Fasce'!B$538,#REF!)</f>
        <v>0</v>
      </c>
      <c r="B3" s="205" t="s">
        <v>523</v>
      </c>
      <c r="C3" s="206" t="str">
        <f>VLOOKUP(B3,'IA FG'!$B$2:$G$600,6,FALSE)</f>
        <v>NAP</v>
      </c>
      <c r="D3" s="207">
        <v>8</v>
      </c>
      <c r="E3" s="207">
        <v>9</v>
      </c>
      <c r="F3" s="207">
        <v>9</v>
      </c>
      <c r="G3" s="207">
        <v>8</v>
      </c>
      <c r="H3" s="207">
        <v>8</v>
      </c>
      <c r="I3" s="207">
        <v>9</v>
      </c>
      <c r="J3" s="159">
        <f>$D3*Pesi!$F$5+Pesi!$F$6*$E3+$F3*Pesi!$F$7+Pesi!$F$8*$G3+$H3*Pesi!$F$9+Pesi!$F$10*$I3+VLOOKUP($C3,TabAlgSqu,2,FALSE)*Pesi!$F$11+Pesi!$F$12*VLOOKUP($C3,TabAlgFC,2,FALSE)+VLOOKUP($C3,TabAlgAll,2,FALSE)*Pesi!$F$13</f>
        <v>83.171999999999983</v>
      </c>
      <c r="K3" s="155">
        <f>IF(ISNA(MATCH($B3,Pesi!$B$31:$B$34,0)),VLOOKUP(Pesi!$B$33,TabAlgDif,10,FALSE)-((VLOOKUP(Pesi!$B$33,TabAlgDif,9,FALSE)-$J3)/(VLOOKUP(Pesi!$B$33,TabAlgDif,9,FALSE)-Pesi!$D$43))*VLOOKUP(Pesi!$B$33,TabAlgDif,10,FALSE),Pesi!$F$33*Pesi!$C$28)</f>
        <v>25</v>
      </c>
      <c r="L3" s="155">
        <f t="shared" si="0"/>
        <v>25</v>
      </c>
      <c r="M3" s="160">
        <f>$D3*Pesi!$H$5+Pesi!$H$6*$E3+$F3*Pesi!$H$7+Pesi!$H$8*$G3+$H3*Pesi!$H$9+Pesi!$H$10*$I3+VLOOKUP($C3,TabAlgSqu,2,FALSE)*Pesi!$H$11+Pesi!$H$12*VLOOKUP($C3,TabAlgFC,2,FALSE)+VLOOKUP($C3,TabAlgAll,2,FALSE)*Pesi!$H$13</f>
        <v>88.122</v>
      </c>
      <c r="N3" s="155">
        <f>IF(ISNA(MATCH($B3,Pesi!$B$31:$B$34,0)),VLOOKUP(Pesi!$B$33,TabAlgDif,13,FALSE)-((VLOOKUP(Pesi!$B$33,TabAlgDif,12,FALSE)-$M3)/(VLOOKUP(Pesi!$B$33,TabAlgDif,12,FALSE)-Pesi!$F$43))*VLOOKUP(Pesi!$B$33,TabAlgDif,13,FALSE),$K3*$M3/$J3)</f>
        <v>26.487880536719096</v>
      </c>
      <c r="O3" s="155">
        <f t="shared" si="1"/>
        <v>26.487880536719096</v>
      </c>
      <c r="P3">
        <f t="shared" si="2"/>
        <v>51</v>
      </c>
      <c r="Q3">
        <f>VLOOKUP(B3,'C.P.'!$A$2:$B$164,2,FALSE)</f>
        <v>1</v>
      </c>
      <c r="R3" t="e">
        <f>VLOOKUP(C3,'C.P.'!$C$2:$C$164,2,FALSE)</f>
        <v>#N/A</v>
      </c>
      <c r="S3" t="e">
        <f>VLOOKUP(D3,'C.P.'!$E$2:$F$164,2,FALSE)</f>
        <v>#N/A</v>
      </c>
      <c r="T3" t="e">
        <f>VLOOKUP(E3,'C.P.'!$G$2:$H$164,2,FALSE)</f>
        <v>#N/A</v>
      </c>
      <c r="U3" s="446"/>
    </row>
    <row r="4" spans="1:21">
      <c r="A4">
        <f ca="1">COUNTIF('I.A. + Fasce'!B$1:'I.A. + Fasce'!B$538,#REF!)</f>
        <v>0</v>
      </c>
      <c r="B4" s="205" t="s">
        <v>371</v>
      </c>
      <c r="C4" s="206" t="str">
        <f>VLOOKUP(B4,'IA FG'!$B$2:$G$600,6,FALSE)</f>
        <v>MIL</v>
      </c>
      <c r="D4" s="207">
        <v>9</v>
      </c>
      <c r="E4" s="207">
        <v>9</v>
      </c>
      <c r="F4" s="207">
        <v>8</v>
      </c>
      <c r="G4" s="207">
        <v>8</v>
      </c>
      <c r="H4" s="207">
        <v>7</v>
      </c>
      <c r="I4" s="207">
        <v>9</v>
      </c>
      <c r="J4" s="159">
        <f>$D4*Pesi!$F$5+Pesi!$F$6*$E4+$F4*Pesi!$F$7+Pesi!$F$8*$G4+$H4*Pesi!$F$9+Pesi!$F$10*$I4+VLOOKUP($C4,TabAlgSqu,2,FALSE)*Pesi!$F$11+Pesi!$F$12*VLOOKUP($C4,TabAlgFC,2,FALSE)+VLOOKUP($C4,TabAlgAll,2,FALSE)*Pesi!$F$13</f>
        <v>81.850999999999985</v>
      </c>
      <c r="K4" s="155">
        <f>IF(ISNA(MATCH($B4,Pesi!$B$31:$B$34,0)),VLOOKUP(Pesi!$B$33,TabAlgDif,10,FALSE)-((VLOOKUP(Pesi!$B$33,TabAlgDif,9,FALSE)-$J4)/(VLOOKUP(Pesi!$B$33,TabAlgDif,9,FALSE)-Pesi!$D$43))*VLOOKUP(Pesi!$B$33,TabAlgDif,10,FALSE),Pesi!$F$33*Pesi!$C$28)</f>
        <v>23.362829664882014</v>
      </c>
      <c r="L4" s="155">
        <f t="shared" si="0"/>
        <v>23.362829664882014</v>
      </c>
      <c r="M4" s="160">
        <f>$D4*Pesi!$H$5+Pesi!$H$6*$E4+$F4*Pesi!$H$7+Pesi!$H$8*$G4+$H4*Pesi!$H$9+Pesi!$H$10*$I4+VLOOKUP($C4,TabAlgSqu,2,FALSE)*Pesi!$H$11+Pesi!$H$12*VLOOKUP($C4,TabAlgFC,2,FALSE)+VLOOKUP($C4,TabAlgAll,2,FALSE)*Pesi!$H$13</f>
        <v>86.250999999999991</v>
      </c>
      <c r="N4" s="155">
        <f>IF(ISNA(MATCH($B4,Pesi!$B$31:$B$34,0)),VLOOKUP(Pesi!$B$33,TabAlgDif,13,FALSE)-((VLOOKUP(Pesi!$B$33,TabAlgDif,12,FALSE)-$M4)/(VLOOKUP(Pesi!$B$33,TabAlgDif,12,FALSE)-Pesi!$F$43))*VLOOKUP(Pesi!$B$33,TabAlgDif,13,FALSE),$K4*$M4/$J4)</f>
        <v>24.141567475257034</v>
      </c>
      <c r="O4" s="155">
        <f t="shared" si="1"/>
        <v>24.141567475257034</v>
      </c>
      <c r="P4">
        <f t="shared" si="2"/>
        <v>50</v>
      </c>
      <c r="Q4" t="e">
        <f>VLOOKUP(B4,'C.P.'!$A$2:$B$164,2,FALSE)</f>
        <v>#N/A</v>
      </c>
      <c r="R4" t="e">
        <f>VLOOKUP(C4,'C.P.'!$C$2:$C$164,2,FALSE)</f>
        <v>#N/A</v>
      </c>
      <c r="S4" t="e">
        <f>VLOOKUP(D4,'C.P.'!$E$2:$F$164,2,FALSE)</f>
        <v>#N/A</v>
      </c>
      <c r="T4" t="e">
        <f>VLOOKUP(E4,'C.P.'!$G$2:$H$164,2,FALSE)</f>
        <v>#N/A</v>
      </c>
      <c r="U4" s="446"/>
    </row>
    <row r="5" spans="1:21">
      <c r="A5">
        <f ca="1">COUNTIF('I.A. + Fasce'!B$1:'I.A. + Fasce'!B$538,B4)</f>
        <v>1</v>
      </c>
      <c r="B5" s="205" t="s">
        <v>301</v>
      </c>
      <c r="C5" s="206" t="str">
        <f>VLOOKUP(B5,'IA FG'!$B$2:$G$600,6,FALSE)</f>
        <v>SAS</v>
      </c>
      <c r="D5" s="207">
        <v>9</v>
      </c>
      <c r="E5" s="207">
        <v>9</v>
      </c>
      <c r="F5" s="207">
        <v>8</v>
      </c>
      <c r="G5" s="207">
        <v>8</v>
      </c>
      <c r="H5" s="207">
        <v>8</v>
      </c>
      <c r="I5" s="207">
        <v>9</v>
      </c>
      <c r="J5" s="159">
        <f>$D5*Pesi!$F$5+Pesi!$F$6*$E5+$F5*Pesi!$F$7+Pesi!$F$8*$G5+$H5*Pesi!$F$9+Pesi!$F$10*$I5+VLOOKUP($C5,TabAlgSqu,2,FALSE)*Pesi!$F$11+Pesi!$F$12*VLOOKUP($C5,TabAlgFC,2,FALSE)+VLOOKUP($C5,TabAlgAll,2,FALSE)*Pesi!$F$13</f>
        <v>80.900299999999987</v>
      </c>
      <c r="K5" s="155">
        <f>IF(ISNA(MATCH($B5,Pesi!$B$31:$B$34,0)),VLOOKUP(Pesi!$B$33,TabAlgDif,10,FALSE)-((VLOOKUP(Pesi!$B$33,TabAlgDif,9,FALSE)-$J5)/(VLOOKUP(Pesi!$B$33,TabAlgDif,9,FALSE)-Pesi!$D$43))*VLOOKUP(Pesi!$B$33,TabAlgDif,10,FALSE),Pesi!$F$33*Pesi!$C$28)</f>
        <v>22.184587547094985</v>
      </c>
      <c r="L5" s="155">
        <f t="shared" si="0"/>
        <v>22.184587547094985</v>
      </c>
      <c r="M5" s="160">
        <f>$D5*Pesi!$H$5+Pesi!$H$6*$E5+$F5*Pesi!$H$7+Pesi!$H$8*$G5+$H5*Pesi!$H$9+Pesi!$H$10*$I5+VLOOKUP($C5,TabAlgSqu,2,FALSE)*Pesi!$H$11+Pesi!$H$12*VLOOKUP($C5,TabAlgFC,2,FALSE)+VLOOKUP($C5,TabAlgAll,2,FALSE)*Pesi!$H$13</f>
        <v>85.300299999999993</v>
      </c>
      <c r="N5" s="155">
        <f>IF(ISNA(MATCH($B5,Pesi!$B$31:$B$34,0)),VLOOKUP(Pesi!$B$33,TabAlgDif,13,FALSE)-((VLOOKUP(Pesi!$B$33,TabAlgDif,12,FALSE)-$M5)/(VLOOKUP(Pesi!$B$33,TabAlgDif,12,FALSE)-Pesi!$F$43))*VLOOKUP(Pesi!$B$33,TabAlgDif,13,FALSE),$K5*$M5/$J5)</f>
        <v>22.949349502230863</v>
      </c>
      <c r="O5" s="155">
        <f t="shared" si="1"/>
        <v>22.949349502230863</v>
      </c>
      <c r="P5">
        <f t="shared" si="2"/>
        <v>51</v>
      </c>
      <c r="Q5">
        <f>VLOOKUP(B5,'C.P.'!$A$2:$B$164,2,FALSE)</f>
        <v>1</v>
      </c>
      <c r="R5" t="e">
        <f>VLOOKUP(C5,'C.P.'!$C$2:$C$164,2,FALSE)</f>
        <v>#N/A</v>
      </c>
      <c r="S5" t="e">
        <f>VLOOKUP(D5,'C.P.'!$E$2:$F$164,2,FALSE)</f>
        <v>#N/A</v>
      </c>
      <c r="T5" t="e">
        <f>VLOOKUP(E5,'C.P.'!$G$2:$H$164,2,FALSE)</f>
        <v>#N/A</v>
      </c>
      <c r="U5" s="210"/>
    </row>
    <row r="6" spans="1:21">
      <c r="A6">
        <f ca="1">COUNTIF('I.A. + Fasce'!B$1:'I.A. + Fasce'!B$538,B1)</f>
        <v>0</v>
      </c>
      <c r="B6" s="205" t="s">
        <v>500</v>
      </c>
      <c r="C6" s="206" t="str">
        <f>VLOOKUP(B6,'IA FG'!$B$2:$G$600,6,FALSE)</f>
        <v>NAP</v>
      </c>
      <c r="D6" s="207">
        <v>8</v>
      </c>
      <c r="E6" s="207">
        <v>8</v>
      </c>
      <c r="F6" s="207">
        <v>8</v>
      </c>
      <c r="G6" s="207">
        <v>8</v>
      </c>
      <c r="H6" s="207">
        <v>8</v>
      </c>
      <c r="I6" s="207">
        <v>8</v>
      </c>
      <c r="J6" s="159">
        <f>$D6*Pesi!$F$5+Pesi!$F$6*$E6+$F6*Pesi!$F$7+Pesi!$F$8*$G6+$H6*Pesi!$F$9+Pesi!$F$10*$I6+VLOOKUP($C6,TabAlgSqu,2,FALSE)*Pesi!$F$11+Pesi!$F$12*VLOOKUP($C6,TabAlgFC,2,FALSE)+VLOOKUP($C6,TabAlgAll,2,FALSE)*Pesi!$F$13</f>
        <v>79.088699999999974</v>
      </c>
      <c r="K6" s="155">
        <f>IF(ISNA(MATCH($B6,Pesi!$B$31:$B$34,0)),VLOOKUP(Pesi!$B$33,TabAlgDif,10,FALSE)-((VLOOKUP(Pesi!$B$33,TabAlgDif,9,FALSE)-$J6)/(VLOOKUP(Pesi!$B$33,TabAlgDif,9,FALSE)-Pesi!$D$43))*VLOOKUP(Pesi!$B$33,TabAlgDif,10,FALSE),Pesi!$F$33*Pesi!$C$28)</f>
        <v>19.9393961927424</v>
      </c>
      <c r="L6" s="155">
        <f t="shared" si="0"/>
        <v>19.9393961927424</v>
      </c>
      <c r="M6" s="160">
        <f>$D6*Pesi!$H$5+Pesi!$H$6*$E6+$F6*Pesi!$H$7+Pesi!$H$8*$G6+$H6*Pesi!$H$9+Pesi!$H$10*$I6+VLOOKUP($C6,TabAlgSqu,2,FALSE)*Pesi!$H$11+Pesi!$H$12*VLOOKUP($C6,TabAlgFC,2,FALSE)+VLOOKUP($C6,TabAlgAll,2,FALSE)*Pesi!$H$13</f>
        <v>83.48869999999998</v>
      </c>
      <c r="N6" s="155">
        <f>IF(ISNA(MATCH($B6,Pesi!$B$31:$B$34,0)),VLOOKUP(Pesi!$B$33,TabAlgDif,13,FALSE)-((VLOOKUP(Pesi!$B$33,TabAlgDif,12,FALSE)-$M6)/(VLOOKUP(Pesi!$B$33,TabAlgDif,12,FALSE)-Pesi!$F$43))*VLOOKUP(Pesi!$B$33,TabAlgDif,13,FALSE),$K6*$M6/$J6)</f>
        <v>20.677526550790628</v>
      </c>
      <c r="O6" s="155">
        <f t="shared" si="1"/>
        <v>20.677526550790628</v>
      </c>
      <c r="P6">
        <f t="shared" si="2"/>
        <v>48</v>
      </c>
      <c r="Q6" t="e">
        <f>VLOOKUP(B6,'C.P.'!$A$2:$B$164,2,FALSE)</f>
        <v>#N/A</v>
      </c>
      <c r="R6" t="e">
        <f>VLOOKUP(C6,'C.P.'!$C$2:$C$164,2,FALSE)</f>
        <v>#N/A</v>
      </c>
      <c r="S6" t="e">
        <f>VLOOKUP(D6,'C.P.'!$E$2:$F$164,2,FALSE)</f>
        <v>#N/A</v>
      </c>
      <c r="T6" t="e">
        <f>VLOOKUP(E6,'C.P.'!$G$2:$H$164,2,FALSE)</f>
        <v>#N/A</v>
      </c>
      <c r="U6" s="446"/>
    </row>
    <row r="7" spans="1:21">
      <c r="A7">
        <f ca="1">COUNTIF('I.A. + Fasce'!B$1:'I.A. + Fasce'!B$538,B2)</f>
        <v>1</v>
      </c>
      <c r="B7" s="205" t="s">
        <v>429</v>
      </c>
      <c r="C7" s="206" t="str">
        <f>VLOOKUP(B7,'IA FG'!$B$2:$G$600,6,FALSE)</f>
        <v>MIL</v>
      </c>
      <c r="D7" s="207">
        <v>9</v>
      </c>
      <c r="E7" s="207">
        <v>8</v>
      </c>
      <c r="F7" s="207">
        <v>7</v>
      </c>
      <c r="G7" s="207">
        <v>8</v>
      </c>
      <c r="H7" s="207">
        <v>7</v>
      </c>
      <c r="I7" s="207">
        <v>8</v>
      </c>
      <c r="J7" s="159">
        <f>$D7*Pesi!$F$5+Pesi!$F$6*$E7+$F7*Pesi!$F$7+Pesi!$F$8*$G7+$H7*Pesi!$F$9+Pesi!$F$10*$I7+VLOOKUP($C7,TabAlgSqu,2,FALSE)*Pesi!$F$11+Pesi!$F$12*VLOOKUP($C7,TabAlgFC,2,FALSE)+VLOOKUP($C7,TabAlgAll,2,FALSE)*Pesi!$F$13</f>
        <v>77.767700000000005</v>
      </c>
      <c r="K7" s="155">
        <f>IF(ISNA(MATCH($B7,Pesi!$B$31:$B$34,0)),VLOOKUP(Pesi!$B$33,TabAlgDif,10,FALSE)-((VLOOKUP(Pesi!$B$33,TabAlgDif,9,FALSE)-$J7)/(VLOOKUP(Pesi!$B$33,TabAlgDif,9,FALSE)-Pesi!$D$43))*VLOOKUP(Pesi!$B$33,TabAlgDif,10,FALSE),Pesi!$F$33*Pesi!$C$28)</f>
        <v>18.30222585762445</v>
      </c>
      <c r="L7" s="155">
        <f t="shared" si="0"/>
        <v>18.30222585762445</v>
      </c>
      <c r="M7" s="160">
        <f>$D7*Pesi!$H$5+Pesi!$H$6*$E7+$F7*Pesi!$H$7+Pesi!$H$8*$G7+$H7*Pesi!$H$9+Pesi!$H$10*$I7+VLOOKUP($C7,TabAlgSqu,2,FALSE)*Pesi!$H$11+Pesi!$H$12*VLOOKUP($C7,TabAlgFC,2,FALSE)+VLOOKUP($C7,TabAlgAll,2,FALSE)*Pesi!$H$13</f>
        <v>81.617699999999999</v>
      </c>
      <c r="N7" s="155">
        <f>IF(ISNA(MATCH($B7,Pesi!$B$31:$B$34,0)),VLOOKUP(Pesi!$B$33,TabAlgDif,13,FALSE)-((VLOOKUP(Pesi!$B$33,TabAlgDif,12,FALSE)-$M7)/(VLOOKUP(Pesi!$B$33,TabAlgDif,12,FALSE)-Pesi!$F$43))*VLOOKUP(Pesi!$B$33,TabAlgDif,13,FALSE),$K7*$M7/$J7)</f>
        <v>18.331213489328601</v>
      </c>
      <c r="O7" s="155">
        <f t="shared" si="1"/>
        <v>18.331213489328601</v>
      </c>
      <c r="P7">
        <f t="shared" si="2"/>
        <v>47</v>
      </c>
      <c r="Q7" t="e">
        <f>VLOOKUP(B7,'C.P.'!$A$2:$B$164,2,FALSE)</f>
        <v>#N/A</v>
      </c>
      <c r="R7" t="e">
        <f>VLOOKUP(C7,'C.P.'!$C$2:$C$164,2,FALSE)</f>
        <v>#N/A</v>
      </c>
      <c r="S7" t="e">
        <f>VLOOKUP(D7,'C.P.'!$E$2:$F$164,2,FALSE)</f>
        <v>#N/A</v>
      </c>
      <c r="T7" t="e">
        <f>VLOOKUP(E7,'C.P.'!$G$2:$H$164,2,FALSE)</f>
        <v>#N/A</v>
      </c>
      <c r="U7" s="446"/>
    </row>
    <row r="8" spans="1:21">
      <c r="A8">
        <f ca="1">COUNTIF('I.A. + Fasce'!B$1:'I.A. + Fasce'!B$538,#REF!)</f>
        <v>0</v>
      </c>
      <c r="B8" s="205" t="s">
        <v>1861</v>
      </c>
      <c r="C8" s="206" t="str">
        <f>VLOOKUP(B8,'IA FG'!$B$2:$G$600,6,FALSE)</f>
        <v>MIL</v>
      </c>
      <c r="D8" s="207">
        <v>8</v>
      </c>
      <c r="E8" s="207">
        <v>8</v>
      </c>
      <c r="F8" s="207">
        <v>7</v>
      </c>
      <c r="G8" s="207">
        <v>8</v>
      </c>
      <c r="H8" s="207">
        <v>7</v>
      </c>
      <c r="I8" s="207">
        <v>9</v>
      </c>
      <c r="J8" s="159">
        <f>$D8*Pesi!$F$5+Pesi!$F$6*$E8+$F8*Pesi!$F$7+Pesi!$F$8*$G8+$H8*Pesi!$F$9+Pesi!$F$10*$I8+VLOOKUP($C8,TabAlgSqu,2,FALSE)*Pesi!$F$11+Pesi!$F$12*VLOOKUP($C8,TabAlgFC,2,FALSE)+VLOOKUP($C8,TabAlgAll,2,FALSE)*Pesi!$F$13</f>
        <v>77.767700000000005</v>
      </c>
      <c r="K8" s="155">
        <f>IF(ISNA(MATCH($B8,Pesi!$B$31:$B$34,0)),VLOOKUP(Pesi!$B$33,TabAlgDif,10,FALSE)-((VLOOKUP(Pesi!$B$33,TabAlgDif,9,FALSE)-$J8)/(VLOOKUP(Pesi!$B$33,TabAlgDif,9,FALSE)-Pesi!$C$43))*VLOOKUP(Pesi!$B$33,TabAlgDif,10,FALSE),Pesi!$F$33*Pesi!$C$28)</f>
        <v>18.234578348848061</v>
      </c>
      <c r="L8" s="155">
        <f t="shared" si="0"/>
        <v>18.234578348848061</v>
      </c>
      <c r="M8" s="160">
        <f>$D8*Pesi!$H$5+Pesi!$H$6*$E8+$F8*Pesi!$H$7+Pesi!$H$8*$G8+$H8*Pesi!$H$9+Pesi!$H$10*$I8+VLOOKUP($C8,TabAlgSqu,2,FALSE)*Pesi!$H$11+Pesi!$H$12*VLOOKUP($C8,TabAlgFC,2,FALSE)+VLOOKUP($C8,TabAlgAll,2,FALSE)*Pesi!$H$13</f>
        <v>81.617699999999999</v>
      </c>
      <c r="N8" s="155">
        <f>IF(ISNA(MATCH($B8,Pesi!$B$31:$B$34,0)),VLOOKUP(Pesi!$B$33,TabAlgDif,13,FALSE)-((VLOOKUP(Pesi!$B$33,TabAlgDif,12,FALSE)-$M8)/(VLOOKUP(Pesi!$B$33,TabAlgDif,12,FALSE)-Pesi!$F$43))*VLOOKUP(Pesi!$B$33,TabAlgDif,13,FALSE),$K8*$M8/$J8)</f>
        <v>18.331213489328601</v>
      </c>
      <c r="O8" s="155">
        <f t="shared" si="1"/>
        <v>18.331213489328601</v>
      </c>
      <c r="P8">
        <f t="shared" si="2"/>
        <v>47</v>
      </c>
      <c r="Q8">
        <f>VLOOKUP(B8,'C.P.'!$A$2:$B$164,2,FALSE)</f>
        <v>1</v>
      </c>
      <c r="R8" t="e">
        <f>VLOOKUP(B8,'C.P.'!$C$2:$D$164,2,FALSE)</f>
        <v>#N/A</v>
      </c>
      <c r="S8">
        <f>VLOOKUP(B8,'C.P.'!$E$2:$F$164,2,FALSE)</f>
        <v>4</v>
      </c>
      <c r="T8" t="e">
        <f>VLOOKUP(B8,'C.P.'!$G$2:$H$164,2,FALSE)</f>
        <v>#N/A</v>
      </c>
      <c r="U8" s="446"/>
    </row>
    <row r="9" spans="1:21">
      <c r="A9">
        <f ca="1">COUNTIF('I.A. + Fasce'!B$1:'I.A. + Fasce'!B$538,#REF!)</f>
        <v>0</v>
      </c>
      <c r="B9" s="205" t="s">
        <v>417</v>
      </c>
      <c r="C9" s="206" t="str">
        <f>VLOOKUP(B9,'IA FG'!$B$2:$G$600,6,FALSE)</f>
        <v>JUV</v>
      </c>
      <c r="D9" s="207">
        <v>6</v>
      </c>
      <c r="E9" s="207">
        <v>9</v>
      </c>
      <c r="F9" s="207">
        <v>8</v>
      </c>
      <c r="G9" s="207">
        <v>7</v>
      </c>
      <c r="H9" s="207">
        <v>5</v>
      </c>
      <c r="I9" s="207">
        <v>9</v>
      </c>
      <c r="J9" s="159">
        <f>$D9*Pesi!$F$5+Pesi!$F$6*$E9+$F9*Pesi!$F$7+Pesi!$F$8*$G9+$H9*Pesi!$F$9+Pesi!$F$10*$I9+VLOOKUP($C9,TabAlgSqu,2,FALSE)*Pesi!$F$11+Pesi!$F$12*VLOOKUP($C9,TabAlgFC,2,FALSE)+VLOOKUP($C9,TabAlgAll,2,FALSE)*Pesi!$F$13</f>
        <v>77.658499999999989</v>
      </c>
      <c r="K9" s="155">
        <f>IF(ISNA(MATCH($B9,Pesi!$B$31:$B$34,0)),VLOOKUP(Pesi!$B$33,TabAlgDif,10,FALSE)-((VLOOKUP(Pesi!$B$33,TabAlgDif,9,FALSE)-$J9)/(VLOOKUP(Pesi!$B$33,TabAlgDif,9,FALSE)-Pesi!$C$43))*VLOOKUP(Pesi!$B$33,TabAlgDif,10,FALSE),Pesi!$F$33*Pesi!$C$28)</f>
        <v>18.097875344887157</v>
      </c>
      <c r="L9" s="155">
        <f t="shared" si="0"/>
        <v>18.097875344887157</v>
      </c>
      <c r="M9" s="160">
        <f>$D9*Pesi!$H$5+Pesi!$H$6*$E9+$F9*Pesi!$H$7+Pesi!$H$8*$G9+$H9*Pesi!$H$9+Pesi!$H$10*$I9+VLOOKUP($C9,TabAlgSqu,2,FALSE)*Pesi!$H$11+Pesi!$H$12*VLOOKUP($C9,TabAlgFC,2,FALSE)+VLOOKUP($C9,TabAlgAll,2,FALSE)*Pesi!$H$13</f>
        <v>82.058499999999995</v>
      </c>
      <c r="N9" s="155">
        <f>IF(ISNA(MATCH($B9,Pesi!$B$31:$B$34,0)),VLOOKUP(Pesi!$B$33,TabAlgDif,13,FALSE)-((VLOOKUP(Pesi!$B$33,TabAlgDif,12,FALSE)-$M9)/(VLOOKUP(Pesi!$B$33,TabAlgDif,12,FALSE)-Pesi!$F$43))*VLOOKUP(Pesi!$B$33,TabAlgDif,13,FALSE),$K9*$M9/$J9)</f>
        <v>18.883995315887908</v>
      </c>
      <c r="O9" s="155">
        <f t="shared" si="1"/>
        <v>18.883995315887908</v>
      </c>
      <c r="P9">
        <f t="shared" si="2"/>
        <v>44</v>
      </c>
      <c r="Q9" t="e">
        <f>VLOOKUP(B9,'C.P.'!$A$2:$B$164,2,FALSE)</f>
        <v>#N/A</v>
      </c>
      <c r="R9" t="e">
        <f>VLOOKUP(B9,'C.P.'!$C$2:$D$164,2,FALSE)</f>
        <v>#N/A</v>
      </c>
      <c r="S9" t="e">
        <f>VLOOKUP(B9,'C.P.'!$E$2:$F$164,2,FALSE)</f>
        <v>#N/A</v>
      </c>
      <c r="T9" t="e">
        <f>VLOOKUP(B9,'C.P.'!$G$2:$H$164,2,FALSE)</f>
        <v>#N/A</v>
      </c>
      <c r="U9" s="446"/>
    </row>
    <row r="10" spans="1:21">
      <c r="A10">
        <f ca="1">COUNTIF('I.A. + Fasce'!B$1:'I.A. + Fasce'!B$538,B5)</f>
        <v>1</v>
      </c>
      <c r="B10" s="205" t="s">
        <v>360</v>
      </c>
      <c r="C10" s="206" t="str">
        <f>VLOOKUP(B10,'IA FG'!$B$2:$G$600,6,FALSE)</f>
        <v>JUV</v>
      </c>
      <c r="D10" s="207">
        <v>7</v>
      </c>
      <c r="E10" s="207">
        <v>7</v>
      </c>
      <c r="F10" s="207">
        <v>8</v>
      </c>
      <c r="G10" s="207">
        <v>7</v>
      </c>
      <c r="H10" s="207">
        <v>7</v>
      </c>
      <c r="I10" s="207">
        <v>7</v>
      </c>
      <c r="J10" s="159">
        <f>$D10*Pesi!$F$5+Pesi!$F$6*$E10+$F10*Pesi!$F$7+Pesi!$F$8*$G10+$H10*Pesi!$F$9+Pesi!$F$10*$I10+VLOOKUP($C10,TabAlgSqu,2,FALSE)*Pesi!$F$11+Pesi!$F$12*VLOOKUP($C10,TabAlgFC,2,FALSE)+VLOOKUP($C10,TabAlgAll,2,FALSE)*Pesi!$F$13</f>
        <v>76.316800000000001</v>
      </c>
      <c r="K10" s="155">
        <f>IF(ISNA(MATCH($B10,Pesi!$B$31:$B$34,0)),VLOOKUP(Pesi!$B$33,TabAlgDif,10,FALSE)-((VLOOKUP(Pesi!$B$33,TabAlgDif,9,FALSE)-$J10)/(VLOOKUP(Pesi!$B$33,TabAlgDif,9,FALSE)-Pesi!$D$43))*VLOOKUP(Pesi!$B$33,TabAlgDif,10,FALSE),Pesi!$F$33*Pesi!$C$28)</f>
        <v>16.504065040650424</v>
      </c>
      <c r="L10" s="155">
        <f t="shared" si="0"/>
        <v>16.504065040650424</v>
      </c>
      <c r="M10" s="160">
        <f>$D10*Pesi!$H$5+Pesi!$H$6*$E10+$F10*Pesi!$H$7+Pesi!$H$8*$G10+$H10*Pesi!$H$9+Pesi!$H$10*$I10+VLOOKUP($C10,TabAlgSqu,2,FALSE)*Pesi!$H$11+Pesi!$H$12*VLOOKUP($C10,TabAlgFC,2,FALSE)+VLOOKUP($C10,TabAlgAll,2,FALSE)*Pesi!$H$13</f>
        <v>80.716800000000006</v>
      </c>
      <c r="N10" s="155">
        <f>IF(ISNA(MATCH($B10,Pesi!$B$31:$B$34,0)),VLOOKUP(Pesi!$B$33,TabAlgDif,13,FALSE)-((VLOOKUP(Pesi!$B$33,TabAlgDif,12,FALSE)-$M10)/(VLOOKUP(Pesi!$B$33,TabAlgDif,12,FALSE)-Pesi!$F$43))*VLOOKUP(Pesi!$B$33,TabAlgDif,13,FALSE),$K10*$M10/$J10)</f>
        <v>17.201446820664174</v>
      </c>
      <c r="O10" s="155">
        <f t="shared" si="1"/>
        <v>17.201446820664174</v>
      </c>
      <c r="P10">
        <f t="shared" si="2"/>
        <v>43</v>
      </c>
      <c r="Q10" t="e">
        <f>VLOOKUP(B10,'C.P.'!$A$2:$B$164,2,FALSE)</f>
        <v>#N/A</v>
      </c>
      <c r="R10" t="e">
        <f>VLOOKUP(B10,'C.P.'!$C$2:$D$164,2,FALSE)</f>
        <v>#N/A</v>
      </c>
      <c r="S10" t="e">
        <f>VLOOKUP(B10,'C.P.'!$E$2:$F$164,2,FALSE)</f>
        <v>#N/A</v>
      </c>
      <c r="T10" t="e">
        <f>VLOOKUP(B10,'C.P.'!$G$2:$H$164,2,FALSE)</f>
        <v>#N/A</v>
      </c>
    </row>
    <row r="11" spans="1:21">
      <c r="A11">
        <f ca="1">COUNTIF('I.A. + Fasce'!B$1:'I.A. + Fasce'!B$538,B1)</f>
        <v>0</v>
      </c>
      <c r="B11" s="205" t="s">
        <v>588</v>
      </c>
      <c r="C11" s="206" t="str">
        <f>VLOOKUP(B11,'IA FG'!$B$2:$G$600,6,FALSE)</f>
        <v>JUV</v>
      </c>
      <c r="D11" s="207">
        <v>9</v>
      </c>
      <c r="E11" s="207">
        <v>6</v>
      </c>
      <c r="F11" s="207">
        <v>8</v>
      </c>
      <c r="G11" s="207">
        <v>7</v>
      </c>
      <c r="H11" s="207">
        <v>6</v>
      </c>
      <c r="I11" s="207">
        <v>7</v>
      </c>
      <c r="J11" s="159">
        <f>$D11*Pesi!$F$5+Pesi!$F$6*$E11+$F11*Pesi!$F$7+Pesi!$F$8*$G11+$H11*Pesi!$F$9+Pesi!$F$10*$I11+VLOOKUP($C11,TabAlgSqu,2,FALSE)*Pesi!$F$11+Pesi!$F$12*VLOOKUP($C11,TabAlgFC,2,FALSE)+VLOOKUP($C11,TabAlgAll,2,FALSE)*Pesi!$F$13</f>
        <v>76.312599999999989</v>
      </c>
      <c r="K11" s="155">
        <f>IF(ISNA(MATCH($B11,Pesi!$B$31:$B$34,0)),VLOOKUP(Pesi!$B$33,TabAlgDif,10,FALSE)-((VLOOKUP(Pesi!$B$33,TabAlgDif,9,FALSE)-$J11)/(VLOOKUP(Pesi!$B$33,TabAlgDif,9,FALSE)-Pesi!$D$43))*VLOOKUP(Pesi!$B$33,TabAlgDif,10,FALSE),Pesi!$F$33*Pesi!$C$28)</f>
        <v>16.498859805671227</v>
      </c>
      <c r="L11" s="155">
        <f t="shared" si="0"/>
        <v>16.498859805671227</v>
      </c>
      <c r="M11" s="160">
        <f>$D11*Pesi!$H$5+Pesi!$H$6*$E11+$F11*Pesi!$H$7+Pesi!$H$8*$G11+$H11*Pesi!$H$9+Pesi!$H$10*$I11+VLOOKUP($C11,TabAlgSqu,2,FALSE)*Pesi!$H$11+Pesi!$H$12*VLOOKUP($C11,TabAlgFC,2,FALSE)+VLOOKUP($C11,TabAlgAll,2,FALSE)*Pesi!$H$13</f>
        <v>80.712599999999995</v>
      </c>
      <c r="N11" s="155">
        <f>IF(ISNA(MATCH($B11,Pesi!$B$31:$B$34,0)),VLOOKUP(Pesi!$B$33,TabAlgDif,13,FALSE)-((VLOOKUP(Pesi!$B$33,TabAlgDif,12,FALSE)-$M11)/(VLOOKUP(Pesi!$B$33,TabAlgDif,12,FALSE)-Pesi!$F$43))*VLOOKUP(Pesi!$B$33,TabAlgDif,13,FALSE),$K11*$M11/$J11)</f>
        <v>17.196179843187871</v>
      </c>
      <c r="O11" s="155">
        <f t="shared" si="1"/>
        <v>17.196179843187871</v>
      </c>
      <c r="P11">
        <f t="shared" si="2"/>
        <v>43</v>
      </c>
      <c r="Q11" t="e">
        <f>VLOOKUP(B11,'C.P.'!$A$2:$B$164,2,FALSE)</f>
        <v>#N/A</v>
      </c>
      <c r="R11" t="e">
        <f>VLOOKUP(B11,'C.P.'!$C$2:$D$164,2,FALSE)</f>
        <v>#N/A</v>
      </c>
      <c r="S11" t="e">
        <f>VLOOKUP(B11,'C.P.'!$E$2:$F$164,2,FALSE)</f>
        <v>#N/A</v>
      </c>
      <c r="T11" t="e">
        <f>VLOOKUP(B11,'C.P.'!$G$2:$H$164,2,FALSE)</f>
        <v>#N/A</v>
      </c>
    </row>
    <row r="12" spans="1:21">
      <c r="A12">
        <f ca="1">COUNTIF('I.A. + Fasce'!B$1:'I.A. + Fasce'!B$538,B8)</f>
        <v>1</v>
      </c>
      <c r="B12" s="205" t="s">
        <v>390</v>
      </c>
      <c r="C12" s="206" t="str">
        <f>VLOOKUP(B12,'IA FG'!$B$2:$G$600,6,FALSE)</f>
        <v>ATA</v>
      </c>
      <c r="D12" s="207">
        <v>9</v>
      </c>
      <c r="E12" s="207">
        <v>9</v>
      </c>
      <c r="F12" s="207">
        <v>7</v>
      </c>
      <c r="G12" s="207">
        <v>8</v>
      </c>
      <c r="H12" s="207">
        <v>6</v>
      </c>
      <c r="I12" s="207">
        <v>8</v>
      </c>
      <c r="J12" s="159">
        <f>$D12*Pesi!$F$5+Pesi!$F$6*$E12+$F12*Pesi!$F$7+Pesi!$F$8*$G12+$H12*Pesi!$F$9+Pesi!$F$10*$I12+VLOOKUP($C12,TabAlgSqu,2,FALSE)*Pesi!$F$11+Pesi!$F$12*VLOOKUP($C12,TabAlgFC,2,FALSE)+VLOOKUP($C12,TabAlgAll,2,FALSE)*Pesi!$F$13</f>
        <v>75.869900000000001</v>
      </c>
      <c r="K12" s="155">
        <f>IF(ISNA(MATCH($B12,Pesi!$B$31:$B$34,0)),VLOOKUP(Pesi!$B$33,TabAlgDif,10,FALSE)-((VLOOKUP(Pesi!$B$33,TabAlgDif,9,FALSE)-$J12)/(VLOOKUP(Pesi!$B$33,TabAlgDif,9,FALSE)-Pesi!$D$43))*VLOOKUP(Pesi!$B$33,TabAlgDif,10,FALSE),Pesi!$F$33*Pesi!$C$28)</f>
        <v>15.950203252032535</v>
      </c>
      <c r="L12" s="155">
        <f t="shared" si="0"/>
        <v>15.950203252032535</v>
      </c>
      <c r="M12" s="160">
        <f>$D12*Pesi!$H$5+Pesi!$H$6*$E12+$F12*Pesi!$H$7+Pesi!$H$8*$G12+$H12*Pesi!$H$9+Pesi!$H$10*$I12+VLOOKUP($C12,TabAlgSqu,2,FALSE)*Pesi!$H$11+Pesi!$H$12*VLOOKUP($C12,TabAlgFC,2,FALSE)+VLOOKUP($C12,TabAlgAll,2,FALSE)*Pesi!$H$13</f>
        <v>79.719899999999996</v>
      </c>
      <c r="N12" s="155">
        <f>IF(ISNA(MATCH($B12,Pesi!$B$31:$B$34,0)),VLOOKUP(Pesi!$B$33,TabAlgDif,13,FALSE)-((VLOOKUP(Pesi!$B$33,TabAlgDif,12,FALSE)-$M12)/(VLOOKUP(Pesi!$B$33,TabAlgDif,12,FALSE)-Pesi!$F$43))*VLOOKUP(Pesi!$B$33,TabAlgDif,13,FALSE),$K12*$M12/$J12)</f>
        <v>15.951292095398784</v>
      </c>
      <c r="O12" s="155">
        <f t="shared" si="1"/>
        <v>15.951292095398784</v>
      </c>
      <c r="P12">
        <f t="shared" si="2"/>
        <v>47</v>
      </c>
      <c r="Q12">
        <f>VLOOKUP(B12,'C.P.'!$A$2:$B$164,2,FALSE)</f>
        <v>1</v>
      </c>
      <c r="R12" t="e">
        <f>VLOOKUP(C12,'C.P.'!$C$2:$C$164,2,FALSE)</f>
        <v>#N/A</v>
      </c>
      <c r="S12" t="e">
        <f>VLOOKUP(D12,'C.P.'!$E$2:$F$164,2,FALSE)</f>
        <v>#N/A</v>
      </c>
      <c r="T12" t="e">
        <f>VLOOKUP(E12,'C.P.'!$G$2:$H$164,2,FALSE)</f>
        <v>#N/A</v>
      </c>
      <c r="U12" s="420"/>
    </row>
    <row r="13" spans="1:21">
      <c r="A13">
        <f ca="1">COUNTIF('I.A. + Fasce'!B$1:'I.A. + Fasce'!B$538,#REF!)</f>
        <v>0</v>
      </c>
      <c r="B13" s="205" t="s">
        <v>308</v>
      </c>
      <c r="C13" s="206" t="str">
        <f>VLOOKUP(B13,'IA FG'!$B$2:$G$600,6,FALSE)</f>
        <v>NAP</v>
      </c>
      <c r="D13" s="207">
        <v>7</v>
      </c>
      <c r="E13" s="207">
        <v>9</v>
      </c>
      <c r="F13" s="207">
        <v>8</v>
      </c>
      <c r="G13" s="207">
        <v>7</v>
      </c>
      <c r="H13" s="207">
        <v>6</v>
      </c>
      <c r="I13" s="207">
        <v>8</v>
      </c>
      <c r="J13" s="159">
        <f>$D13*Pesi!$F$5+Pesi!$F$6*$E13+$F13*Pesi!$F$7+Pesi!$F$8*$G13+$H13*Pesi!$F$9+Pesi!$F$10*$I13+VLOOKUP($C13,TabAlgSqu,2,FALSE)*Pesi!$F$11+Pesi!$F$12*VLOOKUP($C13,TabAlgFC,2,FALSE)+VLOOKUP($C13,TabAlgAll,2,FALSE)*Pesi!$F$13</f>
        <v>75.176299999999983</v>
      </c>
      <c r="K13" s="155">
        <f>IF(ISNA(MATCH($B13,Pesi!$B$31:$B$34,0)),VLOOKUP(Pesi!$B$33,TabAlgDif,10,FALSE)-((VLOOKUP(Pesi!$B$33,TabAlgDif,9,FALSE)-$J13)/(VLOOKUP(Pesi!$B$33,TabAlgDif,9,FALSE)-Pesi!$C$43))*VLOOKUP(Pesi!$B$33,TabAlgDif,10,FALSE),Pesi!$F$33*Pesi!$C$28)</f>
        <v>14.990510908699409</v>
      </c>
      <c r="L13" s="155">
        <f t="shared" si="0"/>
        <v>14.990510908699409</v>
      </c>
      <c r="M13" s="160">
        <f>$D13*Pesi!$H$5+Pesi!$H$6*$E13+$F13*Pesi!$H$7+Pesi!$H$8*$G13+$H13*Pesi!$H$9+Pesi!$H$10*$I13+VLOOKUP($C13,TabAlgSqu,2,FALSE)*Pesi!$H$11+Pesi!$H$12*VLOOKUP($C13,TabAlgFC,2,FALSE)+VLOOKUP($C13,TabAlgAll,2,FALSE)*Pesi!$H$13</f>
        <v>79.576299999999989</v>
      </c>
      <c r="N13" s="155">
        <f>IF(ISNA(MATCH($B13,Pesi!$B$31:$B$34,0)),VLOOKUP(Pesi!$B$33,TabAlgDif,13,FALSE)-((VLOOKUP(Pesi!$B$33,TabAlgDif,12,FALSE)-$M13)/(VLOOKUP(Pesi!$B$33,TabAlgDif,12,FALSE)-Pesi!$F$43))*VLOOKUP(Pesi!$B$33,TabAlgDif,13,FALSE),$K13*$M13/$J13)</f>
        <v>15.771211627399872</v>
      </c>
      <c r="O13" s="155">
        <f t="shared" si="1"/>
        <v>15.771211627399872</v>
      </c>
      <c r="P13">
        <f t="shared" si="2"/>
        <v>45</v>
      </c>
      <c r="Q13" t="e">
        <f>VLOOKUP(B13,'C.P.'!$A$2:$B$164,2,FALSE)</f>
        <v>#N/A</v>
      </c>
      <c r="R13" t="e">
        <f>VLOOKUP(B13,'C.P.'!$C$2:$D$164,2,FALSE)</f>
        <v>#N/A</v>
      </c>
      <c r="S13" t="e">
        <f>VLOOKUP(B13,'C.P.'!$E$2:$F$164,2,FALSE)</f>
        <v>#N/A</v>
      </c>
      <c r="T13" t="e">
        <f>VLOOKUP(B13,'C.P.'!$G$2:$H$164,2,FALSE)</f>
        <v>#N/A</v>
      </c>
    </row>
    <row r="14" spans="1:21">
      <c r="A14">
        <f ca="1">COUNTIF('I.A. + Fasce'!B$1:'I.A. + Fasce'!B$538,B10)</f>
        <v>1</v>
      </c>
      <c r="B14" s="205" t="s">
        <v>349</v>
      </c>
      <c r="C14" s="206" t="str">
        <f>VLOOKUP(B14,'IA FG'!$B$2:$G$600,6,FALSE)</f>
        <v>JUV</v>
      </c>
      <c r="D14" s="207">
        <v>7</v>
      </c>
      <c r="E14" s="207">
        <v>6</v>
      </c>
      <c r="F14" s="207">
        <v>8</v>
      </c>
      <c r="G14" s="207">
        <v>5</v>
      </c>
      <c r="H14" s="207">
        <v>7</v>
      </c>
      <c r="I14" s="207">
        <v>8</v>
      </c>
      <c r="J14" s="159">
        <f>$D14*Pesi!$F$5+Pesi!$F$6*$E14+$F14*Pesi!$F$7+Pesi!$F$8*$G14+$H14*Pesi!$F$9+Pesi!$F$10*$I14+VLOOKUP($C14,TabAlgSqu,2,FALSE)*Pesi!$F$11+Pesi!$F$12*VLOOKUP($C14,TabAlgFC,2,FALSE)+VLOOKUP($C14,TabAlgAll,2,FALSE)*Pesi!$F$13</f>
        <v>73.812600000000003</v>
      </c>
      <c r="K14" s="155">
        <f>IF(ISNA(MATCH($B14,Pesi!$B$31:$B$34,0)),VLOOKUP(Pesi!$B$33,TabAlgDif,10,FALSE)-((VLOOKUP(Pesi!$B$33,TabAlgDif,9,FALSE)-$J14)/(VLOOKUP(Pesi!$B$33,TabAlgDif,9,FALSE)-Pesi!$D$43))*VLOOKUP(Pesi!$B$33,TabAlgDif,10,FALSE),Pesi!$F$33*Pesi!$C$28)</f>
        <v>13.400505651397992</v>
      </c>
      <c r="L14" s="155">
        <f t="shared" si="0"/>
        <v>13.400505651397992</v>
      </c>
      <c r="M14" s="160">
        <f>$D14*Pesi!$H$5+Pesi!$H$6*$E14+$F14*Pesi!$H$7+Pesi!$H$8*$G14+$H14*Pesi!$H$9+Pesi!$H$10*$I14+VLOOKUP($C14,TabAlgSqu,2,FALSE)*Pesi!$H$11+Pesi!$H$12*VLOOKUP($C14,TabAlgFC,2,FALSE)+VLOOKUP($C14,TabAlgAll,2,FALSE)*Pesi!$H$13</f>
        <v>78.212599999999995</v>
      </c>
      <c r="N14" s="155">
        <f>IF(ISNA(MATCH($B14,Pesi!$B$31:$B$34,0)),VLOOKUP(Pesi!$B$33,TabAlgDif,13,FALSE)-((VLOOKUP(Pesi!$B$33,TabAlgDif,12,FALSE)-$M14)/(VLOOKUP(Pesi!$B$33,TabAlgDif,12,FALSE)-Pesi!$F$43))*VLOOKUP(Pesi!$B$33,TabAlgDif,13,FALSE),$K14*$M14/$J14)</f>
        <v>14.061074202538414</v>
      </c>
      <c r="O14" s="155">
        <f t="shared" si="1"/>
        <v>14.061074202538414</v>
      </c>
      <c r="P14">
        <f t="shared" si="2"/>
        <v>41</v>
      </c>
      <c r="Q14" t="e">
        <f>VLOOKUP(B14,'C.P.'!$A$2:$B$164,2,FALSE)</f>
        <v>#N/A</v>
      </c>
      <c r="R14" t="e">
        <f>VLOOKUP(C14,'C.P.'!$C$2:$C$164,2,FALSE)</f>
        <v>#N/A</v>
      </c>
      <c r="S14" t="e">
        <f>VLOOKUP(D14,'C.P.'!$E$2:$F$164,2,FALSE)</f>
        <v>#N/A</v>
      </c>
      <c r="T14" t="e">
        <f>VLOOKUP(E14,'C.P.'!$G$2:$H$164,2,FALSE)</f>
        <v>#N/A</v>
      </c>
      <c r="U14" s="420"/>
    </row>
    <row r="15" spans="1:21">
      <c r="A15">
        <f ca="1">COUNTIF('I.A. + Fasce'!B$1:'I.A. + Fasce'!B$538,B10)</f>
        <v>1</v>
      </c>
      <c r="B15" s="205" t="s">
        <v>1981</v>
      </c>
      <c r="C15" s="206" t="str">
        <f>VLOOKUP(B15,'IA FG'!$B$2:$G$600,6,FALSE)</f>
        <v>JUV</v>
      </c>
      <c r="D15" s="207">
        <v>8</v>
      </c>
      <c r="E15" s="207">
        <v>8</v>
      </c>
      <c r="F15" s="207">
        <v>7</v>
      </c>
      <c r="G15" s="207">
        <v>6</v>
      </c>
      <c r="H15" s="207">
        <v>5</v>
      </c>
      <c r="I15" s="207">
        <v>7</v>
      </c>
      <c r="J15" s="159">
        <f>$D15*Pesi!$F$5+Pesi!$F$6*$E15+$F15*Pesi!$F$7+Pesi!$F$8*$G15+$H15*Pesi!$F$9+Pesi!$F$10*$I15+VLOOKUP($C15,TabAlgSqu,2,FALSE)*Pesi!$F$11+Pesi!$F$12*VLOOKUP($C15,TabAlgFC,2,FALSE)+VLOOKUP($C15,TabAlgAll,2,FALSE)*Pesi!$F$13</f>
        <v>73.658500000000004</v>
      </c>
      <c r="K15" s="155">
        <f>IF(ISNA(MATCH($B15,Pesi!$B$31:$B$34,0)),VLOOKUP(Pesi!$B$33,TabAlgDif,10,FALSE)-((VLOOKUP(Pesi!$B$33,TabAlgDif,9,FALSE)-$J15)/(VLOOKUP(Pesi!$B$33,TabAlgDif,9,FALSE)-Pesi!$D$43))*VLOOKUP(Pesi!$B$33,TabAlgDif,10,FALSE),Pesi!$F$33*Pesi!$C$28)</f>
        <v>13.209523101328589</v>
      </c>
      <c r="L15" s="155">
        <f t="shared" si="0"/>
        <v>13.209523101328589</v>
      </c>
      <c r="M15" s="160">
        <f>$D15*Pesi!$H$5+Pesi!$H$6*$E15+$F15*Pesi!$H$7+Pesi!$H$8*$G15+$H15*Pesi!$H$9+Pesi!$H$10*$I15+VLOOKUP($C15,TabAlgSqu,2,FALSE)*Pesi!$H$11+Pesi!$H$12*VLOOKUP($C15,TabAlgFC,2,FALSE)+VLOOKUP($C15,TabAlgAll,2,FALSE)*Pesi!$H$13</f>
        <v>77.508499999999998</v>
      </c>
      <c r="N15" s="155">
        <f>IF(ISNA(MATCH($B15,Pesi!$B$31:$B$34,0)),VLOOKUP(Pesi!$B$33,TabAlgDif,13,FALSE)-((VLOOKUP(Pesi!$B$33,TabAlgDif,12,FALSE)-$M15)/(VLOOKUP(Pesi!$B$33,TabAlgDif,12,FALSE)-Pesi!$F$43))*VLOOKUP(Pesi!$B$33,TabAlgDif,13,FALSE),$K15*$M15/$J15)</f>
        <v>13.178103049905907</v>
      </c>
      <c r="O15" s="155">
        <f t="shared" si="1"/>
        <v>13.178103049905907</v>
      </c>
      <c r="P15">
        <f t="shared" si="2"/>
        <v>41</v>
      </c>
      <c r="Q15" t="e">
        <f>VLOOKUP(B15,'C.P.'!$A$2:$B$164,2,FALSE)</f>
        <v>#N/A</v>
      </c>
      <c r="R15" t="e">
        <f>VLOOKUP(C15,'C.P.'!$C$2:$C$164,2,FALSE)</f>
        <v>#N/A</v>
      </c>
      <c r="S15" t="e">
        <f>VLOOKUP(D15,'C.P.'!$E$2:$F$164,2,FALSE)</f>
        <v>#N/A</v>
      </c>
      <c r="T15" t="e">
        <f>VLOOKUP(E15,'C.P.'!$G$2:$H$164,2,FALSE)</f>
        <v>#N/A</v>
      </c>
      <c r="U15" s="420"/>
    </row>
    <row r="16" spans="1:21">
      <c r="A16">
        <f ca="1">COUNTIF('I.A. + Fasce'!B$1:'I.A. + Fasce'!B$538,B6)</f>
        <v>1</v>
      </c>
      <c r="B16" s="205" t="s">
        <v>485</v>
      </c>
      <c r="C16" s="206" t="str">
        <f>VLOOKUP(B16,'IA FG'!$B$2:$G$600,6,FALSE)</f>
        <v>ROM</v>
      </c>
      <c r="D16" s="207">
        <v>7</v>
      </c>
      <c r="E16" s="207">
        <v>6</v>
      </c>
      <c r="F16" s="207">
        <v>7</v>
      </c>
      <c r="G16" s="207">
        <v>8</v>
      </c>
      <c r="H16" s="207">
        <v>7</v>
      </c>
      <c r="I16" s="207">
        <v>9</v>
      </c>
      <c r="J16" s="159">
        <f>$D16*Pesi!$F$5+Pesi!$F$6*$E16+$F16*Pesi!$F$7+Pesi!$F$8*$G16+$H16*Pesi!$F$9+Pesi!$F$10*$I16+VLOOKUP($C16,TabAlgSqu,2,FALSE)*Pesi!$F$11+Pesi!$F$12*VLOOKUP($C16,TabAlgFC,2,FALSE)+VLOOKUP($C16,TabAlgAll,2,FALSE)*Pesi!$F$13</f>
        <v>73.378900000000002</v>
      </c>
      <c r="K16" s="155">
        <f>IF(ISNA(MATCH($B16,Pesi!$B$31:$B$34,0)),VLOOKUP(Pesi!$B$33,TabAlgDif,10,FALSE)-((VLOOKUP(Pesi!$B$33,TabAlgDif,9,FALSE)-$J16)/(VLOOKUP(Pesi!$B$33,TabAlgDif,9,FALSE)-Pesi!$C$43))*VLOOKUP(Pesi!$B$33,TabAlgDif,10,FALSE),Pesi!$F$33*Pesi!$C$28)</f>
        <v>12.740419522991655</v>
      </c>
      <c r="L16" s="155">
        <f t="shared" si="0"/>
        <v>12.740419522991655</v>
      </c>
      <c r="M16" s="160">
        <f>$D16*Pesi!$H$5+Pesi!$H$6*$E16+$F16*Pesi!$H$7+Pesi!$H$8*$G16+$H16*Pesi!$H$9+Pesi!$H$10*$I16+VLOOKUP($C16,TabAlgSqu,2,FALSE)*Pesi!$H$11+Pesi!$H$12*VLOOKUP($C16,TabAlgFC,2,FALSE)+VLOOKUP($C16,TabAlgAll,2,FALSE)*Pesi!$H$13</f>
        <v>77.228899999999996</v>
      </c>
      <c r="N16" s="155">
        <f>IF(ISNA(MATCH($B16,Pesi!$B$31:$B$34,0)),VLOOKUP(Pesi!$B$33,TabAlgDif,13,FALSE)-((VLOOKUP(Pesi!$B$33,TabAlgDif,12,FALSE)-$M16)/(VLOOKUP(Pesi!$B$33,TabAlgDif,12,FALSE)-Pesi!$F$43))*VLOOKUP(Pesi!$B$33,TabAlgDif,13,FALSE),$K16*$M16/$J16)</f>
        <v>12.827472835055669</v>
      </c>
      <c r="O16" s="155">
        <f t="shared" si="1"/>
        <v>12.827472835055669</v>
      </c>
      <c r="P16">
        <f t="shared" si="2"/>
        <v>44</v>
      </c>
      <c r="Q16">
        <f>VLOOKUP(B16,'C.P.'!$A$2:$B$164,2,FALSE)</f>
        <v>1</v>
      </c>
      <c r="R16" t="e">
        <f>VLOOKUP(B16,'C.P.'!$C$2:$D$164,2,FALSE)</f>
        <v>#N/A</v>
      </c>
      <c r="S16" t="e">
        <f>VLOOKUP(B16,'C.P.'!$E$2:$F$164,2,FALSE)</f>
        <v>#N/A</v>
      </c>
      <c r="T16" t="e">
        <f>VLOOKUP(B16,'C.P.'!$G$2:$H$164,2,FALSE)</f>
        <v>#N/A</v>
      </c>
    </row>
    <row r="17" spans="1:20">
      <c r="B17" s="205" t="s">
        <v>455</v>
      </c>
      <c r="C17" s="206" t="str">
        <f>VLOOKUP(B17,'IA FG'!$B$2:$G$600,6,FALSE)</f>
        <v>LAZ</v>
      </c>
      <c r="D17" s="207">
        <v>6</v>
      </c>
      <c r="E17" s="207">
        <v>9</v>
      </c>
      <c r="F17" s="207">
        <v>7</v>
      </c>
      <c r="G17" s="207">
        <v>7</v>
      </c>
      <c r="H17" s="207">
        <v>7</v>
      </c>
      <c r="I17" s="207">
        <v>8</v>
      </c>
      <c r="J17" s="159">
        <f>$D17*Pesi!$F$5+Pesi!$F$6*$E17+$F17*Pesi!$F$7+Pesi!$F$8*$G17+$H17*Pesi!$F$9+Pesi!$F$10*$I17+VLOOKUP($C17,TabAlgSqu,2,FALSE)*Pesi!$F$11+Pesi!$F$12*VLOOKUP($C17,TabAlgFC,2,FALSE)+VLOOKUP($C17,TabAlgAll,2,FALSE)*Pesi!$F$13</f>
        <v>72.988799999999998</v>
      </c>
      <c r="K17" s="155">
        <f>IF(ISNA(MATCH($B17,Pesi!$B$31:$B$34,0)),VLOOKUP(Pesi!$B$33,TabAlgDif,10,FALSE)-((VLOOKUP(Pesi!$B$33,TabAlgDif,9,FALSE)-$J17)/(VLOOKUP(Pesi!$B$33,TabAlgDif,9,FALSE)-Pesi!$C$43))*VLOOKUP(Pesi!$B$33,TabAlgDif,10,FALSE),Pesi!$F$33*Pesi!$C$28)</f>
        <v>12.252069322944578</v>
      </c>
      <c r="L17" s="155">
        <f t="shared" si="0"/>
        <v>12.252069322944578</v>
      </c>
      <c r="M17" s="160">
        <f>$D17*Pesi!$H$5+Pesi!$H$6*$E17+$F17*Pesi!$H$7+Pesi!$H$8*$G17+$H17*Pesi!$H$9+Pesi!$H$10*$I17+VLOOKUP($C17,TabAlgSqu,2,FALSE)*Pesi!$H$11+Pesi!$H$12*VLOOKUP($C17,TabAlgFC,2,FALSE)+VLOOKUP($C17,TabAlgAll,2,FALSE)*Pesi!$H$13</f>
        <v>76.838799999999992</v>
      </c>
      <c r="N17" s="155">
        <f>IF(ISNA(MATCH($B17,Pesi!$B$31:$B$34,0)),VLOOKUP(Pesi!$B$33,TabAlgDif,13,FALSE)-((VLOOKUP(Pesi!$B$33,TabAlgDif,12,FALSE)-$M17)/(VLOOKUP(Pesi!$B$33,TabAlgDif,12,FALSE)-Pesi!$F$43))*VLOOKUP(Pesi!$B$33,TabAlgDif,13,FALSE),$K17*$M17/$J17)</f>
        <v>12.338270950888726</v>
      </c>
      <c r="O17" s="155">
        <f t="shared" si="1"/>
        <v>12.338270950888726</v>
      </c>
      <c r="P17">
        <f t="shared" si="2"/>
        <v>44</v>
      </c>
      <c r="Q17">
        <f>VLOOKUP(B17,'C.P.'!$A$2:$B$164,2,FALSE)</f>
        <v>1</v>
      </c>
      <c r="R17" t="e">
        <f>VLOOKUP(B17,'C.P.'!$C$2:$D$164,2,FALSE)</f>
        <v>#N/A</v>
      </c>
      <c r="S17" t="e">
        <f>VLOOKUP(B17,'C.P.'!$E$2:$F$164,2,FALSE)</f>
        <v>#N/A</v>
      </c>
      <c r="T17" t="e">
        <f>VLOOKUP(B17,'C.P.'!$G$2:$H$164,2,FALSE)</f>
        <v>#N/A</v>
      </c>
    </row>
    <row r="18" spans="1:20">
      <c r="A18">
        <f ca="1">COUNTIF('I.A. + Fasce'!B$1:'I.A. + Fasce'!B$538,B8)</f>
        <v>1</v>
      </c>
      <c r="B18" s="205" t="s">
        <v>1297</v>
      </c>
      <c r="C18" s="206" t="str">
        <f>VLOOKUP(B18,'IA FG'!$B$2:$G$600,6,FALSE)</f>
        <v>MIL</v>
      </c>
      <c r="D18" s="207">
        <v>7</v>
      </c>
      <c r="E18" s="207">
        <v>8</v>
      </c>
      <c r="F18" s="207">
        <v>7</v>
      </c>
      <c r="G18" s="207">
        <v>7</v>
      </c>
      <c r="H18" s="207">
        <v>6</v>
      </c>
      <c r="I18" s="207">
        <v>8</v>
      </c>
      <c r="J18" s="159">
        <f>$D18*Pesi!$F$5+Pesi!$F$6*$E18+$F18*Pesi!$F$7+Pesi!$F$8*$G18+$H18*Pesi!$F$9+Pesi!$F$10*$I18+VLOOKUP($C18,TabAlgSqu,2,FALSE)*Pesi!$F$11+Pesi!$F$12*VLOOKUP($C18,TabAlgFC,2,FALSE)+VLOOKUP($C18,TabAlgAll,2,FALSE)*Pesi!$F$13</f>
        <v>72.51779999999998</v>
      </c>
      <c r="K18" s="155">
        <f>IF(ISNA(MATCH($B18,Pesi!$B$31:$B$34,0)),VLOOKUP(Pesi!$B$33,TabAlgDif,10,FALSE)-((VLOOKUP(Pesi!$B$33,TabAlgDif,9,FALSE)-$J18)/(VLOOKUP(Pesi!$B$33,TabAlgDif,9,FALSE)-Pesi!$D$43))*VLOOKUP(Pesi!$B$33,TabAlgDif,10,FALSE),Pesi!$F$33*Pesi!$C$28)</f>
        <v>11.795806067816761</v>
      </c>
      <c r="L18" s="155">
        <f t="shared" si="0"/>
        <v>11.795806067816761</v>
      </c>
      <c r="M18" s="160">
        <f>$D18*Pesi!$H$5+Pesi!$H$6*$E18+$F18*Pesi!$H$7+Pesi!$H$8*$G18+$H18*Pesi!$H$9+Pesi!$H$10*$I18+VLOOKUP($C18,TabAlgSqu,2,FALSE)*Pesi!$H$11+Pesi!$H$12*VLOOKUP($C18,TabAlgFC,2,FALSE)+VLOOKUP($C18,TabAlgAll,2,FALSE)*Pesi!$H$13</f>
        <v>76.367799999999974</v>
      </c>
      <c r="N18" s="155">
        <f>IF(ISNA(MATCH($B18,Pesi!$B$31:$B$34,0)),VLOOKUP(Pesi!$B$33,TabAlgDif,13,FALSE)-((VLOOKUP(Pesi!$B$33,TabAlgDif,12,FALSE)-$M18)/(VLOOKUP(Pesi!$B$33,TabAlgDif,12,FALSE)-Pesi!$F$43))*VLOOKUP(Pesi!$B$33,TabAlgDif,13,FALSE),$K18*$M18/$J18)</f>
        <v>11.747617048190344</v>
      </c>
      <c r="O18" s="155">
        <f t="shared" si="1"/>
        <v>11.747617048190344</v>
      </c>
      <c r="P18">
        <f t="shared" si="2"/>
        <v>43</v>
      </c>
      <c r="Q18">
        <f>VLOOKUP(B18,'C.P.'!$A$2:$B$164,2,FALSE)</f>
        <v>0</v>
      </c>
      <c r="R18" t="e">
        <f>VLOOKUP(B18,'C.P.'!$C$2:$D$164,2,FALSE)</f>
        <v>#N/A</v>
      </c>
      <c r="S18" t="e">
        <f>VLOOKUP(B18,'C.P.'!$E$2:$F$164,2,FALSE)</f>
        <v>#N/A</v>
      </c>
      <c r="T18" t="e">
        <f>VLOOKUP(B18,'C.P.'!$G$2:$H$164,2,FALSE)</f>
        <v>#N/A</v>
      </c>
    </row>
    <row r="19" spans="1:20">
      <c r="A19">
        <f ca="1">COUNTIF('I.A. + Fasce'!B$1:'I.A. + Fasce'!B$538,B13)</f>
        <v>1</v>
      </c>
      <c r="B19" s="205" t="s">
        <v>515</v>
      </c>
      <c r="C19" s="206" t="str">
        <f>VLOOKUP(B19,'IA FG'!$B$2:$G$600,6,FALSE)</f>
        <v>NAP</v>
      </c>
      <c r="D19" s="207">
        <v>8</v>
      </c>
      <c r="E19" s="207">
        <v>9</v>
      </c>
      <c r="F19" s="207">
        <v>7</v>
      </c>
      <c r="G19" s="207">
        <v>6</v>
      </c>
      <c r="H19" s="207">
        <v>6</v>
      </c>
      <c r="I19" s="207">
        <v>7</v>
      </c>
      <c r="J19" s="159">
        <f>$D19*Pesi!$F$5+Pesi!$F$6*$E19+$F19*Pesi!$F$7+Pesi!$F$8*$G19+$H19*Pesi!$F$9+Pesi!$F$10*$I19+VLOOKUP($C19,TabAlgSqu,2,FALSE)*Pesi!$F$11+Pesi!$F$12*VLOOKUP($C19,TabAlgFC,2,FALSE)+VLOOKUP($C19,TabAlgAll,2,FALSE)*Pesi!$F$13</f>
        <v>72.513799999999989</v>
      </c>
      <c r="K19" s="155">
        <f>IF(ISNA(MATCH($B19,Pesi!$B$31:$B$34,0)),VLOOKUP(Pesi!$B$33,TabAlgDif,10,FALSE)-((VLOOKUP(Pesi!$B$33,TabAlgDif,9,FALSE)-$J19)/(VLOOKUP(Pesi!$B$33,TabAlgDif,9,FALSE)-Pesi!$C$43))*VLOOKUP(Pesi!$B$33,TabAlgDif,10,FALSE),Pesi!$F$33*Pesi!$C$28)</f>
        <v>11.657436292894943</v>
      </c>
      <c r="L19" s="155">
        <f t="shared" si="0"/>
        <v>11.657436292894943</v>
      </c>
      <c r="M19" s="160">
        <f>$D19*Pesi!$H$5+Pesi!$H$6*$E19+$F19*Pesi!$H$7+Pesi!$H$8*$G19+$H19*Pesi!$H$9+Pesi!$H$10*$I19+VLOOKUP($C19,TabAlgSqu,2,FALSE)*Pesi!$H$11+Pesi!$H$12*VLOOKUP($C19,TabAlgFC,2,FALSE)+VLOOKUP($C19,TabAlgAll,2,FALSE)*Pesi!$H$13</f>
        <v>76.363799999999983</v>
      </c>
      <c r="N19" s="155">
        <f>IF(ISNA(MATCH($B19,Pesi!$B$31:$B$34,0)),VLOOKUP(Pesi!$B$33,TabAlgDif,13,FALSE)-((VLOOKUP(Pesi!$B$33,TabAlgDif,12,FALSE)-$M19)/(VLOOKUP(Pesi!$B$33,TabAlgDif,12,FALSE)-Pesi!$F$43))*VLOOKUP(Pesi!$B$33,TabAlgDif,13,FALSE),$K19*$M19/$J19)</f>
        <v>11.74260087916532</v>
      </c>
      <c r="O19" s="155">
        <f t="shared" si="1"/>
        <v>11.74260087916532</v>
      </c>
      <c r="P19">
        <f t="shared" si="2"/>
        <v>43</v>
      </c>
      <c r="Q19">
        <f>VLOOKUP(B19,'C.P.'!$A$2:$B$164,2,FALSE)</f>
        <v>-1</v>
      </c>
      <c r="R19" t="e">
        <f>VLOOKUP(B19,'C.P.'!$C$2:$D$164,2,FALSE)</f>
        <v>#N/A</v>
      </c>
      <c r="S19" t="e">
        <f>VLOOKUP(B19,'C.P.'!$E$2:$F$164,2,FALSE)</f>
        <v>#N/A</v>
      </c>
      <c r="T19" t="e">
        <f>VLOOKUP(B19,'C.P.'!$G$2:$H$164,2,FALSE)</f>
        <v>#N/A</v>
      </c>
    </row>
    <row r="20" spans="1:20">
      <c r="A20">
        <f ca="1">COUNTIF('I.A. + Fasce'!B$1:'I.A. + Fasce'!B$538,B15)</f>
        <v>1</v>
      </c>
      <c r="B20" s="205" t="s">
        <v>539</v>
      </c>
      <c r="C20" s="206" t="str">
        <f>VLOOKUP(B20,'IA FG'!$B$2:$G$600,6,FALSE)</f>
        <v>ROM</v>
      </c>
      <c r="D20" s="207">
        <v>8</v>
      </c>
      <c r="E20" s="207">
        <v>8</v>
      </c>
      <c r="F20" s="207">
        <v>7</v>
      </c>
      <c r="G20" s="207">
        <v>6</v>
      </c>
      <c r="H20" s="207">
        <v>7</v>
      </c>
      <c r="I20" s="207">
        <v>7</v>
      </c>
      <c r="J20" s="159">
        <f>$D20*Pesi!$F$5+Pesi!$F$6*$E20+$F20*Pesi!$F$7+Pesi!$F$8*$G20+$H20*Pesi!$F$9+Pesi!$F$10*$I20+VLOOKUP($C20,TabAlgSqu,2,FALSE)*Pesi!$F$11+Pesi!$F$12*VLOOKUP($C20,TabAlgFC,2,FALSE)+VLOOKUP($C20,TabAlgAll,2,FALSE)*Pesi!$F$13</f>
        <v>72.220600000000005</v>
      </c>
      <c r="K20" s="155">
        <f>IF(ISNA(MATCH($B20,Pesi!$B$31:$B$34,0)),VLOOKUP(Pesi!$B$33,TabAlgDif,10,FALSE)-((VLOOKUP(Pesi!$B$33,TabAlgDif,9,FALSE)-$J20)/(VLOOKUP(Pesi!$B$33,TabAlgDif,9,FALSE)-Pesi!$D$43))*VLOOKUP(Pesi!$B$33,TabAlgDif,10,FALSE),Pesi!$F$33*Pesi!$C$28)</f>
        <v>11.427473725956789</v>
      </c>
      <c r="L20" s="155">
        <f t="shared" si="0"/>
        <v>11.427473725956789</v>
      </c>
      <c r="M20" s="160">
        <f>$D20*Pesi!$H$5+Pesi!$H$6*$E20+$F20*Pesi!$H$7+Pesi!$H$8*$G20+$H20*Pesi!$H$9+Pesi!$H$10*$I20+VLOOKUP($C20,TabAlgSqu,2,FALSE)*Pesi!$H$11+Pesi!$H$12*VLOOKUP($C20,TabAlgFC,2,FALSE)+VLOOKUP($C20,TabAlgAll,2,FALSE)*Pesi!$H$13</f>
        <v>76.070599999999999</v>
      </c>
      <c r="N20" s="155">
        <f>IF(ISNA(MATCH($B20,Pesi!$B$31:$B$34,0)),VLOOKUP(Pesi!$B$33,TabAlgDif,13,FALSE)-((VLOOKUP(Pesi!$B$33,TabAlgDif,12,FALSE)-$M20)/(VLOOKUP(Pesi!$B$33,TabAlgDif,12,FALSE)-Pesi!$F$43))*VLOOKUP(Pesi!$B$33,TabAlgDif,13,FALSE),$K20*$M20/$J20)</f>
        <v>11.374915689629971</v>
      </c>
      <c r="O20" s="155">
        <f t="shared" si="1"/>
        <v>11.374915689629971</v>
      </c>
      <c r="P20">
        <f t="shared" si="2"/>
        <v>43</v>
      </c>
      <c r="Q20" t="e">
        <f>VLOOKUP(B20,'C.P.'!$A$2:$B$164,2,FALSE)</f>
        <v>#N/A</v>
      </c>
      <c r="R20" t="e">
        <f>VLOOKUP(C20,'C.P.'!$C$2:$C$164,2,FALSE)</f>
        <v>#N/A</v>
      </c>
      <c r="S20" t="e">
        <f>VLOOKUP(D20,'C.P.'!$E$2:$F$164,2,FALSE)</f>
        <v>#N/A</v>
      </c>
      <c r="T20" t="e">
        <f>VLOOKUP(E20,'C.P.'!$G$2:$H$164,2,FALSE)</f>
        <v>#N/A</v>
      </c>
    </row>
    <row r="21" spans="1:20">
      <c r="B21" s="205" t="s">
        <v>1692</v>
      </c>
      <c r="C21" s="206" t="str">
        <f>VLOOKUP(B21,'IA FG'!$B$2:$G$600,6,FALSE)</f>
        <v>ROM</v>
      </c>
      <c r="D21" s="207">
        <v>8</v>
      </c>
      <c r="E21" s="207">
        <v>7</v>
      </c>
      <c r="F21" s="207">
        <v>7</v>
      </c>
      <c r="G21" s="207">
        <v>7</v>
      </c>
      <c r="H21" s="207">
        <v>6</v>
      </c>
      <c r="I21" s="207">
        <v>8</v>
      </c>
      <c r="J21" s="159">
        <f>$D21*Pesi!$F$5+Pesi!$F$6*$E21+$F21*Pesi!$F$7+Pesi!$F$8*$G21+$H21*Pesi!$F$9+Pesi!$F$10*$I21+VLOOKUP($C21,TabAlgSqu,2,FALSE)*Pesi!$F$11+Pesi!$F$12*VLOOKUP($C21,TabAlgFC,2,FALSE)+VLOOKUP($C21,TabAlgAll,2,FALSE)*Pesi!$F$13</f>
        <v>72.133099999999999</v>
      </c>
      <c r="K21" s="155">
        <f>IF(ISNA(MATCH($B21,Pesi!$B$31:$B$34,0)),VLOOKUP(Pesi!$B$33,TabAlgDif,10,FALSE)-((VLOOKUP(Pesi!$B$33,TabAlgDif,9,FALSE)-$J21)/(VLOOKUP(Pesi!$B$33,TabAlgDif,9,FALSE)-Pesi!$D$43))*VLOOKUP(Pesi!$B$33,TabAlgDif,10,FALSE),Pesi!$F$33*Pesi!$C$28)</f>
        <v>11.319031330557216</v>
      </c>
      <c r="L21" s="155">
        <f t="shared" si="0"/>
        <v>11.319031330557216</v>
      </c>
      <c r="M21" s="160">
        <f>$D21*Pesi!$H$5+Pesi!$H$6*$E21+$F21*Pesi!$H$7+Pesi!$H$8*$G21+$H21*Pesi!$H$9+Pesi!$H$10*$I21+VLOOKUP($C21,TabAlgSqu,2,FALSE)*Pesi!$H$11+Pesi!$H$12*VLOOKUP($C21,TabAlgFC,2,FALSE)+VLOOKUP($C21,TabAlgAll,2,FALSE)*Pesi!$H$13</f>
        <v>75.983099999999993</v>
      </c>
      <c r="N21" s="155">
        <f>IF(ISNA(MATCH($B21,Pesi!$B$31:$B$34,0)),VLOOKUP(Pesi!$B$33,TabAlgDif,13,FALSE)-((VLOOKUP(Pesi!$B$33,TabAlgDif,12,FALSE)-$M21)/(VLOOKUP(Pesi!$B$33,TabAlgDif,12,FALSE)-Pesi!$F$43))*VLOOKUP(Pesi!$B$33,TabAlgDif,13,FALSE),$K21*$M21/$J21)</f>
        <v>11.265186992207232</v>
      </c>
      <c r="O21" s="155">
        <f t="shared" si="1"/>
        <v>11.265186992207232</v>
      </c>
      <c r="P21">
        <f t="shared" si="2"/>
        <v>43</v>
      </c>
      <c r="Q21">
        <f>VLOOKUP(B21,'C.P.'!$A$2:$B$164,2,FALSE)</f>
        <v>1</v>
      </c>
      <c r="R21" t="e">
        <f>VLOOKUP(B21,'C.P.'!$C$2:$D$164,2,FALSE)</f>
        <v>#N/A</v>
      </c>
      <c r="S21">
        <f>VLOOKUP(B21,'C.P.'!$E$2:$F$164,2,FALSE)</f>
        <v>1</v>
      </c>
      <c r="T21">
        <f>VLOOKUP(B21,'C.P.'!$G$2:$H$164,2,FALSE)</f>
        <v>2</v>
      </c>
    </row>
    <row r="22" spans="1:20">
      <c r="B22" s="205" t="s">
        <v>1302</v>
      </c>
      <c r="C22" s="206" t="str">
        <f>VLOOKUP(B22,'IA FG'!$B$2:$G$600,6,FALSE)</f>
        <v>ATA</v>
      </c>
      <c r="D22" s="207">
        <v>9</v>
      </c>
      <c r="E22" s="207">
        <v>8</v>
      </c>
      <c r="F22" s="207">
        <v>7</v>
      </c>
      <c r="G22" s="207">
        <v>6</v>
      </c>
      <c r="H22" s="207">
        <v>6</v>
      </c>
      <c r="I22" s="207">
        <v>7</v>
      </c>
      <c r="J22" s="159">
        <f>$D22*Pesi!$F$5+Pesi!$F$6*$E22+$F22*Pesi!$F$7+Pesi!$F$8*$G22+$H22*Pesi!$F$9+Pesi!$F$10*$I22+VLOOKUP($C22,TabAlgSqu,2,FALSE)*Pesi!$F$11+Pesi!$F$12*VLOOKUP($C22,TabAlgFC,2,FALSE)+VLOOKUP($C22,TabAlgAll,2,FALSE)*Pesi!$F$13</f>
        <v>70.699100000000001</v>
      </c>
      <c r="K22" s="155">
        <f>IF(ISNA(MATCH($B22,Pesi!$B$31:$B$34,0)),VLOOKUP(Pesi!$B$33,TabAlgDif,10,FALSE)-((VLOOKUP(Pesi!$B$33,TabAlgDif,9,FALSE)-$J22)/(VLOOKUP(Pesi!$B$33,TabAlgDif,9,FALSE)-Pesi!$D$43))*VLOOKUP(Pesi!$B$33,TabAlgDif,10,FALSE),Pesi!$F$33*Pesi!$C$28)</f>
        <v>9.5418153876660803</v>
      </c>
      <c r="L22" s="155">
        <f t="shared" si="0"/>
        <v>9.5418153876660803</v>
      </c>
      <c r="M22" s="160">
        <f>$D22*Pesi!$H$5+Pesi!$H$6*$E22+$F22*Pesi!$H$7+Pesi!$H$8*$G22+$H22*Pesi!$H$9+Pesi!$H$10*$I22+VLOOKUP($C22,TabAlgSqu,2,FALSE)*Pesi!$H$11+Pesi!$H$12*VLOOKUP($C22,TabAlgFC,2,FALSE)+VLOOKUP($C22,TabAlgAll,2,FALSE)*Pesi!$H$13</f>
        <v>74.549099999999996</v>
      </c>
      <c r="N22" s="155">
        <f>IF(ISNA(MATCH($B22,Pesi!$B$31:$B$34,0)),VLOOKUP(Pesi!$B$33,TabAlgDif,13,FALSE)-((VLOOKUP(Pesi!$B$33,TabAlgDif,12,FALSE)-$M22)/(VLOOKUP(Pesi!$B$33,TabAlgDif,12,FALSE)-Pesi!$F$43))*VLOOKUP(Pesi!$B$33,TabAlgDif,13,FALSE),$K22*$M22/$J22)</f>
        <v>9.4668903967307081</v>
      </c>
      <c r="O22" s="155">
        <f t="shared" si="1"/>
        <v>9.4668903967307081</v>
      </c>
      <c r="P22">
        <f t="shared" si="2"/>
        <v>43</v>
      </c>
      <c r="Q22" t="e">
        <f>VLOOKUP(B22,'C.P.'!$A$2:$B$164,2,FALSE)</f>
        <v>#N/A</v>
      </c>
      <c r="R22" t="e">
        <f>VLOOKUP(B22,'C.P.'!$C$2:$D$164,2,FALSE)</f>
        <v>#N/A</v>
      </c>
      <c r="S22" t="e">
        <f>VLOOKUP(B22,'C.P.'!$E$2:$F$164,2,FALSE)</f>
        <v>#N/A</v>
      </c>
      <c r="T22" t="e">
        <f>VLOOKUP(B22,'C.P.'!$G$2:$H$164,2,FALSE)</f>
        <v>#N/A</v>
      </c>
    </row>
    <row r="23" spans="1:20">
      <c r="A23">
        <f ca="1">COUNTIF('I.A. + Fasce'!B$1:'I.A. + Fasce'!B$538,B13)</f>
        <v>1</v>
      </c>
      <c r="B23" s="205" t="s">
        <v>551</v>
      </c>
      <c r="C23" s="206" t="str">
        <f>VLOOKUP(B23,'IA FG'!$B$2:$G$600,6,FALSE)</f>
        <v>INT</v>
      </c>
      <c r="D23" s="207">
        <v>8</v>
      </c>
      <c r="E23" s="207">
        <v>9</v>
      </c>
      <c r="F23" s="207">
        <v>7</v>
      </c>
      <c r="G23" s="207">
        <v>6</v>
      </c>
      <c r="H23" s="207">
        <v>6</v>
      </c>
      <c r="I23" s="207">
        <v>7</v>
      </c>
      <c r="J23" s="159">
        <f>$D23*Pesi!$F$5+Pesi!$F$6*$E23+$F23*Pesi!$F$7+Pesi!$F$8*$G23+$H23*Pesi!$F$9+Pesi!$F$10*$I23+VLOOKUP($C23,TabAlgSqu,2,FALSE)*Pesi!$F$11+Pesi!$F$12*VLOOKUP($C23,TabAlgFC,2,FALSE)+VLOOKUP($C23,TabAlgAll,2,FALSE)*Pesi!$F$13</f>
        <v>70.627300000000005</v>
      </c>
      <c r="K23" s="155">
        <f>IF(ISNA(MATCH($B23,Pesi!$B$31:$B$34,0)),VLOOKUP(Pesi!$B$33,TabAlgDif,10,FALSE)-((VLOOKUP(Pesi!$B$33,TabAlgDif,9,FALSE)-$J23)/(VLOOKUP(Pesi!$B$33,TabAlgDif,9,FALSE)-Pesi!$D$43))*VLOOKUP(Pesi!$B$33,TabAlgDif,10,FALSE),Pesi!$F$33*Pesi!$C$28)</f>
        <v>9.4528306563553599</v>
      </c>
      <c r="L23" s="155">
        <f t="shared" si="0"/>
        <v>9.4528306563553599</v>
      </c>
      <c r="M23" s="160">
        <f>$D23*Pesi!$H$5+Pesi!$H$6*$E23+$F23*Pesi!$H$7+Pesi!$H$8*$G23+$H23*Pesi!$H$9+Pesi!$H$10*$I23+VLOOKUP($C23,TabAlgSqu,2,FALSE)*Pesi!$H$11+Pesi!$H$12*VLOOKUP($C23,TabAlgFC,2,FALSE)+VLOOKUP($C23,TabAlgAll,2,FALSE)*Pesi!$H$13</f>
        <v>74.4773</v>
      </c>
      <c r="N23" s="155">
        <f>IF(ISNA(MATCH($B23,Pesi!$B$31:$B$34,0)),VLOOKUP(Pesi!$B$33,TabAlgDif,13,FALSE)-((VLOOKUP(Pesi!$B$33,TabAlgDif,12,FALSE)-$M23)/(VLOOKUP(Pesi!$B$33,TabAlgDif,12,FALSE)-Pesi!$F$43))*VLOOKUP(Pesi!$B$33,TabAlgDif,13,FALSE),$K23*$M23/$J23)</f>
        <v>9.3768501627312588</v>
      </c>
      <c r="O23" s="155">
        <f t="shared" si="1"/>
        <v>9.3768501627312588</v>
      </c>
      <c r="P23">
        <f t="shared" si="2"/>
        <v>43</v>
      </c>
      <c r="Q23" t="e">
        <f>VLOOKUP(B23,'C.P.'!$A$2:$B$164,2,FALSE)</f>
        <v>#N/A</v>
      </c>
      <c r="R23" t="e">
        <f>VLOOKUP(C23,'C.P.'!$C$2:$C$164,2,FALSE)</f>
        <v>#N/A</v>
      </c>
      <c r="S23" t="e">
        <f>VLOOKUP(D23,'C.P.'!$E$2:$F$164,2,FALSE)</f>
        <v>#N/A</v>
      </c>
      <c r="T23" t="e">
        <f>VLOOKUP(E23,'C.P.'!$G$2:$H$164,2,FALSE)</f>
        <v>#N/A</v>
      </c>
    </row>
    <row r="24" spans="1:20">
      <c r="A24">
        <f ca="1">COUNTIF('I.A. + Fasce'!B$1:'I.A. + Fasce'!B$538,B18)</f>
        <v>1</v>
      </c>
      <c r="B24" s="205" t="s">
        <v>591</v>
      </c>
      <c r="C24" s="206" t="str">
        <f>VLOOKUP(B24,'IA FG'!$B$2:$G$600,6,FALSE)</f>
        <v>UDI</v>
      </c>
      <c r="D24" s="207">
        <v>7</v>
      </c>
      <c r="E24" s="207">
        <v>9</v>
      </c>
      <c r="F24" s="207">
        <v>7</v>
      </c>
      <c r="G24" s="207">
        <v>5</v>
      </c>
      <c r="H24" s="207">
        <v>6</v>
      </c>
      <c r="I24" s="207">
        <v>8</v>
      </c>
      <c r="J24" s="159">
        <f>$D24*Pesi!$F$5+Pesi!$F$6*$E24+$F24*Pesi!$F$7+Pesi!$F$8*$G24+$H24*Pesi!$F$9+Pesi!$F$10*$I24+VLOOKUP($C24,TabAlgSqu,2,FALSE)*Pesi!$F$11+Pesi!$F$12*VLOOKUP($C24,TabAlgFC,2,FALSE)+VLOOKUP($C24,TabAlgAll,2,FALSE)*Pesi!$F$13</f>
        <v>70.406300000000002</v>
      </c>
      <c r="K24" s="155">
        <f>IF(ISNA(MATCH($B24,Pesi!$B$31:$B$34,0)),VLOOKUP(Pesi!$B$33,TabAlgDif,10,FALSE)-((VLOOKUP(Pesi!$B$33,TabAlgDif,9,FALSE)-$J24)/(VLOOKUP(Pesi!$B$33,TabAlgDif,9,FALSE)-Pesi!$C$43))*VLOOKUP(Pesi!$B$33,TabAlgDif,10,FALSE),Pesi!$F$33*Pesi!$C$28)</f>
        <v>9.019143427990576</v>
      </c>
      <c r="L24" s="155">
        <f t="shared" si="0"/>
        <v>9.019143427990576</v>
      </c>
      <c r="M24" s="160">
        <f>$D24*Pesi!$H$5+Pesi!$H$6*$E24+$F24*Pesi!$H$7+Pesi!$H$8*$G24+$H24*Pesi!$H$9+Pesi!$H$10*$I24+VLOOKUP($C24,TabAlgSqu,2,FALSE)*Pesi!$H$11+Pesi!$H$12*VLOOKUP($C24,TabAlgFC,2,FALSE)+VLOOKUP($C24,TabAlgAll,2,FALSE)*Pesi!$H$13</f>
        <v>74.256299999999996</v>
      </c>
      <c r="N24" s="155">
        <f>IF(ISNA(MATCH($B24,Pesi!$B$31:$B$34,0)),VLOOKUP(Pesi!$B$33,TabAlgDif,13,FALSE)-((VLOOKUP(Pesi!$B$33,TabAlgDif,12,FALSE)-$M24)/(VLOOKUP(Pesi!$B$33,TabAlgDif,12,FALSE)-Pesi!$F$43))*VLOOKUP(Pesi!$B$33,TabAlgDif,13,FALSE),$K24*$M24/$J24)</f>
        <v>9.0997068240978436</v>
      </c>
      <c r="O24" s="155">
        <f t="shared" si="1"/>
        <v>9.0997068240978436</v>
      </c>
      <c r="P24">
        <f t="shared" si="2"/>
        <v>42</v>
      </c>
      <c r="Q24">
        <f>VLOOKUP(B24,'C.P.'!$A$2:$B$164,2,FALSE)</f>
        <v>0</v>
      </c>
      <c r="R24" t="e">
        <f>VLOOKUP(B24,'C.P.'!$C$2:$D$164,2,FALSE)</f>
        <v>#N/A</v>
      </c>
      <c r="S24" t="e">
        <f>VLOOKUP(B24,'C.P.'!$E$2:$F$164,2,FALSE)</f>
        <v>#N/A</v>
      </c>
      <c r="T24" t="e">
        <f>VLOOKUP(B24,'C.P.'!$G$2:$H$164,2,FALSE)</f>
        <v>#N/A</v>
      </c>
    </row>
    <row r="25" spans="1:20">
      <c r="B25" s="205" t="s">
        <v>618</v>
      </c>
      <c r="C25" s="206" t="str">
        <f>VLOOKUP(B25,'IA FG'!$B$2:$G$600,6,FALSE)</f>
        <v>UDI</v>
      </c>
      <c r="D25" s="207">
        <v>8</v>
      </c>
      <c r="E25" s="207">
        <v>9</v>
      </c>
      <c r="F25" s="207">
        <v>6</v>
      </c>
      <c r="G25" s="207">
        <v>6</v>
      </c>
      <c r="H25" s="207">
        <v>6</v>
      </c>
      <c r="I25" s="207">
        <v>7</v>
      </c>
      <c r="J25" s="159">
        <f>$D25*Pesi!$F$5+Pesi!$F$6*$E25+$F25*Pesi!$F$7+Pesi!$F$8*$G25+$H25*Pesi!$F$9+Pesi!$F$10*$I25+VLOOKUP($C25,TabAlgSqu,2,FALSE)*Pesi!$F$11+Pesi!$F$12*VLOOKUP($C25,TabAlgFC,2,FALSE)+VLOOKUP($C25,TabAlgAll,2,FALSE)*Pesi!$F$13</f>
        <v>70.243800000000007</v>
      </c>
      <c r="K25" s="155">
        <f>IF(ISNA(MATCH($B25,Pesi!$B$31:$B$34,0)),VLOOKUP(Pesi!$B$33,TabAlgDif,10,FALSE)-((VLOOKUP(Pesi!$B$33,TabAlgDif,9,FALSE)-$J25)/(VLOOKUP(Pesi!$B$33,TabAlgDif,9,FALSE)-Pesi!$C$43))*VLOOKUP(Pesi!$B$33,TabAlgDif,10,FALSE),Pesi!$F$33*Pesi!$C$28)</f>
        <v>8.8157163387630781</v>
      </c>
      <c r="L25" s="155">
        <f t="shared" si="0"/>
        <v>8.8157163387630781</v>
      </c>
      <c r="M25" s="160">
        <f>$D25*Pesi!$H$5+Pesi!$H$6*$E25+$F25*Pesi!$H$7+Pesi!$H$8*$G25+$H25*Pesi!$H$9+Pesi!$H$10*$I25+VLOOKUP($C25,TabAlgSqu,2,FALSE)*Pesi!$H$11+Pesi!$H$12*VLOOKUP($C25,TabAlgFC,2,FALSE)+VLOOKUP($C25,TabAlgAll,2,FALSE)*Pesi!$H$13</f>
        <v>73.543800000000005</v>
      </c>
      <c r="N25" s="155">
        <f>IF(ISNA(MATCH($B25,Pesi!$B$31:$B$34,0)),VLOOKUP(Pesi!$B$33,TabAlgDif,13,FALSE)-((VLOOKUP(Pesi!$B$33,TabAlgDif,12,FALSE)-$M25)/(VLOOKUP(Pesi!$B$33,TabAlgDif,12,FALSE)-Pesi!$F$43))*VLOOKUP(Pesi!$B$33,TabAlgDif,13,FALSE),$K25*$M25/$J25)</f>
        <v>8.2062017165127585</v>
      </c>
      <c r="O25" s="155">
        <f t="shared" si="1"/>
        <v>8.2062017165127585</v>
      </c>
      <c r="P25">
        <f t="shared" si="2"/>
        <v>42</v>
      </c>
      <c r="Q25" t="e">
        <f>VLOOKUP(B25,'C.P.'!$A$2:$B$164,2,FALSE)</f>
        <v>#N/A</v>
      </c>
      <c r="R25" t="e">
        <f>VLOOKUP(B25,'C.P.'!$C$2:$D$164,2,FALSE)</f>
        <v>#N/A</v>
      </c>
      <c r="S25" t="e">
        <f>VLOOKUP(B25,'C.P.'!$E$2:$F$164,2,FALSE)</f>
        <v>#N/A</v>
      </c>
      <c r="T25" t="e">
        <f>VLOOKUP(B25,'C.P.'!$G$2:$H$164,2,FALSE)</f>
        <v>#N/A</v>
      </c>
    </row>
    <row r="26" spans="1:20">
      <c r="A26">
        <f ca="1">COUNTIF('I.A. + Fasce'!B$1:'I.A. + Fasce'!B$538,B23)</f>
        <v>1</v>
      </c>
      <c r="B26" s="205" t="s">
        <v>517</v>
      </c>
      <c r="C26" s="206" t="str">
        <f>VLOOKUP(B26,'IA FG'!$B$2:$G$600,6,FALSE)</f>
        <v>GEN</v>
      </c>
      <c r="D26" s="207">
        <v>8</v>
      </c>
      <c r="E26" s="207">
        <v>8</v>
      </c>
      <c r="F26" s="207">
        <v>7</v>
      </c>
      <c r="G26" s="207">
        <v>6</v>
      </c>
      <c r="H26" s="207">
        <v>6</v>
      </c>
      <c r="I26" s="207">
        <v>8</v>
      </c>
      <c r="J26" s="159">
        <f>$D26*Pesi!$F$5+Pesi!$F$6*$E26+$F26*Pesi!$F$7+Pesi!$F$8*$G26+$H26*Pesi!$F$9+Pesi!$F$10*$I26+VLOOKUP($C26,TabAlgSqu,2,FALSE)*Pesi!$F$11+Pesi!$F$12*VLOOKUP($C26,TabAlgFC,2,FALSE)+VLOOKUP($C26,TabAlgAll,2,FALSE)*Pesi!$F$13</f>
        <v>69.997600000000006</v>
      </c>
      <c r="K26" s="155">
        <f>IF(ISNA(MATCH($B26,Pesi!$B$31:$B$34,0)),VLOOKUP(Pesi!$B$33,TabAlgDif,10,FALSE)-((VLOOKUP(Pesi!$B$33,TabAlgDif,9,FALSE)-$J26)/(VLOOKUP(Pesi!$B$33,TabAlgDif,9,FALSE)-Pesi!$D$43))*VLOOKUP(Pesi!$B$33,TabAlgDif,10,FALSE),Pesi!$F$33*Pesi!$C$28)</f>
        <v>8.6724172119770131</v>
      </c>
      <c r="L26" s="155">
        <f t="shared" si="0"/>
        <v>8.6724172119770131</v>
      </c>
      <c r="M26" s="160">
        <f>$D26*Pesi!$H$5+Pesi!$H$6*$E26+$F26*Pesi!$H$7+Pesi!$H$8*$G26+$H26*Pesi!$H$9+Pesi!$H$10*$I26+VLOOKUP($C26,TabAlgSqu,2,FALSE)*Pesi!$H$11+Pesi!$H$12*VLOOKUP($C26,TabAlgFC,2,FALSE)+VLOOKUP($C26,TabAlgAll,2,FALSE)*Pesi!$H$13</f>
        <v>73.8476</v>
      </c>
      <c r="N26" s="155">
        <f>IF(ISNA(MATCH($B26,Pesi!$B$31:$B$34,0)),VLOOKUP(Pesi!$B$33,TabAlgDif,13,FALSE)-((VLOOKUP(Pesi!$B$33,TabAlgDif,12,FALSE)-$M26)/(VLOOKUP(Pesi!$B$33,TabAlgDif,12,FALSE)-Pesi!$F$43))*VLOOKUP(Pesi!$B$33,TabAlgDif,13,FALSE),$K26*$M26/$J26)</f>
        <v>8.5871797539644774</v>
      </c>
      <c r="O26" s="155">
        <f t="shared" si="1"/>
        <v>8.5871797539644774</v>
      </c>
      <c r="P26">
        <f t="shared" si="2"/>
        <v>43</v>
      </c>
      <c r="Q26" t="e">
        <f>VLOOKUP(B26,'C.P.'!$A$2:$B$164,2,FALSE)</f>
        <v>#N/A</v>
      </c>
      <c r="R26" t="e">
        <f>VLOOKUP(C26,'C.P.'!$C$2:$C$164,2,FALSE)</f>
        <v>#N/A</v>
      </c>
      <c r="S26" t="e">
        <f>VLOOKUP(D26,'C.P.'!$E$2:$F$164,2,FALSE)</f>
        <v>#N/A</v>
      </c>
      <c r="T26" t="e">
        <f>VLOOKUP(E26,'C.P.'!$G$2:$H$164,2,FALSE)</f>
        <v>#N/A</v>
      </c>
    </row>
    <row r="27" spans="1:20">
      <c r="A27">
        <f ca="1">COUNTIF('I.A. + Fasce'!B$1:'I.A. + Fasce'!B$538,B17)</f>
        <v>1</v>
      </c>
      <c r="B27" s="205" t="s">
        <v>1922</v>
      </c>
      <c r="C27" s="206" t="str">
        <f>VLOOKUP(B27,'IA FG'!$B$2:$G$600,6,FALSE)</f>
        <v>TOR</v>
      </c>
      <c r="D27" s="207">
        <v>9</v>
      </c>
      <c r="E27" s="207">
        <v>8</v>
      </c>
      <c r="F27" s="207">
        <v>7</v>
      </c>
      <c r="G27" s="207">
        <v>6</v>
      </c>
      <c r="H27" s="207">
        <v>6</v>
      </c>
      <c r="I27" s="207">
        <v>7</v>
      </c>
      <c r="J27" s="159">
        <f>$D27*Pesi!$F$5+Pesi!$F$6*$E27+$F27*Pesi!$F$7+Pesi!$F$8*$G27+$H27*Pesi!$F$9+Pesi!$F$10*$I27+VLOOKUP($C27,TabAlgSqu,2,FALSE)*Pesi!$F$11+Pesi!$F$12*VLOOKUP($C27,TabAlgFC,2,FALSE)+VLOOKUP($C27,TabAlgAll,2,FALSE)*Pesi!$F$13</f>
        <v>69.951599999999999</v>
      </c>
      <c r="K27" s="155">
        <f>IF(ISNA(MATCH($B27,Pesi!$B$31:$B$34,0)),VLOOKUP(Pesi!$B$33,TabAlgDif,10,FALSE)-((VLOOKUP(Pesi!$B$33,TabAlgDif,9,FALSE)-$J27)/(VLOOKUP(Pesi!$B$33,TabAlgDif,9,FALSE)-Pesi!$C$43))*VLOOKUP(Pesi!$B$33,TabAlgDif,10,FALSE),Pesi!$F$33*Pesi!$C$28)</f>
        <v>8.4499231358567499</v>
      </c>
      <c r="L27" s="155">
        <f t="shared" si="0"/>
        <v>8.4499231358567499</v>
      </c>
      <c r="M27" s="160">
        <f>$D27*Pesi!$H$5+Pesi!$H$6*$E27+$F27*Pesi!$H$7+Pesi!$H$8*$G27+$H27*Pesi!$H$9+Pesi!$H$10*$I27+VLOOKUP($C27,TabAlgSqu,2,FALSE)*Pesi!$H$11+Pesi!$H$12*VLOOKUP($C27,TabAlgFC,2,FALSE)+VLOOKUP($C27,TabAlgAll,2,FALSE)*Pesi!$H$13</f>
        <v>73.801599999999993</v>
      </c>
      <c r="N27" s="155">
        <f>IF(ISNA(MATCH($B27,Pesi!$B$31:$B$34,0)),VLOOKUP(Pesi!$B$33,TabAlgDif,13,FALSE)-((VLOOKUP(Pesi!$B$33,TabAlgDif,12,FALSE)-$M27)/(VLOOKUP(Pesi!$B$33,TabAlgDif,12,FALSE)-Pesi!$F$43))*VLOOKUP(Pesi!$B$33,TabAlgDif,13,FALSE),$K27*$M27/$J27)</f>
        <v>8.5294938101765183</v>
      </c>
      <c r="O27" s="155">
        <f t="shared" si="1"/>
        <v>8.5294938101765183</v>
      </c>
      <c r="P27">
        <f t="shared" si="2"/>
        <v>43</v>
      </c>
      <c r="Q27" t="e">
        <f>VLOOKUP(B27,'C.P.'!$A$2:$B$164,2,FALSE)</f>
        <v>#N/A</v>
      </c>
      <c r="R27" t="e">
        <f>VLOOKUP(B27,'C.P.'!$C$2:$D$164,2,FALSE)</f>
        <v>#N/A</v>
      </c>
      <c r="S27" t="e">
        <f>VLOOKUP(B27,'C.P.'!$E$2:$F$164,2,FALSE)</f>
        <v>#N/A</v>
      </c>
      <c r="T27" t="e">
        <f>VLOOKUP(B27,'C.P.'!$G$2:$H$164,2,FALSE)</f>
        <v>#N/A</v>
      </c>
    </row>
    <row r="28" spans="1:20">
      <c r="A28">
        <f ca="1">COUNTIF('I.A. + Fasce'!B$1:'I.A. + Fasce'!B$538,#REF!)</f>
        <v>0</v>
      </c>
      <c r="B28" s="205" t="s">
        <v>1701</v>
      </c>
      <c r="C28" s="206" t="str">
        <f>VLOOKUP(B28,'IA FG'!$B$2:$G$600,6,FALSE)</f>
        <v>MIL</v>
      </c>
      <c r="D28" s="207">
        <v>7</v>
      </c>
      <c r="E28" s="207">
        <v>7</v>
      </c>
      <c r="F28" s="207">
        <v>7</v>
      </c>
      <c r="G28" s="207">
        <v>7</v>
      </c>
      <c r="H28" s="207">
        <v>6</v>
      </c>
      <c r="I28" s="207">
        <v>7</v>
      </c>
      <c r="J28" s="159">
        <f>$D28*Pesi!$F$5+Pesi!$F$6*$E28+$F28*Pesi!$F$7+Pesi!$F$8*$G28+$H28*Pesi!$F$9+Pesi!$F$10*$I28+VLOOKUP($C28,TabAlgSqu,2,FALSE)*Pesi!$F$11+Pesi!$F$12*VLOOKUP($C28,TabAlgFC,2,FALSE)+VLOOKUP($C28,TabAlgAll,2,FALSE)*Pesi!$F$13</f>
        <v>69.846999999999994</v>
      </c>
      <c r="K28" s="155">
        <f>IF(ISNA(MATCH($B28,Pesi!$B$31:$B$34,0)),VLOOKUP(Pesi!$B$33,TabAlgDif,10,FALSE)-((VLOOKUP(Pesi!$B$33,TabAlgDif,9,FALSE)-$J28)/(VLOOKUP(Pesi!$B$33,TabAlgDif,9,FALSE)-Pesi!$C$43))*VLOOKUP(Pesi!$B$33,TabAlgDif,10,FALSE),Pesi!$F$33*Pesi!$C$28)</f>
        <v>8.318978683344767</v>
      </c>
      <c r="L28" s="155">
        <f t="shared" si="0"/>
        <v>8.318978683344767</v>
      </c>
      <c r="M28" s="160">
        <f>$D28*Pesi!$H$5+Pesi!$H$6*$E28+$F28*Pesi!$H$7+Pesi!$H$8*$G28+$H28*Pesi!$H$9+Pesi!$H$10*$I28+VLOOKUP($C28,TabAlgSqu,2,FALSE)*Pesi!$H$11+Pesi!$H$12*VLOOKUP($C28,TabAlgFC,2,FALSE)+VLOOKUP($C28,TabAlgAll,2,FALSE)*Pesi!$H$13</f>
        <v>73.696999999999989</v>
      </c>
      <c r="N28" s="155">
        <f>IF(ISNA(MATCH($B28,Pesi!$B$31:$B$34,0)),VLOOKUP(Pesi!$B$33,TabAlgDif,13,FALSE)-((VLOOKUP(Pesi!$B$33,TabAlgDif,12,FALSE)-$M28)/(VLOOKUP(Pesi!$B$33,TabAlgDif,12,FALSE)-Pesi!$F$43))*VLOOKUP(Pesi!$B$33,TabAlgDif,13,FALSE),$K28*$M28/$J28)</f>
        <v>8.3983209901717402</v>
      </c>
      <c r="O28" s="155">
        <f t="shared" si="1"/>
        <v>8.3983209901717402</v>
      </c>
      <c r="P28">
        <f t="shared" si="2"/>
        <v>41</v>
      </c>
      <c r="Q28" t="e">
        <f>VLOOKUP(B28,'C.P.'!$A$2:$B$164,2,FALSE)</f>
        <v>#N/A</v>
      </c>
      <c r="R28" t="e">
        <f>VLOOKUP(B28,'C.P.'!$C$2:$D$164,2,FALSE)</f>
        <v>#N/A</v>
      </c>
      <c r="S28" t="e">
        <f>VLOOKUP(B28,'C.P.'!$E$2:$F$164,2,FALSE)</f>
        <v>#N/A</v>
      </c>
      <c r="T28" t="e">
        <f>VLOOKUP(B28,'C.P.'!$G$2:$H$164,2,FALSE)</f>
        <v>#N/A</v>
      </c>
    </row>
    <row r="29" spans="1:20">
      <c r="A29">
        <f ca="1">COUNTIF('I.A. + Fasce'!B$1:'I.A. + Fasce'!B$538,B19)</f>
        <v>1</v>
      </c>
      <c r="B29" s="205" t="s">
        <v>529</v>
      </c>
      <c r="C29" s="206" t="str">
        <f>VLOOKUP(B29,'IA FG'!$B$2:$G$600,6,FALSE)</f>
        <v>JUV</v>
      </c>
      <c r="D29" s="207">
        <v>7</v>
      </c>
      <c r="E29" s="207">
        <v>7</v>
      </c>
      <c r="F29" s="207">
        <v>7</v>
      </c>
      <c r="G29" s="207">
        <v>5</v>
      </c>
      <c r="H29" s="207">
        <v>5</v>
      </c>
      <c r="I29" s="207">
        <v>7</v>
      </c>
      <c r="J29" s="159">
        <f>$D29*Pesi!$F$5+Pesi!$F$6*$E29+$F29*Pesi!$F$7+Pesi!$F$8*$G29+$H29*Pesi!$F$9+Pesi!$F$10*$I29+VLOOKUP($C29,TabAlgSqu,2,FALSE)*Pesi!$F$11+Pesi!$F$12*VLOOKUP($C29,TabAlgFC,2,FALSE)+VLOOKUP($C29,TabAlgAll,2,FALSE)*Pesi!$F$13</f>
        <v>69.737700000000004</v>
      </c>
      <c r="K29" s="155">
        <f>IF(ISNA(MATCH($B29,Pesi!$B$31:$B$34,0)),VLOOKUP(Pesi!$B$33,TabAlgDif,10,FALSE)-((VLOOKUP(Pesi!$B$33,TabAlgDif,9,FALSE)-$J29)/(VLOOKUP(Pesi!$B$33,TabAlgDif,9,FALSE)-Pesi!$C$43))*VLOOKUP(Pesi!$B$33,TabAlgDif,10,FALSE),Pesi!$F$33*Pesi!$C$28)</f>
        <v>8.1821504934828297</v>
      </c>
      <c r="L29" s="155">
        <f t="shared" si="0"/>
        <v>8.1821504934828297</v>
      </c>
      <c r="M29" s="160">
        <f>$D29*Pesi!$H$5+Pesi!$H$6*$E29+$F29*Pesi!$H$7+Pesi!$H$8*$G29+$H29*Pesi!$H$9+Pesi!$H$10*$I29+VLOOKUP($C29,TabAlgSqu,2,FALSE)*Pesi!$H$11+Pesi!$H$12*VLOOKUP($C29,TabAlgFC,2,FALSE)+VLOOKUP($C29,TabAlgAll,2,FALSE)*Pesi!$H$13</f>
        <v>73.587699999999998</v>
      </c>
      <c r="N29" s="155">
        <f>IF(ISNA(MATCH($B29,Pesi!$B$31:$B$34,0)),VLOOKUP(Pesi!$B$33,TabAlgDif,13,FALSE)-((VLOOKUP(Pesi!$B$33,TabAlgDif,12,FALSE)-$M29)/(VLOOKUP(Pesi!$B$33,TabAlgDif,12,FALSE)-Pesi!$F$43))*VLOOKUP(Pesi!$B$33,TabAlgDif,13,FALSE),$K29*$M29/$J29)</f>
        <v>8.2612541715625589</v>
      </c>
      <c r="O29" s="155">
        <f t="shared" si="1"/>
        <v>8.2612541715625589</v>
      </c>
      <c r="P29">
        <f t="shared" si="2"/>
        <v>38</v>
      </c>
      <c r="Q29" t="e">
        <f>VLOOKUP(B29,'C.P.'!$A$2:$B$164,2,FALSE)</f>
        <v>#N/A</v>
      </c>
      <c r="R29" t="e">
        <f>VLOOKUP(B29,'C.P.'!$C$2:$D$164,2,FALSE)</f>
        <v>#N/A</v>
      </c>
      <c r="S29" t="e">
        <f>VLOOKUP(B29,'C.P.'!$E$2:$F$164,2,FALSE)</f>
        <v>#N/A</v>
      </c>
      <c r="T29" t="e">
        <f>VLOOKUP(B29,'C.P.'!$G$2:$H$164,2,FALSE)</f>
        <v>#N/A</v>
      </c>
    </row>
    <row r="30" spans="1:20">
      <c r="A30">
        <f ca="1">COUNTIF('I.A. + Fasce'!B$1:'I.A. + Fasce'!B$538,B20)</f>
        <v>1</v>
      </c>
      <c r="B30" s="205" t="s">
        <v>451</v>
      </c>
      <c r="C30" s="206" t="str">
        <f>VLOOKUP(B30,'IA FG'!$B$2:$G$600,6,FALSE)</f>
        <v>JUV</v>
      </c>
      <c r="D30" s="207">
        <v>8</v>
      </c>
      <c r="E30" s="207">
        <v>6</v>
      </c>
      <c r="F30" s="207">
        <v>7</v>
      </c>
      <c r="G30" s="207">
        <v>5</v>
      </c>
      <c r="H30" s="207">
        <v>6</v>
      </c>
      <c r="I30" s="207">
        <v>6</v>
      </c>
      <c r="J30" s="159">
        <f>$D30*Pesi!$F$5+Pesi!$F$6*$E30+$F30*Pesi!$F$7+Pesi!$F$8*$G30+$H30*Pesi!$F$9+Pesi!$F$10*$I30+VLOOKUP($C30,TabAlgSqu,2,FALSE)*Pesi!$F$11+Pesi!$F$12*VLOOKUP($C30,TabAlgFC,2,FALSE)+VLOOKUP($C30,TabAlgAll,2,FALSE)*Pesi!$F$13</f>
        <v>69.733500000000006</v>
      </c>
      <c r="K30" s="155">
        <f>IF(ISNA(MATCH($B30,Pesi!$B$31:$B$34,0)),VLOOKUP(Pesi!$B$32,TabAlgCen,10,FALSE)-((VLOOKUP(Pesi!$B$32,TabAlgCen,9,FALSE)-$J30)/(VLOOKUP(Pesi!$B$32,TabAlgCen,9,FALSE)-Pesi!$D$42))*VLOOKUP(Pesi!$B$32,TabAlgCen,10,FALSE),Pesi!$F$32*Pesi!$C$28)</f>
        <v>-0.73111715066406191</v>
      </c>
      <c r="L30" s="155">
        <f t="shared" si="0"/>
        <v>1</v>
      </c>
      <c r="M30" s="160">
        <f>$D30*Pesi!$H$5+Pesi!$H$6*$E30+$F30*Pesi!$H$7+Pesi!$H$8*$G30+$H30*Pesi!$H$9+Pesi!$H$10*$I30+VLOOKUP($C30,TabAlgSqu,2,FALSE)*Pesi!$H$11+Pesi!$H$12*VLOOKUP($C30,TabAlgFC,2,FALSE)+VLOOKUP($C30,TabAlgAll,2,FALSE)*Pesi!$H$13</f>
        <v>73.583500000000001</v>
      </c>
      <c r="N30" s="155">
        <f>IF(ISNA(MATCH($B30,Pesi!$B$31:$B$34,0)),VLOOKUP(Pesi!$B$33,TabAlgDif,13,FALSE)-((VLOOKUP(Pesi!$B$33,TabAlgDif,12,FALSE)-$M30)/(VLOOKUP(Pesi!$B$33,TabAlgDif,12,FALSE)-Pesi!$F$43))*VLOOKUP(Pesi!$B$33,TabAlgDif,13,FALSE),$K30*$M30/$J30)</f>
        <v>8.2559871940862699</v>
      </c>
      <c r="O30" s="155">
        <f t="shared" si="1"/>
        <v>8.2559871940862699</v>
      </c>
      <c r="P30">
        <f t="shared" si="2"/>
        <v>38</v>
      </c>
      <c r="Q30">
        <f>VLOOKUP(B30,'C.P.'!$A$2:$B$164,2,FALSE)</f>
        <v>-1</v>
      </c>
      <c r="R30" t="e">
        <f>VLOOKUP(B30,'C.P.'!$C$2:$D$164,2,FALSE)</f>
        <v>#N/A</v>
      </c>
      <c r="S30" t="e">
        <f>VLOOKUP(B30,'C.P.'!$E$2:$F$164,2,FALSE)</f>
        <v>#N/A</v>
      </c>
      <c r="T30" t="e">
        <f>VLOOKUP(B30,'C.P.'!$G$2:$H$164,2,FALSE)</f>
        <v>#N/A</v>
      </c>
    </row>
    <row r="31" spans="1:20">
      <c r="B31" s="205" t="s">
        <v>1700</v>
      </c>
      <c r="C31" s="206" t="str">
        <f>VLOOKUP(B31,'IA FG'!$B$2:$G$600,6,FALSE)</f>
        <v>ROM</v>
      </c>
      <c r="D31" s="207">
        <v>8</v>
      </c>
      <c r="E31" s="207">
        <v>7</v>
      </c>
      <c r="F31" s="207">
        <v>6</v>
      </c>
      <c r="G31" s="207">
        <v>6</v>
      </c>
      <c r="H31" s="207">
        <v>7</v>
      </c>
      <c r="I31" s="207">
        <v>7</v>
      </c>
      <c r="J31" s="159">
        <f>$D31*Pesi!$F$5+Pesi!$F$6*$E31+$F31*Pesi!$F$7+Pesi!$F$8*$G31+$H31*Pesi!$F$9+Pesi!$F$10*$I31+VLOOKUP($C31,TabAlgSqu,2,FALSE)*Pesi!$F$11+Pesi!$F$12*VLOOKUP($C31,TabAlgFC,2,FALSE)+VLOOKUP($C31,TabAlgAll,2,FALSE)*Pesi!$F$13</f>
        <v>69.470600000000005</v>
      </c>
      <c r="K31" s="155">
        <f>IF(ISNA(MATCH($B31,Pesi!$B$31:$B$34,0)),VLOOKUP(Pesi!$B$33,TabAlgDif,10,FALSE)-((VLOOKUP(Pesi!$B$33,TabAlgDif,9,FALSE)-$J31)/(VLOOKUP(Pesi!$B$33,TabAlgDif,9,FALSE)-Pesi!$C$43))*VLOOKUP(Pesi!$B$33,TabAlgDif,10,FALSE),Pesi!$F$33*Pesi!$C$28)</f>
        <v>7.8477789517433507</v>
      </c>
      <c r="L31" s="155">
        <f t="shared" si="0"/>
        <v>7.8477789517433507</v>
      </c>
      <c r="M31" s="160">
        <f>$D31*Pesi!$H$5+Pesi!$H$6*$E31+$F31*Pesi!$H$7+Pesi!$H$8*$G31+$H31*Pesi!$H$9+Pesi!$H$10*$I31+VLOOKUP($C31,TabAlgSqu,2,FALSE)*Pesi!$H$11+Pesi!$H$12*VLOOKUP($C31,TabAlgFC,2,FALSE)+VLOOKUP($C31,TabAlgAll,2,FALSE)*Pesi!$H$13</f>
        <v>72.770599999999988</v>
      </c>
      <c r="N31" s="155">
        <f>IF(ISNA(MATCH($B31,Pesi!$B$31:$B$34,0)),VLOOKUP(Pesi!$B$33,TabAlgDif,13,FALSE)-((VLOOKUP(Pesi!$B$33,TabAlgDif,12,FALSE)-$M31)/(VLOOKUP(Pesi!$B$33,TabAlgDif,12,FALSE)-Pesi!$F$43))*VLOOKUP(Pesi!$B$33,TabAlgDif,13,FALSE),$K31*$M31/$J31)</f>
        <v>7.236576243972678</v>
      </c>
      <c r="O31" s="155">
        <f t="shared" si="1"/>
        <v>7.236576243972678</v>
      </c>
      <c r="P31">
        <f t="shared" si="2"/>
        <v>41</v>
      </c>
      <c r="Q31">
        <f>VLOOKUP(B31,'C.P.'!$A$2:$B$164,2,FALSE)</f>
        <v>0</v>
      </c>
      <c r="R31" t="e">
        <f>VLOOKUP(B31,'C.P.'!$C$2:$D$164,2,FALSE)</f>
        <v>#N/A</v>
      </c>
      <c r="S31" t="e">
        <f>VLOOKUP(B31,'C.P.'!$E$2:$F$164,2,FALSE)</f>
        <v>#N/A</v>
      </c>
      <c r="T31" t="e">
        <f>VLOOKUP(B31,'C.P.'!$G$2:$H$164,2,FALSE)</f>
        <v>#N/A</v>
      </c>
    </row>
    <row r="32" spans="1:20">
      <c r="A32">
        <f ca="1">COUNTIF('I.A. + Fasce'!B$1:'I.A. + Fasce'!B$538,B22)</f>
        <v>1</v>
      </c>
      <c r="B32" s="205" t="s">
        <v>922</v>
      </c>
      <c r="C32" s="206" t="str">
        <f>VLOOKUP(B32,'IA FG'!$B$2:$G$600,6,FALSE)</f>
        <v>ROM</v>
      </c>
      <c r="D32" s="207">
        <v>8</v>
      </c>
      <c r="E32" s="207">
        <v>6</v>
      </c>
      <c r="F32" s="207">
        <v>7</v>
      </c>
      <c r="G32" s="207">
        <v>7</v>
      </c>
      <c r="H32" s="207">
        <v>7</v>
      </c>
      <c r="I32" s="207">
        <v>6</v>
      </c>
      <c r="J32" s="159">
        <f>$D32*Pesi!$F$5+Pesi!$F$6*$E32+$F32*Pesi!$F$7+Pesi!$F$8*$G32+$H32*Pesi!$F$9+Pesi!$F$10*$I32+VLOOKUP($C32,TabAlgSqu,2,FALSE)*Pesi!$F$11+Pesi!$F$12*VLOOKUP($C32,TabAlgFC,2,FALSE)+VLOOKUP($C32,TabAlgAll,2,FALSE)*Pesi!$F$13</f>
        <v>69.462299999999999</v>
      </c>
      <c r="K32" s="155">
        <f>IF(ISNA(MATCH($B32,Pesi!$B$31:$B$34,0)),VLOOKUP(Pesi!$B$33,TabAlgDif,10,FALSE)-((VLOOKUP(Pesi!$B$33,TabAlgDif,9,FALSE)-$J32)/(VLOOKUP(Pesi!$B$33,TabAlgDif,9,FALSE)-Pesi!$D$43))*VLOOKUP(Pesi!$B$33,TabAlgDif,10,FALSE),Pesi!$F$33*Pesi!$C$28)</f>
        <v>8.0089976204640152</v>
      </c>
      <c r="L32" s="155">
        <f t="shared" si="0"/>
        <v>8.0089976204640152</v>
      </c>
      <c r="M32" s="160">
        <f>$D32*Pesi!$H$5+Pesi!$H$6*$E32+$F32*Pesi!$H$7+Pesi!$H$8*$G32+$H32*Pesi!$H$9+Pesi!$H$10*$I32+VLOOKUP($C32,TabAlgSqu,2,FALSE)*Pesi!$H$11+Pesi!$H$12*VLOOKUP($C32,TabAlgFC,2,FALSE)+VLOOKUP($C32,TabAlgAll,2,FALSE)*Pesi!$H$13</f>
        <v>73.312299999999993</v>
      </c>
      <c r="N32" s="155">
        <f>IF(ISNA(MATCH($B32,Pesi!$B$31:$B$34,0)),VLOOKUP(Pesi!$B$33,TabAlgDif,13,FALSE)-((VLOOKUP(Pesi!$B$33,TabAlgDif,12,FALSE)-$M32)/(VLOOKUP(Pesi!$B$33,TabAlgDif,12,FALSE)-Pesi!$F$43))*VLOOKUP(Pesi!$B$33,TabAlgDif,13,FALSE),$K32*$M32/$J32)</f>
        <v>7.9158909341886101</v>
      </c>
      <c r="O32" s="155">
        <f t="shared" si="1"/>
        <v>7.9158909341886101</v>
      </c>
      <c r="P32">
        <f t="shared" si="2"/>
        <v>41</v>
      </c>
      <c r="Q32" t="e">
        <f>VLOOKUP(B32,'C.P.'!$A$2:$B$164,2,FALSE)</f>
        <v>#N/A</v>
      </c>
      <c r="R32" t="e">
        <f>VLOOKUP(B32,'C.P.'!$C$2:$D$164,2,FALSE)</f>
        <v>#N/A</v>
      </c>
      <c r="S32" t="e">
        <f>VLOOKUP(B32,'C.P.'!$E$2:$F$164,2,FALSE)</f>
        <v>#N/A</v>
      </c>
      <c r="T32" t="e">
        <f>VLOOKUP(B32,'C.P.'!$G$2:$H$164,2,FALSE)</f>
        <v>#N/A</v>
      </c>
    </row>
    <row r="33" spans="1:21">
      <c r="A33">
        <f ca="1">COUNTIF('I.A. + Fasce'!B$1:'I.A. + Fasce'!B$538,#REF!)</f>
        <v>0</v>
      </c>
      <c r="B33" s="205" t="s">
        <v>598</v>
      </c>
      <c r="C33" s="206" t="str">
        <f>VLOOKUP(B33,'IA FG'!$B$2:$G$600,6,FALSE)</f>
        <v>SAM</v>
      </c>
      <c r="D33" s="207">
        <v>8</v>
      </c>
      <c r="E33" s="207">
        <v>9</v>
      </c>
      <c r="F33" s="207">
        <v>7</v>
      </c>
      <c r="G33" s="207">
        <v>5</v>
      </c>
      <c r="H33" s="207">
        <v>6</v>
      </c>
      <c r="I33" s="207">
        <v>7</v>
      </c>
      <c r="J33" s="159">
        <f>$D33*Pesi!$F$5+Pesi!$F$6*$E33+$F33*Pesi!$F$7+Pesi!$F$8*$G33+$H33*Pesi!$F$9+Pesi!$F$10*$I33+VLOOKUP($C33,TabAlgSqu,2,FALSE)*Pesi!$F$11+Pesi!$F$12*VLOOKUP($C33,TabAlgFC,2,FALSE)+VLOOKUP($C33,TabAlgAll,2,FALSE)*Pesi!$F$13</f>
        <v>69.438299999999998</v>
      </c>
      <c r="K33" s="155">
        <f>IF(ISNA(MATCH($B33,Pesi!$B$31:$B$34,0)),VLOOKUP(Pesi!$B$33,TabAlgDif,10,FALSE)-((VLOOKUP(Pesi!$B$33,TabAlgDif,9,FALSE)-$J33)/(VLOOKUP(Pesi!$B$33,TabAlgDif,9,FALSE)-Pesi!$C$43))*VLOOKUP(Pesi!$B$33,TabAlgDif,10,FALSE),Pesi!$F$33*Pesi!$C$28)</f>
        <v>7.8073439056999661</v>
      </c>
      <c r="L33" s="155">
        <f t="shared" si="0"/>
        <v>7.8073439056999661</v>
      </c>
      <c r="M33" s="160">
        <f>$D33*Pesi!$H$5+Pesi!$H$6*$E33+$F33*Pesi!$H$7+Pesi!$H$8*$G33+$H33*Pesi!$H$9+Pesi!$H$10*$I33+VLOOKUP($C33,TabAlgSqu,2,FALSE)*Pesi!$H$11+Pesi!$H$12*VLOOKUP($C33,TabAlgFC,2,FALSE)+VLOOKUP($C33,TabAlgAll,2,FALSE)*Pesi!$H$13</f>
        <v>73.288300000000007</v>
      </c>
      <c r="N33" s="155">
        <f>IF(ISNA(MATCH($B33,Pesi!$B$31:$B$34,0)),VLOOKUP(Pesi!$B$33,TabAlgDif,13,FALSE)-((VLOOKUP(Pesi!$B$33,TabAlgDif,12,FALSE)-$M33)/(VLOOKUP(Pesi!$B$33,TabAlgDif,12,FALSE)-Pesi!$F$43))*VLOOKUP(Pesi!$B$33,TabAlgDif,13,FALSE),$K33*$M33/$J33)</f>
        <v>7.8857939200383917</v>
      </c>
      <c r="O33" s="155">
        <f t="shared" si="1"/>
        <v>7.8857939200383917</v>
      </c>
      <c r="P33">
        <f t="shared" si="2"/>
        <v>42</v>
      </c>
      <c r="Q33">
        <f>VLOOKUP(B33,'C.P.'!$A$2:$B$164,2,FALSE)</f>
        <v>1</v>
      </c>
      <c r="R33" t="e">
        <f>VLOOKUP(B33,'C.P.'!$C$2:$D$164,2,FALSE)</f>
        <v>#N/A</v>
      </c>
      <c r="S33" t="e">
        <f>VLOOKUP(B33,'C.P.'!$E$2:$F$164,2,FALSE)</f>
        <v>#N/A</v>
      </c>
      <c r="T33" t="e">
        <f>VLOOKUP(B33,'C.P.'!$G$2:$H$164,2,FALSE)</f>
        <v>#N/A</v>
      </c>
      <c r="U33" s="420"/>
    </row>
    <row r="34" spans="1:21">
      <c r="B34" s="205" t="s">
        <v>1862</v>
      </c>
      <c r="C34" s="206" t="str">
        <f>VLOOKUP(B34,'IA FG'!$B$2:$G$600,6,FALSE)</f>
        <v>ROM</v>
      </c>
      <c r="D34" s="207">
        <v>8</v>
      </c>
      <c r="E34" s="207">
        <v>6</v>
      </c>
      <c r="F34" s="207">
        <v>6</v>
      </c>
      <c r="G34" s="207">
        <v>7</v>
      </c>
      <c r="H34" s="207">
        <v>7</v>
      </c>
      <c r="I34" s="207">
        <v>7</v>
      </c>
      <c r="J34" s="159">
        <f>$D34*Pesi!$F$5+Pesi!$F$6*$E34+$F34*Pesi!$F$7+Pesi!$F$8*$G34+$H34*Pesi!$F$9+Pesi!$F$10*$I34+VLOOKUP($C34,TabAlgSqu,2,FALSE)*Pesi!$F$11+Pesi!$F$12*VLOOKUP($C34,TabAlgFC,2,FALSE)+VLOOKUP($C34,TabAlgAll,2,FALSE)*Pesi!$F$13</f>
        <v>69.383099999999999</v>
      </c>
      <c r="K34" s="155">
        <f>IF(ISNA(MATCH($B34,Pesi!$B$31:$B$34,0)),VLOOKUP(Pesi!$B$33,TabAlgDif,10,FALSE)-((VLOOKUP(Pesi!$B$33,TabAlgDif,9,FALSE)-$J34)/(VLOOKUP(Pesi!$B$33,TabAlgDif,9,FALSE)-Pesi!$C$43))*VLOOKUP(Pesi!$B$33,TabAlgDif,10,FALSE),Pesi!$F$33*Pesi!$C$28)</f>
        <v>7.7382412883131479</v>
      </c>
      <c r="L34" s="155">
        <f t="shared" ref="L34:L65" si="3">IF(K34&lt;=1,1,K34)</f>
        <v>7.7382412883131479</v>
      </c>
      <c r="M34" s="160">
        <f>$D34*Pesi!$H$5+Pesi!$H$6*$E34+$F34*Pesi!$H$7+Pesi!$H$8*$G34+$H34*Pesi!$H$9+Pesi!$H$10*$I34+VLOOKUP($C34,TabAlgSqu,2,FALSE)*Pesi!$H$11+Pesi!$H$12*VLOOKUP($C34,TabAlgFC,2,FALSE)+VLOOKUP($C34,TabAlgAll,2,FALSE)*Pesi!$H$13</f>
        <v>72.683099999999982</v>
      </c>
      <c r="N34" s="155">
        <f>IF(ISNA(MATCH($B34,Pesi!$B$31:$B$34,0)),VLOOKUP(Pesi!$B$33,TabAlgDif,13,FALSE)-((VLOOKUP(Pesi!$B$33,TabAlgDif,12,FALSE)-$M34)/(VLOOKUP(Pesi!$B$33,TabAlgDif,12,FALSE)-Pesi!$F$43))*VLOOKUP(Pesi!$B$33,TabAlgDif,13,FALSE),$K34*$M34/$J34)</f>
        <v>7.1268475465499392</v>
      </c>
      <c r="O34" s="155">
        <f t="shared" ref="O34:O65" si="4">IF(N34&lt;=1,1,N34)</f>
        <v>7.1268475465499392</v>
      </c>
      <c r="P34">
        <f t="shared" ref="P34:P65" si="5">SUM(D34:I34)</f>
        <v>41</v>
      </c>
      <c r="Q34" t="e">
        <f>VLOOKUP(B34,'C.P.'!$A$2:$B$164,2,FALSE)</f>
        <v>#N/A</v>
      </c>
      <c r="R34" t="e">
        <f>VLOOKUP(B34,'C.P.'!$C$2:$D$164,2,FALSE)</f>
        <v>#N/A</v>
      </c>
      <c r="S34" t="e">
        <f>VLOOKUP(B34,'C.P.'!$E$2:$F$164,2,FALSE)</f>
        <v>#N/A</v>
      </c>
      <c r="T34" t="e">
        <f>VLOOKUP(B34,'C.P.'!$G$2:$H$164,2,FALSE)</f>
        <v>#N/A</v>
      </c>
    </row>
    <row r="35" spans="1:21">
      <c r="A35">
        <f ca="1">COUNTIF('I.A. + Fasce'!B$1:'I.A. + Fasce'!B$538,B30)</f>
        <v>1</v>
      </c>
      <c r="B35" s="205" t="s">
        <v>607</v>
      </c>
      <c r="C35" s="206" t="str">
        <f>VLOOKUP(B35,'IA FG'!$B$2:$G$600,6,FALSE)</f>
        <v>ATA</v>
      </c>
      <c r="D35" s="207">
        <v>8</v>
      </c>
      <c r="E35" s="207">
        <v>8</v>
      </c>
      <c r="F35" s="207">
        <v>7</v>
      </c>
      <c r="G35" s="207">
        <v>6</v>
      </c>
      <c r="H35" s="207">
        <v>6</v>
      </c>
      <c r="I35" s="207">
        <v>7</v>
      </c>
      <c r="J35" s="159">
        <f>$D35*Pesi!$F$5+Pesi!$F$6*$E35+$F35*Pesi!$F$7+Pesi!$F$8*$G35+$H35*Pesi!$F$9+Pesi!$F$10*$I35+VLOOKUP($C35,TabAlgSqu,2,FALSE)*Pesi!$F$11+Pesi!$F$12*VLOOKUP($C35,TabAlgFC,2,FALSE)+VLOOKUP($C35,TabAlgAll,2,FALSE)*Pesi!$F$13</f>
        <v>69.365800000000007</v>
      </c>
      <c r="K35" s="155">
        <f>IF(ISNA(MATCH($B35,Pesi!$B$31:$B$34,0)),VLOOKUP(Pesi!$B$33,TabAlgDif,10,FALSE)-((VLOOKUP(Pesi!$B$33,TabAlgDif,9,FALSE)-$J35)/(VLOOKUP(Pesi!$B$33,TabAlgDif,9,FALSE)-Pesi!$D$43))*VLOOKUP(Pesi!$B$33,TabAlgDif,10,FALSE),Pesi!$F$33*Pesi!$C$28)</f>
        <v>7.8894011501090766</v>
      </c>
      <c r="L35" s="155">
        <f t="shared" si="3"/>
        <v>7.8894011501090766</v>
      </c>
      <c r="M35" s="160">
        <f>$D35*Pesi!$H$5+Pesi!$H$6*$E35+$F35*Pesi!$H$7+Pesi!$H$8*$G35+$H35*Pesi!$H$9+Pesi!$H$10*$I35+VLOOKUP($C35,TabAlgSqu,2,FALSE)*Pesi!$H$11+Pesi!$H$12*VLOOKUP($C35,TabAlgFC,2,FALSE)+VLOOKUP($C35,TabAlgAll,2,FALSE)*Pesi!$H$13</f>
        <v>73.215800000000002</v>
      </c>
      <c r="N35" s="155">
        <f>IF(ISNA(MATCH($B35,Pesi!$B$31:$B$34,0)),VLOOKUP(Pesi!$B$33,TabAlgDif,13,FALSE)-((VLOOKUP(Pesi!$B$33,TabAlgDif,12,FALSE)-$M35)/(VLOOKUP(Pesi!$B$33,TabAlgDif,12,FALSE)-Pesi!$F$43))*VLOOKUP(Pesi!$B$33,TabAlgDif,13,FALSE),$K35*$M35/$J35)</f>
        <v>7.7948758564595479</v>
      </c>
      <c r="O35" s="155">
        <f t="shared" si="4"/>
        <v>7.7948758564595479</v>
      </c>
      <c r="P35">
        <f t="shared" si="5"/>
        <v>42</v>
      </c>
      <c r="Q35" t="e">
        <f>VLOOKUP(B35,'C.P.'!$A$2:$B$164,2,FALSE)</f>
        <v>#N/A</v>
      </c>
      <c r="R35" t="e">
        <f>VLOOKUP(C35,'C.P.'!$C$2:$C$164,2,FALSE)</f>
        <v>#N/A</v>
      </c>
      <c r="S35" t="e">
        <f>VLOOKUP(D35,'C.P.'!$E$2:$F$164,2,FALSE)</f>
        <v>#N/A</v>
      </c>
      <c r="T35" t="e">
        <f>VLOOKUP(E35,'C.P.'!$G$2:$H$164,2,FALSE)</f>
        <v>#N/A</v>
      </c>
    </row>
    <row r="36" spans="1:21">
      <c r="A36">
        <f ca="1">COUNTIF('I.A. + Fasce'!B$1:'I.A. + Fasce'!B$538,B26)</f>
        <v>1</v>
      </c>
      <c r="B36" s="205" t="s">
        <v>1693</v>
      </c>
      <c r="C36" s="206" t="str">
        <f>VLOOKUP(B36,'IA FG'!$B$2:$G$600,6,FALSE)</f>
        <v>VER</v>
      </c>
      <c r="D36" s="207">
        <v>6</v>
      </c>
      <c r="E36" s="207">
        <v>8</v>
      </c>
      <c r="F36" s="207">
        <v>7</v>
      </c>
      <c r="G36" s="207">
        <v>8</v>
      </c>
      <c r="H36" s="207">
        <v>6</v>
      </c>
      <c r="I36" s="207">
        <v>8</v>
      </c>
      <c r="J36" s="159">
        <f>$D36*Pesi!$F$5+Pesi!$F$6*$E36+$F36*Pesi!$F$7+Pesi!$F$8*$G36+$H36*Pesi!$F$9+Pesi!$F$10*$I36+VLOOKUP($C36,TabAlgSqu,2,FALSE)*Pesi!$F$11+Pesi!$F$12*VLOOKUP($C36,TabAlgFC,2,FALSE)+VLOOKUP($C36,TabAlgAll,2,FALSE)*Pesi!$F$13</f>
        <v>69.253999999999991</v>
      </c>
      <c r="K36" s="155">
        <f>IF(ISNA(MATCH($B36,Pesi!$B$31:$B$34,0)),VLOOKUP(Pesi!$B$33,TabAlgDif,10,FALSE)-((VLOOKUP(Pesi!$B$33,TabAlgDif,9,FALSE)-$J36)/(VLOOKUP(Pesi!$B$33,TabAlgDif,9,FALSE)-Pesi!$C$43))*VLOOKUP(Pesi!$B$33,TabAlgDif,10,FALSE),Pesi!$F$33*Pesi!$C$28)</f>
        <v>7.5766262900407035</v>
      </c>
      <c r="L36" s="155">
        <f t="shared" si="3"/>
        <v>7.5766262900407035</v>
      </c>
      <c r="M36" s="160">
        <f>$D36*Pesi!$H$5+Pesi!$H$6*$E36+$F36*Pesi!$H$7+Pesi!$H$8*$G36+$H36*Pesi!$H$9+Pesi!$H$10*$I36+VLOOKUP($C36,TabAlgSqu,2,FALSE)*Pesi!$H$11+Pesi!$H$12*VLOOKUP($C36,TabAlgFC,2,FALSE)+VLOOKUP($C36,TabAlgAll,2,FALSE)*Pesi!$H$13</f>
        <v>73.103999999999999</v>
      </c>
      <c r="N36" s="155">
        <f>IF(ISNA(MATCH($B36,Pesi!$B$31:$B$34,0)),VLOOKUP(Pesi!$B$33,TabAlgDif,13,FALSE)-((VLOOKUP(Pesi!$B$33,TabAlgDif,12,FALSE)-$M36)/(VLOOKUP(Pesi!$B$33,TabAlgDif,12,FALSE)-Pesi!$F$43))*VLOOKUP(Pesi!$B$33,TabAlgDif,13,FALSE),$K36*$M36/$J36)</f>
        <v>7.6546739322097004</v>
      </c>
      <c r="O36" s="155">
        <f t="shared" si="4"/>
        <v>7.6546739322097004</v>
      </c>
      <c r="P36">
        <f t="shared" si="5"/>
        <v>43</v>
      </c>
      <c r="Q36">
        <f>VLOOKUP(B36,'C.P.'!$A$2:$B$164,2,FALSE)</f>
        <v>1</v>
      </c>
      <c r="R36" t="e">
        <f>VLOOKUP(B36,'C.P.'!$C$2:$D$164,2,FALSE)</f>
        <v>#N/A</v>
      </c>
      <c r="S36" t="e">
        <f>VLOOKUP(B36,'C.P.'!$E$2:$F$164,2,FALSE)</f>
        <v>#N/A</v>
      </c>
      <c r="T36">
        <f>VLOOKUP(B36,'C.P.'!$G$2:$H$164,2,FALSE)</f>
        <v>2</v>
      </c>
    </row>
    <row r="37" spans="1:21">
      <c r="A37">
        <f ca="1">COUNTIF('I.A. + Fasce'!B$1:'I.A. + Fasce'!B$538,B32)</f>
        <v>1</v>
      </c>
      <c r="B37" s="205" t="s">
        <v>1703</v>
      </c>
      <c r="C37" s="206" t="str">
        <f>VLOOKUP(B37,'IA FG'!$B$2:$G$600,6,FALSE)</f>
        <v>UDI</v>
      </c>
      <c r="D37" s="207">
        <v>8</v>
      </c>
      <c r="E37" s="207">
        <v>8</v>
      </c>
      <c r="F37" s="207">
        <v>6</v>
      </c>
      <c r="G37" s="207">
        <v>6</v>
      </c>
      <c r="H37" s="207">
        <v>6</v>
      </c>
      <c r="I37" s="207">
        <v>7</v>
      </c>
      <c r="J37" s="159">
        <f>$D37*Pesi!$F$5+Pesi!$F$6*$E37+$F37*Pesi!$F$7+Pesi!$F$8*$G37+$H37*Pesi!$F$9+Pesi!$F$10*$I37+VLOOKUP($C37,TabAlgSqu,2,FALSE)*Pesi!$F$11+Pesi!$F$12*VLOOKUP($C37,TabAlgFC,2,FALSE)+VLOOKUP($C37,TabAlgAll,2,FALSE)*Pesi!$F$13</f>
        <v>68.906300000000002</v>
      </c>
      <c r="K37" s="155">
        <f>IF(ISNA(MATCH($B37,Pesi!$B$31:$B$34,0)),VLOOKUP(Pesi!$B$33,TabAlgDif,10,FALSE)-((VLOOKUP(Pesi!$B$33,TabAlgDif,9,FALSE)-$J37)/(VLOOKUP(Pesi!$B$33,TabAlgDif,9,FALSE)-Pesi!$D$43))*VLOOKUP(Pesi!$B$33,TabAlgDif,10,FALSE),Pesi!$F$33*Pesi!$C$28)</f>
        <v>7.3199236565536481</v>
      </c>
      <c r="L37" s="155">
        <f t="shared" si="3"/>
        <v>7.3199236565536481</v>
      </c>
      <c r="M37" s="160">
        <f>$D37*Pesi!$H$5+Pesi!$H$6*$E37+$F37*Pesi!$H$7+Pesi!$H$8*$G37+$H37*Pesi!$H$9+Pesi!$H$10*$I37+VLOOKUP($C37,TabAlgSqu,2,FALSE)*Pesi!$H$11+Pesi!$H$12*VLOOKUP($C37,TabAlgFC,2,FALSE)+VLOOKUP($C37,TabAlgAll,2,FALSE)*Pesi!$H$13</f>
        <v>72.206299999999999</v>
      </c>
      <c r="N37" s="155">
        <f>IF(ISNA(MATCH($B37,Pesi!$B$31:$B$34,0)),VLOOKUP(Pesi!$B$33,TabAlgDif,13,FALSE)-((VLOOKUP(Pesi!$B$33,TabAlgDif,12,FALSE)-$M37)/(VLOOKUP(Pesi!$B$33,TabAlgDif,12,FALSE)-Pesi!$F$43))*VLOOKUP(Pesi!$B$33,TabAlgDif,13,FALSE),$K37*$M37/$J37)</f>
        <v>6.5289201987652987</v>
      </c>
      <c r="O37" s="155">
        <f t="shared" si="4"/>
        <v>6.5289201987652987</v>
      </c>
      <c r="P37">
        <f t="shared" si="5"/>
        <v>41</v>
      </c>
      <c r="Q37" t="e">
        <f>VLOOKUP(B37,'C.P.'!$A$2:$B$164,2,FALSE)</f>
        <v>#N/A</v>
      </c>
      <c r="R37" t="e">
        <f>VLOOKUP(C37,'C.P.'!$C$2:$C$164,2,FALSE)</f>
        <v>#N/A</v>
      </c>
      <c r="S37" t="e">
        <f>VLOOKUP(D37,'C.P.'!$E$2:$F$164,2,FALSE)</f>
        <v>#N/A</v>
      </c>
      <c r="T37" t="e">
        <f>VLOOKUP(E37,'C.P.'!$G$2:$H$164,2,FALSE)</f>
        <v>#N/A</v>
      </c>
    </row>
    <row r="38" spans="1:21">
      <c r="A38">
        <f ca="1">COUNTIF('I.A. + Fasce'!B$1:'I.A. + Fasce'!B$538,B28)</f>
        <v>1</v>
      </c>
      <c r="B38" s="205" t="s">
        <v>449</v>
      </c>
      <c r="C38" s="206" t="str">
        <f>VLOOKUP(B38,'IA FG'!$B$2:$G$600,6,FALSE)</f>
        <v>UDI</v>
      </c>
      <c r="D38" s="207">
        <v>9</v>
      </c>
      <c r="E38" s="207">
        <v>10</v>
      </c>
      <c r="F38" s="207">
        <v>5</v>
      </c>
      <c r="G38" s="207">
        <v>6</v>
      </c>
      <c r="H38" s="207">
        <v>5</v>
      </c>
      <c r="I38" s="207">
        <v>6</v>
      </c>
      <c r="J38" s="159">
        <f>$D38*Pesi!$F$5+Pesi!$F$6*$E38+$F38*Pesi!$F$7+Pesi!$F$8*$G38+$H38*Pesi!$F$9+Pesi!$F$10*$I38+VLOOKUP($C38,TabAlgSqu,2,FALSE)*Pesi!$F$11+Pesi!$F$12*VLOOKUP($C38,TabAlgFC,2,FALSE)+VLOOKUP($C38,TabAlgAll,2,FALSE)*Pesi!$F$13</f>
        <v>68.835499999999996</v>
      </c>
      <c r="K38" s="155">
        <f>IF(ISNA(MATCH($B38,Pesi!$B$31:$B$34,0)),VLOOKUP(Pesi!$B$33,TabAlgDif,10,FALSE)-((VLOOKUP(Pesi!$B$33,TabAlgDif,9,FALSE)-$J38)/(VLOOKUP(Pesi!$B$33,TabAlgDif,9,FALSE)-Pesi!$D$43))*VLOOKUP(Pesi!$B$33,TabAlgDif,10,FALSE),Pesi!$F$33*Pesi!$C$28)</f>
        <v>7.2321782669046222</v>
      </c>
      <c r="L38" s="155">
        <f t="shared" si="3"/>
        <v>7.2321782669046222</v>
      </c>
      <c r="M38" s="160">
        <f>$D38*Pesi!$H$5+Pesi!$H$6*$E38+$F38*Pesi!$H$7+Pesi!$H$8*$G38+$H38*Pesi!$H$9+Pesi!$H$10*$I38+VLOOKUP($C38,TabAlgSqu,2,FALSE)*Pesi!$H$11+Pesi!$H$12*VLOOKUP($C38,TabAlgFC,2,FALSE)+VLOOKUP($C38,TabAlgAll,2,FALSE)*Pesi!$H$13</f>
        <v>71.585499999999996</v>
      </c>
      <c r="N38" s="155">
        <f>IF(ISNA(MATCH($B38,Pesi!$B$31:$B$34,0)),VLOOKUP(Pesi!$B$33,TabAlgDif,13,FALSE)-((VLOOKUP(Pesi!$B$33,TabAlgDif,12,FALSE)-$M38)/(VLOOKUP(Pesi!$B$33,TabAlgDif,12,FALSE)-Pesi!$F$43))*VLOOKUP(Pesi!$B$33,TabAlgDif,13,FALSE),$K38*$M38/$J38)</f>
        <v>5.7504107660792236</v>
      </c>
      <c r="O38" s="155">
        <f t="shared" si="4"/>
        <v>5.7504107660792236</v>
      </c>
      <c r="P38">
        <f t="shared" si="5"/>
        <v>41</v>
      </c>
      <c r="Q38" t="e">
        <f>VLOOKUP(B38,'C.P.'!$A$2:$B$164,2,FALSE)</f>
        <v>#N/A</v>
      </c>
      <c r="R38" t="e">
        <f>VLOOKUP(B38,'C.P.'!$C$2:$D$164,2,FALSE)</f>
        <v>#N/A</v>
      </c>
      <c r="S38" t="e">
        <f>VLOOKUP(B38,'C.P.'!$E$2:$F$164,2,FALSE)</f>
        <v>#N/A</v>
      </c>
      <c r="T38" t="e">
        <f>VLOOKUP(B38,'C.P.'!$G$2:$H$164,2,FALSE)</f>
        <v>#N/A</v>
      </c>
    </row>
    <row r="39" spans="1:21">
      <c r="A39">
        <f ca="1">COUNTIF('I.A. + Fasce'!B$1:'I.A. + Fasce'!B$538,B33)</f>
        <v>1</v>
      </c>
      <c r="B39" s="205" t="s">
        <v>403</v>
      </c>
      <c r="C39" s="206" t="str">
        <f>VLOOKUP(B39,'IA FG'!$B$2:$G$600,6,FALSE)</f>
        <v>CRO</v>
      </c>
      <c r="D39" s="207">
        <v>8</v>
      </c>
      <c r="E39" s="207">
        <v>9</v>
      </c>
      <c r="F39" s="207">
        <v>6</v>
      </c>
      <c r="G39" s="207">
        <v>6</v>
      </c>
      <c r="H39" s="207">
        <v>6</v>
      </c>
      <c r="I39" s="207">
        <v>7</v>
      </c>
      <c r="J39" s="159">
        <f>$D39*Pesi!$F$5+Pesi!$F$6*$E39+$F39*Pesi!$F$7+Pesi!$F$8*$G39+$H39*Pesi!$F$9+Pesi!$F$10*$I39+VLOOKUP($C39,TabAlgSqu,2,FALSE)*Pesi!$F$11+Pesi!$F$12*VLOOKUP($C39,TabAlgFC,2,FALSE)+VLOOKUP($C39,TabAlgAll,2,FALSE)*Pesi!$F$13</f>
        <v>68.746300000000005</v>
      </c>
      <c r="K39" s="155">
        <f>IF(ISNA(MATCH($B39,Pesi!$B$31:$B$34,0)),VLOOKUP(Pesi!$B$33,TabAlgDif,10,FALSE)-((VLOOKUP(Pesi!$B$33,TabAlgDif,9,FALSE)-$J39)/(VLOOKUP(Pesi!$B$33,TabAlgDif,9,FALSE)-Pesi!$D$43))*VLOOKUP(Pesi!$B$33,TabAlgDif,10,FALSE),Pesi!$F$33*Pesi!$C$28)</f>
        <v>7.1216289906801613</v>
      </c>
      <c r="L39" s="155">
        <f t="shared" si="3"/>
        <v>7.1216289906801613</v>
      </c>
      <c r="M39" s="160">
        <f>$D39*Pesi!$H$5+Pesi!$H$6*$E39+$F39*Pesi!$H$7+Pesi!$H$8*$G39+$H39*Pesi!$H$9+Pesi!$H$10*$I39+VLOOKUP($C39,TabAlgSqu,2,FALSE)*Pesi!$H$11+Pesi!$H$12*VLOOKUP($C39,TabAlgFC,2,FALSE)+VLOOKUP($C39,TabAlgAll,2,FALSE)*Pesi!$H$13</f>
        <v>72.046300000000002</v>
      </c>
      <c r="N39" s="155">
        <f>IF(ISNA(MATCH($B39,Pesi!$B$31:$B$34,0)),VLOOKUP(Pesi!$B$33,TabAlgDif,13,FALSE)-((VLOOKUP(Pesi!$B$33,TabAlgDif,12,FALSE)-$M39)/(VLOOKUP(Pesi!$B$33,TabAlgDif,12,FALSE)-Pesi!$F$43))*VLOOKUP(Pesi!$B$33,TabAlgDif,13,FALSE),$K39*$M39/$J39)</f>
        <v>6.328273437763734</v>
      </c>
      <c r="O39" s="155">
        <f t="shared" si="4"/>
        <v>6.328273437763734</v>
      </c>
      <c r="P39">
        <f t="shared" si="5"/>
        <v>42</v>
      </c>
      <c r="Q39">
        <f>VLOOKUP(B39,'C.P.'!$A$2:$B$164,2,FALSE)</f>
        <v>0</v>
      </c>
      <c r="R39" t="e">
        <f>VLOOKUP(B39,'C.P.'!$C$2:$D$164,2,FALSE)</f>
        <v>#N/A</v>
      </c>
      <c r="S39" t="e">
        <f>VLOOKUP(B39,'C.P.'!$E$2:$F$164,2,FALSE)</f>
        <v>#N/A</v>
      </c>
      <c r="T39" t="e">
        <f>VLOOKUP(B39,'C.P.'!$G$2:$H$164,2,FALSE)</f>
        <v>#N/A</v>
      </c>
    </row>
    <row r="40" spans="1:21">
      <c r="A40">
        <f ca="1">COUNTIF('I.A. + Fasce'!B$1:'I.A. + Fasce'!B$538,B34)</f>
        <v>1</v>
      </c>
      <c r="B40" s="205" t="s">
        <v>345</v>
      </c>
      <c r="C40" s="206" t="str">
        <f>VLOOKUP(B40,'IA FG'!$B$2:$G$600,6,FALSE)</f>
        <v>TOR</v>
      </c>
      <c r="D40" s="207">
        <v>8</v>
      </c>
      <c r="E40" s="207">
        <v>8</v>
      </c>
      <c r="F40" s="207">
        <v>6</v>
      </c>
      <c r="G40" s="207">
        <v>6</v>
      </c>
      <c r="H40" s="207">
        <v>7</v>
      </c>
      <c r="I40" s="207">
        <v>7</v>
      </c>
      <c r="J40" s="159">
        <f>$D40*Pesi!$F$5+Pesi!$F$6*$E40+$F40*Pesi!$F$7+Pesi!$F$8*$G40+$H40*Pesi!$F$9+Pesi!$F$10*$I40+VLOOKUP($C40,TabAlgSqu,2,FALSE)*Pesi!$F$11+Pesi!$F$12*VLOOKUP($C40,TabAlgFC,2,FALSE)+VLOOKUP($C40,TabAlgAll,2,FALSE)*Pesi!$F$13</f>
        <v>68.539100000000005</v>
      </c>
      <c r="K40" s="155">
        <f>IF(ISNA(MATCH($B40,Pesi!$B$31:$B$34,0)),VLOOKUP(Pesi!$B$33,TabAlgDif,10,FALSE)-((VLOOKUP(Pesi!$B$33,TabAlgDif,9,FALSE)-$J40)/(VLOOKUP(Pesi!$B$33,TabAlgDif,9,FALSE)-Pesi!$C$43))*VLOOKUP(Pesi!$B$33,TabAlgDif,10,FALSE),Pesi!$F$33*Pesi!$C$28)</f>
        <v>6.6816722833407702</v>
      </c>
      <c r="L40" s="155">
        <f t="shared" si="3"/>
        <v>6.6816722833407702</v>
      </c>
      <c r="M40" s="160">
        <f>$D40*Pesi!$H$5+Pesi!$H$6*$E40+$F40*Pesi!$H$7+Pesi!$H$8*$G40+$H40*Pesi!$H$9+Pesi!$H$10*$I40+VLOOKUP($C40,TabAlgSqu,2,FALSE)*Pesi!$H$11+Pesi!$H$12*VLOOKUP($C40,TabAlgFC,2,FALSE)+VLOOKUP($C40,TabAlgAll,2,FALSE)*Pesi!$H$13</f>
        <v>71.839100000000002</v>
      </c>
      <c r="N40" s="155">
        <f>IF(ISNA(MATCH($B40,Pesi!$B$31:$B$34,0)),VLOOKUP(Pesi!$B$33,TabAlgDif,13,FALSE)-((VLOOKUP(Pesi!$B$33,TabAlgDif,12,FALSE)-$M40)/(VLOOKUP(Pesi!$B$33,TabAlgDif,12,FALSE)-Pesi!$F$43))*VLOOKUP(Pesi!$B$33,TabAlgDif,13,FALSE),$K40*$M40/$J40)</f>
        <v>6.0684358822667086</v>
      </c>
      <c r="O40" s="155">
        <f t="shared" si="4"/>
        <v>6.0684358822667086</v>
      </c>
      <c r="P40">
        <f t="shared" si="5"/>
        <v>42</v>
      </c>
      <c r="Q40">
        <f>VLOOKUP(B40,'C.P.'!$A$2:$B$164,2,FALSE)</f>
        <v>0</v>
      </c>
      <c r="R40" t="e">
        <f>VLOOKUP(B40,'C.P.'!$C$2:$D$164,2,FALSE)</f>
        <v>#N/A</v>
      </c>
      <c r="S40" t="e">
        <f>VLOOKUP(B40,'C.P.'!$E$2:$F$164,2,FALSE)</f>
        <v>#N/A</v>
      </c>
      <c r="T40" t="e">
        <f>VLOOKUP(B40,'C.P.'!$G$2:$H$164,2,FALSE)</f>
        <v>#N/A</v>
      </c>
    </row>
    <row r="41" spans="1:21" ht="12.75" customHeight="1">
      <c r="B41" s="205" t="s">
        <v>1939</v>
      </c>
      <c r="C41" s="206" t="str">
        <f>VLOOKUP(B41,'IA FG'!$B$2:$G$600,6,FALSE)</f>
        <v>FIO</v>
      </c>
      <c r="D41" s="207">
        <v>9</v>
      </c>
      <c r="E41" s="207">
        <v>7</v>
      </c>
      <c r="F41" s="207">
        <v>7</v>
      </c>
      <c r="G41" s="207">
        <v>6</v>
      </c>
      <c r="H41" s="207">
        <v>5</v>
      </c>
      <c r="I41" s="207">
        <v>7</v>
      </c>
      <c r="J41" s="159">
        <f>$D41*Pesi!$F$5+Pesi!$F$6*$E41+$F41*Pesi!$F$7+Pesi!$F$8*$G41+$H41*Pesi!$F$9+Pesi!$F$10*$I41+VLOOKUP($C41,TabAlgSqu,2,FALSE)*Pesi!$F$11+Pesi!$F$12*VLOOKUP($C41,TabAlgFC,2,FALSE)+VLOOKUP($C41,TabAlgAll,2,FALSE)*Pesi!$F$13</f>
        <v>68.134799999999998</v>
      </c>
      <c r="K41" s="155">
        <f>IF(ISNA(MATCH($B41,Pesi!$B$31:$B$34,0)),VLOOKUP(Pesi!$B$33,TabAlgDif,10,FALSE)-((VLOOKUP(Pesi!$B$33,TabAlgDif,9,FALSE)-$J41)/(VLOOKUP(Pesi!$B$33,TabAlgDif,9,FALSE)-Pesi!$C$43))*VLOOKUP(Pesi!$B$33,TabAlgDif,10,FALSE),Pesi!$F$33*Pesi!$C$28)</f>
        <v>6.1755456853427333</v>
      </c>
      <c r="L41" s="155">
        <f t="shared" si="3"/>
        <v>6.1755456853427333</v>
      </c>
      <c r="M41" s="160">
        <f>$D41*Pesi!$H$5+Pesi!$H$6*$E41+$F41*Pesi!$H$7+Pesi!$H$8*$G41+$H41*Pesi!$H$9+Pesi!$H$10*$I41+VLOOKUP($C41,TabAlgSqu,2,FALSE)*Pesi!$H$11+Pesi!$H$12*VLOOKUP($C41,TabAlgFC,2,FALSE)+VLOOKUP($C41,TabAlgAll,2,FALSE)*Pesi!$H$13</f>
        <v>71.984799999999993</v>
      </c>
      <c r="N41" s="155">
        <f>IF(ISNA(MATCH($B41,Pesi!$B$31:$B$34,0)),VLOOKUP(Pesi!$B$33,TabAlgDif,13,FALSE)-((VLOOKUP(Pesi!$B$33,TabAlgDif,12,FALSE)-$M41)/(VLOOKUP(Pesi!$B$33,TabAlgDif,12,FALSE)-Pesi!$F$43))*VLOOKUP(Pesi!$B$33,TabAlgDif,13,FALSE),$K41*$M41/$J41)</f>
        <v>6.2511498390037481</v>
      </c>
      <c r="O41" s="155">
        <f t="shared" si="4"/>
        <v>6.2511498390037481</v>
      </c>
      <c r="P41">
        <f t="shared" si="5"/>
        <v>41</v>
      </c>
      <c r="Q41" t="e">
        <f>VLOOKUP(B41,'C.P.'!$A$2:$B$164,2,FALSE)</f>
        <v>#N/A</v>
      </c>
      <c r="R41" t="e">
        <f>VLOOKUP(B41,'C.P.'!$C$2:$D$164,2,FALSE)</f>
        <v>#N/A</v>
      </c>
      <c r="S41" t="e">
        <f>VLOOKUP(B41,'C.P.'!$E$2:$F$164,2,FALSE)</f>
        <v>#N/A</v>
      </c>
      <c r="T41" t="e">
        <f>VLOOKUP(B41,'C.P.'!$G$2:$H$164,2,FALSE)</f>
        <v>#N/A</v>
      </c>
    </row>
    <row r="42" spans="1:21">
      <c r="A42">
        <f ca="1">COUNTIF('I.A. + Fasce'!B$1:'I.A. + Fasce'!B$538,B34)</f>
        <v>1</v>
      </c>
      <c r="B42" s="205" t="s">
        <v>336</v>
      </c>
      <c r="C42" s="206" t="str">
        <f>VLOOKUP(B42,'IA FG'!$B$2:$G$600,6,FALSE)</f>
        <v>FIO</v>
      </c>
      <c r="D42" s="207">
        <v>9</v>
      </c>
      <c r="E42" s="207">
        <v>9</v>
      </c>
      <c r="F42" s="207">
        <v>6</v>
      </c>
      <c r="G42" s="207">
        <v>6</v>
      </c>
      <c r="H42" s="207">
        <v>5</v>
      </c>
      <c r="I42" s="207">
        <v>6</v>
      </c>
      <c r="J42" s="159">
        <f>$D42*Pesi!$F$5+Pesi!$F$6*$E42+$F42*Pesi!$F$7+Pesi!$F$8*$G42+$H42*Pesi!$F$9+Pesi!$F$10*$I42+VLOOKUP($C42,TabAlgSqu,2,FALSE)*Pesi!$F$11+Pesi!$F$12*VLOOKUP($C42,TabAlgFC,2,FALSE)+VLOOKUP($C42,TabAlgAll,2,FALSE)*Pesi!$F$13</f>
        <v>68.063999999999993</v>
      </c>
      <c r="K42" s="155">
        <f>IF(ISNA(MATCH($B42,Pesi!$B$31:$B$34,0)),VLOOKUP(Pesi!$B$33,TabAlgDif,10,FALSE)-((VLOOKUP(Pesi!$B$33,TabAlgDif,9,FALSE)-$J42)/(VLOOKUP(Pesi!$B$33,TabAlgDif,9,FALSE)-Pesi!$D$43))*VLOOKUP(Pesi!$B$33,TabAlgDif,10,FALSE),Pesi!$F$33*Pesi!$C$28)</f>
        <v>6.2760261748958897</v>
      </c>
      <c r="L42" s="155">
        <f t="shared" si="3"/>
        <v>6.2760261748958897</v>
      </c>
      <c r="M42" s="160">
        <f>$D42*Pesi!$H$5+Pesi!$H$6*$E42+$F42*Pesi!$H$7+Pesi!$H$8*$G42+$H42*Pesi!$H$9+Pesi!$H$10*$I42+VLOOKUP($C42,TabAlgSqu,2,FALSE)*Pesi!$H$11+Pesi!$H$12*VLOOKUP($C42,TabAlgFC,2,FALSE)+VLOOKUP($C42,TabAlgAll,2,FALSE)*Pesi!$H$13</f>
        <v>71.36399999999999</v>
      </c>
      <c r="N42" s="155">
        <f>IF(ISNA(MATCH($B42,Pesi!$B$31:$B$34,0)),VLOOKUP(Pesi!$B$33,TabAlgDif,13,FALSE)-((VLOOKUP(Pesi!$B$33,TabAlgDif,12,FALSE)-$M42)/(VLOOKUP(Pesi!$B$33,TabAlgDif,12,FALSE)-Pesi!$F$43))*VLOOKUP(Pesi!$B$33,TabAlgDif,13,FALSE),$K42*$M42/$J42)</f>
        <v>5.4726404063176695</v>
      </c>
      <c r="O42" s="155">
        <f t="shared" si="4"/>
        <v>5.4726404063176695</v>
      </c>
      <c r="P42">
        <f t="shared" si="5"/>
        <v>41</v>
      </c>
      <c r="Q42" t="e">
        <f>VLOOKUP(B42,'C.P.'!$A$2:$B$164,2,FALSE)</f>
        <v>#N/A</v>
      </c>
      <c r="R42" t="e">
        <f>VLOOKUP(B42,'C.P.'!$C$2:$D$164,2,FALSE)</f>
        <v>#N/A</v>
      </c>
      <c r="S42" t="e">
        <f>VLOOKUP(B42,'C.P.'!$E$2:$F$164,2,FALSE)</f>
        <v>#N/A</v>
      </c>
      <c r="T42" t="e">
        <f>VLOOKUP(B42,'C.P.'!$G$2:$H$164,2,FALSE)</f>
        <v>#N/A</v>
      </c>
    </row>
    <row r="43" spans="1:21" ht="12.75" customHeight="1">
      <c r="A43">
        <f ca="1">COUNTIF('I.A. + Fasce'!B$1:'I.A. + Fasce'!B$538,B35)</f>
        <v>1</v>
      </c>
      <c r="B43" s="205" t="s">
        <v>1697</v>
      </c>
      <c r="C43" s="206" t="str">
        <f>VLOOKUP(B43,'IA FG'!$B$2:$G$600,6,FALSE)</f>
        <v>ATA</v>
      </c>
      <c r="D43" s="207">
        <v>9</v>
      </c>
      <c r="E43" s="207">
        <v>7</v>
      </c>
      <c r="F43" s="207">
        <v>7</v>
      </c>
      <c r="G43" s="207">
        <v>6</v>
      </c>
      <c r="H43" s="207">
        <v>6</v>
      </c>
      <c r="I43" s="207">
        <v>6</v>
      </c>
      <c r="J43" s="159">
        <f>$D43*Pesi!$F$5+Pesi!$F$6*$E43+$F43*Pesi!$F$7+Pesi!$F$8*$G43+$H43*Pesi!$F$9+Pesi!$F$10*$I43+VLOOKUP($C43,TabAlgSqu,2,FALSE)*Pesi!$F$11+Pesi!$F$12*VLOOKUP($C43,TabAlgFC,2,FALSE)+VLOOKUP($C43,TabAlgAll,2,FALSE)*Pesi!$F$13</f>
        <v>68.028300000000002</v>
      </c>
      <c r="K43" s="155">
        <f>IF(ISNA(MATCH($B43,Pesi!$B$31:$B$34,0)),VLOOKUP(Pesi!$B$33,TabAlgDif,10,FALSE)-((VLOOKUP(Pesi!$B$33,TabAlgDif,9,FALSE)-$J43)/(VLOOKUP(Pesi!$B$33,TabAlgDif,9,FALSE)-Pesi!$D$43))*VLOOKUP(Pesi!$B$33,TabAlgDif,10,FALSE),Pesi!$F$33*Pesi!$C$28)</f>
        <v>6.2317816775728829</v>
      </c>
      <c r="L43" s="155">
        <f t="shared" si="3"/>
        <v>6.2317816775728829</v>
      </c>
      <c r="M43" s="160">
        <f>$D43*Pesi!$H$5+Pesi!$H$6*$E43+$F43*Pesi!$H$7+Pesi!$H$8*$G43+$H43*Pesi!$H$9+Pesi!$H$10*$I43+VLOOKUP($C43,TabAlgSqu,2,FALSE)*Pesi!$H$11+Pesi!$H$12*VLOOKUP($C43,TabAlgFC,2,FALSE)+VLOOKUP($C43,TabAlgAll,2,FALSE)*Pesi!$H$13</f>
        <v>71.878299999999996</v>
      </c>
      <c r="N43" s="155">
        <f>IF(ISNA(MATCH($B43,Pesi!$B$31:$B$34,0)),VLOOKUP(Pesi!$B$33,TabAlgDif,13,FALSE)-((VLOOKUP(Pesi!$B$33,TabAlgDif,12,FALSE)-$M43)/(VLOOKUP(Pesi!$B$33,TabAlgDif,12,FALSE)-Pesi!$F$43))*VLOOKUP(Pesi!$B$33,TabAlgDif,13,FALSE),$K43*$M43/$J43)</f>
        <v>6.1175943387120846</v>
      </c>
      <c r="O43" s="155">
        <f t="shared" si="4"/>
        <v>6.1175943387120846</v>
      </c>
      <c r="P43">
        <f t="shared" si="5"/>
        <v>41</v>
      </c>
      <c r="Q43" t="e">
        <f>VLOOKUP(B43,'C.P.'!$A$2:$B$164,2,FALSE)</f>
        <v>#N/A</v>
      </c>
      <c r="R43" t="e">
        <f>VLOOKUP(C43,'C.P.'!$C$2:$C$164,2,FALSE)</f>
        <v>#N/A</v>
      </c>
      <c r="S43" t="e">
        <f>VLOOKUP(D43,'C.P.'!$E$2:$F$164,2,FALSE)</f>
        <v>#N/A</v>
      </c>
      <c r="T43" t="e">
        <f>VLOOKUP(E43,'C.P.'!$G$2:$H$164,2,FALSE)</f>
        <v>#N/A</v>
      </c>
    </row>
    <row r="44" spans="1:21" ht="12.75" customHeight="1">
      <c r="A44">
        <f ca="1">COUNTIF('I.A. + Fasce'!B$1:'I.A. + Fasce'!B$538,B34)</f>
        <v>1</v>
      </c>
      <c r="B44" s="208" t="s">
        <v>364</v>
      </c>
      <c r="C44" s="206" t="str">
        <f>VLOOKUP(B44,'IA FG'!$B$2:$G$600,6,FALSE)</f>
        <v>FIO</v>
      </c>
      <c r="D44" s="207">
        <v>9</v>
      </c>
      <c r="E44" s="207">
        <v>7</v>
      </c>
      <c r="F44" s="207">
        <v>6</v>
      </c>
      <c r="G44" s="207">
        <v>7</v>
      </c>
      <c r="H44" s="207">
        <v>6</v>
      </c>
      <c r="I44" s="207">
        <v>6</v>
      </c>
      <c r="J44" s="159">
        <f>$D44*Pesi!$F$5+Pesi!$F$6*$E44+$F44*Pesi!$F$7+Pesi!$F$8*$G44+$H44*Pesi!$F$9+Pesi!$F$10*$I44+VLOOKUP($C44,TabAlgSqu,2,FALSE)*Pesi!$F$11+Pesi!$F$12*VLOOKUP($C44,TabAlgFC,2,FALSE)+VLOOKUP($C44,TabAlgAll,2,FALSE)*Pesi!$F$13</f>
        <v>67.97229999999999</v>
      </c>
      <c r="K44" s="155">
        <f>IF(ISNA(MATCH($B44,Pesi!$B$31:$B$34,0)),VLOOKUP(Pesi!$B$33,TabAlgDif,10,FALSE)-((VLOOKUP(Pesi!$B$33,TabAlgDif,9,FALSE)-$J44)/(VLOOKUP(Pesi!$B$33,TabAlgDif,9,FALSE)-Pesi!$D$43))*VLOOKUP(Pesi!$B$33,TabAlgDif,10,FALSE),Pesi!$F$33*Pesi!$C$28)</f>
        <v>6.1623785445171428</v>
      </c>
      <c r="L44" s="155">
        <f t="shared" si="3"/>
        <v>6.1623785445171428</v>
      </c>
      <c r="M44" s="160">
        <f>$D44*Pesi!$H$5+Pesi!$H$6*$E44+$F44*Pesi!$H$7+Pesi!$H$8*$G44+$H44*Pesi!$H$9+Pesi!$H$10*$I44+VLOOKUP($C44,TabAlgSqu,2,FALSE)*Pesi!$H$11+Pesi!$H$12*VLOOKUP($C44,TabAlgFC,2,FALSE)+VLOOKUP($C44,TabAlgAll,2,FALSE)*Pesi!$H$13</f>
        <v>71.272299999999987</v>
      </c>
      <c r="N44" s="155">
        <f>IF(ISNA(MATCH($B44,Pesi!$B$31:$B$34,0)),VLOOKUP(Pesi!$B$33,TabAlgDif,13,FALSE)-((VLOOKUP(Pesi!$B$33,TabAlgDif,12,FALSE)-$M44)/(VLOOKUP(Pesi!$B$33,TabAlgDif,12,FALSE)-Pesi!$F$43))*VLOOKUP(Pesi!$B$33,TabAlgDif,13,FALSE),$K44*$M44/$J44)</f>
        <v>5.3576447314186488</v>
      </c>
      <c r="O44" s="155">
        <f t="shared" si="4"/>
        <v>5.3576447314186488</v>
      </c>
      <c r="P44">
        <f t="shared" si="5"/>
        <v>41</v>
      </c>
      <c r="Q44" t="e">
        <f>VLOOKUP(B44,'C.P.'!$A$2:$B$164,2,FALSE)</f>
        <v>#N/A</v>
      </c>
      <c r="R44" t="e">
        <f>VLOOKUP(C44,'C.P.'!$C$2:$C$164,2,FALSE)</f>
        <v>#N/A</v>
      </c>
      <c r="S44" t="e">
        <f>VLOOKUP(D44,'C.P.'!$E$2:$F$164,2,FALSE)</f>
        <v>#N/A</v>
      </c>
      <c r="T44" t="e">
        <f>VLOOKUP(E44,'C.P.'!$G$2:$H$164,2,FALSE)</f>
        <v>#N/A</v>
      </c>
    </row>
    <row r="45" spans="1:21">
      <c r="B45" s="205" t="s">
        <v>1921</v>
      </c>
      <c r="C45" s="206" t="str">
        <f>VLOOKUP(B45,'IA FG'!$B$2:$G$600,6,FALSE)</f>
        <v>INT</v>
      </c>
      <c r="D45" s="207">
        <v>8</v>
      </c>
      <c r="E45" s="207">
        <v>8</v>
      </c>
      <c r="F45" s="207">
        <v>6</v>
      </c>
      <c r="G45" s="207">
        <v>6</v>
      </c>
      <c r="H45" s="207">
        <v>6</v>
      </c>
      <c r="I45" s="207">
        <v>7</v>
      </c>
      <c r="J45" s="159">
        <f>$D45*Pesi!$F$5+Pesi!$F$6*$E45+$F45*Pesi!$F$7+Pesi!$F$8*$G45+$H45*Pesi!$F$9+Pesi!$F$10*$I45+VLOOKUP($C45,TabAlgSqu,2,FALSE)*Pesi!$F$11+Pesi!$F$12*VLOOKUP($C45,TabAlgFC,2,FALSE)+VLOOKUP($C45,TabAlgAll,2,FALSE)*Pesi!$F$13</f>
        <v>67.877300000000005</v>
      </c>
      <c r="K45" s="155">
        <f>IF(ISNA(MATCH($B45,Pesi!$B$31:$B$34,0)),VLOOKUP(Pesi!$B$33,TabAlgDif,10,FALSE)-((VLOOKUP(Pesi!$B$33,TabAlgDif,9,FALSE)-$J45)/(VLOOKUP(Pesi!$B$33,TabAlgDif,9,FALSE)-Pesi!$D$43))*VLOOKUP(Pesi!$B$33,TabAlgDif,10,FALSE),Pesi!$F$33*Pesi!$C$28)</f>
        <v>6.0446410866547815</v>
      </c>
      <c r="L45" s="155">
        <f t="shared" si="3"/>
        <v>6.0446410866547815</v>
      </c>
      <c r="M45" s="160">
        <f>$D45*Pesi!$H$5+Pesi!$H$6*$E45+$F45*Pesi!$H$7+Pesi!$H$8*$G45+$H45*Pesi!$H$9+Pesi!$H$10*$I45+VLOOKUP($C45,TabAlgSqu,2,FALSE)*Pesi!$H$11+Pesi!$H$12*VLOOKUP($C45,TabAlgFC,2,FALSE)+VLOOKUP($C45,TabAlgAll,2,FALSE)*Pesi!$H$13</f>
        <v>71.177300000000002</v>
      </c>
      <c r="N45" s="155">
        <f>IF(ISNA(MATCH($B45,Pesi!$B$31:$B$34,0)),VLOOKUP(Pesi!$B$33,TabAlgDif,13,FALSE)-((VLOOKUP(Pesi!$B$33,TabAlgDif,12,FALSE)-$M45)/(VLOOKUP(Pesi!$B$33,TabAlgDif,12,FALSE)-Pesi!$F$43))*VLOOKUP(Pesi!$B$33,TabAlgDif,13,FALSE),$K45*$M45/$J45)</f>
        <v>5.2385107170739893</v>
      </c>
      <c r="O45" s="155">
        <f t="shared" si="4"/>
        <v>5.2385107170739893</v>
      </c>
      <c r="P45">
        <f t="shared" si="5"/>
        <v>41</v>
      </c>
      <c r="Q45" t="e">
        <f>VLOOKUP(B45,'C.P.'!$A$2:$B$164,2,FALSE)</f>
        <v>#N/A</v>
      </c>
      <c r="R45" t="e">
        <f>VLOOKUP(B45,'C.P.'!$C$2:$D$164,2,FALSE)</f>
        <v>#N/A</v>
      </c>
      <c r="S45" t="e">
        <f>VLOOKUP(B45,'C.P.'!$E$2:$F$164,2,FALSE)</f>
        <v>#N/A</v>
      </c>
      <c r="T45" t="e">
        <f>VLOOKUP(B45,'C.P.'!$G$2:$H$164,2,FALSE)</f>
        <v>#N/A</v>
      </c>
    </row>
    <row r="46" spans="1:21" ht="12.75" customHeight="1">
      <c r="A46">
        <f ca="1">COUNTIF('I.A. + Fasce'!B$1:'I.A. + Fasce'!B$538,B38)</f>
        <v>1</v>
      </c>
      <c r="B46" s="205" t="s">
        <v>1955</v>
      </c>
      <c r="C46" s="206" t="str">
        <f>VLOOKUP(B46,'IA FG'!$B$2:$G$600,6,FALSE)</f>
        <v>INT</v>
      </c>
      <c r="D46" s="207">
        <v>8</v>
      </c>
      <c r="E46" s="207">
        <v>7</v>
      </c>
      <c r="F46" s="207">
        <v>6</v>
      </c>
      <c r="G46" s="207">
        <v>7</v>
      </c>
      <c r="H46" s="207">
        <v>6</v>
      </c>
      <c r="I46" s="207">
        <v>7</v>
      </c>
      <c r="J46" s="159">
        <f>$D46*Pesi!$F$5+Pesi!$F$6*$E46+$F46*Pesi!$F$7+Pesi!$F$8*$G46+$H46*Pesi!$F$9+Pesi!$F$10*$I46+VLOOKUP($C46,TabAlgSqu,2,FALSE)*Pesi!$F$11+Pesi!$F$12*VLOOKUP($C46,TabAlgFC,2,FALSE)+VLOOKUP($C46,TabAlgAll,2,FALSE)*Pesi!$F$13</f>
        <v>67.7898</v>
      </c>
      <c r="K46" s="155">
        <f>IF(ISNA(MATCH($B46,Pesi!$B$31:$B$34,0)),VLOOKUP(Pesi!$B$33,TabAlgDif,10,FALSE)-((VLOOKUP(Pesi!$B$33,TabAlgDif,9,FALSE)-$J46)/(VLOOKUP(Pesi!$B$33,TabAlgDif,9,FALSE)-Pesi!$C$43))*VLOOKUP(Pesi!$B$33,TabAlgDif,10,FALSE),Pesi!$F$33*Pesi!$C$28)</f>
        <v>5.7436543266751166</v>
      </c>
      <c r="L46" s="155">
        <f t="shared" si="3"/>
        <v>5.7436543266751166</v>
      </c>
      <c r="M46" s="160">
        <f>$D46*Pesi!$H$5+Pesi!$H$6*$E46+$F46*Pesi!$H$7+Pesi!$H$8*$G46+$H46*Pesi!$H$9+Pesi!$H$10*$I46+VLOOKUP($C46,TabAlgSqu,2,FALSE)*Pesi!$H$11+Pesi!$H$12*VLOOKUP($C46,TabAlgFC,2,FALSE)+VLOOKUP($C46,TabAlgAll,2,FALSE)*Pesi!$H$13</f>
        <v>71.089800000000011</v>
      </c>
      <c r="N46" s="155">
        <f>IF(ISNA(MATCH($B46,Pesi!$B$31:$B$34,0)),VLOOKUP(Pesi!$B$33,TabAlgDif,13,FALSE)-((VLOOKUP(Pesi!$B$33,TabAlgDif,12,FALSE)-$M46)/(VLOOKUP(Pesi!$B$33,TabAlgDif,12,FALSE)-Pesi!$F$43))*VLOOKUP(Pesi!$B$33,TabAlgDif,13,FALSE),$K46*$M46/$J46)</f>
        <v>5.1287820196512648</v>
      </c>
      <c r="O46" s="155">
        <f t="shared" si="4"/>
        <v>5.1287820196512648</v>
      </c>
      <c r="P46">
        <f t="shared" si="5"/>
        <v>41</v>
      </c>
      <c r="Q46" t="e">
        <f>VLOOKUP(B46,'C.P.'!$A$2:$B$164,2,FALSE)</f>
        <v>#N/A</v>
      </c>
      <c r="R46" t="e">
        <f>VLOOKUP(B46,'C.P.'!$C$2:$D$164,2,FALSE)</f>
        <v>#N/A</v>
      </c>
      <c r="S46" t="e">
        <f>VLOOKUP(B46,'C.P.'!$E$2:$F$164,2,FALSE)</f>
        <v>#N/A</v>
      </c>
      <c r="T46" t="e">
        <f>VLOOKUP(B46,'C.P.'!$G$2:$H$164,2,FALSE)</f>
        <v>#N/A</v>
      </c>
    </row>
    <row r="47" spans="1:21">
      <c r="B47" s="205" t="s">
        <v>546</v>
      </c>
      <c r="C47" s="206" t="str">
        <f>VLOOKUP(B47,'IA FG'!$B$2:$G$600,6,FALSE)</f>
        <v>BOL</v>
      </c>
      <c r="D47" s="207">
        <v>8</v>
      </c>
      <c r="E47" s="207">
        <v>8</v>
      </c>
      <c r="F47" s="207">
        <v>6</v>
      </c>
      <c r="G47" s="207">
        <v>7</v>
      </c>
      <c r="H47" s="207">
        <v>5</v>
      </c>
      <c r="I47" s="207">
        <v>7</v>
      </c>
      <c r="J47" s="159">
        <f>$D47*Pesi!$F$5+Pesi!$F$6*$E47+$F47*Pesi!$F$7+Pesi!$F$8*$G47+$H47*Pesi!$F$9+Pesi!$F$10*$I47+VLOOKUP($C47,TabAlgSqu,2,FALSE)*Pesi!$F$11+Pesi!$F$12*VLOOKUP($C47,TabAlgFC,2,FALSE)+VLOOKUP($C47,TabAlgAll,2,FALSE)*Pesi!$F$13</f>
        <v>67.369500000000002</v>
      </c>
      <c r="K47" s="155">
        <f>IF(ISNA(MATCH($B47,Pesi!$B$31:$B$34,0)),VLOOKUP(Pesi!$B$33,TabAlgDif,10,FALSE)-((VLOOKUP(Pesi!$B$33,TabAlgDif,9,FALSE)-$J47)/(VLOOKUP(Pesi!$B$33,TabAlgDif,9,FALSE)-Pesi!$C$43))*VLOOKUP(Pesi!$B$33,TabAlgDif,10,FALSE),Pesi!$F$33*Pesi!$C$28)</f>
        <v>5.2174979845069984</v>
      </c>
      <c r="L47" s="155">
        <f t="shared" si="3"/>
        <v>5.2174979845069984</v>
      </c>
      <c r="M47" s="160">
        <f>$D47*Pesi!$H$5+Pesi!$H$6*$E47+$F47*Pesi!$H$7+Pesi!$H$8*$G47+$H47*Pesi!$H$9+Pesi!$H$10*$I47+VLOOKUP($C47,TabAlgSqu,2,FALSE)*Pesi!$H$11+Pesi!$H$12*VLOOKUP($C47,TabAlgFC,2,FALSE)+VLOOKUP($C47,TabAlgAll,2,FALSE)*Pesi!$H$13</f>
        <v>70.669499999999999</v>
      </c>
      <c r="N47" s="155">
        <f>IF(ISNA(MATCH($B47,Pesi!$B$31:$B$34,0)),VLOOKUP(Pesi!$B$33,TabAlgDif,13,FALSE)-((VLOOKUP(Pesi!$B$33,TabAlgDif,12,FALSE)-$M47)/(VLOOKUP(Pesi!$B$33,TabAlgDif,12,FALSE)-Pesi!$F$43))*VLOOKUP(Pesi!$B$33,TabAlgDif,13,FALSE),$K47*$M47/$J47)</f>
        <v>4.6017080593452668</v>
      </c>
      <c r="O47" s="155">
        <f t="shared" si="4"/>
        <v>4.6017080593452668</v>
      </c>
      <c r="P47">
        <f t="shared" si="5"/>
        <v>41</v>
      </c>
      <c r="Q47">
        <f>VLOOKUP(B47,'C.P.'!$A$2:$B$164,2,FALSE)</f>
        <v>1</v>
      </c>
      <c r="R47" t="e">
        <f>VLOOKUP(B47,'C.P.'!$C$2:$D$164,2,FALSE)</f>
        <v>#N/A</v>
      </c>
      <c r="S47" t="e">
        <f>VLOOKUP(B47,'C.P.'!$E$2:$F$164,2,FALSE)</f>
        <v>#N/A</v>
      </c>
      <c r="T47" t="e">
        <f>VLOOKUP(B47,'C.P.'!$G$2:$H$164,2,FALSE)</f>
        <v>#N/A</v>
      </c>
    </row>
    <row r="48" spans="1:21" ht="12.75" customHeight="1">
      <c r="B48" s="443" t="s">
        <v>542</v>
      </c>
      <c r="C48" s="206" t="str">
        <f>VLOOKUP(B48,'IA FG'!$B$2:$G$600,6,FALSE)</f>
        <v>NAP</v>
      </c>
      <c r="D48" s="207">
        <v>6</v>
      </c>
      <c r="E48" s="207">
        <v>6</v>
      </c>
      <c r="F48" s="207">
        <v>7</v>
      </c>
      <c r="G48" s="207">
        <v>6</v>
      </c>
      <c r="H48" s="207">
        <v>7</v>
      </c>
      <c r="I48" s="207">
        <v>7</v>
      </c>
      <c r="J48" s="159">
        <f>$D48*Pesi!$F$5+Pesi!$F$6*$E48+$F48*Pesi!$F$7+Pesi!$F$8*$G48+$H48*Pesi!$F$9+Pesi!$F$10*$I48+VLOOKUP($C48,TabAlgSqu,2,FALSE)*Pesi!$F$11+Pesi!$F$12*VLOOKUP($C48,TabAlgFC,2,FALSE)+VLOOKUP($C48,TabAlgAll,2,FALSE)*Pesi!$F$13</f>
        <v>67.167999999999992</v>
      </c>
      <c r="K48" s="155">
        <f>IF(ISNA(MATCH($B48,Pesi!$B$31:$B$34,0)),VLOOKUP(Pesi!$B$33,TabAlgDif,10,FALSE)-((VLOOKUP(Pesi!$B$33,TabAlgDif,9,FALSE)-$J48)/(VLOOKUP(Pesi!$B$33,TabAlgDif,9,FALSE)-Pesi!$C$43))*VLOOKUP(Pesi!$B$33,TabAlgDif,10,FALSE),Pesi!$F$33*Pesi!$C$28)</f>
        <v>4.9652483938648828</v>
      </c>
      <c r="L48" s="155">
        <f t="shared" si="3"/>
        <v>4.9652483938648828</v>
      </c>
      <c r="M48" s="160">
        <f>$D48*Pesi!$H$5+Pesi!$H$6*$E48+$F48*Pesi!$H$7+Pesi!$H$8*$G48+$H48*Pesi!$H$9+Pesi!$H$10*$I48+VLOOKUP($C48,TabAlgSqu,2,FALSE)*Pesi!$H$11+Pesi!$H$12*VLOOKUP($C48,TabAlgFC,2,FALSE)+VLOOKUP($C48,TabAlgAll,2,FALSE)*Pesi!$H$13</f>
        <v>71.017999999999986</v>
      </c>
      <c r="N48" s="155">
        <f>IF(ISNA(MATCH($B48,Pesi!$B$31:$B$34,0)),VLOOKUP(Pesi!$B$33,TabAlgDif,13,FALSE)-((VLOOKUP(Pesi!$B$33,TabAlgDif,12,FALSE)-$M48)/(VLOOKUP(Pesi!$B$33,TabAlgDif,12,FALSE)-Pesi!$F$43))*VLOOKUP(Pesi!$B$33,TabAlgDif,13,FALSE),$K48*$M48/$J48)</f>
        <v>5.0387417856517835</v>
      </c>
      <c r="O48" s="155">
        <f t="shared" si="4"/>
        <v>5.0387417856517835</v>
      </c>
      <c r="P48">
        <f t="shared" si="5"/>
        <v>39</v>
      </c>
      <c r="Q48" t="e">
        <f>VLOOKUP(B48,'C.P.'!$A$2:$B$164,2,FALSE)</f>
        <v>#N/A</v>
      </c>
      <c r="R48" t="e">
        <f>VLOOKUP(B48,'C.P.'!$C$2:$D$164,2,FALSE)</f>
        <v>#N/A</v>
      </c>
      <c r="S48" t="e">
        <f>VLOOKUP(B48,'C.P.'!$E$2:$F$164,2,FALSE)</f>
        <v>#N/A</v>
      </c>
      <c r="T48" t="e">
        <f>VLOOKUP(B48,'C.P.'!$G$2:$H$164,2,FALSE)</f>
        <v>#N/A</v>
      </c>
    </row>
    <row r="49" spans="1:21">
      <c r="B49" s="205" t="s">
        <v>317</v>
      </c>
      <c r="C49" s="206" t="str">
        <f>VLOOKUP(B49,'IA FG'!$B$2:$G$600,6,FALSE)</f>
        <v>CAG</v>
      </c>
      <c r="D49" s="207">
        <v>7</v>
      </c>
      <c r="E49" s="207">
        <v>8</v>
      </c>
      <c r="F49" s="207">
        <v>7</v>
      </c>
      <c r="G49" s="207">
        <v>7</v>
      </c>
      <c r="H49" s="207">
        <v>6</v>
      </c>
      <c r="I49" s="207">
        <v>6</v>
      </c>
      <c r="J49" s="159">
        <f>$D49*Pesi!$F$5+Pesi!$F$6*$E49+$F49*Pesi!$F$7+Pesi!$F$8*$G49+$H49*Pesi!$F$9+Pesi!$F$10*$I49+VLOOKUP($C49,TabAlgSqu,2,FALSE)*Pesi!$F$11+Pesi!$F$12*VLOOKUP($C49,TabAlgFC,2,FALSE)+VLOOKUP($C49,TabAlgAll,2,FALSE)*Pesi!$F$13</f>
        <v>66.8827</v>
      </c>
      <c r="K49" s="155">
        <f>IF(ISNA(MATCH($B49,Pesi!$B$31:$B$34,0)),VLOOKUP(Pesi!$B$33,TabAlgDif,10,FALSE)-((VLOOKUP(Pesi!$B$33,TabAlgDif,9,FALSE)-$J49)/(VLOOKUP(Pesi!$B$33,TabAlgDif,9,FALSE)-Pesi!$C$43))*VLOOKUP(Pesi!$B$33,TabAlgDif,10,FALSE),Pesi!$F$33*Pesi!$C$28)</f>
        <v>4.6080930181319282</v>
      </c>
      <c r="L49" s="155">
        <f t="shared" si="3"/>
        <v>4.6080930181319282</v>
      </c>
      <c r="M49" s="160">
        <f>$D49*Pesi!$H$5+Pesi!$H$6*$E49+$F49*Pesi!$H$7+Pesi!$H$8*$G49+$H49*Pesi!$H$9+Pesi!$H$10*$I49+VLOOKUP($C49,TabAlgSqu,2,FALSE)*Pesi!$H$11+Pesi!$H$12*VLOOKUP($C49,TabAlgFC,2,FALSE)+VLOOKUP($C49,TabAlgAll,2,FALSE)*Pesi!$H$13</f>
        <v>70.732699999999994</v>
      </c>
      <c r="N49" s="155">
        <f>IF(ISNA(MATCH($B49,Pesi!$B$31:$B$34,0)),VLOOKUP(Pesi!$B$33,TabAlgDif,13,FALSE)-((VLOOKUP(Pesi!$B$33,TabAlgDif,12,FALSE)-$M49)/(VLOOKUP(Pesi!$B$33,TabAlgDif,12,FALSE)-Pesi!$F$43))*VLOOKUP(Pesi!$B$33,TabAlgDif,13,FALSE),$K49*$M49/$J49)</f>
        <v>4.6809635299408789</v>
      </c>
      <c r="O49" s="155">
        <f t="shared" si="4"/>
        <v>4.6809635299408789</v>
      </c>
      <c r="P49">
        <f t="shared" si="5"/>
        <v>41</v>
      </c>
      <c r="Q49" t="e">
        <f>VLOOKUP(B49,'C.P.'!$A$2:$B$164,2,FALSE)</f>
        <v>#N/A</v>
      </c>
      <c r="R49" t="e">
        <f>VLOOKUP(B49,'C.P.'!$C$2:$D$164,2,FALSE)</f>
        <v>#N/A</v>
      </c>
      <c r="S49" t="e">
        <f>VLOOKUP(B49,'C.P.'!$E$2:$F$164,2,FALSE)</f>
        <v>#N/A</v>
      </c>
      <c r="T49" t="e">
        <f>VLOOKUP(B49,'C.P.'!$G$2:$H$164,2,FALSE)</f>
        <v>#N/A</v>
      </c>
    </row>
    <row r="50" spans="1:21">
      <c r="A50">
        <f ca="1">COUNTIF('I.A. + Fasce'!B$1:'I.A. + Fasce'!B$538,B45)</f>
        <v>1</v>
      </c>
      <c r="B50" s="205" t="s">
        <v>1962</v>
      </c>
      <c r="C50" s="206" t="str">
        <f>VLOOKUP(B50,'IA FG'!$B$2:$G$600,6,FALSE)</f>
        <v>CAG</v>
      </c>
      <c r="D50" s="207">
        <v>7</v>
      </c>
      <c r="E50" s="207">
        <v>8</v>
      </c>
      <c r="F50" s="207">
        <v>6</v>
      </c>
      <c r="G50" s="207">
        <v>7</v>
      </c>
      <c r="H50" s="207">
        <v>7</v>
      </c>
      <c r="I50" s="207">
        <v>6</v>
      </c>
      <c r="J50" s="159">
        <f>$D50*Pesi!$F$5+Pesi!$F$6*$E50+$F50*Pesi!$F$7+Pesi!$F$8*$G50+$H50*Pesi!$F$9+Pesi!$F$10*$I50+VLOOKUP($C50,TabAlgSqu,2,FALSE)*Pesi!$F$11+Pesi!$F$12*VLOOKUP($C50,TabAlgFC,2,FALSE)+VLOOKUP($C50,TabAlgAll,2,FALSE)*Pesi!$F$13</f>
        <v>66.803500000000014</v>
      </c>
      <c r="K50" s="155">
        <f>IF(ISNA(MATCH($B50,Pesi!$B$31:$B$34,0)),VLOOKUP(Pesi!$B$33,TabAlgDif,10,FALSE)-((VLOOKUP(Pesi!$B$33,TabAlgDif,9,FALSE)-$J50)/(VLOOKUP(Pesi!$B$33,TabAlgDif,9,FALSE)-Pesi!$D$43))*VLOOKUP(Pesi!$B$33,TabAlgDif,10,FALSE),Pesi!$F$33*Pesi!$C$28)</f>
        <v>4.7138360103113435</v>
      </c>
      <c r="L50" s="155">
        <f t="shared" si="3"/>
        <v>4.7138360103113435</v>
      </c>
      <c r="M50" s="160">
        <f>$D50*Pesi!$H$5+Pesi!$H$6*$E50+$F50*Pesi!$H$7+Pesi!$H$8*$G50+$H50*Pesi!$H$9+Pesi!$H$10*$I50+VLOOKUP($C50,TabAlgSqu,2,FALSE)*Pesi!$H$11+Pesi!$H$12*VLOOKUP($C50,TabAlgFC,2,FALSE)+VLOOKUP($C50,TabAlgAll,2,FALSE)*Pesi!$H$13</f>
        <v>70.103499999999997</v>
      </c>
      <c r="N50" s="155">
        <f>IF(ISNA(MATCH($B50,Pesi!$B$31:$B$34,0)),VLOOKUP(Pesi!$B$33,TabAlgDif,13,FALSE)-((VLOOKUP(Pesi!$B$33,TabAlgDif,12,FALSE)-$M50)/(VLOOKUP(Pesi!$B$33,TabAlgDif,12,FALSE)-Pesi!$F$43))*VLOOKUP(Pesi!$B$33,TabAlgDif,13,FALSE),$K50*$M50/$J50)</f>
        <v>3.8919201423022294</v>
      </c>
      <c r="O50" s="155">
        <f t="shared" si="4"/>
        <v>3.8919201423022294</v>
      </c>
      <c r="P50">
        <f t="shared" si="5"/>
        <v>41</v>
      </c>
      <c r="Q50" t="e">
        <f>VLOOKUP(B50,'C.P.'!$A$2:$B$164,2,FALSE)</f>
        <v>#N/A</v>
      </c>
      <c r="R50" t="e">
        <f>VLOOKUP(C50,'C.P.'!$C$2:$C$164,2,FALSE)</f>
        <v>#N/A</v>
      </c>
      <c r="S50" t="e">
        <f>VLOOKUP(D50,'C.P.'!$E$2:$F$164,2,FALSE)</f>
        <v>#N/A</v>
      </c>
      <c r="T50" t="e">
        <f>VLOOKUP(E50,'C.P.'!$G$2:$H$164,2,FALSE)</f>
        <v>#N/A</v>
      </c>
    </row>
    <row r="51" spans="1:21" ht="12.75" customHeight="1">
      <c r="B51" s="443" t="s">
        <v>380</v>
      </c>
      <c r="C51" s="206" t="str">
        <f>VLOOKUP(B51,'IA FG'!$B$2:$G$600,6,FALSE)</f>
        <v>ROM</v>
      </c>
      <c r="D51" s="207">
        <v>8</v>
      </c>
      <c r="E51" s="207">
        <v>6</v>
      </c>
      <c r="F51" s="207">
        <v>5</v>
      </c>
      <c r="G51" s="207">
        <v>7</v>
      </c>
      <c r="H51" s="207">
        <v>7</v>
      </c>
      <c r="I51" s="207">
        <v>6</v>
      </c>
      <c r="J51" s="159">
        <f>$D51*Pesi!$F$5+Pesi!$F$6*$E51+$F51*Pesi!$F$7+Pesi!$F$8*$G51+$H51*Pesi!$F$9+Pesi!$F$10*$I51+VLOOKUP($C51,TabAlgSqu,2,FALSE)*Pesi!$F$11+Pesi!$F$12*VLOOKUP($C51,TabAlgFC,2,FALSE)+VLOOKUP($C51,TabAlgAll,2,FALSE)*Pesi!$F$13</f>
        <v>66.637299999999996</v>
      </c>
      <c r="K51" s="155">
        <f>IF(ISNA(MATCH($B51,Pesi!$B$31:$B$34,0)),VLOOKUP(Pesi!$B$33,TabAlgDif,10,FALSE)-((VLOOKUP(Pesi!$B$33,TabAlgDif,9,FALSE)-$J51)/(VLOOKUP(Pesi!$B$33,TabAlgDif,9,FALSE)-Pesi!$D$43))*VLOOKUP(Pesi!$B$33,TabAlgDif,10,FALSE),Pesi!$F$33*Pesi!$C$28)</f>
        <v>4.5078574261352351</v>
      </c>
      <c r="L51" s="155">
        <f t="shared" si="3"/>
        <v>4.5078574261352351</v>
      </c>
      <c r="M51" s="160">
        <f>$D51*Pesi!$H$5+Pesi!$H$6*$E51+$F51*Pesi!$H$7+Pesi!$H$8*$G51+$H51*Pesi!$H$9+Pesi!$H$10*$I51+VLOOKUP($C51,TabAlgSqu,2,FALSE)*Pesi!$H$11+Pesi!$H$12*VLOOKUP($C51,TabAlgFC,2,FALSE)+VLOOKUP($C51,TabAlgAll,2,FALSE)*Pesi!$H$13</f>
        <v>69.387299999999996</v>
      </c>
      <c r="N51" s="155">
        <f>IF(ISNA(MATCH($B51,Pesi!$B$31:$B$34,0)),VLOOKUP(Pesi!$B$33,TabAlgDif,13,FALSE)-((VLOOKUP(Pesi!$B$33,TabAlgDif,12,FALSE)-$M51)/(VLOOKUP(Pesi!$B$33,TabAlgDif,12,FALSE)-Pesi!$F$43))*VLOOKUP(Pesi!$B$33,TabAlgDif,13,FALSE),$K51*$M51/$J51)</f>
        <v>2.9937750783689694</v>
      </c>
      <c r="O51" s="155">
        <f t="shared" si="4"/>
        <v>2.9937750783689694</v>
      </c>
      <c r="P51">
        <f t="shared" si="5"/>
        <v>39</v>
      </c>
      <c r="Q51" t="e">
        <f>VLOOKUP(B51,'C.P.'!$A$2:$B$164,2,FALSE)</f>
        <v>#N/A</v>
      </c>
      <c r="R51" t="e">
        <f>VLOOKUP(C51,'C.P.'!$C$2:$C$164,2,FALSE)</f>
        <v>#N/A</v>
      </c>
      <c r="S51" t="e">
        <f>VLOOKUP(D51,'C.P.'!$E$2:$F$164,2,FALSE)</f>
        <v>#N/A</v>
      </c>
      <c r="T51" t="e">
        <f>VLOOKUP(E51,'C.P.'!$G$2:$H$164,2,FALSE)</f>
        <v>#N/A</v>
      </c>
    </row>
    <row r="52" spans="1:21">
      <c r="A52">
        <f ca="1">COUNTIF('I.A. + Fasce'!B$1:'I.A. + Fasce'!B$538,B43)</f>
        <v>1</v>
      </c>
      <c r="B52" s="205" t="s">
        <v>481</v>
      </c>
      <c r="C52" s="206" t="str">
        <f>VLOOKUP(B52,'IA FG'!$B$2:$G$600,6,FALSE)</f>
        <v>SAM</v>
      </c>
      <c r="D52" s="207">
        <v>9</v>
      </c>
      <c r="E52" s="207">
        <v>8</v>
      </c>
      <c r="F52" s="207">
        <v>6</v>
      </c>
      <c r="G52" s="207">
        <v>6</v>
      </c>
      <c r="H52" s="207">
        <v>5</v>
      </c>
      <c r="I52" s="207">
        <v>6</v>
      </c>
      <c r="J52" s="159">
        <f>$D52*Pesi!$F$5+Pesi!$F$6*$E52+$F52*Pesi!$F$7+Pesi!$F$8*$G52+$H52*Pesi!$F$9+Pesi!$F$10*$I52+VLOOKUP($C52,TabAlgSqu,2,FALSE)*Pesi!$F$11+Pesi!$F$12*VLOOKUP($C52,TabAlgFC,2,FALSE)+VLOOKUP($C52,TabAlgAll,2,FALSE)*Pesi!$F$13</f>
        <v>66.605000000000004</v>
      </c>
      <c r="K52" s="155">
        <f>IF(ISNA(MATCH($B52,Pesi!$B$31:$B$34,0)),VLOOKUP(Pesi!$B$33,TabAlgDif,10,FALSE)-((VLOOKUP(Pesi!$B$33,TabAlgDif,9,FALSE)-$J52)/(VLOOKUP(Pesi!$B$33,TabAlgDif,9,FALSE)-Pesi!$D$43))*VLOOKUP(Pesi!$B$33,TabAlgDif,10,FALSE),Pesi!$F$33*Pesi!$C$28)</f>
        <v>4.467826690462033</v>
      </c>
      <c r="L52" s="155">
        <f t="shared" si="3"/>
        <v>4.467826690462033</v>
      </c>
      <c r="M52" s="160">
        <f>$D52*Pesi!$H$5+Pesi!$H$6*$E52+$F52*Pesi!$H$7+Pesi!$H$8*$G52+$H52*Pesi!$H$9+Pesi!$H$10*$I52+VLOOKUP($C52,TabAlgSqu,2,FALSE)*Pesi!$H$11+Pesi!$H$12*VLOOKUP($C52,TabAlgFC,2,FALSE)+VLOOKUP($C52,TabAlgAll,2,FALSE)*Pesi!$H$13</f>
        <v>69.905000000000001</v>
      </c>
      <c r="N52" s="155">
        <f>IF(ISNA(MATCH($B52,Pesi!$B$31:$B$34,0)),VLOOKUP(Pesi!$B$33,TabAlgDif,13,FALSE)-((VLOOKUP(Pesi!$B$33,TabAlgDif,12,FALSE)-$M52)/(VLOOKUP(Pesi!$B$33,TabAlgDif,12,FALSE)-Pesi!$F$43))*VLOOKUP(Pesi!$B$33,TabAlgDif,13,FALSE),$K52*$M52/$J52)</f>
        <v>3.6429927544346654</v>
      </c>
      <c r="O52" s="155">
        <f t="shared" si="4"/>
        <v>3.6429927544346654</v>
      </c>
      <c r="P52">
        <f t="shared" si="5"/>
        <v>40</v>
      </c>
      <c r="Q52" t="e">
        <f>VLOOKUP(B52,'C.P.'!$A$2:$B$164,2,FALSE)</f>
        <v>#N/A</v>
      </c>
      <c r="R52" t="e">
        <f>VLOOKUP(B52,'C.P.'!$C$2:$D$164,2,FALSE)</f>
        <v>#N/A</v>
      </c>
      <c r="S52" t="e">
        <f>VLOOKUP(B52,'C.P.'!$E$2:$F$164,2,FALSE)</f>
        <v>#N/A</v>
      </c>
      <c r="T52" t="e">
        <f>VLOOKUP(B52,'C.P.'!$G$2:$H$164,2,FALSE)</f>
        <v>#N/A</v>
      </c>
    </row>
    <row r="53" spans="1:21">
      <c r="A53">
        <f ca="1">COUNTIF('I.A. + Fasce'!B$1:'I.A. + Fasce'!B$538,#REF!)</f>
        <v>0</v>
      </c>
      <c r="B53" s="205" t="s">
        <v>443</v>
      </c>
      <c r="C53" s="206" t="str">
        <f>VLOOKUP(B53,'IA FG'!$B$2:$G$600,6,FALSE)</f>
        <v>INT</v>
      </c>
      <c r="D53" s="207">
        <v>8</v>
      </c>
      <c r="E53" s="207">
        <v>8</v>
      </c>
      <c r="F53" s="207">
        <v>6</v>
      </c>
      <c r="G53" s="207">
        <v>6</v>
      </c>
      <c r="H53" s="207">
        <v>6</v>
      </c>
      <c r="I53" s="207">
        <v>6</v>
      </c>
      <c r="J53" s="159">
        <f>$D53*Pesi!$F$5+Pesi!$F$6*$E53+$F53*Pesi!$F$7+Pesi!$F$8*$G53+$H53*Pesi!$F$9+Pesi!$F$10*$I53+VLOOKUP($C53,TabAlgSqu,2,FALSE)*Pesi!$F$11+Pesi!$F$12*VLOOKUP($C53,TabAlgFC,2,FALSE)+VLOOKUP($C53,TabAlgAll,2,FALSE)*Pesi!$F$13</f>
        <v>66.543999999999997</v>
      </c>
      <c r="K53" s="155">
        <f>IF(ISNA(MATCH($B53,Pesi!$B$31:$B$34,0)),VLOOKUP(Pesi!$B$33,TabAlgDif,10,FALSE)-((VLOOKUP(Pesi!$B$33,TabAlgDif,9,FALSE)-$J53)/(VLOOKUP(Pesi!$B$33,TabAlgDif,9,FALSE)-Pesi!$D$43))*VLOOKUP(Pesi!$B$33,TabAlgDif,10,FALSE),Pesi!$F$33*Pesi!$C$28)</f>
        <v>4.3922268490977565</v>
      </c>
      <c r="L53" s="155">
        <f t="shared" si="3"/>
        <v>4.3922268490977565</v>
      </c>
      <c r="M53" s="160">
        <f>$D53*Pesi!$H$5+Pesi!$H$6*$E53+$F53*Pesi!$H$7+Pesi!$H$8*$G53+$H53*Pesi!$H$9+Pesi!$H$10*$I53+VLOOKUP($C53,TabAlgSqu,2,FALSE)*Pesi!$H$11+Pesi!$H$12*VLOOKUP($C53,TabAlgFC,2,FALSE)+VLOOKUP($C53,TabAlgAll,2,FALSE)*Pesi!$H$13</f>
        <v>69.844000000000008</v>
      </c>
      <c r="N53" s="155">
        <f>IF(ISNA(MATCH($B53,Pesi!$B$31:$B$34,0)),VLOOKUP(Pesi!$B$33,TabAlgDif,13,FALSE)-((VLOOKUP(Pesi!$B$33,TabAlgDif,12,FALSE)-$M53)/(VLOOKUP(Pesi!$B$33,TabAlgDif,12,FALSE)-Pesi!$F$43))*VLOOKUP(Pesi!$B$33,TabAlgDif,13,FALSE),$K53*$M53/$J53)</f>
        <v>3.5664961768028292</v>
      </c>
      <c r="O53" s="155">
        <f t="shared" si="4"/>
        <v>3.5664961768028292</v>
      </c>
      <c r="P53">
        <f t="shared" si="5"/>
        <v>40</v>
      </c>
      <c r="Q53" t="e">
        <f>VLOOKUP(B53,'C.P.'!$A$2:$B$164,2,FALSE)</f>
        <v>#N/A</v>
      </c>
      <c r="R53" t="e">
        <f>VLOOKUP(C53,'C.P.'!$C$2:$C$164,2,FALSE)</f>
        <v>#N/A</v>
      </c>
      <c r="S53" t="e">
        <f>VLOOKUP(D53,'C.P.'!$E$2:$F$164,2,FALSE)</f>
        <v>#N/A</v>
      </c>
      <c r="T53" t="e">
        <f>VLOOKUP(E53,'C.P.'!$G$2:$H$164,2,FALSE)</f>
        <v>#N/A</v>
      </c>
      <c r="U53" s="420"/>
    </row>
    <row r="54" spans="1:21">
      <c r="A54">
        <f ca="1">COUNTIF('I.A. + Fasce'!B$1:'I.A. + Fasce'!B$538,B49)</f>
        <v>1</v>
      </c>
      <c r="B54" s="205" t="s">
        <v>599</v>
      </c>
      <c r="C54" s="206" t="str">
        <f>VLOOKUP(B54,'IA FG'!$B$2:$G$600,6,FALSE)</f>
        <v>INT</v>
      </c>
      <c r="D54" s="207">
        <v>8</v>
      </c>
      <c r="E54" s="207">
        <v>8</v>
      </c>
      <c r="F54" s="207">
        <v>6</v>
      </c>
      <c r="G54" s="207">
        <v>6</v>
      </c>
      <c r="H54" s="207">
        <v>6</v>
      </c>
      <c r="I54" s="207">
        <v>6</v>
      </c>
      <c r="J54" s="159">
        <f>$D54*Pesi!$F$5+Pesi!$F$6*$E54+$F54*Pesi!$F$7+Pesi!$F$8*$G54+$H54*Pesi!$F$9+Pesi!$F$10*$I54+VLOOKUP($C54,TabAlgSqu,2,FALSE)*Pesi!$F$11+Pesi!$F$12*VLOOKUP($C54,TabAlgFC,2,FALSE)+VLOOKUP($C54,TabAlgAll,2,FALSE)*Pesi!$F$13</f>
        <v>66.543999999999997</v>
      </c>
      <c r="K54" s="155">
        <f>IF(ISNA(MATCH($B54,Pesi!$B$31:$B$34,0)),VLOOKUP(Pesi!$B$33,TabAlgDif,10,FALSE)-((VLOOKUP(Pesi!$B$33,TabAlgDif,9,FALSE)-$J54)/(VLOOKUP(Pesi!$B$33,TabAlgDif,9,FALSE)-Pesi!$C$43))*VLOOKUP(Pesi!$B$33,TabAlgDif,10,FALSE),Pesi!$F$33*Pesi!$C$28)</f>
        <v>4.184088371231276</v>
      </c>
      <c r="L54" s="155">
        <f t="shared" si="3"/>
        <v>4.184088371231276</v>
      </c>
      <c r="M54" s="160">
        <f>$D54*Pesi!$H$5+Pesi!$H$6*$E54+$F54*Pesi!$H$7+Pesi!$H$8*$G54+$H54*Pesi!$H$9+Pesi!$H$10*$I54+VLOOKUP($C54,TabAlgSqu,2,FALSE)*Pesi!$H$11+Pesi!$H$12*VLOOKUP($C54,TabAlgFC,2,FALSE)+VLOOKUP($C54,TabAlgAll,2,FALSE)*Pesi!$H$13</f>
        <v>69.844000000000008</v>
      </c>
      <c r="N54" s="155">
        <f>IF(ISNA(MATCH($B54,Pesi!$B$31:$B$34,0)),VLOOKUP(Pesi!$B$33,TabAlgDif,13,FALSE)-((VLOOKUP(Pesi!$B$33,TabAlgDif,12,FALSE)-$M54)/(VLOOKUP(Pesi!$B$33,TabAlgDif,12,FALSE)-Pesi!$F$43))*VLOOKUP(Pesi!$B$33,TabAlgDif,13,FALSE),$K54*$M54/$J54)</f>
        <v>3.5664961768028292</v>
      </c>
      <c r="O54" s="155">
        <f t="shared" si="4"/>
        <v>3.5664961768028292</v>
      </c>
      <c r="P54">
        <f t="shared" si="5"/>
        <v>40</v>
      </c>
      <c r="Q54">
        <f>VLOOKUP(B54,'C.P.'!$A$2:$B$164,2,FALSE)</f>
        <v>0</v>
      </c>
      <c r="R54" t="e">
        <f>VLOOKUP(B54,'C.P.'!$C$2:$D$164,2,FALSE)</f>
        <v>#N/A</v>
      </c>
      <c r="S54" t="e">
        <f>VLOOKUP(B54,'C.P.'!$E$2:$F$164,2,FALSE)</f>
        <v>#N/A</v>
      </c>
      <c r="T54" t="e">
        <f>VLOOKUP(B54,'C.P.'!$G$2:$H$164,2,FALSE)</f>
        <v>#N/A</v>
      </c>
    </row>
    <row r="55" spans="1:21">
      <c r="A55">
        <f ca="1">COUNTIF('I.A. + Fasce'!B$1:'I.A. + Fasce'!B$538,B50)</f>
        <v>1</v>
      </c>
      <c r="B55" s="205" t="s">
        <v>1702</v>
      </c>
      <c r="C55" s="206" t="str">
        <f>VLOOKUP(B55,'IA FG'!$B$2:$G$600,6,FALSE)</f>
        <v>ATA</v>
      </c>
      <c r="D55" s="207">
        <v>9</v>
      </c>
      <c r="E55" s="207">
        <v>6</v>
      </c>
      <c r="F55" s="207">
        <v>6</v>
      </c>
      <c r="G55" s="207">
        <v>7</v>
      </c>
      <c r="H55" s="207">
        <v>6</v>
      </c>
      <c r="I55" s="207">
        <v>6</v>
      </c>
      <c r="J55" s="159">
        <f>$D55*Pesi!$F$5+Pesi!$F$6*$E55+$F55*Pesi!$F$7+Pesi!$F$8*$G55+$H55*Pesi!$F$9+Pesi!$F$10*$I55+VLOOKUP($C55,TabAlgSqu,2,FALSE)*Pesi!$F$11+Pesi!$F$12*VLOOKUP($C55,TabAlgFC,2,FALSE)+VLOOKUP($C55,TabAlgAll,2,FALSE)*Pesi!$F$13</f>
        <v>66.528300000000002</v>
      </c>
      <c r="K55" s="155">
        <f>IF(ISNA(MATCH($B55,Pesi!$B$31:$B$34,0)),VLOOKUP(Pesi!$B$33,TabAlgDif,10,FALSE)-((VLOOKUP(Pesi!$B$33,TabAlgDif,9,FALSE)-$J55)/(VLOOKUP(Pesi!$B$33,TabAlgDif,9,FALSE)-Pesi!$C$43))*VLOOKUP(Pesi!$B$33,TabAlgDif,10,FALSE),Pesi!$F$33*Pesi!$C$28)</f>
        <v>4.164434184764378</v>
      </c>
      <c r="L55" s="155">
        <f t="shared" si="3"/>
        <v>4.164434184764378</v>
      </c>
      <c r="M55" s="160">
        <f>$D55*Pesi!$H$5+Pesi!$H$6*$E55+$F55*Pesi!$H$7+Pesi!$H$8*$G55+$H55*Pesi!$H$9+Pesi!$H$10*$I55+VLOOKUP($C55,TabAlgSqu,2,FALSE)*Pesi!$H$11+Pesi!$H$12*VLOOKUP($C55,TabAlgFC,2,FALSE)+VLOOKUP($C55,TabAlgAll,2,FALSE)*Pesi!$H$13</f>
        <v>69.828299999999999</v>
      </c>
      <c r="N55" s="155">
        <f>IF(ISNA(MATCH($B55,Pesi!$B$31:$B$34,0)),VLOOKUP(Pesi!$B$33,TabAlgDif,13,FALSE)-((VLOOKUP(Pesi!$B$33,TabAlgDif,12,FALSE)-$M55)/(VLOOKUP(Pesi!$B$33,TabAlgDif,12,FALSE)-Pesi!$F$43))*VLOOKUP(Pesi!$B$33,TabAlgDif,13,FALSE),$K55*$M55/$J55)</f>
        <v>3.5468077133795397</v>
      </c>
      <c r="O55" s="155">
        <f t="shared" si="4"/>
        <v>3.5468077133795397</v>
      </c>
      <c r="P55">
        <f t="shared" si="5"/>
        <v>40</v>
      </c>
      <c r="Q55">
        <f>VLOOKUP(B55,'C.P.'!$A$2:$B$164,2,FALSE)</f>
        <v>0</v>
      </c>
      <c r="R55" t="e">
        <f>VLOOKUP(B55,'C.P.'!$C$2:$D$164,2,FALSE)</f>
        <v>#N/A</v>
      </c>
      <c r="S55" t="e">
        <f>VLOOKUP(B55,'C.P.'!$E$2:$F$164,2,FALSE)</f>
        <v>#N/A</v>
      </c>
      <c r="T55" t="e">
        <f>VLOOKUP(B55,'C.P.'!$G$2:$H$164,2,FALSE)</f>
        <v>#N/A</v>
      </c>
    </row>
    <row r="56" spans="1:21">
      <c r="A56">
        <f ca="1">COUNTIF('I.A. + Fasce'!B$1:'I.A. + Fasce'!B$538,B51)</f>
        <v>1</v>
      </c>
      <c r="B56" s="205" t="s">
        <v>353</v>
      </c>
      <c r="C56" s="206" t="str">
        <f>VLOOKUP(B56,'IA FG'!$B$2:$G$600,6,FALSE)</f>
        <v>LAZ</v>
      </c>
      <c r="D56" s="207">
        <v>6</v>
      </c>
      <c r="E56" s="207">
        <v>7</v>
      </c>
      <c r="F56" s="207">
        <v>7</v>
      </c>
      <c r="G56" s="207">
        <v>6</v>
      </c>
      <c r="H56" s="207">
        <v>7</v>
      </c>
      <c r="I56" s="207">
        <v>6</v>
      </c>
      <c r="J56" s="159">
        <f>$D56*Pesi!$F$5+Pesi!$F$6*$E56+$F56*Pesi!$F$7+Pesi!$F$8*$G56+$H56*Pesi!$F$9+Pesi!$F$10*$I56+VLOOKUP($C56,TabAlgSqu,2,FALSE)*Pesi!$F$11+Pesi!$F$12*VLOOKUP($C56,TabAlgFC,2,FALSE)+VLOOKUP($C56,TabAlgAll,2,FALSE)*Pesi!$F$13</f>
        <v>66.397199999999998</v>
      </c>
      <c r="K56" s="155">
        <f>IF(ISNA(MATCH($B56,Pesi!$B$31:$B$34,0)),VLOOKUP(Pesi!$B$33,TabAlgDif,10,FALSE)-((VLOOKUP(Pesi!$B$33,TabAlgDif,9,FALSE)-$J56)/(VLOOKUP(Pesi!$B$33,TabAlgDif,9,FALSE)-Pesi!$D$43))*VLOOKUP(Pesi!$B$33,TabAlgDif,10,FALSE),Pesi!$F$33*Pesi!$C$28)</f>
        <v>4.2102914931588344</v>
      </c>
      <c r="L56" s="155">
        <f t="shared" si="3"/>
        <v>4.2102914931588344</v>
      </c>
      <c r="M56" s="160">
        <f>$D56*Pesi!$H$5+Pesi!$H$6*$E56+$F56*Pesi!$H$7+Pesi!$H$8*$G56+$H56*Pesi!$H$9+Pesi!$H$10*$I56+VLOOKUP($C56,TabAlgSqu,2,FALSE)*Pesi!$H$11+Pesi!$H$12*VLOOKUP($C56,TabAlgFC,2,FALSE)+VLOOKUP($C56,TabAlgAll,2,FALSE)*Pesi!$H$13</f>
        <v>70.247199999999992</v>
      </c>
      <c r="N56" s="155">
        <f>IF(ISNA(MATCH($B56,Pesi!$B$31:$B$34,0)),VLOOKUP(Pesi!$B$33,TabAlgDif,13,FALSE)-((VLOOKUP(Pesi!$B$33,TabAlgDif,12,FALSE)-$M56)/(VLOOKUP(Pesi!$B$33,TabAlgDif,12,FALSE)-Pesi!$F$43))*VLOOKUP(Pesi!$B$33,TabAlgDif,13,FALSE),$K56*$M56/$J56)</f>
        <v>4.0721260145267522</v>
      </c>
      <c r="O56" s="155">
        <f t="shared" si="4"/>
        <v>4.0721260145267522</v>
      </c>
      <c r="P56">
        <f t="shared" si="5"/>
        <v>39</v>
      </c>
      <c r="Q56" t="e">
        <f>VLOOKUP(B56,'C.P.'!$A$2:$B$164,2,FALSE)</f>
        <v>#N/A</v>
      </c>
      <c r="R56" t="e">
        <f>VLOOKUP(C56,'C.P.'!$C$2:$C$164,2,FALSE)</f>
        <v>#N/A</v>
      </c>
      <c r="S56" t="e">
        <f>VLOOKUP(D56,'C.P.'!$E$2:$F$164,2,FALSE)</f>
        <v>#N/A</v>
      </c>
      <c r="T56" t="e">
        <f>VLOOKUP(E56,'C.P.'!$G$2:$H$164,2,FALSE)</f>
        <v>#N/A</v>
      </c>
    </row>
    <row r="57" spans="1:21">
      <c r="B57" s="205" t="s">
        <v>1704</v>
      </c>
      <c r="C57" s="206" t="str">
        <f>VLOOKUP(B57,'IA FG'!$B$2:$G$600,6,FALSE)</f>
        <v>LAZ</v>
      </c>
      <c r="D57" s="207">
        <v>7</v>
      </c>
      <c r="E57" s="207">
        <v>6</v>
      </c>
      <c r="F57" s="207">
        <v>7</v>
      </c>
      <c r="G57" s="207">
        <v>6</v>
      </c>
      <c r="H57" s="207">
        <v>7</v>
      </c>
      <c r="I57" s="207">
        <v>6</v>
      </c>
      <c r="J57" s="159">
        <f>$D57*Pesi!$F$5+Pesi!$F$6*$E57+$F57*Pesi!$F$7+Pesi!$F$8*$G57+$H57*Pesi!$F$9+Pesi!$F$10*$I57+VLOOKUP($C57,TabAlgSqu,2,FALSE)*Pesi!$F$11+Pesi!$F$12*VLOOKUP($C57,TabAlgFC,2,FALSE)+VLOOKUP($C57,TabAlgAll,2,FALSE)*Pesi!$F$13</f>
        <v>66.393000000000001</v>
      </c>
      <c r="K57" s="155">
        <f>IF(ISNA(MATCH($B57,Pesi!$B$31:$B$34,0)),VLOOKUP(Pesi!$B$33,TabAlgDif,10,FALSE)-((VLOOKUP(Pesi!$B$33,TabAlgDif,9,FALSE)-$J57)/(VLOOKUP(Pesi!$B$33,TabAlgDif,9,FALSE)-Pesi!$D$43))*VLOOKUP(Pesi!$B$33,TabAlgDif,10,FALSE),Pesi!$F$33*Pesi!$C$28)</f>
        <v>4.2050862581796622</v>
      </c>
      <c r="L57" s="155">
        <f t="shared" si="3"/>
        <v>4.2050862581796622</v>
      </c>
      <c r="M57" s="160">
        <f>$D57*Pesi!$H$5+Pesi!$H$6*$E57+$F57*Pesi!$H$7+Pesi!$H$8*$G57+$H57*Pesi!$H$9+Pesi!$H$10*$I57+VLOOKUP($C57,TabAlgSqu,2,FALSE)*Pesi!$H$11+Pesi!$H$12*VLOOKUP($C57,TabAlgFC,2,FALSE)+VLOOKUP($C57,TabAlgAll,2,FALSE)*Pesi!$H$13</f>
        <v>70.242999999999995</v>
      </c>
      <c r="N57" s="155">
        <f>IF(ISNA(MATCH($B57,Pesi!$B$31:$B$34,0)),VLOOKUP(Pesi!$B$33,TabAlgDif,13,FALSE)-((VLOOKUP(Pesi!$B$33,TabAlgDif,12,FALSE)-$M57)/(VLOOKUP(Pesi!$B$33,TabAlgDif,12,FALSE)-Pesi!$F$43))*VLOOKUP(Pesi!$B$33,TabAlgDif,13,FALSE),$K57*$M57/$J57)</f>
        <v>4.0668590370504631</v>
      </c>
      <c r="O57" s="155">
        <f t="shared" si="4"/>
        <v>4.0668590370504631</v>
      </c>
      <c r="P57">
        <f t="shared" si="5"/>
        <v>39</v>
      </c>
      <c r="Q57" t="e">
        <f>VLOOKUP(B57,'C.P.'!$A$2:$B$164,2,FALSE)</f>
        <v>#N/A</v>
      </c>
      <c r="R57" t="e">
        <f>VLOOKUP(B57,'C.P.'!$C$2:$D$164,2,FALSE)</f>
        <v>#N/A</v>
      </c>
      <c r="S57" t="e">
        <f>VLOOKUP(B57,'C.P.'!$E$2:$F$164,2,FALSE)</f>
        <v>#N/A</v>
      </c>
      <c r="T57" t="e">
        <f>VLOOKUP(B57,'C.P.'!$G$2:$H$164,2,FALSE)</f>
        <v>#N/A</v>
      </c>
    </row>
    <row r="58" spans="1:21">
      <c r="A58">
        <f ca="1">COUNTIF('I.A. + Fasce'!B$1:'I.A. + Fasce'!B$538,#REF!)</f>
        <v>0</v>
      </c>
      <c r="B58" s="205" t="s">
        <v>298</v>
      </c>
      <c r="C58" s="206" t="str">
        <f>VLOOKUP(B58,'IA FG'!$B$2:$G$600,6,FALSE)</f>
        <v>MIL</v>
      </c>
      <c r="D58" s="207">
        <v>8</v>
      </c>
      <c r="E58" s="207">
        <v>6</v>
      </c>
      <c r="F58" s="207">
        <v>6</v>
      </c>
      <c r="G58" s="207">
        <v>6</v>
      </c>
      <c r="H58" s="207">
        <v>6</v>
      </c>
      <c r="I58" s="207">
        <v>6</v>
      </c>
      <c r="J58" s="159">
        <f>$D58*Pesi!$F$5+Pesi!$F$6*$E58+$F58*Pesi!$F$7+Pesi!$F$8*$G58+$H58*Pesi!$F$9+Pesi!$F$10*$I58+VLOOKUP($C58,TabAlgSqu,2,FALSE)*Pesi!$F$11+Pesi!$F$12*VLOOKUP($C58,TabAlgFC,2,FALSE)+VLOOKUP($C58,TabAlgAll,2,FALSE)*Pesi!$F$13</f>
        <v>65.846999999999994</v>
      </c>
      <c r="K58" s="155">
        <f>IF(ISNA(MATCH($B58,Pesi!$B$31:$B$34,0)),VLOOKUP(Pesi!$B$33,TabAlgDif,10,FALSE)-((VLOOKUP(Pesi!$B$33,TabAlgDif,9,FALSE)-$J58)/(VLOOKUP(Pesi!$B$33,TabAlgDif,9,FALSE)-Pesi!$C$43))*VLOOKUP(Pesi!$B$33,TabAlgDif,10,FALSE),Pesi!$F$33*Pesi!$C$28)</f>
        <v>3.3115426408216138</v>
      </c>
      <c r="L58" s="155">
        <f t="shared" si="3"/>
        <v>3.3115426408216138</v>
      </c>
      <c r="M58" s="160">
        <f>$D58*Pesi!$H$5+Pesi!$H$6*$E58+$F58*Pesi!$H$7+Pesi!$H$8*$G58+$H58*Pesi!$H$9+Pesi!$H$10*$I58+VLOOKUP($C58,TabAlgSqu,2,FALSE)*Pesi!$H$11+Pesi!$H$12*VLOOKUP($C58,TabAlgFC,2,FALSE)+VLOOKUP($C58,TabAlgAll,2,FALSE)*Pesi!$H$13</f>
        <v>69.146999999999977</v>
      </c>
      <c r="N58" s="155">
        <f>IF(ISNA(MATCH($B58,Pesi!$B$31:$B$34,0)),VLOOKUP(Pesi!$B$33,TabAlgDif,13,FALSE)-((VLOOKUP(Pesi!$B$33,TabAlgDif,12,FALSE)-$M58)/(VLOOKUP(Pesi!$B$33,TabAlgDif,12,FALSE)-Pesi!$F$43))*VLOOKUP(Pesi!$B$33,TabAlgDif,13,FALSE),$K58*$M58/$J58)</f>
        <v>2.6924287241897211</v>
      </c>
      <c r="O58" s="155">
        <f t="shared" si="4"/>
        <v>2.6924287241897211</v>
      </c>
      <c r="P58">
        <f t="shared" si="5"/>
        <v>38</v>
      </c>
      <c r="Q58" t="e">
        <f>VLOOKUP(B58,'C.P.'!$A$2:$B$164,2,FALSE)</f>
        <v>#N/A</v>
      </c>
      <c r="R58" t="e">
        <f>VLOOKUP(B58,'C.P.'!$C$2:$D$164,2,FALSE)</f>
        <v>#N/A</v>
      </c>
      <c r="S58" t="e">
        <f>VLOOKUP(B58,'C.P.'!$E$2:$F$164,2,FALSE)</f>
        <v>#N/A</v>
      </c>
      <c r="T58" t="e">
        <f>VLOOKUP(B58,'C.P.'!$G$2:$H$164,2,FALSE)</f>
        <v>#N/A</v>
      </c>
    </row>
    <row r="59" spans="1:21">
      <c r="A59">
        <f ca="1">COUNTIF('I.A. + Fasce'!B$1:'I.A. + Fasce'!B$538,#REF!)</f>
        <v>0</v>
      </c>
      <c r="B59" s="205" t="s">
        <v>585</v>
      </c>
      <c r="C59" s="206" t="str">
        <f>VLOOKUP(B59,'IA FG'!$B$2:$G$600,6,FALSE)</f>
        <v>GEN</v>
      </c>
      <c r="D59" s="207">
        <v>8</v>
      </c>
      <c r="E59" s="207">
        <v>7</v>
      </c>
      <c r="F59" s="207">
        <v>6</v>
      </c>
      <c r="G59" s="207">
        <v>7</v>
      </c>
      <c r="H59" s="207">
        <v>5</v>
      </c>
      <c r="I59" s="207">
        <v>7</v>
      </c>
      <c r="J59" s="159">
        <f>$D59*Pesi!$F$5+Pesi!$F$6*$E59+$F59*Pesi!$F$7+Pesi!$F$8*$G59+$H59*Pesi!$F$9+Pesi!$F$10*$I59+VLOOKUP($C59,TabAlgSqu,2,FALSE)*Pesi!$F$11+Pesi!$F$12*VLOOKUP($C59,TabAlgFC,2,FALSE)+VLOOKUP($C59,TabAlgAll,2,FALSE)*Pesi!$F$13</f>
        <v>65.831000000000003</v>
      </c>
      <c r="K59" s="155">
        <f>IF(ISNA(MATCH($B59,Pesi!$B$31:$B$34,0)),VLOOKUP(Pesi!$B$33,TabAlgDif,10,FALSE)-((VLOOKUP(Pesi!$B$33,TabAlgDif,9,FALSE)-$J59)/(VLOOKUP(Pesi!$B$33,TabAlgDif,9,FALSE)-Pesi!$D$43))*VLOOKUP(Pesi!$B$33,TabAlgDif,10,FALSE),Pesi!$F$33*Pesi!$C$28)</f>
        <v>3.5085762442990358</v>
      </c>
      <c r="L59" s="155">
        <f t="shared" si="3"/>
        <v>3.5085762442990358</v>
      </c>
      <c r="M59" s="160">
        <f>$D59*Pesi!$H$5+Pesi!$H$6*$E59+$F59*Pesi!$H$7+Pesi!$H$8*$G59+$H59*Pesi!$H$9+Pesi!$H$10*$I59+VLOOKUP($C59,TabAlgSqu,2,FALSE)*Pesi!$H$11+Pesi!$H$12*VLOOKUP($C59,TabAlgFC,2,FALSE)+VLOOKUP($C59,TabAlgAll,2,FALSE)*Pesi!$H$13</f>
        <v>69.131</v>
      </c>
      <c r="N59" s="155">
        <f>IF(ISNA(MATCH($B59,Pesi!$B$31:$B$34,0)),VLOOKUP(Pesi!$B$33,TabAlgDif,13,FALSE)-((VLOOKUP(Pesi!$B$33,TabAlgDif,12,FALSE)-$M59)/(VLOOKUP(Pesi!$B$33,TabAlgDif,12,FALSE)-Pesi!$F$43))*VLOOKUP(Pesi!$B$33,TabAlgDif,13,FALSE),$K59*$M59/$J59)</f>
        <v>2.6723640480895945</v>
      </c>
      <c r="O59" s="155">
        <f t="shared" si="4"/>
        <v>2.6723640480895945</v>
      </c>
      <c r="P59">
        <f t="shared" si="5"/>
        <v>40</v>
      </c>
      <c r="Q59" t="e">
        <f>VLOOKUP(B59,'C.P.'!$A$2:$B$164,2,FALSE)</f>
        <v>#N/A</v>
      </c>
      <c r="R59" t="e">
        <f>VLOOKUP(C59,'C.P.'!$C$2:$C$164,2,FALSE)</f>
        <v>#N/A</v>
      </c>
      <c r="S59" t="e">
        <f>VLOOKUP(D59,'C.P.'!$E$2:$F$164,2,FALSE)</f>
        <v>#N/A</v>
      </c>
      <c r="T59" t="e">
        <f>VLOOKUP(E59,'C.P.'!$G$2:$H$164,2,FALSE)</f>
        <v>#N/A</v>
      </c>
    </row>
    <row r="60" spans="1:21">
      <c r="A60">
        <f ca="1">COUNTIF('I.A. + Fasce'!B$1:'I.A. + Fasce'!B$538,B54)</f>
        <v>1</v>
      </c>
      <c r="B60" s="205" t="s">
        <v>626</v>
      </c>
      <c r="C60" s="206" t="str">
        <f>VLOOKUP(B60,'IA FG'!$B$2:$G$600,6,FALSE)</f>
        <v>GEN</v>
      </c>
      <c r="D60" s="207">
        <v>8</v>
      </c>
      <c r="E60" s="207">
        <v>6</v>
      </c>
      <c r="F60" s="207">
        <v>6</v>
      </c>
      <c r="G60" s="207">
        <v>7</v>
      </c>
      <c r="H60" s="207">
        <v>6</v>
      </c>
      <c r="I60" s="207">
        <v>7</v>
      </c>
      <c r="J60" s="159">
        <f>$D60*Pesi!$F$5+Pesi!$F$6*$E60+$F60*Pesi!$F$7+Pesi!$F$8*$G60+$H60*Pesi!$F$9+Pesi!$F$10*$I60+VLOOKUP($C60,TabAlgSqu,2,FALSE)*Pesi!$F$11+Pesi!$F$12*VLOOKUP($C60,TabAlgFC,2,FALSE)+VLOOKUP($C60,TabAlgAll,2,FALSE)*Pesi!$F$13</f>
        <v>65.826800000000006</v>
      </c>
      <c r="K60" s="155">
        <f>IF(ISNA(MATCH($B60,Pesi!$B$31:$B$34,0)),VLOOKUP(Pesi!$B$33,TabAlgDif,10,FALSE)-((VLOOKUP(Pesi!$B$33,TabAlgDif,9,FALSE)-$J60)/(VLOOKUP(Pesi!$B$33,TabAlgDif,9,FALSE)-Pesi!$C$43))*VLOOKUP(Pesi!$B$33,TabAlgDif,10,FALSE),Pesi!$F$33*Pesi!$C$28)</f>
        <v>3.286255088806886</v>
      </c>
      <c r="L60" s="155">
        <f t="shared" si="3"/>
        <v>3.286255088806886</v>
      </c>
      <c r="M60" s="160">
        <f>$D60*Pesi!$H$5+Pesi!$H$6*$E60+$F60*Pesi!$H$7+Pesi!$H$8*$G60+$H60*Pesi!$H$9+Pesi!$H$10*$I60+VLOOKUP($C60,TabAlgSqu,2,FALSE)*Pesi!$H$11+Pesi!$H$12*VLOOKUP($C60,TabAlgFC,2,FALSE)+VLOOKUP($C60,TabAlgAll,2,FALSE)*Pesi!$H$13</f>
        <v>69.126800000000003</v>
      </c>
      <c r="N60" s="155">
        <f>IF(ISNA(MATCH($B60,Pesi!$B$31:$B$34,0)),VLOOKUP(Pesi!$B$33,TabAlgDif,13,FALSE)-((VLOOKUP(Pesi!$B$33,TabAlgDif,12,FALSE)-$M60)/(VLOOKUP(Pesi!$B$33,TabAlgDif,12,FALSE)-Pesi!$F$43))*VLOOKUP(Pesi!$B$33,TabAlgDif,13,FALSE),$K60*$M60/$J60)</f>
        <v>2.6670970706133055</v>
      </c>
      <c r="O60" s="155">
        <f t="shared" si="4"/>
        <v>2.6670970706133055</v>
      </c>
      <c r="P60">
        <f t="shared" si="5"/>
        <v>40</v>
      </c>
      <c r="Q60" t="e">
        <f>VLOOKUP(B60,'C.P.'!$A$2:$B$164,2,FALSE)</f>
        <v>#N/A</v>
      </c>
      <c r="R60" t="e">
        <f>VLOOKUP(B60,'C.P.'!$C$2:$D$164,2,FALSE)</f>
        <v>#N/A</v>
      </c>
      <c r="S60">
        <f>VLOOKUP(B60,'C.P.'!$E$2:$F$164,2,FALSE)</f>
        <v>2</v>
      </c>
      <c r="T60" t="e">
        <f>VLOOKUP(B60,'C.P.'!$G$2:$H$164,2,FALSE)</f>
        <v>#N/A</v>
      </c>
      <c r="U60" s="420"/>
    </row>
    <row r="61" spans="1:21" ht="12.75" customHeight="1">
      <c r="B61" s="443" t="s">
        <v>537</v>
      </c>
      <c r="C61" s="206" t="str">
        <f>VLOOKUP(B61,'IA FG'!$B$2:$G$600,6,FALSE)</f>
        <v>NAP</v>
      </c>
      <c r="D61" s="207">
        <v>6</v>
      </c>
      <c r="E61" s="207">
        <v>6</v>
      </c>
      <c r="F61" s="207">
        <v>7</v>
      </c>
      <c r="G61" s="207">
        <v>7</v>
      </c>
      <c r="H61" s="207">
        <v>6</v>
      </c>
      <c r="I61" s="207">
        <v>6</v>
      </c>
      <c r="J61" s="159">
        <f>$D61*Pesi!$F$5+Pesi!$F$6*$E61+$F61*Pesi!$F$7+Pesi!$F$8*$G61+$H61*Pesi!$F$9+Pesi!$F$10*$I61+VLOOKUP($C61,TabAlgSqu,2,FALSE)*Pesi!$F$11+Pesi!$F$12*VLOOKUP($C61,TabAlgFC,2,FALSE)+VLOOKUP($C61,TabAlgAll,2,FALSE)*Pesi!$F$13</f>
        <v>65.751400000000004</v>
      </c>
      <c r="K61" s="155">
        <f>IF(ISNA(MATCH($B61,Pesi!$B$31:$B$34,0)),VLOOKUP(Pesi!$B$33,TabAlgDif,10,FALSE)-((VLOOKUP(Pesi!$B$33,TabAlgDif,9,FALSE)-$J61)/(VLOOKUP(Pesi!$B$33,TabAlgDif,9,FALSE)-Pesi!$C$43))*VLOOKUP(Pesi!$B$33,TabAlgDif,10,FALSE),Pesi!$F$33*Pesi!$C$28)</f>
        <v>3.1918649194053224</v>
      </c>
      <c r="L61" s="155">
        <f t="shared" si="3"/>
        <v>3.1918649194053224</v>
      </c>
      <c r="M61" s="160">
        <f>$D61*Pesi!$H$5+Pesi!$H$6*$E61+$F61*Pesi!$H$7+Pesi!$H$8*$G61+$H61*Pesi!$H$9+Pesi!$H$10*$I61+VLOOKUP($C61,TabAlgSqu,2,FALSE)*Pesi!$H$11+Pesi!$H$12*VLOOKUP($C61,TabAlgFC,2,FALSE)+VLOOKUP($C61,TabAlgAll,2,FALSE)*Pesi!$H$13</f>
        <v>69.601399999999998</v>
      </c>
      <c r="N61" s="155">
        <f>IF(ISNA(MATCH($B61,Pesi!$B$31:$B$34,0)),VLOOKUP(Pesi!$B$33,TabAlgDif,13,FALSE)-((VLOOKUP(Pesi!$B$33,TabAlgDif,12,FALSE)-$M61)/(VLOOKUP(Pesi!$B$33,TabAlgDif,12,FALSE)-Pesi!$F$43))*VLOOKUP(Pesi!$B$33,TabAlgDif,13,FALSE),$K61*$M61/$J61)</f>
        <v>3.262265525434195</v>
      </c>
      <c r="O61" s="155">
        <f t="shared" si="4"/>
        <v>3.262265525434195</v>
      </c>
      <c r="P61">
        <f t="shared" si="5"/>
        <v>38</v>
      </c>
      <c r="Q61" t="e">
        <f>VLOOKUP(B61,'C.P.'!$A$2:$B$164,2,FALSE)</f>
        <v>#N/A</v>
      </c>
      <c r="R61" t="e">
        <f>VLOOKUP(B61,'C.P.'!$C$2:$D$164,2,FALSE)</f>
        <v>#N/A</v>
      </c>
      <c r="S61" t="e">
        <f>VLOOKUP(B61,'C.P.'!$E$2:$F$164,2,FALSE)</f>
        <v>#N/A</v>
      </c>
      <c r="T61" t="e">
        <f>VLOOKUP(B61,'C.P.'!$G$2:$H$164,2,FALSE)</f>
        <v>#N/A</v>
      </c>
      <c r="U61" s="420"/>
    </row>
    <row r="62" spans="1:21">
      <c r="A62">
        <f ca="1">COUNTIF('I.A. + Fasce'!B$1:'I.A. + Fasce'!B$538,B54)</f>
        <v>1</v>
      </c>
      <c r="B62" s="205" t="s">
        <v>419</v>
      </c>
      <c r="C62" s="206" t="str">
        <f>VLOOKUP(B62,'IA FG'!$B$2:$G$600,6,FALSE)</f>
        <v>NAP</v>
      </c>
      <c r="D62" s="207">
        <v>7</v>
      </c>
      <c r="E62" s="207">
        <v>6</v>
      </c>
      <c r="F62" s="207">
        <v>7</v>
      </c>
      <c r="G62" s="207">
        <v>7</v>
      </c>
      <c r="H62" s="207">
        <v>6</v>
      </c>
      <c r="I62" s="207">
        <v>5</v>
      </c>
      <c r="J62" s="159">
        <f>$D62*Pesi!$F$5+Pesi!$F$6*$E62+$F62*Pesi!$F$7+Pesi!$F$8*$G62+$H62*Pesi!$F$9+Pesi!$F$10*$I62+VLOOKUP($C62,TabAlgSqu,2,FALSE)*Pesi!$F$11+Pesi!$F$12*VLOOKUP($C62,TabAlgFC,2,FALSE)+VLOOKUP($C62,TabAlgAll,2,FALSE)*Pesi!$F$13</f>
        <v>65.751400000000004</v>
      </c>
      <c r="K62" s="155">
        <f>IF(ISNA(MATCH($B62,Pesi!$B$31:$B$34,0)),VLOOKUP(Pesi!$B$33,TabAlgDif,10,FALSE)-((VLOOKUP(Pesi!$B$33,TabAlgDif,9,FALSE)-$J62)/(VLOOKUP(Pesi!$B$33,TabAlgDif,9,FALSE)-Pesi!$C$43))*VLOOKUP(Pesi!$B$33,TabAlgDif,10,FALSE),Pesi!$F$33*Pesi!$C$28)</f>
        <v>3.1918649194053224</v>
      </c>
      <c r="L62" s="155">
        <f t="shared" si="3"/>
        <v>3.1918649194053224</v>
      </c>
      <c r="M62" s="160">
        <f>$D62*Pesi!$H$5+Pesi!$H$6*$E62+$F62*Pesi!$H$7+Pesi!$H$8*$G62+$H62*Pesi!$H$9+Pesi!$H$10*$I62+VLOOKUP($C62,TabAlgSqu,2,FALSE)*Pesi!$H$11+Pesi!$H$12*VLOOKUP($C62,TabAlgFC,2,FALSE)+VLOOKUP($C62,TabAlgAll,2,FALSE)*Pesi!$H$13</f>
        <v>69.601399999999998</v>
      </c>
      <c r="N62" s="155">
        <f>IF(ISNA(MATCH($B62,Pesi!$B$31:$B$34,0)),VLOOKUP(Pesi!$B$33,TabAlgDif,13,FALSE)-((VLOOKUP(Pesi!$B$33,TabAlgDif,12,FALSE)-$M62)/(VLOOKUP(Pesi!$B$33,TabAlgDif,12,FALSE)-Pesi!$F$43))*VLOOKUP(Pesi!$B$33,TabAlgDif,13,FALSE),$K62*$M62/$J62)</f>
        <v>3.262265525434195</v>
      </c>
      <c r="O62" s="155">
        <f t="shared" si="4"/>
        <v>3.262265525434195</v>
      </c>
      <c r="P62">
        <f t="shared" si="5"/>
        <v>38</v>
      </c>
      <c r="Q62" t="e">
        <f>VLOOKUP(B62,'C.P.'!$A$2:$B$164,2,FALSE)</f>
        <v>#N/A</v>
      </c>
      <c r="R62" t="e">
        <f>VLOOKUP(B62,'C.P.'!$C$2:$D$164,2,FALSE)</f>
        <v>#N/A</v>
      </c>
      <c r="S62" t="e">
        <f>VLOOKUP(B62,'C.P.'!$E$2:$F$164,2,FALSE)</f>
        <v>#N/A</v>
      </c>
      <c r="T62" t="e">
        <f>VLOOKUP(B62,'C.P.'!$G$2:$H$164,2,FALSE)</f>
        <v>#N/A</v>
      </c>
    </row>
    <row r="63" spans="1:21">
      <c r="A63">
        <f ca="1">COUNTIF('I.A. + Fasce'!B$1:'I.A. + Fasce'!B$538,B57)</f>
        <v>1</v>
      </c>
      <c r="B63" s="205" t="s">
        <v>510</v>
      </c>
      <c r="C63" s="206" t="str">
        <f>VLOOKUP(B63,'IA FG'!$B$2:$G$600,6,FALSE)</f>
        <v>VER</v>
      </c>
      <c r="D63" s="207">
        <v>6</v>
      </c>
      <c r="E63" s="207">
        <v>7</v>
      </c>
      <c r="F63" s="207">
        <v>7</v>
      </c>
      <c r="G63" s="207">
        <v>6</v>
      </c>
      <c r="H63" s="207">
        <v>7</v>
      </c>
      <c r="I63" s="207">
        <v>7</v>
      </c>
      <c r="J63" s="159">
        <f>$D63*Pesi!$F$5+Pesi!$F$6*$E63+$F63*Pesi!$F$7+Pesi!$F$8*$G63+$H63*Pesi!$F$9+Pesi!$F$10*$I63+VLOOKUP($C63,TabAlgSqu,2,FALSE)*Pesi!$F$11+Pesi!$F$12*VLOOKUP($C63,TabAlgFC,2,FALSE)+VLOOKUP($C63,TabAlgAll,2,FALSE)*Pesi!$F$13</f>
        <v>65.416499999999999</v>
      </c>
      <c r="K63" s="155">
        <f>IF(ISNA(MATCH($B63,Pesi!$B$31:$B$34,0)),VLOOKUP(Pesi!$B$33,TabAlgDif,10,FALSE)-((VLOOKUP(Pesi!$B$33,TabAlgDif,9,FALSE)-$J63)/(VLOOKUP(Pesi!$B$33,TabAlgDif,9,FALSE)-Pesi!$D$43))*VLOOKUP(Pesi!$B$33,TabAlgDif,10,FALSE),Pesi!$F$33*Pesi!$C$28)</f>
        <v>2.9948691255205233</v>
      </c>
      <c r="L63" s="155">
        <f t="shared" si="3"/>
        <v>2.9948691255205233</v>
      </c>
      <c r="M63" s="160">
        <f>$D63*Pesi!$H$5+Pesi!$H$6*$E63+$F63*Pesi!$H$7+Pesi!$H$8*$G63+$H63*Pesi!$H$9+Pesi!$H$10*$I63+VLOOKUP($C63,TabAlgSqu,2,FALSE)*Pesi!$H$11+Pesi!$H$12*VLOOKUP($C63,TabAlgFC,2,FALSE)+VLOOKUP($C63,TabAlgAll,2,FALSE)*Pesi!$H$13</f>
        <v>69.266499999999994</v>
      </c>
      <c r="N63" s="155">
        <f>IF(ISNA(MATCH($B63,Pesi!$B$31:$B$34,0)),VLOOKUP(Pesi!$B$33,TabAlgDif,13,FALSE)-((VLOOKUP(Pesi!$B$33,TabAlgDif,12,FALSE)-$M63)/(VLOOKUP(Pesi!$B$33,TabAlgDif,12,FALSE)-Pesi!$F$43))*VLOOKUP(Pesi!$B$33,TabAlgDif,13,FALSE),$K63*$M63/$J63)</f>
        <v>2.8422867738127842</v>
      </c>
      <c r="O63" s="155">
        <f t="shared" si="4"/>
        <v>2.8422867738127842</v>
      </c>
      <c r="P63">
        <f t="shared" si="5"/>
        <v>40</v>
      </c>
      <c r="Q63">
        <f>VLOOKUP(B63,'C.P.'!$A$2:$B$164,2,FALSE)</f>
        <v>0</v>
      </c>
      <c r="R63" t="e">
        <f>VLOOKUP(C63,'C.P.'!$C$2:$C$164,2,FALSE)</f>
        <v>#N/A</v>
      </c>
      <c r="S63" t="e">
        <f>VLOOKUP(D63,'C.P.'!$E$2:$F$164,2,FALSE)</f>
        <v>#N/A</v>
      </c>
      <c r="T63" t="e">
        <f>VLOOKUP(E63,'C.P.'!$G$2:$H$164,2,FALSE)</f>
        <v>#N/A</v>
      </c>
    </row>
    <row r="64" spans="1:21">
      <c r="A64">
        <f ca="1">COUNTIF('I.A. + Fasce'!B$1:'I.A. + Fasce'!B$538,#REF!)</f>
        <v>0</v>
      </c>
      <c r="B64" s="205" t="s">
        <v>1710</v>
      </c>
      <c r="C64" s="206" t="str">
        <f>VLOOKUP(B64,'IA FG'!$B$2:$G$600,6,FALSE)</f>
        <v>ATA</v>
      </c>
      <c r="D64" s="207">
        <v>8</v>
      </c>
      <c r="E64" s="207">
        <v>6</v>
      </c>
      <c r="F64" s="207">
        <v>6</v>
      </c>
      <c r="G64" s="207">
        <v>6</v>
      </c>
      <c r="H64" s="207">
        <v>7</v>
      </c>
      <c r="I64" s="207">
        <v>6</v>
      </c>
      <c r="J64" s="159">
        <f>$D64*Pesi!$F$5+Pesi!$F$6*$E64+$F64*Pesi!$F$7+Pesi!$F$8*$G64+$H64*Pesi!$F$9+Pesi!$F$10*$I64+VLOOKUP($C64,TabAlgSqu,2,FALSE)*Pesi!$F$11+Pesi!$F$12*VLOOKUP($C64,TabAlgFC,2,FALSE)+VLOOKUP($C64,TabAlgAll,2,FALSE)*Pesi!$F$13</f>
        <v>65.278300000000002</v>
      </c>
      <c r="K64" s="155">
        <f>IF(ISNA(MATCH($B64,Pesi!$B$31:$B$34,0)),VLOOKUP(Pesi!$B$33,TabAlgDif,10,FALSE)-((VLOOKUP(Pesi!$B$33,TabAlgDif,9,FALSE)-$J64)/(VLOOKUP(Pesi!$B$33,TabAlgDif,9,FALSE)-Pesi!$D$43))*VLOOKUP(Pesi!$B$33,TabAlgDif,10,FALSE),Pesi!$F$33*Pesi!$C$28)</f>
        <v>2.823592107872301</v>
      </c>
      <c r="L64" s="155">
        <f t="shared" si="3"/>
        <v>2.823592107872301</v>
      </c>
      <c r="M64" s="160">
        <f>$D64*Pesi!$H$5+Pesi!$H$6*$E64+$F64*Pesi!$H$7+Pesi!$H$8*$G64+$H64*Pesi!$H$9+Pesi!$H$10*$I64+VLOOKUP($C64,TabAlgSqu,2,FALSE)*Pesi!$H$11+Pesi!$H$12*VLOOKUP($C64,TabAlgFC,2,FALSE)+VLOOKUP($C64,TabAlgAll,2,FALSE)*Pesi!$H$13</f>
        <v>68.578299999999999</v>
      </c>
      <c r="N64" s="155">
        <f>IF(ISNA(MATCH($B64,Pesi!$B$31:$B$34,0)),VLOOKUP(Pesi!$B$33,TabAlgDif,13,FALSE)-((VLOOKUP(Pesi!$B$33,TabAlgDif,12,FALSE)-$M64)/(VLOOKUP(Pesi!$B$33,TabAlgDif,12,FALSE)-Pesi!$F$43))*VLOOKUP(Pesi!$B$33,TabAlgDif,13,FALSE),$K64*$M64/$J64)</f>
        <v>1.9792548930548115</v>
      </c>
      <c r="O64" s="155">
        <f t="shared" si="4"/>
        <v>1.9792548930548115</v>
      </c>
      <c r="P64">
        <f t="shared" si="5"/>
        <v>39</v>
      </c>
      <c r="Q64" t="e">
        <f>VLOOKUP(B64,'C.P.'!$A$2:$B$164,2,FALSE)</f>
        <v>#N/A</v>
      </c>
      <c r="R64" t="e">
        <f>VLOOKUP(C64,'C.P.'!$C$2:$C$164,2,FALSE)</f>
        <v>#N/A</v>
      </c>
      <c r="S64" t="e">
        <f>VLOOKUP(D64,'C.P.'!$E$2:$F$164,2,FALSE)</f>
        <v>#N/A</v>
      </c>
      <c r="T64" t="e">
        <f>VLOOKUP(E64,'C.P.'!$G$2:$H$164,2,FALSE)</f>
        <v>#N/A</v>
      </c>
    </row>
    <row r="65" spans="1:21" ht="12.75" customHeight="1">
      <c r="A65">
        <f ca="1">COUNTIF('I.A. + Fasce'!B$1:'I.A. + Fasce'!B$538,B61)</f>
        <v>1</v>
      </c>
      <c r="B65" s="205" t="s">
        <v>1707</v>
      </c>
      <c r="C65" s="206" t="str">
        <f>VLOOKUP(B65,'IA FG'!$B$2:$G$600,6,FALSE)</f>
        <v>ATA</v>
      </c>
      <c r="D65" s="207">
        <v>8</v>
      </c>
      <c r="E65" s="207">
        <v>5</v>
      </c>
      <c r="F65" s="207">
        <v>7</v>
      </c>
      <c r="G65" s="207">
        <v>7</v>
      </c>
      <c r="H65" s="207">
        <v>6</v>
      </c>
      <c r="I65" s="207">
        <v>6</v>
      </c>
      <c r="J65" s="159">
        <f>$D65*Pesi!$F$5+Pesi!$F$6*$E65+$F65*Pesi!$F$7+Pesi!$F$8*$G65+$H65*Pesi!$F$9+Pesi!$F$10*$I65+VLOOKUP($C65,TabAlgSqu,2,FALSE)*Pesi!$F$11+Pesi!$F$12*VLOOKUP($C65,TabAlgFC,2,FALSE)+VLOOKUP($C65,TabAlgAll,2,FALSE)*Pesi!$F$13</f>
        <v>65.27</v>
      </c>
      <c r="K65" s="155">
        <f>IF(ISNA(MATCH($B65,Pesi!$B$31:$B$34,0)),VLOOKUP(Pesi!$B$33,TabAlgDif,10,FALSE)-((VLOOKUP(Pesi!$B$33,TabAlgDif,9,FALSE)-$J65)/(VLOOKUP(Pesi!$B$33,TabAlgDif,9,FALSE)-Pesi!$D$43))*VLOOKUP(Pesi!$B$33,TabAlgDif,10,FALSE),Pesi!$F$33*Pesi!$C$28)</f>
        <v>2.8133055720801075</v>
      </c>
      <c r="L65" s="155">
        <f t="shared" si="3"/>
        <v>2.8133055720801075</v>
      </c>
      <c r="M65" s="160">
        <f>$D65*Pesi!$H$5+Pesi!$H$6*$E65+$F65*Pesi!$H$7+Pesi!$H$8*$G65+$H65*Pesi!$H$9+Pesi!$H$10*$I65+VLOOKUP($C65,TabAlgSqu,2,FALSE)*Pesi!$H$11+Pesi!$H$12*VLOOKUP($C65,TabAlgFC,2,FALSE)+VLOOKUP($C65,TabAlgAll,2,FALSE)*Pesi!$H$13</f>
        <v>69.12</v>
      </c>
      <c r="N65" s="155">
        <f>IF(ISNA(MATCH($B65,Pesi!$B$31:$B$34,0)),VLOOKUP(Pesi!$B$33,TabAlgDif,13,FALSE)-((VLOOKUP(Pesi!$B$33,TabAlgDif,12,FALSE)-$M65)/(VLOOKUP(Pesi!$B$33,TabAlgDif,12,FALSE)-Pesi!$F$43))*VLOOKUP(Pesi!$B$33,TabAlgDif,13,FALSE),$K65*$M65/$J65)</f>
        <v>2.6585695832707401</v>
      </c>
      <c r="O65" s="155">
        <f t="shared" si="4"/>
        <v>2.6585695832707401</v>
      </c>
      <c r="P65">
        <f t="shared" si="5"/>
        <v>39</v>
      </c>
      <c r="Q65" t="e">
        <f>VLOOKUP(B65,'C.P.'!$A$2:$B$164,2,FALSE)</f>
        <v>#N/A</v>
      </c>
      <c r="R65" t="e">
        <f>VLOOKUP(C65,'C.P.'!$C$2:$C$164,2,FALSE)</f>
        <v>#N/A</v>
      </c>
      <c r="S65" t="e">
        <f>VLOOKUP(D65,'C.P.'!$E$2:$F$164,2,FALSE)</f>
        <v>#N/A</v>
      </c>
      <c r="T65" t="e">
        <f>VLOOKUP(E65,'C.P.'!$G$2:$H$164,2,FALSE)</f>
        <v>#N/A</v>
      </c>
    </row>
    <row r="66" spans="1:21">
      <c r="A66">
        <f ca="1">COUNTIF('I.A. + Fasce'!B$1:'I.A. + Fasce'!B$538,B56)</f>
        <v>1</v>
      </c>
      <c r="B66" s="205" t="s">
        <v>1850</v>
      </c>
      <c r="C66" s="206" t="str">
        <f>VLOOKUP(B66,'IA FG'!$B$2:$G$600,6,FALSE)</f>
        <v>FIO</v>
      </c>
      <c r="D66" s="207">
        <v>9</v>
      </c>
      <c r="E66" s="207">
        <v>7</v>
      </c>
      <c r="F66" s="207">
        <v>5</v>
      </c>
      <c r="G66" s="207">
        <v>7</v>
      </c>
      <c r="H66" s="207">
        <v>5</v>
      </c>
      <c r="I66" s="207">
        <v>6</v>
      </c>
      <c r="J66" s="159">
        <f>$D66*Pesi!$F$5+Pesi!$F$6*$E66+$F66*Pesi!$F$7+Pesi!$F$8*$G66+$H66*Pesi!$F$9+Pesi!$F$10*$I66+VLOOKUP($C66,TabAlgSqu,2,FALSE)*Pesi!$F$11+Pesi!$F$12*VLOOKUP($C66,TabAlgFC,2,FALSE)+VLOOKUP($C66,TabAlgAll,2,FALSE)*Pesi!$F$13</f>
        <v>65.226500000000001</v>
      </c>
      <c r="K66" s="155">
        <f>IF(ISNA(MATCH($B66,Pesi!$B$31:$B$34,0)),VLOOKUP(Pesi!$B$33,TabAlgDif,10,FALSE)-((VLOOKUP(Pesi!$B$33,TabAlgDif,9,FALSE)-$J66)/(VLOOKUP(Pesi!$B$33,TabAlgDif,9,FALSE)-Pesi!$C$43))*VLOOKUP(Pesi!$B$33,TabAlgDif,10,FALSE),Pesi!$F$33*Pesi!$C$28)</f>
        <v>2.5347641247252213</v>
      </c>
      <c r="L66" s="155">
        <f t="shared" ref="L66:L97" si="6">IF(K66&lt;=1,1,K66)</f>
        <v>2.5347641247252213</v>
      </c>
      <c r="M66" s="160">
        <f>$D66*Pesi!$H$5+Pesi!$H$6*$E66+$F66*Pesi!$H$7+Pesi!$H$8*$G66+$H66*Pesi!$H$9+Pesi!$H$10*$I66+VLOOKUP($C66,TabAlgSqu,2,FALSE)*Pesi!$H$11+Pesi!$H$12*VLOOKUP($C66,TabAlgFC,2,FALSE)+VLOOKUP($C66,TabAlgAll,2,FALSE)*Pesi!$H$13</f>
        <v>67.976500000000001</v>
      </c>
      <c r="N66" s="155">
        <f>IF(ISNA(MATCH($B66,Pesi!$B$31:$B$34,0)),VLOOKUP(Pesi!$B$33,TabAlgDif,13,FALSE)-((VLOOKUP(Pesi!$B$33,TabAlgDif,12,FALSE)-$M66)/(VLOOKUP(Pesi!$B$33,TabAlgDif,12,FALSE)-Pesi!$F$43))*VLOOKUP(Pesi!$B$33,TabAlgDif,13,FALSE),$K66*$M66/$J66)</f>
        <v>1.224572263237679</v>
      </c>
      <c r="O66" s="155">
        <f t="shared" ref="O66:O97" si="7">IF(N66&lt;=1,1,N66)</f>
        <v>1.224572263237679</v>
      </c>
      <c r="P66">
        <f t="shared" ref="P66:P97" si="8">SUM(D66:I66)</f>
        <v>39</v>
      </c>
      <c r="Q66" t="e">
        <f>VLOOKUP(B66,'C.P.'!$A$2:$B$164,2,FALSE)</f>
        <v>#N/A</v>
      </c>
      <c r="R66" t="e">
        <f>VLOOKUP(B66,'C.P.'!$C$2:$D$164,2,FALSE)</f>
        <v>#N/A</v>
      </c>
      <c r="S66" t="e">
        <f>VLOOKUP(B66,'C.P.'!$E$2:$F$164,2,FALSE)</f>
        <v>#N/A</v>
      </c>
      <c r="T66" t="e">
        <f>VLOOKUP(B66,'C.P.'!$G$2:$H$164,2,FALSE)</f>
        <v>#N/A</v>
      </c>
    </row>
    <row r="67" spans="1:21" ht="12.75" customHeight="1">
      <c r="A67">
        <f ca="1">COUNTIF('I.A. + Fasce'!B$1:'I.A. + Fasce'!B$538,B61)</f>
        <v>1</v>
      </c>
      <c r="B67" s="205" t="s">
        <v>386</v>
      </c>
      <c r="C67" s="206" t="str">
        <f>VLOOKUP(B67,'IA FG'!$B$2:$G$600,6,FALSE)</f>
        <v>CHI</v>
      </c>
      <c r="D67" s="207">
        <v>6</v>
      </c>
      <c r="E67" s="207">
        <v>9</v>
      </c>
      <c r="F67" s="207">
        <v>5</v>
      </c>
      <c r="G67" s="207">
        <v>5</v>
      </c>
      <c r="H67" s="207">
        <v>5</v>
      </c>
      <c r="I67" s="207">
        <v>7</v>
      </c>
      <c r="J67" s="159">
        <f>$D67*Pesi!$F$5+Pesi!$F$6*$E67+$F67*Pesi!$F$7+Pesi!$F$8*$G67+$H67*Pesi!$F$9+Pesi!$F$10*$I67+VLOOKUP($C67,TabAlgSqu,2,FALSE)*Pesi!$F$11+Pesi!$F$12*VLOOKUP($C67,TabAlgFC,2,FALSE)+VLOOKUP($C67,TabAlgAll,2,FALSE)*Pesi!$F$13</f>
        <v>64.979900000000001</v>
      </c>
      <c r="K67" s="155">
        <f>IF(ISNA(MATCH($B67,Pesi!$B$31:$B$34,0)),VLOOKUP(Pesi!$B$33,TabAlgDif,10,FALSE)-((VLOOKUP(Pesi!$B$33,TabAlgDif,9,FALSE)-$J67)/(VLOOKUP(Pesi!$B$33,TabAlgDif,9,FALSE)-Pesi!$D$43))*VLOOKUP(Pesi!$B$33,TabAlgDif,10,FALSE),Pesi!$F$33*Pesi!$C$28)</f>
        <v>2.4537725560182473</v>
      </c>
      <c r="L67" s="155">
        <f t="shared" si="6"/>
        <v>2.4537725560182473</v>
      </c>
      <c r="M67" s="160">
        <f>$D67*Pesi!$H$5+Pesi!$H$6*$E67+$F67*Pesi!$H$7+Pesi!$H$8*$G67+$H67*Pesi!$H$9+Pesi!$H$10*$I67+VLOOKUP($C67,TabAlgSqu,2,FALSE)*Pesi!$H$11+Pesi!$H$12*VLOOKUP($C67,TabAlgFC,2,FALSE)+VLOOKUP($C67,TabAlgAll,2,FALSE)*Pesi!$H$13</f>
        <v>67.729900000000001</v>
      </c>
      <c r="N67" s="155">
        <f>IF(ISNA(MATCH($B67,Pesi!$B$31:$B$34,0)),VLOOKUP(Pesi!$B$33,TabAlgDif,13,FALSE)-((VLOOKUP(Pesi!$B$33,TabAlgDif,12,FALSE)-$M67)/(VLOOKUP(Pesi!$B$33,TabAlgDif,12,FALSE)-Pesi!$F$43))*VLOOKUP(Pesi!$B$33,TabAlgDif,13,FALSE),$K67*$M67/$J67)</f>
        <v>0.91532544284401496</v>
      </c>
      <c r="O67" s="155">
        <f t="shared" si="7"/>
        <v>1</v>
      </c>
      <c r="P67">
        <f t="shared" si="8"/>
        <v>37</v>
      </c>
      <c r="Q67" t="e">
        <f>VLOOKUP(B67,'C.P.'!$A$2:$B$164,2,FALSE)</f>
        <v>#N/A</v>
      </c>
      <c r="R67" t="e">
        <f>VLOOKUP(C67,'C.P.'!$C$2:$C$164,2,FALSE)</f>
        <v>#N/A</v>
      </c>
      <c r="S67" t="e">
        <f>VLOOKUP(D67,'C.P.'!$E$2:$F$164,2,FALSE)</f>
        <v>#N/A</v>
      </c>
      <c r="T67" t="e">
        <f>VLOOKUP(E67,'C.P.'!$G$2:$H$164,2,FALSE)</f>
        <v>#N/A</v>
      </c>
      <c r="U67" s="156"/>
    </row>
    <row r="68" spans="1:21" ht="12.75" customHeight="1">
      <c r="A68">
        <f ca="1">COUNTIF('I.A. + Fasce'!B$1:'I.A. + Fasce'!B$538,B62)</f>
        <v>1</v>
      </c>
      <c r="B68" s="205" t="s">
        <v>505</v>
      </c>
      <c r="C68" s="206" t="str">
        <f>VLOOKUP(B68,'IA FG'!$B$2:$G$600,6,FALSE)</f>
        <v>BOL</v>
      </c>
      <c r="D68" s="207">
        <v>8</v>
      </c>
      <c r="E68" s="207">
        <v>8</v>
      </c>
      <c r="F68" s="207">
        <v>6</v>
      </c>
      <c r="G68" s="207">
        <v>6</v>
      </c>
      <c r="H68" s="207">
        <v>5</v>
      </c>
      <c r="I68" s="207">
        <v>6</v>
      </c>
      <c r="J68" s="159">
        <f>$D68*Pesi!$F$5+Pesi!$F$6*$E68+$F68*Pesi!$F$7+Pesi!$F$8*$G68+$H68*Pesi!$F$9+Pesi!$F$10*$I68+VLOOKUP($C68,TabAlgSqu,2,FALSE)*Pesi!$F$11+Pesi!$F$12*VLOOKUP($C68,TabAlgFC,2,FALSE)+VLOOKUP($C68,TabAlgAll,2,FALSE)*Pesi!$F$13</f>
        <v>64.786199999999994</v>
      </c>
      <c r="K68" s="155">
        <f>IF(ISNA(MATCH($B68,Pesi!$B$31:$B$34,0)),VLOOKUP(Pesi!$B$33,TabAlgDif,10,FALSE)-((VLOOKUP(Pesi!$B$33,TabAlgDif,9,FALSE)-$J68)/(VLOOKUP(Pesi!$B$33,TabAlgDif,9,FALSE)-Pesi!$D$43))*VLOOKUP(Pesi!$B$33,TabAlgDif,10,FALSE),Pesi!$F$33*Pesi!$C$28)</f>
        <v>2.2137120761451463</v>
      </c>
      <c r="L68" s="155">
        <f t="shared" si="6"/>
        <v>2.2137120761451463</v>
      </c>
      <c r="M68" s="160">
        <f>$D68*Pesi!$H$5+Pesi!$H$6*$E68+$F68*Pesi!$H$7+Pesi!$H$8*$G68+$H68*Pesi!$H$9+Pesi!$H$10*$I68+VLOOKUP($C68,TabAlgSqu,2,FALSE)*Pesi!$H$11+Pesi!$H$12*VLOOKUP($C68,TabAlgFC,2,FALSE)+VLOOKUP($C68,TabAlgAll,2,FALSE)*Pesi!$H$13</f>
        <v>68.086199999999991</v>
      </c>
      <c r="N68" s="155">
        <f>IF(ISNA(MATCH($B68,Pesi!$B$31:$B$34,0)),VLOOKUP(Pesi!$B$33,TabAlgDif,13,FALSE)-((VLOOKUP(Pesi!$B$33,TabAlgDif,12,FALSE)-$M68)/(VLOOKUP(Pesi!$B$33,TabAlgDif,12,FALSE)-Pesi!$F$43))*VLOOKUP(Pesi!$B$33,TabAlgDif,13,FALSE),$K68*$M68/$J68)</f>
        <v>1.3621406987493643</v>
      </c>
      <c r="O68" s="155">
        <f t="shared" si="7"/>
        <v>1.3621406987493643</v>
      </c>
      <c r="P68">
        <f t="shared" si="8"/>
        <v>39</v>
      </c>
      <c r="Q68" t="e">
        <f>VLOOKUP(B68,'C.P.'!$A$2:$B$164,2,FALSE)</f>
        <v>#N/A</v>
      </c>
      <c r="R68" t="e">
        <f>VLOOKUP(C68,'C.P.'!$C$2:$C$164,2,FALSE)</f>
        <v>#N/A</v>
      </c>
      <c r="S68" t="e">
        <f>VLOOKUP(D68,'C.P.'!$E$2:$F$164,2,FALSE)</f>
        <v>#N/A</v>
      </c>
      <c r="T68" t="e">
        <f>VLOOKUP(E68,'C.P.'!$G$2:$H$164,2,FALSE)</f>
        <v>#N/A</v>
      </c>
    </row>
    <row r="69" spans="1:21">
      <c r="A69">
        <f ca="1">COUNTIF('I.A. + Fasce'!B$1:'I.A. + Fasce'!B$538,B66)</f>
        <v>1</v>
      </c>
      <c r="B69" s="205" t="s">
        <v>544</v>
      </c>
      <c r="C69" s="206" t="str">
        <f>VLOOKUP(B69,'IA FG'!$B$2:$G$600,6,FALSE)</f>
        <v>CRO</v>
      </c>
      <c r="D69" s="207">
        <v>7</v>
      </c>
      <c r="E69" s="207">
        <v>7</v>
      </c>
      <c r="F69" s="207">
        <v>6</v>
      </c>
      <c r="G69" s="207">
        <v>7</v>
      </c>
      <c r="H69" s="207">
        <v>5</v>
      </c>
      <c r="I69" s="207">
        <v>7</v>
      </c>
      <c r="J69" s="159">
        <f>$D69*Pesi!$F$5+Pesi!$F$6*$E69+$F69*Pesi!$F$7+Pesi!$F$8*$G69+$H69*Pesi!$F$9+Pesi!$F$10*$I69+VLOOKUP($C69,TabAlgSqu,2,FALSE)*Pesi!$F$11+Pesi!$F$12*VLOOKUP($C69,TabAlgFC,2,FALSE)+VLOOKUP($C69,TabAlgAll,2,FALSE)*Pesi!$F$13</f>
        <v>64.654700000000005</v>
      </c>
      <c r="K69" s="155">
        <f>IF(ISNA(MATCH($B69,Pesi!$B$31:$B$34,0)),VLOOKUP(Pesi!$B$33,TabAlgDif,10,FALSE)-((VLOOKUP(Pesi!$B$33,TabAlgDif,9,FALSE)-$J69)/(VLOOKUP(Pesi!$B$33,TabAlgDif,9,FALSE)-Pesi!$D$43))*VLOOKUP(Pesi!$B$33,TabAlgDif,10,FALSE),Pesi!$F$33*Pesi!$C$28)</f>
        <v>2.0507386476303857</v>
      </c>
      <c r="L69" s="155">
        <f t="shared" si="6"/>
        <v>2.0507386476303857</v>
      </c>
      <c r="M69" s="160">
        <f>$D69*Pesi!$H$5+Pesi!$H$6*$E69+$F69*Pesi!$H$7+Pesi!$H$8*$G69+$H69*Pesi!$H$9+Pesi!$H$10*$I69+VLOOKUP($C69,TabAlgSqu,2,FALSE)*Pesi!$H$11+Pesi!$H$12*VLOOKUP($C69,TabAlgFC,2,FALSE)+VLOOKUP($C69,TabAlgAll,2,FALSE)*Pesi!$H$13</f>
        <v>67.954700000000003</v>
      </c>
      <c r="N69" s="155">
        <f>IF(ISNA(MATCH($B69,Pesi!$B$31:$B$34,0)),VLOOKUP(Pesi!$B$33,TabAlgDif,13,FALSE)-((VLOOKUP(Pesi!$B$33,TabAlgDif,12,FALSE)-$M69)/(VLOOKUP(Pesi!$B$33,TabAlgDif,12,FALSE)-Pesi!$F$43))*VLOOKUP(Pesi!$B$33,TabAlgDif,13,FALSE),$K69*$M69/$J69)</f>
        <v>1.1972341420512187</v>
      </c>
      <c r="O69" s="155">
        <f t="shared" si="7"/>
        <v>1.1972341420512187</v>
      </c>
      <c r="P69">
        <f t="shared" si="8"/>
        <v>39</v>
      </c>
      <c r="Q69" t="e">
        <f>VLOOKUP(B69,'C.P.'!$A$2:$B$164,2,FALSE)</f>
        <v>#N/A</v>
      </c>
      <c r="R69" t="e">
        <f>VLOOKUP(C69,'C.P.'!$C$2:$C$164,2,FALSE)</f>
        <v>#N/A</v>
      </c>
      <c r="S69" t="e">
        <f>VLOOKUP(D69,'C.P.'!$E$2:$F$164,2,FALSE)</f>
        <v>#N/A</v>
      </c>
      <c r="T69" t="e">
        <f>VLOOKUP(E69,'C.P.'!$G$2:$H$164,2,FALSE)</f>
        <v>#N/A</v>
      </c>
    </row>
    <row r="70" spans="1:21">
      <c r="A70">
        <f ca="1">COUNTIF('I.A. + Fasce'!B$1:'I.A. + Fasce'!B$538,B66)</f>
        <v>1</v>
      </c>
      <c r="B70" s="205" t="s">
        <v>321</v>
      </c>
      <c r="C70" s="206" t="str">
        <f>VLOOKUP(B70,'IA FG'!$B$2:$G$600,6,FALSE)</f>
        <v>UDI</v>
      </c>
      <c r="D70" s="207">
        <v>8</v>
      </c>
      <c r="E70" s="207">
        <v>6</v>
      </c>
      <c r="F70" s="207">
        <v>5</v>
      </c>
      <c r="G70" s="207">
        <v>8</v>
      </c>
      <c r="H70" s="207">
        <v>5</v>
      </c>
      <c r="I70" s="207">
        <v>6</v>
      </c>
      <c r="J70" s="159">
        <f>$D70*Pesi!$F$5+Pesi!$F$6*$E70+$F70*Pesi!$F$7+Pesi!$F$8*$G70+$H70*Pesi!$F$9+Pesi!$F$10*$I70+VLOOKUP($C70,TabAlgSqu,2,FALSE)*Pesi!$F$11+Pesi!$F$12*VLOOKUP($C70,TabAlgFC,2,FALSE)+VLOOKUP($C70,TabAlgAll,2,FALSE)*Pesi!$F$13</f>
        <v>64.652200000000008</v>
      </c>
      <c r="K70" s="155">
        <f>IF(ISNA(MATCH($B70,Pesi!$B$31:$B$34,0)),VLOOKUP(Pesi!$B$33,TabAlgDif,10,FALSE)-((VLOOKUP(Pesi!$B$33,TabAlgDif,9,FALSE)-$J70)/(VLOOKUP(Pesi!$B$33,TabAlgDif,9,FALSE)-Pesi!$D$43))*VLOOKUP(Pesi!$B$33,TabAlgDif,10,FALSE),Pesi!$F$33*Pesi!$C$28)</f>
        <v>2.0476402934761175</v>
      </c>
      <c r="L70" s="155">
        <f t="shared" si="6"/>
        <v>2.0476402934761175</v>
      </c>
      <c r="M70" s="160">
        <f>$D70*Pesi!$H$5+Pesi!$H$6*$E70+$F70*Pesi!$H$7+Pesi!$H$8*$G70+$H70*Pesi!$H$9+Pesi!$H$10*$I70+VLOOKUP($C70,TabAlgSqu,2,FALSE)*Pesi!$H$11+Pesi!$H$12*VLOOKUP($C70,TabAlgFC,2,FALSE)+VLOOKUP($C70,TabAlgAll,2,FALSE)*Pesi!$H$13</f>
        <v>67.402200000000008</v>
      </c>
      <c r="N70" s="155">
        <f>IF(ISNA(MATCH($B70,Pesi!$B$31:$B$34,0)),VLOOKUP(Pesi!$B$33,TabAlgDif,13,FALSE)-((VLOOKUP(Pesi!$B$33,TabAlgDif,12,FALSE)-$M70)/(VLOOKUP(Pesi!$B$33,TabAlgDif,12,FALSE)-Pesi!$F$43))*VLOOKUP(Pesi!$B$33,TabAlgDif,13,FALSE),$K70*$M70/$J70)</f>
        <v>0.50437579546769129</v>
      </c>
      <c r="O70" s="155">
        <f t="shared" si="7"/>
        <v>1</v>
      </c>
      <c r="P70">
        <f t="shared" si="8"/>
        <v>38</v>
      </c>
      <c r="Q70">
        <f>VLOOKUP(B70,'C.P.'!$A$2:$B$164,2,FALSE)</f>
        <v>-1</v>
      </c>
      <c r="R70" t="e">
        <f>VLOOKUP(C70,'C.P.'!$C$2:$C$164,2,FALSE)</f>
        <v>#N/A</v>
      </c>
      <c r="S70" t="e">
        <f>VLOOKUP(D70,'C.P.'!$E$2:$F$164,2,FALSE)</f>
        <v>#N/A</v>
      </c>
      <c r="T70" t="e">
        <f>VLOOKUP(E70,'C.P.'!$G$2:$H$164,2,FALSE)</f>
        <v>#N/A</v>
      </c>
    </row>
    <row r="71" spans="1:21">
      <c r="A71">
        <f ca="1">COUNTIF('I.A. + Fasce'!B$1:'I.A. + Fasce'!B$538,B67)</f>
        <v>1</v>
      </c>
      <c r="B71" s="205" t="s">
        <v>1709</v>
      </c>
      <c r="C71" s="206" t="str">
        <f>VLOOKUP(B71,'IA FG'!$B$2:$G$600,6,FALSE)</f>
        <v>TOR</v>
      </c>
      <c r="D71" s="207">
        <v>8</v>
      </c>
      <c r="E71" s="207">
        <v>7</v>
      </c>
      <c r="F71" s="207">
        <v>6</v>
      </c>
      <c r="G71" s="207">
        <v>5</v>
      </c>
      <c r="H71" s="207">
        <v>6</v>
      </c>
      <c r="I71" s="207">
        <v>7</v>
      </c>
      <c r="J71" s="159">
        <f>$D71*Pesi!$F$5+Pesi!$F$6*$E71+$F71*Pesi!$F$7+Pesi!$F$8*$G71+$H71*Pesi!$F$9+Pesi!$F$10*$I71+VLOOKUP($C71,TabAlgSqu,2,FALSE)*Pesi!$F$11+Pesi!$F$12*VLOOKUP($C71,TabAlgFC,2,FALSE)+VLOOKUP($C71,TabAlgAll,2,FALSE)*Pesi!$F$13</f>
        <v>64.618300000000005</v>
      </c>
      <c r="K71" s="155">
        <f>IF(ISNA(MATCH($B71,Pesi!$B$31:$B$34,0)),VLOOKUP(Pesi!$B$33,TabAlgDif,10,FALSE)-((VLOOKUP(Pesi!$B$33,TabAlgDif,9,FALSE)-$J71)/(VLOOKUP(Pesi!$B$33,TabAlgDif,9,FALSE)-Pesi!$D$43))*VLOOKUP(Pesi!$B$33,TabAlgDif,10,FALSE),Pesi!$F$33*Pesi!$C$28)</f>
        <v>2.0056266111441694</v>
      </c>
      <c r="L71" s="155">
        <f t="shared" si="6"/>
        <v>2.0056266111441694</v>
      </c>
      <c r="M71" s="160">
        <f>$D71*Pesi!$H$5+Pesi!$H$6*$E71+$F71*Pesi!$H$7+Pesi!$H$8*$G71+$H71*Pesi!$H$9+Pesi!$H$10*$I71+VLOOKUP($C71,TabAlgSqu,2,FALSE)*Pesi!$H$11+Pesi!$H$12*VLOOKUP($C71,TabAlgFC,2,FALSE)+VLOOKUP($C71,TabAlgAll,2,FALSE)*Pesi!$H$13</f>
        <v>67.918300000000002</v>
      </c>
      <c r="N71" s="155">
        <f>IF(ISNA(MATCH($B71,Pesi!$B$31:$B$34,0)),VLOOKUP(Pesi!$B$33,TabAlgDif,13,FALSE)-((VLOOKUP(Pesi!$B$33,TabAlgDif,12,FALSE)-$M71)/(VLOOKUP(Pesi!$B$33,TabAlgDif,12,FALSE)-Pesi!$F$43))*VLOOKUP(Pesi!$B$33,TabAlgDif,13,FALSE),$K71*$M71/$J71)</f>
        <v>1.1515870039233604</v>
      </c>
      <c r="O71" s="155">
        <f t="shared" si="7"/>
        <v>1.1515870039233604</v>
      </c>
      <c r="P71">
        <f t="shared" si="8"/>
        <v>39</v>
      </c>
      <c r="Q71" t="e">
        <f>VLOOKUP(B71,'C.P.'!$A$2:$B$164,2,FALSE)</f>
        <v>#N/A</v>
      </c>
      <c r="R71" t="e">
        <f>VLOOKUP(C71,'C.P.'!$C$2:$C$164,2,FALSE)</f>
        <v>#N/A</v>
      </c>
      <c r="S71" t="e">
        <f>VLOOKUP(D71,'C.P.'!$E$2:$F$164,2,FALSE)</f>
        <v>#N/A</v>
      </c>
      <c r="T71" t="e">
        <f>VLOOKUP(E71,'C.P.'!$G$2:$H$164,2,FALSE)</f>
        <v>#N/A</v>
      </c>
    </row>
    <row r="72" spans="1:21">
      <c r="A72">
        <f ca="1">COUNTIF('I.A. + Fasce'!B$1:'I.A. + Fasce'!B$538,#REF!)</f>
        <v>0</v>
      </c>
      <c r="B72" s="205" t="s">
        <v>1337</v>
      </c>
      <c r="C72" s="206" t="str">
        <f>VLOOKUP(B72,'IA FG'!$B$2:$G$600,6,FALSE)</f>
        <v>GEN</v>
      </c>
      <c r="D72" s="207">
        <v>8</v>
      </c>
      <c r="E72" s="207">
        <v>7</v>
      </c>
      <c r="F72" s="207">
        <v>6</v>
      </c>
      <c r="G72" s="207">
        <v>6</v>
      </c>
      <c r="H72" s="207">
        <v>5</v>
      </c>
      <c r="I72" s="207">
        <v>7</v>
      </c>
      <c r="J72" s="159">
        <f>$D72*Pesi!$F$5+Pesi!$F$6*$E72+$F72*Pesi!$F$7+Pesi!$F$8*$G72+$H72*Pesi!$F$9+Pesi!$F$10*$I72+VLOOKUP($C72,TabAlgSqu,2,FALSE)*Pesi!$F$11+Pesi!$F$12*VLOOKUP($C72,TabAlgFC,2,FALSE)+VLOOKUP($C72,TabAlgAll,2,FALSE)*Pesi!$F$13</f>
        <v>64.581000000000003</v>
      </c>
      <c r="K72" s="155">
        <f>IF(ISNA(MATCH($B72,Pesi!$B$31:$B$34,0)),VLOOKUP(Pesi!$B$33,TabAlgDif,10,FALSE)-((VLOOKUP(Pesi!$B$33,TabAlgDif,9,FALSE)-$J72)/(VLOOKUP(Pesi!$B$33,TabAlgDif,9,FALSE)-Pesi!$C$43))*VLOOKUP(Pesi!$B$33,TabAlgDif,10,FALSE),Pesi!$F$33*Pesi!$C$28)</f>
        <v>1.7266891333630454</v>
      </c>
      <c r="L72" s="155">
        <f t="shared" si="6"/>
        <v>1.7266891333630454</v>
      </c>
      <c r="M72" s="160">
        <f>$D72*Pesi!$H$5+Pesi!$H$6*$E72+$F72*Pesi!$H$7+Pesi!$H$8*$G72+$H72*Pesi!$H$9+Pesi!$H$10*$I72+VLOOKUP($C72,TabAlgSqu,2,FALSE)*Pesi!$H$11+Pesi!$H$12*VLOOKUP($C72,TabAlgFC,2,FALSE)+VLOOKUP($C72,TabAlgAll,2,FALSE)*Pesi!$H$13</f>
        <v>67.881</v>
      </c>
      <c r="N72" s="155">
        <f>IF(ISNA(MATCH($B72,Pesi!$B$31:$B$34,0)),VLOOKUP(Pesi!$B$33,TabAlgDif,13,FALSE)-((VLOOKUP(Pesi!$B$33,TabAlgDif,12,FALSE)-$M72)/(VLOOKUP(Pesi!$B$33,TabAlgDif,12,FALSE)-Pesi!$F$43))*VLOOKUP(Pesi!$B$33,TabAlgDif,13,FALSE),$K72*$M72/$J72)</f>
        <v>1.1048112277648663</v>
      </c>
      <c r="O72" s="155">
        <f t="shared" si="7"/>
        <v>1.1048112277648663</v>
      </c>
      <c r="P72">
        <f t="shared" si="8"/>
        <v>39</v>
      </c>
      <c r="Q72" t="e">
        <f>VLOOKUP(B72,'C.P.'!$A$2:$B$164,2,FALSE)</f>
        <v>#N/A</v>
      </c>
      <c r="R72" t="e">
        <f>VLOOKUP(B72,'C.P.'!$C$2:$D$164,2,FALSE)</f>
        <v>#N/A</v>
      </c>
      <c r="S72" t="e">
        <f>VLOOKUP(B72,'C.P.'!$E$2:$F$164,2,FALSE)</f>
        <v>#N/A</v>
      </c>
      <c r="T72" t="e">
        <f>VLOOKUP(B72,'C.P.'!$G$2:$H$164,2,FALSE)</f>
        <v>#N/A</v>
      </c>
    </row>
    <row r="73" spans="1:21">
      <c r="B73" s="205" t="s">
        <v>1281</v>
      </c>
      <c r="C73" s="206" t="str">
        <f>VLOOKUP(B73,'IA FG'!$B$2:$G$600,6,FALSE)</f>
        <v>MIL</v>
      </c>
      <c r="D73" s="207">
        <v>8</v>
      </c>
      <c r="E73" s="207">
        <v>5</v>
      </c>
      <c r="F73" s="207">
        <v>6</v>
      </c>
      <c r="G73" s="207">
        <v>7</v>
      </c>
      <c r="H73" s="207">
        <v>6</v>
      </c>
      <c r="I73" s="207">
        <v>5</v>
      </c>
      <c r="J73" s="159">
        <f>$D73*Pesi!$F$5+Pesi!$F$6*$E73+$F73*Pesi!$F$7+Pesi!$F$8*$G73+$H73*Pesi!$F$9+Pesi!$F$10*$I73+VLOOKUP($C73,TabAlgSqu,2,FALSE)*Pesi!$F$11+Pesi!$F$12*VLOOKUP($C73,TabAlgFC,2,FALSE)+VLOOKUP($C73,TabAlgAll,2,FALSE)*Pesi!$F$13</f>
        <v>64.426200000000009</v>
      </c>
      <c r="K73" s="155">
        <f>IF(ISNA(MATCH($B73,Pesi!$B$31:$B$34,0)),VLOOKUP(Pesi!$B$33,TabAlgDif,10,FALSE)-((VLOOKUP(Pesi!$B$33,TabAlgDif,9,FALSE)-$J73)/(VLOOKUP(Pesi!$B$33,TabAlgDif,9,FALSE)-Pesi!$D$43))*VLOOKUP(Pesi!$B$33,TabAlgDif,10,FALSE),Pesi!$F$33*Pesi!$C$28)</f>
        <v>1.767549077929818</v>
      </c>
      <c r="L73" s="155">
        <f t="shared" si="6"/>
        <v>1.767549077929818</v>
      </c>
      <c r="M73" s="160">
        <f>$D73*Pesi!$H$5+Pesi!$H$6*$E73+$F73*Pesi!$H$7+Pesi!$H$8*$G73+$H73*Pesi!$H$9+Pesi!$H$10*$I73+VLOOKUP($C73,TabAlgSqu,2,FALSE)*Pesi!$H$11+Pesi!$H$12*VLOOKUP($C73,TabAlgFC,2,FALSE)+VLOOKUP($C73,TabAlgAll,2,FALSE)*Pesi!$H$13</f>
        <v>67.726199999999992</v>
      </c>
      <c r="N73" s="155">
        <f>IF(ISNA(MATCH($B73,Pesi!$B$31:$B$34,0)),VLOOKUP(Pesi!$B$33,TabAlgDif,13,FALSE)-((VLOOKUP(Pesi!$B$33,TabAlgDif,12,FALSE)-$M73)/(VLOOKUP(Pesi!$B$33,TabAlgDif,12,FALSE)-Pesi!$F$43))*VLOOKUP(Pesi!$B$33,TabAlgDif,13,FALSE),$K73*$M73/$J73)</f>
        <v>0.91068548649584358</v>
      </c>
      <c r="O73" s="155">
        <f t="shared" si="7"/>
        <v>1</v>
      </c>
      <c r="P73">
        <f t="shared" si="8"/>
        <v>37</v>
      </c>
      <c r="Q73" t="e">
        <f>VLOOKUP(B73,'C.P.'!$A$2:$B$164,2,FALSE)</f>
        <v>#N/A</v>
      </c>
      <c r="R73" t="e">
        <f>VLOOKUP(B73,'C.P.'!$C$2:$D$164,2,FALSE)</f>
        <v>#N/A</v>
      </c>
      <c r="S73" t="e">
        <f>VLOOKUP(B73,'C.P.'!$E$2:$F$164,2,FALSE)</f>
        <v>#N/A</v>
      </c>
      <c r="T73" t="e">
        <f>VLOOKUP(B73,'C.P.'!$G$2:$H$164,2,FALSE)</f>
        <v>#N/A</v>
      </c>
    </row>
    <row r="74" spans="1:21" ht="12.75" customHeight="1">
      <c r="A74">
        <f ca="1">COUNTIF('I.A. + Fasce'!B$1:'I.A. + Fasce'!B$538,B69)</f>
        <v>1</v>
      </c>
      <c r="B74" s="444" t="s">
        <v>572</v>
      </c>
      <c r="C74" s="206" t="str">
        <f>VLOOKUP(B74,'IA FG'!$B$2:$G$600,6,FALSE)</f>
        <v>CAG</v>
      </c>
      <c r="D74" s="207">
        <v>8</v>
      </c>
      <c r="E74" s="207">
        <v>7</v>
      </c>
      <c r="F74" s="207">
        <v>6</v>
      </c>
      <c r="G74" s="207">
        <v>6</v>
      </c>
      <c r="H74" s="207">
        <v>6</v>
      </c>
      <c r="I74" s="207">
        <v>6</v>
      </c>
      <c r="J74" s="159">
        <f>$D74*Pesi!$F$5+Pesi!$F$6*$E74+$F74*Pesi!$F$7+Pesi!$F$8*$G74+$H74*Pesi!$F$9+Pesi!$F$10*$I74+VLOOKUP($C74,TabAlgSqu,2,FALSE)*Pesi!$F$11+Pesi!$F$12*VLOOKUP($C74,TabAlgFC,2,FALSE)+VLOOKUP($C74,TabAlgAll,2,FALSE)*Pesi!$F$13</f>
        <v>64.216000000000008</v>
      </c>
      <c r="K74" s="155">
        <f>IF(ISNA(MATCH($B74,Pesi!$B$31:$B$34,0)),VLOOKUP(Pesi!$B$33,TabAlgDif,10,FALSE)-((VLOOKUP(Pesi!$B$33,TabAlgDif,9,FALSE)-$J74)/(VLOOKUP(Pesi!$B$33,TabAlgDif,9,FALSE)-Pesi!$C$43))*VLOOKUP(Pesi!$B$33,TabAlgDif,10,FALSE),Pesi!$F$33*Pesi!$C$28)</f>
        <v>1.2697605944828148</v>
      </c>
      <c r="L74" s="155">
        <f t="shared" si="6"/>
        <v>1.2697605944828148</v>
      </c>
      <c r="M74" s="160">
        <f>$D74*Pesi!$H$5+Pesi!$H$6*$E74+$F74*Pesi!$H$7+Pesi!$H$8*$G74+$H74*Pesi!$H$9+Pesi!$H$10*$I74+VLOOKUP($C74,TabAlgSqu,2,FALSE)*Pesi!$H$11+Pesi!$H$12*VLOOKUP($C74,TabAlgFC,2,FALSE)+VLOOKUP($C74,TabAlgAll,2,FALSE)*Pesi!$H$13</f>
        <v>67.516000000000005</v>
      </c>
      <c r="N74" s="155">
        <f>IF(ISNA(MATCH($B74,Pesi!$B$31:$B$34,0)),VLOOKUP(Pesi!$B$33,TabAlgDif,13,FALSE)-((VLOOKUP(Pesi!$B$33,TabAlgDif,12,FALSE)-$M74)/(VLOOKUP(Pesi!$B$33,TabAlgDif,12,FALSE)-Pesi!$F$43))*VLOOKUP(Pesi!$B$33,TabAlgDif,13,FALSE),$K74*$M74/$J74)</f>
        <v>0.64708580423005557</v>
      </c>
      <c r="O74" s="155">
        <f t="shared" si="7"/>
        <v>1</v>
      </c>
      <c r="P74">
        <f t="shared" si="8"/>
        <v>39</v>
      </c>
      <c r="Q74" t="e">
        <f>VLOOKUP(B74,'C.P.'!$A$2:$B$164,2,FALSE)</f>
        <v>#N/A</v>
      </c>
      <c r="R74" t="e">
        <f>VLOOKUP(B74,'C.P.'!$C$2:$D$164,2,FALSE)</f>
        <v>#N/A</v>
      </c>
      <c r="S74" t="e">
        <f>VLOOKUP(B74,'C.P.'!$E$2:$F$164,2,FALSE)</f>
        <v>#N/A</v>
      </c>
      <c r="T74" t="e">
        <f>VLOOKUP(B74,'C.P.'!$G$2:$H$164,2,FALSE)</f>
        <v>#N/A</v>
      </c>
    </row>
    <row r="75" spans="1:21">
      <c r="A75">
        <f ca="1">COUNTIF('I.A. + Fasce'!B$1:'I.A. + Fasce'!B$538,B70)</f>
        <v>1</v>
      </c>
      <c r="B75" s="205" t="s">
        <v>1695</v>
      </c>
      <c r="C75" s="206" t="str">
        <f>VLOOKUP(B75,'IA FG'!$B$2:$G$600,6,FALSE)</f>
        <v>FIO</v>
      </c>
      <c r="D75" s="207">
        <v>9</v>
      </c>
      <c r="E75" s="207">
        <v>7</v>
      </c>
      <c r="F75" s="207">
        <v>5</v>
      </c>
      <c r="G75" s="207">
        <v>6</v>
      </c>
      <c r="H75" s="207">
        <v>6</v>
      </c>
      <c r="I75" s="207">
        <v>5</v>
      </c>
      <c r="J75" s="159">
        <f>$D75*Pesi!$F$5+Pesi!$F$6*$E75+$F75*Pesi!$F$7+Pesi!$F$8*$G75+$H75*Pesi!$F$9+Pesi!$F$10*$I75+VLOOKUP($C75,TabAlgSqu,2,FALSE)*Pesi!$F$11+Pesi!$F$12*VLOOKUP($C75,TabAlgFC,2,FALSE)+VLOOKUP($C75,TabAlgAll,2,FALSE)*Pesi!$F$13</f>
        <v>63.976500000000009</v>
      </c>
      <c r="K75" s="155">
        <f>IF(ISNA(MATCH($B75,Pesi!$B$31:$B$34,0)),VLOOKUP(Pesi!$B$33,TabAlgDif,10,FALSE)-((VLOOKUP(Pesi!$B$33,TabAlgDif,9,FALSE)-$J75)/(VLOOKUP(Pesi!$B$33,TabAlgDif,9,FALSE)-Pesi!$D$43))*VLOOKUP(Pesi!$B$33,TabAlgDif,10,FALSE),Pesi!$F$33*Pesi!$C$28)</f>
        <v>1.210217132659146</v>
      </c>
      <c r="L75" s="155">
        <f t="shared" si="6"/>
        <v>1.210217132659146</v>
      </c>
      <c r="M75" s="160">
        <f>$D75*Pesi!$H$5+Pesi!$H$6*$E75+$F75*Pesi!$H$7+Pesi!$H$8*$G75+$H75*Pesi!$H$9+Pesi!$H$10*$I75+VLOOKUP($C75,TabAlgSqu,2,FALSE)*Pesi!$H$11+Pesi!$H$12*VLOOKUP($C75,TabAlgFC,2,FALSE)+VLOOKUP($C75,TabAlgAll,2,FALSE)*Pesi!$H$13</f>
        <v>66.726500000000001</v>
      </c>
      <c r="N75" s="155">
        <f>IF(ISNA(MATCH($B75,Pesi!$B$31:$B$34,0)),VLOOKUP(Pesi!$B$33,TabAlgDif,13,FALSE)-((VLOOKUP(Pesi!$B$33,TabAlgDif,12,FALSE)-$M75)/(VLOOKUP(Pesi!$B$33,TabAlgDif,12,FALSE)-Pesi!$F$43))*VLOOKUP(Pesi!$B$33,TabAlgDif,13,FALSE),$K75*$M75/$J75)</f>
        <v>-0.34298055708704922</v>
      </c>
      <c r="O75" s="155">
        <f t="shared" si="7"/>
        <v>1</v>
      </c>
      <c r="P75">
        <f t="shared" si="8"/>
        <v>38</v>
      </c>
      <c r="Q75" t="e">
        <f>VLOOKUP(B75,'C.P.'!$A$2:$B$164,2,FALSE)</f>
        <v>#N/A</v>
      </c>
      <c r="R75" t="e">
        <f>VLOOKUP(C75,'C.P.'!$C$2:$C$164,2,FALSE)</f>
        <v>#N/A</v>
      </c>
      <c r="S75" t="e">
        <f>VLOOKUP(D75,'C.P.'!$E$2:$F$164,2,FALSE)</f>
        <v>#N/A</v>
      </c>
      <c r="T75" t="e">
        <f>VLOOKUP(E75,'C.P.'!$G$2:$H$164,2,FALSE)</f>
        <v>#N/A</v>
      </c>
    </row>
    <row r="76" spans="1:21">
      <c r="A76">
        <f ca="1">COUNTIF('I.A. + Fasce'!B$1:'I.A. + Fasce'!B$538,B68)</f>
        <v>1</v>
      </c>
      <c r="B76" s="205" t="s">
        <v>1342</v>
      </c>
      <c r="C76" s="206" t="str">
        <f>VLOOKUP(B76,'IA FG'!$B$2:$G$600,6,FALSE)</f>
        <v>FIO</v>
      </c>
      <c r="D76" s="207">
        <v>9</v>
      </c>
      <c r="E76" s="207">
        <v>7</v>
      </c>
      <c r="F76" s="207">
        <v>5</v>
      </c>
      <c r="G76" s="207">
        <v>6</v>
      </c>
      <c r="H76" s="207">
        <v>6</v>
      </c>
      <c r="I76" s="207">
        <v>5</v>
      </c>
      <c r="J76" s="159">
        <f>$D76*Pesi!$F$5+Pesi!$F$6*$E76+$F76*Pesi!$F$7+Pesi!$F$8*$G76+$H76*Pesi!$F$9+Pesi!$F$10*$I76+VLOOKUP($C76,TabAlgSqu,2,FALSE)*Pesi!$F$11+Pesi!$F$12*VLOOKUP($C76,TabAlgFC,2,FALSE)+VLOOKUP($C76,TabAlgAll,2,FALSE)*Pesi!$F$13</f>
        <v>63.976500000000009</v>
      </c>
      <c r="K76" s="155">
        <f>IF(ISNA(MATCH($B76,Pesi!$B$31:$B$34,0)),VLOOKUP(Pesi!$B$33,TabAlgDif,10,FALSE)-((VLOOKUP(Pesi!$B$33,TabAlgDif,9,FALSE)-$J76)/(VLOOKUP(Pesi!$B$33,TabAlgDif,9,FALSE)-Pesi!$C$43))*VLOOKUP(Pesi!$B$33,TabAlgDif,10,FALSE),Pesi!$F$33*Pesi!$C$28)</f>
        <v>0.96994036143674123</v>
      </c>
      <c r="L76" s="155">
        <f t="shared" si="6"/>
        <v>1</v>
      </c>
      <c r="M76" s="160">
        <f>$D76*Pesi!$H$5+Pesi!$H$6*$E76+$F76*Pesi!$H$7+Pesi!$H$8*$G76+$H76*Pesi!$H$9+Pesi!$H$10*$I76+VLOOKUP($C76,TabAlgSqu,2,FALSE)*Pesi!$H$11+Pesi!$H$12*VLOOKUP($C76,TabAlgFC,2,FALSE)+VLOOKUP($C76,TabAlgAll,2,FALSE)*Pesi!$H$13</f>
        <v>66.726500000000001</v>
      </c>
      <c r="N76" s="155">
        <f>IF(ISNA(MATCH($B76,Pesi!$B$31:$B$34,0)),VLOOKUP(Pesi!$B$33,TabAlgDif,13,FALSE)-((VLOOKUP(Pesi!$B$33,TabAlgDif,12,FALSE)-$M76)/(VLOOKUP(Pesi!$B$33,TabAlgDif,12,FALSE)-Pesi!$F$43))*VLOOKUP(Pesi!$B$33,TabAlgDif,13,FALSE),$K76*$M76/$J76)</f>
        <v>-0.34298055708704922</v>
      </c>
      <c r="O76" s="155">
        <f t="shared" si="7"/>
        <v>1</v>
      </c>
      <c r="P76">
        <f t="shared" si="8"/>
        <v>38</v>
      </c>
      <c r="Q76" t="e">
        <f>VLOOKUP(B76,'C.P.'!$A$2:$B$164,2,FALSE)</f>
        <v>#N/A</v>
      </c>
      <c r="R76" t="e">
        <f>VLOOKUP(B76,'C.P.'!$C$2:$D$164,2,FALSE)</f>
        <v>#N/A</v>
      </c>
      <c r="S76" t="e">
        <f>VLOOKUP(B76,'C.P.'!$E$2:$F$164,2,FALSE)</f>
        <v>#N/A</v>
      </c>
      <c r="T76" t="e">
        <f>VLOOKUP(B76,'C.P.'!$G$2:$H$164,2,FALSE)</f>
        <v>#N/A</v>
      </c>
    </row>
    <row r="77" spans="1:21">
      <c r="A77">
        <f ca="1">COUNTIF('I.A. + Fasce'!B$1:'I.A. + Fasce'!B$538,B71)</f>
        <v>1</v>
      </c>
      <c r="B77" s="205" t="s">
        <v>1698</v>
      </c>
      <c r="C77" s="206" t="str">
        <f>VLOOKUP(B77,'IA FG'!$B$2:$G$600,6,FALSE)</f>
        <v>FIO</v>
      </c>
      <c r="D77" s="207">
        <v>9</v>
      </c>
      <c r="E77" s="207">
        <v>5</v>
      </c>
      <c r="F77" s="207">
        <v>6</v>
      </c>
      <c r="G77" s="207">
        <v>7</v>
      </c>
      <c r="H77" s="207">
        <v>6</v>
      </c>
      <c r="I77" s="207">
        <v>5</v>
      </c>
      <c r="J77" s="159">
        <f>$D77*Pesi!$F$5+Pesi!$F$6*$E77+$F77*Pesi!$F$7+Pesi!$F$8*$G77+$H77*Pesi!$F$9+Pesi!$F$10*$I77+VLOOKUP($C77,TabAlgSqu,2,FALSE)*Pesi!$F$11+Pesi!$F$12*VLOOKUP($C77,TabAlgFC,2,FALSE)+VLOOKUP($C77,TabAlgAll,2,FALSE)*Pesi!$F$13</f>
        <v>63.964000000000006</v>
      </c>
      <c r="K77" s="155">
        <f>IF(ISNA(MATCH($B77,Pesi!$B$31:$B$34,0)),VLOOKUP(Pesi!$B$33,TabAlgDif,10,FALSE)-((VLOOKUP(Pesi!$B$33,TabAlgDif,9,FALSE)-$J77)/(VLOOKUP(Pesi!$B$33,TabAlgDif,9,FALSE)-Pesi!$C$43))*VLOOKUP(Pesi!$B$33,TabAlgDif,10,FALSE),Pesi!$F$33*Pesi!$C$28)</f>
        <v>0.95429212380385309</v>
      </c>
      <c r="L77" s="155">
        <f t="shared" si="6"/>
        <v>1</v>
      </c>
      <c r="M77" s="160">
        <f>$D77*Pesi!$H$5+Pesi!$H$6*$E77+$F77*Pesi!$H$7+Pesi!$H$8*$G77+$H77*Pesi!$H$9+Pesi!$H$10*$I77+VLOOKUP($C77,TabAlgSqu,2,FALSE)*Pesi!$H$11+Pesi!$H$12*VLOOKUP($C77,TabAlgFC,2,FALSE)+VLOOKUP($C77,TabAlgAll,2,FALSE)*Pesi!$H$13</f>
        <v>67.263999999999996</v>
      </c>
      <c r="N77" s="155">
        <f>IF(ISNA(MATCH($B77,Pesi!$B$31:$B$34,0)),VLOOKUP(Pesi!$B$33,TabAlgDif,13,FALSE)-((VLOOKUP(Pesi!$B$33,TabAlgDif,12,FALSE)-$M77)/(VLOOKUP(Pesi!$B$33,TabAlgDif,12,FALSE)-Pesi!$F$43))*VLOOKUP(Pesi!$B$33,TabAlgDif,13,FALSE),$K77*$M77/$J77)</f>
        <v>0.33106715565257971</v>
      </c>
      <c r="O77" s="155">
        <f t="shared" si="7"/>
        <v>1</v>
      </c>
      <c r="P77">
        <f t="shared" si="8"/>
        <v>38</v>
      </c>
      <c r="Q77" t="e">
        <f>VLOOKUP(B77,'C.P.'!$A$2:$B$164,2,FALSE)</f>
        <v>#N/A</v>
      </c>
      <c r="R77" t="e">
        <f>VLOOKUP(B77,'C.P.'!$C$2:$D$164,2,FALSE)</f>
        <v>#N/A</v>
      </c>
      <c r="S77" t="e">
        <f>VLOOKUP(B77,'C.P.'!$E$2:$F$164,2,FALSE)</f>
        <v>#N/A</v>
      </c>
      <c r="T77" t="e">
        <f>VLOOKUP(B77,'C.P.'!$G$2:$H$164,2,FALSE)</f>
        <v>#N/A</v>
      </c>
    </row>
    <row r="78" spans="1:21">
      <c r="A78">
        <f ca="1">COUNTIF('I.A. + Fasce'!B$1:'I.A. + Fasce'!B$538,B69)</f>
        <v>1</v>
      </c>
      <c r="B78" s="205" t="s">
        <v>502</v>
      </c>
      <c r="C78" s="206" t="str">
        <f>VLOOKUP(B78,'IA FG'!$B$2:$G$600,6,FALSE)</f>
        <v>CHI</v>
      </c>
      <c r="D78" s="207">
        <v>7</v>
      </c>
      <c r="E78" s="207">
        <v>8</v>
      </c>
      <c r="F78" s="207">
        <v>6</v>
      </c>
      <c r="G78" s="207">
        <v>4</v>
      </c>
      <c r="H78" s="207">
        <v>5</v>
      </c>
      <c r="I78" s="207">
        <v>6</v>
      </c>
      <c r="J78" s="159">
        <f>$D78*Pesi!$F$5+Pesi!$F$6*$E78+$F78*Pesi!$F$7+Pesi!$F$8*$G78+$H78*Pesi!$F$9+Pesi!$F$10*$I78+VLOOKUP($C78,TabAlgSqu,2,FALSE)*Pesi!$F$11+Pesi!$F$12*VLOOKUP($C78,TabAlgFC,2,FALSE)+VLOOKUP($C78,TabAlgAll,2,FALSE)*Pesi!$F$13</f>
        <v>63.804899999999996</v>
      </c>
      <c r="K78" s="155">
        <f>IF(ISNA(MATCH($B78,Pesi!$B$31:$B$34,0)),VLOOKUP(Pesi!$B$33,TabAlgDif,10,FALSE)-((VLOOKUP(Pesi!$B$33,TabAlgDif,9,FALSE)-$J78)/(VLOOKUP(Pesi!$B$33,TabAlgDif,9,FALSE)-Pesi!$D$43))*VLOOKUP(Pesi!$B$33,TabAlgDif,10,FALSE),Pesi!$F$33*Pesi!$C$28)</f>
        <v>0.9975461035098121</v>
      </c>
      <c r="L78" s="155">
        <f t="shared" si="6"/>
        <v>1</v>
      </c>
      <c r="M78" s="160">
        <f>$D78*Pesi!$H$5+Pesi!$H$6*$E78+$F78*Pesi!$H$7+Pesi!$H$8*$G78+$H78*Pesi!$H$9+Pesi!$H$10*$I78+VLOOKUP($C78,TabAlgSqu,2,FALSE)*Pesi!$H$11+Pesi!$H$12*VLOOKUP($C78,TabAlgFC,2,FALSE)+VLOOKUP($C78,TabAlgAll,2,FALSE)*Pesi!$H$13</f>
        <v>67.104899999999986</v>
      </c>
      <c r="N78" s="155">
        <f>IF(ISNA(MATCH($B78,Pesi!$B$31:$B$34,0)),VLOOKUP(Pesi!$B$33,TabAlgDif,13,FALSE)-((VLOOKUP(Pesi!$B$33,TabAlgDif,12,FALSE)-$M78)/(VLOOKUP(Pesi!$B$33,TabAlgDif,12,FALSE)-Pesi!$F$43))*VLOOKUP(Pesi!$B$33,TabAlgDif,13,FALSE),$K78*$M78/$J78)</f>
        <v>0.13154903268163309</v>
      </c>
      <c r="O78" s="155">
        <f t="shared" si="7"/>
        <v>1</v>
      </c>
      <c r="P78">
        <f t="shared" si="8"/>
        <v>36</v>
      </c>
      <c r="Q78" t="e">
        <f>VLOOKUP(B78,'C.P.'!$A$2:$B$164,2,FALSE)</f>
        <v>#N/A</v>
      </c>
      <c r="R78" t="e">
        <f>VLOOKUP(C78,'C.P.'!$C$2:$C$164,2,FALSE)</f>
        <v>#N/A</v>
      </c>
      <c r="S78" t="e">
        <f>VLOOKUP(D78,'C.P.'!$E$2:$F$164,2,FALSE)</f>
        <v>#N/A</v>
      </c>
      <c r="T78" t="e">
        <f>VLOOKUP(E78,'C.P.'!$G$2:$H$164,2,FALSE)</f>
        <v>#N/A</v>
      </c>
    </row>
    <row r="79" spans="1:21" ht="15" customHeight="1">
      <c r="A79">
        <f ca="1">COUNTIF('I.A. + Fasce'!B$1:'I.A. + Fasce'!B$538,B69)</f>
        <v>1</v>
      </c>
      <c r="B79" s="203" t="s">
        <v>490</v>
      </c>
      <c r="C79" s="206" t="str">
        <f>VLOOKUP(B79,'IA FG'!$B$2:$G$600,6,FALSE)</f>
        <v>CHI</v>
      </c>
      <c r="D79" s="207">
        <v>4</v>
      </c>
      <c r="E79" s="207">
        <v>6</v>
      </c>
      <c r="F79" s="207">
        <v>7</v>
      </c>
      <c r="G79" s="207">
        <v>5</v>
      </c>
      <c r="H79" s="207">
        <v>8</v>
      </c>
      <c r="I79" s="207">
        <v>6</v>
      </c>
      <c r="J79" s="159">
        <f>$D79*Pesi!$F$5+Pesi!$F$6*$E79+$F79*Pesi!$F$7+Pesi!$F$8*$G79+$H79*Pesi!$F$9+Pesi!$F$10*$I79+VLOOKUP($C79,TabAlgSqu,2,FALSE)*Pesi!$F$11+Pesi!$F$12*VLOOKUP($C79,TabAlgFC,2,FALSE)+VLOOKUP($C79,TabAlgAll,2,FALSE)*Pesi!$F$13</f>
        <v>63.792399999999994</v>
      </c>
      <c r="K79" s="155">
        <f>IF(ISNA(MATCH($B79,Pesi!$B$31:$B$34,0)),VLOOKUP(Pesi!$B$33,TabAlgDif,10,FALSE)-((VLOOKUP(Pesi!$B$33,TabAlgDif,9,FALSE)-$J79)/(VLOOKUP(Pesi!$B$33,TabAlgDif,9,FALSE)-Pesi!$C$43))*VLOOKUP(Pesi!$B$33,TabAlgDif,10,FALSE),Pesi!$F$33*Pesi!$C$28)</f>
        <v>0.73947311757959611</v>
      </c>
      <c r="L79" s="155">
        <f t="shared" si="6"/>
        <v>1</v>
      </c>
      <c r="M79" s="160">
        <f>$D79*Pesi!$H$5+Pesi!$H$6*$E79+$F79*Pesi!$H$7+Pesi!$H$8*$G79+$H79*Pesi!$H$9+Pesi!$H$10*$I79+VLOOKUP($C79,TabAlgSqu,2,FALSE)*Pesi!$H$11+Pesi!$H$12*VLOOKUP($C79,TabAlgFC,2,FALSE)+VLOOKUP($C79,TabAlgAll,2,FALSE)*Pesi!$H$13</f>
        <v>67.642399999999981</v>
      </c>
      <c r="N79" s="155">
        <f>IF(ISNA(MATCH($B79,Pesi!$B$31:$B$34,0)),VLOOKUP(Pesi!$B$33,TabAlgDif,13,FALSE)-((VLOOKUP(Pesi!$B$33,TabAlgDif,12,FALSE)-$M79)/(VLOOKUP(Pesi!$B$33,TabAlgDif,12,FALSE)-Pesi!$F$43))*VLOOKUP(Pesi!$B$33,TabAlgDif,13,FALSE),$K79*$M79/$J79)</f>
        <v>0.80559674542125848</v>
      </c>
      <c r="O79" s="155">
        <f t="shared" si="7"/>
        <v>1</v>
      </c>
      <c r="P79">
        <f t="shared" si="8"/>
        <v>36</v>
      </c>
      <c r="Q79" t="e">
        <f>VLOOKUP(B79,'C.P.'!$A$2:$B$164,2,FALSE)</f>
        <v>#N/A</v>
      </c>
      <c r="R79" t="e">
        <f>VLOOKUP(B79,'C.P.'!$C$2:$D$164,2,FALSE)</f>
        <v>#N/A</v>
      </c>
      <c r="S79" t="e">
        <f>VLOOKUP(B79,'C.P.'!$E$2:$F$164,2,FALSE)</f>
        <v>#N/A</v>
      </c>
      <c r="T79" t="e">
        <f>VLOOKUP(B79,'C.P.'!$G$2:$H$164,2,FALSE)</f>
        <v>#N/A</v>
      </c>
    </row>
    <row r="80" spans="1:21">
      <c r="A80">
        <f ca="1">COUNTIF('I.A. + Fasce'!B$1:'I.A. + Fasce'!B$538,B74)</f>
        <v>1</v>
      </c>
      <c r="B80" s="205" t="s">
        <v>617</v>
      </c>
      <c r="C80" s="206" t="str">
        <f>VLOOKUP(B80,'IA FG'!$B$2:$G$600,6,FALSE)</f>
        <v>LAZ</v>
      </c>
      <c r="D80" s="207">
        <v>7</v>
      </c>
      <c r="E80" s="207">
        <v>6</v>
      </c>
      <c r="F80" s="207">
        <v>6</v>
      </c>
      <c r="G80" s="207">
        <v>6</v>
      </c>
      <c r="H80" s="207">
        <v>6</v>
      </c>
      <c r="I80" s="207">
        <v>6</v>
      </c>
      <c r="J80" s="159">
        <f>$D80*Pesi!$F$5+Pesi!$F$6*$E80+$F80*Pesi!$F$7+Pesi!$F$8*$G80+$H80*Pesi!$F$9+Pesi!$F$10*$I80+VLOOKUP($C80,TabAlgSqu,2,FALSE)*Pesi!$F$11+Pesi!$F$12*VLOOKUP($C80,TabAlgFC,2,FALSE)+VLOOKUP($C80,TabAlgAll,2,FALSE)*Pesi!$F$13</f>
        <v>63.647199999999998</v>
      </c>
      <c r="K80" s="155">
        <f>IF(ISNA(MATCH($B80,Pesi!$B$31:$B$34,0)),VLOOKUP(Pesi!$B$33,TabAlgDif,10,FALSE)-((VLOOKUP(Pesi!$B$33,TabAlgDif,9,FALSE)-$J80)/(VLOOKUP(Pesi!$B$33,TabAlgDif,9,FALSE)-Pesi!$D$43))*VLOOKUP(Pesi!$B$33,TabAlgDif,10,FALSE),Pesi!$F$33*Pesi!$C$28)</f>
        <v>0.80210192345825604</v>
      </c>
      <c r="L80" s="155">
        <f t="shared" si="6"/>
        <v>1</v>
      </c>
      <c r="M80" s="160">
        <f>$D80*Pesi!$H$5+Pesi!$H$6*$E80+$F80*Pesi!$H$7+Pesi!$H$8*$G80+$H80*Pesi!$H$9+Pesi!$H$10*$I80+VLOOKUP($C80,TabAlgSqu,2,FALSE)*Pesi!$H$11+Pesi!$H$12*VLOOKUP($C80,TabAlgFC,2,FALSE)+VLOOKUP($C80,TabAlgAll,2,FALSE)*Pesi!$H$13</f>
        <v>66.947199999999995</v>
      </c>
      <c r="N80" s="155">
        <f>IF(ISNA(MATCH($B80,Pesi!$B$31:$B$34,0)),VLOOKUP(Pesi!$B$33,TabAlgDif,13,FALSE)-((VLOOKUP(Pesi!$B$33,TabAlgDif,12,FALSE)-$M80)/(VLOOKUP(Pesi!$B$33,TabAlgDif,12,FALSE)-Pesi!$F$43))*VLOOKUP(Pesi!$B$33,TabAlgDif,13,FALSE),$K80*$M80/$J80)</f>
        <v>-6.6213431130520917E-2</v>
      </c>
      <c r="O80" s="155">
        <f t="shared" si="7"/>
        <v>1</v>
      </c>
      <c r="P80">
        <f t="shared" si="8"/>
        <v>37</v>
      </c>
      <c r="Q80" t="e">
        <f>VLOOKUP(B80,'C.P.'!$A$2:$B$164,2,FALSE)</f>
        <v>#N/A</v>
      </c>
      <c r="R80" t="e">
        <f>VLOOKUP(C80,'C.P.'!$C$2:$C$164,2,FALSE)</f>
        <v>#N/A</v>
      </c>
      <c r="S80" t="e">
        <f>VLOOKUP(D80,'C.P.'!$E$2:$F$164,2,FALSE)</f>
        <v>#N/A</v>
      </c>
      <c r="T80" t="e">
        <f>VLOOKUP(E80,'C.P.'!$G$2:$H$164,2,FALSE)</f>
        <v>#N/A</v>
      </c>
    </row>
    <row r="81" spans="1:21" ht="12.75" customHeight="1">
      <c r="A81">
        <f ca="1">COUNTIF('I.A. + Fasce'!B$1:'I.A. + Fasce'!B$538,B73)</f>
        <v>1</v>
      </c>
      <c r="B81" s="205" t="s">
        <v>1706</v>
      </c>
      <c r="C81" s="206" t="str">
        <f>VLOOKUP(B81,'IA FG'!$B$2:$G$600,6,FALSE)</f>
        <v>CRO</v>
      </c>
      <c r="D81" s="207">
        <v>7</v>
      </c>
      <c r="E81" s="207">
        <v>7</v>
      </c>
      <c r="F81" s="207">
        <v>6</v>
      </c>
      <c r="G81" s="207">
        <v>6</v>
      </c>
      <c r="H81" s="207">
        <v>6</v>
      </c>
      <c r="I81" s="207">
        <v>6</v>
      </c>
      <c r="J81" s="159">
        <f>$D81*Pesi!$F$5+Pesi!$F$6*$E81+$F81*Pesi!$F$7+Pesi!$F$8*$G81+$H81*Pesi!$F$9+Pesi!$F$10*$I81+VLOOKUP($C81,TabAlgSqu,2,FALSE)*Pesi!$F$11+Pesi!$F$12*VLOOKUP($C81,TabAlgFC,2,FALSE)+VLOOKUP($C81,TabAlgAll,2,FALSE)*Pesi!$F$13</f>
        <v>63.404699999999998</v>
      </c>
      <c r="K81" s="155">
        <f>IF(ISNA(MATCH($B81,Pesi!$B$31:$B$34,0)),VLOOKUP(Pesi!$B$33,TabAlgDif,10,FALSE)-((VLOOKUP(Pesi!$B$33,TabAlgDif,9,FALSE)-$J81)/(VLOOKUP(Pesi!$B$33,TabAlgDif,9,FALSE)-Pesi!$C$43))*VLOOKUP(Pesi!$B$33,TabAlgDif,10,FALSE),Pesi!$F$33*Pesi!$C$28)</f>
        <v>0.25412737915804584</v>
      </c>
      <c r="L81" s="155">
        <f t="shared" si="6"/>
        <v>1</v>
      </c>
      <c r="M81" s="160">
        <f>$D81*Pesi!$H$5+Pesi!$H$6*$E81+$F81*Pesi!$H$7+Pesi!$H$8*$G81+$H81*Pesi!$H$9+Pesi!$H$10*$I81+VLOOKUP($C81,TabAlgSqu,2,FALSE)*Pesi!$H$11+Pesi!$H$12*VLOOKUP($C81,TabAlgFC,2,FALSE)+VLOOKUP($C81,TabAlgAll,2,FALSE)*Pesi!$H$13</f>
        <v>66.704700000000003</v>
      </c>
      <c r="N81" s="155">
        <f>IF(ISNA(MATCH($B81,Pesi!$B$31:$B$34,0)),VLOOKUP(Pesi!$B$33,TabAlgDif,13,FALSE)-((VLOOKUP(Pesi!$B$33,TabAlgDif,12,FALSE)-$M81)/(VLOOKUP(Pesi!$B$33,TabAlgDif,12,FALSE)-Pesi!$F$43))*VLOOKUP(Pesi!$B$33,TabAlgDif,13,FALSE),$K81*$M81/$J81)</f>
        <v>-0.37031867827350951</v>
      </c>
      <c r="O81" s="155">
        <f t="shared" si="7"/>
        <v>1</v>
      </c>
      <c r="P81">
        <f t="shared" si="8"/>
        <v>38</v>
      </c>
      <c r="Q81">
        <f>VLOOKUP(B81,'C.P.'!$A$2:$B$164,2,FALSE)</f>
        <v>-1</v>
      </c>
      <c r="R81" t="e">
        <f>VLOOKUP(B81,'C.P.'!$C$2:$D$164,2,FALSE)</f>
        <v>#N/A</v>
      </c>
      <c r="S81" t="e">
        <f>VLOOKUP(B81,'C.P.'!$E$2:$F$164,2,FALSE)</f>
        <v>#N/A</v>
      </c>
      <c r="T81" t="e">
        <f>VLOOKUP(B81,'C.P.'!$G$2:$H$164,2,FALSE)</f>
        <v>#N/A</v>
      </c>
    </row>
    <row r="82" spans="1:21">
      <c r="A82">
        <f ca="1">COUNTIF('I.A. + Fasce'!B$1:'I.A. + Fasce'!B$538,B78)</f>
        <v>1</v>
      </c>
      <c r="B82" s="205" t="s">
        <v>554</v>
      </c>
      <c r="C82" s="206" t="str">
        <f>VLOOKUP(B82,'IA FG'!$B$2:$G$600,6,FALSE)</f>
        <v>TOR</v>
      </c>
      <c r="D82" s="207">
        <v>7</v>
      </c>
      <c r="E82" s="207">
        <v>8</v>
      </c>
      <c r="F82" s="207">
        <v>6</v>
      </c>
      <c r="G82" s="207">
        <v>5</v>
      </c>
      <c r="H82" s="207">
        <v>6</v>
      </c>
      <c r="I82" s="207">
        <v>6</v>
      </c>
      <c r="J82" s="159">
        <f>$D82*Pesi!$F$5+Pesi!$F$6*$E82+$F82*Pesi!$F$7+Pesi!$F$8*$G82+$H82*Pesi!$F$9+Pesi!$F$10*$I82+VLOOKUP($C82,TabAlgSqu,2,FALSE)*Pesi!$F$11+Pesi!$F$12*VLOOKUP($C82,TabAlgFC,2,FALSE)+VLOOKUP($C82,TabAlgAll,2,FALSE)*Pesi!$F$13</f>
        <v>63.289199999999994</v>
      </c>
      <c r="K82" s="155">
        <f>IF(ISNA(MATCH($B82,Pesi!$B$31:$B$34,0)),VLOOKUP(Pesi!$B$33,TabAlgDif,10,FALSE)-((VLOOKUP(Pesi!$B$33,TabAlgDif,9,FALSE)-$J82)/(VLOOKUP(Pesi!$B$33,TabAlgDif,9,FALSE)-Pesi!$D$43))*VLOOKUP(Pesi!$B$33,TabAlgDif,10,FALSE),Pesi!$F$33*Pesi!$C$28)</f>
        <v>0.35841760856632376</v>
      </c>
      <c r="L82" s="155">
        <f t="shared" si="6"/>
        <v>1</v>
      </c>
      <c r="M82" s="160">
        <f>$D82*Pesi!$H$5+Pesi!$H$6*$E82+$F82*Pesi!$H$7+Pesi!$H$8*$G82+$H82*Pesi!$H$9+Pesi!$H$10*$I82+VLOOKUP($C82,TabAlgSqu,2,FALSE)*Pesi!$H$11+Pesi!$H$12*VLOOKUP($C82,TabAlgFC,2,FALSE)+VLOOKUP($C82,TabAlgAll,2,FALSE)*Pesi!$H$13</f>
        <v>66.589199999999991</v>
      </c>
      <c r="N82" s="155">
        <f>IF(ISNA(MATCH($B82,Pesi!$B$31:$B$34,0)),VLOOKUP(Pesi!$B$33,TabAlgDif,13,FALSE)-((VLOOKUP(Pesi!$B$33,TabAlgDif,12,FALSE)-$M82)/(VLOOKUP(Pesi!$B$33,TabAlgDif,12,FALSE)-Pesi!$F$43))*VLOOKUP(Pesi!$B$33,TabAlgDif,13,FALSE),$K82*$M82/$J82)</f>
        <v>-0.51516055887152845</v>
      </c>
      <c r="O82" s="155">
        <f t="shared" si="7"/>
        <v>1</v>
      </c>
      <c r="P82">
        <f t="shared" si="8"/>
        <v>38</v>
      </c>
      <c r="Q82" t="e">
        <f>VLOOKUP(B82,'C.P.'!$A$2:$B$164,2,FALSE)</f>
        <v>#N/A</v>
      </c>
      <c r="R82" t="e">
        <f>VLOOKUP(C82,'C.P.'!$C$2:$C$164,2,FALSE)</f>
        <v>#N/A</v>
      </c>
      <c r="S82" t="e">
        <f>VLOOKUP(D82,'C.P.'!$E$2:$F$164,2,FALSE)</f>
        <v>#N/A</v>
      </c>
      <c r="T82" t="e">
        <f>VLOOKUP(E82,'C.P.'!$G$2:$H$164,2,FALSE)</f>
        <v>#N/A</v>
      </c>
    </row>
    <row r="83" spans="1:21">
      <c r="A83">
        <f ca="1">COUNTIF('I.A. + Fasce'!B$1:'I.A. + Fasce'!B$538,B73)</f>
        <v>1</v>
      </c>
      <c r="B83" s="205" t="s">
        <v>453</v>
      </c>
      <c r="C83" s="206" t="str">
        <f>VLOOKUP(B83,'IA FG'!$B$2:$G$600,6,FALSE)</f>
        <v>TOR</v>
      </c>
      <c r="D83" s="207">
        <v>7</v>
      </c>
      <c r="E83" s="207">
        <v>7</v>
      </c>
      <c r="F83" s="207">
        <v>6</v>
      </c>
      <c r="G83" s="207">
        <v>6</v>
      </c>
      <c r="H83" s="207">
        <v>6</v>
      </c>
      <c r="I83" s="207">
        <v>6</v>
      </c>
      <c r="J83" s="159">
        <f>$D83*Pesi!$F$5+Pesi!$F$6*$E83+$F83*Pesi!$F$7+Pesi!$F$8*$G83+$H83*Pesi!$F$9+Pesi!$F$10*$I83+VLOOKUP($C83,TabAlgSqu,2,FALSE)*Pesi!$F$11+Pesi!$F$12*VLOOKUP($C83,TabAlgFC,2,FALSE)+VLOOKUP($C83,TabAlgAll,2,FALSE)*Pesi!$F$13</f>
        <v>63.201700000000002</v>
      </c>
      <c r="K83" s="155">
        <f>IF(ISNA(MATCH($B83,Pesi!$B$31:$B$34,0)),VLOOKUP(Pesi!$B$33,TabAlgDif,10,FALSE)-((VLOOKUP(Pesi!$B$33,TabAlgDif,9,FALSE)-$J83)/(VLOOKUP(Pesi!$B$33,TabAlgDif,9,FALSE)-Pesi!$C$43))*VLOOKUP(Pesi!$B$33,TabAlgDif,10,FALSE),Pesi!$F$33*Pesi!$C$28)</f>
        <v>0</v>
      </c>
      <c r="L83" s="155">
        <f t="shared" si="6"/>
        <v>1</v>
      </c>
      <c r="M83" s="160">
        <f>$D83*Pesi!$H$5+Pesi!$H$6*$E83+$F83*Pesi!$H$7+Pesi!$H$8*$G83+$H83*Pesi!$H$9+Pesi!$H$10*$I83+VLOOKUP($C83,TabAlgSqu,2,FALSE)*Pesi!$H$11+Pesi!$H$12*VLOOKUP($C83,TabAlgFC,2,FALSE)+VLOOKUP($C83,TabAlgAll,2,FALSE)*Pesi!$H$13</f>
        <v>66.5017</v>
      </c>
      <c r="N83" s="155">
        <f>IF(ISNA(MATCH($B83,Pesi!$B$31:$B$34,0)),VLOOKUP(Pesi!$B$33,TabAlgDif,13,FALSE)-((VLOOKUP(Pesi!$B$33,TabAlgDif,12,FALSE)-$M83)/(VLOOKUP(Pesi!$B$33,TabAlgDif,12,FALSE)-Pesi!$F$43))*VLOOKUP(Pesi!$B$33,TabAlgDif,13,FALSE),$K83*$M83/$J83)</f>
        <v>-0.62488925629424941</v>
      </c>
      <c r="O83" s="155">
        <f t="shared" si="7"/>
        <v>1</v>
      </c>
      <c r="P83">
        <f t="shared" si="8"/>
        <v>38</v>
      </c>
      <c r="Q83" t="e">
        <f>VLOOKUP(B83,'C.P.'!$A$2:$B$164,2,FALSE)</f>
        <v>#N/A</v>
      </c>
      <c r="R83" t="e">
        <f>VLOOKUP(B83,'C.P.'!$C$2:$D$164,2,FALSE)</f>
        <v>#N/A</v>
      </c>
      <c r="S83" t="e">
        <f>VLOOKUP(B83,'C.P.'!$E$2:$F$164,2,FALSE)</f>
        <v>#N/A</v>
      </c>
      <c r="T83" t="e">
        <f>VLOOKUP(B83,'C.P.'!$G$2:$H$164,2,FALSE)</f>
        <v>#N/A</v>
      </c>
    </row>
    <row r="84" spans="1:21">
      <c r="A84">
        <f ca="1">COUNTIF('I.A. + Fasce'!B$1:'I.A. + Fasce'!B$538,B74)</f>
        <v>1</v>
      </c>
      <c r="B84" s="205" t="s">
        <v>322</v>
      </c>
      <c r="C84" s="206" t="str">
        <f>VLOOKUP(B84,'IA FG'!$B$2:$G$600,6,FALSE)</f>
        <v>TOR</v>
      </c>
      <c r="D84" s="207">
        <v>7</v>
      </c>
      <c r="E84" s="207">
        <v>7</v>
      </c>
      <c r="F84" s="207">
        <v>6</v>
      </c>
      <c r="G84" s="207">
        <v>6</v>
      </c>
      <c r="H84" s="207">
        <v>6</v>
      </c>
      <c r="I84" s="207">
        <v>6</v>
      </c>
      <c r="J84" s="159">
        <f>$D84*Pesi!$F$5+Pesi!$F$6*$E84+$F84*Pesi!$F$7+Pesi!$F$8*$G84+$H84*Pesi!$F$9+Pesi!$F$10*$I84+VLOOKUP($C84,TabAlgSqu,2,FALSE)*Pesi!$F$11+Pesi!$F$12*VLOOKUP($C84,TabAlgFC,2,FALSE)+VLOOKUP($C84,TabAlgAll,2,FALSE)*Pesi!$F$13</f>
        <v>63.201700000000002</v>
      </c>
      <c r="K84" s="155">
        <f>IF(ISNA(MATCH($B84,Pesi!$B$31:$B$34,0)),VLOOKUP(Pesi!$B$33,TabAlgDif,10,FALSE)-((VLOOKUP(Pesi!$B$33,TabAlgDif,9,FALSE)-$J84)/(VLOOKUP(Pesi!$B$33,TabAlgDif,9,FALSE)-Pesi!$D$43))*VLOOKUP(Pesi!$B$33,TabAlgDif,10,FALSE),Pesi!$F$33*Pesi!$C$28)</f>
        <v>0.24997521316677052</v>
      </c>
      <c r="L84" s="155">
        <f t="shared" si="6"/>
        <v>1</v>
      </c>
      <c r="M84" s="160">
        <f>$D84*Pesi!$H$5+Pesi!$H$6*$E84+$F84*Pesi!$H$7+Pesi!$H$8*$G84+$H84*Pesi!$H$9+Pesi!$H$10*$I84+VLOOKUP($C84,TabAlgSqu,2,FALSE)*Pesi!$H$11+Pesi!$H$12*VLOOKUP($C84,TabAlgFC,2,FALSE)+VLOOKUP($C84,TabAlgAll,2,FALSE)*Pesi!$H$13</f>
        <v>66.5017</v>
      </c>
      <c r="N84" s="155">
        <f>IF(ISNA(MATCH($B84,Pesi!$B$31:$B$34,0)),VLOOKUP(Pesi!$B$33,TabAlgDif,13,FALSE)-((VLOOKUP(Pesi!$B$33,TabAlgDif,12,FALSE)-$M84)/(VLOOKUP(Pesi!$B$33,TabAlgDif,12,FALSE)-Pesi!$F$43))*VLOOKUP(Pesi!$B$33,TabAlgDif,13,FALSE),$K84*$M84/$J84)</f>
        <v>-0.62488925629424941</v>
      </c>
      <c r="O84" s="155">
        <f t="shared" si="7"/>
        <v>1</v>
      </c>
      <c r="P84">
        <f t="shared" si="8"/>
        <v>38</v>
      </c>
      <c r="Q84" t="e">
        <f>VLOOKUP(B84,'C.P.'!$A$2:$B$164,2,FALSE)</f>
        <v>#N/A</v>
      </c>
      <c r="R84" t="e">
        <f>VLOOKUP(B84,'C.P.'!$C$2:$D$164,2,FALSE)</f>
        <v>#N/A</v>
      </c>
      <c r="S84" t="e">
        <f>VLOOKUP(B84,'C.P.'!$E$2:$F$164,2,FALSE)</f>
        <v>#N/A</v>
      </c>
      <c r="T84" t="e">
        <f>VLOOKUP(B84,'C.P.'!$G$2:$H$164,2,FALSE)</f>
        <v>#N/A</v>
      </c>
    </row>
    <row r="85" spans="1:21">
      <c r="A85">
        <f ca="1">COUNTIF('I.A. + Fasce'!B$1:'I.A. + Fasce'!B$538,B79)</f>
        <v>1</v>
      </c>
      <c r="B85" s="205" t="s">
        <v>388</v>
      </c>
      <c r="C85" s="206" t="str">
        <f>VLOOKUP(B85,'IA FG'!$B$2:$G$600,6,FALSE)</f>
        <v>MIL</v>
      </c>
      <c r="D85" s="207">
        <v>7</v>
      </c>
      <c r="E85" s="207">
        <v>6</v>
      </c>
      <c r="F85" s="207">
        <v>6</v>
      </c>
      <c r="G85" s="207">
        <v>6</v>
      </c>
      <c r="H85" s="207">
        <v>6</v>
      </c>
      <c r="I85" s="207">
        <v>5</v>
      </c>
      <c r="J85" s="159">
        <f>$D85*Pesi!$F$5+Pesi!$F$6*$E85+$F85*Pesi!$F$7+Pesi!$F$8*$G85+$H85*Pesi!$F$9+Pesi!$F$10*$I85+VLOOKUP($C85,TabAlgSqu,2,FALSE)*Pesi!$F$11+Pesi!$F$12*VLOOKUP($C85,TabAlgFC,2,FALSE)+VLOOKUP($C85,TabAlgAll,2,FALSE)*Pesi!$F$13</f>
        <v>63.180400000000013</v>
      </c>
      <c r="K85" s="155">
        <f>IF(ISNA(MATCH($B85,Pesi!$B$31:$B$34,0)),VLOOKUP(Pesi!$B$33,TabAlgDif,10,FALSE)-((VLOOKUP(Pesi!$B$33,TabAlgDif,9,FALSE)-$J85)/(VLOOKUP(Pesi!$B$33,TabAlgDif,9,FALSE)-Pesi!$D$43))*VLOOKUP(Pesi!$B$33,TabAlgDif,10,FALSE),Pesi!$F$33*Pesi!$C$28)</f>
        <v>0.22357723577237465</v>
      </c>
      <c r="L85" s="155">
        <f t="shared" si="6"/>
        <v>1</v>
      </c>
      <c r="M85" s="160">
        <f>$D85*Pesi!$H$5+Pesi!$H$6*$E85+$F85*Pesi!$H$7+Pesi!$H$8*$G85+$H85*Pesi!$H$9+Pesi!$H$10*$I85+VLOOKUP($C85,TabAlgSqu,2,FALSE)*Pesi!$H$11+Pesi!$H$12*VLOOKUP($C85,TabAlgFC,2,FALSE)+VLOOKUP($C85,TabAlgAll,2,FALSE)*Pesi!$H$13</f>
        <v>66.480399999999989</v>
      </c>
      <c r="N85" s="155">
        <f>IF(ISNA(MATCH($B85,Pesi!$B$31:$B$34,0)),VLOOKUP(Pesi!$B$33,TabAlgDif,13,FALSE)-((VLOOKUP(Pesi!$B$33,TabAlgDif,12,FALSE)-$M85)/(VLOOKUP(Pesi!$B$33,TabAlgDif,12,FALSE)-Pesi!$F$43))*VLOOKUP(Pesi!$B$33,TabAlgDif,13,FALSE),$K85*$M85/$J85)</f>
        <v>-0.65160035635259206</v>
      </c>
      <c r="O85" s="155">
        <f t="shared" si="7"/>
        <v>1</v>
      </c>
      <c r="P85">
        <f t="shared" si="8"/>
        <v>36</v>
      </c>
      <c r="Q85" t="e">
        <f>VLOOKUP(B85,'C.P.'!$A$2:$B$164,2,FALSE)</f>
        <v>#N/A</v>
      </c>
      <c r="R85" t="e">
        <f>VLOOKUP(C85,'C.P.'!$C$2:$C$164,2,FALSE)</f>
        <v>#N/A</v>
      </c>
      <c r="S85" t="e">
        <f>VLOOKUP(D85,'C.P.'!$E$2:$F$164,2,FALSE)</f>
        <v>#N/A</v>
      </c>
      <c r="T85" t="e">
        <f>VLOOKUP(E85,'C.P.'!$G$2:$H$164,2,FALSE)</f>
        <v>#N/A</v>
      </c>
    </row>
    <row r="86" spans="1:21">
      <c r="A86">
        <f ca="1">COUNTIF('I.A. + Fasce'!B$1:'I.A. + Fasce'!B$538,#REF!)</f>
        <v>0</v>
      </c>
      <c r="B86" s="205" t="s">
        <v>623</v>
      </c>
      <c r="C86" s="206" t="str">
        <f>VLOOKUP(B86,'IA FG'!$B$2:$G$600,6,FALSE)</f>
        <v>MIL</v>
      </c>
      <c r="D86" s="207">
        <v>7</v>
      </c>
      <c r="E86" s="207">
        <v>6</v>
      </c>
      <c r="F86" s="207">
        <v>6</v>
      </c>
      <c r="G86" s="207">
        <v>6</v>
      </c>
      <c r="H86" s="207">
        <v>6</v>
      </c>
      <c r="I86" s="207">
        <v>5</v>
      </c>
      <c r="J86" s="159">
        <f>$D86*Pesi!$F$5+Pesi!$F$6*$E86+$F86*Pesi!$F$7+Pesi!$F$8*$G86+$H86*Pesi!$F$9+Pesi!$F$10*$I86+VLOOKUP($C86,TabAlgSqu,2,FALSE)*Pesi!$F$11+Pesi!$F$12*VLOOKUP($C86,TabAlgFC,2,FALSE)+VLOOKUP($C86,TabAlgAll,2,FALSE)*Pesi!$F$13</f>
        <v>63.180400000000013</v>
      </c>
      <c r="K86" s="155">
        <f>IF(ISNA(MATCH($B86,Pesi!$B$31:$B$34,0)),VLOOKUP(Pesi!$B$33,TabAlgDif,10,FALSE)-((VLOOKUP(Pesi!$B$33,TabAlgDif,9,FALSE)-$J86)/(VLOOKUP(Pesi!$B$33,TabAlgDif,9,FALSE)-Pesi!$D$43))*VLOOKUP(Pesi!$B$33,TabAlgDif,10,FALSE),Pesi!$F$33*Pesi!$C$28)</f>
        <v>0.22357723577237465</v>
      </c>
      <c r="L86" s="155">
        <f t="shared" si="6"/>
        <v>1</v>
      </c>
      <c r="M86" s="160">
        <f>$D86*Pesi!$H$5+Pesi!$H$6*$E86+$F86*Pesi!$H$7+Pesi!$H$8*$G86+$H86*Pesi!$H$9+Pesi!$H$10*$I86+VLOOKUP($C86,TabAlgSqu,2,FALSE)*Pesi!$H$11+Pesi!$H$12*VLOOKUP($C86,TabAlgFC,2,FALSE)+VLOOKUP($C86,TabAlgAll,2,FALSE)*Pesi!$H$13</f>
        <v>66.480399999999989</v>
      </c>
      <c r="N86" s="155">
        <f>IF(ISNA(MATCH($B86,Pesi!$B$31:$B$34,0)),VLOOKUP(Pesi!$B$33,TabAlgDif,13,FALSE)-((VLOOKUP(Pesi!$B$33,TabAlgDif,12,FALSE)-$M86)/(VLOOKUP(Pesi!$B$33,TabAlgDif,12,FALSE)-Pesi!$F$43))*VLOOKUP(Pesi!$B$33,TabAlgDif,13,FALSE),$K86*$M86/$J86)</f>
        <v>-0.65160035635259206</v>
      </c>
      <c r="O86" s="155">
        <f t="shared" si="7"/>
        <v>1</v>
      </c>
      <c r="P86">
        <f t="shared" si="8"/>
        <v>36</v>
      </c>
      <c r="Q86" t="e">
        <f>VLOOKUP(B86,'C.P.'!$A$2:$B$164,2,FALSE)</f>
        <v>#N/A</v>
      </c>
      <c r="R86" t="e">
        <f>VLOOKUP(C86,'C.P.'!$C$2:$C$164,2,FALSE)</f>
        <v>#N/A</v>
      </c>
      <c r="S86" t="e">
        <f>VLOOKUP(D86,'C.P.'!$E$2:$F$164,2,FALSE)</f>
        <v>#N/A</v>
      </c>
      <c r="T86" t="e">
        <f>VLOOKUP(E86,'C.P.'!$G$2:$H$164,2,FALSE)</f>
        <v>#N/A</v>
      </c>
    </row>
    <row r="87" spans="1:21">
      <c r="A87">
        <f ca="1">COUNTIF('I.A. + Fasce'!B$1:'I.A. + Fasce'!B$538,B87)</f>
        <v>1</v>
      </c>
      <c r="B87" s="205" t="s">
        <v>330</v>
      </c>
      <c r="C87" s="206" t="str">
        <f>VLOOKUP(B87,'IA FG'!$B$2:$G$600,6,FALSE)</f>
        <v>MIL</v>
      </c>
      <c r="D87" s="207">
        <v>6</v>
      </c>
      <c r="E87" s="207">
        <v>5</v>
      </c>
      <c r="F87" s="207">
        <v>6</v>
      </c>
      <c r="G87" s="207">
        <v>7</v>
      </c>
      <c r="H87" s="207">
        <v>7</v>
      </c>
      <c r="I87" s="207">
        <v>5</v>
      </c>
      <c r="J87" s="159">
        <f>$D87*Pesi!$F$5+Pesi!$F$6*$E87+$F87*Pesi!$F$7+Pesi!$F$8*$G87+$H87*Pesi!$F$9+Pesi!$F$10*$I87+VLOOKUP($C87,TabAlgSqu,2,FALSE)*Pesi!$F$11+Pesi!$F$12*VLOOKUP($C87,TabAlgFC,2,FALSE)+VLOOKUP($C87,TabAlgAll,2,FALSE)*Pesi!$F$13</f>
        <v>63.092900000000007</v>
      </c>
      <c r="K87" s="155">
        <f>IF(ISNA(MATCH($B87,Pesi!$B$31:$B$34,0)),VLOOKUP(Pesi!$B$33,TabAlgDif,10,FALSE)-((VLOOKUP(Pesi!$B$33,TabAlgDif,9,FALSE)-$J87)/(VLOOKUP(Pesi!$B$33,TabAlgDif,9,FALSE)-Pesi!$D$43))*VLOOKUP(Pesi!$B$33,TabAlgDif,10,FALSE),Pesi!$F$33*Pesi!$C$28)</f>
        <v>0.11513484037280364</v>
      </c>
      <c r="L87" s="155">
        <f t="shared" si="6"/>
        <v>1</v>
      </c>
      <c r="M87" s="160">
        <f>$D87*Pesi!$H$5+Pesi!$H$6*$E87+$F87*Pesi!$H$7+Pesi!$H$8*$G87+$H87*Pesi!$H$9+Pesi!$H$10*$I87+VLOOKUP($C87,TabAlgSqu,2,FALSE)*Pesi!$H$11+Pesi!$H$12*VLOOKUP($C87,TabAlgFC,2,FALSE)+VLOOKUP($C87,TabAlgAll,2,FALSE)*Pesi!$H$13</f>
        <v>66.392899999999983</v>
      </c>
      <c r="N87" s="155">
        <f>IF(ISNA(MATCH($B87,Pesi!$B$31:$B$34,0)),VLOOKUP(Pesi!$B$33,TabAlgDif,13,FALSE)-((VLOOKUP(Pesi!$B$33,TabAlgDif,12,FALSE)-$M87)/(VLOOKUP(Pesi!$B$33,TabAlgDif,12,FALSE)-Pesi!$F$43))*VLOOKUP(Pesi!$B$33,TabAlgDif,13,FALSE),$K87*$M87/$J87)</f>
        <v>-0.76132905377533078</v>
      </c>
      <c r="O87" s="155">
        <f t="shared" si="7"/>
        <v>1</v>
      </c>
      <c r="P87">
        <f t="shared" si="8"/>
        <v>36</v>
      </c>
      <c r="Q87" t="e">
        <f>VLOOKUP(B87,'C.P.'!$A$2:$B$164,2,FALSE)</f>
        <v>#N/A</v>
      </c>
      <c r="R87" t="e">
        <f>VLOOKUP(C87,'C.P.'!$C$2:$C$164,2,FALSE)</f>
        <v>#N/A</v>
      </c>
      <c r="S87" t="e">
        <f>VLOOKUP(D87,'C.P.'!$E$2:$F$164,2,FALSE)</f>
        <v>#N/A</v>
      </c>
      <c r="T87" t="e">
        <f>VLOOKUP(E87,'C.P.'!$G$2:$H$164,2,FALSE)</f>
        <v>#N/A</v>
      </c>
      <c r="U87" s="180" t="s">
        <v>879</v>
      </c>
    </row>
    <row r="88" spans="1:21">
      <c r="A88">
        <f ca="1">COUNTIF('I.A. + Fasce'!B$1:'I.A. + Fasce'!B$538,B78)</f>
        <v>1</v>
      </c>
      <c r="B88" s="205" t="s">
        <v>467</v>
      </c>
      <c r="C88" s="206" t="str">
        <f>VLOOKUP(B88,'IA FG'!$B$2:$G$600,6,FALSE)</f>
        <v>ROM</v>
      </c>
      <c r="D88" s="207">
        <v>6</v>
      </c>
      <c r="E88" s="207">
        <v>6</v>
      </c>
      <c r="F88" s="207">
        <v>6</v>
      </c>
      <c r="G88" s="207">
        <v>6</v>
      </c>
      <c r="H88" s="207">
        <v>7</v>
      </c>
      <c r="I88" s="207">
        <v>5</v>
      </c>
      <c r="J88" s="159">
        <f>$D88*Pesi!$F$5+Pesi!$F$6*$E88+$F88*Pesi!$F$7+Pesi!$F$8*$G88+$H88*Pesi!$F$9+Pesi!$F$10*$I88+VLOOKUP($C88,TabAlgSqu,2,FALSE)*Pesi!$F$11+Pesi!$F$12*VLOOKUP($C88,TabAlgFC,2,FALSE)+VLOOKUP($C88,TabAlgAll,2,FALSE)*Pesi!$F$13</f>
        <v>62.799899999999994</v>
      </c>
      <c r="K88" s="155">
        <f>IF(ISNA(MATCH($B88,Pesi!$B$31:$B$34,0)),VLOOKUP(Pesi!$B$33,TabAlgDif,10,FALSE)-((VLOOKUP(Pesi!$B$33,TabAlgDif,9,FALSE)-$J88)/(VLOOKUP(Pesi!$B$33,TabAlgDif,9,FALSE)-Pesi!$C$43))*VLOOKUP(Pesi!$B$33,TabAlgDif,10,FALSE),Pesi!$F$33*Pesi!$C$28)</f>
        <v>-0.50299695047146287</v>
      </c>
      <c r="L88" s="155">
        <f t="shared" si="6"/>
        <v>1</v>
      </c>
      <c r="M88" s="160">
        <f>$D88*Pesi!$H$5+Pesi!$H$6*$E88+$F88*Pesi!$H$7+Pesi!$H$8*$G88+$H88*Pesi!$H$9+Pesi!$H$10*$I88+VLOOKUP($C88,TabAlgSqu,2,FALSE)*Pesi!$H$11+Pesi!$H$12*VLOOKUP($C88,TabAlgFC,2,FALSE)+VLOOKUP($C88,TabAlgAll,2,FALSE)*Pesi!$H$13</f>
        <v>66.099899999999991</v>
      </c>
      <c r="N88" s="155">
        <f>IF(ISNA(MATCH($B88,Pesi!$B$31:$B$34,0)),VLOOKUP(Pesi!$B$33,TabAlgDif,13,FALSE)-((VLOOKUP(Pesi!$B$33,TabAlgDif,12,FALSE)-$M88)/(VLOOKUP(Pesi!$B$33,TabAlgDif,12,FALSE)-Pesi!$F$43))*VLOOKUP(Pesi!$B$33,TabAlgDif,13,FALSE),$K88*$M88/$J88)</f>
        <v>-1.1287634348594437</v>
      </c>
      <c r="O88" s="155">
        <f t="shared" si="7"/>
        <v>1</v>
      </c>
      <c r="P88">
        <f t="shared" si="8"/>
        <v>36</v>
      </c>
      <c r="Q88" t="e">
        <f>VLOOKUP(B88,'C.P.'!$A$2:$B$164,2,FALSE)</f>
        <v>#N/A</v>
      </c>
      <c r="R88" t="e">
        <f>VLOOKUP(B88,'C.P.'!$C$2:$D$164,2,FALSE)</f>
        <v>#N/A</v>
      </c>
      <c r="S88" t="e">
        <f>VLOOKUP(B88,'C.P.'!$E$2:$F$164,2,FALSE)</f>
        <v>#N/A</v>
      </c>
      <c r="T88" t="e">
        <f>VLOOKUP(B88,'C.P.'!$G$2:$H$164,2,FALSE)</f>
        <v>#N/A</v>
      </c>
    </row>
    <row r="89" spans="1:21">
      <c r="A89">
        <f ca="1">COUNTIF('I.A. + Fasce'!B$1:'I.A. + Fasce'!B$538,B89)</f>
        <v>1</v>
      </c>
      <c r="B89" s="205" t="s">
        <v>602</v>
      </c>
      <c r="C89" s="206" t="str">
        <f>VLOOKUP(B89,'IA FG'!$B$2:$G$534,6,FALSE)</f>
        <v>SAM</v>
      </c>
      <c r="D89" s="207">
        <v>8</v>
      </c>
      <c r="E89" s="207">
        <v>7</v>
      </c>
      <c r="F89" s="207">
        <v>6</v>
      </c>
      <c r="G89" s="207">
        <v>4</v>
      </c>
      <c r="H89" s="207">
        <v>6</v>
      </c>
      <c r="I89" s="207">
        <v>6</v>
      </c>
      <c r="J89" s="159">
        <f>$D89*Pesi!$F$5+Pesi!$F$6*$E89+$F89*Pesi!$F$7+Pesi!$F$8*$G89+$H89*Pesi!$F$9+Pesi!$F$10*$I89+VLOOKUP($C89,TabAlgSqu,2,FALSE)*Pesi!$F$11+Pesi!$F$12*VLOOKUP($C89,TabAlgFC,2,FALSE)+VLOOKUP($C89,TabAlgAll,2,FALSE)*Pesi!$F$13</f>
        <v>62.767499999999998</v>
      </c>
      <c r="K89" s="155">
        <f>IF(ISNA(MATCH($B89,Pesi!$B$31:$B$34,0)),VLOOKUP(Pesi!$B$33,TabAlgDif,10,FALSE)-((VLOOKUP(Pesi!$B$33,TabAlgDif,9,FALSE)-$J89)/(VLOOKUP(Pesi!$B$33,TabAlgDif,9,FALSE)-Pesi!$D$43))*VLOOKUP(Pesi!$B$33,TabAlgDif,10,FALSE),Pesi!$F$33*Pesi!$C$28)</f>
        <v>-0.28814693634741673</v>
      </c>
      <c r="L89" s="155">
        <f t="shared" si="6"/>
        <v>1</v>
      </c>
      <c r="M89" s="160">
        <f>$D89*Pesi!$H$5+Pesi!$H$6*$E89+$F89*Pesi!$H$7+Pesi!$H$8*$G89+$H89*Pesi!$H$9+Pesi!$H$10*$I89+VLOOKUP($C89,TabAlgSqu,2,FALSE)*Pesi!$H$11+Pesi!$H$12*VLOOKUP($C89,TabAlgFC,2,FALSE)+VLOOKUP($C89,TabAlgAll,2,FALSE)*Pesi!$H$13</f>
        <v>66.067499999999995</v>
      </c>
      <c r="N89" s="155">
        <f>IF(ISNA(MATCH($B89,Pesi!$B$31:$B$34,0)),VLOOKUP(Pesi!$B$33,TabAlgDif,13,FALSE)-((VLOOKUP(Pesi!$B$33,TabAlgDif,12,FALSE)-$M89)/(VLOOKUP(Pesi!$B$33,TabAlgDif,12,FALSE)-Pesi!$F$43))*VLOOKUP(Pesi!$B$33,TabAlgDif,13,FALSE),$K89*$M89/$J89)</f>
        <v>-1.1693944039622508</v>
      </c>
      <c r="O89" s="155">
        <f t="shared" si="7"/>
        <v>1</v>
      </c>
      <c r="P89">
        <f t="shared" si="8"/>
        <v>37</v>
      </c>
      <c r="Q89" t="e">
        <f>VLOOKUP(B89,'C.P.'!$A$2:$B$164,2,FALSE)</f>
        <v>#N/A</v>
      </c>
      <c r="R89" t="e">
        <f>VLOOKUP(C89,'C.P.'!$C$2:$C$164,2,FALSE)</f>
        <v>#N/A</v>
      </c>
      <c r="S89" t="e">
        <f>VLOOKUP(D89,'C.P.'!$E$2:$F$164,2,FALSE)</f>
        <v>#N/A</v>
      </c>
      <c r="T89" t="e">
        <f>VLOOKUP(E89,'C.P.'!$G$2:$H$164,2,FALSE)</f>
        <v>#N/A</v>
      </c>
      <c r="U89" s="180" t="s">
        <v>876</v>
      </c>
    </row>
    <row r="90" spans="1:21">
      <c r="A90">
        <f ca="1">COUNTIF('I.A. + Fasce'!B$1:'I.A. + Fasce'!B$538,#REF!)</f>
        <v>0</v>
      </c>
      <c r="B90" s="205" t="s">
        <v>1708</v>
      </c>
      <c r="C90" s="206" t="str">
        <f>VLOOKUP(B90,'IA FG'!$B$2:$G$600,6,FALSE)</f>
        <v>VER</v>
      </c>
      <c r="D90" s="207">
        <v>4</v>
      </c>
      <c r="E90" s="207">
        <v>7</v>
      </c>
      <c r="F90" s="207">
        <v>7</v>
      </c>
      <c r="G90" s="207">
        <v>6</v>
      </c>
      <c r="H90" s="207">
        <v>7</v>
      </c>
      <c r="I90" s="207">
        <v>7</v>
      </c>
      <c r="J90" s="159">
        <f>$D90*Pesi!$F$5+Pesi!$F$6*$E90+$F90*Pesi!$F$7+Pesi!$F$8*$G90+$H90*Pesi!$F$9+Pesi!$F$10*$I90+VLOOKUP($C90,TabAlgSqu,2,FALSE)*Pesi!$F$11+Pesi!$F$12*VLOOKUP($C90,TabAlgFC,2,FALSE)+VLOOKUP($C90,TabAlgAll,2,FALSE)*Pesi!$F$13</f>
        <v>62.749899999999997</v>
      </c>
      <c r="K90" s="155">
        <f>IF(ISNA(MATCH($B90,Pesi!$B$31:$B$34,0)),VLOOKUP(Pesi!$B$33,TabAlgDif,10,FALSE)-((VLOOKUP(Pesi!$B$33,TabAlgDif,9,FALSE)-$J90)/(VLOOKUP(Pesi!$B$33,TabAlgDif,9,FALSE)-Pesi!$D$43))*VLOOKUP(Pesi!$B$33,TabAlgDif,10,FALSE),Pesi!$F$33*Pesi!$C$28)</f>
        <v>-0.3099593495935018</v>
      </c>
      <c r="L90" s="155">
        <f t="shared" si="6"/>
        <v>1</v>
      </c>
      <c r="M90" s="160">
        <f>$D90*Pesi!$H$5+Pesi!$H$6*$E90+$F90*Pesi!$H$7+Pesi!$H$8*$G90+$H90*Pesi!$H$9+Pesi!$H$10*$I90+VLOOKUP($C90,TabAlgSqu,2,FALSE)*Pesi!$H$11+Pesi!$H$12*VLOOKUP($C90,TabAlgFC,2,FALSE)+VLOOKUP($C90,TabAlgAll,2,FALSE)*Pesi!$H$13</f>
        <v>66.599899999999991</v>
      </c>
      <c r="N90" s="155">
        <f>IF(ISNA(MATCH($B90,Pesi!$B$31:$B$34,0)),VLOOKUP(Pesi!$B$33,TabAlgDif,13,FALSE)-((VLOOKUP(Pesi!$B$33,TabAlgDif,12,FALSE)-$M90)/(VLOOKUP(Pesi!$B$33,TabAlgDif,12,FALSE)-Pesi!$F$43))*VLOOKUP(Pesi!$B$33,TabAlgDif,13,FALSE),$K90*$M90/$J90)</f>
        <v>-0.50174230672954678</v>
      </c>
      <c r="O90" s="155">
        <f t="shared" si="7"/>
        <v>1</v>
      </c>
      <c r="P90">
        <f t="shared" si="8"/>
        <v>38</v>
      </c>
      <c r="Q90" t="e">
        <f>VLOOKUP(B90,'C.P.'!$A$2:$B$164,2,FALSE)</f>
        <v>#N/A</v>
      </c>
      <c r="R90" t="e">
        <f>VLOOKUP(C90,'C.P.'!$C$2:$C$164,2,FALSE)</f>
        <v>#N/A</v>
      </c>
      <c r="S90" t="e">
        <f>VLOOKUP(D90,'C.P.'!$E$2:$F$164,2,FALSE)</f>
        <v>#N/A</v>
      </c>
      <c r="T90" t="e">
        <f>VLOOKUP(E90,'C.P.'!$G$2:$H$164,2,FALSE)</f>
        <v>#N/A</v>
      </c>
    </row>
    <row r="91" spans="1:21">
      <c r="A91">
        <f ca="1">COUNTIF('I.A. + Fasce'!B$1:'I.A. + Fasce'!B$538,B91)</f>
        <v>1</v>
      </c>
      <c r="B91" s="205" t="s">
        <v>531</v>
      </c>
      <c r="C91" s="206" t="str">
        <f>VLOOKUP(B91,'IA FG'!$B$2:$G$600,6,FALSE)</f>
        <v>SAS</v>
      </c>
      <c r="D91" s="207">
        <v>7</v>
      </c>
      <c r="E91" s="207">
        <v>7</v>
      </c>
      <c r="F91" s="207">
        <v>5</v>
      </c>
      <c r="G91" s="207">
        <v>5</v>
      </c>
      <c r="H91" s="207">
        <v>7</v>
      </c>
      <c r="I91" s="207">
        <v>6</v>
      </c>
      <c r="J91" s="159">
        <f>$D91*Pesi!$F$5+Pesi!$F$6*$E91+$F91*Pesi!$F$7+Pesi!$F$8*$G91+$H91*Pesi!$F$9+Pesi!$F$10*$I91+VLOOKUP($C91,TabAlgSqu,2,FALSE)*Pesi!$F$11+Pesi!$F$12*VLOOKUP($C91,TabAlgFC,2,FALSE)+VLOOKUP($C91,TabAlgAll,2,FALSE)*Pesi!$F$13</f>
        <v>62.238000000000007</v>
      </c>
      <c r="K91" s="155">
        <f>IF(ISNA(MATCH($B91,Pesi!$B$31:$B$34,0)),VLOOKUP(Pesi!$B$33,TabAlgDif,10,FALSE)-((VLOOKUP(Pesi!$B$33,TabAlgDif,9,FALSE)-$J91)/(VLOOKUP(Pesi!$B$33,TabAlgDif,9,FALSE)-Pesi!$D$43))*VLOOKUP(Pesi!$B$33,TabAlgDif,10,FALSE),Pesi!$F$33*Pesi!$C$28)</f>
        <v>-0.94437834622247863</v>
      </c>
      <c r="L91" s="155">
        <f t="shared" si="6"/>
        <v>1</v>
      </c>
      <c r="M91" s="160">
        <f>$D91*Pesi!$H$5+Pesi!$H$6*$E91+$F91*Pesi!$H$7+Pesi!$H$8*$G91+$H91*Pesi!$H$9+Pesi!$H$10*$I91+VLOOKUP($C91,TabAlgSqu,2,FALSE)*Pesi!$H$11+Pesi!$H$12*VLOOKUP($C91,TabAlgFC,2,FALSE)+VLOOKUP($C91,TabAlgAll,2,FALSE)*Pesi!$H$13</f>
        <v>64.988</v>
      </c>
      <c r="N91" s="155">
        <f>IF(ISNA(MATCH($B91,Pesi!$B$31:$B$34,0)),VLOOKUP(Pesi!$B$33,TabAlgDif,13,FALSE)-((VLOOKUP(Pesi!$B$33,TabAlgDif,12,FALSE)-$M91)/(VLOOKUP(Pesi!$B$33,TabAlgDif,12,FALSE)-Pesi!$F$43))*VLOOKUP(Pesi!$B$33,TabAlgDif,13,FALSE),$K91*$M91/$J91)</f>
        <v>-2.5231330195946811</v>
      </c>
      <c r="O91" s="155">
        <f t="shared" si="7"/>
        <v>1</v>
      </c>
      <c r="P91">
        <f t="shared" si="8"/>
        <v>37</v>
      </c>
      <c r="Q91" t="e">
        <f>VLOOKUP(B91,'C.P.'!$A$2:$B$164,2,FALSE)</f>
        <v>#N/A</v>
      </c>
      <c r="R91" t="e">
        <f>VLOOKUP(C91,'C.P.'!$C$2:$C$164,2,FALSE)</f>
        <v>#N/A</v>
      </c>
      <c r="S91" t="e">
        <f>VLOOKUP(D91,'C.P.'!$E$2:$F$164,2,FALSE)</f>
        <v>#N/A</v>
      </c>
      <c r="T91" t="e">
        <f>VLOOKUP(E91,'C.P.'!$G$2:$H$164,2,FALSE)</f>
        <v>#N/A</v>
      </c>
      <c r="U91" s="180"/>
    </row>
    <row r="92" spans="1:21">
      <c r="A92">
        <f ca="1">COUNTIF('I.A. + Fasce'!B$1:'I.A. + Fasce'!B$538,B86)</f>
        <v>1</v>
      </c>
      <c r="B92" s="205" t="s">
        <v>1942</v>
      </c>
      <c r="C92" s="206" t="str">
        <f>VLOOKUP(B92,'IA FG'!$B$2:$G$600,6,FALSE)</f>
        <v>UDI</v>
      </c>
      <c r="D92" s="207">
        <v>8</v>
      </c>
      <c r="E92" s="207">
        <v>6</v>
      </c>
      <c r="F92" s="207">
        <v>5</v>
      </c>
      <c r="G92" s="207">
        <v>5</v>
      </c>
      <c r="H92" s="207">
        <v>6</v>
      </c>
      <c r="I92" s="207">
        <v>6</v>
      </c>
      <c r="J92" s="159">
        <f>$D92*Pesi!$F$5+Pesi!$F$6*$E92+$F92*Pesi!$F$7+Pesi!$F$8*$G92+$H92*Pesi!$F$9+Pesi!$F$10*$I92+VLOOKUP($C92,TabAlgSqu,2,FALSE)*Pesi!$F$11+Pesi!$F$12*VLOOKUP($C92,TabAlgFC,2,FALSE)+VLOOKUP($C92,TabAlgAll,2,FALSE)*Pesi!$F$13</f>
        <v>62.235500000000002</v>
      </c>
      <c r="K92" s="155">
        <f>IF(ISNA(MATCH($B92,Pesi!$B$31:$B$34,0)),VLOOKUP(Pesi!$B$33,TabAlgDif,10,FALSE)-((VLOOKUP(Pesi!$B$33,TabAlgDif,9,FALSE)-$J92)/(VLOOKUP(Pesi!$B$33,TabAlgDif,9,FALSE)-Pesi!$D$43))*VLOOKUP(Pesi!$B$33,TabAlgDif,10,FALSE),Pesi!$F$33*Pesi!$C$28)</f>
        <v>-0.94747670037676102</v>
      </c>
      <c r="L92" s="155">
        <f t="shared" si="6"/>
        <v>1</v>
      </c>
      <c r="M92" s="160">
        <f>$D92*Pesi!$H$5+Pesi!$H$6*$E92+$F92*Pesi!$H$7+Pesi!$H$8*$G92+$H92*Pesi!$H$9+Pesi!$H$10*$I92+VLOOKUP($C92,TabAlgSqu,2,FALSE)*Pesi!$H$11+Pesi!$H$12*VLOOKUP($C92,TabAlgFC,2,FALSE)+VLOOKUP($C92,TabAlgAll,2,FALSE)*Pesi!$H$13</f>
        <v>64.985500000000002</v>
      </c>
      <c r="N92" s="155">
        <f>IF(ISNA(MATCH($B92,Pesi!$B$31:$B$34,0)),VLOOKUP(Pesi!$B$33,TabAlgDif,13,FALSE)-((VLOOKUP(Pesi!$B$33,TabAlgDif,12,FALSE)-$M92)/(VLOOKUP(Pesi!$B$33,TabAlgDif,12,FALSE)-Pesi!$F$43))*VLOOKUP(Pesi!$B$33,TabAlgDif,13,FALSE),$K92*$M92/$J92)</f>
        <v>-2.5262681252353261</v>
      </c>
      <c r="O92" s="155">
        <f t="shared" si="7"/>
        <v>1</v>
      </c>
      <c r="P92">
        <f t="shared" si="8"/>
        <v>36</v>
      </c>
      <c r="Q92" t="e">
        <f>VLOOKUP(B92,'C.P.'!$A$2:$B$164,2,FALSE)</f>
        <v>#N/A</v>
      </c>
      <c r="R92" t="e">
        <f>VLOOKUP(C92,'C.P.'!$C$2:$C$164,2,FALSE)</f>
        <v>#N/A</v>
      </c>
      <c r="S92" t="e">
        <f>VLOOKUP(D92,'C.P.'!$E$2:$F$164,2,FALSE)</f>
        <v>#N/A</v>
      </c>
      <c r="T92" t="e">
        <f>VLOOKUP(E92,'C.P.'!$G$2:$H$164,2,FALSE)</f>
        <v>#N/A</v>
      </c>
    </row>
    <row r="93" spans="1:21">
      <c r="A93">
        <f ca="1">COUNTIF('I.A. + Fasce'!B$1:'I.A. + Fasce'!B$538,B92)</f>
        <v>1</v>
      </c>
      <c r="B93" s="205" t="s">
        <v>1290</v>
      </c>
      <c r="C93" s="206" t="str">
        <f>VLOOKUP(B93,'IA FG'!$B$2:$G$600,6,FALSE)</f>
        <v>BOL</v>
      </c>
      <c r="D93" s="207">
        <v>7</v>
      </c>
      <c r="E93" s="207">
        <v>7</v>
      </c>
      <c r="F93" s="207">
        <v>6</v>
      </c>
      <c r="G93" s="207">
        <v>6</v>
      </c>
      <c r="H93" s="207">
        <v>5</v>
      </c>
      <c r="I93" s="207">
        <v>6</v>
      </c>
      <c r="J93" s="159">
        <f>$D93*Pesi!$F$5+Pesi!$F$6*$E93+$F93*Pesi!$F$7+Pesi!$F$8*$G93+$H93*Pesi!$F$9+Pesi!$F$10*$I93+VLOOKUP($C93,TabAlgSqu,2,FALSE)*Pesi!$F$11+Pesi!$F$12*VLOOKUP($C93,TabAlgFC,2,FALSE)+VLOOKUP($C93,TabAlgAll,2,FALSE)*Pesi!$F$13</f>
        <v>62.115400000000001</v>
      </c>
      <c r="K93" s="155">
        <f>IF(ISNA(MATCH($B93,Pesi!$B$31:$B$34,0)),VLOOKUP(Pesi!$B$33,TabAlgDif,10,FALSE)-((VLOOKUP(Pesi!$B$33,TabAlgDif,9,FALSE)-$J93)/(VLOOKUP(Pesi!$B$33,TabAlgDif,9,FALSE)-Pesi!$D$43))*VLOOKUP(Pesi!$B$33,TabAlgDif,10,FALSE),Pesi!$F$33*Pesi!$C$28)</f>
        <v>-1.0963216339480439</v>
      </c>
      <c r="L93" s="155">
        <f t="shared" si="6"/>
        <v>1</v>
      </c>
      <c r="M93" s="160">
        <f>$D93*Pesi!$H$5+Pesi!$H$6*$E93+$F93*Pesi!$H$7+Pesi!$H$8*$G93+$H93*Pesi!$H$9+Pesi!$H$10*$I93+VLOOKUP($C93,TabAlgSqu,2,FALSE)*Pesi!$H$11+Pesi!$H$12*VLOOKUP($C93,TabAlgFC,2,FALSE)+VLOOKUP($C93,TabAlgAll,2,FALSE)*Pesi!$H$13</f>
        <v>65.415399999999991</v>
      </c>
      <c r="N93" s="155">
        <f>IF(ISNA(MATCH($B93,Pesi!$B$31:$B$34,0)),VLOOKUP(Pesi!$B$33,TabAlgDif,13,FALSE)-((VLOOKUP(Pesi!$B$33,TabAlgDif,12,FALSE)-$M93)/(VLOOKUP(Pesi!$B$33,TabAlgDif,12,FALSE)-Pesi!$F$43))*VLOOKUP(Pesi!$B$33,TabAlgDif,13,FALSE),$K93*$M93/$J93)</f>
        <v>-1.9871553592692628</v>
      </c>
      <c r="O93" s="155">
        <f t="shared" si="7"/>
        <v>1</v>
      </c>
      <c r="P93">
        <f t="shared" si="8"/>
        <v>37</v>
      </c>
      <c r="Q93" t="e">
        <f>VLOOKUP(B93,'C.P.'!$A$2:$B$164,2,FALSE)</f>
        <v>#N/A</v>
      </c>
      <c r="R93" t="e">
        <f>VLOOKUP(C93,'C.P.'!$C$2:$C$164,2,FALSE)</f>
        <v>#N/A</v>
      </c>
      <c r="S93" t="e">
        <f>VLOOKUP(D93,'C.P.'!$E$2:$F$164,2,FALSE)</f>
        <v>#N/A</v>
      </c>
      <c r="T93" t="e">
        <f>VLOOKUP(E93,'C.P.'!$G$2:$H$164,2,FALSE)</f>
        <v>#N/A</v>
      </c>
      <c r="U93" s="180"/>
    </row>
    <row r="94" spans="1:21">
      <c r="A94">
        <f ca="1">COUNTIF('I.A. + Fasce'!B$1:'I.A. + Fasce'!B$538,B90)</f>
        <v>1</v>
      </c>
      <c r="B94" s="205" t="s">
        <v>535</v>
      </c>
      <c r="C94" s="206" t="str">
        <f>VLOOKUP(B94,'IA FG'!$B$2:$G$600,6,FALSE)</f>
        <v>BOL</v>
      </c>
      <c r="D94" s="207">
        <v>6</v>
      </c>
      <c r="E94" s="207">
        <v>7</v>
      </c>
      <c r="F94" s="207">
        <v>6</v>
      </c>
      <c r="G94" s="207">
        <v>6</v>
      </c>
      <c r="H94" s="207">
        <v>6</v>
      </c>
      <c r="I94" s="207">
        <v>6</v>
      </c>
      <c r="J94" s="159">
        <f>$D94*Pesi!$F$5+Pesi!$F$6*$E94+$F94*Pesi!$F$7+Pesi!$F$8*$G94+$H94*Pesi!$F$9+Pesi!$F$10*$I94+VLOOKUP($C94,TabAlgSqu,2,FALSE)*Pesi!$F$11+Pesi!$F$12*VLOOKUP($C94,TabAlgFC,2,FALSE)+VLOOKUP($C94,TabAlgAll,2,FALSE)*Pesi!$F$13</f>
        <v>62.115400000000001</v>
      </c>
      <c r="K94" s="155">
        <f>IF(ISNA(MATCH($B94,Pesi!$B$31:$B$34,0)),VLOOKUP(Pesi!$B$33,TabAlgDif,10,FALSE)-((VLOOKUP(Pesi!$B$33,TabAlgDif,9,FALSE)-$J94)/(VLOOKUP(Pesi!$B$33,TabAlgDif,9,FALSE)-Pesi!$D$43))*VLOOKUP(Pesi!$B$33,TabAlgDif,10,FALSE),Pesi!$F$33*Pesi!$C$28)</f>
        <v>-1.0963216339480439</v>
      </c>
      <c r="L94" s="155">
        <f t="shared" si="6"/>
        <v>1</v>
      </c>
      <c r="M94" s="160">
        <f>$D94*Pesi!$H$5+Pesi!$H$6*$E94+$F94*Pesi!$H$7+Pesi!$H$8*$G94+$H94*Pesi!$H$9+Pesi!$H$10*$I94+VLOOKUP($C94,TabAlgSqu,2,FALSE)*Pesi!$H$11+Pesi!$H$12*VLOOKUP($C94,TabAlgFC,2,FALSE)+VLOOKUP($C94,TabAlgAll,2,FALSE)*Pesi!$H$13</f>
        <v>65.415399999999991</v>
      </c>
      <c r="N94" s="155">
        <f>IF(ISNA(MATCH($B94,Pesi!$B$31:$B$34,0)),VLOOKUP(Pesi!$B$33,TabAlgDif,13,FALSE)-((VLOOKUP(Pesi!$B$33,TabAlgDif,12,FALSE)-$M94)/(VLOOKUP(Pesi!$B$33,TabAlgDif,12,FALSE)-Pesi!$F$43))*VLOOKUP(Pesi!$B$33,TabAlgDif,13,FALSE),$K94*$M94/$J94)</f>
        <v>-1.9871553592692628</v>
      </c>
      <c r="O94" s="155">
        <f t="shared" si="7"/>
        <v>1</v>
      </c>
      <c r="P94">
        <f t="shared" si="8"/>
        <v>37</v>
      </c>
      <c r="Q94" t="e">
        <f>VLOOKUP(B94,'C.P.'!$A$2:$B$164,2,FALSE)</f>
        <v>#N/A</v>
      </c>
      <c r="R94" t="e">
        <f>VLOOKUP(C94,'C.P.'!$C$2:$C$164,2,FALSE)</f>
        <v>#N/A</v>
      </c>
      <c r="S94" t="e">
        <f>VLOOKUP(D94,'C.P.'!$E$2:$F$164,2,FALSE)</f>
        <v>#N/A</v>
      </c>
      <c r="T94" t="e">
        <f>VLOOKUP(E94,'C.P.'!$G$2:$H$164,2,FALSE)</f>
        <v>#N/A</v>
      </c>
    </row>
    <row r="95" spans="1:21">
      <c r="A95">
        <f ca="1">COUNTIF('I.A. + Fasce'!B$1:'I.A. + Fasce'!B$538,B94)</f>
        <v>1</v>
      </c>
      <c r="B95" s="205" t="s">
        <v>553</v>
      </c>
      <c r="C95" s="206" t="str">
        <f>VLOOKUP(B95,'IA FG'!$B$2:$G$600,6,FALSE)</f>
        <v>TOR</v>
      </c>
      <c r="D95" s="207">
        <v>6</v>
      </c>
      <c r="E95" s="207">
        <v>7</v>
      </c>
      <c r="F95" s="207">
        <v>6</v>
      </c>
      <c r="G95" s="207">
        <v>6</v>
      </c>
      <c r="H95" s="207">
        <v>6</v>
      </c>
      <c r="I95" s="207">
        <v>6</v>
      </c>
      <c r="J95" s="159">
        <f>$D95*Pesi!$F$5+Pesi!$F$6*$E95+$F95*Pesi!$F$7+Pesi!$F$8*$G95+$H95*Pesi!$F$9+Pesi!$F$10*$I95+VLOOKUP($C95,TabAlgSqu,2,FALSE)*Pesi!$F$11+Pesi!$F$12*VLOOKUP($C95,TabAlgFC,2,FALSE)+VLOOKUP($C95,TabAlgAll,2,FALSE)*Pesi!$F$13</f>
        <v>61.868399999999994</v>
      </c>
      <c r="K95" s="155">
        <f>IF(ISNA(MATCH($B95,Pesi!$B$31:$B$34,0)),VLOOKUP(Pesi!$B$33,TabAlgDif,10,FALSE)-((VLOOKUP(Pesi!$B$33,TabAlgDif,9,FALSE)-$J95)/(VLOOKUP(Pesi!$B$33,TabAlgDif,9,FALSE)-Pesi!$D$43))*VLOOKUP(Pesi!$B$33,TabAlgDif,10,FALSE),Pesi!$F$33*Pesi!$C$28)</f>
        <v>-1.4024390243902509</v>
      </c>
      <c r="L95" s="155">
        <f t="shared" si="6"/>
        <v>1</v>
      </c>
      <c r="M95" s="160">
        <f>$D95*Pesi!$H$5+Pesi!$H$6*$E95+$F95*Pesi!$H$7+Pesi!$H$8*$G95+$H95*Pesi!$H$9+Pesi!$H$10*$I95+VLOOKUP($C95,TabAlgSqu,2,FALSE)*Pesi!$H$11+Pesi!$H$12*VLOOKUP($C95,TabAlgFC,2,FALSE)+VLOOKUP($C95,TabAlgAll,2,FALSE)*Pesi!$H$13</f>
        <v>65.168399999999991</v>
      </c>
      <c r="N95" s="155">
        <f>IF(ISNA(MATCH($B95,Pesi!$B$31:$B$34,0)),VLOOKUP(Pesi!$B$33,TabAlgDif,13,FALSE)-((VLOOKUP(Pesi!$B$33,TabAlgDif,12,FALSE)-$M95)/(VLOOKUP(Pesi!$B$33,TabAlgDif,12,FALSE)-Pesi!$F$43))*VLOOKUP(Pesi!$B$33,TabAlgDif,13,FALSE),$K95*$M95/$J95)</f>
        <v>-2.2969037965654273</v>
      </c>
      <c r="O95" s="155">
        <f t="shared" si="7"/>
        <v>1</v>
      </c>
      <c r="P95">
        <f t="shared" si="8"/>
        <v>37</v>
      </c>
      <c r="Q95" t="e">
        <f>VLOOKUP(B95,'C.P.'!$A$2:$B$164,2,FALSE)</f>
        <v>#N/A</v>
      </c>
      <c r="R95" t="e">
        <f>VLOOKUP(C95,'C.P.'!$C$2:$C$164,2,FALSE)</f>
        <v>#N/A</v>
      </c>
      <c r="S95" t="e">
        <f>VLOOKUP(D95,'C.P.'!$E$2:$F$164,2,FALSE)</f>
        <v>#N/A</v>
      </c>
      <c r="T95" t="e">
        <f>VLOOKUP(E95,'C.P.'!$G$2:$H$164,2,FALSE)</f>
        <v>#N/A</v>
      </c>
      <c r="U95" s="180" t="s">
        <v>884</v>
      </c>
    </row>
    <row r="96" spans="1:21">
      <c r="A96">
        <f ca="1">COUNTIF('I.A. + Fasce'!B$1:'I.A. + Fasce'!B$538,#REF!)</f>
        <v>0</v>
      </c>
      <c r="B96" s="205" t="s">
        <v>1988</v>
      </c>
      <c r="C96" s="206" t="str">
        <f>VLOOKUP(B96,'IA FG'!$B$2:$G$600,6,FALSE)</f>
        <v>TOR</v>
      </c>
      <c r="D96" s="207">
        <v>8</v>
      </c>
      <c r="E96" s="207">
        <v>6</v>
      </c>
      <c r="F96" s="207">
        <v>6</v>
      </c>
      <c r="G96" s="207">
        <v>7</v>
      </c>
      <c r="H96" s="207">
        <v>5</v>
      </c>
      <c r="I96" s="207">
        <v>5</v>
      </c>
      <c r="J96" s="159">
        <f>$D96*Pesi!$F$5+Pesi!$F$6*$E96+$F96*Pesi!$F$7+Pesi!$F$8*$G96+$H96*Pesi!$F$9+Pesi!$F$10*$I96+VLOOKUP($C96,TabAlgSqu,2,FALSE)*Pesi!$F$11+Pesi!$F$12*VLOOKUP($C96,TabAlgFC,2,FALSE)+VLOOKUP($C96,TabAlgAll,2,FALSE)*Pesi!$F$13</f>
        <v>61.780899999999988</v>
      </c>
      <c r="K96" s="155">
        <f>IF(ISNA(MATCH($B96,Pesi!$B$31:$B$34,0)),VLOOKUP(Pesi!$B$33,TabAlgDif,10,FALSE)-((VLOOKUP(Pesi!$B$33,TabAlgDif,9,FALSE)-$J96)/(VLOOKUP(Pesi!$B$33,TabAlgDif,9,FALSE)-Pesi!$D$43))*VLOOKUP(Pesi!$B$33,TabAlgDif,10,FALSE),Pesi!$F$33*Pesi!$C$28)</f>
        <v>-1.5108814197898219</v>
      </c>
      <c r="L96" s="155">
        <f t="shared" si="6"/>
        <v>1</v>
      </c>
      <c r="M96" s="160">
        <f>$D96*Pesi!$H$5+Pesi!$H$6*$E96+$F96*Pesi!$H$7+Pesi!$H$8*$G96+$H96*Pesi!$H$9+Pesi!$H$10*$I96+VLOOKUP($C96,TabAlgSqu,2,FALSE)*Pesi!$H$11+Pesi!$H$12*VLOOKUP($C96,TabAlgFC,2,FALSE)+VLOOKUP($C96,TabAlgAll,2,FALSE)*Pesi!$H$13</f>
        <v>65.080899999999986</v>
      </c>
      <c r="N96" s="155">
        <f>IF(ISNA(MATCH($B96,Pesi!$B$31:$B$34,0)),VLOOKUP(Pesi!$B$33,TabAlgDif,13,FALSE)-((VLOOKUP(Pesi!$B$33,TabAlgDif,12,FALSE)-$M96)/(VLOOKUP(Pesi!$B$33,TabAlgDif,12,FALSE)-Pesi!$F$43))*VLOOKUP(Pesi!$B$33,TabAlgDif,13,FALSE),$K96*$M96/$J96)</f>
        <v>-2.4066324939881625</v>
      </c>
      <c r="O96" s="155">
        <f t="shared" si="7"/>
        <v>1</v>
      </c>
      <c r="P96">
        <f t="shared" si="8"/>
        <v>37</v>
      </c>
      <c r="Q96" t="e">
        <f>VLOOKUP(B96,'C.P.'!$A$2:$B$164,2,FALSE)</f>
        <v>#N/A</v>
      </c>
      <c r="R96" t="e">
        <f>VLOOKUP(C96,'C.P.'!$C$2:$C$164,2,FALSE)</f>
        <v>#N/A</v>
      </c>
      <c r="S96" t="e">
        <f>VLOOKUP(D96,'C.P.'!$E$2:$F$164,2,FALSE)</f>
        <v>#N/A</v>
      </c>
      <c r="T96" t="e">
        <f>VLOOKUP(E96,'C.P.'!$G$2:$H$164,2,FALSE)</f>
        <v>#N/A</v>
      </c>
      <c r="U96" s="180" t="s">
        <v>883</v>
      </c>
    </row>
    <row r="97" spans="1:21">
      <c r="A97">
        <f ca="1">COUNTIF('I.A. + Fasce'!B$1:'I.A. + Fasce'!B$538,B89)</f>
        <v>1</v>
      </c>
      <c r="B97" s="205" t="s">
        <v>309</v>
      </c>
      <c r="C97" s="206" t="str">
        <f>VLOOKUP(B97,'IA FG'!$B$2:$G$600,6,FALSE)</f>
        <v>JUV</v>
      </c>
      <c r="D97" s="207">
        <v>6</v>
      </c>
      <c r="E97" s="207">
        <v>5</v>
      </c>
      <c r="F97" s="207">
        <v>6</v>
      </c>
      <c r="G97" s="207">
        <v>5</v>
      </c>
      <c r="H97" s="207">
        <v>5</v>
      </c>
      <c r="I97" s="207">
        <v>5</v>
      </c>
      <c r="J97" s="159">
        <f>$D97*Pesi!$F$5+Pesi!$F$6*$E97+$F97*Pesi!$F$7+Pesi!$F$8*$G97+$H97*Pesi!$F$9+Pesi!$F$10*$I97+VLOOKUP($C97,TabAlgSqu,2,FALSE)*Pesi!$F$11+Pesi!$F$12*VLOOKUP($C97,TabAlgFC,2,FALSE)+VLOOKUP($C97,TabAlgAll,2,FALSE)*Pesi!$F$13</f>
        <v>61.650300000000001</v>
      </c>
      <c r="K97" s="155">
        <f>IF(ISNA(MATCH($B97,Pesi!$B$31:$B$34,0)),VLOOKUP(Pesi!$B$33,TabAlgDif,10,FALSE)-((VLOOKUP(Pesi!$B$33,TabAlgDif,9,FALSE)-$J97)/(VLOOKUP(Pesi!$B$33,TabAlgDif,9,FALSE)-Pesi!$C$43))*VLOOKUP(Pesi!$B$33,TabAlgDif,10,FALSE),Pesi!$F$33*Pesi!$C$28)</f>
        <v>-1.942134069092603</v>
      </c>
      <c r="L97" s="155">
        <f t="shared" si="6"/>
        <v>1</v>
      </c>
      <c r="M97" s="160">
        <f>$D97*Pesi!$H$5+Pesi!$H$6*$E97+$F97*Pesi!$H$7+Pesi!$H$8*$G97+$H97*Pesi!$H$9+Pesi!$H$10*$I97+VLOOKUP($C97,TabAlgSqu,2,FALSE)*Pesi!$H$11+Pesi!$H$12*VLOOKUP($C97,TabAlgFC,2,FALSE)+VLOOKUP($C97,TabAlgAll,2,FALSE)*Pesi!$H$13</f>
        <v>64.950299999999999</v>
      </c>
      <c r="N97" s="155">
        <f>IF(ISNA(MATCH($B97,Pesi!$B$31:$B$34,0)),VLOOKUP(Pesi!$B$33,TabAlgDif,13,FALSE)-((VLOOKUP(Pesi!$B$33,TabAlgDif,12,FALSE)-$M97)/(VLOOKUP(Pesi!$B$33,TabAlgDif,12,FALSE)-Pesi!$F$43))*VLOOKUP(Pesi!$B$33,TabAlgDif,13,FALSE),$K97*$M97/$J97)</f>
        <v>-2.5704104126556757</v>
      </c>
      <c r="O97" s="155">
        <f t="shared" si="7"/>
        <v>1</v>
      </c>
      <c r="P97">
        <f t="shared" si="8"/>
        <v>32</v>
      </c>
      <c r="Q97">
        <f>VLOOKUP(B97,'C.P.'!$A$2:$B$164,2,FALSE)</f>
        <v>-1</v>
      </c>
      <c r="R97" t="e">
        <f>VLOOKUP(B97,'C.P.'!$C$2:$D$164,2,FALSE)</f>
        <v>#N/A</v>
      </c>
      <c r="S97" t="e">
        <f>VLOOKUP(B97,'C.P.'!$E$2:$F$164,2,FALSE)</f>
        <v>#N/A</v>
      </c>
      <c r="T97" t="e">
        <f>VLOOKUP(B97,'C.P.'!$G$2:$H$164,2,FALSE)</f>
        <v>#N/A</v>
      </c>
    </row>
    <row r="98" spans="1:21">
      <c r="B98" s="208" t="s">
        <v>1965</v>
      </c>
      <c r="C98" s="206" t="str">
        <f>VLOOKUP(B98,'IA FG'!$B$2:$G$600,6,FALSE)</f>
        <v>FIO</v>
      </c>
      <c r="D98" s="207">
        <v>7</v>
      </c>
      <c r="E98" s="207">
        <v>7</v>
      </c>
      <c r="F98" s="207">
        <v>6</v>
      </c>
      <c r="G98" s="207">
        <v>5</v>
      </c>
      <c r="H98" s="207">
        <v>5</v>
      </c>
      <c r="I98" s="207">
        <v>6</v>
      </c>
      <c r="J98" s="159">
        <f>$D98*Pesi!$F$5+Pesi!$F$6*$E98+$F98*Pesi!$F$7+Pesi!$F$8*$G98+$H98*Pesi!$F$9+Pesi!$F$10*$I98+VLOOKUP($C98,TabAlgSqu,2,FALSE)*Pesi!$F$11+Pesi!$F$12*VLOOKUP($C98,TabAlgFC,2,FALSE)+VLOOKUP($C98,TabAlgAll,2,FALSE)*Pesi!$F$13</f>
        <v>61.4724</v>
      </c>
      <c r="K98" s="155">
        <f>IF(ISNA(MATCH($B98,Pesi!$B$31:$B$34,0)),VLOOKUP(Pesi!$B$33,TabAlgDif,10,FALSE)-((VLOOKUP(Pesi!$B$33,TabAlgDif,9,FALSE)-$J98)/(VLOOKUP(Pesi!$B$33,TabAlgDif,9,FALSE)-Pesi!$D$43))*VLOOKUP(Pesi!$B$33,TabAlgDif,10,FALSE),Pesi!$F$33*Pesi!$C$28)</f>
        <v>-1.8932183224271242</v>
      </c>
      <c r="L98" s="155">
        <f t="shared" ref="L98:L129" si="9">IF(K98&lt;=1,1,K98)</f>
        <v>1</v>
      </c>
      <c r="M98" s="160">
        <f>$D98*Pesi!$H$5+Pesi!$H$6*$E98+$F98*Pesi!$H$7+Pesi!$H$8*$G98+$H98*Pesi!$H$9+Pesi!$H$10*$I98+VLOOKUP($C98,TabAlgSqu,2,FALSE)*Pesi!$H$11+Pesi!$H$12*VLOOKUP($C98,TabAlgFC,2,FALSE)+VLOOKUP($C98,TabAlgAll,2,FALSE)*Pesi!$H$13</f>
        <v>64.77239999999999</v>
      </c>
      <c r="N98" s="155">
        <f>IF(ISNA(MATCH($B98,Pesi!$B$31:$B$34,0)),VLOOKUP(Pesi!$B$33,TabAlgDif,13,FALSE)-((VLOOKUP(Pesi!$B$33,TabAlgDif,12,FALSE)-$M98)/(VLOOKUP(Pesi!$B$33,TabAlgDif,12,FALSE)-Pesi!$F$43))*VLOOKUP(Pesi!$B$33,TabAlgDif,13,FALSE),$K98*$M98/$J98)</f>
        <v>-2.7935045300442987</v>
      </c>
      <c r="O98" s="155">
        <f t="shared" ref="O98:O129" si="10">IF(N98&lt;=1,1,N98)</f>
        <v>1</v>
      </c>
      <c r="P98">
        <f t="shared" ref="P98:P129" si="11">SUM(D98:I98)</f>
        <v>36</v>
      </c>
      <c r="Q98" t="e">
        <f>VLOOKUP(B98,'C.P.'!$A$2:$B$164,2,FALSE)</f>
        <v>#N/A</v>
      </c>
      <c r="R98" t="e">
        <f>VLOOKUP(B98,'C.P.'!$C$2:$D$164,2,FALSE)</f>
        <v>#N/A</v>
      </c>
      <c r="S98" t="e">
        <f>VLOOKUP(B98,'C.P.'!$E$2:$F$164,2,FALSE)</f>
        <v>#N/A</v>
      </c>
      <c r="T98" t="e">
        <f>VLOOKUP(B98,'C.P.'!$G$2:$H$164,2,FALSE)</f>
        <v>#N/A</v>
      </c>
    </row>
    <row r="99" spans="1:21">
      <c r="A99">
        <f ca="1">COUNTIF('I.A. + Fasce'!B$1:'I.A. + Fasce'!B$538,B95)</f>
        <v>1</v>
      </c>
      <c r="B99" s="205" t="s">
        <v>1289</v>
      </c>
      <c r="C99" s="206" t="str">
        <f>VLOOKUP(B99,'IA FG'!$B$2:$G$600,6,FALSE)</f>
        <v>LAZ</v>
      </c>
      <c r="D99" s="207">
        <v>6</v>
      </c>
      <c r="E99" s="207">
        <v>6</v>
      </c>
      <c r="F99" s="207">
        <v>6</v>
      </c>
      <c r="G99" s="207">
        <v>5</v>
      </c>
      <c r="H99" s="207">
        <v>6</v>
      </c>
      <c r="I99" s="207">
        <v>6</v>
      </c>
      <c r="J99" s="159">
        <f>$D99*Pesi!$F$5+Pesi!$F$6*$E99+$F99*Pesi!$F$7+Pesi!$F$8*$G99+$H99*Pesi!$F$9+Pesi!$F$10*$I99+VLOOKUP($C99,TabAlgSqu,2,FALSE)*Pesi!$F$11+Pesi!$F$12*VLOOKUP($C99,TabAlgFC,2,FALSE)+VLOOKUP($C99,TabAlgAll,2,FALSE)*Pesi!$F$13</f>
        <v>61.063899999999997</v>
      </c>
      <c r="K99" s="155">
        <f>IF(ISNA(MATCH($B99,Pesi!$B$31:$B$34,0)),VLOOKUP(Pesi!$B$33,TabAlgDif,10,FALSE)-((VLOOKUP(Pesi!$B$33,TabAlgDif,9,FALSE)-$J99)/(VLOOKUP(Pesi!$B$33,TabAlgDif,9,FALSE)-Pesi!$D$43))*VLOOKUP(Pesi!$B$33,TabAlgDif,10,FALSE),Pesi!$F$33*Pesi!$C$28)</f>
        <v>-2.399489391235381</v>
      </c>
      <c r="L99" s="155">
        <f t="shared" si="9"/>
        <v>1</v>
      </c>
      <c r="M99" s="160">
        <f>$D99*Pesi!$H$5+Pesi!$H$6*$E99+$F99*Pesi!$H$7+Pesi!$H$8*$G99+$H99*Pesi!$H$9+Pesi!$H$10*$I99+VLOOKUP($C99,TabAlgSqu,2,FALSE)*Pesi!$H$11+Pesi!$H$12*VLOOKUP($C99,TabAlgFC,2,FALSE)+VLOOKUP($C99,TabAlgAll,2,FALSE)*Pesi!$H$13</f>
        <v>64.363900000000001</v>
      </c>
      <c r="N99" s="155">
        <f>IF(ISNA(MATCH($B99,Pesi!$B$31:$B$34,0)),VLOOKUP(Pesi!$B$33,TabAlgDif,13,FALSE)-((VLOOKUP(Pesi!$B$33,TabAlgDif,12,FALSE)-$M99)/(VLOOKUP(Pesi!$B$33,TabAlgDif,12,FALSE)-Pesi!$F$43))*VLOOKUP(Pesi!$B$33,TabAlgDif,13,FALSE),$K99*$M99/$J99)</f>
        <v>-3.3057807917264093</v>
      </c>
      <c r="O99" s="155">
        <f t="shared" si="10"/>
        <v>1</v>
      </c>
      <c r="P99">
        <f t="shared" si="11"/>
        <v>35</v>
      </c>
      <c r="Q99" t="e">
        <f>VLOOKUP(B99,'C.P.'!$A$2:$B$164,2,FALSE)</f>
        <v>#N/A</v>
      </c>
      <c r="R99" t="e">
        <f>VLOOKUP(C99,'C.P.'!$C$2:$C$164,2,FALSE)</f>
        <v>#N/A</v>
      </c>
      <c r="S99" t="e">
        <f>VLOOKUP(D99,'C.P.'!$E$2:$F$164,2,FALSE)</f>
        <v>#N/A</v>
      </c>
      <c r="T99" t="e">
        <f>VLOOKUP(E99,'C.P.'!$G$2:$H$164,2,FALSE)</f>
        <v>#N/A</v>
      </c>
    </row>
    <row r="100" spans="1:21">
      <c r="A100">
        <f ca="1">COUNTIF('I.A. + Fasce'!B$1:'I.A. + Fasce'!B$538,#REF!)</f>
        <v>0</v>
      </c>
      <c r="B100" s="205" t="s">
        <v>394</v>
      </c>
      <c r="C100" s="206" t="str">
        <f>VLOOKUP(B100,'IA FG'!$B$2:$G$600,6,FALSE)</f>
        <v>SAS</v>
      </c>
      <c r="D100" s="207">
        <v>6</v>
      </c>
      <c r="E100" s="207">
        <v>7</v>
      </c>
      <c r="F100" s="207">
        <v>6</v>
      </c>
      <c r="G100" s="207">
        <v>5</v>
      </c>
      <c r="H100" s="207">
        <v>6</v>
      </c>
      <c r="I100" s="207">
        <v>6</v>
      </c>
      <c r="J100" s="159">
        <f>$D100*Pesi!$F$5+Pesi!$F$6*$E100+$F100*Pesi!$F$7+Pesi!$F$8*$G100+$H100*Pesi!$F$9+Pesi!$F$10*$I100+VLOOKUP($C100,TabAlgSqu,2,FALSE)*Pesi!$F$11+Pesi!$F$12*VLOOKUP($C100,TabAlgFC,2,FALSE)+VLOOKUP($C100,TabAlgAll,2,FALSE)*Pesi!$F$13</f>
        <v>60.983899999999998</v>
      </c>
      <c r="K100" s="155">
        <f>IF(ISNA(MATCH($B100,Pesi!$B$31:$B$34,0)),VLOOKUP(Pesi!$B$33,TabAlgDif,10,FALSE)-((VLOOKUP(Pesi!$B$33,TabAlgDif,9,FALSE)-$J100)/(VLOOKUP(Pesi!$B$33,TabAlgDif,9,FALSE)-Pesi!$D$43))*VLOOKUP(Pesi!$B$33,TabAlgDif,10,FALSE),Pesi!$F$33*Pesi!$C$28)</f>
        <v>-2.4986367241721261</v>
      </c>
      <c r="L100" s="155">
        <f t="shared" si="9"/>
        <v>1</v>
      </c>
      <c r="M100" s="160">
        <f>$D100*Pesi!$H$5+Pesi!$H$6*$E100+$F100*Pesi!$H$7+Pesi!$H$8*$G100+$H100*Pesi!$H$9+Pesi!$H$10*$I100+VLOOKUP($C100,TabAlgSqu,2,FALSE)*Pesi!$H$11+Pesi!$H$12*VLOOKUP($C100,TabAlgFC,2,FALSE)+VLOOKUP($C100,TabAlgAll,2,FALSE)*Pesi!$H$13</f>
        <v>64.283899999999988</v>
      </c>
      <c r="N100" s="155">
        <f>IF(ISNA(MATCH($B100,Pesi!$B$31:$B$34,0)),VLOOKUP(Pesi!$B$33,TabAlgDif,13,FALSE)-((VLOOKUP(Pesi!$B$33,TabAlgDif,12,FALSE)-$M100)/(VLOOKUP(Pesi!$B$33,TabAlgDif,12,FALSE)-Pesi!$F$43))*VLOOKUP(Pesi!$B$33,TabAlgDif,13,FALSE),$K100*$M100/$J100)</f>
        <v>-3.4061041722272059</v>
      </c>
      <c r="O100" s="155">
        <f t="shared" si="10"/>
        <v>1</v>
      </c>
      <c r="P100">
        <f t="shared" si="11"/>
        <v>36</v>
      </c>
      <c r="Q100" t="e">
        <f>VLOOKUP(B100,'C.P.'!$A$2:$B$164,2,FALSE)</f>
        <v>#N/A</v>
      </c>
      <c r="R100" t="e">
        <f>VLOOKUP(C100,'C.P.'!$C$2:$C$164,2,FALSE)</f>
        <v>#N/A</v>
      </c>
      <c r="S100" t="e">
        <f>VLOOKUP(D100,'C.P.'!$E$2:$F$164,2,FALSE)</f>
        <v>#N/A</v>
      </c>
      <c r="T100" t="e">
        <f>VLOOKUP(E100,'C.P.'!$G$2:$H$164,2,FALSE)</f>
        <v>#N/A</v>
      </c>
      <c r="U100" s="180" t="s">
        <v>881</v>
      </c>
    </row>
    <row r="101" spans="1:21">
      <c r="A101">
        <f ca="1">COUNTIF('I.A. + Fasce'!B$1:'I.A. + Fasce'!B$538,B101)</f>
        <v>1</v>
      </c>
      <c r="B101" s="205" t="s">
        <v>574</v>
      </c>
      <c r="C101" s="206" t="str">
        <f>VLOOKUP(B101,'IA FG'!$B$2:$G$600,6,FALSE)</f>
        <v>LAZ</v>
      </c>
      <c r="D101" s="207">
        <v>5</v>
      </c>
      <c r="E101" s="207">
        <v>6</v>
      </c>
      <c r="F101" s="207">
        <v>6</v>
      </c>
      <c r="G101" s="207">
        <v>6</v>
      </c>
      <c r="H101" s="207">
        <v>6</v>
      </c>
      <c r="I101" s="207">
        <v>6</v>
      </c>
      <c r="J101" s="159">
        <f>$D101*Pesi!$F$5+Pesi!$F$6*$E101+$F101*Pesi!$F$7+Pesi!$F$8*$G101+$H101*Pesi!$F$9+Pesi!$F$10*$I101+VLOOKUP($C101,TabAlgSqu,2,FALSE)*Pesi!$F$11+Pesi!$F$12*VLOOKUP($C101,TabAlgFC,2,FALSE)+VLOOKUP($C101,TabAlgAll,2,FALSE)*Pesi!$F$13</f>
        <v>60.980599999999995</v>
      </c>
      <c r="K101" s="155">
        <f>IF(ISNA(MATCH($B101,Pesi!$B$31:$B$34,0)),VLOOKUP(Pesi!$B$33,TabAlgDif,10,FALSE)-((VLOOKUP(Pesi!$B$33,TabAlgDif,9,FALSE)-$J101)/(VLOOKUP(Pesi!$B$33,TabAlgDif,9,FALSE)-Pesi!$D$43))*VLOOKUP(Pesi!$B$33,TabAlgDif,10,FALSE),Pesi!$F$33*Pesi!$C$28)</f>
        <v>-2.5027265516557691</v>
      </c>
      <c r="L101" s="155">
        <f t="shared" si="9"/>
        <v>1</v>
      </c>
      <c r="M101" s="160">
        <f>$D101*Pesi!$H$5+Pesi!$H$6*$E101+$F101*Pesi!$H$7+Pesi!$H$8*$G101+$H101*Pesi!$H$9+Pesi!$H$10*$I101+VLOOKUP($C101,TabAlgSqu,2,FALSE)*Pesi!$H$11+Pesi!$H$12*VLOOKUP($C101,TabAlgFC,2,FALSE)+VLOOKUP($C101,TabAlgAll,2,FALSE)*Pesi!$H$13</f>
        <v>64.280599999999993</v>
      </c>
      <c r="N101" s="155">
        <f>IF(ISNA(MATCH($B101,Pesi!$B$31:$B$34,0)),VLOOKUP(Pesi!$B$33,TabAlgDif,13,FALSE)-((VLOOKUP(Pesi!$B$33,TabAlgDif,12,FALSE)-$M101)/(VLOOKUP(Pesi!$B$33,TabAlgDif,12,FALSE)-Pesi!$F$43))*VLOOKUP(Pesi!$B$33,TabAlgDif,13,FALSE),$K101*$M101/$J101)</f>
        <v>-3.410242511672859</v>
      </c>
      <c r="O101" s="155">
        <f t="shared" si="10"/>
        <v>1</v>
      </c>
      <c r="P101">
        <f t="shared" si="11"/>
        <v>35</v>
      </c>
      <c r="Q101" t="e">
        <f>VLOOKUP(B101,'C.P.'!$A$2:$B$164,2,FALSE)</f>
        <v>#N/A</v>
      </c>
      <c r="R101" t="e">
        <f>VLOOKUP(C101,'C.P.'!$C$2:$C$164,2,FALSE)</f>
        <v>#N/A</v>
      </c>
      <c r="S101" t="e">
        <f>VLOOKUP(D101,'C.P.'!$E$2:$F$164,2,FALSE)</f>
        <v>#N/A</v>
      </c>
      <c r="T101" t="e">
        <f>VLOOKUP(E101,'C.P.'!$G$2:$H$164,2,FALSE)</f>
        <v>#N/A</v>
      </c>
      <c r="U101" s="180" t="s">
        <v>877</v>
      </c>
    </row>
    <row r="102" spans="1:21">
      <c r="A102">
        <f ca="1">COUNTIF('I.A. + Fasce'!B$1:'I.A. + Fasce'!B$538,B97)</f>
        <v>1</v>
      </c>
      <c r="B102" s="205" t="s">
        <v>1957</v>
      </c>
      <c r="C102" s="206" t="str">
        <f>VLOOKUP(B102,'IA FG'!$B$2:$G$600,6,FALSE)</f>
        <v>UDI</v>
      </c>
      <c r="D102" s="207">
        <v>7</v>
      </c>
      <c r="E102" s="207">
        <v>5</v>
      </c>
      <c r="F102" s="207">
        <v>6</v>
      </c>
      <c r="G102" s="207">
        <v>6</v>
      </c>
      <c r="H102" s="207">
        <v>6</v>
      </c>
      <c r="I102" s="207">
        <v>5</v>
      </c>
      <c r="J102" s="159">
        <f>$D102*Pesi!$F$5+Pesi!$F$6*$E102+$F102*Pesi!$F$7+Pesi!$F$8*$G102+$H102*Pesi!$F$9+Pesi!$F$10*$I102+VLOOKUP($C102,TabAlgSqu,2,FALSE)*Pesi!$F$11+Pesi!$F$12*VLOOKUP($C102,TabAlgFC,2,FALSE)+VLOOKUP($C102,TabAlgAll,2,FALSE)*Pesi!$F$13</f>
        <v>60.893900000000002</v>
      </c>
      <c r="K102" s="155">
        <f>IF(ISNA(MATCH($B102,Pesi!$B$31:$B$34,0)),VLOOKUP(Pesi!$B$33,TabAlgDif,10,FALSE)-((VLOOKUP(Pesi!$B$33,TabAlgDif,9,FALSE)-$J102)/(VLOOKUP(Pesi!$B$33,TabAlgDif,9,FALSE)-Pesi!$D$43))*VLOOKUP(Pesi!$B$33,TabAlgDif,10,FALSE),Pesi!$F$33*Pesi!$C$28)</f>
        <v>-2.6101774737259547</v>
      </c>
      <c r="L102" s="155">
        <f t="shared" si="9"/>
        <v>1</v>
      </c>
      <c r="M102" s="160">
        <f>$D102*Pesi!$H$5+Pesi!$H$6*$E102+$F102*Pesi!$H$7+Pesi!$H$8*$G102+$H102*Pesi!$H$9+Pesi!$H$10*$I102+VLOOKUP($C102,TabAlgSqu,2,FALSE)*Pesi!$H$11+Pesi!$H$12*VLOOKUP($C102,TabAlgFC,2,FALSE)+VLOOKUP($C102,TabAlgAll,2,FALSE)*Pesi!$H$13</f>
        <v>64.193899999999999</v>
      </c>
      <c r="N102" s="155">
        <f>IF(ISNA(MATCH($B102,Pesi!$B$31:$B$34,0)),VLOOKUP(Pesi!$B$33,TabAlgDif,13,FALSE)-((VLOOKUP(Pesi!$B$33,TabAlgDif,12,FALSE)-$M102)/(VLOOKUP(Pesi!$B$33,TabAlgDif,12,FALSE)-Pesi!$F$43))*VLOOKUP(Pesi!$B$33,TabAlgDif,13,FALSE),$K102*$M102/$J102)</f>
        <v>-3.5189679752905718</v>
      </c>
      <c r="O102" s="155">
        <f t="shared" si="10"/>
        <v>1</v>
      </c>
      <c r="P102">
        <f t="shared" si="11"/>
        <v>35</v>
      </c>
      <c r="Q102" t="e">
        <f>VLOOKUP(B102,'C.P.'!$A$2:$B$164,2,FALSE)</f>
        <v>#N/A</v>
      </c>
      <c r="R102" t="e">
        <f>VLOOKUP(C102,'C.P.'!$C$2:$C$164,2,FALSE)</f>
        <v>#N/A</v>
      </c>
      <c r="S102" t="e">
        <f>VLOOKUP(D102,'C.P.'!$E$2:$F$164,2,FALSE)</f>
        <v>#N/A</v>
      </c>
      <c r="T102" t="e">
        <f>VLOOKUP(E102,'C.P.'!$G$2:$H$164,2,FALSE)</f>
        <v>#N/A</v>
      </c>
    </row>
    <row r="103" spans="1:21">
      <c r="A103">
        <f ca="1">COUNTIF('I.A. + Fasce'!B$1:'I.A. + Fasce'!B$538,B103)</f>
        <v>1</v>
      </c>
      <c r="B103" s="205" t="s">
        <v>472</v>
      </c>
      <c r="C103" s="206" t="str">
        <f>VLOOKUP(B103,'IA FG'!$B$2:$G$600,6,FALSE)</f>
        <v>CRO</v>
      </c>
      <c r="D103" s="207">
        <v>6</v>
      </c>
      <c r="E103" s="207">
        <v>7</v>
      </c>
      <c r="F103" s="207">
        <v>6</v>
      </c>
      <c r="G103" s="207">
        <v>6</v>
      </c>
      <c r="H103" s="207">
        <v>6</v>
      </c>
      <c r="I103" s="207">
        <v>5</v>
      </c>
      <c r="J103" s="159">
        <f>$D103*Pesi!$F$5+Pesi!$F$6*$E103+$F103*Pesi!$F$7+Pesi!$F$8*$G103+$H103*Pesi!$F$9+Pesi!$F$10*$I103+VLOOKUP($C103,TabAlgSqu,2,FALSE)*Pesi!$F$11+Pesi!$F$12*VLOOKUP($C103,TabAlgFC,2,FALSE)+VLOOKUP($C103,TabAlgAll,2,FALSE)*Pesi!$F$13</f>
        <v>60.738099999999996</v>
      </c>
      <c r="K103" s="155">
        <f>IF(ISNA(MATCH($B103,Pesi!$B$31:$B$34,0)),VLOOKUP(Pesi!$B$33,TabAlgDif,10,FALSE)-((VLOOKUP(Pesi!$B$33,TabAlgDif,9,FALSE)-$J103)/(VLOOKUP(Pesi!$B$33,TabAlgDif,9,FALSE)-Pesi!$D$43))*VLOOKUP(Pesi!$B$33,TabAlgDif,10,FALSE),Pesi!$F$33*Pesi!$C$28)</f>
        <v>-2.8032669046202727</v>
      </c>
      <c r="L103" s="155">
        <f t="shared" si="9"/>
        <v>1</v>
      </c>
      <c r="M103" s="160">
        <f>$D103*Pesi!$H$5+Pesi!$H$6*$E103+$F103*Pesi!$H$7+Pesi!$H$8*$G103+$H103*Pesi!$H$9+Pesi!$H$10*$I103+VLOOKUP($C103,TabAlgSqu,2,FALSE)*Pesi!$H$11+Pesi!$H$12*VLOOKUP($C103,TabAlgFC,2,FALSE)+VLOOKUP($C103,TabAlgAll,2,FALSE)*Pesi!$H$13</f>
        <v>64.0381</v>
      </c>
      <c r="N103" s="155">
        <f>IF(ISNA(MATCH($B103,Pesi!$B$31:$B$34,0)),VLOOKUP(Pesi!$B$33,TabAlgDif,13,FALSE)-((VLOOKUP(Pesi!$B$33,TabAlgDif,12,FALSE)-$M103)/(VLOOKUP(Pesi!$B$33,TabAlgDif,12,FALSE)-Pesi!$F$43))*VLOOKUP(Pesi!$B$33,TabAlgDif,13,FALSE),$K103*$M103/$J103)</f>
        <v>-3.7143477588158476</v>
      </c>
      <c r="O103" s="155">
        <f t="shared" si="10"/>
        <v>1</v>
      </c>
      <c r="P103">
        <f t="shared" si="11"/>
        <v>36</v>
      </c>
      <c r="Q103" t="e">
        <f>VLOOKUP(B103,'C.P.'!$A$2:$B$164,2,FALSE)</f>
        <v>#N/A</v>
      </c>
      <c r="R103" t="e">
        <f>VLOOKUP(C103,'C.P.'!$C$2:$C$164,2,FALSE)</f>
        <v>#N/A</v>
      </c>
      <c r="S103" t="e">
        <f>VLOOKUP(D103,'C.P.'!$E$2:$F$164,2,FALSE)</f>
        <v>#N/A</v>
      </c>
      <c r="T103" t="e">
        <f>VLOOKUP(E103,'C.P.'!$G$2:$H$164,2,FALSE)</f>
        <v>#N/A</v>
      </c>
      <c r="U103" s="180" t="s">
        <v>880</v>
      </c>
    </row>
    <row r="104" spans="1:21">
      <c r="A104">
        <f ca="1">COUNTIF('I.A. + Fasce'!B$1:'I.A. + Fasce'!B$538,B98)</f>
        <v>1</v>
      </c>
      <c r="B104" s="205" t="s">
        <v>1941</v>
      </c>
      <c r="C104" s="206" t="str">
        <f>VLOOKUP(B104,'IA FG'!$B$2:$G$600,6,FALSE)</f>
        <v>GEN</v>
      </c>
      <c r="D104" s="207">
        <v>8</v>
      </c>
      <c r="E104" s="207">
        <v>5</v>
      </c>
      <c r="F104" s="207">
        <v>6</v>
      </c>
      <c r="G104" s="207">
        <v>6</v>
      </c>
      <c r="H104" s="207">
        <v>6</v>
      </c>
      <c r="I104" s="207">
        <v>5</v>
      </c>
      <c r="J104" s="159">
        <f>$D104*Pesi!$F$5+Pesi!$F$6*$E104+$F104*Pesi!$F$7+Pesi!$F$8*$G104+$H104*Pesi!$F$9+Pesi!$F$10*$I104+VLOOKUP($C104,TabAlgSqu,2,FALSE)*Pesi!$F$11+Pesi!$F$12*VLOOKUP($C104,TabAlgFC,2,FALSE)+VLOOKUP($C104,TabAlgAll,2,FALSE)*Pesi!$F$13</f>
        <v>60.572700000000005</v>
      </c>
      <c r="K104" s="155">
        <f>IF(ISNA(MATCH($B104,Pesi!$B$31:$B$34,0)),VLOOKUP(Pesi!$B$33,TabAlgDif,10,FALSE)-((VLOOKUP(Pesi!$B$33,TabAlgDif,9,FALSE)-$J104)/(VLOOKUP(Pesi!$B$33,TabAlgDif,9,FALSE)-Pesi!$C$43))*VLOOKUP(Pesi!$B$33,TabAlgDif,10,FALSE),Pesi!$F$33*Pesi!$C$28)</f>
        <v>-3.2911373389483423</v>
      </c>
      <c r="L104" s="155">
        <f t="shared" si="9"/>
        <v>1</v>
      </c>
      <c r="M104" s="160">
        <f>$D104*Pesi!$H$5+Pesi!$H$6*$E104+$F104*Pesi!$H$7+Pesi!$H$8*$G104+$H104*Pesi!$H$9+Pesi!$H$10*$I104+VLOOKUP($C104,TabAlgSqu,2,FALSE)*Pesi!$H$11+Pesi!$H$12*VLOOKUP($C104,TabAlgFC,2,FALSE)+VLOOKUP($C104,TabAlgAll,2,FALSE)*Pesi!$H$13</f>
        <v>63.872700000000009</v>
      </c>
      <c r="N104" s="155">
        <f>IF(ISNA(MATCH($B104,Pesi!$B$31:$B$34,0)),VLOOKUP(Pesi!$B$33,TabAlgDif,13,FALSE)-((VLOOKUP(Pesi!$B$33,TabAlgDif,12,FALSE)-$M104)/(VLOOKUP(Pesi!$B$33,TabAlgDif,12,FALSE)-Pesi!$F$43))*VLOOKUP(Pesi!$B$33,TabAlgDif,13,FALSE),$K104*$M104/$J104)</f>
        <v>-3.9217663480012064</v>
      </c>
      <c r="O104" s="155">
        <f t="shared" si="10"/>
        <v>1</v>
      </c>
      <c r="P104">
        <f t="shared" si="11"/>
        <v>36</v>
      </c>
      <c r="Q104" t="e">
        <f>VLOOKUP(B104,'C.P.'!$A$2:$B$164,2,FALSE)</f>
        <v>#N/A</v>
      </c>
      <c r="R104" t="e">
        <f>VLOOKUP(B104,'C.P.'!$C$2:$D$164,2,FALSE)</f>
        <v>#N/A</v>
      </c>
      <c r="S104" t="e">
        <f>VLOOKUP(B104,'C.P.'!$E$2:$F$164,2,FALSE)</f>
        <v>#N/A</v>
      </c>
      <c r="T104" t="e">
        <f>VLOOKUP(B104,'C.P.'!$G$2:$H$164,2,FALSE)</f>
        <v>#N/A</v>
      </c>
    </row>
    <row r="105" spans="1:21">
      <c r="A105">
        <f ca="1">COUNTIF('I.A. + Fasce'!B$1:'I.A. + Fasce'!B$538,B102)</f>
        <v>1</v>
      </c>
      <c r="B105" s="205" t="s">
        <v>534</v>
      </c>
      <c r="C105" s="206" t="str">
        <f>VLOOKUP(B105,'IA FG'!$B$2:$G$600,6,FALSE)</f>
        <v>NAP</v>
      </c>
      <c r="D105" s="207">
        <v>7</v>
      </c>
      <c r="E105" s="207">
        <v>5</v>
      </c>
      <c r="F105" s="207">
        <v>5</v>
      </c>
      <c r="G105" s="207">
        <v>5</v>
      </c>
      <c r="H105" s="207">
        <v>6</v>
      </c>
      <c r="I105" s="207">
        <v>6</v>
      </c>
      <c r="J105" s="159">
        <f>$D105*Pesi!$F$5+Pesi!$F$6*$E105+$F105*Pesi!$F$7+Pesi!$F$8*$G105+$H105*Pesi!$F$9+Pesi!$F$10*$I105+VLOOKUP($C105,TabAlgSqu,2,FALSE)*Pesi!$F$11+Pesi!$F$12*VLOOKUP($C105,TabAlgFC,2,FALSE)+VLOOKUP($C105,TabAlgAll,2,FALSE)*Pesi!$F$13</f>
        <v>60.422199999999997</v>
      </c>
      <c r="K105" s="155">
        <f>IF(ISNA(MATCH($B105,Pesi!$B$31:$B$34,0)),VLOOKUP(Pesi!$B$33,TabAlgDif,10,FALSE)-((VLOOKUP(Pesi!$B$33,TabAlgDif,9,FALSE)-$J105)/(VLOOKUP(Pesi!$B$33,TabAlgDif,9,FALSE)-Pesi!$D$43))*VLOOKUP(Pesi!$B$33,TabAlgDif,10,FALSE),Pesi!$F$33*Pesi!$C$28)</f>
        <v>-3.1947749355542392</v>
      </c>
      <c r="L105" s="155">
        <f t="shared" si="9"/>
        <v>1</v>
      </c>
      <c r="M105" s="160">
        <f>$D105*Pesi!$H$5+Pesi!$H$6*$E105+$F105*Pesi!$H$7+Pesi!$H$8*$G105+$H105*Pesi!$H$9+Pesi!$H$10*$I105+VLOOKUP($C105,TabAlgSqu,2,FALSE)*Pesi!$H$11+Pesi!$H$12*VLOOKUP($C105,TabAlgFC,2,FALSE)+VLOOKUP($C105,TabAlgAll,2,FALSE)*Pesi!$H$13</f>
        <v>63.172199999999997</v>
      </c>
      <c r="N105" s="155">
        <f>IF(ISNA(MATCH($B105,Pesi!$B$31:$B$34,0)),VLOOKUP(Pesi!$B$33,TabAlgDif,13,FALSE)-((VLOOKUP(Pesi!$B$33,TabAlgDif,12,FALSE)-$M105)/(VLOOKUP(Pesi!$B$33,TabAlgDif,12,FALSE)-Pesi!$F$43))*VLOOKUP(Pesi!$B$33,TabAlgDif,13,FALSE),$K105*$M105/$J105)</f>
        <v>-4.8002229485111947</v>
      </c>
      <c r="O105" s="155">
        <f t="shared" si="10"/>
        <v>1</v>
      </c>
      <c r="P105">
        <f t="shared" si="11"/>
        <v>34</v>
      </c>
      <c r="Q105" t="e">
        <f>VLOOKUP(B105,'C.P.'!$A$2:$B$164,2,FALSE)</f>
        <v>#N/A</v>
      </c>
      <c r="R105" t="e">
        <f>VLOOKUP(C105,'C.P.'!$C$2:$C$164,2,FALSE)</f>
        <v>#N/A</v>
      </c>
      <c r="S105" t="e">
        <f>VLOOKUP(D105,'C.P.'!$E$2:$F$164,2,FALSE)</f>
        <v>#N/A</v>
      </c>
      <c r="T105" t="e">
        <f>VLOOKUP(E105,'C.P.'!$G$2:$H$164,2,FALSE)</f>
        <v>#N/A</v>
      </c>
    </row>
    <row r="106" spans="1:21">
      <c r="A106">
        <f ca="1">COUNTIF('I.A. + Fasce'!B$1:'I.A. + Fasce'!B$538,B102)</f>
        <v>1</v>
      </c>
      <c r="B106" s="205" t="s">
        <v>611</v>
      </c>
      <c r="C106" s="206" t="str">
        <f>VLOOKUP(B106,'IA FG'!$B$2:$G$600,6,FALSE)</f>
        <v>NAP</v>
      </c>
      <c r="D106" s="207">
        <v>5</v>
      </c>
      <c r="E106" s="207">
        <v>5</v>
      </c>
      <c r="F106" s="207">
        <v>6</v>
      </c>
      <c r="G106" s="207">
        <v>7</v>
      </c>
      <c r="H106" s="207">
        <v>6</v>
      </c>
      <c r="I106" s="207">
        <v>5</v>
      </c>
      <c r="J106" s="159">
        <f>$D106*Pesi!$F$5+Pesi!$F$6*$E106+$F106*Pesi!$F$7+Pesi!$F$8*$G106+$H106*Pesi!$F$9+Pesi!$F$10*$I106+VLOOKUP($C106,TabAlgSqu,2,FALSE)*Pesi!$F$11+Pesi!$F$12*VLOOKUP($C106,TabAlgFC,2,FALSE)+VLOOKUP($C106,TabAlgAll,2,FALSE)*Pesi!$F$13</f>
        <v>60.334799999999994</v>
      </c>
      <c r="K106" s="155">
        <f>IF(ISNA(MATCH($B106,Pesi!$B$31:$B$34,0)),VLOOKUP(Pesi!$B$33,TabAlgDif,10,FALSE)-((VLOOKUP(Pesi!$B$33,TabAlgDif,9,FALSE)-$J106)/(VLOOKUP(Pesi!$B$33,TabAlgDif,9,FALSE)-Pesi!$D$43))*VLOOKUP(Pesi!$B$33,TabAlgDif,10,FALSE),Pesi!$F$33*Pesi!$C$28)</f>
        <v>-3.3030933967876379</v>
      </c>
      <c r="L106" s="155">
        <f t="shared" si="9"/>
        <v>1</v>
      </c>
      <c r="M106" s="160">
        <f>$D106*Pesi!$H$5+Pesi!$H$6*$E106+$F106*Pesi!$H$7+Pesi!$H$8*$G106+$H106*Pesi!$H$9+Pesi!$H$10*$I106+VLOOKUP($C106,TabAlgSqu,2,FALSE)*Pesi!$H$11+Pesi!$H$12*VLOOKUP($C106,TabAlgFC,2,FALSE)+VLOOKUP($C106,TabAlgAll,2,FALSE)*Pesi!$H$13</f>
        <v>63.634800000000006</v>
      </c>
      <c r="N106" s="155">
        <f>IF(ISNA(MATCH($B106,Pesi!$B$31:$B$34,0)),VLOOKUP(Pesi!$B$33,TabAlgDif,13,FALSE)-((VLOOKUP(Pesi!$B$33,TabAlgDif,12,FALSE)-$M106)/(VLOOKUP(Pesi!$B$33,TabAlgDif,12,FALSE)-Pesi!$F$43))*VLOOKUP(Pesi!$B$33,TabAlgDif,13,FALSE),$K106*$M106/$J106)</f>
        <v>-4.220103000765409</v>
      </c>
      <c r="O106" s="155">
        <f t="shared" si="10"/>
        <v>1</v>
      </c>
      <c r="P106">
        <f t="shared" si="11"/>
        <v>34</v>
      </c>
      <c r="Q106" t="e">
        <f>VLOOKUP(B106,'C.P.'!$A$2:$B$164,2,FALSE)</f>
        <v>#N/A</v>
      </c>
      <c r="R106" t="e">
        <f>VLOOKUP(C106,'C.P.'!$C$2:$C$164,2,FALSE)</f>
        <v>#N/A</v>
      </c>
      <c r="S106" t="e">
        <f>VLOOKUP(D106,'C.P.'!$E$2:$F$164,2,FALSE)</f>
        <v>#N/A</v>
      </c>
      <c r="T106" t="e">
        <f>VLOOKUP(E106,'C.P.'!$G$2:$H$164,2,FALSE)</f>
        <v>#N/A</v>
      </c>
      <c r="U106" s="420"/>
    </row>
    <row r="107" spans="1:21">
      <c r="A107">
        <f ca="1">COUNTIF('I.A. + Fasce'!B$1:'I.A. + Fasce'!B$538,B99)</f>
        <v>1</v>
      </c>
      <c r="B107" s="205" t="s">
        <v>1696</v>
      </c>
      <c r="C107" s="206" t="str">
        <f>VLOOKUP(B107,'IA FG'!$B$2:$G$600,6,FALSE)</f>
        <v>BEN</v>
      </c>
      <c r="D107" s="207">
        <v>8</v>
      </c>
      <c r="E107" s="207">
        <v>8</v>
      </c>
      <c r="F107" s="207">
        <v>6</v>
      </c>
      <c r="G107" s="207">
        <v>7</v>
      </c>
      <c r="H107" s="207">
        <v>6</v>
      </c>
      <c r="I107" s="207">
        <v>7</v>
      </c>
      <c r="J107" s="159">
        <f>$D107*Pesi!$F$5+Pesi!$F$6*$E107+$F107*Pesi!$F$7+Pesi!$F$8*$G107+$H107*Pesi!$F$9+Pesi!$F$10*$I107+VLOOKUP($C107,TabAlgSqu,2,FALSE)*Pesi!$F$11+Pesi!$F$12*VLOOKUP($C107,TabAlgFC,2,FALSE)+VLOOKUP($C107,TabAlgAll,2,FALSE)*Pesi!$F$13</f>
        <v>60.282299999999999</v>
      </c>
      <c r="K107" s="155">
        <f>IF(ISNA(MATCH($B107,Pesi!$B$31:$B$34,0)),VLOOKUP(Pesi!$B$33,TabAlgDif,10,FALSE)-((VLOOKUP(Pesi!$B$33,TabAlgDif,9,FALSE)-$J107)/(VLOOKUP(Pesi!$B$33,TabAlgDif,9,FALSE)-Pesi!$C$43))*VLOOKUP(Pesi!$B$33,TabAlgDif,10,FALSE),Pesi!$F$33*Pesi!$C$28)</f>
        <v>-3.6546771956355251</v>
      </c>
      <c r="L107" s="155">
        <f t="shared" si="9"/>
        <v>1</v>
      </c>
      <c r="M107" s="160">
        <f>$D107*Pesi!$H$5+Pesi!$H$6*$E107+$F107*Pesi!$H$7+Pesi!$H$8*$G107+$H107*Pesi!$H$9+Pesi!$H$10*$I107+VLOOKUP($C107,TabAlgSqu,2,FALSE)*Pesi!$H$11+Pesi!$H$12*VLOOKUP($C107,TabAlgFC,2,FALSE)+VLOOKUP($C107,TabAlgAll,2,FALSE)*Pesi!$H$13</f>
        <v>63.582299999999996</v>
      </c>
      <c r="N107" s="155">
        <f>IF(ISNA(MATCH($B107,Pesi!$B$31:$B$34,0)),VLOOKUP(Pesi!$B$33,TabAlgDif,13,FALSE)-((VLOOKUP(Pesi!$B$33,TabAlgDif,12,FALSE)-$M107)/(VLOOKUP(Pesi!$B$33,TabAlgDif,12,FALSE)-Pesi!$F$43))*VLOOKUP(Pesi!$B$33,TabAlgDif,13,FALSE),$K107*$M107/$J107)</f>
        <v>-4.2859402192190572</v>
      </c>
      <c r="O107" s="155">
        <f t="shared" si="10"/>
        <v>1</v>
      </c>
      <c r="P107">
        <f t="shared" si="11"/>
        <v>42</v>
      </c>
      <c r="Q107">
        <f>VLOOKUP(B107,'C.P.'!$A$2:$B$164,2,FALSE)</f>
        <v>0</v>
      </c>
      <c r="R107" t="e">
        <f>VLOOKUP(B107,'C.P.'!$C$2:$D$164,2,FALSE)</f>
        <v>#N/A</v>
      </c>
      <c r="S107" t="e">
        <f>VLOOKUP(B107,'C.P.'!$E$2:$F$164,2,FALSE)</f>
        <v>#N/A</v>
      </c>
      <c r="T107" t="e">
        <f>VLOOKUP(B107,'C.P.'!$G$2:$H$164,2,FALSE)</f>
        <v>#N/A</v>
      </c>
    </row>
    <row r="108" spans="1:21">
      <c r="A108">
        <f ca="1">COUNTIF('I.A. + Fasce'!B$1:'I.A. + Fasce'!B$538,B102)</f>
        <v>1</v>
      </c>
      <c r="B108" s="205" t="s">
        <v>521</v>
      </c>
      <c r="C108" s="206" t="str">
        <f>VLOOKUP(B108,'IA FG'!$B$2:$G$600,6,FALSE)</f>
        <v>ROM</v>
      </c>
      <c r="D108" s="207">
        <v>8</v>
      </c>
      <c r="E108" s="207">
        <v>6</v>
      </c>
      <c r="F108" s="207">
        <v>5</v>
      </c>
      <c r="G108" s="207">
        <v>4</v>
      </c>
      <c r="H108" s="207">
        <v>6</v>
      </c>
      <c r="I108" s="207">
        <v>5</v>
      </c>
      <c r="J108" s="159">
        <f>$D108*Pesi!$F$5+Pesi!$F$6*$E108+$F108*Pesi!$F$7+Pesi!$F$8*$G108+$H108*Pesi!$F$9+Pesi!$F$10*$I108+VLOOKUP($C108,TabAlgSqu,2,FALSE)*Pesi!$F$11+Pesi!$F$12*VLOOKUP($C108,TabAlgFC,2,FALSE)+VLOOKUP($C108,TabAlgAll,2,FALSE)*Pesi!$F$13</f>
        <v>60.220699999999994</v>
      </c>
      <c r="K108" s="155">
        <f>IF(ISNA(MATCH($B108,Pesi!$B$31:$B$34,0)),VLOOKUP(Pesi!$B$33,TabAlgDif,10,FALSE)-((VLOOKUP(Pesi!$B$33,TabAlgDif,9,FALSE)-$J108)/(VLOOKUP(Pesi!$B$33,TabAlgDif,9,FALSE)-Pesi!$D$43))*VLOOKUP(Pesi!$B$33,TabAlgDif,10,FALSE),Pesi!$F$33*Pesi!$C$28)</f>
        <v>-3.4445022803886687</v>
      </c>
      <c r="L108" s="155">
        <f t="shared" si="9"/>
        <v>1</v>
      </c>
      <c r="M108" s="160">
        <f>$D108*Pesi!$H$5+Pesi!$H$6*$E108+$F108*Pesi!$H$7+Pesi!$H$8*$G108+$H108*Pesi!$H$9+Pesi!$H$10*$I108+VLOOKUP($C108,TabAlgSqu,2,FALSE)*Pesi!$H$11+Pesi!$H$12*VLOOKUP($C108,TabAlgFC,2,FALSE)+VLOOKUP($C108,TabAlgAll,2,FALSE)*Pesi!$H$13</f>
        <v>62.970699999999994</v>
      </c>
      <c r="N108" s="155">
        <f>IF(ISNA(MATCH($B108,Pesi!$B$31:$B$34,0)),VLOOKUP(Pesi!$B$33,TabAlgDif,13,FALSE)-((VLOOKUP(Pesi!$B$33,TabAlgDif,12,FALSE)-$M108)/(VLOOKUP(Pesi!$B$33,TabAlgDif,12,FALSE)-Pesi!$F$43))*VLOOKUP(Pesi!$B$33,TabAlgDif,13,FALSE),$K108*$M108/$J108)</f>
        <v>-5.0529124631475462</v>
      </c>
      <c r="O108" s="155">
        <f t="shared" si="10"/>
        <v>1</v>
      </c>
      <c r="P108">
        <f t="shared" si="11"/>
        <v>34</v>
      </c>
      <c r="Q108">
        <f>VLOOKUP(B108,'C.P.'!$A$2:$B$164,2,FALSE)</f>
        <v>-1</v>
      </c>
      <c r="R108" t="e">
        <f>VLOOKUP(C108,'C.P.'!$C$2:$C$164,2,FALSE)</f>
        <v>#N/A</v>
      </c>
      <c r="S108" t="e">
        <f>VLOOKUP(D108,'C.P.'!$E$2:$F$164,2,FALSE)</f>
        <v>#N/A</v>
      </c>
      <c r="T108" t="e">
        <f>VLOOKUP(E108,'C.P.'!$G$2:$H$164,2,FALSE)</f>
        <v>#N/A</v>
      </c>
    </row>
    <row r="109" spans="1:21">
      <c r="A109">
        <f ca="1">COUNTIF('I.A. + Fasce'!B$1:'I.A. + Fasce'!B$538,B104)</f>
        <v>1</v>
      </c>
      <c r="B109" s="205" t="s">
        <v>1288</v>
      </c>
      <c r="C109" s="206" t="str">
        <f>VLOOKUP(B109,'IA FG'!$B$2:$G$600,6,FALSE)</f>
        <v>CAG</v>
      </c>
      <c r="D109" s="207">
        <v>7</v>
      </c>
      <c r="E109" s="207">
        <v>6</v>
      </c>
      <c r="F109" s="207">
        <v>5</v>
      </c>
      <c r="G109" s="207">
        <v>6</v>
      </c>
      <c r="H109" s="207">
        <v>7</v>
      </c>
      <c r="I109" s="207">
        <v>5</v>
      </c>
      <c r="J109" s="159">
        <f>$D109*Pesi!$F$5+Pesi!$F$6*$E109+$F109*Pesi!$F$7+Pesi!$F$8*$G109+$H109*Pesi!$F$9+Pesi!$F$10*$I109+VLOOKUP($C109,TabAlgSqu,2,FALSE)*Pesi!$F$11+Pesi!$F$12*VLOOKUP($C109,TabAlgFC,2,FALSE)+VLOOKUP($C109,TabAlgAll,2,FALSE)*Pesi!$F$13</f>
        <v>60.1327</v>
      </c>
      <c r="K109" s="155">
        <f>IF(ISNA(MATCH($B109,Pesi!$B$31:$B$34,0)),VLOOKUP(Pesi!$B$33,TabAlgDif,10,FALSE)-((VLOOKUP(Pesi!$B$33,TabAlgDif,9,FALSE)-$J109)/(VLOOKUP(Pesi!$B$33,TabAlgDif,9,FALSE)-Pesi!$D$43))*VLOOKUP(Pesi!$B$33,TabAlgDif,10,FALSE),Pesi!$F$33*Pesi!$C$28)</f>
        <v>-3.5535643466190798</v>
      </c>
      <c r="L109" s="155">
        <f t="shared" si="9"/>
        <v>1</v>
      </c>
      <c r="M109" s="160">
        <f>$D109*Pesi!$H$5+Pesi!$H$6*$E109+$F109*Pesi!$H$7+Pesi!$H$8*$G109+$H109*Pesi!$H$9+Pesi!$H$10*$I109+VLOOKUP($C109,TabAlgSqu,2,FALSE)*Pesi!$H$11+Pesi!$H$12*VLOOKUP($C109,TabAlgFC,2,FALSE)+VLOOKUP($C109,TabAlgAll,2,FALSE)*Pesi!$H$13</f>
        <v>62.882699999999993</v>
      </c>
      <c r="N109" s="155">
        <f>IF(ISNA(MATCH($B109,Pesi!$B$31:$B$34,0)),VLOOKUP(Pesi!$B$33,TabAlgDif,13,FALSE)-((VLOOKUP(Pesi!$B$33,TabAlgDif,12,FALSE)-$M109)/(VLOOKUP(Pesi!$B$33,TabAlgDif,12,FALSE)-Pesi!$F$43))*VLOOKUP(Pesi!$B$33,TabAlgDif,13,FALSE),$K109*$M109/$J109)</f>
        <v>-5.1632681816984061</v>
      </c>
      <c r="O109" s="155">
        <f t="shared" si="10"/>
        <v>1</v>
      </c>
      <c r="P109">
        <f t="shared" si="11"/>
        <v>36</v>
      </c>
      <c r="Q109" t="e">
        <f>VLOOKUP(B109,'C.P.'!$A$2:$B$164,2,FALSE)</f>
        <v>#N/A</v>
      </c>
      <c r="R109" t="e">
        <f>VLOOKUP(C109,'C.P.'!$C$2:$C$164,2,FALSE)</f>
        <v>#N/A</v>
      </c>
      <c r="S109" t="e">
        <f>VLOOKUP(D109,'C.P.'!$E$2:$F$164,2,FALSE)</f>
        <v>#N/A</v>
      </c>
      <c r="T109" t="e">
        <f>VLOOKUP(E109,'C.P.'!$G$2:$H$164,2,FALSE)</f>
        <v>#N/A</v>
      </c>
    </row>
    <row r="110" spans="1:21">
      <c r="A110">
        <f ca="1">COUNTIF('I.A. + Fasce'!B$1:'I.A. + Fasce'!B$538,B105)</f>
        <v>1</v>
      </c>
      <c r="B110" s="205" t="s">
        <v>1715</v>
      </c>
      <c r="C110" s="206" t="str">
        <f>VLOOKUP(B110,'IA FG'!$B$2:$G$600,6,FALSE)</f>
        <v>ATA</v>
      </c>
      <c r="D110" s="207">
        <v>9</v>
      </c>
      <c r="E110" s="207">
        <v>4</v>
      </c>
      <c r="F110" s="207">
        <v>6</v>
      </c>
      <c r="G110" s="207">
        <v>6</v>
      </c>
      <c r="H110" s="207">
        <v>6</v>
      </c>
      <c r="I110" s="207">
        <v>4</v>
      </c>
      <c r="J110" s="159">
        <f>$D110*Pesi!$F$5+Pesi!$F$6*$E110+$F110*Pesi!$F$7+Pesi!$F$8*$G110+$H110*Pesi!$F$9+Pesi!$F$10*$I110+VLOOKUP($C110,TabAlgSqu,2,FALSE)*Pesi!$F$11+Pesi!$F$12*VLOOKUP($C110,TabAlgFC,2,FALSE)+VLOOKUP($C110,TabAlgAll,2,FALSE)*Pesi!$F$13</f>
        <v>59.936700000000002</v>
      </c>
      <c r="K110" s="155">
        <f>IF(ISNA(MATCH($B110,Pesi!$B$31:$B$34,0)),VLOOKUP(Pesi!$B$33,TabAlgDif,10,FALSE)-((VLOOKUP(Pesi!$B$33,TabAlgDif,9,FALSE)-$J110)/(VLOOKUP(Pesi!$B$33,TabAlgDif,9,FALSE)-Pesi!$D$43))*VLOOKUP(Pesi!$B$33,TabAlgDif,10,FALSE),Pesi!$F$33*Pesi!$C$28)</f>
        <v>-3.7964753123141008</v>
      </c>
      <c r="L110" s="155">
        <f t="shared" si="9"/>
        <v>1</v>
      </c>
      <c r="M110" s="160">
        <f>$D110*Pesi!$H$5+Pesi!$H$6*$E110+$F110*Pesi!$H$7+Pesi!$H$8*$G110+$H110*Pesi!$H$9+Pesi!$H$10*$I110+VLOOKUP($C110,TabAlgSqu,2,FALSE)*Pesi!$H$11+Pesi!$H$12*VLOOKUP($C110,TabAlgFC,2,FALSE)+VLOOKUP($C110,TabAlgAll,2,FALSE)*Pesi!$H$13</f>
        <v>63.236699999999999</v>
      </c>
      <c r="N110" s="155">
        <f>IF(ISNA(MATCH($B110,Pesi!$B$31:$B$34,0)),VLOOKUP(Pesi!$B$33,TabAlgDif,13,FALSE)-((VLOOKUP(Pesi!$B$33,TabAlgDif,12,FALSE)-$M110)/(VLOOKUP(Pesi!$B$33,TabAlgDif,12,FALSE)-Pesi!$F$43))*VLOOKUP(Pesi!$B$33,TabAlgDif,13,FALSE),$K110*$M110/$J110)</f>
        <v>-4.7193372229824391</v>
      </c>
      <c r="O110" s="155">
        <f t="shared" si="10"/>
        <v>1</v>
      </c>
      <c r="P110">
        <f t="shared" si="11"/>
        <v>35</v>
      </c>
      <c r="Q110" t="e">
        <f>VLOOKUP(B110,'C.P.'!$A$2:$B$164,2,FALSE)</f>
        <v>#N/A</v>
      </c>
      <c r="R110" t="e">
        <f>VLOOKUP(C110,'C.P.'!$C$2:$C$164,2,FALSE)</f>
        <v>#N/A</v>
      </c>
      <c r="S110" t="e">
        <f>VLOOKUP(D110,'C.P.'!$E$2:$F$164,2,FALSE)</f>
        <v>#N/A</v>
      </c>
      <c r="T110" t="e">
        <f>VLOOKUP(E110,'C.P.'!$G$2:$H$164,2,FALSE)</f>
        <v>#N/A</v>
      </c>
    </row>
    <row r="111" spans="1:21">
      <c r="A111">
        <f ca="1">COUNTIF('I.A. + Fasce'!B$1:'I.A. + Fasce'!B$538,B104)</f>
        <v>1</v>
      </c>
      <c r="B111" s="205" t="s">
        <v>1933</v>
      </c>
      <c r="C111" s="206" t="str">
        <f>VLOOKUP(B111,'IA FG'!$B$2:$G$600,6,FALSE)</f>
        <v>ATA</v>
      </c>
      <c r="D111" s="207">
        <v>9</v>
      </c>
      <c r="E111" s="207">
        <v>4</v>
      </c>
      <c r="F111" s="207">
        <v>6</v>
      </c>
      <c r="G111" s="207">
        <v>6</v>
      </c>
      <c r="H111" s="207">
        <v>6</v>
      </c>
      <c r="I111" s="207">
        <v>4</v>
      </c>
      <c r="J111" s="159">
        <f>$D111*Pesi!$F$5+Pesi!$F$6*$E111+$F111*Pesi!$F$7+Pesi!$F$8*$G111+$H111*Pesi!$F$9+Pesi!$F$10*$I111+VLOOKUP($C111,TabAlgSqu,2,FALSE)*Pesi!$F$11+Pesi!$F$12*VLOOKUP($C111,TabAlgFC,2,FALSE)+VLOOKUP($C111,TabAlgAll,2,FALSE)*Pesi!$F$13</f>
        <v>59.936700000000002</v>
      </c>
      <c r="K111" s="155">
        <f>IF(ISNA(MATCH($B111,Pesi!$B$31:$B$34,0)),VLOOKUP(Pesi!$B$33,TabAlgDif,10,FALSE)-((VLOOKUP(Pesi!$B$33,TabAlgDif,9,FALSE)-$J111)/(VLOOKUP(Pesi!$B$33,TabAlgDif,9,FALSE)-Pesi!$D$43))*VLOOKUP(Pesi!$B$33,TabAlgDif,10,FALSE),Pesi!$F$33*Pesi!$C$28)</f>
        <v>-3.7964753123141008</v>
      </c>
      <c r="L111" s="155">
        <f t="shared" si="9"/>
        <v>1</v>
      </c>
      <c r="M111" s="160">
        <f>$D111*Pesi!$H$5+Pesi!$H$6*$E111+$F111*Pesi!$H$7+Pesi!$H$8*$G111+$H111*Pesi!$H$9+Pesi!$H$10*$I111+VLOOKUP($C111,TabAlgSqu,2,FALSE)*Pesi!$H$11+Pesi!$H$12*VLOOKUP($C111,TabAlgFC,2,FALSE)+VLOOKUP($C111,TabAlgAll,2,FALSE)*Pesi!$H$13</f>
        <v>63.236699999999999</v>
      </c>
      <c r="N111" s="155">
        <f>IF(ISNA(MATCH($B111,Pesi!$B$31:$B$34,0)),VLOOKUP(Pesi!$B$33,TabAlgDif,13,FALSE)-((VLOOKUP(Pesi!$B$33,TabAlgDif,12,FALSE)-$M111)/(VLOOKUP(Pesi!$B$33,TabAlgDif,12,FALSE)-Pesi!$F$43))*VLOOKUP(Pesi!$B$33,TabAlgDif,13,FALSE),$K111*$M111/$J111)</f>
        <v>-4.7193372229824391</v>
      </c>
      <c r="O111" s="155">
        <f t="shared" si="10"/>
        <v>1</v>
      </c>
      <c r="P111">
        <f t="shared" si="11"/>
        <v>35</v>
      </c>
      <c r="Q111" t="e">
        <f>VLOOKUP(B111,'C.P.'!$A$2:$B$164,2,FALSE)</f>
        <v>#N/A</v>
      </c>
      <c r="R111" t="e">
        <f>VLOOKUP(C111,'C.P.'!$C$2:$C$164,2,FALSE)</f>
        <v>#N/A</v>
      </c>
      <c r="S111" t="e">
        <f>VLOOKUP(D111,'C.P.'!$E$2:$F$164,2,FALSE)</f>
        <v>#N/A</v>
      </c>
      <c r="T111" t="e">
        <f>VLOOKUP(E111,'C.P.'!$G$2:$H$164,2,FALSE)</f>
        <v>#N/A</v>
      </c>
    </row>
    <row r="112" spans="1:21">
      <c r="A112">
        <f ca="1">COUNTIF('I.A. + Fasce'!B$1:'I.A. + Fasce'!B$538,B108)</f>
        <v>1</v>
      </c>
      <c r="B112" s="205" t="s">
        <v>533</v>
      </c>
      <c r="C112" s="206" t="str">
        <f>VLOOKUP(B112,'IA FG'!$B$2:$G$600,6,FALSE)</f>
        <v>LAZ</v>
      </c>
      <c r="D112" s="207">
        <v>6</v>
      </c>
      <c r="E112" s="207">
        <v>5</v>
      </c>
      <c r="F112" s="207">
        <v>6</v>
      </c>
      <c r="G112" s="207">
        <v>6</v>
      </c>
      <c r="H112" s="207">
        <v>6</v>
      </c>
      <c r="I112" s="207">
        <v>5</v>
      </c>
      <c r="J112" s="159">
        <f>$D112*Pesi!$F$5+Pesi!$F$6*$E112+$F112*Pesi!$F$7+Pesi!$F$8*$G112+$H112*Pesi!$F$9+Pesi!$F$10*$I112+VLOOKUP($C112,TabAlgSqu,2,FALSE)*Pesi!$F$11+Pesi!$F$12*VLOOKUP($C112,TabAlgFC,2,FALSE)+VLOOKUP($C112,TabAlgAll,2,FALSE)*Pesi!$F$13</f>
        <v>59.643099999999997</v>
      </c>
      <c r="K112" s="155">
        <f>IF(ISNA(MATCH($B112,Pesi!$B$31:$B$34,0)),VLOOKUP(Pesi!$B$33,TabAlgDif,10,FALSE)-((VLOOKUP(Pesi!$B$33,TabAlgDif,9,FALSE)-$J112)/(VLOOKUP(Pesi!$B$33,TabAlgDif,9,FALSE)-Pesi!$D$43))*VLOOKUP(Pesi!$B$33,TabAlgDif,10,FALSE),Pesi!$F$33*Pesi!$C$28)</f>
        <v>-4.1603460241919592</v>
      </c>
      <c r="L112" s="155">
        <f t="shared" si="9"/>
        <v>1</v>
      </c>
      <c r="M112" s="160">
        <f>$D112*Pesi!$H$5+Pesi!$H$6*$E112+$F112*Pesi!$H$7+Pesi!$H$8*$G112+$H112*Pesi!$H$9+Pesi!$H$10*$I112+VLOOKUP($C112,TabAlgSqu,2,FALSE)*Pesi!$H$11+Pesi!$H$12*VLOOKUP($C112,TabAlgFC,2,FALSE)+VLOOKUP($C112,TabAlgAll,2,FALSE)*Pesi!$H$13</f>
        <v>62.943100000000001</v>
      </c>
      <c r="N112" s="155">
        <f>IF(ISNA(MATCH($B112,Pesi!$B$31:$B$34,0)),VLOOKUP(Pesi!$B$33,TabAlgDif,13,FALSE)-((VLOOKUP(Pesi!$B$33,TabAlgDif,12,FALSE)-$M112)/(VLOOKUP(Pesi!$B$33,TabAlgDif,12,FALSE)-Pesi!$F$43))*VLOOKUP(Pesi!$B$33,TabAlgDif,13,FALSE),$K112*$M112/$J112)</f>
        <v>-5.0875240294203046</v>
      </c>
      <c r="O112" s="155">
        <f t="shared" si="10"/>
        <v>1</v>
      </c>
      <c r="P112">
        <f t="shared" si="11"/>
        <v>34</v>
      </c>
      <c r="Q112" t="e">
        <f>VLOOKUP(B112,'C.P.'!$A$2:$B$164,2,FALSE)</f>
        <v>#N/A</v>
      </c>
      <c r="R112" t="e">
        <f>VLOOKUP(C112,'C.P.'!$C$2:$C$164,2,FALSE)</f>
        <v>#N/A</v>
      </c>
      <c r="S112" t="e">
        <f>VLOOKUP(D112,'C.P.'!$E$2:$F$164,2,FALSE)</f>
        <v>#N/A</v>
      </c>
      <c r="T112" t="e">
        <f>VLOOKUP(E112,'C.P.'!$G$2:$H$164,2,FALSE)</f>
        <v>#N/A</v>
      </c>
    </row>
    <row r="113" spans="1:21">
      <c r="A113">
        <f ca="1">COUNTIF('I.A. + Fasce'!B$1:'I.A. + Fasce'!B$538,B109)</f>
        <v>1</v>
      </c>
      <c r="B113" s="205" t="s">
        <v>1719</v>
      </c>
      <c r="C113" s="206" t="str">
        <f>VLOOKUP(B113,'IA FG'!$B$2:$G$600,6,FALSE)</f>
        <v>UDI</v>
      </c>
      <c r="D113" s="207">
        <v>8</v>
      </c>
      <c r="E113" s="207">
        <v>3</v>
      </c>
      <c r="F113" s="207">
        <v>6</v>
      </c>
      <c r="G113" s="207">
        <v>7</v>
      </c>
      <c r="H113" s="207">
        <v>6</v>
      </c>
      <c r="I113" s="207">
        <v>4</v>
      </c>
      <c r="J113" s="159">
        <f>$D113*Pesi!$F$5+Pesi!$F$6*$E113+$F113*Pesi!$F$7+Pesi!$F$8*$G113+$H113*Pesi!$F$9+Pesi!$F$10*$I113+VLOOKUP($C113,TabAlgSqu,2,FALSE)*Pesi!$F$11+Pesi!$F$12*VLOOKUP($C113,TabAlgFC,2,FALSE)+VLOOKUP($C113,TabAlgAll,2,FALSE)*Pesi!$F$13</f>
        <v>59.468899999999998</v>
      </c>
      <c r="K113" s="155">
        <f>IF(ISNA(MATCH($B113,Pesi!$B$31:$B$34,0)),VLOOKUP(Pesi!$B$33,TabAlgDif,10,FALSE)-((VLOOKUP(Pesi!$B$33,TabAlgDif,9,FALSE)-$J113)/(VLOOKUP(Pesi!$B$33,TabAlgDif,9,FALSE)-Pesi!$C$43))*VLOOKUP(Pesi!$B$33,TabAlgDif,10,FALSE),Pesi!$F$33*Pesi!$C$28)</f>
        <v>-4.6729393148826119</v>
      </c>
      <c r="L113" s="155">
        <f t="shared" si="9"/>
        <v>1</v>
      </c>
      <c r="M113" s="160">
        <f>$D113*Pesi!$H$5+Pesi!$H$6*$E113+$F113*Pesi!$H$7+Pesi!$H$8*$G113+$H113*Pesi!$H$9+Pesi!$H$10*$I113+VLOOKUP($C113,TabAlgSqu,2,FALSE)*Pesi!$H$11+Pesi!$H$12*VLOOKUP($C113,TabAlgFC,2,FALSE)+VLOOKUP($C113,TabAlgAll,2,FALSE)*Pesi!$H$13</f>
        <v>62.768899999999995</v>
      </c>
      <c r="N113" s="155">
        <f>IF(ISNA(MATCH($B113,Pesi!$B$31:$B$34,0)),VLOOKUP(Pesi!$B$33,TabAlgDif,13,FALSE)-((VLOOKUP(Pesi!$B$33,TabAlgDif,12,FALSE)-$M113)/(VLOOKUP(Pesi!$B$33,TabAlgDif,12,FALSE)-Pesi!$F$43))*VLOOKUP(Pesi!$B$33,TabAlgDif,13,FALSE),$K113*$M113/$J113)</f>
        <v>-5.3059781904607632</v>
      </c>
      <c r="O113" s="155">
        <f t="shared" si="10"/>
        <v>1</v>
      </c>
      <c r="P113">
        <f t="shared" si="11"/>
        <v>34</v>
      </c>
      <c r="Q113" t="e">
        <f>VLOOKUP(B113,'C.P.'!$A$2:$B$164,2,FALSE)</f>
        <v>#N/A</v>
      </c>
      <c r="R113" t="e">
        <f>VLOOKUP(B113,'C.P.'!$C$2:$D$164,2,FALSE)</f>
        <v>#N/A</v>
      </c>
      <c r="S113" t="e">
        <f>VLOOKUP(B113,'C.P.'!$E$2:$F$164,2,FALSE)</f>
        <v>#N/A</v>
      </c>
      <c r="T113" t="e">
        <f>VLOOKUP(B113,'C.P.'!$G$2:$H$164,2,FALSE)</f>
        <v>#N/A</v>
      </c>
    </row>
    <row r="114" spans="1:21">
      <c r="A114">
        <f ca="1">COUNTIF('I.A. + Fasce'!B$1:'I.A. + Fasce'!B$538,B111)</f>
        <v>1</v>
      </c>
      <c r="B114" s="205" t="s">
        <v>550</v>
      </c>
      <c r="C114" s="206" t="str">
        <f>VLOOKUP(B114,'IA FG'!$B$2:$G$600,6,FALSE)</f>
        <v>BOL</v>
      </c>
      <c r="D114" s="207">
        <v>7</v>
      </c>
      <c r="E114" s="207">
        <v>7</v>
      </c>
      <c r="F114" s="207">
        <v>5</v>
      </c>
      <c r="G114" s="207">
        <v>5</v>
      </c>
      <c r="H114" s="207">
        <v>5</v>
      </c>
      <c r="I114" s="207">
        <v>6</v>
      </c>
      <c r="J114" s="159">
        <f>$D114*Pesi!$F$5+Pesi!$F$6*$E114+$F114*Pesi!$F$7+Pesi!$F$8*$G114+$H114*Pesi!$F$9+Pesi!$F$10*$I114+VLOOKUP($C114,TabAlgSqu,2,FALSE)*Pesi!$F$11+Pesi!$F$12*VLOOKUP($C114,TabAlgFC,2,FALSE)+VLOOKUP($C114,TabAlgAll,2,FALSE)*Pesi!$F$13</f>
        <v>59.452900000000007</v>
      </c>
      <c r="K114" s="155">
        <f>IF(ISNA(MATCH($B114,Pesi!$B$31:$B$34,0)),VLOOKUP(Pesi!$B$33,TabAlgDif,10,FALSE)-((VLOOKUP(Pesi!$B$33,TabAlgDif,9,FALSE)-$J114)/(VLOOKUP(Pesi!$B$33,TabAlgDif,9,FALSE)-Pesi!$D$43))*VLOOKUP(Pesi!$B$33,TabAlgDif,10,FALSE),Pesi!$F$33*Pesi!$C$28)</f>
        <v>-4.3960688082490549</v>
      </c>
      <c r="L114" s="155">
        <f t="shared" si="9"/>
        <v>1</v>
      </c>
      <c r="M114" s="160">
        <f>$D114*Pesi!$H$5+Pesi!$H$6*$E114+$F114*Pesi!$H$7+Pesi!$H$8*$G114+$H114*Pesi!$H$9+Pesi!$H$10*$I114+VLOOKUP($C114,TabAlgSqu,2,FALSE)*Pesi!$H$11+Pesi!$H$12*VLOOKUP($C114,TabAlgFC,2,FALSE)+VLOOKUP($C114,TabAlgAll,2,FALSE)*Pesi!$H$13</f>
        <v>62.202900000000007</v>
      </c>
      <c r="N114" s="155">
        <f>IF(ISNA(MATCH($B114,Pesi!$B$31:$B$34,0)),VLOOKUP(Pesi!$B$33,TabAlgDif,13,FALSE)-((VLOOKUP(Pesi!$B$33,TabAlgDif,12,FALSE)-$M114)/(VLOOKUP(Pesi!$B$33,TabAlgDif,12,FALSE)-Pesi!$F$43))*VLOOKUP(Pesi!$B$33,TabAlgDif,13,FALSE),$K114*$M114/$J114)</f>
        <v>-6.0157661075037865</v>
      </c>
      <c r="O114" s="155">
        <f t="shared" si="10"/>
        <v>1</v>
      </c>
      <c r="P114">
        <f t="shared" si="11"/>
        <v>35</v>
      </c>
      <c r="Q114" t="e">
        <f>VLOOKUP(B114,'C.P.'!$A$2:$B$164,2,FALSE)</f>
        <v>#N/A</v>
      </c>
      <c r="R114" t="e">
        <f>VLOOKUP(C114,'C.P.'!$C$2:$C$164,2,FALSE)</f>
        <v>#N/A</v>
      </c>
      <c r="S114" t="e">
        <f>VLOOKUP(D114,'C.P.'!$E$2:$F$164,2,FALSE)</f>
        <v>#N/A</v>
      </c>
      <c r="T114" t="e">
        <f>VLOOKUP(E114,'C.P.'!$G$2:$H$164,2,FALSE)</f>
        <v>#N/A</v>
      </c>
    </row>
    <row r="115" spans="1:21">
      <c r="A115">
        <f ca="1">COUNTIF('I.A. + Fasce'!B$1:'I.A. + Fasce'!B$538,#REF!)</f>
        <v>0</v>
      </c>
      <c r="B115" s="205" t="s">
        <v>306</v>
      </c>
      <c r="C115" s="206" t="str">
        <f>VLOOKUP(B115,'IA FG'!$B$2:$G$600,6,FALSE)</f>
        <v>CRO</v>
      </c>
      <c r="D115" s="207">
        <v>6</v>
      </c>
      <c r="E115" s="207">
        <v>6</v>
      </c>
      <c r="F115" s="207">
        <v>6</v>
      </c>
      <c r="G115" s="207">
        <v>6</v>
      </c>
      <c r="H115" s="207">
        <v>5</v>
      </c>
      <c r="I115" s="207">
        <v>6</v>
      </c>
      <c r="J115" s="159">
        <f>$D115*Pesi!$F$5+Pesi!$F$6*$E115+$F115*Pesi!$F$7+Pesi!$F$8*$G115+$H115*Pesi!$F$9+Pesi!$F$10*$I115+VLOOKUP($C115,TabAlgSqu,2,FALSE)*Pesi!$F$11+Pesi!$F$12*VLOOKUP($C115,TabAlgFC,2,FALSE)+VLOOKUP($C115,TabAlgAll,2,FALSE)*Pesi!$F$13</f>
        <v>59.400599999999997</v>
      </c>
      <c r="K115" s="155">
        <f>IF(ISNA(MATCH($B115,Pesi!$B$31:$B$34,0)),VLOOKUP(Pesi!$B$33,TabAlgDif,10,FALSE)-((VLOOKUP(Pesi!$B$33,TabAlgDif,9,FALSE)-$J115)/(VLOOKUP(Pesi!$B$33,TabAlgDif,9,FALSE)-Pesi!$D$43))*VLOOKUP(Pesi!$B$33,TabAlgDif,10,FALSE),Pesi!$F$33*Pesi!$C$28)</f>
        <v>-4.4608863771564629</v>
      </c>
      <c r="L115" s="155">
        <f t="shared" si="9"/>
        <v>1</v>
      </c>
      <c r="M115" s="160">
        <f>$D115*Pesi!$H$5+Pesi!$H$6*$E115+$F115*Pesi!$H$7+Pesi!$H$8*$G115+$H115*Pesi!$H$9+Pesi!$H$10*$I115+VLOOKUP($C115,TabAlgSqu,2,FALSE)*Pesi!$H$11+Pesi!$H$12*VLOOKUP($C115,TabAlgFC,2,FALSE)+VLOOKUP($C115,TabAlgAll,2,FALSE)*Pesi!$H$13</f>
        <v>62.700599999999994</v>
      </c>
      <c r="N115" s="155">
        <f>IF(ISNA(MATCH($B115,Pesi!$B$31:$B$34,0)),VLOOKUP(Pesi!$B$33,TabAlgDif,13,FALSE)-((VLOOKUP(Pesi!$B$33,TabAlgDif,12,FALSE)-$M115)/(VLOOKUP(Pesi!$B$33,TabAlgDif,12,FALSE)-Pesi!$F$43))*VLOOKUP(Pesi!$B$33,TabAlgDif,13,FALSE),$K115*$M115/$J115)</f>
        <v>-5.3916292765633109</v>
      </c>
      <c r="O115" s="155">
        <f t="shared" si="10"/>
        <v>1</v>
      </c>
      <c r="P115">
        <f t="shared" si="11"/>
        <v>35</v>
      </c>
      <c r="Q115" t="e">
        <f>VLOOKUP(B115,'C.P.'!$A$2:$B$164,2,FALSE)</f>
        <v>#N/A</v>
      </c>
      <c r="R115" t="e">
        <f>VLOOKUP(C115,'C.P.'!$C$2:$C$164,2,FALSE)</f>
        <v>#N/A</v>
      </c>
      <c r="S115" t="e">
        <f>VLOOKUP(D115,'C.P.'!$E$2:$F$164,2,FALSE)</f>
        <v>#N/A</v>
      </c>
      <c r="T115" t="e">
        <f>VLOOKUP(E115,'C.P.'!$G$2:$H$164,2,FALSE)</f>
        <v>#N/A</v>
      </c>
      <c r="U115" s="420"/>
    </row>
    <row r="116" spans="1:21">
      <c r="A116">
        <f ca="1">COUNTIF('I.A. + Fasce'!B$1:'I.A. + Fasce'!B$538,B109)</f>
        <v>1</v>
      </c>
      <c r="B116" s="205" t="s">
        <v>1714</v>
      </c>
      <c r="C116" s="206" t="str">
        <f>VLOOKUP(B116,'IA FG'!$B$2:$G$600,6,FALSE)</f>
        <v>TOR</v>
      </c>
      <c r="D116" s="207">
        <v>8</v>
      </c>
      <c r="E116" s="207">
        <v>5</v>
      </c>
      <c r="F116" s="207">
        <v>6</v>
      </c>
      <c r="G116" s="207">
        <v>5</v>
      </c>
      <c r="H116" s="207">
        <v>6</v>
      </c>
      <c r="I116" s="207">
        <v>5</v>
      </c>
      <c r="J116" s="159">
        <f>$D116*Pesi!$F$5+Pesi!$F$6*$E116+$F116*Pesi!$F$7+Pesi!$F$8*$G116+$H116*Pesi!$F$9+Pesi!$F$10*$I116+VLOOKUP($C116,TabAlgSqu,2,FALSE)*Pesi!$F$11+Pesi!$F$12*VLOOKUP($C116,TabAlgFC,2,FALSE)+VLOOKUP($C116,TabAlgAll,2,FALSE)*Pesi!$F$13</f>
        <v>59.276700000000005</v>
      </c>
      <c r="K116" s="155">
        <f>IF(ISNA(MATCH($B116,Pesi!$B$31:$B$34,0)),VLOOKUP(Pesi!$B$33,TabAlgDif,10,FALSE)-((VLOOKUP(Pesi!$B$33,TabAlgDif,9,FALSE)-$J116)/(VLOOKUP(Pesi!$B$33,TabAlgDif,9,FALSE)-Pesi!$D$43))*VLOOKUP(Pesi!$B$33,TabAlgDif,10,FALSE),Pesi!$F$33*Pesi!$C$28)</f>
        <v>-4.614440809042236</v>
      </c>
      <c r="L116" s="155">
        <f t="shared" si="9"/>
        <v>1</v>
      </c>
      <c r="M116" s="160">
        <f>$D116*Pesi!$H$5+Pesi!$H$6*$E116+$F116*Pesi!$H$7+Pesi!$H$8*$G116+$H116*Pesi!$H$9+Pesi!$H$10*$I116+VLOOKUP($C116,TabAlgSqu,2,FALSE)*Pesi!$H$11+Pesi!$H$12*VLOOKUP($C116,TabAlgFC,2,FALSE)+VLOOKUP($C116,TabAlgAll,2,FALSE)*Pesi!$H$13</f>
        <v>62.576700000000002</v>
      </c>
      <c r="N116" s="155">
        <f>IF(ISNA(MATCH($B116,Pesi!$B$31:$B$34,0)),VLOOKUP(Pesi!$B$33,TabAlgDif,13,FALSE)-((VLOOKUP(Pesi!$B$33,TabAlgDif,12,FALSE)-$M116)/(VLOOKUP(Pesi!$B$33,TabAlgDif,12,FALSE)-Pesi!$F$43))*VLOOKUP(Pesi!$B$33,TabAlgDif,13,FALSE),$K116*$M116/$J116)</f>
        <v>-5.5470051121138866</v>
      </c>
      <c r="O116" s="155">
        <f t="shared" si="10"/>
        <v>1</v>
      </c>
      <c r="P116">
        <f t="shared" si="11"/>
        <v>35</v>
      </c>
      <c r="Q116" t="e">
        <f>VLOOKUP(B116,'C.P.'!$A$2:$B$164,2,FALSE)</f>
        <v>#N/A</v>
      </c>
      <c r="R116" t="e">
        <f>VLOOKUP(C116,'C.P.'!$C$2:$C$164,2,FALSE)</f>
        <v>#N/A</v>
      </c>
      <c r="S116" t="e">
        <f>VLOOKUP(D116,'C.P.'!$E$2:$F$164,2,FALSE)</f>
        <v>#N/A</v>
      </c>
      <c r="T116" t="e">
        <f>VLOOKUP(E116,'C.P.'!$G$2:$H$164,2,FALSE)</f>
        <v>#N/A</v>
      </c>
    </row>
    <row r="117" spans="1:21">
      <c r="A117">
        <f ca="1">COUNTIF('I.A. + Fasce'!B$1:'I.A. + Fasce'!B$538,B109)</f>
        <v>1</v>
      </c>
      <c r="B117" s="205" t="s">
        <v>601</v>
      </c>
      <c r="C117" s="206" t="str">
        <f>VLOOKUP(B117,'IA FG'!$B$2:$G$600,6,FALSE)</f>
        <v>GEN</v>
      </c>
      <c r="D117" s="207">
        <v>7</v>
      </c>
      <c r="E117" s="207">
        <v>5</v>
      </c>
      <c r="F117" s="207">
        <v>6</v>
      </c>
      <c r="G117" s="207">
        <v>6</v>
      </c>
      <c r="H117" s="207">
        <v>5</v>
      </c>
      <c r="I117" s="207">
        <v>6</v>
      </c>
      <c r="J117" s="159">
        <f>$D117*Pesi!$F$5+Pesi!$F$6*$E117+$F117*Pesi!$F$7+Pesi!$F$8*$G117+$H117*Pesi!$F$9+Pesi!$F$10*$I117+VLOOKUP($C117,TabAlgSqu,2,FALSE)*Pesi!$F$11+Pesi!$F$12*VLOOKUP($C117,TabAlgFC,2,FALSE)+VLOOKUP($C117,TabAlgAll,2,FALSE)*Pesi!$F$13</f>
        <v>59.239400000000003</v>
      </c>
      <c r="K117" s="155">
        <f>IF(ISNA(MATCH($B117,Pesi!$B$31:$B$34,0)),VLOOKUP(Pesi!$B$33,TabAlgDif,10,FALSE)-((VLOOKUP(Pesi!$B$33,TabAlgDif,9,FALSE)-$J117)/(VLOOKUP(Pesi!$B$33,TabAlgDif,9,FALSE)-Pesi!$C$43))*VLOOKUP(Pesi!$B$33,TabAlgDif,10,FALSE),Pesi!$F$33*Pesi!$C$28)</f>
        <v>-4.9602409578223714</v>
      </c>
      <c r="L117" s="155">
        <f t="shared" si="9"/>
        <v>1</v>
      </c>
      <c r="M117" s="160">
        <f>$D117*Pesi!$H$5+Pesi!$H$6*$E117+$F117*Pesi!$H$7+Pesi!$H$8*$G117+$H117*Pesi!$H$9+Pesi!$H$10*$I117+VLOOKUP($C117,TabAlgSqu,2,FALSE)*Pesi!$H$11+Pesi!$H$12*VLOOKUP($C117,TabAlgFC,2,FALSE)+VLOOKUP($C117,TabAlgAll,2,FALSE)*Pesi!$H$13</f>
        <v>62.539400000000001</v>
      </c>
      <c r="N117" s="155">
        <f>IF(ISNA(MATCH($B117,Pesi!$B$31:$B$34,0)),VLOOKUP(Pesi!$B$33,TabAlgDif,13,FALSE)-((VLOOKUP(Pesi!$B$33,TabAlgDif,12,FALSE)-$M117)/(VLOOKUP(Pesi!$B$33,TabAlgDif,12,FALSE)-Pesi!$F$43))*VLOOKUP(Pesi!$B$33,TabAlgDif,13,FALSE),$K117*$M117/$J117)</f>
        <v>-5.5937808882723772</v>
      </c>
      <c r="O117" s="155">
        <f t="shared" si="10"/>
        <v>1</v>
      </c>
      <c r="P117">
        <f t="shared" si="11"/>
        <v>35</v>
      </c>
      <c r="Q117" t="e">
        <f>VLOOKUP(B117,'C.P.'!$A$2:$B$164,2,FALSE)</f>
        <v>#N/A</v>
      </c>
      <c r="R117" t="e">
        <f>VLOOKUP(B117,'C.P.'!$C$2:$D$164,2,FALSE)</f>
        <v>#N/A</v>
      </c>
      <c r="S117" t="e">
        <f>VLOOKUP(B117,'C.P.'!$E$2:$F$164,2,FALSE)</f>
        <v>#N/A</v>
      </c>
      <c r="T117" t="e">
        <f>VLOOKUP(B117,'C.P.'!$G$2:$H$164,2,FALSE)</f>
        <v>#N/A</v>
      </c>
    </row>
    <row r="118" spans="1:21">
      <c r="A118">
        <f ca="1">COUNTIF('I.A. + Fasce'!B$1:'I.A. + Fasce'!B$538,B114)</f>
        <v>1</v>
      </c>
      <c r="B118" s="205" t="s">
        <v>583</v>
      </c>
      <c r="C118" s="206" t="str">
        <f>VLOOKUP(B118,'IA FG'!$B$2:$G$600,6,FALSE)</f>
        <v>GEN</v>
      </c>
      <c r="D118" s="207">
        <v>8</v>
      </c>
      <c r="E118" s="207">
        <v>5</v>
      </c>
      <c r="F118" s="207">
        <v>6</v>
      </c>
      <c r="G118" s="207">
        <v>6</v>
      </c>
      <c r="H118" s="207">
        <v>5</v>
      </c>
      <c r="I118" s="207">
        <v>5</v>
      </c>
      <c r="J118" s="159">
        <f>$D118*Pesi!$F$5+Pesi!$F$6*$E118+$F118*Pesi!$F$7+Pesi!$F$8*$G118+$H118*Pesi!$F$9+Pesi!$F$10*$I118+VLOOKUP($C118,TabAlgSqu,2,FALSE)*Pesi!$F$11+Pesi!$F$12*VLOOKUP($C118,TabAlgFC,2,FALSE)+VLOOKUP($C118,TabAlgAll,2,FALSE)*Pesi!$F$13</f>
        <v>59.239400000000003</v>
      </c>
      <c r="K118" s="155">
        <f>IF(ISNA(MATCH($B118,Pesi!$B$31:$B$34,0)),VLOOKUP(Pesi!$B$33,TabAlgDif,10,FALSE)-((VLOOKUP(Pesi!$B$33,TabAlgDif,9,FALSE)-$J118)/(VLOOKUP(Pesi!$B$33,TabAlgDif,9,FALSE)-Pesi!$D$43))*VLOOKUP(Pesi!$B$33,TabAlgDif,10,FALSE),Pesi!$F$33*Pesi!$C$28)</f>
        <v>-4.6606682530239922</v>
      </c>
      <c r="L118" s="155">
        <f t="shared" si="9"/>
        <v>1</v>
      </c>
      <c r="M118" s="160">
        <f>$D118*Pesi!$H$5+Pesi!$H$6*$E118+$F118*Pesi!$H$7+Pesi!$H$8*$G118+$H118*Pesi!$H$9+Pesi!$H$10*$I118+VLOOKUP($C118,TabAlgSqu,2,FALSE)*Pesi!$H$11+Pesi!$H$12*VLOOKUP($C118,TabAlgFC,2,FALSE)+VLOOKUP($C118,TabAlgAll,2,FALSE)*Pesi!$H$13</f>
        <v>62.539400000000001</v>
      </c>
      <c r="N118" s="155">
        <f>IF(ISNA(MATCH($B118,Pesi!$B$31:$B$34,0)),VLOOKUP(Pesi!$B$33,TabAlgDif,13,FALSE)-((VLOOKUP(Pesi!$B$33,TabAlgDif,12,FALSE)-$M118)/(VLOOKUP(Pesi!$B$33,TabAlgDif,12,FALSE)-Pesi!$F$43))*VLOOKUP(Pesi!$B$33,TabAlgDif,13,FALSE),$K118*$M118/$J118)</f>
        <v>-5.5937808882723772</v>
      </c>
      <c r="O118" s="155">
        <f t="shared" si="10"/>
        <v>1</v>
      </c>
      <c r="P118">
        <f t="shared" si="11"/>
        <v>35</v>
      </c>
      <c r="Q118" t="e">
        <f>VLOOKUP(B118,'C.P.'!$A$2:$B$164,2,FALSE)</f>
        <v>#N/A</v>
      </c>
      <c r="R118" t="e">
        <f>VLOOKUP(C118,'C.P.'!$C$2:$C$164,2,FALSE)</f>
        <v>#N/A</v>
      </c>
      <c r="S118" t="e">
        <f>VLOOKUP(D118,'C.P.'!$E$2:$F$164,2,FALSE)</f>
        <v>#N/A</v>
      </c>
      <c r="T118" t="e">
        <f>VLOOKUP(E118,'C.P.'!$G$2:$H$164,2,FALSE)</f>
        <v>#N/A</v>
      </c>
      <c r="U118" s="420"/>
    </row>
    <row r="119" spans="1:21">
      <c r="A119">
        <f ca="1">COUNTIF('I.A. + Fasce'!B$1:'I.A. + Fasce'!B$538,B114)</f>
        <v>1</v>
      </c>
      <c r="B119" s="205" t="s">
        <v>498</v>
      </c>
      <c r="C119" s="206" t="str">
        <f>VLOOKUP(B119,'IA FG'!$B$2:$G$600,6,FALSE)</f>
        <v>GEN</v>
      </c>
      <c r="D119" s="207">
        <v>7</v>
      </c>
      <c r="E119" s="207">
        <v>6</v>
      </c>
      <c r="F119" s="207">
        <v>5</v>
      </c>
      <c r="G119" s="207">
        <v>6</v>
      </c>
      <c r="H119" s="207">
        <v>6</v>
      </c>
      <c r="I119" s="207">
        <v>5</v>
      </c>
      <c r="J119" s="159">
        <f>$D119*Pesi!$F$5+Pesi!$F$6*$E119+$F119*Pesi!$F$7+Pesi!$F$8*$G119+$H119*Pesi!$F$9+Pesi!$F$10*$I119+VLOOKUP($C119,TabAlgSqu,2,FALSE)*Pesi!$F$11+Pesi!$F$12*VLOOKUP($C119,TabAlgFC,2,FALSE)+VLOOKUP($C119,TabAlgAll,2,FALSE)*Pesi!$F$13</f>
        <v>59.164400000000001</v>
      </c>
      <c r="K119" s="155">
        <f>IF(ISNA(MATCH($B119,Pesi!$B$31:$B$34,0)),VLOOKUP(Pesi!$B$33,TabAlgDif,10,FALSE)-((VLOOKUP(Pesi!$B$33,TabAlgDif,9,FALSE)-$J119)/(VLOOKUP(Pesi!$B$33,TabAlgDif,9,FALSE)-Pesi!$D$43))*VLOOKUP(Pesi!$B$33,TabAlgDif,10,FALSE),Pesi!$F$33*Pesi!$C$28)</f>
        <v>-4.7536188776521939</v>
      </c>
      <c r="L119" s="155">
        <f t="shared" si="9"/>
        <v>1</v>
      </c>
      <c r="M119" s="160">
        <f>$D119*Pesi!$H$5+Pesi!$H$6*$E119+$F119*Pesi!$H$7+Pesi!$H$8*$G119+$H119*Pesi!$H$9+Pesi!$H$10*$I119+VLOOKUP($C119,TabAlgSqu,2,FALSE)*Pesi!$H$11+Pesi!$H$12*VLOOKUP($C119,TabAlgFC,2,FALSE)+VLOOKUP($C119,TabAlgAll,2,FALSE)*Pesi!$H$13</f>
        <v>61.914400000000001</v>
      </c>
      <c r="N119" s="155">
        <f>IF(ISNA(MATCH($B119,Pesi!$B$31:$B$34,0)),VLOOKUP(Pesi!$B$33,TabAlgDif,13,FALSE)-((VLOOKUP(Pesi!$B$33,TabAlgDif,12,FALSE)-$M119)/(VLOOKUP(Pesi!$B$33,TabAlgDif,12,FALSE)-Pesi!$F$43))*VLOOKUP(Pesi!$B$33,TabAlgDif,13,FALSE),$K119*$M119/$J119)</f>
        <v>-6.3775572984347377</v>
      </c>
      <c r="O119" s="155">
        <f t="shared" si="10"/>
        <v>1</v>
      </c>
      <c r="P119">
        <f t="shared" si="11"/>
        <v>35</v>
      </c>
      <c r="Q119">
        <f>VLOOKUP(B119,'C.P.'!$A$2:$B$164,2,FALSE)</f>
        <v>-1</v>
      </c>
      <c r="R119" t="e">
        <f>VLOOKUP(C119,'C.P.'!$C$2:$C$164,2,FALSE)</f>
        <v>#N/A</v>
      </c>
      <c r="S119" t="e">
        <f>VLOOKUP(D119,'C.P.'!$E$2:$F$164,2,FALSE)</f>
        <v>#N/A</v>
      </c>
      <c r="T119" t="e">
        <f>VLOOKUP(E119,'C.P.'!$G$2:$H$164,2,FALSE)</f>
        <v>#N/A</v>
      </c>
    </row>
    <row r="120" spans="1:21">
      <c r="A120">
        <f ca="1">COUNTIF('I.A. + Fasce'!B$1:'I.A. + Fasce'!B$538,#REF!)</f>
        <v>0</v>
      </c>
      <c r="B120" s="205" t="s">
        <v>562</v>
      </c>
      <c r="C120" s="206" t="str">
        <f>VLOOKUP(B120,'IA FG'!$B$2:$G$600,6,FALSE)</f>
        <v>MIL</v>
      </c>
      <c r="D120" s="207">
        <v>7</v>
      </c>
      <c r="E120" s="207">
        <v>4</v>
      </c>
      <c r="F120" s="207">
        <v>6</v>
      </c>
      <c r="G120" s="207">
        <v>7</v>
      </c>
      <c r="H120" s="207">
        <v>5</v>
      </c>
      <c r="I120" s="207">
        <v>4</v>
      </c>
      <c r="J120" s="159">
        <f>$D120*Pesi!$F$5+Pesi!$F$6*$E120+$F120*Pesi!$F$7+Pesi!$F$8*$G120+$H120*Pesi!$F$9+Pesi!$F$10*$I120+VLOOKUP($C120,TabAlgSqu,2,FALSE)*Pesi!$F$11+Pesi!$F$12*VLOOKUP($C120,TabAlgFC,2,FALSE)+VLOOKUP($C120,TabAlgAll,2,FALSE)*Pesi!$F$13</f>
        <v>59.088800000000006</v>
      </c>
      <c r="K120" s="155">
        <f>IF(ISNA(MATCH($B120,Pesi!$B$31:$B$34,0)),VLOOKUP(Pesi!$B$33,TabAlgDif,10,FALSE)-((VLOOKUP(Pesi!$B$33,TabAlgDif,9,FALSE)-$J120)/(VLOOKUP(Pesi!$B$33,TabAlgDif,9,FALSE)-Pesi!$C$43))*VLOOKUP(Pesi!$B$33,TabAlgDif,10,FALSE),Pesi!$F$33*Pesi!$C$28)</f>
        <v>-5.1487709248233635</v>
      </c>
      <c r="L120" s="155">
        <f t="shared" si="9"/>
        <v>1</v>
      </c>
      <c r="M120" s="160">
        <f>$D120*Pesi!$H$5+Pesi!$H$6*$E120+$F120*Pesi!$H$7+Pesi!$H$8*$G120+$H120*Pesi!$H$9+Pesi!$H$10*$I120+VLOOKUP($C120,TabAlgSqu,2,FALSE)*Pesi!$H$11+Pesi!$H$12*VLOOKUP($C120,TabAlgFC,2,FALSE)+VLOOKUP($C120,TabAlgAll,2,FALSE)*Pesi!$H$13</f>
        <v>62.388799999999996</v>
      </c>
      <c r="N120" s="155">
        <f>IF(ISNA(MATCH($B120,Pesi!$B$31:$B$34,0)),VLOOKUP(Pesi!$B$33,TabAlgDif,13,FALSE)-((VLOOKUP(Pesi!$B$33,TabAlgDif,12,FALSE)-$M120)/(VLOOKUP(Pesi!$B$33,TabAlgDif,12,FALSE)-Pesi!$F$43))*VLOOKUP(Pesi!$B$33,TabAlgDif,13,FALSE),$K120*$M120/$J120)</f>
        <v>-5.7826396520651073</v>
      </c>
      <c r="O120" s="155">
        <f t="shared" si="10"/>
        <v>1</v>
      </c>
      <c r="P120">
        <f t="shared" si="11"/>
        <v>33</v>
      </c>
      <c r="Q120" t="e">
        <f>VLOOKUP(B120,'C.P.'!$A$2:$B$164,2,FALSE)</f>
        <v>#N/A</v>
      </c>
      <c r="R120" t="e">
        <f>VLOOKUP(B120,'C.P.'!$C$2:$D$164,2,FALSE)</f>
        <v>#N/A</v>
      </c>
      <c r="S120" t="e">
        <f>VLOOKUP(B120,'C.P.'!$E$2:$F$164,2,FALSE)</f>
        <v>#N/A</v>
      </c>
      <c r="T120" t="e">
        <f>VLOOKUP(B120,'C.P.'!$G$2:$H$164,2,FALSE)</f>
        <v>#N/A</v>
      </c>
    </row>
    <row r="121" spans="1:21">
      <c r="A121">
        <f ca="1">COUNTIF('I.A. + Fasce'!B$1:'I.A. + Fasce'!B$538,B115)</f>
        <v>1</v>
      </c>
      <c r="B121" s="205" t="s">
        <v>1694</v>
      </c>
      <c r="C121" s="206" t="str">
        <f>VLOOKUP(B121,'IA FG'!$B$2:$G$600,6,FALSE)</f>
        <v>BEN</v>
      </c>
      <c r="D121" s="207">
        <v>8</v>
      </c>
      <c r="E121" s="207">
        <v>7</v>
      </c>
      <c r="F121" s="207">
        <v>6</v>
      </c>
      <c r="G121" s="207">
        <v>7</v>
      </c>
      <c r="H121" s="207">
        <v>6</v>
      </c>
      <c r="I121" s="207">
        <v>7</v>
      </c>
      <c r="J121" s="159">
        <f>$D121*Pesi!$F$5+Pesi!$F$6*$E121+$F121*Pesi!$F$7+Pesi!$F$8*$G121+$H121*Pesi!$F$9+Pesi!$F$10*$I121+VLOOKUP($C121,TabAlgSqu,2,FALSE)*Pesi!$F$11+Pesi!$F$12*VLOOKUP($C121,TabAlgFC,2,FALSE)+VLOOKUP($C121,TabAlgAll,2,FALSE)*Pesi!$F$13</f>
        <v>58.944800000000001</v>
      </c>
      <c r="K121" s="155">
        <f>IF(ISNA(MATCH($B121,Pesi!$B$31:$B$34,0)),VLOOKUP(Pesi!$B$33,TabAlgDif,10,FALSE)-((VLOOKUP(Pesi!$B$33,TabAlgDif,9,FALSE)-$J121)/(VLOOKUP(Pesi!$B$33,TabAlgDif,9,FALSE)-Pesi!$D$43))*VLOOKUP(Pesi!$B$33,TabAlgDif,10,FALSE),Pesi!$F$33*Pesi!$C$28)</f>
        <v>-5.0257783065635557</v>
      </c>
      <c r="L121" s="155">
        <f t="shared" si="9"/>
        <v>1</v>
      </c>
      <c r="M121" s="160">
        <f>$D121*Pesi!$H$5+Pesi!$H$6*$E121+$F121*Pesi!$H$7+Pesi!$H$8*$G121+$H121*Pesi!$H$9+Pesi!$H$10*$I121+VLOOKUP($C121,TabAlgSqu,2,FALSE)*Pesi!$H$11+Pesi!$H$12*VLOOKUP($C121,TabAlgFC,2,FALSE)+VLOOKUP($C121,TabAlgAll,2,FALSE)*Pesi!$H$13</f>
        <v>62.244799999999998</v>
      </c>
      <c r="N121" s="155">
        <f>IF(ISNA(MATCH($B121,Pesi!$B$31:$B$34,0)),VLOOKUP(Pesi!$B$33,TabAlgDif,13,FALSE)-((VLOOKUP(Pesi!$B$33,TabAlgDif,12,FALSE)-$M121)/(VLOOKUP(Pesi!$B$33,TabAlgDif,12,FALSE)-Pesi!$F$43))*VLOOKUP(Pesi!$B$33,TabAlgDif,13,FALSE),$K121*$M121/$J121)</f>
        <v>-5.9632217369665099</v>
      </c>
      <c r="O121" s="155">
        <f t="shared" si="10"/>
        <v>1</v>
      </c>
      <c r="P121">
        <f t="shared" si="11"/>
        <v>41</v>
      </c>
      <c r="Q121" t="e">
        <f>VLOOKUP(B121,'C.P.'!$A$2:$B$164,2,FALSE)</f>
        <v>#N/A</v>
      </c>
      <c r="R121" t="e">
        <f>VLOOKUP(C121,'C.P.'!$C$2:$C$164,2,FALSE)</f>
        <v>#N/A</v>
      </c>
      <c r="S121" t="e">
        <f>VLOOKUP(D121,'C.P.'!$E$2:$F$164,2,FALSE)</f>
        <v>#N/A</v>
      </c>
      <c r="T121" t="e">
        <f>VLOOKUP(E121,'C.P.'!$G$2:$H$164,2,FALSE)</f>
        <v>#N/A</v>
      </c>
    </row>
    <row r="122" spans="1:21">
      <c r="A122">
        <f ca="1">COUNTIF('I.A. + Fasce'!B$1:'I.A. + Fasce'!B$538,B114)</f>
        <v>1</v>
      </c>
      <c r="B122" s="205" t="s">
        <v>1699</v>
      </c>
      <c r="C122" s="206" t="str">
        <f>VLOOKUP(B122,'IA FG'!$B$2:$G$600,6,FALSE)</f>
        <v>BEN</v>
      </c>
      <c r="D122" s="207">
        <v>8</v>
      </c>
      <c r="E122" s="207">
        <v>7</v>
      </c>
      <c r="F122" s="207">
        <v>6</v>
      </c>
      <c r="G122" s="207">
        <v>7</v>
      </c>
      <c r="H122" s="207">
        <v>7</v>
      </c>
      <c r="I122" s="207">
        <v>6</v>
      </c>
      <c r="J122" s="159">
        <f>$D122*Pesi!$F$5+Pesi!$F$6*$E122+$F122*Pesi!$F$7+Pesi!$F$8*$G122+$H122*Pesi!$F$9+Pesi!$F$10*$I122+VLOOKUP($C122,TabAlgSqu,2,FALSE)*Pesi!$F$11+Pesi!$F$12*VLOOKUP($C122,TabAlgFC,2,FALSE)+VLOOKUP($C122,TabAlgAll,2,FALSE)*Pesi!$F$13</f>
        <v>58.944800000000001</v>
      </c>
      <c r="K122" s="155">
        <f>IF(ISNA(MATCH($B122,Pesi!$B$31:$B$34,0)),VLOOKUP(Pesi!$B$33,TabAlgDif,10,FALSE)-((VLOOKUP(Pesi!$B$33,TabAlgDif,9,FALSE)-$J122)/(VLOOKUP(Pesi!$B$33,TabAlgDif,9,FALSE)-Pesi!$C$43))*VLOOKUP(Pesi!$B$33,TabAlgDif,10,FALSE),Pesi!$F$33*Pesi!$C$28)</f>
        <v>-5.3290386223542043</v>
      </c>
      <c r="L122" s="155">
        <f t="shared" si="9"/>
        <v>1</v>
      </c>
      <c r="M122" s="160">
        <f>$D122*Pesi!$H$5+Pesi!$H$6*$E122+$F122*Pesi!$H$7+Pesi!$H$8*$G122+$H122*Pesi!$H$9+Pesi!$H$10*$I122+VLOOKUP($C122,TabAlgSqu,2,FALSE)*Pesi!$H$11+Pesi!$H$12*VLOOKUP($C122,TabAlgFC,2,FALSE)+VLOOKUP($C122,TabAlgAll,2,FALSE)*Pesi!$H$13</f>
        <v>62.244799999999998</v>
      </c>
      <c r="N122" s="155">
        <f>IF(ISNA(MATCH($B122,Pesi!$B$31:$B$34,0)),VLOOKUP(Pesi!$B$33,TabAlgDif,13,FALSE)-((VLOOKUP(Pesi!$B$33,TabAlgDif,12,FALSE)-$M122)/(VLOOKUP(Pesi!$B$33,TabAlgDif,12,FALSE)-Pesi!$F$43))*VLOOKUP(Pesi!$B$33,TabAlgDif,13,FALSE),$K122*$M122/$J122)</f>
        <v>-5.9632217369665099</v>
      </c>
      <c r="O122" s="155">
        <f t="shared" si="10"/>
        <v>1</v>
      </c>
      <c r="P122">
        <f t="shared" si="11"/>
        <v>41</v>
      </c>
      <c r="Q122">
        <f>VLOOKUP(B122,'C.P.'!$A$2:$B$164,2,FALSE)</f>
        <v>0</v>
      </c>
      <c r="R122" t="e">
        <f>VLOOKUP(B122,'C.P.'!$C$2:$D$164,2,FALSE)</f>
        <v>#N/A</v>
      </c>
      <c r="S122">
        <f>VLOOKUP(B122,'C.P.'!$E$2:$F$164,2,FALSE)</f>
        <v>4</v>
      </c>
      <c r="T122" t="e">
        <f>VLOOKUP(B122,'C.P.'!$G$2:$H$164,2,FALSE)</f>
        <v>#N/A</v>
      </c>
    </row>
    <row r="123" spans="1:21">
      <c r="A123">
        <f ca="1">COUNTIF('I.A. + Fasce'!B$1:'I.A. + Fasce'!B$538,B119)</f>
        <v>1</v>
      </c>
      <c r="B123" s="205" t="s">
        <v>558</v>
      </c>
      <c r="C123" s="206" t="str">
        <f>VLOOKUP(B123,'IA FG'!$B$2:$G$600,6,FALSE)</f>
        <v>SAM</v>
      </c>
      <c r="D123" s="207">
        <v>7</v>
      </c>
      <c r="E123" s="207">
        <v>6</v>
      </c>
      <c r="F123" s="207">
        <v>6</v>
      </c>
      <c r="G123" s="207">
        <v>4</v>
      </c>
      <c r="H123" s="207">
        <v>6</v>
      </c>
      <c r="I123" s="207">
        <v>5</v>
      </c>
      <c r="J123" s="159">
        <f>$D123*Pesi!$F$5+Pesi!$F$6*$E123+$F123*Pesi!$F$7+Pesi!$F$8*$G123+$H123*Pesi!$F$9+Pesi!$F$10*$I123+VLOOKUP($C123,TabAlgSqu,2,FALSE)*Pesi!$F$11+Pesi!$F$12*VLOOKUP($C123,TabAlgFC,2,FALSE)+VLOOKUP($C123,TabAlgAll,2,FALSE)*Pesi!$F$13</f>
        <v>58.763400000000004</v>
      </c>
      <c r="K123" s="155">
        <f>IF(ISNA(MATCH($B123,Pesi!$B$31:$B$34,0)),VLOOKUP(Pesi!$B$33,TabAlgDif,10,FALSE)-((VLOOKUP(Pesi!$B$33,TabAlgDif,9,FALSE)-$J123)/(VLOOKUP(Pesi!$B$33,TabAlgDif,9,FALSE)-Pesi!$D$43))*VLOOKUP(Pesi!$B$33,TabAlgDif,10,FALSE),Pesi!$F$33*Pesi!$C$28)</f>
        <v>-5.2505948839976178</v>
      </c>
      <c r="L123" s="155">
        <f t="shared" si="9"/>
        <v>1</v>
      </c>
      <c r="M123" s="160">
        <f>$D123*Pesi!$H$5+Pesi!$H$6*$E123+$F123*Pesi!$H$7+Pesi!$H$8*$G123+$H123*Pesi!$H$9+Pesi!$H$10*$I123+VLOOKUP($C123,TabAlgSqu,2,FALSE)*Pesi!$H$11+Pesi!$H$12*VLOOKUP($C123,TabAlgFC,2,FALSE)+VLOOKUP($C123,TabAlgAll,2,FALSE)*Pesi!$H$13</f>
        <v>62.063400000000001</v>
      </c>
      <c r="N123" s="155">
        <f>IF(ISNA(MATCH($B123,Pesi!$B$31:$B$34,0)),VLOOKUP(Pesi!$B$33,TabAlgDif,13,FALSE)-((VLOOKUP(Pesi!$B$33,TabAlgDif,12,FALSE)-$M123)/(VLOOKUP(Pesi!$B$33,TabAlgDif,12,FALSE)-Pesi!$F$43))*VLOOKUP(Pesi!$B$33,TabAlgDif,13,FALSE),$K123*$M123/$J123)</f>
        <v>-6.190705002252038</v>
      </c>
      <c r="O123" s="155">
        <f t="shared" si="10"/>
        <v>1</v>
      </c>
      <c r="P123">
        <f t="shared" si="11"/>
        <v>34</v>
      </c>
      <c r="Q123" t="e">
        <f>VLOOKUP(B123,'C.P.'!$A$2:$B$164,2,FALSE)</f>
        <v>#N/A</v>
      </c>
      <c r="R123" t="e">
        <f>VLOOKUP(C123,'C.P.'!$C$2:$C$164,2,FALSE)</f>
        <v>#N/A</v>
      </c>
      <c r="S123" t="e">
        <f>VLOOKUP(D123,'C.P.'!$E$2:$F$164,2,FALSE)</f>
        <v>#N/A</v>
      </c>
      <c r="T123" t="e">
        <f>VLOOKUP(E123,'C.P.'!$G$2:$H$164,2,FALSE)</f>
        <v>#N/A</v>
      </c>
    </row>
    <row r="124" spans="1:21">
      <c r="A124">
        <f ca="1">COUNTIF('I.A. + Fasce'!B$1:'I.A. + Fasce'!B$538,B119)</f>
        <v>1</v>
      </c>
      <c r="B124" s="205" t="s">
        <v>478</v>
      </c>
      <c r="C124" s="206" t="str">
        <f>VLOOKUP(B124,'IA FG'!$B$2:$G$600,6,FALSE)</f>
        <v>VER</v>
      </c>
      <c r="D124" s="207">
        <v>7</v>
      </c>
      <c r="E124" s="207">
        <v>7</v>
      </c>
      <c r="F124" s="207">
        <v>5</v>
      </c>
      <c r="G124" s="207">
        <v>4</v>
      </c>
      <c r="H124" s="207">
        <v>6</v>
      </c>
      <c r="I124" s="207">
        <v>6</v>
      </c>
      <c r="J124" s="159">
        <f>$D124*Pesi!$F$5+Pesi!$F$6*$E124+$F124*Pesi!$F$7+Pesi!$F$8*$G124+$H124*Pesi!$F$9+Pesi!$F$10*$I124+VLOOKUP($C124,TabAlgSqu,2,FALSE)*Pesi!$F$11+Pesi!$F$12*VLOOKUP($C124,TabAlgFC,2,FALSE)+VLOOKUP($C124,TabAlgAll,2,FALSE)*Pesi!$F$13</f>
        <v>58.758199999999995</v>
      </c>
      <c r="K124" s="155">
        <f>IF(ISNA(MATCH($B124,Pesi!$B$31:$B$34,0)),VLOOKUP(Pesi!$B$33,TabAlgDif,10,FALSE)-((VLOOKUP(Pesi!$B$33,TabAlgDif,9,FALSE)-$J124)/(VLOOKUP(Pesi!$B$33,TabAlgDif,9,FALSE)-Pesi!$D$43))*VLOOKUP(Pesi!$B$33,TabAlgDif,10,FALSE),Pesi!$F$33*Pesi!$C$28)</f>
        <v>-5.25703946063852</v>
      </c>
      <c r="L124" s="155">
        <f t="shared" si="9"/>
        <v>1</v>
      </c>
      <c r="M124" s="160">
        <f>$D124*Pesi!$H$5+Pesi!$H$6*$E124+$F124*Pesi!$H$7+Pesi!$H$8*$G124+$H124*Pesi!$H$9+Pesi!$H$10*$I124+VLOOKUP($C124,TabAlgSqu,2,FALSE)*Pesi!$H$11+Pesi!$H$12*VLOOKUP($C124,TabAlgFC,2,FALSE)+VLOOKUP($C124,TabAlgAll,2,FALSE)*Pesi!$H$13</f>
        <v>61.508199999999995</v>
      </c>
      <c r="N124" s="155">
        <f>IF(ISNA(MATCH($B124,Pesi!$B$31:$B$34,0)),VLOOKUP(Pesi!$B$33,TabAlgDif,13,FALSE)-((VLOOKUP(Pesi!$B$33,TabAlgDif,12,FALSE)-$M124)/(VLOOKUP(Pesi!$B$33,TabAlgDif,12,FALSE)-Pesi!$F$43))*VLOOKUP(Pesi!$B$33,TabAlgDif,13,FALSE),$K124*$M124/$J124)</f>
        <v>-6.8869492629274731</v>
      </c>
      <c r="O124" s="155">
        <f t="shared" si="10"/>
        <v>1</v>
      </c>
      <c r="P124">
        <f t="shared" si="11"/>
        <v>35</v>
      </c>
      <c r="Q124" t="e">
        <f>VLOOKUP(B124,'C.P.'!$A$2:$B$164,2,FALSE)</f>
        <v>#N/A</v>
      </c>
      <c r="R124" t="e">
        <f>VLOOKUP(C124,'C.P.'!$C$2:$C$164,2,FALSE)</f>
        <v>#N/A</v>
      </c>
      <c r="S124" t="e">
        <f>VLOOKUP(D124,'C.P.'!$E$2:$F$164,2,FALSE)</f>
        <v>#N/A</v>
      </c>
      <c r="T124" t="e">
        <f>VLOOKUP(E124,'C.P.'!$G$2:$H$164,2,FALSE)</f>
        <v>#N/A</v>
      </c>
    </row>
    <row r="125" spans="1:21">
      <c r="A125">
        <f ca="1">COUNTIF('I.A. + Fasce'!B$1:'I.A. + Fasce'!B$538,B119)</f>
        <v>1</v>
      </c>
      <c r="B125" s="205" t="s">
        <v>560</v>
      </c>
      <c r="C125" s="206" t="str">
        <f>VLOOKUP(B125,'IA FG'!$B$2:$G$600,6,FALSE)</f>
        <v>INT</v>
      </c>
      <c r="D125" s="207">
        <v>7</v>
      </c>
      <c r="E125" s="207">
        <v>6</v>
      </c>
      <c r="F125" s="207">
        <v>5</v>
      </c>
      <c r="G125" s="207">
        <v>6</v>
      </c>
      <c r="H125" s="207">
        <v>5</v>
      </c>
      <c r="I125" s="207">
        <v>5</v>
      </c>
      <c r="J125" s="159">
        <f>$D125*Pesi!$F$5+Pesi!$F$6*$E125+$F125*Pesi!$F$7+Pesi!$F$8*$G125+$H125*Pesi!$F$9+Pesi!$F$10*$I125+VLOOKUP($C125,TabAlgSqu,2,FALSE)*Pesi!$F$11+Pesi!$F$12*VLOOKUP($C125,TabAlgFC,2,FALSE)+VLOOKUP($C125,TabAlgAll,2,FALSE)*Pesi!$F$13</f>
        <v>58.456599999999995</v>
      </c>
      <c r="K125" s="155">
        <f>IF(ISNA(MATCH($B125,Pesi!$B$31:$B$34,0)),VLOOKUP(Pesi!$B$33,TabAlgDif,10,FALSE)-((VLOOKUP(Pesi!$B$33,TabAlgDif,9,FALSE)-$J125)/(VLOOKUP(Pesi!$B$33,TabAlgDif,9,FALSE)-Pesi!$D$43))*VLOOKUP(Pesi!$B$33,TabAlgDif,10,FALSE),Pesi!$F$33*Pesi!$C$28)</f>
        <v>-5.6308249058100444</v>
      </c>
      <c r="L125" s="155">
        <f t="shared" si="9"/>
        <v>1</v>
      </c>
      <c r="M125" s="160">
        <f>$D125*Pesi!$H$5+Pesi!$H$6*$E125+$F125*Pesi!$H$7+Pesi!$H$8*$G125+$H125*Pesi!$H$9+Pesi!$H$10*$I125+VLOOKUP($C125,TabAlgSqu,2,FALSE)*Pesi!$H$11+Pesi!$H$12*VLOOKUP($C125,TabAlgFC,2,FALSE)+VLOOKUP($C125,TabAlgAll,2,FALSE)*Pesi!$H$13</f>
        <v>61.206599999999987</v>
      </c>
      <c r="N125" s="155">
        <f>IF(ISNA(MATCH($B125,Pesi!$B$31:$B$34,0)),VLOOKUP(Pesi!$B$33,TabAlgDif,13,FALSE)-((VLOOKUP(Pesi!$B$33,TabAlgDif,12,FALSE)-$M125)/(VLOOKUP(Pesi!$B$33,TabAlgDif,12,FALSE)-Pesi!$F$43))*VLOOKUP(Pesi!$B$33,TabAlgDif,13,FALSE),$K125*$M125/$J125)</f>
        <v>-7.2651684074154304</v>
      </c>
      <c r="O125" s="155">
        <f t="shared" si="10"/>
        <v>1</v>
      </c>
      <c r="P125">
        <f t="shared" si="11"/>
        <v>34</v>
      </c>
      <c r="Q125">
        <f>VLOOKUP(B125,'C.P.'!$A$2:$B$164,2,FALSE)</f>
        <v>-1</v>
      </c>
      <c r="R125" t="e">
        <f>VLOOKUP(C125,'C.P.'!$C$2:$C$164,2,FALSE)</f>
        <v>#N/A</v>
      </c>
      <c r="S125" t="e">
        <f>VLOOKUP(D125,'C.P.'!$E$2:$F$164,2,FALSE)</f>
        <v>#N/A</v>
      </c>
      <c r="T125" t="e">
        <f>VLOOKUP(E125,'C.P.'!$G$2:$H$164,2,FALSE)</f>
        <v>#N/A</v>
      </c>
    </row>
    <row r="126" spans="1:21">
      <c r="A126">
        <f ca="1">COUNTIF('I.A. + Fasce'!B$1:'I.A. + Fasce'!B$538,#REF!)</f>
        <v>0</v>
      </c>
      <c r="B126" s="205" t="s">
        <v>564</v>
      </c>
      <c r="C126" s="206" t="str">
        <f>VLOOKUP(B126,'IA FG'!$B$2:$G$600,6,FALSE)</f>
        <v>LAZ</v>
      </c>
      <c r="D126" s="207">
        <v>7</v>
      </c>
      <c r="E126" s="207">
        <v>5</v>
      </c>
      <c r="F126" s="207">
        <v>6</v>
      </c>
      <c r="G126" s="207">
        <v>5</v>
      </c>
      <c r="H126" s="207">
        <v>5</v>
      </c>
      <c r="I126" s="207">
        <v>5</v>
      </c>
      <c r="J126" s="159">
        <f>$D126*Pesi!$F$5+Pesi!$F$6*$E126+$F126*Pesi!$F$7+Pesi!$F$8*$G126+$H126*Pesi!$F$9+Pesi!$F$10*$I126+VLOOKUP($C126,TabAlgSqu,2,FALSE)*Pesi!$F$11+Pesi!$F$12*VLOOKUP($C126,TabAlgFC,2,FALSE)+VLOOKUP($C126,TabAlgAll,2,FALSE)*Pesi!$F$13</f>
        <v>58.393099999999997</v>
      </c>
      <c r="K126" s="155">
        <f>IF(ISNA(MATCH($B126,Pesi!$B$31:$B$34,0)),VLOOKUP(Pesi!$B$33,TabAlgDif,10,FALSE)-((VLOOKUP(Pesi!$B$33,TabAlgDif,9,FALSE)-$J126)/(VLOOKUP(Pesi!$B$33,TabAlgDif,9,FALSE)-Pesi!$C$43))*VLOOKUP(Pesi!$B$33,TabAlgDif,10,FALSE),Pesi!$F$33*Pesi!$C$28)</f>
        <v>-6.0196892385192164</v>
      </c>
      <c r="L126" s="155">
        <f t="shared" si="9"/>
        <v>1</v>
      </c>
      <c r="M126" s="160">
        <f>$D126*Pesi!$H$5+Pesi!$H$6*$E126+$F126*Pesi!$H$7+Pesi!$H$8*$G126+$H126*Pesi!$H$9+Pesi!$H$10*$I126+VLOOKUP($C126,TabAlgSqu,2,FALSE)*Pesi!$H$11+Pesi!$H$12*VLOOKUP($C126,TabAlgFC,2,FALSE)+VLOOKUP($C126,TabAlgAll,2,FALSE)*Pesi!$H$13</f>
        <v>61.693100000000001</v>
      </c>
      <c r="N126" s="155">
        <f>IF(ISNA(MATCH($B126,Pesi!$B$31:$B$34,0)),VLOOKUP(Pesi!$B$33,TabAlgDif,13,FALSE)-((VLOOKUP(Pesi!$B$33,TabAlgDif,12,FALSE)-$M126)/(VLOOKUP(Pesi!$B$33,TabAlgDif,12,FALSE)-Pesi!$F$43))*VLOOKUP(Pesi!$B$33,TabAlgDif,13,FALSE),$K126*$M126/$J126)</f>
        <v>-6.6550768497450292</v>
      </c>
      <c r="O126" s="155">
        <f t="shared" si="10"/>
        <v>1</v>
      </c>
      <c r="P126">
        <f t="shared" si="11"/>
        <v>33</v>
      </c>
      <c r="Q126" t="e">
        <f>VLOOKUP(B126,'C.P.'!$A$2:$B$164,2,FALSE)</f>
        <v>#N/A</v>
      </c>
      <c r="R126" t="e">
        <f>VLOOKUP(B126,'C.P.'!$C$2:$D$164,2,FALSE)</f>
        <v>#N/A</v>
      </c>
      <c r="S126" t="e">
        <f>VLOOKUP(B126,'C.P.'!$E$2:$F$164,2,FALSE)</f>
        <v>#N/A</v>
      </c>
      <c r="T126" t="e">
        <f>VLOOKUP(B126,'C.P.'!$G$2:$H$164,2,FALSE)</f>
        <v>#N/A</v>
      </c>
    </row>
    <row r="127" spans="1:21">
      <c r="A127">
        <f ca="1">COUNTIF('I.A. + Fasce'!B$1:'I.A. + Fasce'!B$538,B127)</f>
        <v>1</v>
      </c>
      <c r="B127" s="205" t="s">
        <v>440</v>
      </c>
      <c r="C127" s="206" t="str">
        <f>VLOOKUP(B127,'IA FG'!$B$2:$G$600,6,FALSE)</f>
        <v>CHI</v>
      </c>
      <c r="D127" s="207">
        <v>5</v>
      </c>
      <c r="E127" s="207">
        <v>6</v>
      </c>
      <c r="F127" s="207">
        <v>6</v>
      </c>
      <c r="G127" s="207">
        <v>5</v>
      </c>
      <c r="H127" s="207">
        <v>4</v>
      </c>
      <c r="I127" s="207">
        <v>6</v>
      </c>
      <c r="J127" s="159">
        <f>$D127*Pesi!$F$5+Pesi!$F$6*$E127+$F127*Pesi!$F$7+Pesi!$F$8*$G127+$H127*Pesi!$F$9+Pesi!$F$10*$I127+VLOOKUP($C127,TabAlgSqu,2,FALSE)*Pesi!$F$11+Pesi!$F$12*VLOOKUP($C127,TabAlgFC,2,FALSE)+VLOOKUP($C127,TabAlgAll,2,FALSE)*Pesi!$F$13</f>
        <v>58.379999999999995</v>
      </c>
      <c r="K127" s="155">
        <f>IF(ISNA(MATCH($B127,Pesi!$B$31:$B$34,0)),VLOOKUP(Pesi!$B$33,TabAlgDif,10,FALSE)-((VLOOKUP(Pesi!$B$33,TabAlgDif,9,FALSE)-$J127)/(VLOOKUP(Pesi!$B$33,TabAlgDif,9,FALSE)-Pesi!$D$43))*VLOOKUP(Pesi!$B$33,TabAlgDif,10,FALSE),Pesi!$F$33*Pesi!$C$28)</f>
        <v>-5.7257584770969743</v>
      </c>
      <c r="L127" s="155">
        <f t="shared" si="9"/>
        <v>1</v>
      </c>
      <c r="M127" s="160">
        <f>$D127*Pesi!$H$5+Pesi!$H$6*$E127+$F127*Pesi!$H$7+Pesi!$H$8*$G127+$H127*Pesi!$H$9+Pesi!$H$10*$I127+VLOOKUP($C127,TabAlgSqu,2,FALSE)*Pesi!$H$11+Pesi!$H$12*VLOOKUP($C127,TabAlgFC,2,FALSE)+VLOOKUP($C127,TabAlgAll,2,FALSE)*Pesi!$H$13</f>
        <v>61.679999999999993</v>
      </c>
      <c r="N127" s="155">
        <f>IF(ISNA(MATCH($B127,Pesi!$B$31:$B$34,0)),VLOOKUP(Pesi!$B$33,TabAlgDif,13,FALSE)-((VLOOKUP(Pesi!$B$33,TabAlgDif,12,FALSE)-$M127)/(VLOOKUP(Pesi!$B$33,TabAlgDif,12,FALSE)-Pesi!$F$43))*VLOOKUP(Pesi!$B$33,TabAlgDif,13,FALSE),$K127*$M127/$J127)</f>
        <v>-6.6715048033020494</v>
      </c>
      <c r="O127" s="155">
        <f t="shared" si="10"/>
        <v>1</v>
      </c>
      <c r="P127">
        <f t="shared" si="11"/>
        <v>32</v>
      </c>
      <c r="Q127" t="e">
        <f>VLOOKUP(B127,'C.P.'!$A$2:$B$164,2,FALSE)</f>
        <v>#N/A</v>
      </c>
      <c r="R127" t="e">
        <f>VLOOKUP(C127,'C.P.'!$C$2:$C$164,2,FALSE)</f>
        <v>#N/A</v>
      </c>
      <c r="S127" t="e">
        <f>VLOOKUP(D127,'C.P.'!$E$2:$F$164,2,FALSE)</f>
        <v>#N/A</v>
      </c>
      <c r="T127" t="e">
        <f>VLOOKUP(E127,'C.P.'!$G$2:$H$164,2,FALSE)</f>
        <v>#N/A</v>
      </c>
      <c r="U127" s="180" t="s">
        <v>878</v>
      </c>
    </row>
    <row r="128" spans="1:21">
      <c r="A128">
        <f ca="1">COUNTIF('I.A. + Fasce'!B$1:'I.A. + Fasce'!B$538,#REF!)</f>
        <v>0</v>
      </c>
      <c r="B128" s="205" t="s">
        <v>457</v>
      </c>
      <c r="C128" s="206" t="str">
        <f>VLOOKUP(B128,'IA FG'!$B$2:$G$600,6,FALSE)</f>
        <v>SAS</v>
      </c>
      <c r="D128" s="207">
        <v>6</v>
      </c>
      <c r="E128" s="207">
        <v>6</v>
      </c>
      <c r="F128" s="207">
        <v>6</v>
      </c>
      <c r="G128" s="207">
        <v>5</v>
      </c>
      <c r="H128" s="207">
        <v>6</v>
      </c>
      <c r="I128" s="207">
        <v>5</v>
      </c>
      <c r="J128" s="159">
        <f>$D128*Pesi!$F$5+Pesi!$F$6*$E128+$F128*Pesi!$F$7+Pesi!$F$8*$G128+$H128*Pesi!$F$9+Pesi!$F$10*$I128+VLOOKUP($C128,TabAlgSqu,2,FALSE)*Pesi!$F$11+Pesi!$F$12*VLOOKUP($C128,TabAlgFC,2,FALSE)+VLOOKUP($C128,TabAlgAll,2,FALSE)*Pesi!$F$13</f>
        <v>58.313099999999999</v>
      </c>
      <c r="K128" s="155">
        <f>IF(ISNA(MATCH($B128,Pesi!$B$31:$B$34,0)),VLOOKUP(Pesi!$B$33,TabAlgDif,10,FALSE)-((VLOOKUP(Pesi!$B$33,TabAlgDif,9,FALSE)-$J128)/(VLOOKUP(Pesi!$B$33,TabAlgDif,9,FALSE)-Pesi!$D$43))*VLOOKUP(Pesi!$B$33,TabAlgDif,10,FALSE),Pesi!$F$33*Pesi!$C$28)</f>
        <v>-5.8086704342653235</v>
      </c>
      <c r="L128" s="155">
        <f t="shared" si="9"/>
        <v>1</v>
      </c>
      <c r="M128" s="160">
        <f>$D128*Pesi!$H$5+Pesi!$H$6*$E128+$F128*Pesi!$H$7+Pesi!$H$8*$G128+$H128*Pesi!$H$9+Pesi!$H$10*$I128+VLOOKUP($C128,TabAlgSqu,2,FALSE)*Pesi!$H$11+Pesi!$H$12*VLOOKUP($C128,TabAlgFC,2,FALSE)+VLOOKUP($C128,TabAlgAll,2,FALSE)*Pesi!$H$13</f>
        <v>61.613099999999996</v>
      </c>
      <c r="N128" s="155">
        <f>IF(ISNA(MATCH($B128,Pesi!$B$31:$B$34,0)),VLOOKUP(Pesi!$B$33,TabAlgDif,13,FALSE)-((VLOOKUP(Pesi!$B$33,TabAlgDif,12,FALSE)-$M128)/(VLOOKUP(Pesi!$B$33,TabAlgDif,12,FALSE)-Pesi!$F$43))*VLOOKUP(Pesi!$B$33,TabAlgDif,13,FALSE),$K128*$M128/$J128)</f>
        <v>-6.7554002302458258</v>
      </c>
      <c r="O128" s="155">
        <f t="shared" si="10"/>
        <v>1</v>
      </c>
      <c r="P128">
        <f t="shared" si="11"/>
        <v>34</v>
      </c>
      <c r="Q128" t="e">
        <f>VLOOKUP(B128,'C.P.'!$A$2:$B$164,2,FALSE)</f>
        <v>#N/A</v>
      </c>
      <c r="R128" t="e">
        <f>VLOOKUP(B128,'C.P.'!$C$2:$D$164,2,FALSE)</f>
        <v>#N/A</v>
      </c>
      <c r="S128" t="e">
        <f>VLOOKUP(B128,'C.P.'!$E$2:$F$164,2,FALSE)</f>
        <v>#N/A</v>
      </c>
      <c r="T128" t="e">
        <f>VLOOKUP(B128,'C.P.'!$G$2:$H$164,2,FALSE)</f>
        <v>#N/A</v>
      </c>
    </row>
    <row r="129" spans="1:21">
      <c r="A129">
        <f ca="1">COUNTIF('I.A. + Fasce'!B$1:'I.A. + Fasce'!B$538,B123)</f>
        <v>1</v>
      </c>
      <c r="B129" s="205" t="s">
        <v>568</v>
      </c>
      <c r="C129" s="206" t="str">
        <f>VLOOKUP(B129,'IA FG'!$B$2:$G$600,6,FALSE)</f>
        <v>SAS</v>
      </c>
      <c r="D129" s="207">
        <v>8</v>
      </c>
      <c r="E129" s="207">
        <v>7</v>
      </c>
      <c r="F129" s="207">
        <v>5</v>
      </c>
      <c r="G129" s="207">
        <v>5</v>
      </c>
      <c r="H129" s="207">
        <v>4</v>
      </c>
      <c r="I129" s="207">
        <v>5</v>
      </c>
      <c r="J129" s="159">
        <f>$D129*Pesi!$F$5+Pesi!$F$6*$E129+$F129*Pesi!$F$7+Pesi!$F$8*$G129+$H129*Pesi!$F$9+Pesi!$F$10*$I129+VLOOKUP($C129,TabAlgSqu,2,FALSE)*Pesi!$F$11+Pesi!$F$12*VLOOKUP($C129,TabAlgFC,2,FALSE)+VLOOKUP($C129,TabAlgAll,2,FALSE)*Pesi!$F$13</f>
        <v>58.238099999999996</v>
      </c>
      <c r="K129" s="155">
        <f>IF(ISNA(MATCH($B129,Pesi!$B$31:$B$34,0)),VLOOKUP(Pesi!$B$33,TabAlgDif,10,FALSE)-((VLOOKUP(Pesi!$B$33,TabAlgDif,9,FALSE)-$J129)/(VLOOKUP(Pesi!$B$33,TabAlgDif,9,FALSE)-Pesi!$C$43))*VLOOKUP(Pesi!$B$33,TabAlgDif,10,FALSE),Pesi!$F$33*Pesi!$C$28)</f>
        <v>-6.2137273851669903</v>
      </c>
      <c r="L129" s="155">
        <f t="shared" si="9"/>
        <v>1</v>
      </c>
      <c r="M129" s="160">
        <f>$D129*Pesi!$H$5+Pesi!$H$6*$E129+$F129*Pesi!$H$7+Pesi!$H$8*$G129+$H129*Pesi!$H$9+Pesi!$H$10*$I129+VLOOKUP($C129,TabAlgSqu,2,FALSE)*Pesi!$H$11+Pesi!$H$12*VLOOKUP($C129,TabAlgFC,2,FALSE)+VLOOKUP($C129,TabAlgAll,2,FALSE)*Pesi!$H$13</f>
        <v>60.988099999999996</v>
      </c>
      <c r="N129" s="155">
        <f>IF(ISNA(MATCH($B129,Pesi!$B$31:$B$34,0)),VLOOKUP(Pesi!$B$33,TabAlgDif,13,FALSE)-((VLOOKUP(Pesi!$B$33,TabAlgDif,12,FALSE)-$M129)/(VLOOKUP(Pesi!$B$33,TabAlgDif,12,FALSE)-Pesi!$F$43))*VLOOKUP(Pesi!$B$33,TabAlgDif,13,FALSE),$K129*$M129/$J129)</f>
        <v>-7.5391766404081864</v>
      </c>
      <c r="O129" s="155">
        <f t="shared" si="10"/>
        <v>1</v>
      </c>
      <c r="P129">
        <f t="shared" si="11"/>
        <v>34</v>
      </c>
      <c r="Q129">
        <f>VLOOKUP(B129,'C.P.'!$A$2:$B$164,2,FALSE)</f>
        <v>-1</v>
      </c>
      <c r="R129" t="e">
        <f>VLOOKUP(B129,'C.P.'!$C$2:$D$164,2,FALSE)</f>
        <v>#N/A</v>
      </c>
      <c r="S129" t="e">
        <f>VLOOKUP(B129,'C.P.'!$E$2:$F$164,2,FALSE)</f>
        <v>#N/A</v>
      </c>
      <c r="T129" t="e">
        <f>VLOOKUP(B129,'C.P.'!$G$2:$H$164,2,FALSE)</f>
        <v>#N/A</v>
      </c>
    </row>
    <row r="130" spans="1:21">
      <c r="A130">
        <f ca="1">COUNTIF('I.A. + Fasce'!B$1:'I.A. + Fasce'!B$538,B125)</f>
        <v>1</v>
      </c>
      <c r="B130" s="205" t="s">
        <v>612</v>
      </c>
      <c r="C130" s="206" t="str">
        <f>VLOOKUP(B130,'IA FG'!$B$2:$G$600,6,FALSE)</f>
        <v>BOL</v>
      </c>
      <c r="D130" s="207">
        <v>7</v>
      </c>
      <c r="E130" s="207">
        <v>7</v>
      </c>
      <c r="F130" s="207">
        <v>5</v>
      </c>
      <c r="G130" s="207">
        <v>5</v>
      </c>
      <c r="H130" s="207">
        <v>5</v>
      </c>
      <c r="I130" s="207">
        <v>5</v>
      </c>
      <c r="J130" s="159">
        <f>$D130*Pesi!$F$5+Pesi!$F$6*$E130+$F130*Pesi!$F$7+Pesi!$F$8*$G130+$H130*Pesi!$F$9+Pesi!$F$10*$I130+VLOOKUP($C130,TabAlgSqu,2,FALSE)*Pesi!$F$11+Pesi!$F$12*VLOOKUP($C130,TabAlgFC,2,FALSE)+VLOOKUP($C130,TabAlgAll,2,FALSE)*Pesi!$F$13</f>
        <v>58.119599999999998</v>
      </c>
      <c r="K130" s="155">
        <f>IF(ISNA(MATCH($B130,Pesi!$B$31:$B$34,0)),VLOOKUP(Pesi!$B$33,TabAlgDif,10,FALSE)-((VLOOKUP(Pesi!$B$33,TabAlgDif,9,FALSE)-$J130)/(VLOOKUP(Pesi!$B$33,TabAlgDif,9,FALSE)-Pesi!$D$43))*VLOOKUP(Pesi!$B$33,TabAlgDif,10,FALSE),Pesi!$F$33*Pesi!$C$28)</f>
        <v>-6.0484830458060728</v>
      </c>
      <c r="L130" s="155">
        <f t="shared" ref="L130:L161" si="12">IF(K130&lt;=1,1,K130)</f>
        <v>1</v>
      </c>
      <c r="M130" s="160">
        <f>$D130*Pesi!$H$5+Pesi!$H$6*$E130+$F130*Pesi!$H$7+Pesi!$H$8*$G130+$H130*Pesi!$H$9+Pesi!$H$10*$I130+VLOOKUP($C130,TabAlgSqu,2,FALSE)*Pesi!$H$11+Pesi!$H$12*VLOOKUP($C130,TabAlgFC,2,FALSE)+VLOOKUP($C130,TabAlgAll,2,FALSE)*Pesi!$H$13</f>
        <v>60.869599999999998</v>
      </c>
      <c r="N130" s="155">
        <f>IF(ISNA(MATCH($B130,Pesi!$B$31:$B$34,0)),VLOOKUP(Pesi!$B$33,TabAlgDif,13,FALSE)-((VLOOKUP(Pesi!$B$33,TabAlgDif,12,FALSE)-$M130)/(VLOOKUP(Pesi!$B$33,TabAlgDif,12,FALSE)-Pesi!$F$43))*VLOOKUP(Pesi!$B$33,TabAlgDif,13,FALSE),$K130*$M130/$J130)</f>
        <v>-7.6877806477749644</v>
      </c>
      <c r="O130" s="155">
        <f t="shared" ref="O130:O161" si="13">IF(N130&lt;=1,1,N130)</f>
        <v>1</v>
      </c>
      <c r="P130">
        <f t="shared" ref="P130:P161" si="14">SUM(D130:I130)</f>
        <v>34</v>
      </c>
      <c r="Q130" t="e">
        <f>VLOOKUP(B130,'C.P.'!$A$2:$B$164,2,FALSE)</f>
        <v>#N/A</v>
      </c>
      <c r="R130" t="e">
        <f>VLOOKUP(C130,'C.P.'!$C$2:$C$164,2,FALSE)</f>
        <v>#N/A</v>
      </c>
      <c r="S130" t="e">
        <f>VLOOKUP(D130,'C.P.'!$E$2:$F$164,2,FALSE)</f>
        <v>#N/A</v>
      </c>
      <c r="T130" t="e">
        <f>VLOOKUP(E130,'C.P.'!$G$2:$H$164,2,FALSE)</f>
        <v>#N/A</v>
      </c>
    </row>
    <row r="131" spans="1:21">
      <c r="A131">
        <f ca="1">COUNTIF('I.A. + Fasce'!B$1:'I.A. + Fasce'!B$538,B127)</f>
        <v>1</v>
      </c>
      <c r="B131" s="205" t="s">
        <v>492</v>
      </c>
      <c r="C131" s="206" t="str">
        <f>VLOOKUP(B131,'IA FG'!$B$2:$G$600,6,FALSE)</f>
        <v>BOL</v>
      </c>
      <c r="D131" s="207">
        <v>7</v>
      </c>
      <c r="E131" s="207">
        <v>7</v>
      </c>
      <c r="F131" s="207">
        <v>5</v>
      </c>
      <c r="G131" s="207">
        <v>5</v>
      </c>
      <c r="H131" s="207">
        <v>5</v>
      </c>
      <c r="I131" s="207">
        <v>5</v>
      </c>
      <c r="J131" s="159">
        <f>$D131*Pesi!$F$5+Pesi!$F$6*$E131+$F131*Pesi!$F$7+Pesi!$F$8*$G131+$H131*Pesi!$F$9+Pesi!$F$10*$I131+VLOOKUP($C131,TabAlgSqu,2,FALSE)*Pesi!$F$11+Pesi!$F$12*VLOOKUP($C131,TabAlgFC,2,FALSE)+VLOOKUP($C131,TabAlgAll,2,FALSE)*Pesi!$F$13</f>
        <v>58.119599999999998</v>
      </c>
      <c r="K131" s="155">
        <f>IF(ISNA(MATCH($B131,Pesi!$B$31:$B$34,0)),VLOOKUP(Pesi!$B$33,TabAlgDif,10,FALSE)-((VLOOKUP(Pesi!$B$33,TabAlgDif,9,FALSE)-$J131)/(VLOOKUP(Pesi!$B$33,TabAlgDif,9,FALSE)-Pesi!$D$43))*VLOOKUP(Pesi!$B$33,TabAlgDif,10,FALSE),Pesi!$F$33*Pesi!$C$28)</f>
        <v>-6.0484830458060728</v>
      </c>
      <c r="L131" s="155">
        <f t="shared" si="12"/>
        <v>1</v>
      </c>
      <c r="M131" s="160">
        <f>$D131*Pesi!$H$5+Pesi!$H$6*$E131+$F131*Pesi!$H$7+Pesi!$H$8*$G131+$H131*Pesi!$H$9+Pesi!$H$10*$I131+VLOOKUP($C131,TabAlgSqu,2,FALSE)*Pesi!$H$11+Pesi!$H$12*VLOOKUP($C131,TabAlgFC,2,FALSE)+VLOOKUP($C131,TabAlgAll,2,FALSE)*Pesi!$H$13</f>
        <v>60.869599999999998</v>
      </c>
      <c r="N131" s="155">
        <f>IF(ISNA(MATCH($B131,Pesi!$B$31:$B$34,0)),VLOOKUP(Pesi!$B$33,TabAlgDif,13,FALSE)-((VLOOKUP(Pesi!$B$33,TabAlgDif,12,FALSE)-$M131)/(VLOOKUP(Pesi!$B$33,TabAlgDif,12,FALSE)-Pesi!$F$43))*VLOOKUP(Pesi!$B$33,TabAlgDif,13,FALSE),$K131*$M131/$J131)</f>
        <v>-7.6877806477749644</v>
      </c>
      <c r="O131" s="155">
        <f t="shared" si="13"/>
        <v>1</v>
      </c>
      <c r="P131">
        <f t="shared" si="14"/>
        <v>34</v>
      </c>
      <c r="Q131" t="e">
        <f>VLOOKUP(B131,'C.P.'!$A$2:$B$164,2,FALSE)</f>
        <v>#N/A</v>
      </c>
      <c r="R131" t="e">
        <f>VLOOKUP(C131,'C.P.'!$C$2:$C$164,2,FALSE)</f>
        <v>#N/A</v>
      </c>
      <c r="S131" t="e">
        <f>VLOOKUP(D131,'C.P.'!$E$2:$F$164,2,FALSE)</f>
        <v>#N/A</v>
      </c>
      <c r="T131" t="e">
        <f>VLOOKUP(E131,'C.P.'!$G$2:$H$164,2,FALSE)</f>
        <v>#N/A</v>
      </c>
    </row>
    <row r="132" spans="1:21">
      <c r="A132">
        <f ca="1">COUNTIF('I.A. + Fasce'!B$1:'I.A. + Fasce'!B$538,#REF!)</f>
        <v>0</v>
      </c>
      <c r="B132" s="205" t="s">
        <v>503</v>
      </c>
      <c r="C132" s="206" t="str">
        <f>VLOOKUP(B132,'IA FG'!$B$2:$G$600,6,FALSE)</f>
        <v>SAS</v>
      </c>
      <c r="D132" s="207">
        <v>8</v>
      </c>
      <c r="E132" s="207">
        <v>6</v>
      </c>
      <c r="F132" s="207">
        <v>5</v>
      </c>
      <c r="G132" s="207">
        <v>7</v>
      </c>
      <c r="H132" s="207">
        <v>4</v>
      </c>
      <c r="I132" s="207">
        <v>4</v>
      </c>
      <c r="J132" s="159">
        <f>$D132*Pesi!$F$5+Pesi!$F$6*$E132+$F132*Pesi!$F$7+Pesi!$F$8*$G132+$H132*Pesi!$F$9+Pesi!$F$10*$I132+VLOOKUP($C132,TabAlgSqu,2,FALSE)*Pesi!$F$11+Pesi!$F$12*VLOOKUP($C132,TabAlgFC,2,FALSE)+VLOOKUP($C132,TabAlgAll,2,FALSE)*Pesi!$F$13</f>
        <v>58.067299999999996</v>
      </c>
      <c r="K132" s="155">
        <f>IF(ISNA(MATCH($B132,Pesi!$B$31:$B$34,0)),VLOOKUP(Pesi!$B$33,TabAlgDif,10,FALSE)-((VLOOKUP(Pesi!$B$33,TabAlgDif,9,FALSE)-$J132)/(VLOOKUP(Pesi!$B$33,TabAlgDif,9,FALSE)-Pesi!$D$43))*VLOOKUP(Pesi!$B$33,TabAlgDif,10,FALSE),Pesi!$F$33*Pesi!$C$28)</f>
        <v>-6.1133006147134736</v>
      </c>
      <c r="L132" s="155">
        <f t="shared" si="12"/>
        <v>1</v>
      </c>
      <c r="M132" s="160">
        <f>$D132*Pesi!$H$5+Pesi!$H$6*$E132+$F132*Pesi!$H$7+Pesi!$H$8*$G132+$H132*Pesi!$H$9+Pesi!$H$10*$I132+VLOOKUP($C132,TabAlgSqu,2,FALSE)*Pesi!$H$11+Pesi!$H$12*VLOOKUP($C132,TabAlgFC,2,FALSE)+VLOOKUP($C132,TabAlgAll,2,FALSE)*Pesi!$H$13</f>
        <v>60.817299999999996</v>
      </c>
      <c r="N132" s="155">
        <f>IF(ISNA(MATCH($B132,Pesi!$B$31:$B$34,0)),VLOOKUP(Pesi!$B$33,TabAlgDif,13,FALSE)-((VLOOKUP(Pesi!$B$33,TabAlgDif,12,FALSE)-$M132)/(VLOOKUP(Pesi!$B$33,TabAlgDif,12,FALSE)-Pesi!$F$43))*VLOOKUP(Pesi!$B$33,TabAlgDif,13,FALSE),$K132*$M132/$J132)</f>
        <v>-7.7533670577773535</v>
      </c>
      <c r="O132" s="155">
        <f t="shared" si="13"/>
        <v>1</v>
      </c>
      <c r="P132">
        <f t="shared" si="14"/>
        <v>34</v>
      </c>
      <c r="Q132" t="e">
        <f>VLOOKUP(B132,'C.P.'!$A$2:$B$164,2,FALSE)</f>
        <v>#N/A</v>
      </c>
      <c r="R132" t="e">
        <f>VLOOKUP(C132,'C.P.'!$C$2:$C$164,2,FALSE)</f>
        <v>#N/A</v>
      </c>
      <c r="S132" t="e">
        <f>VLOOKUP(D132,'C.P.'!$E$2:$F$164,2,FALSE)</f>
        <v>#N/A</v>
      </c>
      <c r="T132" t="e">
        <f>VLOOKUP(E132,'C.P.'!$G$2:$H$164,2,FALSE)</f>
        <v>#N/A</v>
      </c>
    </row>
    <row r="133" spans="1:21">
      <c r="A133">
        <f ca="1">COUNTIF('I.A. + Fasce'!B$1:'I.A. + Fasce'!B$538,B129)</f>
        <v>1</v>
      </c>
      <c r="B133" s="205" t="s">
        <v>435</v>
      </c>
      <c r="C133" s="206" t="str">
        <f>VLOOKUP(B133,'IA FG'!$B$2:$G$600,6,FALSE)</f>
        <v>SPA</v>
      </c>
      <c r="D133" s="207">
        <v>8</v>
      </c>
      <c r="E133" s="207">
        <v>7</v>
      </c>
      <c r="F133" s="207">
        <v>6</v>
      </c>
      <c r="G133" s="207">
        <v>7</v>
      </c>
      <c r="H133" s="207">
        <v>5</v>
      </c>
      <c r="I133" s="207">
        <v>7</v>
      </c>
      <c r="J133" s="159">
        <f>$D133*Pesi!$F$5+Pesi!$F$6*$E133+$F133*Pesi!$F$7+Pesi!$F$8*$G133+$H133*Pesi!$F$9+Pesi!$F$10*$I133+VLOOKUP($C133,TabAlgSqu,2,FALSE)*Pesi!$F$11+Pesi!$F$12*VLOOKUP($C133,TabAlgFC,2,FALSE)+VLOOKUP($C133,TabAlgAll,2,FALSE)*Pesi!$F$13</f>
        <v>57.627000000000002</v>
      </c>
      <c r="K133" s="155">
        <f>IF(ISNA(MATCH($B133,Pesi!$B$31:$B$34,0)),VLOOKUP(Pesi!$B$33,TabAlgDif,10,FALSE)-((VLOOKUP(Pesi!$B$33,TabAlgDif,9,FALSE)-$J133)/(VLOOKUP(Pesi!$B$33,TabAlgDif,9,FALSE)-Pesi!$D$43))*VLOOKUP(Pesi!$B$33,TabAlgDif,10,FALSE),Pesi!$F$33*Pesi!$C$28)</f>
        <v>-6.6589827483640747</v>
      </c>
      <c r="L133" s="155">
        <f t="shared" si="12"/>
        <v>1</v>
      </c>
      <c r="M133" s="160">
        <f>$D133*Pesi!$H$5+Pesi!$H$6*$E133+$F133*Pesi!$H$7+Pesi!$H$8*$G133+$H133*Pesi!$H$9+Pesi!$H$10*$I133+VLOOKUP($C133,TabAlgSqu,2,FALSE)*Pesi!$H$11+Pesi!$H$12*VLOOKUP($C133,TabAlgFC,2,FALSE)+VLOOKUP($C133,TabAlgAll,2,FALSE)*Pesi!$H$13</f>
        <v>60.927</v>
      </c>
      <c r="N133" s="155">
        <f>IF(ISNA(MATCH($B133,Pesi!$B$31:$B$34,0)),VLOOKUP(Pesi!$B$33,TabAlgDif,13,FALSE)-((VLOOKUP(Pesi!$B$33,TabAlgDif,12,FALSE)-$M133)/(VLOOKUP(Pesi!$B$33,TabAlgDif,12,FALSE)-Pesi!$F$43))*VLOOKUP(Pesi!$B$33,TabAlgDif,13,FALSE),$K133*$M133/$J133)</f>
        <v>-7.6157986222656504</v>
      </c>
      <c r="O133" s="155">
        <f t="shared" si="13"/>
        <v>1</v>
      </c>
      <c r="P133">
        <f t="shared" si="14"/>
        <v>40</v>
      </c>
      <c r="Q133" t="e">
        <f>VLOOKUP(B133,'C.P.'!$A$2:$B$164,2,FALSE)</f>
        <v>#N/A</v>
      </c>
      <c r="R133" t="e">
        <f>VLOOKUP(C133,'C.P.'!$C$2:$C$164,2,FALSE)</f>
        <v>#N/A</v>
      </c>
      <c r="S133" t="e">
        <f>VLOOKUP(D133,'C.P.'!$E$2:$F$164,2,FALSE)</f>
        <v>#N/A</v>
      </c>
      <c r="T133" t="e">
        <f>VLOOKUP(E133,'C.P.'!$G$2:$H$164,2,FALSE)</f>
        <v>#N/A</v>
      </c>
    </row>
    <row r="134" spans="1:21">
      <c r="A134">
        <f ca="1">COUNTIF('I.A. + Fasce'!B$1:'I.A. + Fasce'!B$538,B130)</f>
        <v>1</v>
      </c>
      <c r="B134" s="205" t="s">
        <v>1720</v>
      </c>
      <c r="C134" s="206" t="str">
        <f>VLOOKUP(B134,'IA FG'!$B$2:$G$600,6,FALSE)</f>
        <v>VER</v>
      </c>
      <c r="D134" s="207">
        <v>7</v>
      </c>
      <c r="E134" s="207">
        <v>5</v>
      </c>
      <c r="F134" s="207">
        <v>6</v>
      </c>
      <c r="G134" s="207">
        <v>5</v>
      </c>
      <c r="H134" s="207">
        <v>7</v>
      </c>
      <c r="I134" s="207">
        <v>4</v>
      </c>
      <c r="J134" s="159">
        <f>$D134*Pesi!$F$5+Pesi!$F$6*$E134+$F134*Pesi!$F$7+Pesi!$F$8*$G134+$H134*Pesi!$F$9+Pesi!$F$10*$I134+VLOOKUP($C134,TabAlgSqu,2,FALSE)*Pesi!$F$11+Pesi!$F$12*VLOOKUP($C134,TabAlgFC,2,FALSE)+VLOOKUP($C134,TabAlgAll,2,FALSE)*Pesi!$F$13</f>
        <v>57.412399999999998</v>
      </c>
      <c r="K134" s="155">
        <f>IF(ISNA(MATCH($B134,Pesi!$B$31:$B$34,0)),VLOOKUP(Pesi!$B$33,TabAlgDif,10,FALSE)-((VLOOKUP(Pesi!$B$33,TabAlgDif,9,FALSE)-$J134)/(VLOOKUP(Pesi!$B$33,TabAlgDif,9,FALSE)-Pesi!$D$43))*VLOOKUP(Pesi!$B$33,TabAlgDif,10,FALSE),Pesi!$F$33*Pesi!$C$28)</f>
        <v>-6.924945468966893</v>
      </c>
      <c r="L134" s="155">
        <f t="shared" si="12"/>
        <v>1</v>
      </c>
      <c r="M134" s="160">
        <f>$D134*Pesi!$H$5+Pesi!$H$6*$E134+$F134*Pesi!$H$7+Pesi!$H$8*$G134+$H134*Pesi!$H$9+Pesi!$H$10*$I134+VLOOKUP($C134,TabAlgSqu,2,FALSE)*Pesi!$H$11+Pesi!$H$12*VLOOKUP($C134,TabAlgFC,2,FALSE)+VLOOKUP($C134,TabAlgAll,2,FALSE)*Pesi!$H$13</f>
        <v>60.712399999999995</v>
      </c>
      <c r="N134" s="155">
        <f>IF(ISNA(MATCH($B134,Pesi!$B$31:$B$34,0)),VLOOKUP(Pesi!$B$33,TabAlgDif,13,FALSE)-((VLOOKUP(Pesi!$B$33,TabAlgDif,12,FALSE)-$M134)/(VLOOKUP(Pesi!$B$33,TabAlgDif,12,FALSE)-Pesi!$F$43))*VLOOKUP(Pesi!$B$33,TabAlgDif,13,FALSE),$K134*$M134/$J134)</f>
        <v>-7.8849160904590079</v>
      </c>
      <c r="O134" s="155">
        <f t="shared" si="13"/>
        <v>1</v>
      </c>
      <c r="P134">
        <f t="shared" si="14"/>
        <v>34</v>
      </c>
      <c r="Q134" t="e">
        <f>VLOOKUP(B134,'C.P.'!$A$2:$B$164,2,FALSE)</f>
        <v>#N/A</v>
      </c>
      <c r="R134" t="e">
        <f>VLOOKUP(C134,'C.P.'!$C$2:$C$164,2,FALSE)</f>
        <v>#N/A</v>
      </c>
      <c r="S134" t="e">
        <f>VLOOKUP(D134,'C.P.'!$E$2:$F$164,2,FALSE)</f>
        <v>#N/A</v>
      </c>
      <c r="T134" t="e">
        <f>VLOOKUP(E134,'C.P.'!$G$2:$H$164,2,FALSE)</f>
        <v>#N/A</v>
      </c>
    </row>
    <row r="135" spans="1:21">
      <c r="A135">
        <f ca="1">COUNTIF('I.A. + Fasce'!B$1:'I.A. + Fasce'!B$538,B131)</f>
        <v>0</v>
      </c>
      <c r="B135" s="205" t="s">
        <v>1718</v>
      </c>
      <c r="C135" s="206" t="str">
        <f>VLOOKUP(B135,'IA FG'!$B$2:$G$600,6,FALSE)</f>
        <v>VER</v>
      </c>
      <c r="D135" s="207">
        <v>8</v>
      </c>
      <c r="E135" s="207">
        <v>7</v>
      </c>
      <c r="F135" s="207">
        <v>4</v>
      </c>
      <c r="G135" s="207">
        <v>4</v>
      </c>
      <c r="H135" s="207">
        <v>6</v>
      </c>
      <c r="I135" s="207">
        <v>5</v>
      </c>
      <c r="J135" s="159">
        <f>$D135*Pesi!$F$5+Pesi!$F$6*$E135+$F135*Pesi!$F$7+Pesi!$F$8*$G135+$H135*Pesi!$F$9+Pesi!$F$10*$I135+VLOOKUP($C135,TabAlgSqu,2,FALSE)*Pesi!$F$11+Pesi!$F$12*VLOOKUP($C135,TabAlgFC,2,FALSE)+VLOOKUP($C135,TabAlgAll,2,FALSE)*Pesi!$F$13</f>
        <v>57.345699999999994</v>
      </c>
      <c r="K135" s="155">
        <f>IF(ISNA(MATCH($B135,Pesi!$B$31:$B$34,0)),VLOOKUP(Pesi!$B$33,TabAlgDif,10,FALSE)-((VLOOKUP(Pesi!$B$33,TabAlgDif,9,FALSE)-$J135)/(VLOOKUP(Pesi!$B$33,TabAlgDif,9,FALSE)-Pesi!$D$43))*VLOOKUP(Pesi!$B$33,TabAlgDif,10,FALSE),Pesi!$F$33*Pesi!$C$28)</f>
        <v>-7.0076095578029083</v>
      </c>
      <c r="L135" s="155">
        <f t="shared" si="12"/>
        <v>1</v>
      </c>
      <c r="M135" s="160">
        <f>$D135*Pesi!$H$5+Pesi!$H$6*$E135+$F135*Pesi!$H$7+Pesi!$H$8*$G135+$H135*Pesi!$H$9+Pesi!$H$10*$I135+VLOOKUP($C135,TabAlgSqu,2,FALSE)*Pesi!$H$11+Pesi!$H$12*VLOOKUP($C135,TabAlgFC,2,FALSE)+VLOOKUP($C135,TabAlgAll,2,FALSE)*Pesi!$H$13</f>
        <v>59.545699999999997</v>
      </c>
      <c r="N135" s="155">
        <f>IF(ISNA(MATCH($B135,Pesi!$B$31:$B$34,0)),VLOOKUP(Pesi!$B$33,TabAlgDif,13,FALSE)-((VLOOKUP(Pesi!$B$33,TabAlgDif,12,FALSE)-$M135)/(VLOOKUP(Pesi!$B$33,TabAlgDif,12,FALSE)-Pesi!$F$43))*VLOOKUP(Pesi!$B$33,TabAlgDif,13,FALSE),$K135*$M135/$J135)</f>
        <v>-9.3480071908372864</v>
      </c>
      <c r="O135" s="155">
        <f t="shared" si="13"/>
        <v>1</v>
      </c>
      <c r="P135">
        <f t="shared" si="14"/>
        <v>34</v>
      </c>
      <c r="Q135">
        <f>VLOOKUP(B135,'C.P.'!$A$2:$B$164,2,FALSE)</f>
        <v>-1</v>
      </c>
      <c r="R135" t="e">
        <f>VLOOKUP(C135,'C.P.'!$C$2:$C$164,2,FALSE)</f>
        <v>#N/A</v>
      </c>
      <c r="S135" t="e">
        <f>VLOOKUP(D135,'C.P.'!$E$2:$F$164,2,FALSE)</f>
        <v>#N/A</v>
      </c>
      <c r="T135" t="e">
        <f>VLOOKUP(E135,'C.P.'!$G$2:$H$164,2,FALSE)</f>
        <v>#N/A</v>
      </c>
    </row>
    <row r="136" spans="1:21">
      <c r="A136">
        <f ca="1">COUNTIF('I.A. + Fasce'!B$1:'I.A. + Fasce'!B$538,B130)</f>
        <v>1</v>
      </c>
      <c r="B136" s="205" t="s">
        <v>397</v>
      </c>
      <c r="C136" s="206" t="str">
        <f>VLOOKUP(B136,'IA FG'!$B$2:$G$600,6,FALSE)</f>
        <v>CAG</v>
      </c>
      <c r="D136" s="207">
        <v>7</v>
      </c>
      <c r="E136" s="207">
        <v>6</v>
      </c>
      <c r="F136" s="207">
        <v>4</v>
      </c>
      <c r="G136" s="207">
        <v>7</v>
      </c>
      <c r="H136" s="207">
        <v>6</v>
      </c>
      <c r="I136" s="207">
        <v>4</v>
      </c>
      <c r="J136" s="159">
        <f>$D136*Pesi!$F$5+Pesi!$F$6*$E136+$F136*Pesi!$F$7+Pesi!$F$8*$G136+$H136*Pesi!$F$9+Pesi!$F$10*$I136+VLOOKUP($C136,TabAlgSqu,2,FALSE)*Pesi!$F$11+Pesi!$F$12*VLOOKUP($C136,TabAlgFC,2,FALSE)+VLOOKUP($C136,TabAlgAll,2,FALSE)*Pesi!$F$13</f>
        <v>57.303599999999996</v>
      </c>
      <c r="K136" s="155">
        <f>IF(ISNA(MATCH($B136,Pesi!$B$31:$B$34,0)),VLOOKUP(Pesi!$B$33,TabAlgDif,10,FALSE)-((VLOOKUP(Pesi!$B$33,TabAlgDif,9,FALSE)-$J136)/(VLOOKUP(Pesi!$B$33,TabAlgDif,9,FALSE)-Pesi!$C$43))*VLOOKUP(Pesi!$B$33,TabAlgDif,10,FALSE),Pesi!$F$33*Pesi!$C$28)</f>
        <v>-7.3835896306014561</v>
      </c>
      <c r="L136" s="155">
        <f t="shared" si="12"/>
        <v>1</v>
      </c>
      <c r="M136" s="160">
        <f>$D136*Pesi!$H$5+Pesi!$H$6*$E136+$F136*Pesi!$H$7+Pesi!$H$8*$G136+$H136*Pesi!$H$9+Pesi!$H$10*$I136+VLOOKUP($C136,TabAlgSqu,2,FALSE)*Pesi!$H$11+Pesi!$H$12*VLOOKUP($C136,TabAlgFC,2,FALSE)+VLOOKUP($C136,TabAlgAll,2,FALSE)*Pesi!$H$13</f>
        <v>59.503599999999999</v>
      </c>
      <c r="N136" s="155">
        <f>IF(ISNA(MATCH($B136,Pesi!$B$31:$B$34,0)),VLOOKUP(Pesi!$B$33,TabAlgDif,13,FALSE)-((VLOOKUP(Pesi!$B$33,TabAlgDif,12,FALSE)-$M136)/(VLOOKUP(Pesi!$B$33,TabAlgDif,12,FALSE)-Pesi!$F$43))*VLOOKUP(Pesi!$B$33,TabAlgDif,13,FALSE),$K136*$M136/$J136)</f>
        <v>-9.4008023698258256</v>
      </c>
      <c r="O136" s="155">
        <f t="shared" si="13"/>
        <v>1</v>
      </c>
      <c r="P136">
        <f t="shared" si="14"/>
        <v>34</v>
      </c>
      <c r="Q136" t="e">
        <f>VLOOKUP(B136,'C.P.'!$A$2:$B$164,2,FALSE)</f>
        <v>#N/A</v>
      </c>
      <c r="R136" t="e">
        <f>VLOOKUP(B136,'C.P.'!$C$2:$D$164,2,FALSE)</f>
        <v>#N/A</v>
      </c>
      <c r="S136" t="e">
        <f>VLOOKUP(B136,'C.P.'!$E$2:$F$164,2,FALSE)</f>
        <v>#N/A</v>
      </c>
      <c r="T136" t="e">
        <f>VLOOKUP(B136,'C.P.'!$G$2:$H$164,2,FALSE)</f>
        <v>#N/A</v>
      </c>
    </row>
    <row r="137" spans="1:21">
      <c r="A137">
        <f ca="1">COUNTIF('I.A. + Fasce'!B$1:'I.A. + Fasce'!B$538,B127)</f>
        <v>1</v>
      </c>
      <c r="B137" s="205" t="s">
        <v>577</v>
      </c>
      <c r="C137" s="206" t="str">
        <f>VLOOKUP(B137,'IA FG'!$B$2:$G$600,6,FALSE)</f>
        <v>SAM</v>
      </c>
      <c r="D137" s="207">
        <v>8</v>
      </c>
      <c r="E137" s="207">
        <v>5</v>
      </c>
      <c r="F137" s="207">
        <v>5</v>
      </c>
      <c r="G137" s="207">
        <v>5</v>
      </c>
      <c r="H137" s="207">
        <v>6</v>
      </c>
      <c r="I137" s="207">
        <v>4</v>
      </c>
      <c r="J137" s="159">
        <f>$D137*Pesi!$F$5+Pesi!$F$6*$E137+$F137*Pesi!$F$7+Pesi!$F$8*$G137+$H137*Pesi!$F$9+Pesi!$F$10*$I137+VLOOKUP($C137,TabAlgSqu,2,FALSE)*Pesi!$F$11+Pesi!$F$12*VLOOKUP($C137,TabAlgFC,2,FALSE)+VLOOKUP($C137,TabAlgAll,2,FALSE)*Pesi!$F$13</f>
        <v>57.26339999999999</v>
      </c>
      <c r="K137" s="155">
        <f>IF(ISNA(MATCH($B137,Pesi!$B$31:$B$34,0)),VLOOKUP(Pesi!$B$33,TabAlgDif,10,FALSE)-((VLOOKUP(Pesi!$B$33,TabAlgDif,9,FALSE)-$J137)/(VLOOKUP(Pesi!$B$33,TabAlgDif,9,FALSE)-Pesi!$C$43))*VLOOKUP(Pesi!$B$33,TabAlgDif,10,FALSE),Pesi!$F$33*Pesi!$C$28)</f>
        <v>-7.4339143628288227</v>
      </c>
      <c r="L137" s="155">
        <f t="shared" si="12"/>
        <v>1</v>
      </c>
      <c r="M137" s="160">
        <f>$D137*Pesi!$H$5+Pesi!$H$6*$E137+$F137*Pesi!$H$7+Pesi!$H$8*$G137+$H137*Pesi!$H$9+Pesi!$H$10*$I137+VLOOKUP($C137,TabAlgSqu,2,FALSE)*Pesi!$H$11+Pesi!$H$12*VLOOKUP($C137,TabAlgFC,2,FALSE)+VLOOKUP($C137,TabAlgAll,2,FALSE)*Pesi!$H$13</f>
        <v>60.01339999999999</v>
      </c>
      <c r="N137" s="155">
        <f>IF(ISNA(MATCH($B137,Pesi!$B$31:$B$34,0)),VLOOKUP(Pesi!$B$33,TabAlgDif,13,FALSE)-((VLOOKUP(Pesi!$B$33,TabAlgDif,12,FALSE)-$M137)/(VLOOKUP(Pesi!$B$33,TabAlgDif,12,FALSE)-Pesi!$F$43))*VLOOKUP(Pesi!$B$33,TabAlgDif,13,FALSE),$K137*$M137/$J137)</f>
        <v>-8.7614916275845971</v>
      </c>
      <c r="O137" s="155">
        <f t="shared" si="13"/>
        <v>1</v>
      </c>
      <c r="P137">
        <f t="shared" si="14"/>
        <v>33</v>
      </c>
      <c r="Q137">
        <f>VLOOKUP(B137,'C.P.'!$A$2:$B$164,2,FALSE)</f>
        <v>-1</v>
      </c>
      <c r="R137" t="e">
        <f>VLOOKUP(B137,'C.P.'!$C$2:$D$164,2,FALSE)</f>
        <v>#N/A</v>
      </c>
      <c r="S137" t="e">
        <f>VLOOKUP(B137,'C.P.'!$E$2:$F$164,2,FALSE)</f>
        <v>#N/A</v>
      </c>
      <c r="T137" t="e">
        <f>VLOOKUP(B137,'C.P.'!$G$2:$H$164,2,FALSE)</f>
        <v>#N/A</v>
      </c>
    </row>
    <row r="138" spans="1:21">
      <c r="A138">
        <f ca="1">COUNTIF('I.A. + Fasce'!B$1:'I.A. + Fasce'!B$538,B133)</f>
        <v>1</v>
      </c>
      <c r="B138" s="205" t="s">
        <v>1830</v>
      </c>
      <c r="C138" s="206" t="str">
        <f>VLOOKUP(B138,'IA FG'!$B$2:$G$600,6,FALSE)</f>
        <v>INT</v>
      </c>
      <c r="D138" s="207">
        <v>7</v>
      </c>
      <c r="E138" s="207">
        <v>4</v>
      </c>
      <c r="F138" s="207">
        <v>6</v>
      </c>
      <c r="G138" s="207">
        <v>6</v>
      </c>
      <c r="H138" s="207">
        <v>6</v>
      </c>
      <c r="I138" s="207">
        <v>4</v>
      </c>
      <c r="J138" s="159">
        <f>$D138*Pesi!$F$5+Pesi!$F$6*$E138+$F138*Pesi!$F$7+Pesi!$F$8*$G138+$H138*Pesi!$F$9+Pesi!$F$10*$I138+VLOOKUP($C138,TabAlgSqu,2,FALSE)*Pesi!$F$11+Pesi!$F$12*VLOOKUP($C138,TabAlgFC,2,FALSE)+VLOOKUP($C138,TabAlgAll,2,FALSE)*Pesi!$F$13</f>
        <v>57.194099999999992</v>
      </c>
      <c r="K138" s="155">
        <f>IF(ISNA(MATCH($B138,Pesi!$B$31:$B$34,0)),VLOOKUP(Pesi!$B$33,TabAlgDif,10,FALSE)-((VLOOKUP(Pesi!$B$33,TabAlgDif,9,FALSE)-$J138)/(VLOOKUP(Pesi!$B$33,TabAlgDif,9,FALSE)-Pesi!$D$43))*VLOOKUP(Pesi!$B$33,TabAlgDif,10,FALSE),Pesi!$F$33*Pesi!$C$28)</f>
        <v>-7.1954937537180399</v>
      </c>
      <c r="L138" s="155">
        <f t="shared" si="12"/>
        <v>1</v>
      </c>
      <c r="M138" s="160">
        <f>$D138*Pesi!$H$5+Pesi!$H$6*$E138+$F138*Pesi!$H$7+Pesi!$H$8*$G138+$H138*Pesi!$H$9+Pesi!$H$10*$I138+VLOOKUP($C138,TabAlgSqu,2,FALSE)*Pesi!$H$11+Pesi!$H$12*VLOOKUP($C138,TabAlgFC,2,FALSE)+VLOOKUP($C138,TabAlgAll,2,FALSE)*Pesi!$H$13</f>
        <v>60.494099999999996</v>
      </c>
      <c r="N138" s="155">
        <f>IF(ISNA(MATCH($B138,Pesi!$B$31:$B$34,0)),VLOOKUP(Pesi!$B$33,TabAlgDif,13,FALSE)-((VLOOKUP(Pesi!$B$33,TabAlgDif,12,FALSE)-$M138)/(VLOOKUP(Pesi!$B$33,TabAlgDif,12,FALSE)-Pesi!$F$43))*VLOOKUP(Pesi!$B$33,TabAlgDif,13,FALSE),$K138*$M138/$J138)</f>
        <v>-8.1586735150005154</v>
      </c>
      <c r="O138" s="155">
        <f t="shared" si="13"/>
        <v>1</v>
      </c>
      <c r="P138">
        <f t="shared" si="14"/>
        <v>33</v>
      </c>
      <c r="Q138" t="e">
        <f>VLOOKUP(B138,'C.P.'!$A$2:$B$164,2,FALSE)</f>
        <v>#N/A</v>
      </c>
      <c r="R138" t="e">
        <f>VLOOKUP(C138,'C.P.'!$C$2:$C$164,2,FALSE)</f>
        <v>#N/A</v>
      </c>
      <c r="S138" t="e">
        <f>VLOOKUP(D138,'C.P.'!$E$2:$F$164,2,FALSE)</f>
        <v>#N/A</v>
      </c>
      <c r="T138" t="e">
        <f>VLOOKUP(E138,'C.P.'!$G$2:$H$164,2,FALSE)</f>
        <v>#N/A</v>
      </c>
    </row>
    <row r="139" spans="1:21">
      <c r="A139">
        <f ca="1">COUNTIF('I.A. + Fasce'!B$1:'I.A. + Fasce'!B$538,#REF!)</f>
        <v>0</v>
      </c>
      <c r="B139" s="205" t="s">
        <v>1717</v>
      </c>
      <c r="C139" s="206" t="str">
        <f>VLOOKUP(B139,'IA FG'!$B$2:$G$600,6,FALSE)</f>
        <v>CHI</v>
      </c>
      <c r="D139" s="207">
        <v>8</v>
      </c>
      <c r="E139" s="207">
        <v>4</v>
      </c>
      <c r="F139" s="207">
        <v>6</v>
      </c>
      <c r="G139" s="207">
        <v>4</v>
      </c>
      <c r="H139" s="207">
        <v>4</v>
      </c>
      <c r="I139" s="207">
        <v>5</v>
      </c>
      <c r="J139" s="159">
        <f>$D139*Pesi!$F$5+Pesi!$F$6*$E139+$F139*Pesi!$F$7+Pesi!$F$8*$G139+$H139*Pesi!$F$9+Pesi!$F$10*$I139+VLOOKUP($C139,TabAlgSqu,2,FALSE)*Pesi!$F$11+Pesi!$F$12*VLOOKUP($C139,TabAlgFC,2,FALSE)+VLOOKUP($C139,TabAlgAll,2,FALSE)*Pesi!$F$13</f>
        <v>57.121599999999994</v>
      </c>
      <c r="K139" s="155">
        <f>IF(ISNA(MATCH($B139,Pesi!$B$31:$B$34,0)),VLOOKUP(Pesi!$B$33,TabAlgDif,10,FALSE)-((VLOOKUP(Pesi!$B$33,TabAlgDif,9,FALSE)-$J139)/(VLOOKUP(Pesi!$B$33,TabAlgDif,9,FALSE)-Pesi!$C$43))*VLOOKUP(Pesi!$B$33,TabAlgDif,10,FALSE),Pesi!$F$33*Pesi!$C$28)</f>
        <v>-7.6114279705362691</v>
      </c>
      <c r="L139" s="155">
        <f t="shared" si="12"/>
        <v>1</v>
      </c>
      <c r="M139" s="160">
        <f>$D139*Pesi!$H$5+Pesi!$H$6*$E139+$F139*Pesi!$H$7+Pesi!$H$8*$G139+$H139*Pesi!$H$9+Pesi!$H$10*$I139+VLOOKUP($C139,TabAlgSqu,2,FALSE)*Pesi!$H$11+Pesi!$H$12*VLOOKUP($C139,TabAlgFC,2,FALSE)+VLOOKUP($C139,TabAlgAll,2,FALSE)*Pesi!$H$13</f>
        <v>60.421599999999991</v>
      </c>
      <c r="N139" s="155">
        <f>IF(ISNA(MATCH($B139,Pesi!$B$31:$B$34,0)),VLOOKUP(Pesi!$B$33,TabAlgDif,13,FALSE)-((VLOOKUP(Pesi!$B$33,TabAlgDif,12,FALSE)-$M139)/(VLOOKUP(Pesi!$B$33,TabAlgDif,12,FALSE)-Pesi!$F$43))*VLOOKUP(Pesi!$B$33,TabAlgDif,13,FALSE),$K139*$M139/$J139)</f>
        <v>-8.2495915785793557</v>
      </c>
      <c r="O139" s="155">
        <f t="shared" si="13"/>
        <v>1</v>
      </c>
      <c r="P139">
        <f t="shared" si="14"/>
        <v>31</v>
      </c>
      <c r="Q139" t="e">
        <f>VLOOKUP(B139,'C.P.'!$A$2:$B$164,2,FALSE)</f>
        <v>#N/A</v>
      </c>
      <c r="R139" t="e">
        <f>VLOOKUP(B139,'C.P.'!$C$2:$D$164,2,FALSE)</f>
        <v>#N/A</v>
      </c>
      <c r="S139" t="e">
        <f>VLOOKUP(B139,'C.P.'!$E$2:$F$164,2,FALSE)</f>
        <v>#N/A</v>
      </c>
      <c r="T139" t="e">
        <f>VLOOKUP(B139,'C.P.'!$G$2:$H$164,2,FALSE)</f>
        <v>#N/A</v>
      </c>
      <c r="U139" s="420"/>
    </row>
    <row r="140" spans="1:21">
      <c r="A140">
        <f ca="1">COUNTIF('I.A. + Fasce'!B$1:'I.A. + Fasce'!B$538,B132)</f>
        <v>1</v>
      </c>
      <c r="B140" s="205" t="s">
        <v>1286</v>
      </c>
      <c r="C140" s="206" t="str">
        <f>VLOOKUP(B140,'IA FG'!$B$2:$G$600,6,FALSE)</f>
        <v>SAS</v>
      </c>
      <c r="D140" s="207">
        <v>8</v>
      </c>
      <c r="E140" s="207">
        <v>5</v>
      </c>
      <c r="F140" s="207">
        <v>5</v>
      </c>
      <c r="G140" s="207">
        <v>6</v>
      </c>
      <c r="H140" s="207">
        <v>6</v>
      </c>
      <c r="I140" s="207">
        <v>3</v>
      </c>
      <c r="J140" s="159">
        <f>$D140*Pesi!$F$5+Pesi!$F$6*$E140+$F140*Pesi!$F$7+Pesi!$F$8*$G140+$H140*Pesi!$F$9+Pesi!$F$10*$I140+VLOOKUP($C140,TabAlgSqu,2,FALSE)*Pesi!$F$11+Pesi!$F$12*VLOOKUP($C140,TabAlgFC,2,FALSE)+VLOOKUP($C140,TabAlgAll,2,FALSE)*Pesi!$F$13</f>
        <v>56.813099999999999</v>
      </c>
      <c r="K140" s="155">
        <f>IF(ISNA(MATCH($B140,Pesi!$B$31:$B$34,0)),VLOOKUP(Pesi!$B$33,TabAlgDif,10,FALSE)-((VLOOKUP(Pesi!$B$33,TabAlgDif,9,FALSE)-$J140)/(VLOOKUP(Pesi!$B$33,TabAlgDif,9,FALSE)-Pesi!$C$43))*VLOOKUP(Pesi!$B$33,TabAlgDif,10,FALSE),Pesi!$F$33*Pesi!$C$28)</f>
        <v>-7.9976264753158546</v>
      </c>
      <c r="L140" s="155">
        <f t="shared" si="12"/>
        <v>1</v>
      </c>
      <c r="M140" s="160">
        <f>$D140*Pesi!$H$5+Pesi!$H$6*$E140+$F140*Pesi!$H$7+Pesi!$H$8*$G140+$H140*Pesi!$H$9+Pesi!$H$10*$I140+VLOOKUP($C140,TabAlgSqu,2,FALSE)*Pesi!$H$11+Pesi!$H$12*VLOOKUP($C140,TabAlgFC,2,FALSE)+VLOOKUP($C140,TabAlgAll,2,FALSE)*Pesi!$H$13</f>
        <v>59.563099999999999</v>
      </c>
      <c r="N140" s="155">
        <f>IF(ISNA(MATCH($B140,Pesi!$B$31:$B$34,0)),VLOOKUP(Pesi!$B$33,TabAlgDif,13,FALSE)-((VLOOKUP(Pesi!$B$33,TabAlgDif,12,FALSE)-$M140)/(VLOOKUP(Pesi!$B$33,TabAlgDif,12,FALSE)-Pesi!$F$43))*VLOOKUP(Pesi!$B$33,TabAlgDif,13,FALSE),$K140*$M140/$J140)</f>
        <v>-9.3261868555783707</v>
      </c>
      <c r="O140" s="155">
        <f t="shared" si="13"/>
        <v>1</v>
      </c>
      <c r="P140">
        <f t="shared" si="14"/>
        <v>33</v>
      </c>
      <c r="Q140" t="e">
        <f>VLOOKUP(B140,'C.P.'!$A$2:$B$164,2,FALSE)</f>
        <v>#N/A</v>
      </c>
      <c r="R140" t="e">
        <f>VLOOKUP(B140,'C.P.'!$C$2:$D$164,2,FALSE)</f>
        <v>#N/A</v>
      </c>
      <c r="S140" t="e">
        <f>VLOOKUP(B140,'C.P.'!$E$2:$F$164,2,FALSE)</f>
        <v>#N/A</v>
      </c>
      <c r="T140" t="e">
        <f>VLOOKUP(B140,'C.P.'!$G$2:$H$164,2,FALSE)</f>
        <v>#N/A</v>
      </c>
    </row>
    <row r="141" spans="1:21">
      <c r="A141">
        <f ca="1">COUNTIF('I.A. + Fasce'!B$1:'I.A. + Fasce'!B$538,B135)</f>
        <v>1</v>
      </c>
      <c r="B141" s="205" t="s">
        <v>592</v>
      </c>
      <c r="C141" s="206" t="str">
        <f>VLOOKUP(B141,'IA FG'!$B$2:$G$600,6,FALSE)</f>
        <v>CRO</v>
      </c>
      <c r="D141" s="207">
        <v>6</v>
      </c>
      <c r="E141" s="207">
        <v>5</v>
      </c>
      <c r="F141" s="207">
        <v>6</v>
      </c>
      <c r="G141" s="207">
        <v>5</v>
      </c>
      <c r="H141" s="207">
        <v>6</v>
      </c>
      <c r="I141" s="207">
        <v>5</v>
      </c>
      <c r="J141" s="159">
        <f>$D141*Pesi!$F$5+Pesi!$F$6*$E141+$F141*Pesi!$F$7+Pesi!$F$8*$G141+$H141*Pesi!$F$9+Pesi!$F$10*$I141+VLOOKUP($C141,TabAlgSqu,2,FALSE)*Pesi!$F$11+Pesi!$F$12*VLOOKUP($C141,TabAlgFC,2,FALSE)+VLOOKUP($C141,TabAlgAll,2,FALSE)*Pesi!$F$13</f>
        <v>56.813099999999999</v>
      </c>
      <c r="K141" s="155">
        <f>IF(ISNA(MATCH($B141,Pesi!$B$31:$B$34,0)),VLOOKUP(Pesi!$B$33,TabAlgDif,10,FALSE)-((VLOOKUP(Pesi!$B$33,TabAlgDif,9,FALSE)-$J141)/(VLOOKUP(Pesi!$B$33,TabAlgDif,9,FALSE)-Pesi!$C$43))*VLOOKUP(Pesi!$B$33,TabAlgDif,10,FALSE),Pesi!$F$33*Pesi!$C$28)</f>
        <v>-7.9976264753158546</v>
      </c>
      <c r="L141" s="155">
        <f t="shared" si="12"/>
        <v>1</v>
      </c>
      <c r="M141" s="160">
        <f>$D141*Pesi!$H$5+Pesi!$H$6*$E141+$F141*Pesi!$H$7+Pesi!$H$8*$G141+$H141*Pesi!$H$9+Pesi!$H$10*$I141+VLOOKUP($C141,TabAlgSqu,2,FALSE)*Pesi!$H$11+Pesi!$H$12*VLOOKUP($C141,TabAlgFC,2,FALSE)+VLOOKUP($C141,TabAlgAll,2,FALSE)*Pesi!$H$13</f>
        <v>60.113099999999996</v>
      </c>
      <c r="N141" s="155">
        <f>IF(ISNA(MATCH($B141,Pesi!$B$31:$B$34,0)),VLOOKUP(Pesi!$B$33,TabAlgDif,13,FALSE)-((VLOOKUP(Pesi!$B$33,TabAlgDif,12,FALSE)-$M141)/(VLOOKUP(Pesi!$B$33,TabAlgDif,12,FALSE)-Pesi!$F$43))*VLOOKUP(Pesi!$B$33,TabAlgDif,13,FALSE),$K141*$M141/$J141)</f>
        <v>-8.6364636146354883</v>
      </c>
      <c r="O141" s="155">
        <f t="shared" si="13"/>
        <v>1</v>
      </c>
      <c r="P141">
        <f t="shared" si="14"/>
        <v>33</v>
      </c>
      <c r="Q141" t="e">
        <f>VLOOKUP(B141,'C.P.'!$A$2:$B$164,2,FALSE)</f>
        <v>#N/A</v>
      </c>
      <c r="R141" t="e">
        <f>VLOOKUP(B141,'C.P.'!$C$2:$D$164,2,FALSE)</f>
        <v>#N/A</v>
      </c>
      <c r="S141" t="e">
        <f>VLOOKUP(B141,'C.P.'!$E$2:$F$164,2,FALSE)</f>
        <v>#N/A</v>
      </c>
      <c r="T141" t="e">
        <f>VLOOKUP(B141,'C.P.'!$G$2:$H$164,2,FALSE)</f>
        <v>#N/A</v>
      </c>
    </row>
    <row r="142" spans="1:21">
      <c r="A142">
        <f ca="1">COUNTIF('I.A. + Fasce'!B$1:'I.A. + Fasce'!B$538,#REF!)</f>
        <v>0</v>
      </c>
      <c r="B142" s="205" t="s">
        <v>304</v>
      </c>
      <c r="C142" s="206" t="str">
        <f>VLOOKUP(B142,'IA FG'!$B$2:$G$600,6,FALSE)</f>
        <v>UDI</v>
      </c>
      <c r="D142" s="207">
        <v>8</v>
      </c>
      <c r="E142" s="207">
        <v>4</v>
      </c>
      <c r="F142" s="207">
        <v>5</v>
      </c>
      <c r="G142" s="207">
        <v>6</v>
      </c>
      <c r="H142" s="207">
        <v>5</v>
      </c>
      <c r="I142" s="207">
        <v>4</v>
      </c>
      <c r="J142" s="159">
        <f>$D142*Pesi!$F$5+Pesi!$F$6*$E142+$F142*Pesi!$F$7+Pesi!$F$8*$G142+$H142*Pesi!$F$9+Pesi!$F$10*$I142+VLOOKUP($C142,TabAlgSqu,2,FALSE)*Pesi!$F$11+Pesi!$F$12*VLOOKUP($C142,TabAlgFC,2,FALSE)+VLOOKUP($C142,TabAlgAll,2,FALSE)*Pesi!$F$13</f>
        <v>56.810599999999994</v>
      </c>
      <c r="K142" s="155">
        <f>IF(ISNA(MATCH($B142,Pesi!$B$31:$B$34,0)),VLOOKUP(Pesi!$B$33,TabAlgDif,10,FALSE)-((VLOOKUP(Pesi!$B$33,TabAlgDif,9,FALSE)-$J142)/(VLOOKUP(Pesi!$B$33,TabAlgDif,9,FALSE)-Pesi!$D$43))*VLOOKUP(Pesi!$B$33,TabAlgDif,10,FALSE),Pesi!$F$33*Pesi!$C$28)</f>
        <v>-7.6707812809835545</v>
      </c>
      <c r="L142" s="155">
        <f t="shared" si="12"/>
        <v>1</v>
      </c>
      <c r="M142" s="160">
        <f>$D142*Pesi!$H$5+Pesi!$H$6*$E142+$F142*Pesi!$H$7+Pesi!$H$8*$G142+$H142*Pesi!$H$9+Pesi!$H$10*$I142+VLOOKUP($C142,TabAlgSqu,2,FALSE)*Pesi!$H$11+Pesi!$H$12*VLOOKUP($C142,TabAlgFC,2,FALSE)+VLOOKUP($C142,TabAlgAll,2,FALSE)*Pesi!$H$13</f>
        <v>59.560599999999994</v>
      </c>
      <c r="N142" s="155">
        <f>IF(ISNA(MATCH($B142,Pesi!$B$31:$B$34,0)),VLOOKUP(Pesi!$B$33,TabAlgDif,13,FALSE)-((VLOOKUP(Pesi!$B$33,TabAlgDif,12,FALSE)-$M142)/(VLOOKUP(Pesi!$B$33,TabAlgDif,12,FALSE)-Pesi!$F$43))*VLOOKUP(Pesi!$B$33,TabAlgDif,13,FALSE),$K142*$M142/$J142)</f>
        <v>-9.3293219612190228</v>
      </c>
      <c r="O142" s="155">
        <f t="shared" si="13"/>
        <v>1</v>
      </c>
      <c r="P142">
        <f t="shared" si="14"/>
        <v>32</v>
      </c>
      <c r="Q142" t="e">
        <f>VLOOKUP(B142,'C.P.'!$A$2:$B$164,2,FALSE)</f>
        <v>#N/A</v>
      </c>
      <c r="R142" t="e">
        <f>VLOOKUP(C142,'C.P.'!$C$2:$C$164,2,FALSE)</f>
        <v>#N/A</v>
      </c>
      <c r="S142" t="e">
        <f>VLOOKUP(D142,'C.P.'!$E$2:$F$164,2,FALSE)</f>
        <v>#N/A</v>
      </c>
      <c r="T142" t="e">
        <f>VLOOKUP(E142,'C.P.'!$G$2:$H$164,2,FALSE)</f>
        <v>#N/A</v>
      </c>
      <c r="U142" s="420"/>
    </row>
    <row r="143" spans="1:21">
      <c r="A143">
        <f ca="1">COUNTIF('I.A. + Fasce'!B$1:'I.A. + Fasce'!B$538,#REF!)</f>
        <v>0</v>
      </c>
      <c r="B143" s="205" t="s">
        <v>524</v>
      </c>
      <c r="C143" s="206" t="str">
        <f>VLOOKUP(B143,'IA FG'!$B$2:$G$600,6,FALSE)</f>
        <v>BOL</v>
      </c>
      <c r="D143" s="207">
        <v>7</v>
      </c>
      <c r="E143" s="207">
        <v>6</v>
      </c>
      <c r="F143" s="207">
        <v>5</v>
      </c>
      <c r="G143" s="207">
        <v>5</v>
      </c>
      <c r="H143" s="207">
        <v>5</v>
      </c>
      <c r="I143" s="207">
        <v>5</v>
      </c>
      <c r="J143" s="159">
        <f>$D143*Pesi!$F$5+Pesi!$F$6*$E143+$F143*Pesi!$F$7+Pesi!$F$8*$G143+$H143*Pesi!$F$9+Pesi!$F$10*$I143+VLOOKUP($C143,TabAlgSqu,2,FALSE)*Pesi!$F$11+Pesi!$F$12*VLOOKUP($C143,TabAlgFC,2,FALSE)+VLOOKUP($C143,TabAlgAll,2,FALSE)*Pesi!$F$13</f>
        <v>56.782100000000007</v>
      </c>
      <c r="K143" s="155">
        <f>IF(ISNA(MATCH($B143,Pesi!$B$31:$B$34,0)),VLOOKUP(Pesi!$B$33,TabAlgDif,10,FALSE)-((VLOOKUP(Pesi!$B$33,TabAlgDif,9,FALSE)-$J143)/(VLOOKUP(Pesi!$B$33,TabAlgDif,9,FALSE)-Pesi!$D$43))*VLOOKUP(Pesi!$B$33,TabAlgDif,10,FALSE),Pesi!$F$33*Pesi!$C$28)</f>
        <v>-7.7061025183422558</v>
      </c>
      <c r="L143" s="155">
        <f t="shared" si="12"/>
        <v>1</v>
      </c>
      <c r="M143" s="160">
        <f>$D143*Pesi!$H$5+Pesi!$H$6*$E143+$F143*Pesi!$H$7+Pesi!$H$8*$G143+$H143*Pesi!$H$9+Pesi!$H$10*$I143+VLOOKUP($C143,TabAlgSqu,2,FALSE)*Pesi!$H$11+Pesi!$H$12*VLOOKUP($C143,TabAlgFC,2,FALSE)+VLOOKUP($C143,TabAlgAll,2,FALSE)*Pesi!$H$13</f>
        <v>59.532100000000007</v>
      </c>
      <c r="N143" s="155">
        <f>IF(ISNA(MATCH($B143,Pesi!$B$31:$B$34,0)),VLOOKUP(Pesi!$B$33,TabAlgDif,13,FALSE)-((VLOOKUP(Pesi!$B$33,TabAlgDif,12,FALSE)-$M143)/(VLOOKUP(Pesi!$B$33,TabAlgDif,12,FALSE)-Pesi!$F$43))*VLOOKUP(Pesi!$B$33,TabAlgDif,13,FALSE),$K143*$M143/$J143)</f>
        <v>-9.36506216552241</v>
      </c>
      <c r="O143" s="155">
        <f t="shared" si="13"/>
        <v>1</v>
      </c>
      <c r="P143">
        <f t="shared" si="14"/>
        <v>33</v>
      </c>
      <c r="Q143">
        <f>VLOOKUP(B143,'C.P.'!$A$2:$B$164,2,FALSE)</f>
        <v>-1</v>
      </c>
      <c r="R143" t="e">
        <f>VLOOKUP(C143,'C.P.'!$C$2:$C$164,2,FALSE)</f>
        <v>#N/A</v>
      </c>
      <c r="S143" t="e">
        <f>VLOOKUP(D143,'C.P.'!$E$2:$F$164,2,FALSE)</f>
        <v>#N/A</v>
      </c>
      <c r="T143" t="e">
        <f>VLOOKUP(E143,'C.P.'!$G$2:$H$164,2,FALSE)</f>
        <v>#N/A</v>
      </c>
    </row>
    <row r="144" spans="1:21">
      <c r="A144">
        <f ca="1">COUNTIF('I.A. + Fasce'!B$1:'I.A. + Fasce'!B$538,B139)</f>
        <v>1</v>
      </c>
      <c r="B144" s="205" t="s">
        <v>1705</v>
      </c>
      <c r="C144" s="206" t="str">
        <f>VLOOKUP(B144,'IA FG'!$B$2:$G$600,6,FALSE)</f>
        <v>BEN</v>
      </c>
      <c r="D144" s="207">
        <v>8</v>
      </c>
      <c r="E144" s="207">
        <v>7</v>
      </c>
      <c r="F144" s="207">
        <v>6</v>
      </c>
      <c r="G144" s="207">
        <v>6</v>
      </c>
      <c r="H144" s="207">
        <v>6</v>
      </c>
      <c r="I144" s="207">
        <v>6</v>
      </c>
      <c r="J144" s="159">
        <f>$D144*Pesi!$F$5+Pesi!$F$6*$E144+$F144*Pesi!$F$7+Pesi!$F$8*$G144+$H144*Pesi!$F$9+Pesi!$F$10*$I144+VLOOKUP($C144,TabAlgSqu,2,FALSE)*Pesi!$F$11+Pesi!$F$12*VLOOKUP($C144,TabAlgFC,2,FALSE)+VLOOKUP($C144,TabAlgAll,2,FALSE)*Pesi!$F$13</f>
        <v>56.361499999999999</v>
      </c>
      <c r="K144" s="155">
        <f>IF(ISNA(MATCH($B144,Pesi!$B$31:$B$34,0)),VLOOKUP(Pesi!$B$33,TabAlgDif,10,FALSE)-((VLOOKUP(Pesi!$B$33,TabAlgDif,9,FALSE)-$J144)/(VLOOKUP(Pesi!$B$33,TabAlgDif,9,FALSE)-Pesi!$D$43))*VLOOKUP(Pesi!$B$33,TabAlgDif,10,FALSE),Pesi!$F$33*Pesi!$C$28)</f>
        <v>-8.2273696212571963</v>
      </c>
      <c r="L144" s="155">
        <f t="shared" si="12"/>
        <v>1</v>
      </c>
      <c r="M144" s="160">
        <f>$D144*Pesi!$H$5+Pesi!$H$6*$E144+$F144*Pesi!$H$7+Pesi!$H$8*$G144+$H144*Pesi!$H$9+Pesi!$H$10*$I144+VLOOKUP($C144,TabAlgSqu,2,FALSE)*Pesi!$H$11+Pesi!$H$12*VLOOKUP($C144,TabAlgFC,2,FALSE)+VLOOKUP($C144,TabAlgAll,2,FALSE)*Pesi!$H$13</f>
        <v>59.661499999999997</v>
      </c>
      <c r="N144" s="155">
        <f>IF(ISNA(MATCH($B144,Pesi!$B$31:$B$34,0)),VLOOKUP(Pesi!$B$33,TabAlgDif,13,FALSE)-((VLOOKUP(Pesi!$B$33,TabAlgDif,12,FALSE)-$M144)/(VLOOKUP(Pesi!$B$33,TabAlgDif,12,FALSE)-Pesi!$F$43))*VLOOKUP(Pesi!$B$33,TabAlgDif,13,FALSE),$K144*$M144/$J144)</f>
        <v>-9.2027890975624089</v>
      </c>
      <c r="O144" s="155">
        <f t="shared" si="13"/>
        <v>1</v>
      </c>
      <c r="P144">
        <f t="shared" si="14"/>
        <v>39</v>
      </c>
      <c r="Q144" t="e">
        <f>VLOOKUP(B144,'C.P.'!$A$2:$B$164,2,FALSE)</f>
        <v>#N/A</v>
      </c>
      <c r="R144" t="e">
        <f>VLOOKUP(C144,'C.P.'!$C$2:$C$164,2,FALSE)</f>
        <v>#N/A</v>
      </c>
      <c r="S144" t="e">
        <f>VLOOKUP(D144,'C.P.'!$E$2:$F$164,2,FALSE)</f>
        <v>#N/A</v>
      </c>
      <c r="T144" t="e">
        <f>VLOOKUP(E144,'C.P.'!$G$2:$H$164,2,FALSE)</f>
        <v>#N/A</v>
      </c>
    </row>
    <row r="145" spans="1:21">
      <c r="A145">
        <f ca="1">COUNTIF('I.A. + Fasce'!B$1:'I.A. + Fasce'!B$538,B137)</f>
        <v>1</v>
      </c>
      <c r="B145" s="205" t="s">
        <v>406</v>
      </c>
      <c r="C145" s="206" t="str">
        <f>VLOOKUP(B145,'IA FG'!$B$2:$G$600,6,FALSE)</f>
        <v>CAG</v>
      </c>
      <c r="D145" s="207">
        <v>6</v>
      </c>
      <c r="E145" s="207">
        <v>6</v>
      </c>
      <c r="F145" s="207">
        <v>4</v>
      </c>
      <c r="G145" s="207">
        <v>6</v>
      </c>
      <c r="H145" s="207">
        <v>6</v>
      </c>
      <c r="I145" s="207">
        <v>5</v>
      </c>
      <c r="J145" s="159">
        <f>$D145*Pesi!$F$5+Pesi!$F$6*$E145+$F145*Pesi!$F$7+Pesi!$F$8*$G145+$H145*Pesi!$F$9+Pesi!$F$10*$I145+VLOOKUP($C145,TabAlgSqu,2,FALSE)*Pesi!$F$11+Pesi!$F$12*VLOOKUP($C145,TabAlgFC,2,FALSE)+VLOOKUP($C145,TabAlgAll,2,FALSE)*Pesi!$F$13</f>
        <v>56.053599999999996</v>
      </c>
      <c r="K145" s="155">
        <f>IF(ISNA(MATCH($B145,Pesi!$B$31:$B$34,0)),VLOOKUP(Pesi!$B$33,TabAlgDif,10,FALSE)-((VLOOKUP(Pesi!$B$33,TabAlgDif,9,FALSE)-$J145)/(VLOOKUP(Pesi!$B$33,TabAlgDif,9,FALSE)-Pesi!$C$43))*VLOOKUP(Pesi!$B$33,TabAlgDif,10,FALSE),Pesi!$F$33*Pesi!$C$28)</f>
        <v>-8.9484133938899433</v>
      </c>
      <c r="L145" s="155">
        <f t="shared" si="12"/>
        <v>1</v>
      </c>
      <c r="M145" s="160">
        <f>$D145*Pesi!$H$5+Pesi!$H$6*$E145+$F145*Pesi!$H$7+Pesi!$H$8*$G145+$H145*Pesi!$H$9+Pesi!$H$10*$I145+VLOOKUP($C145,TabAlgSqu,2,FALSE)*Pesi!$H$11+Pesi!$H$12*VLOOKUP($C145,TabAlgFC,2,FALSE)+VLOOKUP($C145,TabAlgAll,2,FALSE)*Pesi!$H$13</f>
        <v>58.253599999999999</v>
      </c>
      <c r="N145" s="155">
        <f>IF(ISNA(MATCH($B145,Pesi!$B$31:$B$34,0)),VLOOKUP(Pesi!$B$33,TabAlgDif,13,FALSE)-((VLOOKUP(Pesi!$B$33,TabAlgDif,12,FALSE)-$M145)/(VLOOKUP(Pesi!$B$33,TabAlgDif,12,FALSE)-Pesi!$F$43))*VLOOKUP(Pesi!$B$33,TabAlgDif,13,FALSE),$K145*$M145/$J145)</f>
        <v>-10.968355190150547</v>
      </c>
      <c r="O145" s="155">
        <f t="shared" si="13"/>
        <v>1</v>
      </c>
      <c r="P145">
        <f t="shared" si="14"/>
        <v>33</v>
      </c>
      <c r="Q145" t="e">
        <f>VLOOKUP(B145,'C.P.'!$A$2:$B$164,2,FALSE)</f>
        <v>#N/A</v>
      </c>
      <c r="R145" t="e">
        <f>VLOOKUP(B145,'C.P.'!$C$2:$D$164,2,FALSE)</f>
        <v>#N/A</v>
      </c>
      <c r="S145" t="e">
        <f>VLOOKUP(B145,'C.P.'!$E$2:$F$164,2,FALSE)</f>
        <v>#N/A</v>
      </c>
      <c r="T145" t="e">
        <f>VLOOKUP(B145,'C.P.'!$G$2:$H$164,2,FALSE)</f>
        <v>#N/A</v>
      </c>
    </row>
    <row r="146" spans="1:21">
      <c r="A146">
        <f ca="1">COUNTIF('I.A. + Fasce'!B$1:'I.A. + Fasce'!B$538,B136)</f>
        <v>1</v>
      </c>
      <c r="B146" s="205" t="s">
        <v>576</v>
      </c>
      <c r="C146" s="206" t="str">
        <f>VLOOKUP(B146,'IA FG'!$B$2:$G$600,6,FALSE)</f>
        <v>INT</v>
      </c>
      <c r="D146" s="207">
        <v>7</v>
      </c>
      <c r="E146" s="207">
        <v>5</v>
      </c>
      <c r="F146" s="207">
        <v>6</v>
      </c>
      <c r="G146" s="207">
        <v>5</v>
      </c>
      <c r="H146" s="207">
        <v>5</v>
      </c>
      <c r="I146" s="207">
        <v>4</v>
      </c>
      <c r="J146" s="159">
        <f>$D146*Pesi!$F$5+Pesi!$F$6*$E146+$F146*Pesi!$F$7+Pesi!$F$8*$G146+$H146*Pesi!$F$9+Pesi!$F$10*$I146+VLOOKUP($C146,TabAlgSqu,2,FALSE)*Pesi!$F$11+Pesi!$F$12*VLOOKUP($C146,TabAlgFC,2,FALSE)+VLOOKUP($C146,TabAlgAll,2,FALSE)*Pesi!$F$13</f>
        <v>55.948299999999996</v>
      </c>
      <c r="K146" s="155">
        <f>IF(ISNA(MATCH($B146,Pesi!$B$31:$B$34,0)),VLOOKUP(Pesi!$B$33,TabAlgDif,10,FALSE)-((VLOOKUP(Pesi!$B$33,TabAlgDif,9,FALSE)-$J146)/(VLOOKUP(Pesi!$B$33,TabAlgDif,9,FALSE)-Pesi!$C$43))*VLOOKUP(Pesi!$B$33,TabAlgDif,10,FALSE),Pesi!$F$33*Pesi!$C$28)</f>
        <v>-9.080234147709362</v>
      </c>
      <c r="L146" s="155">
        <f t="shared" si="12"/>
        <v>1</v>
      </c>
      <c r="M146" s="160">
        <f>$D146*Pesi!$H$5+Pesi!$H$6*$E146+$F146*Pesi!$H$7+Pesi!$H$8*$G146+$H146*Pesi!$H$9+Pesi!$H$10*$I146+VLOOKUP($C146,TabAlgSqu,2,FALSE)*Pesi!$H$11+Pesi!$H$12*VLOOKUP($C146,TabAlgFC,2,FALSE)+VLOOKUP($C146,TabAlgAll,2,FALSE)*Pesi!$H$13</f>
        <v>59.248299999999993</v>
      </c>
      <c r="N146" s="155">
        <f>IF(ISNA(MATCH($B146,Pesi!$B$31:$B$34,0)),VLOOKUP(Pesi!$B$33,TabAlgDif,13,FALSE)-((VLOOKUP(Pesi!$B$33,TabAlgDif,12,FALSE)-$M146)/(VLOOKUP(Pesi!$B$33,TabAlgDif,12,FALSE)-Pesi!$F$43))*VLOOKUP(Pesi!$B$33,TabAlgDif,13,FALSE),$K146*$M146/$J146)</f>
        <v>-9.7209593578489475</v>
      </c>
      <c r="O146" s="155">
        <f t="shared" si="13"/>
        <v>1</v>
      </c>
      <c r="P146">
        <f t="shared" si="14"/>
        <v>32</v>
      </c>
      <c r="Q146" t="e">
        <f>VLOOKUP(B146,'C.P.'!$A$2:$B$164,2,FALSE)</f>
        <v>#N/A</v>
      </c>
      <c r="R146" t="e">
        <f>VLOOKUP(B146,'C.P.'!$C$2:$D$164,2,FALSE)</f>
        <v>#N/A</v>
      </c>
      <c r="S146" t="e">
        <f>VLOOKUP(B146,'C.P.'!$E$2:$F$164,2,FALSE)</f>
        <v>#N/A</v>
      </c>
      <c r="T146" t="e">
        <f>VLOOKUP(B146,'C.P.'!$G$2:$H$164,2,FALSE)</f>
        <v>#N/A</v>
      </c>
    </row>
    <row r="147" spans="1:21">
      <c r="B147" s="205" t="s">
        <v>597</v>
      </c>
      <c r="C147" s="206" t="str">
        <f>VLOOKUP(B147,'IA FG'!$B$2:$G$600,6,FALSE)</f>
        <v>SAM</v>
      </c>
      <c r="D147" s="207">
        <v>6</v>
      </c>
      <c r="E147" s="207">
        <v>7</v>
      </c>
      <c r="F147" s="207">
        <v>5</v>
      </c>
      <c r="G147" s="207">
        <v>5</v>
      </c>
      <c r="H147" s="207">
        <v>5</v>
      </c>
      <c r="I147" s="207">
        <v>4</v>
      </c>
      <c r="J147" s="159">
        <f>$D147*Pesi!$F$5+Pesi!$F$6*$E147+$F147*Pesi!$F$7+Pesi!$F$8*$G147+$H147*Pesi!$F$9+Pesi!$F$10*$I147+VLOOKUP($C147,TabAlgSqu,2,FALSE)*Pesi!$F$11+Pesi!$F$12*VLOOKUP($C147,TabAlgFC,2,FALSE)+VLOOKUP($C147,TabAlgAll,2,FALSE)*Pesi!$F$13</f>
        <v>55.938499999999991</v>
      </c>
      <c r="K147" s="155">
        <f>IF(ISNA(MATCH($B147,Pesi!$B$31:$B$34,0)),VLOOKUP(Pesi!$B$33,TabAlgDif,10,FALSE)-((VLOOKUP(Pesi!$B$33,TabAlgDif,9,FALSE)-$J147)/(VLOOKUP(Pesi!$B$33,TabAlgDif,9,FALSE)-Pesi!$C$43))*VLOOKUP(Pesi!$B$33,TabAlgDif,10,FALSE),Pesi!$F$33*Pesi!$C$28)</f>
        <v>-9.0925023660135551</v>
      </c>
      <c r="L147" s="155">
        <f t="shared" si="12"/>
        <v>1</v>
      </c>
      <c r="M147" s="160">
        <f>$D147*Pesi!$H$5+Pesi!$H$6*$E147+$F147*Pesi!$H$7+Pesi!$H$8*$G147+$H147*Pesi!$H$9+Pesi!$H$10*$I147+VLOOKUP($C147,TabAlgSqu,2,FALSE)*Pesi!$H$11+Pesi!$H$12*VLOOKUP($C147,TabAlgFC,2,FALSE)+VLOOKUP($C147,TabAlgAll,2,FALSE)*Pesi!$H$13</f>
        <v>58.688499999999991</v>
      </c>
      <c r="N147" s="155">
        <f>IF(ISNA(MATCH($B147,Pesi!$B$31:$B$34,0)),VLOOKUP(Pesi!$B$33,TabAlgDif,13,FALSE)-((VLOOKUP(Pesi!$B$33,TabAlgDif,12,FALSE)-$M147)/(VLOOKUP(Pesi!$B$33,TabAlgDif,12,FALSE)-Pesi!$F$43))*VLOOKUP(Pesi!$B$33,TabAlgDif,13,FALSE),$K147*$M147/$J147)</f>
        <v>-10.422972212903183</v>
      </c>
      <c r="O147" s="155">
        <f t="shared" si="13"/>
        <v>1</v>
      </c>
      <c r="P147">
        <f t="shared" si="14"/>
        <v>32</v>
      </c>
      <c r="Q147">
        <f>VLOOKUP(B147,'C.P.'!$A$2:$B$164,2,FALSE)</f>
        <v>-1</v>
      </c>
      <c r="R147" t="e">
        <f>VLOOKUP(B147,'C.P.'!$C$2:$D$164,2,FALSE)</f>
        <v>#N/A</v>
      </c>
      <c r="S147" t="e">
        <f>VLOOKUP(B147,'C.P.'!$E$2:$F$164,2,FALSE)</f>
        <v>#N/A</v>
      </c>
      <c r="T147" t="e">
        <f>VLOOKUP(B147,'C.P.'!$G$2:$H$164,2,FALSE)</f>
        <v>#N/A</v>
      </c>
    </row>
    <row r="148" spans="1:21">
      <c r="A148">
        <f ca="1">COUNTIF('I.A. + Fasce'!B$1:'I.A. + Fasce'!B$538,B142)</f>
        <v>1</v>
      </c>
      <c r="B148" s="205" t="s">
        <v>1723</v>
      </c>
      <c r="C148" s="206" t="str">
        <f>VLOOKUP(B148,'IA FG'!$B$2:$G$600,6,FALSE)</f>
        <v>SAM</v>
      </c>
      <c r="D148" s="207">
        <v>8</v>
      </c>
      <c r="E148" s="207">
        <v>6</v>
      </c>
      <c r="F148" s="207">
        <v>4</v>
      </c>
      <c r="G148" s="207">
        <v>5</v>
      </c>
      <c r="H148" s="207">
        <v>5</v>
      </c>
      <c r="I148" s="207">
        <v>4</v>
      </c>
      <c r="J148" s="159">
        <f>$D148*Pesi!$F$5+Pesi!$F$6*$E148+$F148*Pesi!$F$7+Pesi!$F$8*$G148+$H148*Pesi!$F$9+Pesi!$F$10*$I148+VLOOKUP($C148,TabAlgSqu,2,FALSE)*Pesi!$F$11+Pesi!$F$12*VLOOKUP($C148,TabAlgFC,2,FALSE)+VLOOKUP($C148,TabAlgAll,2,FALSE)*Pesi!$F$13</f>
        <v>55.855099999999993</v>
      </c>
      <c r="K148" s="155">
        <f>IF(ISNA(MATCH($B148,Pesi!$B$31:$B$34,0)),VLOOKUP(Pesi!$B$33,TabAlgDif,10,FALSE)-((VLOOKUP(Pesi!$B$33,TabAlgDif,9,FALSE)-$J148)/(VLOOKUP(Pesi!$B$33,TabAlgDif,9,FALSE)-Pesi!$C$43))*VLOOKUP(Pesi!$B$33,TabAlgDif,10,FALSE),Pesi!$F$33*Pesi!$C$28)</f>
        <v>-9.1969074075001629</v>
      </c>
      <c r="L148" s="155">
        <f t="shared" si="12"/>
        <v>1</v>
      </c>
      <c r="M148" s="160">
        <f>$D148*Pesi!$H$5+Pesi!$H$6*$E148+$F148*Pesi!$H$7+Pesi!$H$8*$G148+$H148*Pesi!$H$9+Pesi!$H$10*$I148+VLOOKUP($C148,TabAlgSqu,2,FALSE)*Pesi!$H$11+Pesi!$H$12*VLOOKUP($C148,TabAlgFC,2,FALSE)+VLOOKUP($C148,TabAlgAll,2,FALSE)*Pesi!$H$13</f>
        <v>58.055099999999996</v>
      </c>
      <c r="N148" s="155">
        <f>IF(ISNA(MATCH($B148,Pesi!$B$31:$B$34,0)),VLOOKUP(Pesi!$B$33,TabAlgDif,13,FALSE)-((VLOOKUP(Pesi!$B$33,TabAlgDif,12,FALSE)-$M148)/(VLOOKUP(Pesi!$B$33,TabAlgDif,12,FALSE)-Pesi!$F$43))*VLOOKUP(Pesi!$B$33,TabAlgDif,13,FALSE),$K148*$M148/$J148)</f>
        <v>-11.217282578018121</v>
      </c>
      <c r="O148" s="155">
        <f t="shared" si="13"/>
        <v>1</v>
      </c>
      <c r="P148">
        <f t="shared" si="14"/>
        <v>32</v>
      </c>
      <c r="Q148" t="e">
        <f>VLOOKUP(B148,'C.P.'!$A$2:$B$164,2,FALSE)</f>
        <v>#N/A</v>
      </c>
      <c r="R148" t="e">
        <f>VLOOKUP(B148,'C.P.'!$C$2:$D$164,2,FALSE)</f>
        <v>#N/A</v>
      </c>
      <c r="S148" t="e">
        <f>VLOOKUP(B148,'C.P.'!$E$2:$F$164,2,FALSE)</f>
        <v>#N/A</v>
      </c>
      <c r="T148" t="e">
        <f>VLOOKUP(B148,'C.P.'!$G$2:$H$164,2,FALSE)</f>
        <v>#N/A</v>
      </c>
    </row>
    <row r="149" spans="1:21">
      <c r="A149">
        <f ca="1">COUNTIF('I.A. + Fasce'!B$1:'I.A. + Fasce'!B$538,B141)</f>
        <v>1</v>
      </c>
      <c r="B149" s="205" t="s">
        <v>1961</v>
      </c>
      <c r="C149" s="206" t="str">
        <f>VLOOKUP(B149,'IA FG'!$B$2:$G$600,6,FALSE)</f>
        <v>SAM</v>
      </c>
      <c r="D149" s="207">
        <v>8</v>
      </c>
      <c r="E149" s="207">
        <v>4</v>
      </c>
      <c r="F149" s="207">
        <v>5</v>
      </c>
      <c r="G149" s="207">
        <v>6</v>
      </c>
      <c r="H149" s="207">
        <v>6</v>
      </c>
      <c r="I149" s="207">
        <v>3</v>
      </c>
      <c r="J149" s="159">
        <f>$D149*Pesi!$F$5+Pesi!$F$6*$E149+$F149*Pesi!$F$7+Pesi!$F$8*$G149+$H149*Pesi!$F$9+Pesi!$F$10*$I149+VLOOKUP($C149,TabAlgSqu,2,FALSE)*Pesi!$F$11+Pesi!$F$12*VLOOKUP($C149,TabAlgFC,2,FALSE)+VLOOKUP($C149,TabAlgAll,2,FALSE)*Pesi!$F$13</f>
        <v>55.84259999999999</v>
      </c>
      <c r="K149" s="155">
        <f>IF(ISNA(MATCH($B149,Pesi!$B$31:$B$34,0)),VLOOKUP(Pesi!$B$33,TabAlgDif,10,FALSE)-((VLOOKUP(Pesi!$B$33,TabAlgDif,9,FALSE)-$J149)/(VLOOKUP(Pesi!$B$33,TabAlgDif,9,FALSE)-Pesi!$C$43))*VLOOKUP(Pesi!$B$33,TabAlgDif,10,FALSE),Pesi!$F$33*Pesi!$C$28)</f>
        <v>-9.2125556451330439</v>
      </c>
      <c r="L149" s="155">
        <f t="shared" si="12"/>
        <v>1</v>
      </c>
      <c r="M149" s="160">
        <f>$D149*Pesi!$H$5+Pesi!$H$6*$E149+$F149*Pesi!$H$7+Pesi!$H$8*$G149+$H149*Pesi!$H$9+Pesi!$H$10*$I149+VLOOKUP($C149,TabAlgSqu,2,FALSE)*Pesi!$H$11+Pesi!$H$12*VLOOKUP($C149,TabAlgFC,2,FALSE)+VLOOKUP($C149,TabAlgAll,2,FALSE)*Pesi!$H$13</f>
        <v>58.59259999999999</v>
      </c>
      <c r="N149" s="155">
        <f>IF(ISNA(MATCH($B149,Pesi!$B$31:$B$34,0)),VLOOKUP(Pesi!$B$33,TabAlgDif,13,FALSE)-((VLOOKUP(Pesi!$B$33,TabAlgDif,12,FALSE)-$M149)/(VLOOKUP(Pesi!$B$33,TabAlgDif,12,FALSE)-Pesi!$F$43))*VLOOKUP(Pesi!$B$33,TabAlgDif,13,FALSE),$K149*$M149/$J149)</f>
        <v>-10.543234865278492</v>
      </c>
      <c r="O149" s="155">
        <f t="shared" si="13"/>
        <v>1</v>
      </c>
      <c r="P149">
        <f t="shared" si="14"/>
        <v>32</v>
      </c>
      <c r="Q149" t="e">
        <f>VLOOKUP(B149,'C.P.'!$A$2:$B$164,2,FALSE)</f>
        <v>#N/A</v>
      </c>
      <c r="R149" t="e">
        <f>VLOOKUP(B149,'C.P.'!$C$2:$D$164,2,FALSE)</f>
        <v>#N/A</v>
      </c>
      <c r="S149" t="e">
        <f>VLOOKUP(B149,'C.P.'!$E$2:$F$164,2,FALSE)</f>
        <v>#N/A</v>
      </c>
      <c r="T149" t="e">
        <f>VLOOKUP(B149,'C.P.'!$G$2:$H$164,2,FALSE)</f>
        <v>#N/A</v>
      </c>
    </row>
    <row r="150" spans="1:21">
      <c r="A150">
        <f ca="1">COUNTIF('I.A. + Fasce'!B$1:'I.A. + Fasce'!B$538,B140)</f>
        <v>1</v>
      </c>
      <c r="B150" s="205" t="s">
        <v>1960</v>
      </c>
      <c r="C150" s="206" t="str">
        <f>VLOOKUP(B150,'IA FG'!$B$2:$G$600,6,FALSE)</f>
        <v>SAS</v>
      </c>
      <c r="D150" s="207">
        <v>8</v>
      </c>
      <c r="E150" s="207">
        <v>5</v>
      </c>
      <c r="F150" s="207">
        <v>5</v>
      </c>
      <c r="G150" s="207">
        <v>5</v>
      </c>
      <c r="H150" s="207">
        <v>6</v>
      </c>
      <c r="I150" s="207">
        <v>3</v>
      </c>
      <c r="J150" s="159">
        <f>$D150*Pesi!$F$5+Pesi!$F$6*$E150+$F150*Pesi!$F$7+Pesi!$F$8*$G150+$H150*Pesi!$F$9+Pesi!$F$10*$I150+VLOOKUP($C150,TabAlgSqu,2,FALSE)*Pesi!$F$11+Pesi!$F$12*VLOOKUP($C150,TabAlgFC,2,FALSE)+VLOOKUP($C150,TabAlgAll,2,FALSE)*Pesi!$F$13</f>
        <v>55.563099999999999</v>
      </c>
      <c r="K150" s="155">
        <f>IF(ISNA(MATCH($B150,Pesi!$B$31:$B$34,0)),VLOOKUP(Pesi!$B$33,TabAlgDif,10,FALSE)-((VLOOKUP(Pesi!$B$33,TabAlgDif,9,FALSE)-$J150)/(VLOOKUP(Pesi!$B$33,TabAlgDif,9,FALSE)-Pesi!$D$43))*VLOOKUP(Pesi!$B$33,TabAlgDif,10,FALSE),Pesi!$F$33*Pesi!$C$28)</f>
        <v>-9.2168600039659054</v>
      </c>
      <c r="L150" s="155">
        <f t="shared" si="12"/>
        <v>1</v>
      </c>
      <c r="M150" s="160">
        <f>$D150*Pesi!$H$5+Pesi!$H$6*$E150+$F150*Pesi!$H$7+Pesi!$H$8*$G150+$H150*Pesi!$H$9+Pesi!$H$10*$I150+VLOOKUP($C150,TabAlgSqu,2,FALSE)*Pesi!$H$11+Pesi!$H$12*VLOOKUP($C150,TabAlgFC,2,FALSE)+VLOOKUP($C150,TabAlgAll,2,FALSE)*Pesi!$H$13</f>
        <v>58.313099999999999</v>
      </c>
      <c r="N150" s="155">
        <f>IF(ISNA(MATCH($B150,Pesi!$B$31:$B$34,0)),VLOOKUP(Pesi!$B$33,TabAlgDif,13,FALSE)-((VLOOKUP(Pesi!$B$33,TabAlgDif,12,FALSE)-$M150)/(VLOOKUP(Pesi!$B$33,TabAlgDif,12,FALSE)-Pesi!$F$43))*VLOOKUP(Pesi!$B$33,TabAlgDif,13,FALSE),$K150*$M150/$J150)</f>
        <v>-10.893739675903092</v>
      </c>
      <c r="O150" s="155">
        <f t="shared" si="13"/>
        <v>1</v>
      </c>
      <c r="P150">
        <f t="shared" si="14"/>
        <v>32</v>
      </c>
      <c r="Q150" t="e">
        <f>VLOOKUP(B150,'C.P.'!$A$2:$B$164,2,FALSE)</f>
        <v>#N/A</v>
      </c>
      <c r="R150" t="e">
        <f>VLOOKUP(B150,'C.P.'!$C$2:$D$164,2,FALSE)</f>
        <v>#N/A</v>
      </c>
      <c r="S150" t="e">
        <f>VLOOKUP(B150,'C.P.'!$E$2:$F$164,2,FALSE)</f>
        <v>#N/A</v>
      </c>
      <c r="T150" t="e">
        <f>VLOOKUP(B150,'C.P.'!$G$2:$H$164,2,FALSE)</f>
        <v>#N/A</v>
      </c>
    </row>
    <row r="151" spans="1:21">
      <c r="B151" s="205" t="s">
        <v>326</v>
      </c>
      <c r="C151" s="206" t="str">
        <f>VLOOKUP(B151,'IA FG'!$B$2:$G$600,6,FALSE)</f>
        <v>BEN</v>
      </c>
      <c r="D151" s="207">
        <v>6</v>
      </c>
      <c r="E151" s="207">
        <v>8</v>
      </c>
      <c r="F151" s="207">
        <v>6</v>
      </c>
      <c r="G151" s="207">
        <v>6</v>
      </c>
      <c r="H151" s="207">
        <v>6</v>
      </c>
      <c r="I151" s="207">
        <v>6</v>
      </c>
      <c r="J151" s="159">
        <f>$D151*Pesi!$F$5+Pesi!$F$6*$E151+$F151*Pesi!$F$7+Pesi!$F$8*$G151+$H151*Pesi!$F$9+Pesi!$F$10*$I151+VLOOKUP($C151,TabAlgSqu,2,FALSE)*Pesi!$F$11+Pesi!$F$12*VLOOKUP($C151,TabAlgFC,2,FALSE)+VLOOKUP($C151,TabAlgAll,2,FALSE)*Pesi!$F$13</f>
        <v>55.032400000000003</v>
      </c>
      <c r="K151" s="155">
        <f>IF(ISNA(MATCH($B151,Pesi!$B$31:$B$34,0)),VLOOKUP(Pesi!$B$33,TabAlgDif,10,FALSE)-((VLOOKUP(Pesi!$B$33,TabAlgDif,9,FALSE)-$J151)/(VLOOKUP(Pesi!$B$33,TabAlgDif,9,FALSE)-Pesi!$C$43))*VLOOKUP(Pesi!$B$33,TabAlgDif,10,FALSE),Pesi!$F$33*Pesi!$C$28)</f>
        <v>-10.226811815546093</v>
      </c>
      <c r="L151" s="155">
        <f t="shared" si="12"/>
        <v>1</v>
      </c>
      <c r="M151" s="160">
        <f>$D151*Pesi!$H$5+Pesi!$H$6*$E151+$F151*Pesi!$H$7+Pesi!$H$8*$G151+$H151*Pesi!$H$9+Pesi!$H$10*$I151+VLOOKUP($C151,TabAlgSqu,2,FALSE)*Pesi!$H$11+Pesi!$H$12*VLOOKUP($C151,TabAlgFC,2,FALSE)+VLOOKUP($C151,TabAlgAll,2,FALSE)*Pesi!$H$13</f>
        <v>58.3324</v>
      </c>
      <c r="N151" s="155">
        <f>IF(ISNA(MATCH($B151,Pesi!$B$31:$B$34,0)),VLOOKUP(Pesi!$B$33,TabAlgDif,13,FALSE)-((VLOOKUP(Pesi!$B$33,TabAlgDif,12,FALSE)-$M151)/(VLOOKUP(Pesi!$B$33,TabAlgDif,12,FALSE)-Pesi!$F$43))*VLOOKUP(Pesi!$B$33,TabAlgDif,13,FALSE),$K151*$M151/$J151)</f>
        <v>-10.869536660357277</v>
      </c>
      <c r="O151" s="155">
        <f t="shared" si="13"/>
        <v>1</v>
      </c>
      <c r="P151">
        <f t="shared" si="14"/>
        <v>38</v>
      </c>
      <c r="Q151" t="e">
        <f>VLOOKUP(B151,'C.P.'!$A$2:$B$164,2,FALSE)</f>
        <v>#N/A</v>
      </c>
      <c r="R151" t="e">
        <f>VLOOKUP(B151,'C.P.'!$C$2:$D$164,2,FALSE)</f>
        <v>#N/A</v>
      </c>
      <c r="S151" t="e">
        <f>VLOOKUP(B151,'C.P.'!$E$2:$F$164,2,FALSE)</f>
        <v>#N/A</v>
      </c>
      <c r="T151" t="e">
        <f>VLOOKUP(B151,'C.P.'!$G$2:$H$164,2,FALSE)</f>
        <v>#N/A</v>
      </c>
    </row>
    <row r="152" spans="1:21">
      <c r="B152" s="205" t="s">
        <v>1984</v>
      </c>
      <c r="C152" s="206" t="str">
        <f>VLOOKUP(B152,'IA FG'!$B$2:$G$600,6,FALSE)</f>
        <v>BEN</v>
      </c>
      <c r="D152" s="207">
        <v>7</v>
      </c>
      <c r="E152" s="207">
        <v>7</v>
      </c>
      <c r="F152" s="207">
        <v>6</v>
      </c>
      <c r="G152" s="207">
        <v>6</v>
      </c>
      <c r="H152" s="207">
        <v>6</v>
      </c>
      <c r="I152" s="207">
        <v>6</v>
      </c>
      <c r="J152" s="159">
        <f>$D152*Pesi!$F$5+Pesi!$F$6*$E152+$F152*Pesi!$F$7+Pesi!$F$8*$G152+$H152*Pesi!$F$9+Pesi!$F$10*$I152+VLOOKUP($C152,TabAlgSqu,2,FALSE)*Pesi!$F$11+Pesi!$F$12*VLOOKUP($C152,TabAlgFC,2,FALSE)+VLOOKUP($C152,TabAlgAll,2,FALSE)*Pesi!$F$13</f>
        <v>55.028199999999998</v>
      </c>
      <c r="K152" s="155">
        <f>IF(ISNA(MATCH($B152,Pesi!$B$31:$B$34,0)),VLOOKUP(Pesi!$B$33,TabAlgDif,10,FALSE)-((VLOOKUP(Pesi!$B$33,TabAlgDif,9,FALSE)-$J152)/(VLOOKUP(Pesi!$B$33,TabAlgDif,9,FALSE)-Pesi!$D$43))*VLOOKUP(Pesi!$B$33,TabAlgDif,10,FALSE),Pesi!$F$33*Pesi!$C$28)</f>
        <v>-9.8797838588142071</v>
      </c>
      <c r="L152" s="155">
        <f t="shared" si="12"/>
        <v>1</v>
      </c>
      <c r="M152" s="160">
        <f>$D152*Pesi!$H$5+Pesi!$H$6*$E152+$F152*Pesi!$H$7+Pesi!$H$8*$G152+$H152*Pesi!$H$9+Pesi!$H$10*$I152+VLOOKUP($C152,TabAlgSqu,2,FALSE)*Pesi!$H$11+Pesi!$H$12*VLOOKUP($C152,TabAlgFC,2,FALSE)+VLOOKUP($C152,TabAlgAll,2,FALSE)*Pesi!$H$13</f>
        <v>58.328199999999995</v>
      </c>
      <c r="N152" s="155">
        <f>IF(ISNA(MATCH($B152,Pesi!$B$31:$B$34,0)),VLOOKUP(Pesi!$B$33,TabAlgDif,13,FALSE)-((VLOOKUP(Pesi!$B$33,TabAlgDif,12,FALSE)-$M152)/(VLOOKUP(Pesi!$B$33,TabAlgDif,12,FALSE)-Pesi!$F$43))*VLOOKUP(Pesi!$B$33,TabAlgDif,13,FALSE),$K152*$M152/$J152)</f>
        <v>-10.874803637833573</v>
      </c>
      <c r="O152" s="155">
        <f t="shared" si="13"/>
        <v>1</v>
      </c>
      <c r="P152">
        <f t="shared" si="14"/>
        <v>38</v>
      </c>
      <c r="Q152" t="e">
        <f>VLOOKUP(B152,'C.P.'!$A$2:$B$164,2,FALSE)</f>
        <v>#N/A</v>
      </c>
      <c r="R152" t="e">
        <f>VLOOKUP(B152,'C.P.'!$C$2:$D$164,2,FALSE)</f>
        <v>#N/A</v>
      </c>
      <c r="S152" t="e">
        <f>VLOOKUP(B152,'C.P.'!$E$2:$F$164,2,FALSE)</f>
        <v>#N/A</v>
      </c>
      <c r="T152" t="e">
        <f>VLOOKUP(B152,'C.P.'!$G$2:$H$164,2,FALSE)</f>
        <v>#N/A</v>
      </c>
    </row>
    <row r="153" spans="1:21">
      <c r="A153">
        <f ca="1">COUNTIF('I.A. + Fasce'!B$1:'I.A. + Fasce'!B$538,B148)</f>
        <v>1</v>
      </c>
      <c r="B153" s="205" t="s">
        <v>1283</v>
      </c>
      <c r="C153" s="206" t="str">
        <f>VLOOKUP(B153,'IA FG'!$B$2:$G$600,6,FALSE)</f>
        <v>SPA</v>
      </c>
      <c r="D153" s="207">
        <v>8</v>
      </c>
      <c r="E153" s="207">
        <v>7</v>
      </c>
      <c r="F153" s="207">
        <v>5</v>
      </c>
      <c r="G153" s="207">
        <v>6</v>
      </c>
      <c r="H153" s="207">
        <v>6</v>
      </c>
      <c r="I153" s="207">
        <v>6</v>
      </c>
      <c r="J153" s="159">
        <f>$D153*Pesi!$F$5+Pesi!$F$6*$E153+$F153*Pesi!$F$7+Pesi!$F$8*$G153+$H153*Pesi!$F$9+Pesi!$F$10*$I153+VLOOKUP($C153,TabAlgSqu,2,FALSE)*Pesi!$F$11+Pesi!$F$12*VLOOKUP($C153,TabAlgFC,2,FALSE)+VLOOKUP($C153,TabAlgAll,2,FALSE)*Pesi!$F$13</f>
        <v>54.964500000000001</v>
      </c>
      <c r="K153" s="155">
        <f>IF(ISNA(MATCH($B153,Pesi!$B$31:$B$34,0)),VLOOKUP(Pesi!$B$33,TabAlgDif,10,FALSE)-((VLOOKUP(Pesi!$B$33,TabAlgDif,9,FALSE)-$J153)/(VLOOKUP(Pesi!$B$33,TabAlgDif,9,FALSE)-Pesi!$D$43))*VLOOKUP(Pesi!$B$33,TabAlgDif,10,FALSE),Pesi!$F$33*Pesi!$C$28)</f>
        <v>-9.9587299226650856</v>
      </c>
      <c r="L153" s="155">
        <f t="shared" si="12"/>
        <v>1</v>
      </c>
      <c r="M153" s="160">
        <f>$D153*Pesi!$H$5+Pesi!$H$6*$E153+$F153*Pesi!$H$7+Pesi!$H$8*$G153+$H153*Pesi!$H$9+Pesi!$H$10*$I153+VLOOKUP($C153,TabAlgSqu,2,FALSE)*Pesi!$H$11+Pesi!$H$12*VLOOKUP($C153,TabAlgFC,2,FALSE)+VLOOKUP($C153,TabAlgAll,2,FALSE)*Pesi!$H$13</f>
        <v>57.714500000000001</v>
      </c>
      <c r="N153" s="155">
        <f>IF(ISNA(MATCH($B153,Pesi!$B$31:$B$34,0)),VLOOKUP(Pesi!$B$33,TabAlgDif,13,FALSE)-((VLOOKUP(Pesi!$B$33,TabAlgDif,12,FALSE)-$M153)/(VLOOKUP(Pesi!$B$33,TabAlgDif,12,FALSE)-Pesi!$F$43))*VLOOKUP(Pesi!$B$33,TabAlgDif,13,FALSE),$K153*$M153/$J153)</f>
        <v>-11.644409370500199</v>
      </c>
      <c r="O153" s="155">
        <f t="shared" si="13"/>
        <v>1</v>
      </c>
      <c r="P153">
        <f t="shared" si="14"/>
        <v>38</v>
      </c>
      <c r="Q153" t="e">
        <f>VLOOKUP(B153,'C.P.'!$A$2:$B$164,2,FALSE)</f>
        <v>#N/A</v>
      </c>
      <c r="R153" t="e">
        <f>VLOOKUP(C153,'C.P.'!$C$2:$C$164,2,FALSE)</f>
        <v>#N/A</v>
      </c>
      <c r="S153" t="e">
        <f>VLOOKUP(D153,'C.P.'!$E$2:$F$164,2,FALSE)</f>
        <v>#N/A</v>
      </c>
      <c r="T153" t="e">
        <f>VLOOKUP(E153,'C.P.'!$G$2:$H$164,2,FALSE)</f>
        <v>#N/A</v>
      </c>
      <c r="U153" s="420"/>
    </row>
    <row r="154" spans="1:21">
      <c r="A154">
        <f ca="1">COUNTIF('I.A. + Fasce'!B$1:'I.A. + Fasce'!B$538,B146)</f>
        <v>1</v>
      </c>
      <c r="B154" s="205" t="s">
        <v>1722</v>
      </c>
      <c r="C154" s="206" t="str">
        <f>VLOOKUP(B154,'IA FG'!$B$2:$G$600,6,FALSE)</f>
        <v>CAG</v>
      </c>
      <c r="D154" s="207">
        <v>8</v>
      </c>
      <c r="E154" s="207">
        <v>4</v>
      </c>
      <c r="F154" s="207">
        <v>5</v>
      </c>
      <c r="G154" s="207">
        <v>5</v>
      </c>
      <c r="H154" s="207">
        <v>6</v>
      </c>
      <c r="I154" s="207">
        <v>4</v>
      </c>
      <c r="J154" s="159">
        <f>$D154*Pesi!$F$5+Pesi!$F$6*$E154+$F154*Pesi!$F$7+Pesi!$F$8*$G154+$H154*Pesi!$F$9+Pesi!$F$10*$I154+VLOOKUP($C154,TabAlgSqu,2,FALSE)*Pesi!$F$11+Pesi!$F$12*VLOOKUP($C154,TabAlgFC,2,FALSE)+VLOOKUP($C154,TabAlgAll,2,FALSE)*Pesi!$F$13</f>
        <v>54.874399999999994</v>
      </c>
      <c r="K154" s="155">
        <f>IF(ISNA(MATCH($B154,Pesi!$B$31:$B$34,0)),VLOOKUP(Pesi!$B$33,TabAlgDif,10,FALSE)-((VLOOKUP(Pesi!$B$33,TabAlgDif,9,FALSE)-$J154)/(VLOOKUP(Pesi!$B$33,TabAlgDif,9,FALSE)-Pesi!$D$43))*VLOOKUP(Pesi!$B$33,TabAlgDif,10,FALSE),Pesi!$F$33*Pesi!$C$28)</f>
        <v>-10.070394606385101</v>
      </c>
      <c r="L154" s="155">
        <f t="shared" si="12"/>
        <v>1</v>
      </c>
      <c r="M154" s="160">
        <f>$D154*Pesi!$H$5+Pesi!$H$6*$E154+$F154*Pesi!$H$7+Pesi!$H$8*$G154+$H154*Pesi!$H$9+Pesi!$H$10*$I154+VLOOKUP($C154,TabAlgSqu,2,FALSE)*Pesi!$H$11+Pesi!$H$12*VLOOKUP($C154,TabAlgFC,2,FALSE)+VLOOKUP($C154,TabAlgAll,2,FALSE)*Pesi!$H$13</f>
        <v>57.624399999999994</v>
      </c>
      <c r="N154" s="155">
        <f>IF(ISNA(MATCH($B154,Pesi!$B$31:$B$34,0)),VLOOKUP(Pesi!$B$33,TabAlgDif,13,FALSE)-((VLOOKUP(Pesi!$B$33,TabAlgDif,12,FALSE)-$M154)/(VLOOKUP(Pesi!$B$33,TabAlgDif,12,FALSE)-Pesi!$F$43))*VLOOKUP(Pesi!$B$33,TabAlgDif,13,FALSE),$K154*$M154/$J154)</f>
        <v>-11.75739857778921</v>
      </c>
      <c r="O154" s="155">
        <f t="shared" si="13"/>
        <v>1</v>
      </c>
      <c r="P154">
        <f t="shared" si="14"/>
        <v>32</v>
      </c>
      <c r="Q154" t="e">
        <f>VLOOKUP(B154,'C.P.'!$A$2:$B$164,2,FALSE)</f>
        <v>#N/A</v>
      </c>
      <c r="R154" t="e">
        <f>VLOOKUP(B154,'C.P.'!$C$2:$D$164,2,FALSE)</f>
        <v>#N/A</v>
      </c>
      <c r="S154" t="e">
        <f>VLOOKUP(B154,'C.P.'!$E$2:$F$164,2,FALSE)</f>
        <v>#N/A</v>
      </c>
      <c r="T154" t="e">
        <f>VLOOKUP(B154,'C.P.'!$G$2:$H$164,2,FALSE)</f>
        <v>#N/A</v>
      </c>
    </row>
    <row r="155" spans="1:21">
      <c r="B155" s="205" t="s">
        <v>1863</v>
      </c>
      <c r="C155" s="206" t="str">
        <f>VLOOKUP(B155,'IA FG'!$B$2:$G$600,6,FALSE)</f>
        <v>VER</v>
      </c>
      <c r="D155" s="207">
        <v>6</v>
      </c>
      <c r="E155" s="207">
        <v>6</v>
      </c>
      <c r="F155" s="207">
        <v>5</v>
      </c>
      <c r="G155" s="207">
        <v>4</v>
      </c>
      <c r="H155" s="207">
        <v>6</v>
      </c>
      <c r="I155" s="207">
        <v>5</v>
      </c>
      <c r="J155" s="159">
        <f>$D155*Pesi!$F$5+Pesi!$F$6*$E155+$F155*Pesi!$F$7+Pesi!$F$8*$G155+$H155*Pesi!$F$9+Pesi!$F$10*$I155+VLOOKUP($C155,TabAlgSqu,2,FALSE)*Pesi!$F$11+Pesi!$F$12*VLOOKUP($C155,TabAlgFC,2,FALSE)+VLOOKUP($C155,TabAlgAll,2,FALSE)*Pesi!$F$13</f>
        <v>54.754099999999994</v>
      </c>
      <c r="K155" s="155">
        <f>IF(ISNA(MATCH($B155,Pesi!$B$31:$B$34,0)),VLOOKUP(Pesi!$B$33,TabAlgDif,10,FALSE)-((VLOOKUP(Pesi!$B$33,TabAlgDif,9,FALSE)-$J155)/(VLOOKUP(Pesi!$B$33,TabAlgDif,9,FALSE)-Pesi!$C$43))*VLOOKUP(Pesi!$B$33,TabAlgDif,10,FALSE),Pesi!$F$33*Pesi!$C$28)</f>
        <v>-10.575204178204658</v>
      </c>
      <c r="L155" s="155">
        <f t="shared" si="12"/>
        <v>1</v>
      </c>
      <c r="M155" s="160">
        <f>$D155*Pesi!$H$5+Pesi!$H$6*$E155+$F155*Pesi!$H$7+Pesi!$H$8*$G155+$H155*Pesi!$H$9+Pesi!$H$10*$I155+VLOOKUP($C155,TabAlgSqu,2,FALSE)*Pesi!$H$11+Pesi!$H$12*VLOOKUP($C155,TabAlgFC,2,FALSE)+VLOOKUP($C155,TabAlgAll,2,FALSE)*Pesi!$H$13</f>
        <v>57.504099999999994</v>
      </c>
      <c r="N155" s="155">
        <f>IF(ISNA(MATCH($B155,Pesi!$B$31:$B$34,0)),VLOOKUP(Pesi!$B$33,TabAlgDif,13,FALSE)-((VLOOKUP(Pesi!$B$33,TabAlgDif,12,FALSE)-$M155)/(VLOOKUP(Pesi!$B$33,TabAlgDif,12,FALSE)-Pesi!$F$43))*VLOOKUP(Pesi!$B$33,TabAlgDif,13,FALSE),$K155*$M155/$J155)</f>
        <v>-11.908259861217267</v>
      </c>
      <c r="O155" s="155">
        <f t="shared" si="13"/>
        <v>1</v>
      </c>
      <c r="P155">
        <f t="shared" si="14"/>
        <v>32</v>
      </c>
      <c r="Q155" t="e">
        <f>VLOOKUP(B155,'C.P.'!$A$2:$B$164,2,FALSE)</f>
        <v>#N/A</v>
      </c>
      <c r="R155" t="e">
        <f>VLOOKUP(B155,'C.P.'!$C$2:$D$164,2,FALSE)</f>
        <v>#N/A</v>
      </c>
      <c r="S155" t="e">
        <f>VLOOKUP(B155,'C.P.'!$E$2:$F$164,2,FALSE)</f>
        <v>#N/A</v>
      </c>
      <c r="T155" t="e">
        <f>VLOOKUP(B155,'C.P.'!$G$2:$H$164,2,FALSE)</f>
        <v>#N/A</v>
      </c>
    </row>
    <row r="156" spans="1:21">
      <c r="A156">
        <f ca="1">COUNTIF('I.A. + Fasce'!B$1:'I.A. + Fasce'!B$538,B152)</f>
        <v>1</v>
      </c>
      <c r="B156" s="205" t="s">
        <v>1726</v>
      </c>
      <c r="C156" s="206" t="str">
        <f>VLOOKUP(B156,'IA FG'!$B$2:$G$600,6,FALSE)</f>
        <v>CHI</v>
      </c>
      <c r="D156" s="207">
        <v>6</v>
      </c>
      <c r="E156" s="207">
        <v>4</v>
      </c>
      <c r="F156" s="207">
        <v>6</v>
      </c>
      <c r="G156" s="207">
        <v>4</v>
      </c>
      <c r="H156" s="207">
        <v>5</v>
      </c>
      <c r="I156" s="207">
        <v>4</v>
      </c>
      <c r="J156" s="159">
        <f>$D156*Pesi!$F$5+Pesi!$F$6*$E156+$F156*Pesi!$F$7+Pesi!$F$8*$G156+$H156*Pesi!$F$9+Pesi!$F$10*$I156+VLOOKUP($C156,TabAlgSqu,2,FALSE)*Pesi!$F$11+Pesi!$F$12*VLOOKUP($C156,TabAlgFC,2,FALSE)+VLOOKUP($C156,TabAlgAll,2,FALSE)*Pesi!$F$13</f>
        <v>54.454999999999991</v>
      </c>
      <c r="K156" s="155">
        <f>IF(ISNA(MATCH($B156,Pesi!$B$31:$B$34,0)),VLOOKUP(Pesi!$B$33,TabAlgDif,10,FALSE)-((VLOOKUP(Pesi!$B$33,TabAlgDif,9,FALSE)-$J156)/(VLOOKUP(Pesi!$B$33,TabAlgDif,9,FALSE)-Pesi!$D$43))*VLOOKUP(Pesi!$B$33,TabAlgDif,10,FALSE),Pesi!$F$33*Pesi!$C$28)</f>
        <v>-10.590174499305988</v>
      </c>
      <c r="L156" s="155">
        <f t="shared" si="12"/>
        <v>1</v>
      </c>
      <c r="M156" s="160">
        <f>$D156*Pesi!$H$5+Pesi!$H$6*$E156+$F156*Pesi!$H$7+Pesi!$H$8*$G156+$H156*Pesi!$H$9+Pesi!$H$10*$I156+VLOOKUP($C156,TabAlgSqu,2,FALSE)*Pesi!$H$11+Pesi!$H$12*VLOOKUP($C156,TabAlgFC,2,FALSE)+VLOOKUP($C156,TabAlgAll,2,FALSE)*Pesi!$H$13</f>
        <v>57.754999999999988</v>
      </c>
      <c r="N156" s="155">
        <f>IF(ISNA(MATCH($B156,Pesi!$B$31:$B$34,0)),VLOOKUP(Pesi!$B$33,TabAlgDif,13,FALSE)-((VLOOKUP(Pesi!$B$33,TabAlgDif,12,FALSE)-$M156)/(VLOOKUP(Pesi!$B$33,TabAlgDif,12,FALSE)-Pesi!$F$43))*VLOOKUP(Pesi!$B$33,TabAlgDif,13,FALSE),$K156*$M156/$J156)</f>
        <v>-11.59362065912169</v>
      </c>
      <c r="O156" s="155">
        <f t="shared" si="13"/>
        <v>1</v>
      </c>
      <c r="P156">
        <f t="shared" si="14"/>
        <v>29</v>
      </c>
      <c r="Q156" t="e">
        <f>VLOOKUP(B156,'C.P.'!$A$2:$B$164,2,FALSE)</f>
        <v>#N/A</v>
      </c>
      <c r="R156" t="e">
        <f>VLOOKUP(C156,'C.P.'!$C$2:$C$164,2,FALSE)</f>
        <v>#N/A</v>
      </c>
      <c r="S156" t="e">
        <f>VLOOKUP(D156,'C.P.'!$E$2:$F$164,2,FALSE)</f>
        <v>#N/A</v>
      </c>
      <c r="T156" t="e">
        <f>VLOOKUP(E156,'C.P.'!$G$2:$H$164,2,FALSE)</f>
        <v>#N/A</v>
      </c>
    </row>
    <row r="157" spans="1:21">
      <c r="B157" s="205" t="s">
        <v>410</v>
      </c>
      <c r="C157" s="206" t="str">
        <f>VLOOKUP(B157,'IA FG'!$B$2:$G$600,6,FALSE)</f>
        <v>CHI</v>
      </c>
      <c r="D157" s="207">
        <v>4</v>
      </c>
      <c r="E157" s="207">
        <v>5</v>
      </c>
      <c r="F157" s="207">
        <v>6</v>
      </c>
      <c r="G157" s="207">
        <v>6</v>
      </c>
      <c r="H157" s="207">
        <v>4</v>
      </c>
      <c r="I157" s="207">
        <v>4</v>
      </c>
      <c r="J157" s="159">
        <f>$D157*Pesi!$F$5+Pesi!$F$6*$E157+$F157*Pesi!$F$7+Pesi!$F$8*$G157+$H157*Pesi!$F$9+Pesi!$F$10*$I157+VLOOKUP($C157,TabAlgSqu,2,FALSE)*Pesi!$F$11+Pesi!$F$12*VLOOKUP($C157,TabAlgFC,2,FALSE)+VLOOKUP($C157,TabAlgAll,2,FALSE)*Pesi!$F$13</f>
        <v>54.292599999999993</v>
      </c>
      <c r="K157" s="155">
        <f>IF(ISNA(MATCH($B157,Pesi!$B$31:$B$34,0)),VLOOKUP(Pesi!$B$33,TabAlgDif,10,FALSE)-((VLOOKUP(Pesi!$B$33,TabAlgDif,9,FALSE)-$J157)/(VLOOKUP(Pesi!$B$33,TabAlgDif,9,FALSE)-Pesi!$D$43))*VLOOKUP(Pesi!$B$33,TabAlgDif,10,FALSE),Pesi!$F$33*Pesi!$C$28)</f>
        <v>-10.791443585167578</v>
      </c>
      <c r="L157" s="155">
        <f t="shared" si="12"/>
        <v>1</v>
      </c>
      <c r="M157" s="160">
        <f>$D157*Pesi!$H$5+Pesi!$H$6*$E157+$F157*Pesi!$H$7+Pesi!$H$8*$G157+$H157*Pesi!$H$9+Pesi!$H$10*$I157+VLOOKUP($C157,TabAlgSqu,2,FALSE)*Pesi!$H$11+Pesi!$H$12*VLOOKUP($C157,TabAlgFC,2,FALSE)+VLOOKUP($C157,TabAlgAll,2,FALSE)*Pesi!$H$13</f>
        <v>57.59259999999999</v>
      </c>
      <c r="N157" s="155">
        <f>IF(ISNA(MATCH($B157,Pesi!$B$31:$B$34,0)),VLOOKUP(Pesi!$B$33,TabAlgDif,13,FALSE)-((VLOOKUP(Pesi!$B$33,TabAlgDif,12,FALSE)-$M157)/(VLOOKUP(Pesi!$B$33,TabAlgDif,12,FALSE)-Pesi!$F$43))*VLOOKUP(Pesi!$B$33,TabAlgDif,13,FALSE),$K157*$M157/$J157)</f>
        <v>-11.797277121538272</v>
      </c>
      <c r="O157" s="155">
        <f t="shared" si="13"/>
        <v>1</v>
      </c>
      <c r="P157">
        <f t="shared" si="14"/>
        <v>29</v>
      </c>
      <c r="Q157" t="e">
        <f>VLOOKUP(B157,'C.P.'!$A$2:$B$164,2,FALSE)</f>
        <v>#N/A</v>
      </c>
      <c r="R157" t="e">
        <f>VLOOKUP(B157,'C.P.'!$C$2:$D$164,2,FALSE)</f>
        <v>#N/A</v>
      </c>
      <c r="S157" t="e">
        <f>VLOOKUP(B157,'C.P.'!$E$2:$F$164,2,FALSE)</f>
        <v>#N/A</v>
      </c>
      <c r="T157" t="e">
        <f>VLOOKUP(B157,'C.P.'!$G$2:$H$164,2,FALSE)</f>
        <v>#N/A</v>
      </c>
    </row>
    <row r="158" spans="1:21">
      <c r="A158">
        <f ca="1">COUNTIF('I.A. + Fasce'!B$1:'I.A. + Fasce'!B$538,#REF!)</f>
        <v>0</v>
      </c>
      <c r="B158" s="205" t="s">
        <v>1343</v>
      </c>
      <c r="C158" s="206" t="str">
        <f>VLOOKUP(B158,'IA FG'!$B$2:$G$600,6,FALSE)</f>
        <v>BOL</v>
      </c>
      <c r="D158" s="207">
        <v>6</v>
      </c>
      <c r="E158" s="207">
        <v>5</v>
      </c>
      <c r="F158" s="207">
        <v>5</v>
      </c>
      <c r="G158" s="207">
        <v>6</v>
      </c>
      <c r="H158" s="207">
        <v>5</v>
      </c>
      <c r="I158" s="207">
        <v>4</v>
      </c>
      <c r="J158" s="159">
        <f>$D158*Pesi!$F$5+Pesi!$F$6*$E158+$F158*Pesi!$F$7+Pesi!$F$8*$G158+$H158*Pesi!$F$9+Pesi!$F$10*$I158+VLOOKUP($C158,TabAlgSqu,2,FALSE)*Pesi!$F$11+Pesi!$F$12*VLOOKUP($C158,TabAlgFC,2,FALSE)+VLOOKUP($C158,TabAlgAll,2,FALSE)*Pesi!$F$13</f>
        <v>54.027999999999999</v>
      </c>
      <c r="K158" s="155">
        <f>IF(ISNA(MATCH($B158,Pesi!$B$31:$B$34,0)),VLOOKUP(Pesi!$B$33,TabAlgDif,10,FALSE)-((VLOOKUP(Pesi!$B$33,TabAlgDif,9,FALSE)-$J158)/(VLOOKUP(Pesi!$B$33,TabAlgDif,9,FALSE)-Pesi!$C$43))*VLOOKUP(Pesi!$B$33,TabAlgDif,10,FALSE),Pesi!$F$33*Pesi!$C$28)</f>
        <v>-11.484179005823663</v>
      </c>
      <c r="L158" s="155">
        <f t="shared" si="12"/>
        <v>1</v>
      </c>
      <c r="M158" s="160">
        <f>$D158*Pesi!$H$5+Pesi!$H$6*$E158+$F158*Pesi!$H$7+Pesi!$H$8*$G158+$H158*Pesi!$H$9+Pesi!$H$10*$I158+VLOOKUP($C158,TabAlgSqu,2,FALSE)*Pesi!$H$11+Pesi!$H$12*VLOOKUP($C158,TabAlgFC,2,FALSE)+VLOOKUP($C158,TabAlgAll,2,FALSE)*Pesi!$H$13</f>
        <v>56.777999999999999</v>
      </c>
      <c r="N158" s="155">
        <f>IF(ISNA(MATCH($B158,Pesi!$B$31:$B$34,0)),VLOOKUP(Pesi!$B$33,TabAlgDif,13,FALSE)-((VLOOKUP(Pesi!$B$33,TabAlgDif,12,FALSE)-$M158)/(VLOOKUP(Pesi!$B$33,TabAlgDif,12,FALSE)-Pesi!$F$43))*VLOOKUP(Pesi!$B$33,TabAlgDif,13,FALSE),$K158*$M158/$J158)</f>
        <v>-12.818819943487483</v>
      </c>
      <c r="O158" s="155">
        <f t="shared" si="13"/>
        <v>1</v>
      </c>
      <c r="P158">
        <f t="shared" si="14"/>
        <v>31</v>
      </c>
      <c r="Q158" t="e">
        <f>VLOOKUP(B158,'C.P.'!$A$2:$B$164,2,FALSE)</f>
        <v>#N/A</v>
      </c>
      <c r="R158" t="e">
        <f>VLOOKUP(B158,'C.P.'!$C$2:$D$164,2,FALSE)</f>
        <v>#N/A</v>
      </c>
      <c r="S158" t="e">
        <f>VLOOKUP(B158,'C.P.'!$E$2:$F$164,2,FALSE)</f>
        <v>#N/A</v>
      </c>
      <c r="T158" t="e">
        <f>VLOOKUP(B158,'C.P.'!$G$2:$H$164,2,FALSE)</f>
        <v>#N/A</v>
      </c>
    </row>
    <row r="159" spans="1:21">
      <c r="B159" s="205" t="s">
        <v>475</v>
      </c>
      <c r="C159" s="206" t="str">
        <f>VLOOKUP(B159,'IA FG'!$B$2:$G$600,6,FALSE)</f>
        <v>SPA</v>
      </c>
      <c r="D159" s="207">
        <v>8</v>
      </c>
      <c r="E159" s="207">
        <v>7</v>
      </c>
      <c r="F159" s="207">
        <v>6</v>
      </c>
      <c r="G159" s="207">
        <v>5</v>
      </c>
      <c r="H159" s="207">
        <v>5</v>
      </c>
      <c r="I159" s="207">
        <v>6</v>
      </c>
      <c r="J159" s="159">
        <f>$D159*Pesi!$F$5+Pesi!$F$6*$E159+$F159*Pesi!$F$7+Pesi!$F$8*$G159+$H159*Pesi!$F$9+Pesi!$F$10*$I159+VLOOKUP($C159,TabAlgSqu,2,FALSE)*Pesi!$F$11+Pesi!$F$12*VLOOKUP($C159,TabAlgFC,2,FALSE)+VLOOKUP($C159,TabAlgAll,2,FALSE)*Pesi!$F$13</f>
        <v>53.793700000000001</v>
      </c>
      <c r="K159" s="155">
        <f>IF(ISNA(MATCH($B159,Pesi!$B$31:$B$34,0)),VLOOKUP(Pesi!$B$33,TabAlgDif,10,FALSE)-((VLOOKUP(Pesi!$B$33,TabAlgDif,9,FALSE)-$J159)/(VLOOKUP(Pesi!$B$33,TabAlgDif,9,FALSE)-Pesi!$D$43))*VLOOKUP(Pesi!$B$33,TabAlgDif,10,FALSE),Pesi!$F$33*Pesi!$C$28)</f>
        <v>-11.409751140194338</v>
      </c>
      <c r="L159" s="155">
        <f t="shared" si="12"/>
        <v>1</v>
      </c>
      <c r="M159" s="160">
        <f>$D159*Pesi!$H$5+Pesi!$H$6*$E159+$F159*Pesi!$H$7+Pesi!$H$8*$G159+$H159*Pesi!$H$9+Pesi!$H$10*$I159+VLOOKUP($C159,TabAlgSqu,2,FALSE)*Pesi!$H$11+Pesi!$H$12*VLOOKUP($C159,TabAlgFC,2,FALSE)+VLOOKUP($C159,TabAlgAll,2,FALSE)*Pesi!$H$13</f>
        <v>57.093699999999998</v>
      </c>
      <c r="N159" s="155">
        <f>IF(ISNA(MATCH($B159,Pesi!$B$31:$B$34,0)),VLOOKUP(Pesi!$B$33,TabAlgDif,13,FALSE)-((VLOOKUP(Pesi!$B$33,TabAlgDif,12,FALSE)-$M159)/(VLOOKUP(Pesi!$B$33,TabAlgDif,12,FALSE)-Pesi!$F$43))*VLOOKUP(Pesi!$B$33,TabAlgDif,13,FALSE),$K159*$M159/$J159)</f>
        <v>-12.422918803186271</v>
      </c>
      <c r="O159" s="155">
        <f t="shared" si="13"/>
        <v>1</v>
      </c>
      <c r="P159">
        <f t="shared" si="14"/>
        <v>37</v>
      </c>
      <c r="Q159" t="e">
        <f>VLOOKUP(B159,'C.P.'!$A$2:$B$164,2,FALSE)</f>
        <v>#N/A</v>
      </c>
      <c r="R159" t="e">
        <f>VLOOKUP(C159,'C.P.'!$C$2:$C$164,2,FALSE)</f>
        <v>#N/A</v>
      </c>
      <c r="S159" t="e">
        <f>VLOOKUP(D159,'C.P.'!$E$2:$F$164,2,FALSE)</f>
        <v>#N/A</v>
      </c>
      <c r="T159" t="e">
        <f>VLOOKUP(E159,'C.P.'!$G$2:$H$164,2,FALSE)</f>
        <v>#N/A</v>
      </c>
    </row>
    <row r="160" spans="1:21">
      <c r="A160">
        <f ca="1">COUNTIF('I.A. + Fasce'!B$1:'I.A. + Fasce'!B$538,B156)</f>
        <v>1</v>
      </c>
      <c r="B160" s="205" t="s">
        <v>594</v>
      </c>
      <c r="C160" s="206" t="str">
        <f>VLOOKUP(B160,'IA FG'!$B$2:$G$600,6,FALSE)</f>
        <v>INT</v>
      </c>
      <c r="D160" s="207">
        <v>5</v>
      </c>
      <c r="E160" s="207">
        <v>5</v>
      </c>
      <c r="F160" s="207">
        <v>6</v>
      </c>
      <c r="G160" s="207">
        <v>5</v>
      </c>
      <c r="H160" s="207">
        <v>5</v>
      </c>
      <c r="I160" s="207">
        <v>4</v>
      </c>
      <c r="J160" s="159">
        <f>$D160*Pesi!$F$5+Pesi!$F$6*$E160+$F160*Pesi!$F$7+Pesi!$F$8*$G160+$H160*Pesi!$F$9+Pesi!$F$10*$I160+VLOOKUP($C160,TabAlgSqu,2,FALSE)*Pesi!$F$11+Pesi!$F$12*VLOOKUP($C160,TabAlgFC,2,FALSE)+VLOOKUP($C160,TabAlgAll,2,FALSE)*Pesi!$F$13</f>
        <v>53.281699999999994</v>
      </c>
      <c r="K160" s="155">
        <f>IF(ISNA(MATCH($B160,Pesi!$B$31:$B$34,0)),VLOOKUP(Pesi!$B$33,TabAlgDif,10,FALSE)-((VLOOKUP(Pesi!$B$33,TabAlgDif,9,FALSE)-$J160)/(VLOOKUP(Pesi!$B$33,TabAlgDif,9,FALSE)-Pesi!$C$43))*VLOOKUP(Pesi!$B$33,TabAlgDif,10,FALSE),Pesi!$F$33*Pesi!$C$28)</f>
        <v>-12.418441385457427</v>
      </c>
      <c r="L160" s="155">
        <f t="shared" si="12"/>
        <v>1</v>
      </c>
      <c r="M160" s="160">
        <f>$D160*Pesi!$H$5+Pesi!$H$6*$E160+$F160*Pesi!$H$7+Pesi!$H$8*$G160+$H160*Pesi!$H$9+Pesi!$H$10*$I160+VLOOKUP($C160,TabAlgSqu,2,FALSE)*Pesi!$H$11+Pesi!$H$12*VLOOKUP($C160,TabAlgFC,2,FALSE)+VLOOKUP($C160,TabAlgAll,2,FALSE)*Pesi!$H$13</f>
        <v>56.581699999999991</v>
      </c>
      <c r="N160" s="155">
        <f>IF(ISNA(MATCH($B160,Pesi!$B$31:$B$34,0)),VLOOKUP(Pesi!$B$33,TabAlgDif,13,FALSE)-((VLOOKUP(Pesi!$B$33,TabAlgDif,12,FALSE)-$M160)/(VLOOKUP(Pesi!$B$33,TabAlgDif,12,FALSE)-Pesi!$F$43))*VLOOKUP(Pesi!$B$33,TabAlgDif,13,FALSE),$K160*$M160/$J160)</f>
        <v>-13.064988438391289</v>
      </c>
      <c r="O160" s="155">
        <f t="shared" si="13"/>
        <v>1</v>
      </c>
      <c r="P160">
        <f t="shared" si="14"/>
        <v>30</v>
      </c>
      <c r="Q160" t="e">
        <f>VLOOKUP(B160,'C.P.'!$A$2:$B$164,2,FALSE)</f>
        <v>#N/A</v>
      </c>
      <c r="R160" t="e">
        <f>VLOOKUP(B160,'C.P.'!$C$2:$D$164,2,FALSE)</f>
        <v>#N/A</v>
      </c>
      <c r="S160" t="e">
        <f>VLOOKUP(B160,'C.P.'!$E$2:$F$164,2,FALSE)</f>
        <v>#N/A</v>
      </c>
      <c r="T160" t="e">
        <f>VLOOKUP(B160,'C.P.'!$G$2:$H$164,2,FALSE)</f>
        <v>#N/A</v>
      </c>
    </row>
    <row r="161" spans="1:21">
      <c r="A161">
        <f ca="1">COUNTIF('I.A. + Fasce'!B$1:'I.A. + Fasce'!B$538,#REF!)</f>
        <v>0</v>
      </c>
      <c r="B161" s="205" t="s">
        <v>464</v>
      </c>
      <c r="C161" s="206" t="str">
        <f>VLOOKUP(B161,'IA FG'!$B$2:$G$600,6,FALSE)</f>
        <v>ATA</v>
      </c>
      <c r="D161" s="207">
        <v>4</v>
      </c>
      <c r="E161" s="207">
        <v>4</v>
      </c>
      <c r="F161" s="207">
        <v>6</v>
      </c>
      <c r="G161" s="207">
        <v>6</v>
      </c>
      <c r="H161" s="207">
        <v>6</v>
      </c>
      <c r="I161" s="207">
        <v>4</v>
      </c>
      <c r="J161" s="159">
        <f>$D161*Pesi!$F$5+Pesi!$F$6*$E161+$F161*Pesi!$F$7+Pesi!$F$8*$G161+$H161*Pesi!$F$9+Pesi!$F$10*$I161+VLOOKUP($C161,TabAlgSqu,2,FALSE)*Pesi!$F$11+Pesi!$F$12*VLOOKUP($C161,TabAlgFC,2,FALSE)+VLOOKUP($C161,TabAlgAll,2,FALSE)*Pesi!$F$13</f>
        <v>53.270200000000003</v>
      </c>
      <c r="K161" s="155">
        <f>IF(ISNA(MATCH($B161,Pesi!$B$31:$B$34,0)),VLOOKUP(Pesi!$B$33,TabAlgDif,10,FALSE)-((VLOOKUP(Pesi!$B$33,TabAlgDif,9,FALSE)-$J161)/(VLOOKUP(Pesi!$B$33,TabAlgDif,9,FALSE)-Pesi!$C$43))*VLOOKUP(Pesi!$B$33,TabAlgDif,10,FALSE),Pesi!$F$33*Pesi!$C$28)</f>
        <v>-12.432837764079672</v>
      </c>
      <c r="L161" s="155">
        <f t="shared" si="12"/>
        <v>1</v>
      </c>
      <c r="M161" s="160">
        <f>$D161*Pesi!$H$5+Pesi!$H$6*$E161+$F161*Pesi!$H$7+Pesi!$H$8*$G161+$H161*Pesi!$H$9+Pesi!$H$10*$I161+VLOOKUP($C161,TabAlgSqu,2,FALSE)*Pesi!$H$11+Pesi!$H$12*VLOOKUP($C161,TabAlgFC,2,FALSE)+VLOOKUP($C161,TabAlgAll,2,FALSE)*Pesi!$H$13</f>
        <v>56.5702</v>
      </c>
      <c r="N161" s="155">
        <f>IF(ISNA(MATCH($B161,Pesi!$B$31:$B$34,0)),VLOOKUP(Pesi!$B$33,TabAlgDif,13,FALSE)-((VLOOKUP(Pesi!$B$33,TabAlgDif,12,FALSE)-$M161)/(VLOOKUP(Pesi!$B$33,TabAlgDif,12,FALSE)-Pesi!$F$43))*VLOOKUP(Pesi!$B$33,TabAlgDif,13,FALSE),$K161*$M161/$J161)</f>
        <v>-13.079409924338265</v>
      </c>
      <c r="O161" s="155">
        <f t="shared" si="13"/>
        <v>1</v>
      </c>
      <c r="P161">
        <f t="shared" si="14"/>
        <v>30</v>
      </c>
      <c r="Q161" t="e">
        <f>VLOOKUP(B161,'C.P.'!$A$2:$B$164,2,FALSE)</f>
        <v>#N/A</v>
      </c>
      <c r="R161" t="e">
        <f>VLOOKUP(B161,'C.P.'!$C$2:$D$164,2,FALSE)</f>
        <v>#N/A</v>
      </c>
      <c r="S161" t="e">
        <f>VLOOKUP(B161,'C.P.'!$E$2:$F$164,2,FALSE)</f>
        <v>#N/A</v>
      </c>
      <c r="T161" t="e">
        <f>VLOOKUP(B161,'C.P.'!$G$2:$H$164,2,FALSE)</f>
        <v>#N/A</v>
      </c>
    </row>
    <row r="162" spans="1:21">
      <c r="B162" s="208" t="s">
        <v>1990</v>
      </c>
      <c r="C162" s="206" t="str">
        <f>VLOOKUP(B162,'IA FG'!$B$2:$G$600,6,FALSE)</f>
        <v>CRO</v>
      </c>
      <c r="D162" s="207">
        <v>8</v>
      </c>
      <c r="E162" s="207">
        <v>3</v>
      </c>
      <c r="F162" s="207">
        <v>6</v>
      </c>
      <c r="G162" s="207">
        <v>4</v>
      </c>
      <c r="H162" s="207">
        <v>6</v>
      </c>
      <c r="I162" s="207">
        <v>3</v>
      </c>
      <c r="J162" s="159">
        <f>$D162*Pesi!$F$5+Pesi!$F$6*$E162+$F162*Pesi!$F$7+Pesi!$F$8*$G162+$H162*Pesi!$F$9+Pesi!$F$10*$I162+VLOOKUP($C162,TabAlgSqu,2,FALSE)*Pesi!$F$11+Pesi!$F$12*VLOOKUP($C162,TabAlgFC,2,FALSE)+VLOOKUP($C162,TabAlgAll,2,FALSE)*Pesi!$F$13</f>
        <v>52.888099999999994</v>
      </c>
      <c r="K162" s="155">
        <f>IF(ISNA(MATCH($B162,Pesi!$B$31:$B$34,0)),VLOOKUP(Pesi!$B$33,TabAlgDif,10,FALSE)-((VLOOKUP(Pesi!$B$33,TabAlgDif,9,FALSE)-$J162)/(VLOOKUP(Pesi!$B$33,TabAlgDif,9,FALSE)-Pesi!$D$43))*VLOOKUP(Pesi!$B$33,TabAlgDif,10,FALSE),Pesi!$F$33*Pesi!$C$28)</f>
        <v>-12.532098949038293</v>
      </c>
      <c r="L162" s="155">
        <f t="shared" ref="L162:L190" si="15">IF(K162&lt;=1,1,K162)</f>
        <v>1</v>
      </c>
      <c r="M162" s="160">
        <f>$D162*Pesi!$H$5+Pesi!$H$6*$E162+$F162*Pesi!$H$7+Pesi!$H$8*$G162+$H162*Pesi!$H$9+Pesi!$H$10*$I162+VLOOKUP($C162,TabAlgSqu,2,FALSE)*Pesi!$H$11+Pesi!$H$12*VLOOKUP($C162,TabAlgFC,2,FALSE)+VLOOKUP($C162,TabAlgAll,2,FALSE)*Pesi!$H$13</f>
        <v>56.188099999999991</v>
      </c>
      <c r="N162" s="155">
        <f>IF(ISNA(MATCH($B162,Pesi!$B$31:$B$34,0)),VLOOKUP(Pesi!$B$33,TabAlgDif,13,FALSE)-((VLOOKUP(Pesi!$B$33,TabAlgDif,12,FALSE)-$M162)/(VLOOKUP(Pesi!$B$33,TabAlgDif,12,FALSE)-Pesi!$F$43))*VLOOKUP(Pesi!$B$33,TabAlgDif,13,FALSE),$K162*$M162/$J162)</f>
        <v>-13.558579470455143</v>
      </c>
      <c r="O162" s="155">
        <f t="shared" ref="O162:O190" si="16">IF(N162&lt;=1,1,N162)</f>
        <v>1</v>
      </c>
      <c r="P162">
        <f t="shared" ref="P162:P198" si="17">SUM(D162:I162)</f>
        <v>30</v>
      </c>
      <c r="Q162" t="e">
        <f>VLOOKUP(B162,'C.P.'!$A$2:$B$164,2,FALSE)</f>
        <v>#N/A</v>
      </c>
      <c r="R162" t="e">
        <f>VLOOKUP(C162,'C.P.'!$C$2:$C$164,2,FALSE)</f>
        <v>#N/A</v>
      </c>
      <c r="S162" t="e">
        <f>VLOOKUP(D162,'C.P.'!$E$2:$F$164,2,FALSE)</f>
        <v>#N/A</v>
      </c>
      <c r="T162" t="e">
        <f>VLOOKUP(E162,'C.P.'!$G$2:$H$164,2,FALSE)</f>
        <v>#N/A</v>
      </c>
      <c r="U162" s="420"/>
    </row>
    <row r="163" spans="1:21">
      <c r="B163" s="205" t="s">
        <v>1992</v>
      </c>
      <c r="C163" s="206" t="str">
        <f>VLOOKUP(B163,'IA FG'!$B$2:$G$600,6,FALSE)</f>
        <v>SAM</v>
      </c>
      <c r="D163" s="207">
        <v>8</v>
      </c>
      <c r="E163" s="207">
        <v>3</v>
      </c>
      <c r="F163" s="207">
        <v>4</v>
      </c>
      <c r="G163" s="207">
        <v>5</v>
      </c>
      <c r="H163" s="207">
        <v>6</v>
      </c>
      <c r="I163" s="207">
        <v>3</v>
      </c>
      <c r="J163" s="159">
        <f>$D163*Pesi!$F$5+Pesi!$F$6*$E163+$F163*Pesi!$F$7+Pesi!$F$8*$G163+$H163*Pesi!$F$9+Pesi!$F$10*$I163+VLOOKUP($C163,TabAlgSqu,2,FALSE)*Pesi!$F$11+Pesi!$F$12*VLOOKUP($C163,TabAlgFC,2,FALSE)+VLOOKUP($C163,TabAlgAll,2,FALSE)*Pesi!$F$13</f>
        <v>51.84259999999999</v>
      </c>
      <c r="K163" s="155">
        <f>IF(ISNA(MATCH($B163,Pesi!$B$31:$B$34,0)),VLOOKUP(Pesi!$B$33,TabAlgDif,10,FALSE)-((VLOOKUP(Pesi!$B$33,TabAlgDif,9,FALSE)-$J163)/(VLOOKUP(Pesi!$B$33,TabAlgDif,9,FALSE)-Pesi!$C$43))*VLOOKUP(Pesi!$B$33,TabAlgDif,10,FALSE),Pesi!$F$33*Pesi!$C$28)</f>
        <v>-14.219991687656197</v>
      </c>
      <c r="L163" s="155">
        <f t="shared" si="15"/>
        <v>1</v>
      </c>
      <c r="M163" s="160">
        <f>$D163*Pesi!$H$5+Pesi!$H$6*$E163+$F163*Pesi!$H$7+Pesi!$H$8*$G163+$H163*Pesi!$H$9+Pesi!$H$10*$I163+VLOOKUP($C163,TabAlgSqu,2,FALSE)*Pesi!$H$11+Pesi!$H$12*VLOOKUP($C163,TabAlgFC,2,FALSE)+VLOOKUP($C163,TabAlgAll,2,FALSE)*Pesi!$H$13</f>
        <v>54.042599999999993</v>
      </c>
      <c r="N163" s="155">
        <f>IF(ISNA(MATCH($B163,Pesi!$B$31:$B$34,0)),VLOOKUP(Pesi!$B$33,TabAlgDif,13,FALSE)-((VLOOKUP(Pesi!$B$33,TabAlgDif,12,FALSE)-$M163)/(VLOOKUP(Pesi!$B$33,TabAlgDif,12,FALSE)-Pesi!$F$43))*VLOOKUP(Pesi!$B$33,TabAlgDif,13,FALSE),$K163*$M163/$J163)</f>
        <v>-16.249127131260494</v>
      </c>
      <c r="O163" s="155">
        <f t="shared" si="16"/>
        <v>1</v>
      </c>
      <c r="P163">
        <f t="shared" si="17"/>
        <v>29</v>
      </c>
      <c r="Q163" t="e">
        <f>VLOOKUP(B163,'C.P.'!$A$2:$B$164,2,FALSE)</f>
        <v>#N/A</v>
      </c>
      <c r="R163" t="e">
        <f>VLOOKUP(B163,'C.P.'!$C$2:$D$164,2,FALSE)</f>
        <v>#N/A</v>
      </c>
      <c r="S163" t="e">
        <f>VLOOKUP(B163,'C.P.'!$E$2:$F$164,2,FALSE)</f>
        <v>#N/A</v>
      </c>
      <c r="T163" t="e">
        <f>VLOOKUP(B163,'C.P.'!$G$2:$H$164,2,FALSE)</f>
        <v>#N/A</v>
      </c>
    </row>
    <row r="164" spans="1:21">
      <c r="A164">
        <f ca="1">COUNTIF('I.A. + Fasce'!B$1:'I.A. + Fasce'!B$538,B158)</f>
        <v>1</v>
      </c>
      <c r="B164" s="205" t="s">
        <v>496</v>
      </c>
      <c r="C164" s="206" t="str">
        <f>VLOOKUP(B164,'IA FG'!$B$2:$G$600,6,FALSE)</f>
        <v>SAS</v>
      </c>
      <c r="D164" s="207">
        <v>6</v>
      </c>
      <c r="E164" s="207">
        <v>6</v>
      </c>
      <c r="F164" s="207">
        <v>5</v>
      </c>
      <c r="G164" s="207">
        <v>3</v>
      </c>
      <c r="H164" s="207">
        <v>5</v>
      </c>
      <c r="I164" s="207">
        <v>4</v>
      </c>
      <c r="J164" s="159">
        <f>$D164*Pesi!$F$5+Pesi!$F$6*$E164+$F164*Pesi!$F$7+Pesi!$F$8*$G164+$H164*Pesi!$F$9+Pesi!$F$10*$I164+VLOOKUP($C164,TabAlgSqu,2,FALSE)*Pesi!$F$11+Pesi!$F$12*VLOOKUP($C164,TabAlgFC,2,FALSE)+VLOOKUP($C164,TabAlgAll,2,FALSE)*Pesi!$F$13</f>
        <v>51.734000000000002</v>
      </c>
      <c r="K164" s="155">
        <f>IF(ISNA(MATCH($B164,Pesi!$B$31:$B$34,0)),VLOOKUP(Pesi!$B$33,TabAlgDif,10,FALSE)-((VLOOKUP(Pesi!$B$33,TabAlgDif,9,FALSE)-$J164)/(VLOOKUP(Pesi!$B$33,TabAlgDif,9,FALSE)-Pesi!$C$43))*VLOOKUP(Pesi!$B$33,TabAlgDif,10,FALSE),Pesi!$F$33*Pesi!$C$28)</f>
        <v>-14.355943576210692</v>
      </c>
      <c r="L164" s="155">
        <f t="shared" si="15"/>
        <v>1</v>
      </c>
      <c r="M164" s="160">
        <f>$D164*Pesi!$H$5+Pesi!$H$6*$E164+$F164*Pesi!$H$7+Pesi!$H$8*$G164+$H164*Pesi!$H$9+Pesi!$H$10*$I164+VLOOKUP($C164,TabAlgSqu,2,FALSE)*Pesi!$H$11+Pesi!$H$12*VLOOKUP($C164,TabAlgFC,2,FALSE)+VLOOKUP($C164,TabAlgAll,2,FALSE)*Pesi!$H$13</f>
        <v>54.484000000000002</v>
      </c>
      <c r="N164" s="155">
        <f>IF(ISNA(MATCH($B164,Pesi!$B$31:$B$34,0)),VLOOKUP(Pesi!$B$33,TabAlgDif,13,FALSE)-((VLOOKUP(Pesi!$B$33,TabAlgDif,12,FALSE)-$M164)/(VLOOKUP(Pesi!$B$33,TabAlgDif,12,FALSE)-Pesi!$F$43))*VLOOKUP(Pesi!$B$33,TabAlgDif,13,FALSE),$K164*$M164/$J164)</f>
        <v>-15.695592879347423</v>
      </c>
      <c r="O164" s="155">
        <f t="shared" si="16"/>
        <v>1</v>
      </c>
      <c r="P164">
        <f t="shared" si="17"/>
        <v>29</v>
      </c>
      <c r="Q164" t="e">
        <f>VLOOKUP(B164,'C.P.'!$A$2:$B$164,2,FALSE)</f>
        <v>#N/A</v>
      </c>
      <c r="R164" t="e">
        <f>VLOOKUP(B164,'C.P.'!$C$2:$D$164,2,FALSE)</f>
        <v>#N/A</v>
      </c>
      <c r="S164" t="e">
        <f>VLOOKUP(B164,'C.P.'!$E$2:$F$164,2,FALSE)</f>
        <v>#N/A</v>
      </c>
      <c r="T164" t="e">
        <f>VLOOKUP(B164,'C.P.'!$G$2:$H$164,2,FALSE)</f>
        <v>#N/A</v>
      </c>
    </row>
    <row r="165" spans="1:21">
      <c r="A165">
        <f ca="1">COUNTIF('I.A. + Fasce'!B$1:'I.A. + Fasce'!B$538,B158)</f>
        <v>1</v>
      </c>
      <c r="B165" s="205" t="s">
        <v>1727</v>
      </c>
      <c r="C165" s="206" t="str">
        <f>VLOOKUP(B165,'IA FG'!$B$2:$G$600,6,FALSE)</f>
        <v>CHI</v>
      </c>
      <c r="D165" s="207">
        <v>7</v>
      </c>
      <c r="E165" s="207">
        <v>3</v>
      </c>
      <c r="F165" s="207">
        <v>5</v>
      </c>
      <c r="G165" s="207">
        <v>4</v>
      </c>
      <c r="H165" s="207">
        <v>5</v>
      </c>
      <c r="I165" s="207">
        <v>3</v>
      </c>
      <c r="J165" s="159">
        <f>$D165*Pesi!$F$5+Pesi!$F$6*$E165+$F165*Pesi!$F$7+Pesi!$F$8*$G165+$H165*Pesi!$F$9+Pesi!$F$10*$I165+VLOOKUP($C165,TabAlgSqu,2,FALSE)*Pesi!$F$11+Pesi!$F$12*VLOOKUP($C165,TabAlgFC,2,FALSE)+VLOOKUP($C165,TabAlgAll,2,FALSE)*Pesi!$F$13</f>
        <v>51.704999999999991</v>
      </c>
      <c r="K165" s="155">
        <f>IF(ISNA(MATCH($B165,Pesi!$B$31:$B$34,0)),VLOOKUP(Pesi!$B$33,TabAlgDif,10,FALSE)-((VLOOKUP(Pesi!$B$33,TabAlgDif,9,FALSE)-$J165)/(VLOOKUP(Pesi!$B$33,TabAlgDif,9,FALSE)-Pesi!$D$43))*VLOOKUP(Pesi!$B$33,TabAlgDif,10,FALSE),Pesi!$F$33*Pesi!$C$28)</f>
        <v>-13.99836406900657</v>
      </c>
      <c r="L165" s="155">
        <f t="shared" si="15"/>
        <v>1</v>
      </c>
      <c r="M165" s="160">
        <f>$D165*Pesi!$H$5+Pesi!$H$6*$E165+$F165*Pesi!$H$7+Pesi!$H$8*$G165+$H165*Pesi!$H$9+Pesi!$H$10*$I165+VLOOKUP($C165,TabAlgSqu,2,FALSE)*Pesi!$H$11+Pesi!$H$12*VLOOKUP($C165,TabAlgFC,2,FALSE)+VLOOKUP($C165,TabAlgAll,2,FALSE)*Pesi!$H$13</f>
        <v>54.454999999999991</v>
      </c>
      <c r="N165" s="155">
        <f>IF(ISNA(MATCH($B165,Pesi!$B$31:$B$34,0)),VLOOKUP(Pesi!$B$33,TabAlgDif,13,FALSE)-((VLOOKUP(Pesi!$B$33,TabAlgDif,12,FALSE)-$M165)/(VLOOKUP(Pesi!$B$33,TabAlgDif,12,FALSE)-Pesi!$F$43))*VLOOKUP(Pesi!$B$33,TabAlgDif,13,FALSE),$K165*$M165/$J165)</f>
        <v>-15.731960104778963</v>
      </c>
      <c r="O165" s="155">
        <f t="shared" si="16"/>
        <v>1</v>
      </c>
      <c r="P165">
        <f t="shared" si="17"/>
        <v>27</v>
      </c>
      <c r="Q165" t="e">
        <f>VLOOKUP(B165,'C.P.'!$A$2:$B$164,2,FALSE)</f>
        <v>#N/A</v>
      </c>
      <c r="R165" t="e">
        <f>VLOOKUP(B165,'C.P.'!$C$2:$D$164,2,FALSE)</f>
        <v>#N/A</v>
      </c>
      <c r="S165" t="e">
        <f>VLOOKUP(B165,'C.P.'!$E$2:$F$164,2,FALSE)</f>
        <v>#N/A</v>
      </c>
      <c r="T165" t="e">
        <f>VLOOKUP(B165,'C.P.'!$G$2:$H$164,2,FALSE)</f>
        <v>#N/A</v>
      </c>
    </row>
    <row r="166" spans="1:21">
      <c r="A166">
        <f ca="1">COUNTIF('I.A. + Fasce'!B$1:'I.A. + Fasce'!B$538,#REF!)</f>
        <v>0</v>
      </c>
      <c r="B166" s="205" t="s">
        <v>609</v>
      </c>
      <c r="C166" s="206" t="str">
        <f>VLOOKUP(B166,'IA FG'!$B$2:$G$600,6,FALSE)</f>
        <v>CHI</v>
      </c>
      <c r="D166" s="207">
        <v>6</v>
      </c>
      <c r="E166" s="207">
        <v>5</v>
      </c>
      <c r="F166" s="207">
        <v>4</v>
      </c>
      <c r="G166" s="207">
        <v>4</v>
      </c>
      <c r="H166" s="207">
        <v>4</v>
      </c>
      <c r="I166" s="207">
        <v>4</v>
      </c>
      <c r="J166" s="159">
        <f>$D166*Pesi!$F$5+Pesi!$F$6*$E166+$F166*Pesi!$F$7+Pesi!$F$8*$G166+$H166*Pesi!$F$9+Pesi!$F$10*$I166+VLOOKUP($C166,TabAlgSqu,2,FALSE)*Pesi!$F$11+Pesi!$F$12*VLOOKUP($C166,TabAlgFC,2,FALSE)+VLOOKUP($C166,TabAlgAll,2,FALSE)*Pesi!$F$13</f>
        <v>51.634199999999993</v>
      </c>
      <c r="K166" s="155">
        <f>IF(ISNA(MATCH($B166,Pesi!$B$31:$B$34,0)),VLOOKUP(Pesi!$B$33,TabAlgDif,10,FALSE)-((VLOOKUP(Pesi!$B$33,TabAlgDif,9,FALSE)-$J166)/(VLOOKUP(Pesi!$B$33,TabAlgDif,9,FALSE)-Pesi!$C$43))*VLOOKUP(Pesi!$B$33,TabAlgDif,10,FALSE),Pesi!$F$33*Pesi!$C$28)</f>
        <v>-14.480879105471651</v>
      </c>
      <c r="L166" s="155">
        <f t="shared" si="15"/>
        <v>1</v>
      </c>
      <c r="M166" s="160">
        <f>$D166*Pesi!$H$5+Pesi!$H$6*$E166+$F166*Pesi!$H$7+Pesi!$H$8*$G166+$H166*Pesi!$H$9+Pesi!$H$10*$I166+VLOOKUP($C166,TabAlgSqu,2,FALSE)*Pesi!$H$11+Pesi!$H$12*VLOOKUP($C166,TabAlgFC,2,FALSE)+VLOOKUP($C166,TabAlgAll,2,FALSE)*Pesi!$H$13</f>
        <v>53.834199999999996</v>
      </c>
      <c r="N166" s="155">
        <f>IF(ISNA(MATCH($B166,Pesi!$B$31:$B$34,0)),VLOOKUP(Pesi!$B$33,TabAlgDif,13,FALSE)-((VLOOKUP(Pesi!$B$33,TabAlgDif,12,FALSE)-$M166)/(VLOOKUP(Pesi!$B$33,TabAlgDif,12,FALSE)-Pesi!$F$43))*VLOOKUP(Pesi!$B$33,TabAlgDif,13,FALSE),$K166*$M166/$J166)</f>
        <v>-16.510469537465035</v>
      </c>
      <c r="O166" s="155">
        <f t="shared" si="16"/>
        <v>1</v>
      </c>
      <c r="P166">
        <f t="shared" si="17"/>
        <v>27</v>
      </c>
      <c r="Q166">
        <f>VLOOKUP(B166,'C.P.'!$A$2:$B$164,2,FALSE)</f>
        <v>-1</v>
      </c>
      <c r="R166" t="e">
        <f>VLOOKUP(B166,'C.P.'!$C$2:$D$164,2,FALSE)</f>
        <v>#N/A</v>
      </c>
      <c r="S166" t="e">
        <f>VLOOKUP(B166,'C.P.'!$E$2:$F$164,2,FALSE)</f>
        <v>#N/A</v>
      </c>
      <c r="T166" t="e">
        <f>VLOOKUP(B166,'C.P.'!$G$2:$H$164,2,FALSE)</f>
        <v>#N/A</v>
      </c>
    </row>
    <row r="167" spans="1:21">
      <c r="A167">
        <f ca="1">COUNTIF('I.A. + Fasce'!B$1:'I.A. + Fasce'!B$538,B159)</f>
        <v>1</v>
      </c>
      <c r="B167" s="205" t="s">
        <v>528</v>
      </c>
      <c r="C167" s="206" t="str">
        <f>VLOOKUP(B167,'IA FG'!$B$2:$G$600,6,FALSE)</f>
        <v>SAS</v>
      </c>
      <c r="D167" s="207">
        <v>7</v>
      </c>
      <c r="E167" s="207">
        <v>5</v>
      </c>
      <c r="F167" s="207">
        <v>4</v>
      </c>
      <c r="G167" s="207">
        <v>4</v>
      </c>
      <c r="H167" s="207">
        <v>6</v>
      </c>
      <c r="I167" s="207">
        <v>3</v>
      </c>
      <c r="J167" s="159">
        <f>$D167*Pesi!$F$5+Pesi!$F$6*$E167+$F167*Pesi!$F$7+Pesi!$F$8*$G167+$H167*Pesi!$F$9+Pesi!$F$10*$I167+VLOOKUP($C167,TabAlgSqu,2,FALSE)*Pesi!$F$11+Pesi!$F$12*VLOOKUP($C167,TabAlgFC,2,FALSE)+VLOOKUP($C167,TabAlgAll,2,FALSE)*Pesi!$F$13</f>
        <v>51.567299999999996</v>
      </c>
      <c r="K167" s="155">
        <f>IF(ISNA(MATCH($B167,Pesi!$B$31:$B$34,0)),VLOOKUP(Pesi!$B$33,TabAlgDif,10,FALSE)-((VLOOKUP(Pesi!$B$33,TabAlgDif,9,FALSE)-$J167)/(VLOOKUP(Pesi!$B$33,TabAlgDif,9,FALSE)-Pesi!$D$43))*VLOOKUP(Pesi!$B$33,TabAlgDif,10,FALSE),Pesi!$F$33*Pesi!$C$28)</f>
        <v>-14.169021415823927</v>
      </c>
      <c r="L167" s="155">
        <f t="shared" si="15"/>
        <v>1</v>
      </c>
      <c r="M167" s="160">
        <f>$D167*Pesi!$H$5+Pesi!$H$6*$E167+$F167*Pesi!$H$7+Pesi!$H$8*$G167+$H167*Pesi!$H$9+Pesi!$H$10*$I167+VLOOKUP($C167,TabAlgSqu,2,FALSE)*Pesi!$H$11+Pesi!$H$12*VLOOKUP($C167,TabAlgFC,2,FALSE)+VLOOKUP($C167,TabAlgAll,2,FALSE)*Pesi!$H$13</f>
        <v>53.767299999999999</v>
      </c>
      <c r="N167" s="155">
        <f>IF(ISNA(MATCH($B167,Pesi!$B$31:$B$34,0)),VLOOKUP(Pesi!$B$33,TabAlgDif,13,FALSE)-((VLOOKUP(Pesi!$B$33,TabAlgDif,12,FALSE)-$M167)/(VLOOKUP(Pesi!$B$33,TabAlgDif,12,FALSE)-Pesi!$F$43))*VLOOKUP(Pesi!$B$33,TabAlgDif,13,FALSE),$K167*$M167/$J167)</f>
        <v>-16.594364964408811</v>
      </c>
      <c r="O167" s="155">
        <f t="shared" si="16"/>
        <v>1</v>
      </c>
      <c r="P167">
        <f t="shared" si="17"/>
        <v>29</v>
      </c>
      <c r="Q167" t="e">
        <f>VLOOKUP(B167,'C.P.'!$A$2:$B$164,2,FALSE)</f>
        <v>#N/A</v>
      </c>
      <c r="R167" t="e">
        <f>VLOOKUP(B167,'C.P.'!$C$2:$D$164,2,FALSE)</f>
        <v>#N/A</v>
      </c>
      <c r="S167" t="e">
        <f>VLOOKUP(B167,'C.P.'!$E$2:$F$164,2,FALSE)</f>
        <v>#N/A</v>
      </c>
      <c r="T167" t="e">
        <f>VLOOKUP(B167,'C.P.'!$G$2:$H$164,2,FALSE)</f>
        <v>#N/A</v>
      </c>
    </row>
    <row r="168" spans="1:21">
      <c r="A168">
        <f ca="1">COUNTIF('I.A. + Fasce'!B$1:'I.A. + Fasce'!B$538,B168)</f>
        <v>1</v>
      </c>
      <c r="B168" s="205" t="s">
        <v>1282</v>
      </c>
      <c r="C168" s="206" t="str">
        <f>VLOOKUP(B168,'IA FG'!$B$2:$G$600,6,FALSE)</f>
        <v>BEN</v>
      </c>
      <c r="D168" s="207">
        <v>7</v>
      </c>
      <c r="E168" s="207">
        <v>7</v>
      </c>
      <c r="F168" s="207">
        <v>5</v>
      </c>
      <c r="G168" s="207">
        <v>6</v>
      </c>
      <c r="H168" s="207">
        <v>5</v>
      </c>
      <c r="I168" s="207">
        <v>5</v>
      </c>
      <c r="J168" s="159">
        <f>$D168*Pesi!$F$5+Pesi!$F$6*$E168+$F168*Pesi!$F$7+Pesi!$F$8*$G168+$H168*Pesi!$F$9+Pesi!$F$10*$I168+VLOOKUP($C168,TabAlgSqu,2,FALSE)*Pesi!$F$11+Pesi!$F$12*VLOOKUP($C168,TabAlgFC,2,FALSE)+VLOOKUP($C168,TabAlgAll,2,FALSE)*Pesi!$F$13</f>
        <v>50.949099999999994</v>
      </c>
      <c r="K168" s="155">
        <f>IF(ISNA(MATCH($B168,Pesi!$B$31:$B$34,0)),VLOOKUP(Pesi!$B$33,TabAlgDif,10,FALSE)-((VLOOKUP(Pesi!$B$33,TabAlgDif,9,FALSE)-$J168)/(VLOOKUP(Pesi!$B$33,TabAlgDif,9,FALSE)-Pesi!$D$43))*VLOOKUP(Pesi!$B$33,TabAlgDif,10,FALSE),Pesi!$F$33*Pesi!$C$28)</f>
        <v>-14.935182431092628</v>
      </c>
      <c r="L168" s="155">
        <f t="shared" si="15"/>
        <v>1</v>
      </c>
      <c r="M168" s="160">
        <f>$D168*Pesi!$H$5+Pesi!$H$6*$E168+$F168*Pesi!$H$7+Pesi!$H$8*$G168+$H168*Pesi!$H$9+Pesi!$H$10*$I168+VLOOKUP($C168,TabAlgSqu,2,FALSE)*Pesi!$H$11+Pesi!$H$12*VLOOKUP($C168,TabAlgFC,2,FALSE)+VLOOKUP($C168,TabAlgAll,2,FALSE)*Pesi!$H$13</f>
        <v>53.699099999999994</v>
      </c>
      <c r="N168" s="155">
        <f>IF(ISNA(MATCH($B168,Pesi!$B$31:$B$34,0)),VLOOKUP(Pesi!$B$33,TabAlgDif,13,FALSE)-((VLOOKUP(Pesi!$B$33,TabAlgDif,12,FALSE)-$M168)/(VLOOKUP(Pesi!$B$33,TabAlgDif,12,FALSE)-Pesi!$F$43))*VLOOKUP(Pesi!$B$33,TabAlgDif,13,FALSE),$K168*$M168/$J168)</f>
        <v>-16.679890646285735</v>
      </c>
      <c r="O168" s="155">
        <f t="shared" si="16"/>
        <v>1</v>
      </c>
      <c r="P168">
        <f t="shared" si="17"/>
        <v>35</v>
      </c>
      <c r="Q168">
        <f>VLOOKUP(B168,'C.P.'!$A$2:$B$164,2,FALSE)</f>
        <v>-1</v>
      </c>
      <c r="R168" t="e">
        <f>VLOOKUP(C168,'C.P.'!$C$2:$C$164,2,FALSE)</f>
        <v>#N/A</v>
      </c>
      <c r="S168" t="e">
        <f>VLOOKUP(D168,'C.P.'!$E$2:$F$164,2,FALSE)</f>
        <v>#N/A</v>
      </c>
      <c r="T168" t="e">
        <f>VLOOKUP(E168,'C.P.'!$G$2:$H$164,2,FALSE)</f>
        <v>#N/A</v>
      </c>
      <c r="U168" s="180" t="s">
        <v>882</v>
      </c>
    </row>
    <row r="169" spans="1:21" ht="15" customHeight="1">
      <c r="A169">
        <f ca="1">COUNTIF('I.A. + Fasce'!B$1:'I.A. + Fasce'!B$538,B162)</f>
        <v>1</v>
      </c>
      <c r="B169" s="205" t="s">
        <v>399</v>
      </c>
      <c r="C169" s="206" t="str">
        <f>VLOOKUP(B169,'IA FG'!$B$2:$G$600,6,FALSE)</f>
        <v>ROM</v>
      </c>
      <c r="D169" s="207">
        <v>7</v>
      </c>
      <c r="E169" s="207">
        <v>3</v>
      </c>
      <c r="F169" s="207">
        <v>6</v>
      </c>
      <c r="G169" s="207">
        <v>5</v>
      </c>
      <c r="H169" s="207">
        <v>5</v>
      </c>
      <c r="I169" s="207">
        <v>1</v>
      </c>
      <c r="J169" s="159">
        <f>$D169*Pesi!$F$5+Pesi!$F$6*$E169+$F169*Pesi!$F$7+Pesi!$F$8*$G169+$H169*Pesi!$F$9+Pesi!$F$10*$I169+VLOOKUP($C169,TabAlgSqu,2,FALSE)*Pesi!$F$11+Pesi!$F$12*VLOOKUP($C169,TabAlgFC,2,FALSE)+VLOOKUP($C169,TabAlgAll,2,FALSE)*Pesi!$F$13</f>
        <v>50.870899999999999</v>
      </c>
      <c r="K169" s="155">
        <f>IF(ISNA(MATCH($B169,Pesi!$B$31:$B$34,0)),VLOOKUP(Pesi!$B$33,TabAlgDif,10,FALSE)-((VLOOKUP(Pesi!$B$33,TabAlgDif,9,FALSE)-$J169)/(VLOOKUP(Pesi!$B$33,TabAlgDif,9,FALSE)-Pesi!$D$43))*VLOOKUP(Pesi!$B$33,TabAlgDif,10,FALSE),Pesi!$F$33*Pesi!$C$28)</f>
        <v>-15.032098949038286</v>
      </c>
      <c r="L169" s="155">
        <f t="shared" si="15"/>
        <v>1</v>
      </c>
      <c r="M169" s="160">
        <f>$D169*Pesi!$H$5+Pesi!$H$6*$E169+$F169*Pesi!$H$7+Pesi!$H$8*$G169+$H169*Pesi!$H$9+Pesi!$H$10*$I169+VLOOKUP($C169,TabAlgSqu,2,FALSE)*Pesi!$H$11+Pesi!$H$12*VLOOKUP($C169,TabAlgFC,2,FALSE)+VLOOKUP($C169,TabAlgAll,2,FALSE)*Pesi!$H$13</f>
        <v>54.170899999999996</v>
      </c>
      <c r="N169" s="155">
        <f>IF(ISNA(MATCH($B169,Pesi!$B$31:$B$34,0)),VLOOKUP(Pesi!$B$33,TabAlgDif,13,FALSE)-((VLOOKUP(Pesi!$B$33,TabAlgDif,12,FALSE)-$M169)/(VLOOKUP(Pesi!$B$33,TabAlgDif,12,FALSE)-Pesi!$F$43))*VLOOKUP(Pesi!$B$33,TabAlgDif,13,FALSE),$K169*$M169/$J169)</f>
        <v>-16.088233509782363</v>
      </c>
      <c r="O169" s="155">
        <f t="shared" si="16"/>
        <v>1</v>
      </c>
      <c r="P169">
        <f t="shared" si="17"/>
        <v>27</v>
      </c>
      <c r="Q169" t="e">
        <f>VLOOKUP(B169,'C.P.'!$A$2:$B$164,2,FALSE)</f>
        <v>#N/A</v>
      </c>
      <c r="R169" t="e">
        <f>VLOOKUP(C169,'C.P.'!$C$2:$C$164,2,FALSE)</f>
        <v>#N/A</v>
      </c>
      <c r="S169" t="e">
        <f>VLOOKUP(D169,'C.P.'!$E$2:$F$164,2,FALSE)</f>
        <v>#N/A</v>
      </c>
      <c r="T169" t="e">
        <f>VLOOKUP(E169,'C.P.'!$G$2:$H$164,2,FALSE)</f>
        <v>#N/A</v>
      </c>
    </row>
    <row r="170" spans="1:21">
      <c r="A170">
        <f ca="1">COUNTIF('I.A. + Fasce'!B$1:'I.A. + Fasce'!B$538,B165)</f>
        <v>1</v>
      </c>
      <c r="B170" s="205" t="s">
        <v>1823</v>
      </c>
      <c r="C170" s="206" t="str">
        <f>VLOOKUP(B170,'IA FG'!$B$2:$G$600,6,FALSE)</f>
        <v>FIO</v>
      </c>
      <c r="D170" s="207">
        <v>9</v>
      </c>
      <c r="E170" s="207">
        <v>2</v>
      </c>
      <c r="F170" s="207">
        <v>5</v>
      </c>
      <c r="G170" s="207">
        <v>5</v>
      </c>
      <c r="H170" s="207">
        <v>5</v>
      </c>
      <c r="I170" s="207">
        <v>2</v>
      </c>
      <c r="J170" s="159">
        <f>$D170*Pesi!$F$5+Pesi!$F$6*$E170+$F170*Pesi!$F$7+Pesi!$F$8*$G170+$H170*Pesi!$F$9+Pesi!$F$10*$I170+VLOOKUP($C170,TabAlgSqu,2,FALSE)*Pesi!$F$11+Pesi!$F$12*VLOOKUP($C170,TabAlgFC,2,FALSE)+VLOOKUP($C170,TabAlgAll,2,FALSE)*Pesi!$F$13</f>
        <v>50.705800000000004</v>
      </c>
      <c r="K170" s="155">
        <f>IF(ISNA(MATCH($B170,Pesi!$B$31:$B$34,0)),VLOOKUP(Pesi!$B$33,TabAlgDif,10,FALSE)-((VLOOKUP(Pesi!$B$33,TabAlgDif,9,FALSE)-$J170)/(VLOOKUP(Pesi!$B$33,TabAlgDif,9,FALSE)-Pesi!$D$43))*VLOOKUP(Pesi!$B$33,TabAlgDif,10,FALSE),Pesi!$F$33*Pesi!$C$28)</f>
        <v>-15.236714257386488</v>
      </c>
      <c r="L170" s="155">
        <f t="shared" si="15"/>
        <v>1</v>
      </c>
      <c r="M170" s="160">
        <f>$D170*Pesi!$H$5+Pesi!$H$6*$E170+$F170*Pesi!$H$7+Pesi!$H$8*$G170+$H170*Pesi!$H$9+Pesi!$H$10*$I170+VLOOKUP($C170,TabAlgSqu,2,FALSE)*Pesi!$H$11+Pesi!$H$12*VLOOKUP($C170,TabAlgFC,2,FALSE)+VLOOKUP($C170,TabAlgAll,2,FALSE)*Pesi!$H$13</f>
        <v>53.455800000000004</v>
      </c>
      <c r="N170" s="155">
        <f>IF(ISNA(MATCH($B170,Pesi!$B$31:$B$34,0)),VLOOKUP(Pesi!$B$33,TabAlgDif,13,FALSE)-((VLOOKUP(Pesi!$B$33,TabAlgDif,12,FALSE)-$M170)/(VLOOKUP(Pesi!$B$33,TabAlgDif,12,FALSE)-Pesi!$F$43))*VLOOKUP(Pesi!$B$33,TabAlgDif,13,FALSE),$K170*$M170/$J170)</f>
        <v>-16.984999127233721</v>
      </c>
      <c r="O170" s="155">
        <f t="shared" si="16"/>
        <v>1</v>
      </c>
      <c r="P170">
        <f t="shared" si="17"/>
        <v>28</v>
      </c>
      <c r="Q170" t="e">
        <f>VLOOKUP(B170,'C.P.'!$A$2:$B$164,2,FALSE)</f>
        <v>#N/A</v>
      </c>
      <c r="R170" t="e">
        <f>VLOOKUP(C170,'C.P.'!$C$2:$C$164,2,FALSE)</f>
        <v>#N/A</v>
      </c>
      <c r="S170" t="e">
        <f>VLOOKUP(D170,'C.P.'!$E$2:$F$164,2,FALSE)</f>
        <v>#N/A</v>
      </c>
      <c r="T170" t="e">
        <f>VLOOKUP(E170,'C.P.'!$G$2:$H$164,2,FALSE)</f>
        <v>#N/A</v>
      </c>
    </row>
    <row r="171" spans="1:21" ht="12.75" customHeight="1">
      <c r="A171">
        <f ca="1">COUNTIF('I.A. + Fasce'!B$1:'I.A. + Fasce'!B$538,B165)</f>
        <v>1</v>
      </c>
      <c r="B171" s="205" t="s">
        <v>1730</v>
      </c>
      <c r="C171" s="206" t="str">
        <f>VLOOKUP(B171,'IA FG'!$B$2:$G$600,6,FALSE)</f>
        <v>VER</v>
      </c>
      <c r="D171" s="207">
        <v>6</v>
      </c>
      <c r="E171" s="207">
        <v>5</v>
      </c>
      <c r="F171" s="207">
        <v>4</v>
      </c>
      <c r="G171" s="207">
        <v>5</v>
      </c>
      <c r="H171" s="207">
        <v>6</v>
      </c>
      <c r="I171" s="207">
        <v>3</v>
      </c>
      <c r="J171" s="159">
        <f>$D171*Pesi!$F$5+Pesi!$F$6*$E171+$F171*Pesi!$F$7+Pesi!$F$8*$G171+$H171*Pesi!$F$9+Pesi!$F$10*$I171+VLOOKUP($C171,TabAlgSqu,2,FALSE)*Pesi!$F$11+Pesi!$F$12*VLOOKUP($C171,TabAlgFC,2,FALSE)+VLOOKUP($C171,TabAlgAll,2,FALSE)*Pesi!$F$13</f>
        <v>50.587499999999991</v>
      </c>
      <c r="K171" s="155">
        <f>IF(ISNA(MATCH($B171,Pesi!$B$31:$B$34,0)),VLOOKUP(Pesi!$B$33,TabAlgDif,10,FALSE)-((VLOOKUP(Pesi!$B$33,TabAlgDif,9,FALSE)-$J171)/(VLOOKUP(Pesi!$B$33,TabAlgDif,9,FALSE)-Pesi!$C$43))*VLOOKUP(Pesi!$B$33,TabAlgDif,10,FALSE),Pesi!$F$33*Pesi!$C$28)</f>
        <v>-15.791199931898895</v>
      </c>
      <c r="L171" s="155">
        <f t="shared" si="15"/>
        <v>1</v>
      </c>
      <c r="M171" s="160">
        <f>$D171*Pesi!$H$5+Pesi!$H$6*$E171+$F171*Pesi!$H$7+Pesi!$H$8*$G171+$H171*Pesi!$H$9+Pesi!$H$10*$I171+VLOOKUP($C171,TabAlgSqu,2,FALSE)*Pesi!$H$11+Pesi!$H$12*VLOOKUP($C171,TabAlgFC,2,FALSE)+VLOOKUP($C171,TabAlgAll,2,FALSE)*Pesi!$H$13</f>
        <v>52.787499999999994</v>
      </c>
      <c r="N171" s="155">
        <f>IF(ISNA(MATCH($B171,Pesi!$B$31:$B$34,0)),VLOOKUP(Pesi!$B$33,TabAlgDif,13,FALSE)-((VLOOKUP(Pesi!$B$33,TabAlgDif,12,FALSE)-$M171)/(VLOOKUP(Pesi!$B$33,TabAlgDif,12,FALSE)-Pesi!$F$43))*VLOOKUP(Pesi!$B$33,TabAlgDif,13,FALSE),$K171*$M171/$J171)</f>
        <v>-17.823075567092147</v>
      </c>
      <c r="O171" s="155">
        <f t="shared" si="16"/>
        <v>1</v>
      </c>
      <c r="P171">
        <f t="shared" si="17"/>
        <v>29</v>
      </c>
      <c r="Q171">
        <f>VLOOKUP(B171,'C.P.'!$A$2:$B$164,2,FALSE)</f>
        <v>-1</v>
      </c>
      <c r="R171" t="e">
        <f>VLOOKUP(B171,'C.P.'!$C$2:$D$164,2,FALSE)</f>
        <v>#N/A</v>
      </c>
      <c r="S171" t="e">
        <f>VLOOKUP(B171,'C.P.'!$E$2:$F$164,2,FALSE)</f>
        <v>#N/A</v>
      </c>
      <c r="T171" t="e">
        <f>VLOOKUP(B171,'C.P.'!$G$2:$H$164,2,FALSE)</f>
        <v>#N/A</v>
      </c>
      <c r="U171" s="156"/>
    </row>
    <row r="172" spans="1:21">
      <c r="A172">
        <f ca="1">COUNTIF('I.A. + Fasce'!B$1:'I.A. + Fasce'!B$538,B169)</f>
        <v>1</v>
      </c>
      <c r="B172" s="205" t="s">
        <v>413</v>
      </c>
      <c r="C172" s="206" t="str">
        <f>VLOOKUP(B172,'IA FG'!$B$2:$G$600,6,FALSE)</f>
        <v>VER</v>
      </c>
      <c r="D172" s="207">
        <v>5</v>
      </c>
      <c r="E172" s="207">
        <v>5</v>
      </c>
      <c r="F172" s="207">
        <v>4</v>
      </c>
      <c r="G172" s="207">
        <v>5</v>
      </c>
      <c r="H172" s="207">
        <v>7</v>
      </c>
      <c r="I172" s="207">
        <v>3</v>
      </c>
      <c r="J172" s="159">
        <f>$D172*Pesi!$F$5+Pesi!$F$6*$E172+$F172*Pesi!$F$7+Pesi!$F$8*$G172+$H172*Pesi!$F$9+Pesi!$F$10*$I172+VLOOKUP($C172,TabAlgSqu,2,FALSE)*Pesi!$F$11+Pesi!$F$12*VLOOKUP($C172,TabAlgFC,2,FALSE)+VLOOKUP($C172,TabAlgAll,2,FALSE)*Pesi!$F$13</f>
        <v>50.587499999999991</v>
      </c>
      <c r="K172" s="155">
        <f>IF(ISNA(MATCH($B172,Pesi!$B$31:$B$34,0)),VLOOKUP(Pesi!$B$33,TabAlgDif,10,FALSE)-((VLOOKUP(Pesi!$B$33,TabAlgDif,9,FALSE)-$J172)/(VLOOKUP(Pesi!$B$33,TabAlgDif,9,FALSE)-Pesi!$D$43))*VLOOKUP(Pesi!$B$33,TabAlgDif,10,FALSE),Pesi!$F$33*Pesi!$C$28)</f>
        <v>-15.383328375966713</v>
      </c>
      <c r="L172" s="155">
        <f t="shared" si="15"/>
        <v>1</v>
      </c>
      <c r="M172" s="160">
        <f>$D172*Pesi!$H$5+Pesi!$H$6*$E172+$F172*Pesi!$H$7+Pesi!$H$8*$G172+$H172*Pesi!$H$9+Pesi!$H$10*$I172+VLOOKUP($C172,TabAlgSqu,2,FALSE)*Pesi!$H$11+Pesi!$H$12*VLOOKUP($C172,TabAlgFC,2,FALSE)+VLOOKUP($C172,TabAlgAll,2,FALSE)*Pesi!$H$13</f>
        <v>52.787499999999994</v>
      </c>
      <c r="N172" s="155">
        <f>IF(ISNA(MATCH($B172,Pesi!$B$31:$B$34,0)),VLOOKUP(Pesi!$B$33,TabAlgDif,13,FALSE)-((VLOOKUP(Pesi!$B$33,TabAlgDif,12,FALSE)-$M172)/(VLOOKUP(Pesi!$B$33,TabAlgDif,12,FALSE)-Pesi!$F$43))*VLOOKUP(Pesi!$B$33,TabAlgDif,13,FALSE),$K172*$M172/$J172)</f>
        <v>-17.823075567092147</v>
      </c>
      <c r="O172" s="155">
        <f t="shared" si="16"/>
        <v>1</v>
      </c>
      <c r="P172">
        <f t="shared" si="17"/>
        <v>29</v>
      </c>
      <c r="Q172" t="e">
        <f>VLOOKUP(B172,'C.P.'!$A$2:$B$164,2,FALSE)</f>
        <v>#N/A</v>
      </c>
      <c r="R172" t="e">
        <f>VLOOKUP(C172,'C.P.'!$C$2:$C$164,2,FALSE)</f>
        <v>#N/A</v>
      </c>
      <c r="S172" t="e">
        <f>VLOOKUP(D172,'C.P.'!$E$2:$F$164,2,FALSE)</f>
        <v>#N/A</v>
      </c>
      <c r="T172" t="e">
        <f>VLOOKUP(E172,'C.P.'!$G$2:$H$164,2,FALSE)</f>
        <v>#N/A</v>
      </c>
      <c r="U172" s="420"/>
    </row>
    <row r="173" spans="1:21">
      <c r="A173">
        <f ca="1">COUNTIF('I.A. + Fasce'!B$1:'I.A. + Fasce'!B$538,B163)</f>
        <v>1</v>
      </c>
      <c r="B173" s="205" t="s">
        <v>460</v>
      </c>
      <c r="C173" s="206" t="str">
        <f>VLOOKUP(B173,'IA FG'!$B$2:$G$600,6,FALSE)</f>
        <v>BEN</v>
      </c>
      <c r="D173" s="207">
        <v>7</v>
      </c>
      <c r="E173" s="207">
        <v>6</v>
      </c>
      <c r="F173" s="207">
        <v>6</v>
      </c>
      <c r="G173" s="207">
        <v>6</v>
      </c>
      <c r="H173" s="207">
        <v>5</v>
      </c>
      <c r="I173" s="207">
        <v>4</v>
      </c>
      <c r="J173" s="159">
        <f>$D173*Pesi!$F$5+Pesi!$F$6*$E173+$F173*Pesi!$F$7+Pesi!$F$8*$G173+$H173*Pesi!$F$9+Pesi!$F$10*$I173+VLOOKUP($C173,TabAlgSqu,2,FALSE)*Pesi!$F$11+Pesi!$F$12*VLOOKUP($C173,TabAlgFC,2,FALSE)+VLOOKUP($C173,TabAlgAll,2,FALSE)*Pesi!$F$13</f>
        <v>49.690799999999996</v>
      </c>
      <c r="K173" s="155">
        <f>IF(ISNA(MATCH($B173,Pesi!$B$31:$B$34,0)),VLOOKUP(Pesi!$B$33,TabAlgDif,10,FALSE)-((VLOOKUP(Pesi!$B$33,TabAlgDif,9,FALSE)-$J173)/(VLOOKUP(Pesi!$B$33,TabAlgDif,9,FALSE)-Pesi!$C$43))*VLOOKUP(Pesi!$B$33,TabAlgDif,10,FALSE),Pesi!$F$33*Pesi!$C$28)</f>
        <v>-16.913741906731524</v>
      </c>
      <c r="L173" s="155">
        <f t="shared" si="15"/>
        <v>1</v>
      </c>
      <c r="M173" s="160">
        <f>$D173*Pesi!$H$5+Pesi!$H$6*$E173+$F173*Pesi!$H$7+Pesi!$H$8*$G173+$H173*Pesi!$H$9+Pesi!$H$10*$I173+VLOOKUP($C173,TabAlgSqu,2,FALSE)*Pesi!$H$11+Pesi!$H$12*VLOOKUP($C173,TabAlgFC,2,FALSE)+VLOOKUP($C173,TabAlgAll,2,FALSE)*Pesi!$H$13</f>
        <v>52.990799999999993</v>
      </c>
      <c r="N173" s="155">
        <f>IF(ISNA(MATCH($B173,Pesi!$B$31:$B$34,0)),VLOOKUP(Pesi!$B$33,TabAlgDif,13,FALSE)-((VLOOKUP(Pesi!$B$33,TabAlgDif,12,FALSE)-$M173)/(VLOOKUP(Pesi!$B$33,TabAlgDif,12,FALSE)-Pesi!$F$43))*VLOOKUP(Pesi!$B$33,TabAlgDif,13,FALSE),$K173*$M173/$J173)</f>
        <v>-17.568128776394538</v>
      </c>
      <c r="O173" s="155">
        <f t="shared" si="16"/>
        <v>1</v>
      </c>
      <c r="P173">
        <f t="shared" si="17"/>
        <v>34</v>
      </c>
      <c r="Q173" t="e">
        <f>VLOOKUP(B173,'C.P.'!$A$2:$B$164,2,FALSE)</f>
        <v>#N/A</v>
      </c>
      <c r="R173" t="e">
        <f>VLOOKUP(B173,'C.P.'!$C$2:$D$164,2,FALSE)</f>
        <v>#N/A</v>
      </c>
      <c r="S173" t="e">
        <f>VLOOKUP(B173,'C.P.'!$E$2:$F$164,2,FALSE)</f>
        <v>#N/A</v>
      </c>
      <c r="T173" t="e">
        <f>VLOOKUP(B173,'C.P.'!$G$2:$H$164,2,FALSE)</f>
        <v>#N/A</v>
      </c>
    </row>
    <row r="174" spans="1:21">
      <c r="A174">
        <f ca="1">COUNTIF('I.A. + Fasce'!B$1:'I.A. + Fasce'!B$538,B164)</f>
        <v>1</v>
      </c>
      <c r="B174" s="205" t="s">
        <v>1716</v>
      </c>
      <c r="C174" s="206" t="str">
        <f>VLOOKUP(B174,'IA FG'!$B$2:$G$600,6,FALSE)</f>
        <v>BEN</v>
      </c>
      <c r="D174" s="207">
        <v>8</v>
      </c>
      <c r="E174" s="207">
        <v>4</v>
      </c>
      <c r="F174" s="207">
        <v>6</v>
      </c>
      <c r="G174" s="207">
        <v>6</v>
      </c>
      <c r="H174" s="207">
        <v>6</v>
      </c>
      <c r="I174" s="207">
        <v>4</v>
      </c>
      <c r="J174" s="159">
        <f>$D174*Pesi!$F$5+Pesi!$F$6*$E174+$F174*Pesi!$F$7+Pesi!$F$8*$G174+$H174*Pesi!$F$9+Pesi!$F$10*$I174+VLOOKUP($C174,TabAlgSqu,2,FALSE)*Pesi!$F$11+Pesi!$F$12*VLOOKUP($C174,TabAlgFC,2,FALSE)+VLOOKUP($C174,TabAlgAll,2,FALSE)*Pesi!$F$13</f>
        <v>49.682399999999994</v>
      </c>
      <c r="K174" s="155">
        <f>IF(ISNA(MATCH($B174,Pesi!$B$31:$B$34,0)),VLOOKUP(Pesi!$B$33,TabAlgDif,10,FALSE)-((VLOOKUP(Pesi!$B$33,TabAlgDif,9,FALSE)-$J174)/(VLOOKUP(Pesi!$B$33,TabAlgDif,9,FALSE)-Pesi!$C$43))*VLOOKUP(Pesi!$B$33,TabAlgDif,10,FALSE),Pesi!$F$33*Pesi!$C$28)</f>
        <v>-16.924257522420824</v>
      </c>
      <c r="L174" s="155">
        <f t="shared" si="15"/>
        <v>1</v>
      </c>
      <c r="M174" s="160">
        <f>$D174*Pesi!$H$5+Pesi!$H$6*$E174+$F174*Pesi!$H$7+Pesi!$H$8*$G174+$H174*Pesi!$H$9+Pesi!$H$10*$I174+VLOOKUP($C174,TabAlgSqu,2,FALSE)*Pesi!$H$11+Pesi!$H$12*VLOOKUP($C174,TabAlgFC,2,FALSE)+VLOOKUP($C174,TabAlgAll,2,FALSE)*Pesi!$H$13</f>
        <v>52.982399999999991</v>
      </c>
      <c r="N174" s="155">
        <f>IF(ISNA(MATCH($B174,Pesi!$B$31:$B$34,0)),VLOOKUP(Pesi!$B$33,TabAlgDif,13,FALSE)-((VLOOKUP(Pesi!$B$33,TabAlgDif,12,FALSE)-$M174)/(VLOOKUP(Pesi!$B$33,TabAlgDif,12,FALSE)-Pesi!$F$43))*VLOOKUP(Pesi!$B$33,TabAlgDif,13,FALSE),$K174*$M174/$J174)</f>
        <v>-17.578662731347123</v>
      </c>
      <c r="O174" s="155">
        <f t="shared" si="16"/>
        <v>1</v>
      </c>
      <c r="P174">
        <f t="shared" si="17"/>
        <v>34</v>
      </c>
      <c r="Q174" t="e">
        <f>VLOOKUP(B174,'C.P.'!$A$2:$B$164,2,FALSE)</f>
        <v>#N/A</v>
      </c>
      <c r="R174" t="e">
        <f>VLOOKUP(B174,'C.P.'!$C$2:$D$164,2,FALSE)</f>
        <v>#N/A</v>
      </c>
      <c r="S174" t="e">
        <f>VLOOKUP(B174,'C.P.'!$E$2:$F$164,2,FALSE)</f>
        <v>#N/A</v>
      </c>
      <c r="T174" t="e">
        <f>VLOOKUP(B174,'C.P.'!$G$2:$H$164,2,FALSE)</f>
        <v>#N/A</v>
      </c>
    </row>
    <row r="175" spans="1:21">
      <c r="B175" s="205" t="s">
        <v>1721</v>
      </c>
      <c r="C175" s="206" t="str">
        <f>VLOOKUP(B175,'IA FG'!$B$2:$G$600,6,FALSE)</f>
        <v>SPA</v>
      </c>
      <c r="D175" s="207">
        <v>8</v>
      </c>
      <c r="E175" s="207">
        <v>6</v>
      </c>
      <c r="F175" s="207">
        <v>5</v>
      </c>
      <c r="G175" s="207">
        <v>3</v>
      </c>
      <c r="H175" s="207">
        <v>7</v>
      </c>
      <c r="I175" s="207">
        <v>4</v>
      </c>
      <c r="J175" s="159">
        <f>$D175*Pesi!$F$5+Pesi!$F$6*$E175+$F175*Pesi!$F$7+Pesi!$F$8*$G175+$H175*Pesi!$F$9+Pesi!$F$10*$I175+VLOOKUP($C175,TabAlgSqu,2,FALSE)*Pesi!$F$11+Pesi!$F$12*VLOOKUP($C175,TabAlgFC,2,FALSE)+VLOOKUP($C175,TabAlgAll,2,FALSE)*Pesi!$F$13</f>
        <v>48.543699999999994</v>
      </c>
      <c r="K175" s="155">
        <f>IF(ISNA(MATCH($B175,Pesi!$B$31:$B$34,0)),VLOOKUP(Pesi!$B$33,TabAlgDif,10,FALSE)-((VLOOKUP(Pesi!$B$33,TabAlgDif,9,FALSE)-$J175)/(VLOOKUP(Pesi!$B$33,TabAlgDif,9,FALSE)-Pesi!$D$43))*VLOOKUP(Pesi!$B$33,TabAlgDif,10,FALSE),Pesi!$F$33*Pesi!$C$28)</f>
        <v>-17.916294864168172</v>
      </c>
      <c r="L175" s="155">
        <f t="shared" si="15"/>
        <v>1</v>
      </c>
      <c r="M175" s="160">
        <f>$D175*Pesi!$H$5+Pesi!$H$6*$E175+$F175*Pesi!$H$7+Pesi!$H$8*$G175+$H175*Pesi!$H$9+Pesi!$H$10*$I175+VLOOKUP($C175,TabAlgSqu,2,FALSE)*Pesi!$H$11+Pesi!$H$12*VLOOKUP($C175,TabAlgFC,2,FALSE)+VLOOKUP($C175,TabAlgAll,2,FALSE)*Pesi!$H$13</f>
        <v>51.293700000000001</v>
      </c>
      <c r="N175" s="155">
        <f>IF(ISNA(MATCH($B175,Pesi!$B$31:$B$34,0)),VLOOKUP(Pesi!$B$33,TabAlgDif,13,FALSE)-((VLOOKUP(Pesi!$B$33,TabAlgDif,12,FALSE)-$M175)/(VLOOKUP(Pesi!$B$33,TabAlgDif,12,FALSE)-Pesi!$F$43))*VLOOKUP(Pesi!$B$33,TabAlgDif,13,FALSE),$K175*$M175/$J175)</f>
        <v>-19.696363889493</v>
      </c>
      <c r="O175" s="155">
        <f t="shared" si="16"/>
        <v>1</v>
      </c>
      <c r="P175">
        <f t="shared" si="17"/>
        <v>33</v>
      </c>
      <c r="Q175" t="e">
        <f>VLOOKUP(B175,'C.P.'!$A$2:$B$164,2,FALSE)</f>
        <v>#N/A</v>
      </c>
      <c r="R175" t="e">
        <f>VLOOKUP(B175,'C.P.'!$C$2:$D$164,2,FALSE)</f>
        <v>#N/A</v>
      </c>
      <c r="S175" t="e">
        <f>VLOOKUP(B175,'C.P.'!$E$2:$F$164,2,FALSE)</f>
        <v>#N/A</v>
      </c>
      <c r="T175" t="e">
        <f>VLOOKUP(B175,'C.P.'!$G$2:$H$164,2,FALSE)</f>
        <v>#N/A</v>
      </c>
    </row>
    <row r="176" spans="1:21">
      <c r="B176" s="205" t="s">
        <v>1305</v>
      </c>
      <c r="C176" s="206" t="str">
        <f>VLOOKUP(B176,'IA FG'!$B$2:$G$600,6,FALSE)</f>
        <v>SAM</v>
      </c>
      <c r="D176" s="207">
        <v>7</v>
      </c>
      <c r="E176" s="207">
        <v>4</v>
      </c>
      <c r="F176" s="207">
        <v>3</v>
      </c>
      <c r="G176" s="207">
        <v>4</v>
      </c>
      <c r="H176" s="207">
        <v>5</v>
      </c>
      <c r="I176" s="207">
        <v>3</v>
      </c>
      <c r="J176" s="159">
        <f>$D176*Pesi!$F$5+Pesi!$F$6*$E176+$F176*Pesi!$F$7+Pesi!$F$8*$G176+$H176*Pesi!$F$9+Pesi!$F$10*$I176+VLOOKUP($C176,TabAlgSqu,2,FALSE)*Pesi!$F$11+Pesi!$F$12*VLOOKUP($C176,TabAlgFC,2,FALSE)+VLOOKUP($C176,TabAlgAll,2,FALSE)*Pesi!$F$13</f>
        <v>47.850999999999999</v>
      </c>
      <c r="K176" s="155">
        <f>IF(ISNA(MATCH($B176,Pesi!$B$31:$B$34,0)),VLOOKUP(Pesi!$B$33,TabAlgDif,10,FALSE)-((VLOOKUP(Pesi!$B$33,TabAlgDif,9,FALSE)-$J176)/(VLOOKUP(Pesi!$B$33,TabAlgDif,9,FALSE)-Pesi!$C$43))*VLOOKUP(Pesi!$B$33,TabAlgDif,10,FALSE),Pesi!$F$33*Pesi!$C$28)</f>
        <v>-19.216912114490043</v>
      </c>
      <c r="L176" s="155">
        <f t="shared" si="15"/>
        <v>1</v>
      </c>
      <c r="M176" s="160">
        <f>$D176*Pesi!$H$5+Pesi!$H$6*$E176+$F176*Pesi!$H$7+Pesi!$H$8*$G176+$H176*Pesi!$H$9+Pesi!$H$10*$I176+VLOOKUP($C176,TabAlgSqu,2,FALSE)*Pesi!$H$11+Pesi!$H$12*VLOOKUP($C176,TabAlgFC,2,FALSE)+VLOOKUP($C176,TabAlgAll,2,FALSE)*Pesi!$H$13</f>
        <v>49.500999999999991</v>
      </c>
      <c r="N176" s="155">
        <f>IF(ISNA(MATCH($B176,Pesi!$B$31:$B$34,0)),VLOOKUP(Pesi!$B$33,TabAlgDif,13,FALSE)-((VLOOKUP(Pesi!$B$33,TabAlgDif,12,FALSE)-$M176)/(VLOOKUP(Pesi!$B$33,TabAlgDif,12,FALSE)-Pesi!$F$43))*VLOOKUP(Pesi!$B$33,TabAlgDif,13,FALSE),$K176*$M176/$J176)</f>
        <v>-21.944485442289924</v>
      </c>
      <c r="O176" s="155">
        <f t="shared" si="16"/>
        <v>1</v>
      </c>
      <c r="P176">
        <f t="shared" si="17"/>
        <v>26</v>
      </c>
      <c r="Q176">
        <f>VLOOKUP(B176,'C.P.'!$A$2:$B$164,2,FALSE)</f>
        <v>-1</v>
      </c>
      <c r="R176" t="e">
        <f>VLOOKUP(B176,'C.P.'!$C$2:$D$164,2,FALSE)</f>
        <v>#N/A</v>
      </c>
      <c r="S176" t="e">
        <f>VLOOKUP(B176,'C.P.'!$E$2:$F$164,2,FALSE)</f>
        <v>#N/A</v>
      </c>
      <c r="T176" t="e">
        <f>VLOOKUP(B176,'C.P.'!$G$2:$H$164,2,FALSE)</f>
        <v>#N/A</v>
      </c>
    </row>
    <row r="177" spans="1:21" ht="12.75" customHeight="1">
      <c r="A177">
        <f ca="1">COUNTIF('I.A. + Fasce'!B$1:'I.A. + Fasce'!B$538,B174)</f>
        <v>1</v>
      </c>
      <c r="B177" s="205" t="s">
        <v>1711</v>
      </c>
      <c r="C177" s="206" t="str">
        <f>VLOOKUP(B177,'IA FG'!$B$2:$G$600,6,FALSE)</f>
        <v>BEN</v>
      </c>
      <c r="D177" s="207">
        <v>7</v>
      </c>
      <c r="E177" s="207">
        <v>4</v>
      </c>
      <c r="F177" s="207">
        <v>6</v>
      </c>
      <c r="G177" s="207">
        <v>5</v>
      </c>
      <c r="H177" s="207">
        <v>6</v>
      </c>
      <c r="I177" s="207">
        <v>4</v>
      </c>
      <c r="J177" s="159">
        <f>$D177*Pesi!$F$5+Pesi!$F$6*$E177+$F177*Pesi!$F$7+Pesi!$F$8*$G177+$H177*Pesi!$F$9+Pesi!$F$10*$I177+VLOOKUP($C177,TabAlgSqu,2,FALSE)*Pesi!$F$11+Pesi!$F$12*VLOOKUP($C177,TabAlgFC,2,FALSE)+VLOOKUP($C177,TabAlgAll,2,FALSE)*Pesi!$F$13</f>
        <v>47.099099999999993</v>
      </c>
      <c r="K177" s="155">
        <f>IF(ISNA(MATCH($B177,Pesi!$B$31:$B$34,0)),VLOOKUP(Pesi!$B$33,TabAlgDif,10,FALSE)-((VLOOKUP(Pesi!$B$33,TabAlgDif,9,FALSE)-$J177)/(VLOOKUP(Pesi!$B$33,TabAlgDif,9,FALSE)-Pesi!$C$43))*VLOOKUP(Pesi!$B$33,TabAlgDif,10,FALSE),Pesi!$F$33*Pesi!$C$28)</f>
        <v>-20.158184904583337</v>
      </c>
      <c r="L177" s="155">
        <f t="shared" si="15"/>
        <v>1</v>
      </c>
      <c r="M177" s="160">
        <f>$D177*Pesi!$H$5+Pesi!$H$6*$E177+$F177*Pesi!$H$7+Pesi!$H$8*$G177+$H177*Pesi!$H$9+Pesi!$H$10*$I177+VLOOKUP($C177,TabAlgSqu,2,FALSE)*Pesi!$H$11+Pesi!$H$12*VLOOKUP($C177,TabAlgFC,2,FALSE)+VLOOKUP($C177,TabAlgAll,2,FALSE)*Pesi!$H$13</f>
        <v>50.399099999999997</v>
      </c>
      <c r="N177" s="155">
        <f>IF(ISNA(MATCH($B177,Pesi!$B$31:$B$34,0)),VLOOKUP(Pesi!$B$33,TabAlgDif,13,FALSE)-((VLOOKUP(Pesi!$B$33,TabAlgDif,12,FALSE)-$M177)/(VLOOKUP(Pesi!$B$33,TabAlgDif,12,FALSE)-Pesi!$F$43))*VLOOKUP(Pesi!$B$33,TabAlgDif,13,FALSE),$K177*$M177/$J177)</f>
        <v>-20.818230091943008</v>
      </c>
      <c r="O177" s="155">
        <f t="shared" si="16"/>
        <v>1</v>
      </c>
      <c r="P177">
        <f t="shared" si="17"/>
        <v>32</v>
      </c>
      <c r="Q177" t="e">
        <f>VLOOKUP(B177,'C.P.'!$A$2:$B$164,2,FALSE)</f>
        <v>#N/A</v>
      </c>
      <c r="R177" t="e">
        <f>VLOOKUP(B177,'C.P.'!$C$2:$D$164,2,FALSE)</f>
        <v>#N/A</v>
      </c>
      <c r="S177" t="e">
        <f>VLOOKUP(B177,'C.P.'!$E$2:$F$164,2,FALSE)</f>
        <v>#N/A</v>
      </c>
      <c r="T177" t="e">
        <f>VLOOKUP(B177,'C.P.'!$G$2:$H$164,2,FALSE)</f>
        <v>#N/A</v>
      </c>
    </row>
    <row r="178" spans="1:21">
      <c r="B178" s="205" t="s">
        <v>891</v>
      </c>
      <c r="C178" s="206" t="str">
        <f>VLOOKUP(B178,'IA FG'!$B$2:$G$600,6,FALSE)</f>
        <v>CHI</v>
      </c>
      <c r="D178" s="207">
        <v>5</v>
      </c>
      <c r="E178" s="207">
        <v>2</v>
      </c>
      <c r="F178" s="207">
        <v>5</v>
      </c>
      <c r="G178" s="207">
        <v>2</v>
      </c>
      <c r="H178" s="207">
        <v>6</v>
      </c>
      <c r="I178" s="207">
        <v>3</v>
      </c>
      <c r="J178" s="159">
        <f>$D178*Pesi!$F$5+Pesi!$F$6*$E178+$F178*Pesi!$F$7+Pesi!$F$8*$G178+$H178*Pesi!$F$9+Pesi!$F$10*$I178+VLOOKUP($C178,TabAlgSqu,2,FALSE)*Pesi!$F$11+Pesi!$F$12*VLOOKUP($C178,TabAlgFC,2,FALSE)+VLOOKUP($C178,TabAlgAll,2,FALSE)*Pesi!$F$13</f>
        <v>46.534199999999998</v>
      </c>
      <c r="K178" s="155">
        <f>IF(ISNA(MATCH($B178,Pesi!$B$31:$B$34,0)),VLOOKUP(Pesi!$B$33,TabAlgDif,10,FALSE)-((VLOOKUP(Pesi!$B$33,TabAlgDif,9,FALSE)-$J178)/(VLOOKUP(Pesi!$B$33,TabAlgDif,9,FALSE)-Pesi!$D$43))*VLOOKUP(Pesi!$B$33,TabAlgDif,10,FALSE),Pesi!$F$33*Pesi!$C$28)</f>
        <v>-20.406751933373016</v>
      </c>
      <c r="L178" s="155">
        <f t="shared" si="15"/>
        <v>1</v>
      </c>
      <c r="M178" s="160">
        <f>$D178*Pesi!$H$5+Pesi!$H$6*$E178+$F178*Pesi!$H$7+Pesi!$H$8*$G178+$H178*Pesi!$H$9+Pesi!$H$10*$I178+VLOOKUP($C178,TabAlgSqu,2,FALSE)*Pesi!$H$11+Pesi!$H$12*VLOOKUP($C178,TabAlgFC,2,FALSE)+VLOOKUP($C178,TabAlgAll,2,FALSE)*Pesi!$H$13</f>
        <v>49.284199999999998</v>
      </c>
      <c r="N178" s="155">
        <f>IF(ISNA(MATCH($B178,Pesi!$B$31:$B$34,0)),VLOOKUP(Pesi!$B$33,TabAlgDif,13,FALSE)-((VLOOKUP(Pesi!$B$33,TabAlgDif,12,FALSE)-$M178)/(VLOOKUP(Pesi!$B$33,TabAlgDif,12,FALSE)-Pesi!$F$43))*VLOOKUP(Pesi!$B$33,TabAlgDif,13,FALSE),$K178*$M178/$J178)</f>
        <v>-22.216361803447029</v>
      </c>
      <c r="O178" s="155">
        <f t="shared" si="16"/>
        <v>1</v>
      </c>
      <c r="P178">
        <f t="shared" si="17"/>
        <v>23</v>
      </c>
      <c r="Q178" t="e">
        <f>VLOOKUP(B178,'C.P.'!$A$2:$B$164,2,FALSE)</f>
        <v>#N/A</v>
      </c>
      <c r="R178" t="e">
        <f>VLOOKUP(B178,'C.P.'!$C$2:$D$164,2,FALSE)</f>
        <v>#N/A</v>
      </c>
      <c r="S178" t="e">
        <f>VLOOKUP(B178,'C.P.'!$E$2:$F$164,2,FALSE)</f>
        <v>#N/A</v>
      </c>
      <c r="T178" t="e">
        <f>VLOOKUP(B178,'C.P.'!$G$2:$H$164,2,FALSE)</f>
        <v>#N/A</v>
      </c>
    </row>
    <row r="179" spans="1:21" ht="15" customHeight="1">
      <c r="A179">
        <f ca="1">COUNTIF('I.A. + Fasce'!B$1:'I.A. + Fasce'!B$538,B171)</f>
        <v>1</v>
      </c>
      <c r="B179" s="205" t="s">
        <v>589</v>
      </c>
      <c r="C179" s="206" t="str">
        <f>VLOOKUP(B179,'IA FG'!$B$2:$G$600,6,FALSE)</f>
        <v>SPA</v>
      </c>
      <c r="D179" s="207">
        <v>7</v>
      </c>
      <c r="E179" s="207">
        <v>5</v>
      </c>
      <c r="F179" s="207">
        <v>5</v>
      </c>
      <c r="G179" s="207">
        <v>4</v>
      </c>
      <c r="H179" s="207">
        <v>5</v>
      </c>
      <c r="I179" s="207">
        <v>4</v>
      </c>
      <c r="J179" s="159">
        <f>$D179*Pesi!$F$5+Pesi!$F$6*$E179+$F179*Pesi!$F$7+Pesi!$F$8*$G179+$H179*Pesi!$F$9+Pesi!$F$10*$I179+VLOOKUP($C179,TabAlgSqu,2,FALSE)*Pesi!$F$11+Pesi!$F$12*VLOOKUP($C179,TabAlgFC,2,FALSE)+VLOOKUP($C179,TabAlgAll,2,FALSE)*Pesi!$F$13</f>
        <v>44.456299999999999</v>
      </c>
      <c r="K179" s="155">
        <f>IF(ISNA(MATCH($B179,Pesi!$B$31:$B$34,0)),VLOOKUP(Pesi!$B$33,TabAlgDif,10,FALSE)-((VLOOKUP(Pesi!$B$33,TabAlgDif,9,FALSE)-$J179)/(VLOOKUP(Pesi!$B$33,TabAlgDif,9,FALSE)-Pesi!$C$43))*VLOOKUP(Pesi!$B$33,TabAlgDif,10,FALSE),Pesi!$F$33*Pesi!$C$28)</f>
        <v>-23.46659789787838</v>
      </c>
      <c r="L179" s="155">
        <f t="shared" si="15"/>
        <v>1</v>
      </c>
      <c r="M179" s="160">
        <f>$D179*Pesi!$H$5+Pesi!$H$6*$E179+$F179*Pesi!$H$7+Pesi!$H$8*$G179+$H179*Pesi!$H$9+Pesi!$H$10*$I179+VLOOKUP($C179,TabAlgSqu,2,FALSE)*Pesi!$H$11+Pesi!$H$12*VLOOKUP($C179,TabAlgFC,2,FALSE)+VLOOKUP($C179,TabAlgAll,2,FALSE)*Pesi!$H$13</f>
        <v>47.206299999999999</v>
      </c>
      <c r="N179" s="155">
        <f>IF(ISNA(MATCH($B179,Pesi!$B$31:$B$34,0)),VLOOKUP(Pesi!$B$33,TabAlgDif,13,FALSE)-((VLOOKUP(Pesi!$B$33,TabAlgDif,12,FALSE)-$M179)/(VLOOKUP(Pesi!$B$33,TabAlgDif,12,FALSE)-Pesi!$F$43))*VLOOKUP(Pesi!$B$33,TabAlgDif,13,FALSE),$K179*$M179/$J179)</f>
        <v>-24.82213620772923</v>
      </c>
      <c r="O179" s="155">
        <f t="shared" si="16"/>
        <v>1</v>
      </c>
      <c r="P179">
        <f t="shared" si="17"/>
        <v>30</v>
      </c>
      <c r="Q179" t="e">
        <f>VLOOKUP(B179,'C.P.'!$A$2:$B$164,2,FALSE)</f>
        <v>#N/A</v>
      </c>
      <c r="R179" t="e">
        <f>VLOOKUP(B179,'C.P.'!$C$2:$D$164,2,FALSE)</f>
        <v>#N/A</v>
      </c>
      <c r="S179" t="e">
        <f>VLOOKUP(B179,'C.P.'!$E$2:$F$164,2,FALSE)</f>
        <v>#N/A</v>
      </c>
      <c r="T179" t="e">
        <f>VLOOKUP(B179,'C.P.'!$G$2:$H$164,2,FALSE)</f>
        <v>#N/A</v>
      </c>
    </row>
    <row r="180" spans="1:21" ht="15" customHeight="1">
      <c r="A180">
        <f ca="1">COUNTIF('I.A. + Fasce'!B$1:'I.A. + Fasce'!B$538,B171)</f>
        <v>1</v>
      </c>
      <c r="B180" s="205" t="s">
        <v>547</v>
      </c>
      <c r="C180" s="206" t="str">
        <f>VLOOKUP(B180,'IA FG'!$B$2:$G$600,6,FALSE)</f>
        <v>SPA</v>
      </c>
      <c r="D180" s="207">
        <v>4</v>
      </c>
      <c r="E180" s="207">
        <v>5</v>
      </c>
      <c r="F180" s="207">
        <v>6</v>
      </c>
      <c r="G180" s="207">
        <v>5</v>
      </c>
      <c r="H180" s="207">
        <v>6</v>
      </c>
      <c r="I180" s="207">
        <v>4</v>
      </c>
      <c r="J180" s="159">
        <f>$D180*Pesi!$F$5+Pesi!$F$6*$E180+$F180*Pesi!$F$7+Pesi!$F$8*$G180+$H180*Pesi!$F$9+Pesi!$F$10*$I180+VLOOKUP($C180,TabAlgSqu,2,FALSE)*Pesi!$F$11+Pesi!$F$12*VLOOKUP($C180,TabAlgFC,2,FALSE)+VLOOKUP($C180,TabAlgAll,2,FALSE)*Pesi!$F$13</f>
        <v>44.452199999999998</v>
      </c>
      <c r="K180" s="155">
        <f>IF(ISNA(MATCH($B180,Pesi!$B$31:$B$34,0)),VLOOKUP(Pesi!$B$33,TabAlgDif,10,FALSE)-((VLOOKUP(Pesi!$B$33,TabAlgDif,9,FALSE)-$J180)/(VLOOKUP(Pesi!$B$33,TabAlgDif,9,FALSE)-Pesi!$D$43))*VLOOKUP(Pesi!$B$33,TabAlgDif,10,FALSE),Pesi!$F$33*Pesi!$C$28)</f>
        <v>-22.987061273051779</v>
      </c>
      <c r="L180" s="155">
        <f t="shared" si="15"/>
        <v>1</v>
      </c>
      <c r="M180" s="160">
        <f>$D180*Pesi!$H$5+Pesi!$H$6*$E180+$F180*Pesi!$H$7+Pesi!$H$8*$G180+$H180*Pesi!$H$9+Pesi!$H$10*$I180+VLOOKUP($C180,TabAlgSqu,2,FALSE)*Pesi!$H$11+Pesi!$H$12*VLOOKUP($C180,TabAlgFC,2,FALSE)+VLOOKUP($C180,TabAlgAll,2,FALSE)*Pesi!$H$13</f>
        <v>47.752199999999995</v>
      </c>
      <c r="N180" s="155">
        <f>IF(ISNA(MATCH($B180,Pesi!$B$31:$B$34,0)),VLOOKUP(Pesi!$B$33,TabAlgDif,13,FALSE)-((VLOOKUP(Pesi!$B$33,TabAlgDif,12,FALSE)-$M180)/(VLOOKUP(Pesi!$B$33,TabAlgDif,12,FALSE)-Pesi!$F$43))*VLOOKUP(Pesi!$B$33,TabAlgDif,13,FALSE),$K180*$M180/$J180)</f>
        <v>-24.137554540037023</v>
      </c>
      <c r="O180" s="155">
        <f t="shared" si="16"/>
        <v>1</v>
      </c>
      <c r="P180">
        <f t="shared" si="17"/>
        <v>30</v>
      </c>
      <c r="Q180" t="e">
        <f>VLOOKUP(B180,'C.P.'!$A$2:$B$164,2,FALSE)</f>
        <v>#N/A</v>
      </c>
      <c r="R180" t="e">
        <f>VLOOKUP(C180,'C.P.'!$C$2:$C$164,2,FALSE)</f>
        <v>#N/A</v>
      </c>
      <c r="S180" t="e">
        <f>VLOOKUP(D180,'C.P.'!$E$2:$F$164,2,FALSE)</f>
        <v>#N/A</v>
      </c>
      <c r="T180" t="e">
        <f>VLOOKUP(E180,'C.P.'!$G$2:$H$164,2,FALSE)</f>
        <v>#N/A</v>
      </c>
    </row>
    <row r="181" spans="1:21" ht="15" customHeight="1">
      <c r="A181">
        <f ca="1">COUNTIF('I.A. + Fasce'!B$1:'I.A. + Fasce'!B$538,#REF!)</f>
        <v>0</v>
      </c>
      <c r="B181" s="205" t="s">
        <v>1728</v>
      </c>
      <c r="C181" s="206" t="str">
        <f>VLOOKUP(B181,'IA FG'!$B$2:$G$600,6,FALSE)</f>
        <v>SPA</v>
      </c>
      <c r="D181" s="207">
        <v>6</v>
      </c>
      <c r="E181" s="207">
        <v>5</v>
      </c>
      <c r="F181" s="207">
        <v>5</v>
      </c>
      <c r="G181" s="207">
        <v>4</v>
      </c>
      <c r="H181" s="207">
        <v>6</v>
      </c>
      <c r="I181" s="207">
        <v>3</v>
      </c>
      <c r="J181" s="159">
        <f>$D181*Pesi!$F$5+Pesi!$F$6*$E181+$F181*Pesi!$F$7+Pesi!$F$8*$G181+$H181*Pesi!$F$9+Pesi!$F$10*$I181+VLOOKUP($C181,TabAlgSqu,2,FALSE)*Pesi!$F$11+Pesi!$F$12*VLOOKUP($C181,TabAlgFC,2,FALSE)+VLOOKUP($C181,TabAlgAll,2,FALSE)*Pesi!$F$13</f>
        <v>43.122999999999998</v>
      </c>
      <c r="K181" s="155">
        <f>IF(ISNA(MATCH($B181,Pesi!$B$31:$B$34,0)),VLOOKUP(Pesi!$B$33,TabAlgDif,10,FALSE)-((VLOOKUP(Pesi!$B$33,TabAlgDif,9,FALSE)-$J181)/(VLOOKUP(Pesi!$B$33,TabAlgDif,9,FALSE)-Pesi!$C$43))*VLOOKUP(Pesi!$B$33,TabAlgDif,10,FALSE),Pesi!$F$33*Pesi!$C$28)</f>
        <v>-25.135701516752405</v>
      </c>
      <c r="L181" s="155">
        <f t="shared" si="15"/>
        <v>1</v>
      </c>
      <c r="M181" s="160">
        <f>$D181*Pesi!$H$5+Pesi!$H$6*$E181+$F181*Pesi!$H$7+Pesi!$H$8*$G181+$H181*Pesi!$H$9+Pesi!$H$10*$I181+VLOOKUP($C181,TabAlgSqu,2,FALSE)*Pesi!$H$11+Pesi!$H$12*VLOOKUP($C181,TabAlgFC,2,FALSE)+VLOOKUP($C181,TabAlgAll,2,FALSE)*Pesi!$H$13</f>
        <v>45.872999999999998</v>
      </c>
      <c r="N181" s="155">
        <f>IF(ISNA(MATCH($B181,Pesi!$B$31:$B$34,0)),VLOOKUP(Pesi!$B$33,TabAlgDif,13,FALSE)-((VLOOKUP(Pesi!$B$33,TabAlgDif,12,FALSE)-$M181)/(VLOOKUP(Pesi!$B$33,TabAlgDif,12,FALSE)-Pesi!$F$43))*VLOOKUP(Pesi!$B$33,TabAlgDif,13,FALSE),$K181*$M181/$J181)</f>
        <v>-26.494150748000393</v>
      </c>
      <c r="O181" s="155">
        <f t="shared" si="16"/>
        <v>1</v>
      </c>
      <c r="P181">
        <f t="shared" si="17"/>
        <v>29</v>
      </c>
      <c r="Q181" t="e">
        <f>VLOOKUP(B181,'C.P.'!$A$2:$B$164,2,FALSE)</f>
        <v>#N/A</v>
      </c>
      <c r="R181" t="e">
        <f>VLOOKUP(B181,'C.P.'!$C$2:$D$164,2,FALSE)</f>
        <v>#N/A</v>
      </c>
      <c r="S181" t="e">
        <f>VLOOKUP(B181,'C.P.'!$E$2:$F$164,2,FALSE)</f>
        <v>#N/A</v>
      </c>
      <c r="T181" t="e">
        <f>VLOOKUP(B181,'C.P.'!$G$2:$H$164,2,FALSE)</f>
        <v>#N/A</v>
      </c>
      <c r="U181" s="420"/>
    </row>
    <row r="182" spans="1:21" ht="15" customHeight="1">
      <c r="A182">
        <f ca="1">COUNTIF('I.A. + Fasce'!B$1:'I.A. + Fasce'!B$538,B177)</f>
        <v>1</v>
      </c>
      <c r="B182" s="205" t="s">
        <v>1731</v>
      </c>
      <c r="C182" s="206" t="str">
        <f>VLOOKUP(B182,'IA FG'!$B$2:$G$600,6,FALSE)</f>
        <v>SPA</v>
      </c>
      <c r="D182" s="207">
        <v>7</v>
      </c>
      <c r="E182" s="207">
        <v>5</v>
      </c>
      <c r="F182" s="207">
        <v>5</v>
      </c>
      <c r="G182" s="207">
        <v>3</v>
      </c>
      <c r="H182" s="207">
        <v>4</v>
      </c>
      <c r="I182" s="207">
        <v>4</v>
      </c>
      <c r="J182" s="159">
        <f>$D182*Pesi!$F$5+Pesi!$F$6*$E182+$F182*Pesi!$F$7+Pesi!$F$8*$G182+$H182*Pesi!$F$9+Pesi!$F$10*$I182+VLOOKUP($C182,TabAlgSqu,2,FALSE)*Pesi!$F$11+Pesi!$F$12*VLOOKUP($C182,TabAlgFC,2,FALSE)+VLOOKUP($C182,TabAlgAll,2,FALSE)*Pesi!$F$13</f>
        <v>41.872999999999998</v>
      </c>
      <c r="K182" s="155">
        <f>IF(ISNA(MATCH($B182,Pesi!$B$31:$B$34,0)),VLOOKUP(Pesi!$B$33,TabAlgDif,10,FALSE)-((VLOOKUP(Pesi!$B$33,TabAlgDif,9,FALSE)-$J182)/(VLOOKUP(Pesi!$B$33,TabAlgDif,9,FALSE)-Pesi!$D$43))*VLOOKUP(Pesi!$B$33,TabAlgDif,10,FALSE),Pesi!$F$33*Pesi!$C$28)</f>
        <v>-26.183571286932406</v>
      </c>
      <c r="L182" s="155">
        <f t="shared" si="15"/>
        <v>1</v>
      </c>
      <c r="M182" s="160">
        <f>$D182*Pesi!$H$5+Pesi!$H$6*$E182+$F182*Pesi!$H$7+Pesi!$H$8*$G182+$H182*Pesi!$H$9+Pesi!$H$10*$I182+VLOOKUP($C182,TabAlgSqu,2,FALSE)*Pesi!$H$11+Pesi!$H$12*VLOOKUP($C182,TabAlgFC,2,FALSE)+VLOOKUP($C182,TabAlgAll,2,FALSE)*Pesi!$H$13</f>
        <v>44.622999999999998</v>
      </c>
      <c r="N182" s="155">
        <f>IF(ISNA(MATCH($B182,Pesi!$B$31:$B$34,0)),VLOOKUP(Pesi!$B$33,TabAlgDif,13,FALSE)-((VLOOKUP(Pesi!$B$33,TabAlgDif,12,FALSE)-$M182)/(VLOOKUP(Pesi!$B$33,TabAlgDif,12,FALSE)-Pesi!$F$43))*VLOOKUP(Pesi!$B$33,TabAlgDif,13,FALSE),$K182*$M182/$J182)</f>
        <v>-28.061703568325129</v>
      </c>
      <c r="O182" s="155">
        <f t="shared" si="16"/>
        <v>1</v>
      </c>
      <c r="P182">
        <f t="shared" si="17"/>
        <v>28</v>
      </c>
      <c r="Q182">
        <f>VLOOKUP(B182,'C.P.'!$A$2:$B$164,2,FALSE)</f>
        <v>-1</v>
      </c>
      <c r="R182" t="e">
        <f>VLOOKUP(C182,'C.P.'!$C$2:$C$164,2,FALSE)</f>
        <v>#N/A</v>
      </c>
      <c r="S182" t="e">
        <f>VLOOKUP(D182,'C.P.'!$E$2:$F$164,2,FALSE)</f>
        <v>#N/A</v>
      </c>
      <c r="T182" t="e">
        <f>VLOOKUP(E182,'C.P.'!$G$2:$H$164,2,FALSE)</f>
        <v>#N/A</v>
      </c>
    </row>
    <row r="183" spans="1:21" ht="15" customHeight="1">
      <c r="B183" s="205" t="s">
        <v>1831</v>
      </c>
      <c r="C183" s="206" t="str">
        <f>VLOOKUP(B183,'IA FG'!$B$2:$G$600,6,FALSE)</f>
        <v>SPA</v>
      </c>
      <c r="D183" s="207">
        <v>7</v>
      </c>
      <c r="E183" s="207">
        <v>4</v>
      </c>
      <c r="F183" s="207">
        <v>5</v>
      </c>
      <c r="G183" s="207">
        <v>2</v>
      </c>
      <c r="H183" s="207">
        <v>4</v>
      </c>
      <c r="I183" s="207">
        <v>2</v>
      </c>
      <c r="J183" s="159">
        <f>$D183*Pesi!$F$5+Pesi!$F$6*$E183+$F183*Pesi!$F$7+Pesi!$F$8*$G183+$H183*Pesi!$F$9+Pesi!$F$10*$I183+VLOOKUP($C183,TabAlgSqu,2,FALSE)*Pesi!$F$11+Pesi!$F$12*VLOOKUP($C183,TabAlgFC,2,FALSE)+VLOOKUP($C183,TabAlgAll,2,FALSE)*Pesi!$F$13</f>
        <v>36.618900000000004</v>
      </c>
      <c r="K183" s="155">
        <f>IF(ISNA(MATCH($B183,Pesi!$B$31:$B$34,0)),VLOOKUP(Pesi!$B$33,TabAlgDif,10,FALSE)-((VLOOKUP(Pesi!$B$33,TabAlgDif,9,FALSE)-$J183)/(VLOOKUP(Pesi!$B$33,TabAlgDif,9,FALSE)-Pesi!$C$43))*VLOOKUP(Pesi!$B$33,TabAlgDif,10,FALSE),Pesi!$F$33*Pesi!$C$28)</f>
        <v>-33.277917707796114</v>
      </c>
      <c r="L183" s="155">
        <f t="shared" si="15"/>
        <v>1</v>
      </c>
      <c r="M183" s="160">
        <f>$D183*Pesi!$H$5+Pesi!$H$6*$E183+$F183*Pesi!$H$7+Pesi!$H$8*$G183+$H183*Pesi!$H$9+Pesi!$H$10*$I183+VLOOKUP($C183,TabAlgSqu,2,FALSE)*Pesi!$H$11+Pesi!$H$12*VLOOKUP($C183,TabAlgFC,2,FALSE)+VLOOKUP($C183,TabAlgAll,2,FALSE)*Pesi!$H$13</f>
        <v>39.368900000000004</v>
      </c>
      <c r="N183" s="155">
        <f>IF(ISNA(MATCH($B183,Pesi!$B$31:$B$34,0)),VLOOKUP(Pesi!$B$33,TabAlgDif,13,FALSE)-((VLOOKUP(Pesi!$B$33,TabAlgDif,12,FALSE)-$M183)/(VLOOKUP(Pesi!$B$33,TabAlgDif,12,FALSE)-Pesi!$F$43))*VLOOKUP(Pesi!$B$33,TabAlgDif,13,FALSE),$K183*$M183/$J183)</f>
        <v>-34.65056698693963</v>
      </c>
      <c r="O183" s="155">
        <f t="shared" si="16"/>
        <v>1</v>
      </c>
      <c r="P183">
        <f t="shared" si="17"/>
        <v>24</v>
      </c>
      <c r="Q183" t="e">
        <f>VLOOKUP(B183,'C.P.'!$A$2:$B$164,2,FALSE)</f>
        <v>#N/A</v>
      </c>
      <c r="R183" t="e">
        <f>VLOOKUP(B183,'C.P.'!$C$2:$D$164,2,FALSE)</f>
        <v>#N/A</v>
      </c>
      <c r="S183" t="e">
        <f>VLOOKUP(B183,'C.P.'!$E$2:$F$164,2,FALSE)</f>
        <v>#N/A</v>
      </c>
      <c r="T183" t="e">
        <f>VLOOKUP(B183,'C.P.'!$G$2:$H$164,2,FALSE)</f>
        <v>#N/A</v>
      </c>
    </row>
    <row r="184" spans="1:21">
      <c r="A184">
        <f ca="1">COUNTIF('I.A. + Fasce'!B$1:'I.A. + Fasce'!B$538,#REF!)</f>
        <v>0</v>
      </c>
      <c r="B184" s="208" t="s">
        <v>1732</v>
      </c>
      <c r="C184" s="206" t="str">
        <f>VLOOKUP(B184,'IA FG'!$B$2:$G$600,6,FALSE)</f>
        <v>SPA</v>
      </c>
      <c r="D184" s="207">
        <v>6</v>
      </c>
      <c r="E184" s="207">
        <v>4</v>
      </c>
      <c r="F184" s="207">
        <v>4</v>
      </c>
      <c r="G184" s="207">
        <v>3</v>
      </c>
      <c r="H184" s="207">
        <v>4</v>
      </c>
      <c r="I184" s="207">
        <v>2</v>
      </c>
      <c r="J184" s="159">
        <f>$D184*Pesi!$F$5+Pesi!$F$6*$E184+$F184*Pesi!$F$7+Pesi!$F$8*$G184+$H184*Pesi!$F$9+Pesi!$F$10*$I184+VLOOKUP($C184,TabAlgSqu,2,FALSE)*Pesi!$F$11+Pesi!$F$12*VLOOKUP($C184,TabAlgFC,2,FALSE)+VLOOKUP($C184,TabAlgAll,2,FALSE)*Pesi!$F$13</f>
        <v>35.123100000000001</v>
      </c>
      <c r="K184" s="155">
        <f>IF(ISNA(MATCH($B184,Pesi!$B$31:$B$34,0)),VLOOKUP(Pesi!$B$33,TabAlgDif,10,FALSE)-((VLOOKUP(Pesi!$B$33,TabAlgDif,9,FALSE)-$J184)/(VLOOKUP(Pesi!$B$33,TabAlgDif,9,FALSE)-Pesi!$D$43))*VLOOKUP(Pesi!$B$33,TabAlgDif,10,FALSE),Pesi!$F$33*Pesi!$C$28)</f>
        <v>-34.549003569304013</v>
      </c>
      <c r="L184" s="155">
        <f t="shared" si="15"/>
        <v>1</v>
      </c>
      <c r="M184" s="160">
        <f>$D184*Pesi!$H$5+Pesi!$H$6*$E184+$F184*Pesi!$H$7+Pesi!$H$8*$G184+$H184*Pesi!$H$9+Pesi!$H$10*$I184+VLOOKUP($C184,TabAlgSqu,2,FALSE)*Pesi!$H$11+Pesi!$H$12*VLOOKUP($C184,TabAlgFC,2,FALSE)+VLOOKUP($C184,TabAlgAll,2,FALSE)*Pesi!$H$13</f>
        <v>37.323099999999997</v>
      </c>
      <c r="N184" s="155">
        <f>IF(ISNA(MATCH($B184,Pesi!$B$31:$B$34,0)),VLOOKUP(Pesi!$B$33,TabAlgDif,13,FALSE)-((VLOOKUP(Pesi!$B$33,TabAlgDif,12,FALSE)-$M184)/(VLOOKUP(Pesi!$B$33,TabAlgDif,12,FALSE)-Pesi!$F$43))*VLOOKUP(Pesi!$B$33,TabAlgDif,13,FALSE),$K184*$M184/$J184)</f>
        <v>-37.2160866347959</v>
      </c>
      <c r="O184" s="155">
        <f t="shared" si="16"/>
        <v>1</v>
      </c>
      <c r="P184">
        <f t="shared" si="17"/>
        <v>23</v>
      </c>
      <c r="Q184" t="e">
        <f>VLOOKUP(B184,'C.P.'!$A$2:$B$164,2,FALSE)</f>
        <v>#N/A</v>
      </c>
      <c r="R184" t="e">
        <f>VLOOKUP(C184,'C.P.'!$C$2:$C$164,2,FALSE)</f>
        <v>#N/A</v>
      </c>
      <c r="S184" t="e">
        <f>VLOOKUP(D184,'C.P.'!$E$2:$F$164,2,FALSE)</f>
        <v>#N/A</v>
      </c>
      <c r="T184" t="e">
        <f>VLOOKUP(E184,'C.P.'!$G$2:$H$164,2,FALSE)</f>
        <v>#N/A</v>
      </c>
    </row>
    <row r="185" spans="1:21">
      <c r="A185">
        <f ca="1">COUNTIF('I.A. + Fasce'!B$1:'I.A. + Fasce'!B$538,B180)</f>
        <v>1</v>
      </c>
      <c r="B185" s="205" t="s">
        <v>1979</v>
      </c>
      <c r="C185" s="206" t="str">
        <f>VLOOKUP(B185,'IA FG'!$B$2:$G$600,6,FALSE)</f>
        <v>SPA</v>
      </c>
      <c r="D185" s="207">
        <v>5</v>
      </c>
      <c r="E185" s="207">
        <v>4</v>
      </c>
      <c r="F185" s="207">
        <v>4</v>
      </c>
      <c r="G185" s="207">
        <v>3</v>
      </c>
      <c r="H185" s="207">
        <v>3</v>
      </c>
      <c r="I185" s="207">
        <v>3</v>
      </c>
      <c r="J185" s="159">
        <f>$D185*Pesi!$F$5+Pesi!$F$6*$E185+$F185*Pesi!$F$7+Pesi!$F$8*$G185+$H185*Pesi!$F$9+Pesi!$F$10*$I185+VLOOKUP($C185,TabAlgSqu,2,FALSE)*Pesi!$F$11+Pesi!$F$12*VLOOKUP($C185,TabAlgFC,2,FALSE)+VLOOKUP($C185,TabAlgAll,2,FALSE)*Pesi!$F$13</f>
        <v>33.7898</v>
      </c>
      <c r="K185" s="155">
        <f>IF(ISNA(MATCH($B185,Pesi!$B$31:$B$34,0)),VLOOKUP(Pesi!$B$33,TabAlgDif,10,FALSE)-((VLOOKUP(Pesi!$B$33,TabAlgDif,9,FALSE)-$J185)/(VLOOKUP(Pesi!$B$33,TabAlgDif,9,FALSE)-Pesi!$D$43))*VLOOKUP(Pesi!$B$33,TabAlgDif,10,FALSE),Pesi!$F$33*Pesi!$C$28)</f>
        <v>-36.201417806861024</v>
      </c>
      <c r="L185" s="155">
        <f t="shared" si="15"/>
        <v>1</v>
      </c>
      <c r="M185" s="160">
        <f>$D185*Pesi!$H$5+Pesi!$H$6*$E185+$F185*Pesi!$H$7+Pesi!$H$8*$G185+$H185*Pesi!$H$9+Pesi!$H$10*$I185+VLOOKUP($C185,TabAlgSqu,2,FALSE)*Pesi!$H$11+Pesi!$H$12*VLOOKUP($C185,TabAlgFC,2,FALSE)+VLOOKUP($C185,TabAlgAll,2,FALSE)*Pesi!$H$13</f>
        <v>35.989800000000002</v>
      </c>
      <c r="N185" s="155">
        <f>IF(ISNA(MATCH($B185,Pesi!$B$31:$B$34,0)),VLOOKUP(Pesi!$B$33,TabAlgDif,13,FALSE)-((VLOOKUP(Pesi!$B$33,TabAlgDif,12,FALSE)-$M185)/(VLOOKUP(Pesi!$B$33,TabAlgDif,12,FALSE)-Pesi!$F$43))*VLOOKUP(Pesi!$B$33,TabAlgDif,13,FALSE),$K185*$M185/$J185)</f>
        <v>-38.888101175067057</v>
      </c>
      <c r="O185" s="155">
        <f t="shared" si="16"/>
        <v>1</v>
      </c>
      <c r="P185">
        <f t="shared" si="17"/>
        <v>22</v>
      </c>
      <c r="Q185" t="e">
        <f>VLOOKUP(B185,'C.P.'!$A$2:$B$164,2,FALSE)</f>
        <v>#N/A</v>
      </c>
      <c r="R185" t="e">
        <f>VLOOKUP(C185,'C.P.'!$C$2:$C$164,2,FALSE)</f>
        <v>#N/A</v>
      </c>
      <c r="S185" t="e">
        <f>VLOOKUP(D185,'C.P.'!$E$2:$F$164,2,FALSE)</f>
        <v>#N/A</v>
      </c>
      <c r="T185" t="e">
        <f>VLOOKUP(E185,'C.P.'!$G$2:$H$164,2,FALSE)</f>
        <v>#N/A</v>
      </c>
    </row>
    <row r="186" spans="1:21">
      <c r="A186">
        <f ca="1">COUNTIF('I.A. + Fasce'!B$1:'I.A. + Fasce'!B$538,B182)</f>
        <v>1</v>
      </c>
      <c r="B186" s="205" t="s">
        <v>1733</v>
      </c>
      <c r="C186" s="206" t="str">
        <f>VLOOKUP(B186,'IA FG'!$B$2:$G$600,6,FALSE)</f>
        <v>SPA</v>
      </c>
      <c r="D186" s="207">
        <v>7</v>
      </c>
      <c r="E186" s="207">
        <v>3</v>
      </c>
      <c r="F186" s="207">
        <v>4</v>
      </c>
      <c r="G186" s="207">
        <v>2</v>
      </c>
      <c r="H186" s="207">
        <v>3</v>
      </c>
      <c r="I186" s="207">
        <v>2</v>
      </c>
      <c r="J186" s="159">
        <f>$D186*Pesi!$F$5+Pesi!$F$6*$E186+$F186*Pesi!$F$7+Pesi!$F$8*$G186+$H186*Pesi!$F$9+Pesi!$F$10*$I186+VLOOKUP($C186,TabAlgSqu,2,FALSE)*Pesi!$F$11+Pesi!$F$12*VLOOKUP($C186,TabAlgFC,2,FALSE)+VLOOKUP($C186,TabAlgAll,2,FALSE)*Pesi!$F$13</f>
        <v>32.535600000000002</v>
      </c>
      <c r="K186" s="155">
        <f>IF(ISNA(MATCH($B186,Pesi!$B$31:$B$34,0)),VLOOKUP(Pesi!$B$33,TabAlgDif,10,FALSE)-((VLOOKUP(Pesi!$B$33,TabAlgDif,9,FALSE)-$J186)/(VLOOKUP(Pesi!$B$33,TabAlgDif,9,FALSE)-Pesi!$D$43))*VLOOKUP(Pesi!$B$33,TabAlgDif,10,FALSE),Pesi!$F$33*Pesi!$C$28)</f>
        <v>-37.755800118976822</v>
      </c>
      <c r="L186" s="155">
        <f t="shared" si="15"/>
        <v>1</v>
      </c>
      <c r="M186" s="160">
        <f>$D186*Pesi!$H$5+Pesi!$H$6*$E186+$F186*Pesi!$H$7+Pesi!$H$8*$G186+$H186*Pesi!$H$9+Pesi!$H$10*$I186+VLOOKUP($C186,TabAlgSqu,2,FALSE)*Pesi!$H$11+Pesi!$H$12*VLOOKUP($C186,TabAlgFC,2,FALSE)+VLOOKUP($C186,TabAlgAll,2,FALSE)*Pesi!$H$13</f>
        <v>34.735599999999998</v>
      </c>
      <c r="N186" s="155">
        <f>IF(ISNA(MATCH($B186,Pesi!$B$31:$B$34,0)),VLOOKUP(Pesi!$B$33,TabAlgDif,13,FALSE)-((VLOOKUP(Pesi!$B$33,TabAlgDif,12,FALSE)-$M186)/(VLOOKUP(Pesi!$B$33,TabAlgDif,12,FALSE)-Pesi!$F$43))*VLOOKUP(Pesi!$B$33,TabAlgDif,13,FALSE),$K186*$M186/$J186)</f>
        <v>-40.460920972868074</v>
      </c>
      <c r="O186" s="155">
        <f t="shared" si="16"/>
        <v>1</v>
      </c>
      <c r="P186">
        <f t="shared" si="17"/>
        <v>21</v>
      </c>
      <c r="Q186" t="e">
        <f>VLOOKUP(B186,'C.P.'!$A$2:$B$164,2,FALSE)</f>
        <v>#N/A</v>
      </c>
      <c r="R186" t="e">
        <f>VLOOKUP(C186,'C.P.'!$C$2:$C$164,2,FALSE)</f>
        <v>#N/A</v>
      </c>
      <c r="S186" t="e">
        <f>VLOOKUP(D186,'C.P.'!$E$2:$F$164,2,FALSE)</f>
        <v>#N/A</v>
      </c>
      <c r="T186" t="e">
        <f>VLOOKUP(E186,'C.P.'!$G$2:$H$164,2,FALSE)</f>
        <v>#N/A</v>
      </c>
    </row>
    <row r="187" spans="1:21">
      <c r="A187">
        <f ca="1">COUNTIF('I.A. + Fasce'!B$1:'I.A. + Fasce'!B$538,B184)</f>
        <v>0</v>
      </c>
      <c r="B187" s="205" t="s">
        <v>1828</v>
      </c>
      <c r="C187" s="206" t="str">
        <f>VLOOKUP(B187,'IA FG'!$B$2:$G$600,6,FALSE)</f>
        <v>SAM</v>
      </c>
      <c r="D187" s="207"/>
      <c r="E187" s="207"/>
      <c r="F187" s="207"/>
      <c r="G187" s="207"/>
      <c r="H187" s="207"/>
      <c r="I187" s="207"/>
      <c r="J187" s="159">
        <f>$D187*Pesi!$F$5+Pesi!$F$6*$E187+$F187*Pesi!$F$7+Pesi!$F$8*$G187+$H187*Pesi!$F$9+Pesi!$F$10*$I187+VLOOKUP($C187,TabAlgSqu,2,FALSE)*Pesi!$F$11+Pesi!$F$12*VLOOKUP($C187,TabAlgFC,2,FALSE)+VLOOKUP($C187,TabAlgAll,2,FALSE)*Pesi!$F$13</f>
        <v>13.263999999999998</v>
      </c>
      <c r="K187" s="155">
        <f>IF(ISNA(MATCH($B187,Pesi!$B$31:$B$34,0)),VLOOKUP(Pesi!$B$33,TabAlgDif,10,FALSE)-((VLOOKUP(Pesi!$B$33,TabAlgDif,9,FALSE)-$J187)/(VLOOKUP(Pesi!$B$33,TabAlgDif,9,FALSE)-Pesi!$D$43))*VLOOKUP(Pesi!$B$33,TabAlgDif,10,FALSE),Pesi!$F$33*Pesi!$C$28)</f>
        <v>-61.639896886773798</v>
      </c>
      <c r="L187" s="155">
        <f t="shared" si="15"/>
        <v>1</v>
      </c>
      <c r="M187" s="160">
        <f>$D187*Pesi!$H$5+Pesi!$H$6*$E187+$F187*Pesi!$H$7+Pesi!$H$8*$G187+$H187*Pesi!$H$9+Pesi!$H$10*$I187+VLOOKUP($C187,TabAlgSqu,2,FALSE)*Pesi!$H$11+Pesi!$H$12*VLOOKUP($C187,TabAlgFC,2,FALSE)+VLOOKUP($C187,TabAlgAll,2,FALSE)*Pesi!$H$13</f>
        <v>13.263999999999998</v>
      </c>
      <c r="N187" s="155">
        <f>IF(ISNA(MATCH($B187,Pesi!$B$31:$B$34,0)),VLOOKUP(Pesi!$B$33,TabAlgDif,13,FALSE)-((VLOOKUP(Pesi!$B$33,TabAlgDif,12,FALSE)-$M187)/(VLOOKUP(Pesi!$B$33,TabAlgDif,12,FALSE)-Pesi!$F$43))*VLOOKUP(Pesi!$B$33,TabAlgDif,13,FALSE),$K187*$M187/$J187)</f>
        <v>-67.3872146823756</v>
      </c>
      <c r="O187" s="155">
        <f t="shared" si="16"/>
        <v>1</v>
      </c>
      <c r="P187">
        <f t="shared" si="17"/>
        <v>0</v>
      </c>
      <c r="Q187" t="e">
        <f>VLOOKUP(B187,'C.P.'!$A$2:$B$164,2,FALSE)</f>
        <v>#N/A</v>
      </c>
      <c r="R187" t="e">
        <f>VLOOKUP(C187,'C.P.'!$C$2:$C$164,2,FALSE)</f>
        <v>#N/A</v>
      </c>
      <c r="S187" t="e">
        <f>VLOOKUP(D187,'C.P.'!$E$2:$F$164,2,FALSE)</f>
        <v>#N/A</v>
      </c>
      <c r="T187" t="e">
        <f>VLOOKUP(E187,'C.P.'!$G$2:$H$164,2,FALSE)</f>
        <v>#N/A</v>
      </c>
    </row>
    <row r="188" spans="1:21">
      <c r="A188">
        <f ca="1">COUNTIF('I.A. + Fasce'!B$1:'I.A. + Fasce'!B$538,B180)</f>
        <v>1</v>
      </c>
      <c r="B188" s="205" t="s">
        <v>1987</v>
      </c>
      <c r="C188" s="206" t="str">
        <f>VLOOKUP(B188,'IA FG'!$B$2:$G$600,6,FALSE)</f>
        <v>BOL</v>
      </c>
      <c r="D188" s="207"/>
      <c r="E188" s="207"/>
      <c r="F188" s="207"/>
      <c r="G188" s="207"/>
      <c r="H188" s="207"/>
      <c r="I188" s="207"/>
      <c r="J188" s="159">
        <f>$D188*Pesi!$F$5+Pesi!$F$6*$E188+$F188*Pesi!$F$7+Pesi!$F$8*$G188+$H188*Pesi!$F$9+Pesi!$F$10*$I188+VLOOKUP($C188,TabAlgSqu,2,FALSE)*Pesi!$F$11+Pesi!$F$12*VLOOKUP($C188,TabAlgFC,2,FALSE)+VLOOKUP($C188,TabAlgAll,2,FALSE)*Pesi!$F$13</f>
        <v>12.778499999999999</v>
      </c>
      <c r="K188" s="155">
        <f>IF(ISNA(MATCH($B188,Pesi!$B$31:$B$34,0)),VLOOKUP(Pesi!$B$33,TabAlgDif,10,FALSE)-((VLOOKUP(Pesi!$B$33,TabAlgDif,9,FALSE)-$J188)/(VLOOKUP(Pesi!$B$33,TabAlgDif,9,FALSE)-Pesi!$D$43))*VLOOKUP(Pesi!$B$33,TabAlgDif,10,FALSE),Pesi!$F$33*Pesi!$C$28)</f>
        <v>-62.241597263533677</v>
      </c>
      <c r="L188" s="155">
        <f t="shared" si="15"/>
        <v>1</v>
      </c>
      <c r="M188" s="160">
        <f>$D188*Pesi!$H$5+Pesi!$H$6*$E188+$F188*Pesi!$H$7+Pesi!$H$8*$G188+$H188*Pesi!$H$9+Pesi!$H$10*$I188+VLOOKUP($C188,TabAlgSqu,2,FALSE)*Pesi!$H$11+Pesi!$H$12*VLOOKUP($C188,TabAlgFC,2,FALSE)+VLOOKUP($C188,TabAlgAll,2,FALSE)*Pesi!$H$13</f>
        <v>12.778499999999999</v>
      </c>
      <c r="N188" s="155">
        <f>IF(ISNA(MATCH($B188,Pesi!$B$31:$B$34,0)),VLOOKUP(Pesi!$B$33,TabAlgDif,13,FALSE)-((VLOOKUP(Pesi!$B$33,TabAlgDif,12,FALSE)-$M188)/(VLOOKUP(Pesi!$B$33,TabAlgDif,12,FALSE)-Pesi!$F$43))*VLOOKUP(Pesi!$B$33,TabAlgDif,13,FALSE),$K188*$M188/$J188)</f>
        <v>-67.996052197789737</v>
      </c>
      <c r="O188" s="155">
        <f t="shared" si="16"/>
        <v>1</v>
      </c>
      <c r="P188">
        <f t="shared" si="17"/>
        <v>0</v>
      </c>
      <c r="Q188" t="e">
        <f>VLOOKUP(B188,'C.P.'!$A$2:$B$164,2,FALSE)</f>
        <v>#N/A</v>
      </c>
      <c r="R188" t="e">
        <f>VLOOKUP(B188,'C.P.'!$C$2:$D$164,2,FALSE)</f>
        <v>#N/A</v>
      </c>
      <c r="S188" t="e">
        <f>VLOOKUP(B188,'C.P.'!$E$2:$F$164,2,FALSE)</f>
        <v>#N/A</v>
      </c>
      <c r="T188" t="e">
        <f>VLOOKUP(B188,'C.P.'!$G$2:$H$164,2,FALSE)</f>
        <v>#N/A</v>
      </c>
    </row>
    <row r="189" spans="1:21" ht="12.75" customHeight="1">
      <c r="A189">
        <f ca="1">COUNTIF('I.A. + Fasce'!B$1:'I.A. + Fasce'!B$538,B181)</f>
        <v>1</v>
      </c>
      <c r="B189" s="205" t="s">
        <v>566</v>
      </c>
      <c r="C189" s="206" t="str">
        <f>VLOOKUP(B189,'IA FG'!$B$2:$G$600,6,FALSE)</f>
        <v>CRO</v>
      </c>
      <c r="D189" s="207">
        <v>7</v>
      </c>
      <c r="E189" s="207">
        <v>6</v>
      </c>
      <c r="F189" s="207">
        <v>6</v>
      </c>
      <c r="G189" s="207">
        <v>6</v>
      </c>
      <c r="H189" s="207">
        <v>6</v>
      </c>
      <c r="I189" s="207">
        <v>6</v>
      </c>
      <c r="J189" s="159">
        <f>$D189*Pesi!$F$5+Pesi!$F$6*$E189+$F189*Pesi!$F$7+Pesi!$F$8*$G189+$H189*Pesi!$F$9+Pesi!$F$10*$I189+VLOOKUP($C189,TabAlgSqu,2,FALSE)*Pesi!$F$11+Pesi!$F$12*VLOOKUP($C189,TabAlgFC,2,FALSE)+VLOOKUP($C189,TabAlgAll,2,FALSE)*Pesi!$F$13</f>
        <v>62.0672</v>
      </c>
      <c r="K189" s="155">
        <f>IF(ISNA(MATCH($B189,Pesi!$B$31:$B$34,0)),VLOOKUP(Pesi!$B$33,TabAlgDif,10,FALSE)-((VLOOKUP(Pesi!$B$33,TabAlgDif,9,FALSE)-$J189)/(VLOOKUP(Pesi!$B$33,TabAlgDif,9,FALSE)-Pesi!$D$43))*VLOOKUP(Pesi!$B$33,TabAlgDif,10,FALSE),Pesi!$F$33*Pesi!$C$28)</f>
        <v>-1.1560579020424342</v>
      </c>
      <c r="L189" s="155">
        <f t="shared" si="15"/>
        <v>1</v>
      </c>
      <c r="M189" s="160">
        <f>$D189*Pesi!$H$5+Pesi!$H$6*$E189+$F189*Pesi!$H$7+Pesi!$H$8*$G189+$H189*Pesi!$H$9+Pesi!$H$10*$I189+VLOOKUP($C189,TabAlgSqu,2,FALSE)*Pesi!$H$11+Pesi!$H$12*VLOOKUP($C189,TabAlgFC,2,FALSE)+VLOOKUP($C189,TabAlgAll,2,FALSE)*Pesi!$H$13</f>
        <v>65.367200000000011</v>
      </c>
      <c r="N189" s="155">
        <f>IF(ISNA(MATCH($B189,Pesi!$B$31:$B$34,0)),VLOOKUP(Pesi!$B$33,TabAlgDif,13,FALSE)-((VLOOKUP(Pesi!$B$33,TabAlgDif,12,FALSE)-$M189)/(VLOOKUP(Pesi!$B$33,TabAlgDif,12,FALSE)-Pesi!$F$43))*VLOOKUP(Pesi!$B$33,TabAlgDif,13,FALSE),$K189*$M189/$J189)</f>
        <v>-2.0476001960209551</v>
      </c>
      <c r="O189" s="155">
        <f t="shared" si="16"/>
        <v>1</v>
      </c>
      <c r="P189">
        <f t="shared" si="17"/>
        <v>37</v>
      </c>
      <c r="Q189" t="e">
        <f>VLOOKUP(B189,'C.P.'!$A$2:$B$164,2,FALSE)</f>
        <v>#N/A</v>
      </c>
      <c r="R189" t="e">
        <f>VLOOKUP(B189,'C.P.'!$C$2:$D$164,2,FALSE)</f>
        <v>#N/A</v>
      </c>
      <c r="S189">
        <f>VLOOKUP(B189,'C.P.'!$E$2:$F$164,2,FALSE)</f>
        <v>2</v>
      </c>
      <c r="T189" t="e">
        <f>VLOOKUP(B189,'C.P.'!$G$2:$H$164,2,FALSE)</f>
        <v>#N/A</v>
      </c>
    </row>
    <row r="190" spans="1:21">
      <c r="A190">
        <f ca="1">COUNTIF('I.A. + Fasce'!B$1:'I.A. + Fasce'!B$538,B186)</f>
        <v>0</v>
      </c>
      <c r="B190" s="205" t="s">
        <v>1866</v>
      </c>
      <c r="C190" s="206" t="str">
        <f>VLOOKUP(B190,'IA FG'!$B$2:$G$600,6,FALSE)</f>
        <v>VER</v>
      </c>
      <c r="D190" s="207"/>
      <c r="E190" s="207"/>
      <c r="F190" s="207"/>
      <c r="G190" s="207"/>
      <c r="H190" s="207"/>
      <c r="I190" s="207"/>
      <c r="J190" s="159">
        <f>$D190*Pesi!$F$5+Pesi!$F$6*$E190+$F190*Pesi!$F$7+Pesi!$F$8*$G190+$H190*Pesi!$F$9+Pesi!$F$10*$I190+VLOOKUP($C190,TabAlgSqu,2,FALSE)*Pesi!$F$11+Pesi!$F$12*VLOOKUP($C190,TabAlgFC,2,FALSE)+VLOOKUP($C190,TabAlgAll,2,FALSE)*Pesi!$F$13</f>
        <v>12.000499999999999</v>
      </c>
      <c r="K190" s="155">
        <f>IF(ISNA(MATCH($B190,Pesi!$B$31:$B$34,0)),VLOOKUP(Pesi!$B$33,TabAlgDif,10,FALSE)-((VLOOKUP(Pesi!$B$33,TabAlgDif,9,FALSE)-$J190)/(VLOOKUP(Pesi!$B$33,TabAlgDif,9,FALSE)-Pesi!$D$43))*VLOOKUP(Pesi!$B$33,TabAlgDif,10,FALSE),Pesi!$F$33*Pesi!$C$28)</f>
        <v>-63.205805076343495</v>
      </c>
      <c r="L190" s="155">
        <f t="shared" si="15"/>
        <v>1</v>
      </c>
      <c r="M190" s="160">
        <f>$D190*Pesi!$H$5+Pesi!$H$6*$E190+$F190*Pesi!$H$7+Pesi!$H$8*$G190+$H190*Pesi!$H$9+Pesi!$H$10*$I190+VLOOKUP($C190,TabAlgSqu,2,FALSE)*Pesi!$H$11+Pesi!$H$12*VLOOKUP($C190,TabAlgFC,2,FALSE)+VLOOKUP($C190,TabAlgAll,2,FALSE)*Pesi!$H$13</f>
        <v>12.000499999999999</v>
      </c>
      <c r="N190" s="155">
        <f>IF(ISNA(MATCH($B190,Pesi!$B$31:$B$34,0)),VLOOKUP(Pesi!$B$33,TabAlgDif,13,FALSE)-((VLOOKUP(Pesi!$B$33,TabAlgDif,12,FALSE)-$M190)/(VLOOKUP(Pesi!$B$33,TabAlgDif,12,FALSE)-Pesi!$F$43))*VLOOKUP(Pesi!$B$33,TabAlgDif,13,FALSE),$K190*$M190/$J190)</f>
        <v>-68.971697073159845</v>
      </c>
      <c r="O190" s="155">
        <f t="shared" si="16"/>
        <v>1</v>
      </c>
      <c r="P190">
        <f t="shared" si="17"/>
        <v>0</v>
      </c>
      <c r="Q190" t="e">
        <f>VLOOKUP(B190,'C.P.'!$A$2:$B$164,2,FALSE)</f>
        <v>#N/A</v>
      </c>
      <c r="R190" t="e">
        <f>VLOOKUP(C190,'C.P.'!$C$2:$C$164,2,FALSE)</f>
        <v>#N/A</v>
      </c>
      <c r="S190" t="e">
        <f>VLOOKUP(D190,'C.P.'!$E$2:$F$164,2,FALSE)</f>
        <v>#N/A</v>
      </c>
      <c r="T190" t="e">
        <f>VLOOKUP(E190,'C.P.'!$G$2:$H$164,2,FALSE)</f>
        <v>#N/A</v>
      </c>
    </row>
    <row r="191" spans="1:21" ht="12.75" customHeight="1">
      <c r="A191">
        <f ca="1">COUNTIF('I.A. + Fasce'!B$1:'I.A. + Fasce'!B$538,B186)</f>
        <v>0</v>
      </c>
      <c r="B191" s="205"/>
      <c r="C191" s="206"/>
      <c r="D191" s="207"/>
      <c r="E191" s="207"/>
      <c r="F191" s="207"/>
      <c r="G191" s="207"/>
      <c r="H191" s="207"/>
      <c r="I191" s="207"/>
      <c r="J191" s="159"/>
      <c r="K191" s="155"/>
      <c r="L191" s="155"/>
      <c r="M191" s="160"/>
      <c r="N191" s="155"/>
      <c r="O191" s="155"/>
      <c r="P191">
        <f t="shared" si="17"/>
        <v>0</v>
      </c>
      <c r="Q191" t="e">
        <f>VLOOKUP(B191,'C.P.'!$A$2:$B$164,2,FALSE)</f>
        <v>#N/A</v>
      </c>
      <c r="R191" t="e">
        <f>VLOOKUP(B191,'C.P.'!$C$2:$D$164,2,FALSE)</f>
        <v>#N/A</v>
      </c>
      <c r="S191" t="e">
        <f>VLOOKUP(B191,'C.P.'!$E$2:$F$164,2,FALSE)</f>
        <v>#N/A</v>
      </c>
      <c r="T191" t="e">
        <f>VLOOKUP(B191,'C.P.'!$G$2:$H$164,2,FALSE)</f>
        <v>#N/A</v>
      </c>
    </row>
    <row r="192" spans="1:21">
      <c r="A192">
        <f ca="1">COUNTIF('I.A. + Fasce'!B$1:'I.A. + Fasce'!B$538,B189)</f>
        <v>1</v>
      </c>
      <c r="B192" s="205"/>
      <c r="C192" s="206"/>
      <c r="D192" s="207"/>
      <c r="E192" s="207"/>
      <c r="F192" s="207"/>
      <c r="G192" s="207"/>
      <c r="H192" s="207"/>
      <c r="I192" s="207"/>
      <c r="J192" s="159"/>
      <c r="K192" s="155"/>
      <c r="L192" s="155"/>
      <c r="M192" s="160"/>
      <c r="N192" s="155"/>
      <c r="O192" s="155"/>
      <c r="P192">
        <f t="shared" si="17"/>
        <v>0</v>
      </c>
      <c r="Q192" t="e">
        <f>VLOOKUP(B192,'C.P.'!$A$2:$B$164,2,FALSE)</f>
        <v>#N/A</v>
      </c>
      <c r="R192" t="e">
        <f>VLOOKUP(B192,'C.P.'!$C$2:$D$164,2,FALSE)</f>
        <v>#N/A</v>
      </c>
      <c r="S192" t="e">
        <f>VLOOKUP(B192,'C.P.'!$E$2:$F$164,2,FALSE)</f>
        <v>#N/A</v>
      </c>
      <c r="T192" t="e">
        <f>VLOOKUP(B192,'C.P.'!$G$2:$H$164,2,FALSE)</f>
        <v>#N/A</v>
      </c>
    </row>
    <row r="193" spans="1:20">
      <c r="A193">
        <f ca="1">COUNTIF('I.A. + Fasce'!B$1:'I.A. + Fasce'!B$538,B187)</f>
        <v>1</v>
      </c>
      <c r="B193" s="205"/>
      <c r="C193" s="206"/>
      <c r="D193" s="207"/>
      <c r="E193" s="207"/>
      <c r="F193" s="207"/>
      <c r="G193" s="207"/>
      <c r="H193" s="207"/>
      <c r="I193" s="207"/>
      <c r="J193" s="159"/>
      <c r="K193" s="155"/>
      <c r="L193" s="155"/>
      <c r="M193" s="160"/>
      <c r="N193" s="155"/>
      <c r="O193" s="155"/>
      <c r="P193">
        <f t="shared" si="17"/>
        <v>0</v>
      </c>
      <c r="Q193" t="e">
        <f>VLOOKUP(B193,'C.P.'!$A$2:$B$164,2,FALSE)</f>
        <v>#N/A</v>
      </c>
      <c r="R193" t="e">
        <f>VLOOKUP(B193,'C.P.'!$C$2:$D$164,2,FALSE)</f>
        <v>#N/A</v>
      </c>
      <c r="S193" t="e">
        <f>VLOOKUP(B193,'C.P.'!$E$2:$F$164,2,FALSE)</f>
        <v>#N/A</v>
      </c>
      <c r="T193" t="e">
        <f>VLOOKUP(B193,'C.P.'!$G$2:$H$164,2,FALSE)</f>
        <v>#N/A</v>
      </c>
    </row>
    <row r="194" spans="1:20">
      <c r="A194">
        <f ca="1">COUNTIF('I.A. + Fasce'!B$1:'I.A. + Fasce'!B$538,B186)</f>
        <v>0</v>
      </c>
      <c r="B194" s="205"/>
      <c r="C194" s="206"/>
      <c r="D194" s="207"/>
      <c r="E194" s="207"/>
      <c r="F194" s="207"/>
      <c r="G194" s="207"/>
      <c r="H194" s="207"/>
      <c r="I194" s="207"/>
      <c r="J194" s="159"/>
      <c r="K194" s="155"/>
      <c r="L194" s="155"/>
      <c r="M194" s="160"/>
      <c r="N194" s="155"/>
      <c r="O194" s="155"/>
      <c r="P194">
        <f t="shared" si="17"/>
        <v>0</v>
      </c>
      <c r="Q194" t="e">
        <f>VLOOKUP(B194,'C.P.'!$A$2:$B$164,2,FALSE)</f>
        <v>#N/A</v>
      </c>
      <c r="R194" t="e">
        <f>VLOOKUP(B194,'C.P.'!$C$2:$D$164,2,FALSE)</f>
        <v>#N/A</v>
      </c>
      <c r="S194" t="e">
        <f>VLOOKUP(B194,'C.P.'!$E$2:$F$164,2,FALSE)</f>
        <v>#N/A</v>
      </c>
      <c r="T194" t="e">
        <f>VLOOKUP(B194,'C.P.'!$G$2:$H$164,2,FALSE)</f>
        <v>#N/A</v>
      </c>
    </row>
    <row r="195" spans="1:20">
      <c r="A195">
        <f ca="1">COUNTIF('I.A. + Fasce'!B$1:'I.A. + Fasce'!B$538,B190)</f>
        <v>1</v>
      </c>
      <c r="B195" s="205"/>
      <c r="C195" s="206"/>
      <c r="D195" s="207"/>
      <c r="E195" s="207"/>
      <c r="F195" s="207"/>
      <c r="G195" s="207"/>
      <c r="H195" s="207"/>
      <c r="I195" s="207"/>
      <c r="J195" s="159"/>
      <c r="K195" s="155"/>
      <c r="L195" s="155"/>
      <c r="M195" s="160"/>
      <c r="N195" s="155"/>
      <c r="O195" s="155"/>
      <c r="P195">
        <f t="shared" si="17"/>
        <v>0</v>
      </c>
      <c r="Q195" t="e">
        <f>VLOOKUP(B195,'C.P.'!$A$2:$B$164,2,FALSE)</f>
        <v>#N/A</v>
      </c>
      <c r="R195" t="e">
        <f>VLOOKUP(B195,'C.P.'!$C$2:$D$164,2,FALSE)</f>
        <v>#N/A</v>
      </c>
      <c r="S195" t="e">
        <f>VLOOKUP(B195,'C.P.'!$E$2:$F$164,2,FALSE)</f>
        <v>#N/A</v>
      </c>
      <c r="T195" t="e">
        <f>VLOOKUP(B195,'C.P.'!$G$2:$H$164,2,FALSE)</f>
        <v>#N/A</v>
      </c>
    </row>
    <row r="196" spans="1:20">
      <c r="A196">
        <f ca="1">COUNTIF('I.A. + Fasce'!B$1:'I.A. + Fasce'!B$538,B188)</f>
        <v>1</v>
      </c>
      <c r="B196" s="205"/>
      <c r="C196" s="206"/>
      <c r="D196" s="207"/>
      <c r="E196" s="207"/>
      <c r="F196" s="207"/>
      <c r="G196" s="207"/>
      <c r="H196" s="207"/>
      <c r="I196" s="207"/>
      <c r="J196" s="159"/>
      <c r="K196" s="155"/>
      <c r="L196" s="155"/>
      <c r="M196" s="160"/>
      <c r="N196" s="155"/>
      <c r="O196" s="155"/>
      <c r="P196">
        <f t="shared" si="17"/>
        <v>0</v>
      </c>
      <c r="Q196" t="e">
        <f>VLOOKUP(B196,'C.P.'!$A$2:$B$164,2,FALSE)</f>
        <v>#N/A</v>
      </c>
      <c r="R196" t="e">
        <f>VLOOKUP(B196,'C.P.'!$C$2:$D$164,2,FALSE)</f>
        <v>#N/A</v>
      </c>
      <c r="S196" t="e">
        <f>VLOOKUP(B196,'C.P.'!$E$2:$F$164,2,FALSE)</f>
        <v>#N/A</v>
      </c>
      <c r="T196" t="e">
        <f>VLOOKUP(B196,'C.P.'!$G$2:$H$164,2,FALSE)</f>
        <v>#N/A</v>
      </c>
    </row>
    <row r="197" spans="1:20">
      <c r="B197" s="208"/>
      <c r="C197" s="206"/>
      <c r="D197" s="207"/>
      <c r="E197" s="207"/>
      <c r="F197" s="207"/>
      <c r="G197" s="207"/>
      <c r="H197" s="207"/>
      <c r="I197" s="207"/>
      <c r="J197" s="159"/>
      <c r="K197" s="155"/>
      <c r="L197" s="155"/>
      <c r="M197" s="160"/>
      <c r="N197" s="155"/>
      <c r="O197" s="155"/>
      <c r="P197">
        <f t="shared" si="17"/>
        <v>0</v>
      </c>
      <c r="Q197" t="e">
        <f>VLOOKUP(B197,'C.P.'!$A$2:$B$164,2,FALSE)</f>
        <v>#N/A</v>
      </c>
      <c r="R197" t="e">
        <f>VLOOKUP(B197,'C.P.'!$C$2:$D$164,2,FALSE)</f>
        <v>#N/A</v>
      </c>
      <c r="S197" t="e">
        <f>VLOOKUP(B197,'C.P.'!$E$2:$F$164,2,FALSE)</f>
        <v>#N/A</v>
      </c>
      <c r="T197" t="e">
        <f>VLOOKUP(B197,'C.P.'!$G$2:$H$164,2,FALSE)</f>
        <v>#N/A</v>
      </c>
    </row>
    <row r="198" spans="1:20">
      <c r="A198">
        <f ca="1">COUNTIF('I.A. + Fasce'!B$1:'I.A. + Fasce'!B$538,B189)</f>
        <v>1</v>
      </c>
      <c r="B198" s="205"/>
      <c r="C198" s="206"/>
      <c r="D198" s="207"/>
      <c r="E198" s="207"/>
      <c r="F198" s="207"/>
      <c r="G198" s="207"/>
      <c r="H198" s="207"/>
      <c r="I198" s="207"/>
      <c r="J198" s="159"/>
      <c r="K198" s="155"/>
      <c r="L198" s="155"/>
      <c r="M198" s="160"/>
      <c r="N198" s="155"/>
      <c r="O198" s="155"/>
      <c r="P198">
        <f t="shared" si="17"/>
        <v>0</v>
      </c>
      <c r="Q198" t="e">
        <f>VLOOKUP(B198,'C.P.'!$A$2:$B$164,2,FALSE)</f>
        <v>#N/A</v>
      </c>
      <c r="R198" t="e">
        <f>VLOOKUP(B198,'C.P.'!$C$2:$D$164,2,FALSE)</f>
        <v>#N/A</v>
      </c>
      <c r="S198" t="e">
        <f>VLOOKUP(B198,'C.P.'!$E$2:$F$164,2,FALSE)</f>
        <v>#N/A</v>
      </c>
      <c r="T198" t="e">
        <f>VLOOKUP(B198,'C.P.'!$G$2:$H$164,2,FALSE)</f>
        <v>#N/A</v>
      </c>
    </row>
    <row r="199" spans="1:20">
      <c r="B199" s="205"/>
      <c r="C199" s="206"/>
      <c r="D199" s="207"/>
      <c r="E199" s="207"/>
      <c r="F199" s="207"/>
      <c r="G199" s="207"/>
      <c r="H199" s="207"/>
      <c r="I199" s="207"/>
      <c r="J199" s="159"/>
      <c r="K199" s="155"/>
      <c r="L199" s="155"/>
      <c r="M199" s="160"/>
      <c r="N199" s="155"/>
      <c r="O199" s="155"/>
      <c r="Q199" t="s">
        <v>1915</v>
      </c>
      <c r="R199" t="e">
        <f>VLOOKUP(B199,'C.P.'!$C$2:$D$164,2,FALSE)</f>
        <v>#N/A</v>
      </c>
      <c r="S199" t="e">
        <f>VLOOKUP(B199,'C.P.'!$E$2:$F$164,2,FALSE)</f>
        <v>#N/A</v>
      </c>
      <c r="T199" t="e">
        <f>VLOOKUP(B199,'C.P.'!$G$2:$H$164,2,FALSE)</f>
        <v>#N/A</v>
      </c>
    </row>
    <row r="200" spans="1:20">
      <c r="B200" s="205"/>
      <c r="C200" s="206"/>
      <c r="D200" s="207"/>
      <c r="E200" s="207"/>
      <c r="F200" s="207"/>
      <c r="G200" s="207"/>
      <c r="H200" s="207"/>
      <c r="I200" s="207"/>
      <c r="J200" s="159"/>
      <c r="K200" s="155"/>
      <c r="L200" s="155"/>
      <c r="M200" s="160"/>
      <c r="N200" s="155"/>
      <c r="O200" s="155"/>
      <c r="Q200" t="s">
        <v>1915</v>
      </c>
      <c r="R200" t="e">
        <f>VLOOKUP(B200,'C.P.'!$C$2:$D$164,2,FALSE)</f>
        <v>#N/A</v>
      </c>
      <c r="S200" t="e">
        <f>VLOOKUP(B200,'C.P.'!$E$2:$F$164,2,FALSE)</f>
        <v>#N/A</v>
      </c>
      <c r="T200" t="e">
        <f>VLOOKUP(B200,'C.P.'!$G$2:$H$164,2,FALSE)</f>
        <v>#N/A</v>
      </c>
    </row>
    <row r="201" spans="1:20">
      <c r="C201" s="206"/>
      <c r="Q201" t="s">
        <v>1915</v>
      </c>
      <c r="R201" t="e">
        <f>VLOOKUP(B201,'C.P.'!$C$2:$D$164,2,FALSE)</f>
        <v>#N/A</v>
      </c>
      <c r="S201" t="e">
        <f>VLOOKUP(B201,'C.P.'!$E$2:$F$164,2,FALSE)</f>
        <v>#N/A</v>
      </c>
      <c r="T201" t="e">
        <f>VLOOKUP(B201,'C.P.'!$G$2:$H$164,2,FALSE)</f>
        <v>#N/A</v>
      </c>
    </row>
    <row r="202" spans="1:20">
      <c r="C202" s="206"/>
      <c r="Q202" t="s">
        <v>1915</v>
      </c>
      <c r="R202" t="e">
        <f>VLOOKUP(B202,'C.P.'!$C$2:$D$164,2,FALSE)</f>
        <v>#N/A</v>
      </c>
      <c r="S202" t="e">
        <f>VLOOKUP(B202,'C.P.'!$E$2:$F$164,2,FALSE)</f>
        <v>#N/A</v>
      </c>
      <c r="T202" t="e">
        <f>VLOOKUP(B202,'C.P.'!$G$2:$H$164,2,FALSE)</f>
        <v>#N/A</v>
      </c>
    </row>
    <row r="203" spans="1:20">
      <c r="C203" s="206"/>
      <c r="Q203" t="s">
        <v>1915</v>
      </c>
      <c r="R203" t="e">
        <f>VLOOKUP(B203,'C.P.'!$C$2:$D$164,2,FALSE)</f>
        <v>#N/A</v>
      </c>
      <c r="S203" t="e">
        <f>VLOOKUP(B203,'C.P.'!$E$2:$F$164,2,FALSE)</f>
        <v>#N/A</v>
      </c>
      <c r="T203" t="e">
        <f>VLOOKUP(B203,'C.P.'!$G$2:$H$164,2,FALSE)</f>
        <v>#N/A</v>
      </c>
    </row>
    <row r="204" spans="1:20">
      <c r="C204" s="206"/>
      <c r="Q204" t="s">
        <v>1915</v>
      </c>
      <c r="R204" t="e">
        <f>VLOOKUP(B204,'C.P.'!$C$2:$D$164,2,FALSE)</f>
        <v>#N/A</v>
      </c>
      <c r="S204" t="e">
        <f>VLOOKUP(B204,'C.P.'!$E$2:$F$164,2,FALSE)</f>
        <v>#N/A</v>
      </c>
      <c r="T204" t="e">
        <f>VLOOKUP(B204,'C.P.'!$G$2:$H$164,2,FALSE)</f>
        <v>#N/A</v>
      </c>
    </row>
    <row r="205" spans="1:20">
      <c r="C205" s="206"/>
      <c r="Q205" t="s">
        <v>1915</v>
      </c>
      <c r="R205" t="e">
        <f>VLOOKUP(B205,'C.P.'!$C$2:$D$164,2,FALSE)</f>
        <v>#N/A</v>
      </c>
      <c r="S205" t="e">
        <f>VLOOKUP(B205,'C.P.'!$E$2:$F$164,2,FALSE)</f>
        <v>#N/A</v>
      </c>
      <c r="T205" t="e">
        <f>VLOOKUP(B205,'C.P.'!$G$2:$H$164,2,FALSE)</f>
        <v>#N/A</v>
      </c>
    </row>
    <row r="206" spans="1:20">
      <c r="C206" s="206"/>
      <c r="Q206" t="s">
        <v>1915</v>
      </c>
      <c r="R206" t="e">
        <f>VLOOKUP(B206,'C.P.'!$C$2:$D$164,2,FALSE)</f>
        <v>#N/A</v>
      </c>
      <c r="S206" t="e">
        <f>VLOOKUP(B206,'C.P.'!$E$2:$F$164,2,FALSE)</f>
        <v>#N/A</v>
      </c>
      <c r="T206" t="e">
        <f>VLOOKUP(B206,'C.P.'!$G$2:$H$164,2,FALSE)</f>
        <v>#N/A</v>
      </c>
    </row>
    <row r="207" spans="1:20">
      <c r="C207" s="206"/>
      <c r="Q207" t="s">
        <v>1915</v>
      </c>
      <c r="R207" t="e">
        <f>VLOOKUP(B207,'C.P.'!$C$2:$D$164,2,FALSE)</f>
        <v>#N/A</v>
      </c>
      <c r="S207" t="e">
        <f>VLOOKUP(B207,'C.P.'!$E$2:$F$164,2,FALSE)</f>
        <v>#N/A</v>
      </c>
      <c r="T207" t="e">
        <f>VLOOKUP(B207,'C.P.'!$G$2:$H$164,2,FALSE)</f>
        <v>#N/A</v>
      </c>
    </row>
    <row r="208" spans="1:20">
      <c r="C208" s="206"/>
      <c r="Q208" t="s">
        <v>1915</v>
      </c>
      <c r="R208" t="e">
        <f>VLOOKUP(B208,'C.P.'!$C$2:$D$164,2,FALSE)</f>
        <v>#N/A</v>
      </c>
      <c r="S208" t="e">
        <f>VLOOKUP(B208,'C.P.'!$E$2:$F$164,2,FALSE)</f>
        <v>#N/A</v>
      </c>
      <c r="T208" t="e">
        <f>VLOOKUP(B208,'C.P.'!$G$2:$H$164,2,FALSE)</f>
        <v>#N/A</v>
      </c>
    </row>
    <row r="209" spans="3:20">
      <c r="C209" s="206"/>
      <c r="Q209" t="s">
        <v>1915</v>
      </c>
      <c r="R209" t="e">
        <f>VLOOKUP(B209,'C.P.'!$C$2:$D$164,2,FALSE)</f>
        <v>#N/A</v>
      </c>
      <c r="S209" t="e">
        <f>VLOOKUP(B209,'C.P.'!$E$2:$F$164,2,FALSE)</f>
        <v>#N/A</v>
      </c>
      <c r="T209" t="e">
        <f>VLOOKUP(B209,'C.P.'!$G$2:$H$164,2,FALSE)</f>
        <v>#N/A</v>
      </c>
    </row>
    <row r="210" spans="3:20">
      <c r="C210" s="206"/>
      <c r="Q210" t="s">
        <v>1915</v>
      </c>
      <c r="R210" t="e">
        <f>VLOOKUP(B210,'C.P.'!$C$2:$D$164,2,FALSE)</f>
        <v>#N/A</v>
      </c>
      <c r="S210" t="e">
        <f>VLOOKUP(B210,'C.P.'!$E$2:$F$164,2,FALSE)</f>
        <v>#N/A</v>
      </c>
      <c r="T210" t="e">
        <f>VLOOKUP(B210,'C.P.'!$G$2:$H$164,2,FALSE)</f>
        <v>#N/A</v>
      </c>
    </row>
    <row r="211" spans="3:20">
      <c r="C211" s="206"/>
      <c r="Q211" t="s">
        <v>1915</v>
      </c>
      <c r="R211" t="e">
        <f>VLOOKUP(B211,'C.P.'!$C$2:$D$164,2,FALSE)</f>
        <v>#N/A</v>
      </c>
      <c r="S211" t="e">
        <f>VLOOKUP(B211,'C.P.'!$E$2:$F$164,2,FALSE)</f>
        <v>#N/A</v>
      </c>
      <c r="T211" t="e">
        <f>VLOOKUP(B211,'C.P.'!$G$2:$H$164,2,FALSE)</f>
        <v>#N/A</v>
      </c>
    </row>
    <row r="212" spans="3:20">
      <c r="C212" s="206"/>
      <c r="Q212" t="s">
        <v>1915</v>
      </c>
      <c r="R212" t="e">
        <f>VLOOKUP(B212,'C.P.'!$C$2:$D$164,2,FALSE)</f>
        <v>#N/A</v>
      </c>
      <c r="S212" t="e">
        <f>VLOOKUP(B212,'C.P.'!$E$2:$F$164,2,FALSE)</f>
        <v>#N/A</v>
      </c>
      <c r="T212" t="e">
        <f>VLOOKUP(B212,'C.P.'!$G$2:$H$164,2,FALSE)</f>
        <v>#N/A</v>
      </c>
    </row>
    <row r="213" spans="3:20">
      <c r="C213" s="206"/>
      <c r="Q213" t="s">
        <v>1915</v>
      </c>
      <c r="R213" t="e">
        <f>VLOOKUP(B213,'C.P.'!$C$2:$D$164,2,FALSE)</f>
        <v>#N/A</v>
      </c>
      <c r="S213" t="e">
        <f>VLOOKUP(B213,'C.P.'!$E$2:$F$164,2,FALSE)</f>
        <v>#N/A</v>
      </c>
      <c r="T213" t="e">
        <f>VLOOKUP(B213,'C.P.'!$G$2:$H$164,2,FALSE)</f>
        <v>#N/A</v>
      </c>
    </row>
    <row r="214" spans="3:20">
      <c r="C214" s="206"/>
      <c r="Q214" t="s">
        <v>1915</v>
      </c>
      <c r="R214" t="e">
        <f>VLOOKUP(B214,'C.P.'!$C$2:$D$164,2,FALSE)</f>
        <v>#N/A</v>
      </c>
      <c r="S214" t="e">
        <f>VLOOKUP(B214,'C.P.'!$E$2:$F$164,2,FALSE)</f>
        <v>#N/A</v>
      </c>
      <c r="T214" t="e">
        <f>VLOOKUP(B214,'C.P.'!$G$2:$H$164,2,FALSE)</f>
        <v>#N/A</v>
      </c>
    </row>
    <row r="215" spans="3:20">
      <c r="C215" s="206"/>
      <c r="Q215" t="s">
        <v>1915</v>
      </c>
      <c r="R215" t="e">
        <f>VLOOKUP(B215,'C.P.'!$C$2:$D$164,2,FALSE)</f>
        <v>#N/A</v>
      </c>
      <c r="S215" t="e">
        <f>VLOOKUP(B215,'C.P.'!$E$2:$F$164,2,FALSE)</f>
        <v>#N/A</v>
      </c>
      <c r="T215" t="e">
        <f>VLOOKUP(B215,'C.P.'!$G$2:$H$164,2,FALSE)</f>
        <v>#N/A</v>
      </c>
    </row>
    <row r="216" spans="3:20">
      <c r="C216" s="206"/>
      <c r="Q216" t="s">
        <v>1915</v>
      </c>
      <c r="R216" t="e">
        <f>VLOOKUP(B216,'C.P.'!$C$2:$D$164,2,FALSE)</f>
        <v>#N/A</v>
      </c>
      <c r="S216" t="e">
        <f>VLOOKUP(B216,'C.P.'!$E$2:$F$164,2,FALSE)</f>
        <v>#N/A</v>
      </c>
      <c r="T216" t="e">
        <f>VLOOKUP(B216,'C.P.'!$G$2:$H$164,2,FALSE)</f>
        <v>#N/A</v>
      </c>
    </row>
    <row r="217" spans="3:20">
      <c r="C217" s="206"/>
      <c r="Q217" t="s">
        <v>1915</v>
      </c>
      <c r="R217" t="e">
        <f>VLOOKUP(B217,'C.P.'!$C$2:$D$164,2,FALSE)</f>
        <v>#N/A</v>
      </c>
      <c r="S217" t="e">
        <f>VLOOKUP(B217,'C.P.'!$E$2:$F$164,2,FALSE)</f>
        <v>#N/A</v>
      </c>
      <c r="T217" t="e">
        <f>VLOOKUP(B217,'C.P.'!$G$2:$H$164,2,FALSE)</f>
        <v>#N/A</v>
      </c>
    </row>
    <row r="218" spans="3:20">
      <c r="C218" s="206"/>
      <c r="Q218" t="s">
        <v>1915</v>
      </c>
      <c r="R218" t="e">
        <f>VLOOKUP(B218,'C.P.'!$C$2:$D$164,2,FALSE)</f>
        <v>#N/A</v>
      </c>
      <c r="S218" t="e">
        <f>VLOOKUP(B218,'C.P.'!$E$2:$F$164,2,FALSE)</f>
        <v>#N/A</v>
      </c>
      <c r="T218" t="e">
        <f>VLOOKUP(B218,'C.P.'!$G$2:$H$164,2,FALSE)</f>
        <v>#N/A</v>
      </c>
    </row>
    <row r="219" spans="3:20">
      <c r="C219" s="206"/>
      <c r="Q219" t="s">
        <v>1915</v>
      </c>
      <c r="R219" t="e">
        <f>VLOOKUP(B219,'C.P.'!$C$2:$D$164,2,FALSE)</f>
        <v>#N/A</v>
      </c>
      <c r="S219" t="e">
        <f>VLOOKUP(B219,'C.P.'!$E$2:$F$164,2,FALSE)</f>
        <v>#N/A</v>
      </c>
      <c r="T219" t="e">
        <f>VLOOKUP(B219,'C.P.'!$G$2:$H$164,2,FALSE)</f>
        <v>#N/A</v>
      </c>
    </row>
    <row r="220" spans="3:20">
      <c r="C220" s="206"/>
      <c r="Q220" t="s">
        <v>1915</v>
      </c>
      <c r="R220" t="e">
        <f>VLOOKUP(B220,'C.P.'!$C$2:$D$164,2,FALSE)</f>
        <v>#N/A</v>
      </c>
      <c r="S220" t="e">
        <f>VLOOKUP(B220,'C.P.'!$E$2:$F$164,2,FALSE)</f>
        <v>#N/A</v>
      </c>
      <c r="T220" t="e">
        <f>VLOOKUP(B220,'C.P.'!$G$2:$H$164,2,FALSE)</f>
        <v>#N/A</v>
      </c>
    </row>
    <row r="221" spans="3:20">
      <c r="C221" s="206"/>
      <c r="Q221" t="s">
        <v>1915</v>
      </c>
      <c r="R221" t="e">
        <f>VLOOKUP(B221,'C.P.'!$C$2:$D$164,2,FALSE)</f>
        <v>#N/A</v>
      </c>
      <c r="S221" t="e">
        <f>VLOOKUP(B221,'C.P.'!$E$2:$F$164,2,FALSE)</f>
        <v>#N/A</v>
      </c>
      <c r="T221" t="e">
        <f>VLOOKUP(B221,'C.P.'!$G$2:$H$164,2,FALSE)</f>
        <v>#N/A</v>
      </c>
    </row>
    <row r="222" spans="3:20">
      <c r="C222" s="206"/>
      <c r="Q222" t="s">
        <v>1915</v>
      </c>
      <c r="R222" t="e">
        <f>VLOOKUP(B222,'C.P.'!$C$2:$D$164,2,FALSE)</f>
        <v>#N/A</v>
      </c>
      <c r="S222" t="e">
        <f>VLOOKUP(B222,'C.P.'!$E$2:$F$164,2,FALSE)</f>
        <v>#N/A</v>
      </c>
      <c r="T222" t="e">
        <f>VLOOKUP(B222,'C.P.'!$G$2:$H$164,2,FALSE)</f>
        <v>#N/A</v>
      </c>
    </row>
    <row r="223" spans="3:20">
      <c r="C223" s="206"/>
      <c r="Q223" t="s">
        <v>1915</v>
      </c>
      <c r="R223" t="e">
        <f>VLOOKUP(B223,'C.P.'!$C$2:$D$164,2,FALSE)</f>
        <v>#N/A</v>
      </c>
      <c r="S223" t="e">
        <f>VLOOKUP(B223,'C.P.'!$E$2:$F$164,2,FALSE)</f>
        <v>#N/A</v>
      </c>
      <c r="T223" t="e">
        <f>VLOOKUP(B223,'C.P.'!$G$2:$H$164,2,FALSE)</f>
        <v>#N/A</v>
      </c>
    </row>
    <row r="224" spans="3:20">
      <c r="C224" s="206"/>
      <c r="Q224" t="s">
        <v>1915</v>
      </c>
      <c r="R224" t="e">
        <f>VLOOKUP(B224,'C.P.'!$C$2:$D$164,2,FALSE)</f>
        <v>#N/A</v>
      </c>
      <c r="S224" t="e">
        <f>VLOOKUP(B224,'C.P.'!$E$2:$F$164,2,FALSE)</f>
        <v>#N/A</v>
      </c>
      <c r="T224" t="e">
        <f>VLOOKUP(B224,'C.P.'!$G$2:$H$164,2,FALSE)</f>
        <v>#N/A</v>
      </c>
    </row>
    <row r="225" spans="3:20">
      <c r="C225" s="206"/>
      <c r="Q225" t="s">
        <v>1915</v>
      </c>
      <c r="R225" t="e">
        <f>VLOOKUP(B225,'C.P.'!$C$2:$D$164,2,FALSE)</f>
        <v>#N/A</v>
      </c>
      <c r="S225" t="e">
        <f>VLOOKUP(B225,'C.P.'!$E$2:$F$164,2,FALSE)</f>
        <v>#N/A</v>
      </c>
      <c r="T225" t="e">
        <f>VLOOKUP(B225,'C.P.'!$G$2:$H$164,2,FALSE)</f>
        <v>#N/A</v>
      </c>
    </row>
    <row r="226" spans="3:20">
      <c r="C226" s="206"/>
      <c r="Q226" t="s">
        <v>1915</v>
      </c>
      <c r="R226" t="e">
        <f>VLOOKUP(B226,'C.P.'!$C$2:$D$164,2,FALSE)</f>
        <v>#N/A</v>
      </c>
      <c r="S226" t="e">
        <f>VLOOKUP(B226,'C.P.'!$E$2:$F$164,2,FALSE)</f>
        <v>#N/A</v>
      </c>
      <c r="T226" t="e">
        <f>VLOOKUP(B226,'C.P.'!$G$2:$H$164,2,FALSE)</f>
        <v>#N/A</v>
      </c>
    </row>
    <row r="227" spans="3:20">
      <c r="C227" s="206"/>
      <c r="Q227" t="s">
        <v>1915</v>
      </c>
      <c r="R227" t="e">
        <f>VLOOKUP(B227,'C.P.'!$C$2:$D$164,2,FALSE)</f>
        <v>#N/A</v>
      </c>
      <c r="S227" t="e">
        <f>VLOOKUP(B227,'C.P.'!$E$2:$F$164,2,FALSE)</f>
        <v>#N/A</v>
      </c>
      <c r="T227" t="e">
        <f>VLOOKUP(B227,'C.P.'!$G$2:$H$164,2,FALSE)</f>
        <v>#N/A</v>
      </c>
    </row>
    <row r="228" spans="3:20">
      <c r="C228" s="206"/>
      <c r="Q228" t="s">
        <v>1915</v>
      </c>
      <c r="R228" t="e">
        <f>VLOOKUP(B228,'C.P.'!$C$2:$D$164,2,FALSE)</f>
        <v>#N/A</v>
      </c>
      <c r="S228" t="e">
        <f>VLOOKUP(B228,'C.P.'!$E$2:$F$164,2,FALSE)</f>
        <v>#N/A</v>
      </c>
      <c r="T228" t="e">
        <f>VLOOKUP(B228,'C.P.'!$G$2:$H$164,2,FALSE)</f>
        <v>#N/A</v>
      </c>
    </row>
    <row r="229" spans="3:20">
      <c r="C229" s="206"/>
      <c r="Q229" t="s">
        <v>1915</v>
      </c>
      <c r="R229" t="e">
        <f>VLOOKUP(B229,'C.P.'!$C$2:$D$164,2,FALSE)</f>
        <v>#N/A</v>
      </c>
      <c r="S229" t="e">
        <f>VLOOKUP(B229,'C.P.'!$E$2:$F$164,2,FALSE)</f>
        <v>#N/A</v>
      </c>
      <c r="T229" t="e">
        <f>VLOOKUP(B229,'C.P.'!$G$2:$H$164,2,FALSE)</f>
        <v>#N/A</v>
      </c>
    </row>
    <row r="230" spans="3:20">
      <c r="C230" s="206"/>
      <c r="Q230" t="s">
        <v>1915</v>
      </c>
      <c r="R230" t="e">
        <f>VLOOKUP(B230,'C.P.'!$C$2:$D$164,2,FALSE)</f>
        <v>#N/A</v>
      </c>
      <c r="S230" t="e">
        <f>VLOOKUP(B230,'C.P.'!$E$2:$F$164,2,FALSE)</f>
        <v>#N/A</v>
      </c>
      <c r="T230" t="e">
        <f>VLOOKUP(B230,'C.P.'!$G$2:$H$164,2,FALSE)</f>
        <v>#N/A</v>
      </c>
    </row>
    <row r="231" spans="3:20">
      <c r="C231" s="206"/>
      <c r="Q231" t="s">
        <v>1915</v>
      </c>
      <c r="R231" t="e">
        <f>VLOOKUP(B231,'C.P.'!$C$2:$D$164,2,FALSE)</f>
        <v>#N/A</v>
      </c>
      <c r="S231" t="e">
        <f>VLOOKUP(B231,'C.P.'!$E$2:$F$164,2,FALSE)</f>
        <v>#N/A</v>
      </c>
      <c r="T231" t="e">
        <f>VLOOKUP(B231,'C.P.'!$G$2:$H$164,2,FALSE)</f>
        <v>#N/A</v>
      </c>
    </row>
    <row r="232" spans="3:20">
      <c r="C232" s="206"/>
      <c r="Q232" t="s">
        <v>1915</v>
      </c>
      <c r="R232" t="e">
        <f>VLOOKUP(B232,'C.P.'!$C$2:$D$164,2,FALSE)</f>
        <v>#N/A</v>
      </c>
      <c r="S232" t="e">
        <f>VLOOKUP(B232,'C.P.'!$E$2:$F$164,2,FALSE)</f>
        <v>#N/A</v>
      </c>
      <c r="T232" t="e">
        <f>VLOOKUP(B232,'C.P.'!$G$2:$H$164,2,FALSE)</f>
        <v>#N/A</v>
      </c>
    </row>
    <row r="233" spans="3:20">
      <c r="C233" s="206"/>
      <c r="Q233" t="s">
        <v>1915</v>
      </c>
      <c r="R233" t="e">
        <f>VLOOKUP(B233,'C.P.'!$C$2:$D$164,2,FALSE)</f>
        <v>#N/A</v>
      </c>
      <c r="S233" t="e">
        <f>VLOOKUP(B233,'C.P.'!$E$2:$F$164,2,FALSE)</f>
        <v>#N/A</v>
      </c>
      <c r="T233" t="e">
        <f>VLOOKUP(B233,'C.P.'!$G$2:$H$164,2,FALSE)</f>
        <v>#N/A</v>
      </c>
    </row>
    <row r="234" spans="3:20">
      <c r="C234" s="206"/>
      <c r="Q234" t="s">
        <v>1915</v>
      </c>
      <c r="R234" t="e">
        <f>VLOOKUP(B234,'C.P.'!$C$2:$D$164,2,FALSE)</f>
        <v>#N/A</v>
      </c>
      <c r="S234" t="e">
        <f>VLOOKUP(B234,'C.P.'!$E$2:$F$164,2,FALSE)</f>
        <v>#N/A</v>
      </c>
      <c r="T234" t="e">
        <f>VLOOKUP(B234,'C.P.'!$G$2:$H$164,2,FALSE)</f>
        <v>#N/A</v>
      </c>
    </row>
    <row r="235" spans="3:20">
      <c r="C235" s="206"/>
      <c r="Q235" t="s">
        <v>1915</v>
      </c>
      <c r="R235" t="e">
        <f>VLOOKUP(B235,'C.P.'!$C$2:$D$164,2,FALSE)</f>
        <v>#N/A</v>
      </c>
      <c r="S235" t="e">
        <f>VLOOKUP(B235,'C.P.'!$E$2:$F$164,2,FALSE)</f>
        <v>#N/A</v>
      </c>
      <c r="T235" t="e">
        <f>VLOOKUP(B235,'C.P.'!$G$2:$H$164,2,FALSE)</f>
        <v>#N/A</v>
      </c>
    </row>
    <row r="236" spans="3:20">
      <c r="C236" s="206"/>
      <c r="Q236" t="s">
        <v>1915</v>
      </c>
      <c r="R236" t="e">
        <f>VLOOKUP(B236,'C.P.'!$C$2:$D$164,2,FALSE)</f>
        <v>#N/A</v>
      </c>
      <c r="S236" t="e">
        <f>VLOOKUP(B236,'C.P.'!$E$2:$F$164,2,FALSE)</f>
        <v>#N/A</v>
      </c>
      <c r="T236" t="e">
        <f>VLOOKUP(B236,'C.P.'!$G$2:$H$164,2,FALSE)</f>
        <v>#N/A</v>
      </c>
    </row>
    <row r="273" spans="17:17">
      <c r="Q273" t="str">
        <f>""</f>
        <v/>
      </c>
    </row>
    <row r="274" spans="17:17">
      <c r="Q274" t="str">
        <f>""</f>
        <v/>
      </c>
    </row>
    <row r="275" spans="17:17">
      <c r="Q275" t="str">
        <f>""</f>
        <v/>
      </c>
    </row>
    <row r="276" spans="17:17">
      <c r="Q276" t="str">
        <f>""</f>
        <v/>
      </c>
    </row>
    <row r="277" spans="17:17">
      <c r="Q277" t="str">
        <f>""</f>
        <v/>
      </c>
    </row>
    <row r="278" spans="17:17">
      <c r="Q278" t="str">
        <f>""</f>
        <v/>
      </c>
    </row>
    <row r="279" spans="17:17">
      <c r="Q279" t="str">
        <f>""</f>
        <v/>
      </c>
    </row>
    <row r="280" spans="17:17">
      <c r="Q280" t="str">
        <f>""</f>
        <v/>
      </c>
    </row>
    <row r="281" spans="17:17">
      <c r="Q281" t="str">
        <f>""</f>
        <v/>
      </c>
    </row>
    <row r="282" spans="17:17">
      <c r="Q282" t="str">
        <f>""</f>
        <v/>
      </c>
    </row>
    <row r="283" spans="17:17">
      <c r="Q283" t="str">
        <f>""</f>
        <v/>
      </c>
    </row>
    <row r="284" spans="17:17">
      <c r="Q284" t="str">
        <f>""</f>
        <v/>
      </c>
    </row>
    <row r="285" spans="17:17">
      <c r="Q285" t="str">
        <f>""</f>
        <v/>
      </c>
    </row>
    <row r="286" spans="17:17">
      <c r="Q286" t="str">
        <f>""</f>
        <v/>
      </c>
    </row>
    <row r="287" spans="17:17">
      <c r="Q287" t="str">
        <f>""</f>
        <v/>
      </c>
    </row>
    <row r="288" spans="17:17">
      <c r="Q288" t="str">
        <f>""</f>
        <v/>
      </c>
    </row>
    <row r="289" spans="17:17">
      <c r="Q289" t="str">
        <f>""</f>
        <v/>
      </c>
    </row>
    <row r="290" spans="17:17">
      <c r="Q290" t="str">
        <f>""</f>
        <v/>
      </c>
    </row>
    <row r="291" spans="17:17">
      <c r="Q291" t="str">
        <f>""</f>
        <v/>
      </c>
    </row>
    <row r="292" spans="17:17">
      <c r="Q292" t="str">
        <f>""</f>
        <v/>
      </c>
    </row>
    <row r="293" spans="17:17">
      <c r="Q293" t="str">
        <f>""</f>
        <v/>
      </c>
    </row>
    <row r="294" spans="17:17">
      <c r="Q294" t="str">
        <f>""</f>
        <v/>
      </c>
    </row>
    <row r="295" spans="17:17">
      <c r="Q295" t="str">
        <f>""</f>
        <v/>
      </c>
    </row>
    <row r="296" spans="17:17">
      <c r="Q296" t="str">
        <f>""</f>
        <v/>
      </c>
    </row>
    <row r="297" spans="17:17">
      <c r="Q297" t="str">
        <f>""</f>
        <v/>
      </c>
    </row>
    <row r="298" spans="17:17">
      <c r="Q298" t="str">
        <f>""</f>
        <v/>
      </c>
    </row>
    <row r="299" spans="17:17">
      <c r="Q299" t="str">
        <f>""</f>
        <v/>
      </c>
    </row>
    <row r="300" spans="17:17">
      <c r="Q300" t="str">
        <f>""</f>
        <v/>
      </c>
    </row>
    <row r="301" spans="17:17">
      <c r="Q301" t="str">
        <f>""</f>
        <v/>
      </c>
    </row>
    <row r="302" spans="17:17">
      <c r="Q302" t="str">
        <f>""</f>
        <v/>
      </c>
    </row>
    <row r="303" spans="17:17">
      <c r="Q303" t="str">
        <f>""</f>
        <v/>
      </c>
    </row>
    <row r="304" spans="17:17">
      <c r="Q304" t="str">
        <f>""</f>
        <v/>
      </c>
    </row>
    <row r="305" spans="17:17">
      <c r="Q305" t="str">
        <f>""</f>
        <v/>
      </c>
    </row>
    <row r="306" spans="17:17">
      <c r="Q306" t="str">
        <f>""</f>
        <v/>
      </c>
    </row>
    <row r="307" spans="17:17">
      <c r="Q307" t="str">
        <f>""</f>
        <v/>
      </c>
    </row>
    <row r="308" spans="17:17">
      <c r="Q308" t="str">
        <f>""</f>
        <v/>
      </c>
    </row>
    <row r="309" spans="17:17">
      <c r="Q309" t="str">
        <f>""</f>
        <v/>
      </c>
    </row>
    <row r="310" spans="17:17">
      <c r="Q310" t="str">
        <f>""</f>
        <v/>
      </c>
    </row>
    <row r="311" spans="17:17">
      <c r="Q311" t="str">
        <f>""</f>
        <v/>
      </c>
    </row>
    <row r="312" spans="17:17">
      <c r="Q312" t="str">
        <f>""</f>
        <v/>
      </c>
    </row>
    <row r="313" spans="17:17">
      <c r="Q313" t="str">
        <f>""</f>
        <v/>
      </c>
    </row>
    <row r="314" spans="17:17">
      <c r="Q314" t="str">
        <f>""</f>
        <v/>
      </c>
    </row>
    <row r="315" spans="17:17">
      <c r="Q315" t="str">
        <f>""</f>
        <v/>
      </c>
    </row>
    <row r="316" spans="17:17">
      <c r="Q316" t="str">
        <f>""</f>
        <v/>
      </c>
    </row>
    <row r="317" spans="17:17">
      <c r="Q317" t="str">
        <f>""</f>
        <v/>
      </c>
    </row>
    <row r="318" spans="17:17">
      <c r="Q318" t="str">
        <f>""</f>
        <v/>
      </c>
    </row>
    <row r="319" spans="17:17">
      <c r="Q319" t="str">
        <f>""</f>
        <v/>
      </c>
    </row>
    <row r="320" spans="17:17">
      <c r="Q320" t="str">
        <f>""</f>
        <v/>
      </c>
    </row>
    <row r="321" spans="17:17">
      <c r="Q321" t="str">
        <f>""</f>
        <v/>
      </c>
    </row>
    <row r="322" spans="17:17">
      <c r="Q322" t="str">
        <f>""</f>
        <v/>
      </c>
    </row>
    <row r="323" spans="17:17">
      <c r="Q323" t="str">
        <f>""</f>
        <v/>
      </c>
    </row>
    <row r="324" spans="17:17">
      <c r="Q324" t="str">
        <f>""</f>
        <v/>
      </c>
    </row>
    <row r="325" spans="17:17">
      <c r="Q325" t="str">
        <f>""</f>
        <v/>
      </c>
    </row>
    <row r="326" spans="17:17">
      <c r="Q326" t="str">
        <f>""</f>
        <v/>
      </c>
    </row>
    <row r="327" spans="17:17">
      <c r="Q327" t="str">
        <f>""</f>
        <v/>
      </c>
    </row>
    <row r="328" spans="17:17">
      <c r="Q328" t="str">
        <f>""</f>
        <v/>
      </c>
    </row>
    <row r="329" spans="17:17">
      <c r="Q329" t="str">
        <f>""</f>
        <v/>
      </c>
    </row>
    <row r="330" spans="17:17">
      <c r="Q330" t="str">
        <f>""</f>
        <v/>
      </c>
    </row>
    <row r="331" spans="17:17">
      <c r="Q331" t="str">
        <f>""</f>
        <v/>
      </c>
    </row>
    <row r="332" spans="17:17">
      <c r="Q332" t="str">
        <f>""</f>
        <v/>
      </c>
    </row>
    <row r="333" spans="17:17">
      <c r="Q333" t="str">
        <f>""</f>
        <v/>
      </c>
    </row>
    <row r="334" spans="17:17">
      <c r="Q334" t="str">
        <f>""</f>
        <v/>
      </c>
    </row>
    <row r="335" spans="17:17">
      <c r="Q335" t="str">
        <f>""</f>
        <v/>
      </c>
    </row>
    <row r="336" spans="17:17">
      <c r="Q336" t="str">
        <f>""</f>
        <v/>
      </c>
    </row>
    <row r="337" spans="17:17">
      <c r="Q337" t="str">
        <f>""</f>
        <v/>
      </c>
    </row>
    <row r="338" spans="17:17">
      <c r="Q338" t="str">
        <f>""</f>
        <v/>
      </c>
    </row>
    <row r="339" spans="17:17">
      <c r="Q339" t="str">
        <f>""</f>
        <v/>
      </c>
    </row>
    <row r="340" spans="17:17">
      <c r="Q340" t="str">
        <f>""</f>
        <v/>
      </c>
    </row>
    <row r="341" spans="17:17">
      <c r="Q341" t="str">
        <f>""</f>
        <v/>
      </c>
    </row>
    <row r="342" spans="17:17">
      <c r="Q342" t="str">
        <f>""</f>
        <v/>
      </c>
    </row>
    <row r="343" spans="17:17">
      <c r="Q343" t="str">
        <f>""</f>
        <v/>
      </c>
    </row>
    <row r="344" spans="17:17">
      <c r="Q344" t="str">
        <f>""</f>
        <v/>
      </c>
    </row>
    <row r="345" spans="17:17">
      <c r="Q345" t="str">
        <f>""</f>
        <v/>
      </c>
    </row>
    <row r="346" spans="17:17">
      <c r="Q346" t="str">
        <f>""</f>
        <v/>
      </c>
    </row>
    <row r="347" spans="17:17">
      <c r="Q347" t="str">
        <f>""</f>
        <v/>
      </c>
    </row>
    <row r="348" spans="17:17">
      <c r="Q348" t="str">
        <f>""</f>
        <v/>
      </c>
    </row>
    <row r="349" spans="17:17">
      <c r="Q349" t="str">
        <f>""</f>
        <v/>
      </c>
    </row>
    <row r="350" spans="17:17">
      <c r="Q350" t="str">
        <f>""</f>
        <v/>
      </c>
    </row>
    <row r="351" spans="17:17">
      <c r="Q351" t="str">
        <f>""</f>
        <v/>
      </c>
    </row>
    <row r="352" spans="17:17">
      <c r="Q352" t="str">
        <f>""</f>
        <v/>
      </c>
    </row>
    <row r="353" spans="17:17">
      <c r="Q353" t="str">
        <f>""</f>
        <v/>
      </c>
    </row>
    <row r="354" spans="17:17">
      <c r="Q354" t="str">
        <f>""</f>
        <v/>
      </c>
    </row>
    <row r="355" spans="17:17">
      <c r="Q355" t="str">
        <f>""</f>
        <v/>
      </c>
    </row>
    <row r="356" spans="17:17">
      <c r="Q356" t="str">
        <f>""</f>
        <v/>
      </c>
    </row>
    <row r="357" spans="17:17">
      <c r="Q357" t="str">
        <f>""</f>
        <v/>
      </c>
    </row>
    <row r="358" spans="17:17">
      <c r="Q358" t="str">
        <f>""</f>
        <v/>
      </c>
    </row>
    <row r="359" spans="17:17">
      <c r="Q359" t="str">
        <f>""</f>
        <v/>
      </c>
    </row>
    <row r="360" spans="17:17">
      <c r="Q360" t="str">
        <f>""</f>
        <v/>
      </c>
    </row>
    <row r="361" spans="17:17">
      <c r="Q361" t="str">
        <f>""</f>
        <v/>
      </c>
    </row>
    <row r="362" spans="17:17">
      <c r="Q362" t="str">
        <f>""</f>
        <v/>
      </c>
    </row>
    <row r="363" spans="17:17">
      <c r="Q363" t="str">
        <f>""</f>
        <v/>
      </c>
    </row>
    <row r="364" spans="17:17">
      <c r="Q364" t="str">
        <f>""</f>
        <v/>
      </c>
    </row>
    <row r="365" spans="17:17">
      <c r="Q365" t="str">
        <f>""</f>
        <v/>
      </c>
    </row>
    <row r="366" spans="17:17">
      <c r="Q366" t="str">
        <f>""</f>
        <v/>
      </c>
    </row>
    <row r="367" spans="17:17">
      <c r="Q367" t="str">
        <f>""</f>
        <v/>
      </c>
    </row>
    <row r="368" spans="17:17">
      <c r="Q368" t="str">
        <f>""</f>
        <v/>
      </c>
    </row>
    <row r="369" spans="17:17">
      <c r="Q369" t="str">
        <f>""</f>
        <v/>
      </c>
    </row>
    <row r="370" spans="17:17">
      <c r="Q370" t="str">
        <f>""</f>
        <v/>
      </c>
    </row>
    <row r="371" spans="17:17">
      <c r="Q371" t="str">
        <f>""</f>
        <v/>
      </c>
    </row>
    <row r="372" spans="17:17">
      <c r="Q372" t="str">
        <f>""</f>
        <v/>
      </c>
    </row>
    <row r="373" spans="17:17">
      <c r="Q373" t="str">
        <f>""</f>
        <v/>
      </c>
    </row>
    <row r="374" spans="17:17">
      <c r="Q374" t="str">
        <f>""</f>
        <v/>
      </c>
    </row>
    <row r="375" spans="17:17">
      <c r="Q375" t="str">
        <f>""</f>
        <v/>
      </c>
    </row>
    <row r="376" spans="17:17">
      <c r="Q376" t="str">
        <f>""</f>
        <v/>
      </c>
    </row>
    <row r="377" spans="17:17">
      <c r="Q377" t="str">
        <f>""</f>
        <v/>
      </c>
    </row>
    <row r="378" spans="17:17">
      <c r="Q378" t="str">
        <f>""</f>
        <v/>
      </c>
    </row>
    <row r="379" spans="17:17">
      <c r="Q379" t="str">
        <f>""</f>
        <v/>
      </c>
    </row>
    <row r="380" spans="17:17">
      <c r="Q380" t="str">
        <f>""</f>
        <v/>
      </c>
    </row>
    <row r="381" spans="17:17">
      <c r="Q381" t="str">
        <f>""</f>
        <v/>
      </c>
    </row>
    <row r="382" spans="17:17">
      <c r="Q382" t="str">
        <f>""</f>
        <v/>
      </c>
    </row>
    <row r="383" spans="17:17">
      <c r="Q383" t="str">
        <f>""</f>
        <v/>
      </c>
    </row>
    <row r="384" spans="17:17">
      <c r="Q384" t="str">
        <f>""</f>
        <v/>
      </c>
    </row>
    <row r="385" spans="17:17">
      <c r="Q385" t="str">
        <f>""</f>
        <v/>
      </c>
    </row>
    <row r="386" spans="17:17">
      <c r="Q386" t="str">
        <f>""</f>
        <v/>
      </c>
    </row>
    <row r="387" spans="17:17">
      <c r="Q387" t="str">
        <f>""</f>
        <v/>
      </c>
    </row>
    <row r="388" spans="17:17">
      <c r="Q388" t="str">
        <f>""</f>
        <v/>
      </c>
    </row>
    <row r="389" spans="17:17">
      <c r="Q389" t="str">
        <f>""</f>
        <v/>
      </c>
    </row>
    <row r="390" spans="17:17">
      <c r="Q390" t="str">
        <f>""</f>
        <v/>
      </c>
    </row>
    <row r="391" spans="17:17">
      <c r="Q391" t="str">
        <f>""</f>
        <v/>
      </c>
    </row>
    <row r="392" spans="17:17">
      <c r="Q392" t="str">
        <f>""</f>
        <v/>
      </c>
    </row>
    <row r="393" spans="17:17">
      <c r="Q393" t="str">
        <f>""</f>
        <v/>
      </c>
    </row>
    <row r="394" spans="17:17">
      <c r="Q394" t="str">
        <f>""</f>
        <v/>
      </c>
    </row>
    <row r="395" spans="17:17">
      <c r="Q395" t="str">
        <f>""</f>
        <v/>
      </c>
    </row>
    <row r="396" spans="17:17">
      <c r="Q396" t="str">
        <f>""</f>
        <v/>
      </c>
    </row>
    <row r="397" spans="17:17">
      <c r="Q397" t="str">
        <f>""</f>
        <v/>
      </c>
    </row>
    <row r="398" spans="17:17">
      <c r="Q398" t="str">
        <f>""</f>
        <v/>
      </c>
    </row>
    <row r="399" spans="17:17">
      <c r="Q399" t="str">
        <f>""</f>
        <v/>
      </c>
    </row>
    <row r="400" spans="17:17">
      <c r="Q400" t="str">
        <f>""</f>
        <v/>
      </c>
    </row>
    <row r="401" spans="17:17">
      <c r="Q401" t="str">
        <f>""</f>
        <v/>
      </c>
    </row>
    <row r="402" spans="17:17">
      <c r="Q402" t="str">
        <f>""</f>
        <v/>
      </c>
    </row>
    <row r="403" spans="17:17">
      <c r="Q403" t="str">
        <f>""</f>
        <v/>
      </c>
    </row>
    <row r="404" spans="17:17">
      <c r="Q404" t="str">
        <f>""</f>
        <v/>
      </c>
    </row>
    <row r="405" spans="17:17">
      <c r="Q405" t="str">
        <f>""</f>
        <v/>
      </c>
    </row>
    <row r="406" spans="17:17">
      <c r="Q406" t="str">
        <f>""</f>
        <v/>
      </c>
    </row>
    <row r="407" spans="17:17">
      <c r="Q407" t="str">
        <f>""</f>
        <v/>
      </c>
    </row>
    <row r="408" spans="17:17">
      <c r="Q408" t="str">
        <f>""</f>
        <v/>
      </c>
    </row>
    <row r="409" spans="17:17">
      <c r="Q409" t="str">
        <f>""</f>
        <v/>
      </c>
    </row>
    <row r="410" spans="17:17">
      <c r="Q410" t="str">
        <f>""</f>
        <v/>
      </c>
    </row>
    <row r="411" spans="17:17">
      <c r="Q411" t="str">
        <f>""</f>
        <v/>
      </c>
    </row>
    <row r="412" spans="17:17">
      <c r="Q412" t="str">
        <f>""</f>
        <v/>
      </c>
    </row>
    <row r="413" spans="17:17">
      <c r="Q413" t="str">
        <f>""</f>
        <v/>
      </c>
    </row>
    <row r="414" spans="17:17">
      <c r="Q414" t="str">
        <f>""</f>
        <v/>
      </c>
    </row>
    <row r="415" spans="17:17">
      <c r="Q415" t="str">
        <f>""</f>
        <v/>
      </c>
    </row>
    <row r="416" spans="17:17">
      <c r="Q416" t="str">
        <f>""</f>
        <v/>
      </c>
    </row>
    <row r="417" spans="17:17">
      <c r="Q417" t="str">
        <f>""</f>
        <v/>
      </c>
    </row>
    <row r="418" spans="17:17">
      <c r="Q418" t="str">
        <f>""</f>
        <v/>
      </c>
    </row>
    <row r="419" spans="17:17">
      <c r="Q419" t="str">
        <f>""</f>
        <v/>
      </c>
    </row>
    <row r="420" spans="17:17">
      <c r="Q420" t="str">
        <f>""</f>
        <v/>
      </c>
    </row>
    <row r="421" spans="17:17">
      <c r="Q421" t="str">
        <f>""</f>
        <v/>
      </c>
    </row>
    <row r="422" spans="17:17">
      <c r="Q422" t="str">
        <f>""</f>
        <v/>
      </c>
    </row>
    <row r="423" spans="17:17">
      <c r="Q423" t="str">
        <f>""</f>
        <v/>
      </c>
    </row>
    <row r="424" spans="17:17">
      <c r="Q424" t="str">
        <f>""</f>
        <v/>
      </c>
    </row>
    <row r="425" spans="17:17">
      <c r="Q425" t="str">
        <f>""</f>
        <v/>
      </c>
    </row>
    <row r="426" spans="17:17">
      <c r="Q426" t="str">
        <f>""</f>
        <v/>
      </c>
    </row>
    <row r="427" spans="17:17">
      <c r="Q427" t="str">
        <f>""</f>
        <v/>
      </c>
    </row>
    <row r="428" spans="17:17">
      <c r="Q428" t="str">
        <f>""</f>
        <v/>
      </c>
    </row>
    <row r="429" spans="17:17">
      <c r="Q429" t="str">
        <f>""</f>
        <v/>
      </c>
    </row>
    <row r="430" spans="17:17">
      <c r="Q430" t="str">
        <f>""</f>
        <v/>
      </c>
    </row>
    <row r="431" spans="17:17">
      <c r="Q431" t="str">
        <f>""</f>
        <v/>
      </c>
    </row>
    <row r="432" spans="17:17">
      <c r="Q432" t="str">
        <f>""</f>
        <v/>
      </c>
    </row>
    <row r="433" spans="17:17">
      <c r="Q433" t="str">
        <f>""</f>
        <v/>
      </c>
    </row>
    <row r="434" spans="17:17">
      <c r="Q434" t="str">
        <f>""</f>
        <v/>
      </c>
    </row>
    <row r="435" spans="17:17">
      <c r="Q435" t="str">
        <f>""</f>
        <v/>
      </c>
    </row>
    <row r="436" spans="17:17">
      <c r="Q436" t="str">
        <f>""</f>
        <v/>
      </c>
    </row>
    <row r="437" spans="17:17">
      <c r="Q437" t="str">
        <f>""</f>
        <v/>
      </c>
    </row>
    <row r="438" spans="17:17">
      <c r="Q438" t="str">
        <f>""</f>
        <v/>
      </c>
    </row>
    <row r="439" spans="17:17">
      <c r="Q439" t="str">
        <f>""</f>
        <v/>
      </c>
    </row>
    <row r="440" spans="17:17">
      <c r="Q440" t="str">
        <f>""</f>
        <v/>
      </c>
    </row>
    <row r="441" spans="17:17">
      <c r="Q441" t="str">
        <f>""</f>
        <v/>
      </c>
    </row>
    <row r="442" spans="17:17">
      <c r="Q442" t="str">
        <f>""</f>
        <v/>
      </c>
    </row>
    <row r="443" spans="17:17">
      <c r="Q443" t="str">
        <f>""</f>
        <v/>
      </c>
    </row>
    <row r="444" spans="17:17">
      <c r="Q444" t="str">
        <f>""</f>
        <v/>
      </c>
    </row>
    <row r="445" spans="17:17">
      <c r="Q445" t="str">
        <f>""</f>
        <v/>
      </c>
    </row>
    <row r="446" spans="17:17">
      <c r="Q446" t="str">
        <f>""</f>
        <v/>
      </c>
    </row>
    <row r="447" spans="17:17">
      <c r="Q447" t="str">
        <f>""</f>
        <v/>
      </c>
    </row>
    <row r="448" spans="17:17">
      <c r="Q448" t="str">
        <f>""</f>
        <v/>
      </c>
    </row>
    <row r="449" spans="17:17">
      <c r="Q449" t="str">
        <f>""</f>
        <v/>
      </c>
    </row>
    <row r="450" spans="17:17">
      <c r="Q450" t="str">
        <f>""</f>
        <v/>
      </c>
    </row>
    <row r="451" spans="17:17">
      <c r="Q451" t="str">
        <f>""</f>
        <v/>
      </c>
    </row>
    <row r="452" spans="17:17">
      <c r="Q452" t="str">
        <f>""</f>
        <v/>
      </c>
    </row>
    <row r="453" spans="17:17">
      <c r="Q453" t="str">
        <f>""</f>
        <v/>
      </c>
    </row>
    <row r="454" spans="17:17">
      <c r="Q454" t="str">
        <f>""</f>
        <v/>
      </c>
    </row>
    <row r="455" spans="17:17">
      <c r="Q455" t="str">
        <f>""</f>
        <v/>
      </c>
    </row>
    <row r="456" spans="17:17">
      <c r="Q456" t="str">
        <f>""</f>
        <v/>
      </c>
    </row>
    <row r="457" spans="17:17">
      <c r="Q457" t="str">
        <f>""</f>
        <v/>
      </c>
    </row>
    <row r="458" spans="17:17">
      <c r="Q458" t="str">
        <f>""</f>
        <v/>
      </c>
    </row>
    <row r="459" spans="17:17">
      <c r="Q459" t="str">
        <f>""</f>
        <v/>
      </c>
    </row>
    <row r="460" spans="17:17">
      <c r="Q460" t="str">
        <f>""</f>
        <v/>
      </c>
    </row>
    <row r="461" spans="17:17">
      <c r="Q461" t="str">
        <f>""</f>
        <v/>
      </c>
    </row>
    <row r="462" spans="17:17">
      <c r="Q462" t="str">
        <f>""</f>
        <v/>
      </c>
    </row>
    <row r="484" spans="17:17">
      <c r="Q484" t="str">
        <f>""</f>
        <v/>
      </c>
    </row>
    <row r="485" spans="17:17">
      <c r="Q485" t="str">
        <f>""</f>
        <v/>
      </c>
    </row>
    <row r="486" spans="17:17">
      <c r="Q486" t="str">
        <f>""</f>
        <v/>
      </c>
    </row>
    <row r="487" spans="17:17">
      <c r="Q487" t="str">
        <f>""</f>
        <v/>
      </c>
    </row>
    <row r="488" spans="17:17">
      <c r="Q488" t="str">
        <f>""</f>
        <v/>
      </c>
    </row>
    <row r="489" spans="17:17">
      <c r="Q489" t="str">
        <f>""</f>
        <v/>
      </c>
    </row>
    <row r="490" spans="17:17">
      <c r="Q490" t="str">
        <f>""</f>
        <v/>
      </c>
    </row>
    <row r="491" spans="17:17">
      <c r="Q491" t="str">
        <f>""</f>
        <v/>
      </c>
    </row>
    <row r="492" spans="17:17">
      <c r="Q492" t="str">
        <f>""</f>
        <v/>
      </c>
    </row>
    <row r="493" spans="17:17">
      <c r="Q493" t="str">
        <f>""</f>
        <v/>
      </c>
    </row>
    <row r="494" spans="17:17">
      <c r="Q494" t="str">
        <f>""</f>
        <v/>
      </c>
    </row>
    <row r="495" spans="17:17">
      <c r="Q495" t="str">
        <f>""</f>
        <v/>
      </c>
    </row>
    <row r="496" spans="17:17">
      <c r="Q496" t="str">
        <f>""</f>
        <v/>
      </c>
    </row>
    <row r="497" spans="17:17">
      <c r="Q497" t="str">
        <f>""</f>
        <v/>
      </c>
    </row>
    <row r="498" spans="17:17">
      <c r="Q498" t="str">
        <f>""</f>
        <v/>
      </c>
    </row>
    <row r="499" spans="17:17">
      <c r="Q499" t="str">
        <f>""</f>
        <v/>
      </c>
    </row>
    <row r="500" spans="17:17">
      <c r="Q500" t="str">
        <f>""</f>
        <v/>
      </c>
    </row>
    <row r="501" spans="17:17">
      <c r="Q501" t="str">
        <f>""</f>
        <v/>
      </c>
    </row>
    <row r="502" spans="17:17">
      <c r="Q502" t="str">
        <f>""</f>
        <v/>
      </c>
    </row>
    <row r="503" spans="17:17">
      <c r="Q503" t="str">
        <f>""</f>
        <v/>
      </c>
    </row>
    <row r="504" spans="17:17">
      <c r="Q504" t="str">
        <f>""</f>
        <v/>
      </c>
    </row>
    <row r="505" spans="17:17">
      <c r="Q505" t="str">
        <f>""</f>
        <v/>
      </c>
    </row>
    <row r="506" spans="17:17">
      <c r="Q506" t="str">
        <f>""</f>
        <v/>
      </c>
    </row>
    <row r="507" spans="17:17">
      <c r="Q507" t="str">
        <f>""</f>
        <v/>
      </c>
    </row>
    <row r="508" spans="17:17">
      <c r="Q508" t="str">
        <f>""</f>
        <v/>
      </c>
    </row>
    <row r="509" spans="17:17">
      <c r="Q509" t="str">
        <f>""</f>
        <v/>
      </c>
    </row>
    <row r="510" spans="17:17">
      <c r="Q510" t="str">
        <f>""</f>
        <v/>
      </c>
    </row>
    <row r="511" spans="17:17">
      <c r="Q511" t="str">
        <f>""</f>
        <v/>
      </c>
    </row>
    <row r="512" spans="17:17">
      <c r="Q512" t="str">
        <f>""</f>
        <v/>
      </c>
    </row>
    <row r="513" spans="17:17">
      <c r="Q513" t="str">
        <f>""</f>
        <v/>
      </c>
    </row>
    <row r="514" spans="17:17">
      <c r="Q514" t="str">
        <f>""</f>
        <v/>
      </c>
    </row>
    <row r="515" spans="17:17">
      <c r="Q515" t="str">
        <f>""</f>
        <v/>
      </c>
    </row>
    <row r="516" spans="17:17">
      <c r="Q516" t="str">
        <f>""</f>
        <v/>
      </c>
    </row>
    <row r="517" spans="17:17">
      <c r="Q517" t="str">
        <f>""</f>
        <v/>
      </c>
    </row>
    <row r="518" spans="17:17">
      <c r="Q518" t="str">
        <f>""</f>
        <v/>
      </c>
    </row>
    <row r="519" spans="17:17">
      <c r="Q519" t="str">
        <f>""</f>
        <v/>
      </c>
    </row>
    <row r="520" spans="17:17">
      <c r="Q520" t="str">
        <f>""</f>
        <v/>
      </c>
    </row>
    <row r="521" spans="17:17">
      <c r="Q521" t="str">
        <f>""</f>
        <v/>
      </c>
    </row>
    <row r="522" spans="17:17">
      <c r="Q522" t="str">
        <f>""</f>
        <v/>
      </c>
    </row>
    <row r="523" spans="17:17">
      <c r="Q523" t="str">
        <f>""</f>
        <v/>
      </c>
    </row>
    <row r="524" spans="17:17">
      <c r="Q524" t="str">
        <f>""</f>
        <v/>
      </c>
    </row>
    <row r="525" spans="17:17">
      <c r="Q525" t="str">
        <f>""</f>
        <v/>
      </c>
    </row>
    <row r="526" spans="17:17">
      <c r="Q526" t="str">
        <f>""</f>
        <v/>
      </c>
    </row>
    <row r="527" spans="17:17">
      <c r="Q527" t="str">
        <f>""</f>
        <v/>
      </c>
    </row>
    <row r="528" spans="17:17">
      <c r="Q528" t="str">
        <f>""</f>
        <v/>
      </c>
    </row>
    <row r="529" spans="17:17">
      <c r="Q529" t="str">
        <f>""</f>
        <v/>
      </c>
    </row>
    <row r="530" spans="17:17">
      <c r="Q530" t="str">
        <f>""</f>
        <v/>
      </c>
    </row>
    <row r="531" spans="17:17">
      <c r="Q531" t="str">
        <f>""</f>
        <v/>
      </c>
    </row>
    <row r="532" spans="17:17">
      <c r="Q532" t="str">
        <f>""</f>
        <v/>
      </c>
    </row>
    <row r="533" spans="17:17">
      <c r="Q533" t="str">
        <f>""</f>
        <v/>
      </c>
    </row>
    <row r="534" spans="17:17">
      <c r="Q534" t="str">
        <f>""</f>
        <v/>
      </c>
    </row>
    <row r="535" spans="17:17">
      <c r="Q535" t="str">
        <f>""</f>
        <v/>
      </c>
    </row>
    <row r="536" spans="17:17">
      <c r="Q536" t="str">
        <f>""</f>
        <v/>
      </c>
    </row>
    <row r="537" spans="17:17">
      <c r="Q537" t="str">
        <f>""</f>
        <v/>
      </c>
    </row>
    <row r="538" spans="17:17">
      <c r="Q538" t="str">
        <f>""</f>
        <v/>
      </c>
    </row>
    <row r="539" spans="17:17">
      <c r="Q539" t="str">
        <f>""</f>
        <v/>
      </c>
    </row>
    <row r="540" spans="17:17">
      <c r="Q540" t="str">
        <f>""</f>
        <v/>
      </c>
    </row>
    <row r="541" spans="17:17">
      <c r="Q541" t="str">
        <f>""</f>
        <v/>
      </c>
    </row>
    <row r="542" spans="17:17">
      <c r="Q542" t="str">
        <f>""</f>
        <v/>
      </c>
    </row>
    <row r="543" spans="17:17">
      <c r="Q543" t="str">
        <f>""</f>
        <v/>
      </c>
    </row>
    <row r="544" spans="17:17">
      <c r="Q544" t="str">
        <f>""</f>
        <v/>
      </c>
    </row>
    <row r="545" spans="17:17">
      <c r="Q545" t="str">
        <f>""</f>
        <v/>
      </c>
    </row>
    <row r="546" spans="17:17">
      <c r="Q546" t="str">
        <f>""</f>
        <v/>
      </c>
    </row>
    <row r="547" spans="17:17">
      <c r="Q547" t="str">
        <f>""</f>
        <v/>
      </c>
    </row>
    <row r="548" spans="17:17">
      <c r="Q548" t="str">
        <f>""</f>
        <v/>
      </c>
    </row>
    <row r="549" spans="17:17">
      <c r="Q549" t="str">
        <f>""</f>
        <v/>
      </c>
    </row>
    <row r="550" spans="17:17">
      <c r="Q550" t="str">
        <f>""</f>
        <v/>
      </c>
    </row>
    <row r="551" spans="17:17">
      <c r="Q551" t="str">
        <f>""</f>
        <v/>
      </c>
    </row>
    <row r="552" spans="17:17">
      <c r="Q552" t="str">
        <f>""</f>
        <v/>
      </c>
    </row>
    <row r="553" spans="17:17">
      <c r="Q553" t="str">
        <f>""</f>
        <v/>
      </c>
    </row>
    <row r="554" spans="17:17">
      <c r="Q554" t="str">
        <f>""</f>
        <v/>
      </c>
    </row>
    <row r="555" spans="17:17">
      <c r="Q555" t="str">
        <f>""</f>
        <v/>
      </c>
    </row>
    <row r="556" spans="17:17">
      <c r="Q556" t="str">
        <f>""</f>
        <v/>
      </c>
    </row>
    <row r="557" spans="17:17">
      <c r="Q557" t="str">
        <f>""</f>
        <v/>
      </c>
    </row>
    <row r="558" spans="17:17">
      <c r="Q558" t="str">
        <f>""</f>
        <v/>
      </c>
    </row>
    <row r="559" spans="17:17">
      <c r="Q559" t="str">
        <f>""</f>
        <v/>
      </c>
    </row>
    <row r="560" spans="17:17">
      <c r="Q560" t="str">
        <f>""</f>
        <v/>
      </c>
    </row>
    <row r="561" spans="17:20">
      <c r="Q561" t="str">
        <f>""</f>
        <v/>
      </c>
      <c r="R561">
        <v>1</v>
      </c>
      <c r="S561">
        <v>1</v>
      </c>
    </row>
    <row r="562" spans="17:20">
      <c r="Q562" t="str">
        <f>""</f>
        <v/>
      </c>
    </row>
    <row r="563" spans="17:20">
      <c r="Q563" t="str">
        <f>""</f>
        <v/>
      </c>
      <c r="R563">
        <v>1</v>
      </c>
    </row>
    <row r="564" spans="17:20">
      <c r="Q564" t="str">
        <f>""</f>
        <v/>
      </c>
    </row>
    <row r="565" spans="17:20">
      <c r="Q565" t="str">
        <f>""</f>
        <v/>
      </c>
      <c r="R565">
        <v>3</v>
      </c>
    </row>
    <row r="566" spans="17:20">
      <c r="Q566" t="str">
        <f>""</f>
        <v/>
      </c>
      <c r="R566">
        <v>2</v>
      </c>
    </row>
    <row r="567" spans="17:20">
      <c r="Q567" t="str">
        <f>""</f>
        <v/>
      </c>
    </row>
    <row r="568" spans="17:20">
      <c r="Q568" t="str">
        <f>""</f>
        <v/>
      </c>
      <c r="R568">
        <v>1</v>
      </c>
      <c r="S568">
        <v>1</v>
      </c>
      <c r="T568">
        <v>1</v>
      </c>
    </row>
    <row r="569" spans="17:20">
      <c r="Q569" t="str">
        <f>""</f>
        <v/>
      </c>
    </row>
    <row r="570" spans="17:20">
      <c r="Q570" t="str">
        <f>""</f>
        <v/>
      </c>
      <c r="R570">
        <v>2</v>
      </c>
    </row>
    <row r="571" spans="17:20">
      <c r="Q571" t="str">
        <f>""</f>
        <v/>
      </c>
    </row>
    <row r="572" spans="17:20">
      <c r="Q572" t="str">
        <f>""</f>
        <v/>
      </c>
    </row>
    <row r="573" spans="17:20">
      <c r="Q573" t="str">
        <f>""</f>
        <v/>
      </c>
    </row>
    <row r="574" spans="17:20">
      <c r="Q574" t="str">
        <f>""</f>
        <v/>
      </c>
      <c r="R574">
        <v>1</v>
      </c>
    </row>
    <row r="575" spans="17:20">
      <c r="Q575" t="str">
        <f>""</f>
        <v/>
      </c>
    </row>
    <row r="576" spans="17:20">
      <c r="Q576" t="str">
        <f>""</f>
        <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c r="R583">
        <v>1</v>
      </c>
    </row>
    <row r="584" spans="17:18">
      <c r="R584">
        <v>3</v>
      </c>
    </row>
  </sheetData>
  <sheetProtection formatRows="0" insertColumns="0"/>
  <autoFilter ref="A1:U184" xr:uid="{00000000-0009-0000-0000-00000C000000}">
    <sortState ref="A2:U236">
      <sortCondition descending="1" ref="J1:J184"/>
    </sortState>
  </autoFilter>
  <conditionalFormatting sqref="C2:C236 B80:B171">
    <cfRule type="expression" dxfId="87" priority="7" stopIfTrue="1">
      <formula>VLOOKUP($B2,TabTuttiGioc,1,FALSE)=$B2</formula>
    </cfRule>
  </conditionalFormatting>
  <conditionalFormatting sqref="A2:A171">
    <cfRule type="cellIs" dxfId="86" priority="10" stopIfTrue="1" operator="lessThan">
      <formula>1</formula>
    </cfRule>
  </conditionalFormatting>
  <conditionalFormatting sqref="B2:B78 B172:B178">
    <cfRule type="expression" dxfId="85" priority="8" stopIfTrue="1">
      <formula>VLOOKUP($B2,TabTuttiGioc,1,FALSE)=$B2</formula>
    </cfRule>
  </conditionalFormatting>
  <conditionalFormatting sqref="B79">
    <cfRule type="duplicateValues" dxfId="84" priority="6"/>
  </conditionalFormatting>
  <conditionalFormatting sqref="B172:B193">
    <cfRule type="expression" dxfId="83" priority="4" stopIfTrue="1">
      <formula>VLOOKUP($B172,TabTuttiGioc,1,FALSE)=$B172</formula>
    </cfRule>
  </conditionalFormatting>
  <conditionalFormatting sqref="B192:B200">
    <cfRule type="expression" dxfId="82" priority="3" stopIfTrue="1">
      <formula>VLOOKUP($B192,TabTuttiGioc,1,FALSE)=$B192</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1">
    <tabColor indexed="63"/>
  </sheetPr>
  <dimension ref="A1:U585"/>
  <sheetViews>
    <sheetView topLeftCell="B1" zoomScale="80" zoomScaleNormal="80" workbookViewId="0">
      <pane xSplit="2" ySplit="1" topLeftCell="D2" activePane="bottomRight" state="frozen"/>
      <selection activeCell="B1" sqref="B1"/>
      <selection pane="topRight" activeCell="D1" sqref="D1"/>
      <selection pane="bottomLeft" activeCell="B157" sqref="B157"/>
      <selection pane="bottomRight" activeCell="J18" sqref="J18"/>
    </sheetView>
  </sheetViews>
  <sheetFormatPr defaultRowHeight="12.75"/>
  <cols>
    <col min="1" max="1" width="0" hidden="1" customWidth="1"/>
    <col min="2" max="2" width="22.140625" bestFit="1" customWidth="1"/>
    <col min="3" max="3" width="12.28515625" customWidth="1"/>
    <col min="4" max="4" width="6.85546875" customWidth="1"/>
    <col min="6" max="6" width="6.85546875" customWidth="1"/>
    <col min="7" max="7" width="6.5703125" customWidth="1"/>
    <col min="8" max="8" width="9.28515625" customWidth="1"/>
    <col min="9" max="9" width="9.42578125" customWidth="1"/>
    <col min="10" max="10" width="25.28515625" bestFit="1" customWidth="1"/>
    <col min="11" max="11" width="22.28515625" style="148" hidden="1" customWidth="1"/>
    <col min="12" max="12" width="22.7109375" style="148" customWidth="1"/>
    <col min="13" max="13" width="13" hidden="1" customWidth="1"/>
    <col min="14" max="14" width="19.28515625" style="148" hidden="1" customWidth="1"/>
    <col min="15" max="15" width="22.7109375" style="148" customWidth="1"/>
    <col min="16" max="16" width="10" bestFit="1" customWidth="1"/>
    <col min="17" max="17" width="15.7109375" bestFit="1" customWidth="1"/>
    <col min="18" max="18" width="10.5703125" bestFit="1" customWidth="1"/>
    <col min="19" max="19" width="11.28515625" bestFit="1" customWidth="1"/>
    <col min="20" max="20" width="11.42578125" bestFit="1" customWidth="1"/>
    <col min="21" max="21" width="17.5703125" customWidth="1"/>
  </cols>
  <sheetData>
    <row r="1" spans="1:21">
      <c r="A1" t="s">
        <v>863</v>
      </c>
      <c r="B1" s="204" t="s">
        <v>40</v>
      </c>
      <c r="C1" s="204" t="s">
        <v>637</v>
      </c>
      <c r="D1" s="204" t="s">
        <v>864</v>
      </c>
      <c r="E1" s="204" t="s">
        <v>865</v>
      </c>
      <c r="F1" s="204" t="s">
        <v>866</v>
      </c>
      <c r="G1" s="204" t="s">
        <v>887</v>
      </c>
      <c r="H1" s="204" t="s">
        <v>888</v>
      </c>
      <c r="I1" s="204" t="s">
        <v>869</v>
      </c>
      <c r="J1" s="157" t="s">
        <v>870</v>
      </c>
      <c r="K1" s="157" t="s">
        <v>871</v>
      </c>
      <c r="L1" s="157" t="s">
        <v>871</v>
      </c>
      <c r="M1" s="157" t="s">
        <v>872</v>
      </c>
      <c r="N1" s="157" t="s">
        <v>873</v>
      </c>
      <c r="O1" s="157" t="s">
        <v>873</v>
      </c>
      <c r="P1" s="218" t="s">
        <v>874</v>
      </c>
      <c r="Q1" s="218" t="s">
        <v>671</v>
      </c>
      <c r="R1" s="218" t="s">
        <v>897</v>
      </c>
      <c r="S1" s="218" t="s">
        <v>898</v>
      </c>
      <c r="T1" s="218" t="s">
        <v>899</v>
      </c>
      <c r="U1" s="152" t="s">
        <v>875</v>
      </c>
    </row>
    <row r="2" spans="1:21">
      <c r="A2">
        <f ca="1">COUNTIF('I.A. + Fasce'!B$1:'I.A. + Fasce'!B$538,#REF!)</f>
        <v>0</v>
      </c>
      <c r="B2" s="211" t="s">
        <v>483</v>
      </c>
      <c r="C2" s="212" t="str">
        <f>VLOOKUP(B2,'IA FG'!$B$2:$G$600,6,FALSE)</f>
        <v>NAP</v>
      </c>
      <c r="D2" s="213">
        <v>8</v>
      </c>
      <c r="E2" s="213">
        <v>9</v>
      </c>
      <c r="F2" s="213">
        <v>9</v>
      </c>
      <c r="G2" s="213">
        <v>9</v>
      </c>
      <c r="H2" s="213">
        <v>9</v>
      </c>
      <c r="I2" s="213">
        <v>9</v>
      </c>
      <c r="J2" s="210">
        <f>$D2*Pesi!$B$16+Pesi!$B$17*$E2+$F2*Pesi!$B$18+$G2*Pesi!$B$19+Pesi!$B$20*$H2+$I2*Pesi!$B$21+Pesi!$B$22*VLOOKUP($C2,TabAlgSqu,2,FALSE)+VLOOKUP($C2,TabAlgFC,2,FALSE)*Pesi!$B$23+Pesi!$B$24*VLOOKUP($C2,TabAlgAll,2,FALSE)</f>
        <v>97.33829999999999</v>
      </c>
      <c r="K2" s="155">
        <f>IF(ISNA(MATCH($B2,Pesi!$B$31:$B$34,0)),VLOOKUP(Pesi!$B$32,TabAlgCen,10,FALSE)-((VLOOKUP(Pesi!$B$32,TabAlgCen,9,FALSE)-$J2)/(VLOOKUP(Pesi!$B$32,TabAlgCen,9,FALSE)-Pesi!$D$42))*VLOOKUP(Pesi!$B$32,TabAlgCen,10,FALSE),Pesi!$F$32*Pesi!$C$28)</f>
        <v>75</v>
      </c>
      <c r="L2" s="155">
        <f t="shared" ref="L2:L33" si="0">IF(K2&lt;=1,1,K2)</f>
        <v>75</v>
      </c>
      <c r="M2" s="154">
        <f>$D2*Pesi!$D$16+Pesi!$D$17*$E2+$F2*Pesi!$D$18+$G2*Pesi!$D$19+Pesi!$D$20*$H2+$I2*Pesi!$D$21+Pesi!$D$22*VLOOKUP($C2,TabAlgSqu,2,FALSE)+VLOOKUP($C2,TabAlgFC,2,FALSE)*Pesi!$D$23+Pesi!$D$24*VLOOKUP($C2,TabAlgAll,2,FALSE)</f>
        <v>93.738299999999995</v>
      </c>
      <c r="N2" s="155">
        <f>IF(ISNA(MATCH($B2,Pesi!$B$31:$B$34,0)),VLOOKUP(Pesi!$B$32,TabAlgCen,13,FALSE)-((VLOOKUP(Pesi!$B$32,TabAlgCen,12,FALSE)-$M2)/(VLOOKUP(Pesi!$B$32,TabAlgCen,12,FALSE)-Pesi!$F$42))*VLOOKUP(Pesi!$B$32,TabAlgCen,13,FALSE),$K2*$M2/$J2)</f>
        <v>72.226168938639773</v>
      </c>
      <c r="O2" s="155">
        <f t="shared" ref="O2:O33" si="1">IF(N2&lt;=1,1,N2)</f>
        <v>72.226168938639773</v>
      </c>
      <c r="P2">
        <f t="shared" ref="P2:P33" si="2">SUM(D2:I2)</f>
        <v>53</v>
      </c>
      <c r="Q2">
        <f>VLOOKUP(B2,'C.P.'!$A$2:$B$164,2,FALSE)</f>
        <v>1</v>
      </c>
      <c r="R2" t="e">
        <f>VLOOKUP(B2,'C.P.'!$C$2:$D$164,2,FALSE)</f>
        <v>#N/A</v>
      </c>
      <c r="S2" t="e">
        <f>VLOOKUP(B2,'C.P.'!$E$2:$F$164,2,FALSE)</f>
        <v>#N/A</v>
      </c>
      <c r="T2" t="e">
        <f>VLOOKUP(B2,'C.P.'!$G$2:$H$164,2,FALSE)</f>
        <v>#N/A</v>
      </c>
      <c r="U2" s="210" t="s">
        <v>876</v>
      </c>
    </row>
    <row r="3" spans="1:21">
      <c r="A3">
        <f ca="1">COUNTIF('I.A. + Fasce'!B$1:'I.A. + Fasce'!B$538,B1)</f>
        <v>0</v>
      </c>
      <c r="B3" s="211" t="s">
        <v>1734</v>
      </c>
      <c r="C3" s="212" t="str">
        <f>VLOOKUP(B3,'IA FG'!$B$2:$G$600,6,FALSE)</f>
        <v>JUV</v>
      </c>
      <c r="D3" s="213">
        <v>9</v>
      </c>
      <c r="E3" s="213">
        <v>9</v>
      </c>
      <c r="F3" s="213">
        <v>9</v>
      </c>
      <c r="G3" s="213">
        <v>7</v>
      </c>
      <c r="H3" s="213">
        <v>8</v>
      </c>
      <c r="I3" s="213">
        <v>9</v>
      </c>
      <c r="J3" s="210">
        <f>$D3*Pesi!$B$16+Pesi!$B$17*$E3+$F3*Pesi!$B$18+$G3*Pesi!$B$19+Pesi!$B$20*$H3+$I3*Pesi!$B$21+Pesi!$B$22*VLOOKUP($C3,TabAlgSqu,2,FALSE)+VLOOKUP($C3,TabAlgFC,2,FALSE)*Pesi!$B$23+Pesi!$B$24*VLOOKUP($C3,TabAlgAll,2,FALSE)</f>
        <v>92.907799999999995</v>
      </c>
      <c r="K3" s="155">
        <f>IF(ISNA(MATCH($B3,Pesi!$B$31:$B$34,0)),VLOOKUP(Pesi!$B$32,TabAlgCen,10,FALSE)-((VLOOKUP(Pesi!$B$32,TabAlgCen,9,FALSE)-$J3)/(VLOOKUP(Pesi!$B$32,TabAlgCen,9,FALSE)-Pesi!$D$42))*VLOOKUP(Pesi!$B$32,TabAlgCen,10,FALSE),Pesi!$F$32*Pesi!$C$28)</f>
        <v>62.84534883295597</v>
      </c>
      <c r="L3" s="155">
        <f t="shared" si="0"/>
        <v>62.84534883295597</v>
      </c>
      <c r="M3" s="154">
        <f>$D3*Pesi!$D$16+Pesi!$D$17*$E3+$F3*Pesi!$D$18+$G3*Pesi!$D$19+Pesi!$D$20*$H3+$I3*Pesi!$D$21+Pesi!$D$22*VLOOKUP($C3,TabAlgSqu,2,FALSE)+VLOOKUP($C3,TabAlgFC,2,FALSE)*Pesi!$D$23+Pesi!$D$24*VLOOKUP($C3,TabAlgAll,2,FALSE)</f>
        <v>89.407799999999995</v>
      </c>
      <c r="N3" s="155">
        <f>IF(ISNA(MATCH($B3,Pesi!$B$31:$B$34,0)),VLOOKUP(Pesi!$B$32,TabAlgCen,13,FALSE)-((VLOOKUP(Pesi!$B$32,TabAlgCen,12,FALSE)-$M3)/(VLOOKUP(Pesi!$B$32,TabAlgCen,12,FALSE)-Pesi!$F$42))*VLOOKUP(Pesi!$B$32,TabAlgCen,13,FALSE),$K3*$M3/$J3)</f>
        <v>60.528513343901899</v>
      </c>
      <c r="O3" s="155">
        <f t="shared" si="1"/>
        <v>60.528513343901899</v>
      </c>
      <c r="P3">
        <f t="shared" si="2"/>
        <v>51</v>
      </c>
      <c r="Q3">
        <f>VLOOKUP(B3,'C.P.'!$A$2:$B$164,2,FALSE)</f>
        <v>1</v>
      </c>
      <c r="R3" t="e">
        <f>VLOOKUP(B3,'C.P.'!$C$2:$D$164,2,FALSE)</f>
        <v>#N/A</v>
      </c>
      <c r="S3">
        <f>VLOOKUP(B3,'C.P.'!$E$2:$F$164,2,FALSE)</f>
        <v>3</v>
      </c>
      <c r="T3" t="e">
        <f>VLOOKUP(B3,'C.P.'!$G$2:$H$164,2,FALSE)</f>
        <v>#N/A</v>
      </c>
      <c r="U3" s="210" t="s">
        <v>877</v>
      </c>
    </row>
    <row r="4" spans="1:21">
      <c r="A4">
        <f ca="1">COUNTIF('I.A. + Fasce'!B$1:'I.A. + Fasce'!B$538,#REF!)</f>
        <v>0</v>
      </c>
      <c r="B4" s="211" t="s">
        <v>582</v>
      </c>
      <c r="C4" s="212" t="str">
        <f>VLOOKUP(B4,'IA FG'!$B$2:$G$600,6,FALSE)</f>
        <v>JUV</v>
      </c>
      <c r="D4" s="213">
        <v>7</v>
      </c>
      <c r="E4" s="213">
        <v>9</v>
      </c>
      <c r="F4" s="213">
        <v>9</v>
      </c>
      <c r="G4" s="213">
        <v>7</v>
      </c>
      <c r="H4" s="213">
        <v>8</v>
      </c>
      <c r="I4" s="213">
        <v>9</v>
      </c>
      <c r="J4" s="210">
        <f>$D4*Pesi!$B$16+Pesi!$B$17*$E4+$F4*Pesi!$B$18+$G4*Pesi!$B$19+Pesi!$B$20*$H4+$I4*Pesi!$B$21+Pesi!$B$22*VLOOKUP($C4,TabAlgSqu,2,FALSE)+VLOOKUP($C4,TabAlgFC,2,FALSE)*Pesi!$B$23+Pesi!$B$24*VLOOKUP($C4,TabAlgAll,2,FALSE)</f>
        <v>90.241200000000006</v>
      </c>
      <c r="K4" s="155">
        <f>IF(ISNA(MATCH($B4,Pesi!$B$31:$B$34,0)),VLOOKUP(Pesi!$B$32,TabAlgCen,10,FALSE)-((VLOOKUP(Pesi!$B$32,TabAlgCen,9,FALSE)-$J4)/(VLOOKUP(Pesi!$B$32,TabAlgCen,9,FALSE)-Pesi!$D$42))*VLOOKUP(Pesi!$B$32,TabAlgCen,10,FALSE),Pesi!$F$32*Pesi!$C$28)</f>
        <v>55.529787880007206</v>
      </c>
      <c r="L4" s="155">
        <f t="shared" si="0"/>
        <v>55.529787880007206</v>
      </c>
      <c r="M4" s="154">
        <f>$D4*Pesi!$D$16+Pesi!$D$17*$E4+$F4*Pesi!$D$18+$G4*Pesi!$D$19+Pesi!$D$20*$H4+$I4*Pesi!$D$21+Pesi!$D$22*VLOOKUP($C4,TabAlgSqu,2,FALSE)+VLOOKUP($C4,TabAlgFC,2,FALSE)*Pesi!$D$23+Pesi!$D$24*VLOOKUP($C4,TabAlgAll,2,FALSE)</f>
        <v>86.741199999999992</v>
      </c>
      <c r="N4" s="155">
        <f>IF(ISNA(MATCH($B4,Pesi!$B$31:$B$34,0)),VLOOKUP(Pesi!$B$32,TabAlgCen,13,FALSE)-((VLOOKUP(Pesi!$B$32,TabAlgCen,12,FALSE)-$M4)/(VLOOKUP(Pesi!$B$32,TabAlgCen,12,FALSE)-Pesi!$F$42))*VLOOKUP(Pesi!$B$32,TabAlgCen,13,FALSE),$K4*$M4/$J4)</f>
        <v>53.325426308010428</v>
      </c>
      <c r="O4" s="155">
        <f t="shared" si="1"/>
        <v>53.325426308010428</v>
      </c>
      <c r="P4">
        <f t="shared" si="2"/>
        <v>49</v>
      </c>
      <c r="Q4" t="e">
        <f>VLOOKUP(B4,'C.P.'!$A$2:$B$164,2,FALSE)</f>
        <v>#N/A</v>
      </c>
      <c r="R4">
        <f>VLOOKUP(B4,'C.P.'!$C$2:$D$164,2,FALSE)</f>
        <v>3</v>
      </c>
      <c r="S4">
        <f>VLOOKUP(B4,'C.P.'!$E$2:$F$164,2,FALSE)</f>
        <v>2</v>
      </c>
      <c r="T4">
        <f>VLOOKUP(B4,'C.P.'!$G$2:$H$164,2,FALSE)</f>
        <v>2</v>
      </c>
      <c r="U4" s="210" t="s">
        <v>880</v>
      </c>
    </row>
    <row r="5" spans="1:21">
      <c r="A5">
        <f ca="1">COUNTIF('I.A. + Fasce'!B$1:'I.A. + Fasce'!B$538,B2)</f>
        <v>1</v>
      </c>
      <c r="B5" s="211" t="s">
        <v>624</v>
      </c>
      <c r="C5" s="212" t="str">
        <f>VLOOKUP(B5,'IA FG'!$B$2:$G$600,6,FALSE)</f>
        <v>NAP</v>
      </c>
      <c r="D5" s="213">
        <v>9</v>
      </c>
      <c r="E5" s="213">
        <v>7</v>
      </c>
      <c r="F5" s="213">
        <v>8</v>
      </c>
      <c r="G5" s="213">
        <v>8</v>
      </c>
      <c r="H5" s="213">
        <v>7</v>
      </c>
      <c r="I5" s="213">
        <v>8</v>
      </c>
      <c r="J5" s="210">
        <f>$D5*Pesi!$B$16+Pesi!$B$17*$E5+$F5*Pesi!$B$18+$G5*Pesi!$B$19+Pesi!$B$20*$H5+$I5*Pesi!$B$21+Pesi!$B$22*VLOOKUP($C5,TabAlgSqu,2,FALSE)+VLOOKUP($C5,TabAlgFC,2,FALSE)*Pesi!$B$23+Pesi!$B$24*VLOOKUP($C5,TabAlgAll,2,FALSE)</f>
        <v>89.159200000000013</v>
      </c>
      <c r="K5" s="155">
        <f>IF(ISNA(MATCH($B5,Pesi!$B$31:$B$34,0)),VLOOKUP(Pesi!$B$32,TabAlgCen,10,FALSE)-((VLOOKUP(Pesi!$B$32,TabAlgCen,9,FALSE)-$J5)/(VLOOKUP(Pesi!$B$32,TabAlgCen,9,FALSE)-Pesi!$D$42))*VLOOKUP(Pesi!$B$32,TabAlgCen,10,FALSE),Pesi!$F$32*Pesi!$C$28)</f>
        <v>52.561424814271604</v>
      </c>
      <c r="L5" s="155">
        <f t="shared" si="0"/>
        <v>52.561424814271604</v>
      </c>
      <c r="M5" s="154">
        <f>$D5*Pesi!$D$16+Pesi!$D$17*$E5+$F5*Pesi!$D$18+$G5*Pesi!$D$19+Pesi!$D$20*$H5+$I5*Pesi!$D$21+Pesi!$D$22*VLOOKUP($C5,TabAlgSqu,2,FALSE)+VLOOKUP($C5,TabAlgFC,2,FALSE)*Pesi!$D$23+Pesi!$D$24*VLOOKUP($C5,TabAlgAll,2,FALSE)</f>
        <v>85.959199999999996</v>
      </c>
      <c r="N5" s="155">
        <f>IF(ISNA(MATCH($B5,Pesi!$B$31:$B$34,0)),VLOOKUP(Pesi!$B$32,TabAlgCen,13,FALSE)-((VLOOKUP(Pesi!$B$32,TabAlgCen,12,FALSE)-$M5)/(VLOOKUP(Pesi!$B$32,TabAlgCen,12,FALSE)-Pesi!$F$42))*VLOOKUP(Pesi!$B$32,TabAlgCen,13,FALSE),$K5*$M5/$J5)</f>
        <v>51.213068225783204</v>
      </c>
      <c r="O5" s="155">
        <f t="shared" si="1"/>
        <v>51.213068225783204</v>
      </c>
      <c r="P5">
        <f t="shared" si="2"/>
        <v>47</v>
      </c>
      <c r="Q5" t="e">
        <f>VLOOKUP(B5,'C.P.'!$A$2:$B$164,2,FALSE)</f>
        <v>#N/A</v>
      </c>
      <c r="R5" t="e">
        <f>VLOOKUP(B5,'C.P.'!$C$2:$D$164,2,FALSE)</f>
        <v>#N/A</v>
      </c>
      <c r="S5" t="e">
        <f>VLOOKUP(B5,'C.P.'!$E$2:$F$164,2,FALSE)</f>
        <v>#N/A</v>
      </c>
      <c r="T5" t="e">
        <f>VLOOKUP(B5,'C.P.'!$G$2:$H$164,2,FALSE)</f>
        <v>#N/A</v>
      </c>
      <c r="U5" s="210" t="s">
        <v>878</v>
      </c>
    </row>
    <row r="6" spans="1:21">
      <c r="A6">
        <f ca="1">COUNTIF('I.A. + Fasce'!B$1:'I.A. + Fasce'!B$538,B4)</f>
        <v>1</v>
      </c>
      <c r="B6" s="211" t="s">
        <v>567</v>
      </c>
      <c r="C6" s="212" t="str">
        <f>VLOOKUP(B6,'IA FG'!$B$2:$G$600,6,FALSE)</f>
        <v>ROM</v>
      </c>
      <c r="D6" s="213">
        <v>9</v>
      </c>
      <c r="E6" s="213">
        <v>9</v>
      </c>
      <c r="F6" s="213">
        <v>8</v>
      </c>
      <c r="G6" s="213">
        <v>8</v>
      </c>
      <c r="H6" s="213">
        <v>6</v>
      </c>
      <c r="I6" s="213">
        <v>8</v>
      </c>
      <c r="J6" s="210">
        <f>$D6*Pesi!$B$16+Pesi!$B$17*$E6+$F6*Pesi!$B$18+$G6*Pesi!$B$19+Pesi!$B$20*$H6+$I6*Pesi!$B$21+Pesi!$B$22*VLOOKUP($C6,TabAlgSqu,2,FALSE)+VLOOKUP($C6,TabAlgFC,2,FALSE)*Pesi!$B$23+Pesi!$B$24*VLOOKUP($C6,TabAlgAll,2,FALSE)</f>
        <v>88.995899999999992</v>
      </c>
      <c r="K6" s="155">
        <f>IF(ISNA(MATCH($B6,Pesi!$B$31:$B$34,0)),VLOOKUP(Pesi!$B$32,TabAlgCen,10,FALSE)-((VLOOKUP(Pesi!$B$32,TabAlgCen,9,FALSE)-$J6)/(VLOOKUP(Pesi!$B$32,TabAlgCen,9,FALSE)-Pesi!$D$42))*VLOOKUP(Pesi!$B$32,TabAlgCen,10,FALSE),Pesi!$F$32*Pesi!$C$28)</f>
        <v>52.113426950468757</v>
      </c>
      <c r="L6" s="155">
        <f t="shared" si="0"/>
        <v>52.113426950468757</v>
      </c>
      <c r="M6" s="154">
        <f>$D6*Pesi!$D$16+Pesi!$D$17*$E6+$F6*Pesi!$D$18+$G6*Pesi!$D$19+Pesi!$D$20*$H6+$I6*Pesi!$D$21+Pesi!$D$22*VLOOKUP($C6,TabAlgSqu,2,FALSE)+VLOOKUP($C6,TabAlgFC,2,FALSE)*Pesi!$D$23+Pesi!$D$24*VLOOKUP($C6,TabAlgAll,2,FALSE)</f>
        <v>85.795900000000003</v>
      </c>
      <c r="N6" s="155">
        <f>IF(ISNA(MATCH($B6,Pesi!$B$31:$B$34,0)),VLOOKUP(Pesi!$B$32,TabAlgCen,13,FALSE)-((VLOOKUP(Pesi!$B$32,TabAlgCen,12,FALSE)-$M6)/(VLOOKUP(Pesi!$B$32,TabAlgCen,12,FALSE)-Pesi!$F$42))*VLOOKUP(Pesi!$B$32,TabAlgCen,13,FALSE),$K6*$M6/$J6)</f>
        <v>50.771958155671072</v>
      </c>
      <c r="O6" s="155">
        <f t="shared" si="1"/>
        <v>50.771958155671072</v>
      </c>
      <c r="P6">
        <f t="shared" si="2"/>
        <v>48</v>
      </c>
      <c r="Q6">
        <f>VLOOKUP(B6,'C.P.'!$A$2:$B$164,2,FALSE)</f>
        <v>1</v>
      </c>
      <c r="R6" t="e">
        <f>VLOOKUP(B6,'C.P.'!$C$2:$D$164,2,FALSE)</f>
        <v>#N/A</v>
      </c>
      <c r="S6" t="e">
        <f>VLOOKUP(B6,'C.P.'!$E$2:$F$164,2,FALSE)</f>
        <v>#N/A</v>
      </c>
      <c r="T6" t="e">
        <f>VLOOKUP(B6,'C.P.'!$G$2:$H$164,2,FALSE)</f>
        <v>#N/A</v>
      </c>
      <c r="U6" s="210" t="s">
        <v>882</v>
      </c>
    </row>
    <row r="7" spans="1:21">
      <c r="A7">
        <f ca="1">COUNTIF('I.A. + Fasce'!B$1:'I.A. + Fasce'!B$538,B5)</f>
        <v>1</v>
      </c>
      <c r="B7" s="211" t="s">
        <v>340</v>
      </c>
      <c r="C7" s="212" t="str">
        <f>VLOOKUP(B7,'IA FG'!$B$2:$G$600,6,FALSE)</f>
        <v>JUV</v>
      </c>
      <c r="D7" s="213">
        <v>10</v>
      </c>
      <c r="E7" s="213">
        <v>7</v>
      </c>
      <c r="F7" s="213">
        <v>8</v>
      </c>
      <c r="G7" s="213">
        <v>7</v>
      </c>
      <c r="H7" s="213">
        <v>7</v>
      </c>
      <c r="I7" s="213">
        <v>8</v>
      </c>
      <c r="J7" s="210">
        <f>$D7*Pesi!$B$16+Pesi!$B$17*$E7+$F7*Pesi!$B$18+$G7*Pesi!$B$19+Pesi!$B$20*$H7+$I7*Pesi!$B$21+Pesi!$B$22*VLOOKUP($C7,TabAlgSqu,2,FALSE)+VLOOKUP($C7,TabAlgFC,2,FALSE)*Pesi!$B$23+Pesi!$B$24*VLOOKUP($C7,TabAlgAll,2,FALSE)</f>
        <v>87.549499999999995</v>
      </c>
      <c r="K7" s="155">
        <f>IF(ISNA(MATCH($B7,Pesi!$B$31:$B$34,0)),VLOOKUP(Pesi!$B$32,TabAlgCen,10,FALSE)-((VLOOKUP(Pesi!$B$32,TabAlgCen,9,FALSE)-$J7)/(VLOOKUP(Pesi!$B$32,TabAlgCen,9,FALSE)-Pesi!$D$42))*VLOOKUP(Pesi!$B$32,TabAlgCen,10,FALSE),Pesi!$F$32*Pesi!$C$28)</f>
        <v>48.145367488102778</v>
      </c>
      <c r="L7" s="155">
        <f t="shared" si="0"/>
        <v>48.145367488102778</v>
      </c>
      <c r="M7" s="154">
        <f>$D7*Pesi!$D$16+Pesi!$D$17*$E7+$F7*Pesi!$D$18+$G7*Pesi!$D$19+Pesi!$D$20*$H7+$I7*Pesi!$D$21+Pesi!$D$22*VLOOKUP($C7,TabAlgSqu,2,FALSE)+VLOOKUP($C7,TabAlgFC,2,FALSE)*Pesi!$D$23+Pesi!$D$24*VLOOKUP($C7,TabAlgAll,2,FALSE)</f>
        <v>84.399499999999989</v>
      </c>
      <c r="N7" s="155">
        <f>IF(ISNA(MATCH($B7,Pesi!$B$31:$B$34,0)),VLOOKUP(Pesi!$B$32,TabAlgCen,13,FALSE)-((VLOOKUP(Pesi!$B$32,TabAlgCen,12,FALSE)-$M7)/(VLOOKUP(Pesi!$B$32,TabAlgCen,12,FALSE)-Pesi!$F$42))*VLOOKUP(Pesi!$B$32,TabAlgCen,13,FALSE),$K7*$M7/$J7)</f>
        <v>46.999967329555815</v>
      </c>
      <c r="O7" s="155">
        <f t="shared" si="1"/>
        <v>46.999967329555815</v>
      </c>
      <c r="P7">
        <f t="shared" si="2"/>
        <v>47</v>
      </c>
      <c r="Q7" t="e">
        <f>VLOOKUP(B7,'C.P.'!$A$2:$B$164,2,FALSE)</f>
        <v>#N/A</v>
      </c>
      <c r="R7" t="e">
        <f>VLOOKUP(B7,'C.P.'!$C$2:$D$164,2,FALSE)</f>
        <v>#N/A</v>
      </c>
      <c r="S7">
        <f>VLOOKUP(B7,'C.P.'!$E$2:$F$164,2,FALSE)</f>
        <v>4</v>
      </c>
      <c r="T7" t="e">
        <f>VLOOKUP(B7,'C.P.'!$G$2:$H$164,2,FALSE)</f>
        <v>#N/A</v>
      </c>
      <c r="U7" s="210" t="s">
        <v>879</v>
      </c>
    </row>
    <row r="8" spans="1:21">
      <c r="A8">
        <f ca="1">COUNTIF('I.A. + Fasce'!B$1:'I.A. + Fasce'!B$538,B6)</f>
        <v>1</v>
      </c>
      <c r="B8" s="211" t="s">
        <v>580</v>
      </c>
      <c r="C8" s="212" t="str">
        <f>VLOOKUP(B8,'IA FG'!$B$2:$G$600,6,FALSE)</f>
        <v>INT</v>
      </c>
      <c r="D8" s="213">
        <v>8</v>
      </c>
      <c r="E8" s="213">
        <v>9</v>
      </c>
      <c r="F8" s="213">
        <v>8</v>
      </c>
      <c r="G8" s="213">
        <v>8</v>
      </c>
      <c r="H8" s="213">
        <v>7</v>
      </c>
      <c r="I8" s="213">
        <v>9</v>
      </c>
      <c r="J8" s="210">
        <f>$D8*Pesi!$B$16+Pesi!$B$17*$E8+$F8*Pesi!$B$18+$G8*Pesi!$B$19+Pesi!$B$20*$H8+$I8*Pesi!$B$21+Pesi!$B$22*VLOOKUP($C8,TabAlgSqu,2,FALSE)+VLOOKUP($C8,TabAlgFC,2,FALSE)*Pesi!$B$23+Pesi!$B$24*VLOOKUP($C8,TabAlgAll,2,FALSE)</f>
        <v>87.282699999999991</v>
      </c>
      <c r="K8" s="155">
        <f>IF(ISNA(MATCH($B8,Pesi!$B$31:$B$34,0)),VLOOKUP(Pesi!$B$32,TabAlgCen,10,FALSE)-((VLOOKUP(Pesi!$B$32,TabAlgCen,9,FALSE)-$J8)/(VLOOKUP(Pesi!$B$32,TabAlgCen,9,FALSE)-Pesi!$D$42))*VLOOKUP(Pesi!$B$32,TabAlgCen,10,FALSE),Pesi!$F$32*Pesi!$C$28)</f>
        <v>47.413427316255948</v>
      </c>
      <c r="L8" s="155">
        <f t="shared" si="0"/>
        <v>47.413427316255948</v>
      </c>
      <c r="M8" s="154">
        <f>$D8*Pesi!$D$16+Pesi!$D$17*$E8+$F8*Pesi!$D$18+$G8*Pesi!$D$19+Pesi!$D$20*$H8+$I8*Pesi!$D$21+Pesi!$D$22*VLOOKUP($C8,TabAlgSqu,2,FALSE)+VLOOKUP($C8,TabAlgFC,2,FALSE)*Pesi!$D$23+Pesi!$D$24*VLOOKUP($C8,TabAlgAll,2,FALSE)</f>
        <v>84.082699999999988</v>
      </c>
      <c r="N8" s="155">
        <f>IF(ISNA(MATCH($B8,Pesi!$B$31:$B$34,0)),VLOOKUP(Pesi!$B$32,TabAlgCen,13,FALSE)-((VLOOKUP(Pesi!$B$32,TabAlgCen,12,FALSE)-$M8)/(VLOOKUP(Pesi!$B$32,TabAlgCen,12,FALSE)-Pesi!$F$42))*VLOOKUP(Pesi!$B$32,TabAlgCen,13,FALSE),$K8*$M8/$J8)</f>
        <v>46.144219195988569</v>
      </c>
      <c r="O8" s="155">
        <f t="shared" si="1"/>
        <v>46.144219195988569</v>
      </c>
      <c r="P8">
        <f t="shared" si="2"/>
        <v>49</v>
      </c>
      <c r="Q8">
        <f>VLOOKUP(B8,'C.P.'!$A$2:$B$164,2,FALSE)</f>
        <v>1</v>
      </c>
      <c r="R8" t="e">
        <f>VLOOKUP(B8,'C.P.'!$C$2:$D$164,2,FALSE)</f>
        <v>#N/A</v>
      </c>
      <c r="S8" t="e">
        <f>VLOOKUP(B8,'C.P.'!$E$2:$F$164,2,FALSE)</f>
        <v>#N/A</v>
      </c>
      <c r="T8" t="e">
        <f>VLOOKUP(B8,'C.P.'!$G$2:$H$164,2,FALSE)</f>
        <v>#N/A</v>
      </c>
      <c r="U8" s="210" t="s">
        <v>881</v>
      </c>
    </row>
    <row r="9" spans="1:21">
      <c r="A9">
        <f ca="1">COUNTIF('I.A. + Fasce'!B$1:'I.A. + Fasce'!B$538,B6)</f>
        <v>1</v>
      </c>
      <c r="B9" s="211" t="s">
        <v>1735</v>
      </c>
      <c r="C9" s="212" t="str">
        <f>VLOOKUP(B9,'IA FG'!$B$2:$G$600,6,FALSE)</f>
        <v>MIL</v>
      </c>
      <c r="D9" s="213">
        <v>7</v>
      </c>
      <c r="E9" s="213">
        <v>8</v>
      </c>
      <c r="F9" s="213">
        <v>8</v>
      </c>
      <c r="G9" s="213">
        <v>8</v>
      </c>
      <c r="H9" s="213">
        <v>7</v>
      </c>
      <c r="I9" s="213">
        <v>9</v>
      </c>
      <c r="J9" s="210">
        <f>$D9*Pesi!$B$16+Pesi!$B$17*$E9+$F9*Pesi!$B$18+$G9*Pesi!$B$19+Pesi!$B$20*$H9+$I9*Pesi!$B$21+Pesi!$B$22*VLOOKUP($C9,TabAlgSqu,2,FALSE)+VLOOKUP($C9,TabAlgFC,2,FALSE)*Pesi!$B$23+Pesi!$B$24*VLOOKUP($C9,TabAlgAll,2,FALSE)</f>
        <v>85.076900000000009</v>
      </c>
      <c r="K9" s="155">
        <f>IF(ISNA(MATCH($B9,Pesi!$B$31:$B$34,0)),VLOOKUP(Pesi!$B$32,TabAlgCen,10,FALSE)-((VLOOKUP(Pesi!$B$32,TabAlgCen,9,FALSE)-$J9)/(VLOOKUP(Pesi!$B$32,TabAlgCen,9,FALSE)-Pesi!$D$42))*VLOOKUP(Pesi!$B$32,TabAlgCen,10,FALSE),Pesi!$F$32*Pesi!$C$28)</f>
        <v>41.362026899990163</v>
      </c>
      <c r="L9" s="155">
        <f t="shared" si="0"/>
        <v>41.362026899990163</v>
      </c>
      <c r="M9" s="154">
        <f>$D9*Pesi!$D$16+Pesi!$D$17*$E9+$F9*Pesi!$D$18+$G9*Pesi!$D$19+Pesi!$D$20*$H9+$I9*Pesi!$D$21+Pesi!$D$22*VLOOKUP($C9,TabAlgSqu,2,FALSE)+VLOOKUP($C9,TabAlgFC,2,FALSE)*Pesi!$D$23+Pesi!$D$24*VLOOKUP($C9,TabAlgAll,2,FALSE)</f>
        <v>81.876899999999992</v>
      </c>
      <c r="N9" s="155">
        <f>IF(ISNA(MATCH($B9,Pesi!$B$31:$B$34,0)),VLOOKUP(Pesi!$B$32,TabAlgCen,13,FALSE)-((VLOOKUP(Pesi!$B$32,TabAlgCen,12,FALSE)-$M9)/(VLOOKUP(Pesi!$B$32,TabAlgCen,12,FALSE)-Pesi!$F$42))*VLOOKUP(Pesi!$B$32,TabAlgCen,13,FALSE),$K9*$M9/$J9)</f>
        <v>40.185856718013099</v>
      </c>
      <c r="O9" s="155">
        <f t="shared" si="1"/>
        <v>40.185856718013099</v>
      </c>
      <c r="P9">
        <f t="shared" si="2"/>
        <v>47</v>
      </c>
      <c r="Q9">
        <f>VLOOKUP(B9,'C.P.'!$A$2:$B$164,2,FALSE)</f>
        <v>1</v>
      </c>
      <c r="R9" t="e">
        <f>VLOOKUP(B9,'C.P.'!$C$2:$D$164,2,FALSE)</f>
        <v>#N/A</v>
      </c>
      <c r="S9">
        <f>VLOOKUP(B9,'C.P.'!$E$2:$F$164,2,FALSE)</f>
        <v>1</v>
      </c>
      <c r="T9">
        <f>VLOOKUP(B9,'C.P.'!$G$2:$H$164,2,FALSE)</f>
        <v>2</v>
      </c>
      <c r="U9" s="210" t="s">
        <v>884</v>
      </c>
    </row>
    <row r="10" spans="1:21">
      <c r="A10">
        <f ca="1">COUNTIF('I.A. + Fasce'!B$1:'I.A. + Fasce'!B$538,B7)</f>
        <v>1</v>
      </c>
      <c r="B10" s="211" t="s">
        <v>302</v>
      </c>
      <c r="C10" s="212" t="str">
        <f>VLOOKUP(B10,'IA FG'!$B$2:$G$600,6,FALSE)</f>
        <v>NAP</v>
      </c>
      <c r="D10" s="213">
        <v>8</v>
      </c>
      <c r="E10" s="213">
        <v>7</v>
      </c>
      <c r="F10" s="213">
        <v>8</v>
      </c>
      <c r="G10" s="213">
        <v>7</v>
      </c>
      <c r="H10" s="213">
        <v>7</v>
      </c>
      <c r="I10" s="213">
        <v>7</v>
      </c>
      <c r="J10" s="210">
        <f>$D10*Pesi!$B$16+Pesi!$B$17*$E10+$F10*Pesi!$B$18+$G10*Pesi!$B$19+Pesi!$B$20*$H10+$I10*Pesi!$B$21+Pesi!$B$22*VLOOKUP($C10,TabAlgSqu,2,FALSE)+VLOOKUP($C10,TabAlgFC,2,FALSE)*Pesi!$B$23+Pesi!$B$24*VLOOKUP($C10,TabAlgAll,2,FALSE)</f>
        <v>85.005100000000013</v>
      </c>
      <c r="K10" s="155">
        <f>IF(ISNA(MATCH($B10,Pesi!$B$31:$B$34,0)),VLOOKUP(Pesi!$B$32,TabAlgCen,10,FALSE)-((VLOOKUP(Pesi!$B$32,TabAlgCen,9,FALSE)-$J10)/(VLOOKUP(Pesi!$B$32,TabAlgCen,9,FALSE)-Pesi!$D$42))*VLOOKUP(Pesi!$B$32,TabAlgCen,10,FALSE),Pesi!$F$32*Pesi!$C$28)</f>
        <v>41.16505049692195</v>
      </c>
      <c r="L10" s="155">
        <f t="shared" si="0"/>
        <v>41.16505049692195</v>
      </c>
      <c r="M10" s="154">
        <f>$D10*Pesi!$D$16+Pesi!$D$17*$E10+$F10*Pesi!$D$18+$G10*Pesi!$D$19+Pesi!$D$20*$H10+$I10*Pesi!$D$21+Pesi!$D$22*VLOOKUP($C10,TabAlgSqu,2,FALSE)+VLOOKUP($C10,TabAlgFC,2,FALSE)*Pesi!$D$23+Pesi!$D$24*VLOOKUP($C10,TabAlgAll,2,FALSE)</f>
        <v>81.855100000000007</v>
      </c>
      <c r="N10" s="155">
        <f>IF(ISNA(MATCH($B10,Pesi!$B$31:$B$34,0)),VLOOKUP(Pesi!$B$32,TabAlgCen,13,FALSE)-((VLOOKUP(Pesi!$B$32,TabAlgCen,12,FALSE)-$M10)/(VLOOKUP(Pesi!$B$32,TabAlgCen,12,FALSE)-Pesi!$F$42))*VLOOKUP(Pesi!$B$32,TabAlgCen,13,FALSE),$K10*$M10/$J10)</f>
        <v>40.12697000932701</v>
      </c>
      <c r="O10" s="155">
        <f t="shared" si="1"/>
        <v>40.12697000932701</v>
      </c>
      <c r="P10">
        <f t="shared" si="2"/>
        <v>44</v>
      </c>
      <c r="Q10" t="e">
        <f>VLOOKUP(B10,'C.P.'!$A$2:$B$164,2,FALSE)</f>
        <v>#N/A</v>
      </c>
      <c r="R10" t="e">
        <f>VLOOKUP(B10,'C.P.'!$C$2:$D$164,2,FALSE)</f>
        <v>#N/A</v>
      </c>
      <c r="S10" t="e">
        <f>VLOOKUP(B10,'C.P.'!$E$2:$F$164,2,FALSE)</f>
        <v>#N/A</v>
      </c>
      <c r="T10" t="e">
        <f>VLOOKUP(B10,'C.P.'!$G$2:$H$164,2,FALSE)</f>
        <v>#N/A</v>
      </c>
      <c r="U10" s="180" t="s">
        <v>883</v>
      </c>
    </row>
    <row r="11" spans="1:21">
      <c r="A11">
        <f ca="1">COUNTIF('I.A. + Fasce'!B$1:'I.A. + Fasce'!B$538,#REF!)</f>
        <v>0</v>
      </c>
      <c r="B11" s="211" t="s">
        <v>513</v>
      </c>
      <c r="C11" s="212" t="str">
        <f>VLOOKUP(B11,'IA FG'!$B$2:$G$600,6,FALSE)</f>
        <v>JUV</v>
      </c>
      <c r="D11" s="213">
        <v>7</v>
      </c>
      <c r="E11" s="213">
        <v>8</v>
      </c>
      <c r="F11" s="213">
        <v>8</v>
      </c>
      <c r="G11" s="213">
        <v>7</v>
      </c>
      <c r="H11" s="213">
        <v>7</v>
      </c>
      <c r="I11" s="213">
        <v>8</v>
      </c>
      <c r="J11" s="210">
        <f>$D11*Pesi!$B$16+Pesi!$B$17*$E11+$F11*Pesi!$B$18+$G11*Pesi!$B$19+Pesi!$B$20*$H11+$I11*Pesi!$B$21+Pesi!$B$22*VLOOKUP($C11,TabAlgSqu,2,FALSE)+VLOOKUP($C11,TabAlgFC,2,FALSE)*Pesi!$B$23+Pesi!$B$24*VLOOKUP($C11,TabAlgAll,2,FALSE)</f>
        <v>84.76209999999999</v>
      </c>
      <c r="K11" s="155">
        <f>IF(ISNA(MATCH($B11,Pesi!$B$31:$B$34,0)),VLOOKUP(Pesi!$B$32,TabAlgCen,10,FALSE)-((VLOOKUP(Pesi!$B$32,TabAlgCen,9,FALSE)-$J11)/(VLOOKUP(Pesi!$B$32,TabAlgCen,9,FALSE)-Pesi!$D$42))*VLOOKUP(Pesi!$B$32,TabAlgCen,10,FALSE),Pesi!$F$32*Pesi!$C$28)</f>
        <v>40.498403338905476</v>
      </c>
      <c r="L11" s="155">
        <f t="shared" si="0"/>
        <v>40.498403338905476</v>
      </c>
      <c r="M11" s="154">
        <f>$D11*Pesi!$D$16+Pesi!$D$17*$E11+$F11*Pesi!$D$18+$G11*Pesi!$D$19+Pesi!$D$20*$H11+$I11*Pesi!$D$21+Pesi!$D$22*VLOOKUP($C11,TabAlgSqu,2,FALSE)+VLOOKUP($C11,TabAlgFC,2,FALSE)*Pesi!$D$23+Pesi!$D$24*VLOOKUP($C11,TabAlgAll,2,FALSE)</f>
        <v>81.612099999999998</v>
      </c>
      <c r="N11" s="155">
        <f>IF(ISNA(MATCH($B11,Pesi!$B$31:$B$34,0)),VLOOKUP(Pesi!$B$32,TabAlgCen,13,FALSE)-((VLOOKUP(Pesi!$B$32,TabAlgCen,12,FALSE)-$M11)/(VLOOKUP(Pesi!$B$32,TabAlgCen,12,FALSE)-Pesi!$F$42))*VLOOKUP(Pesi!$B$32,TabAlgCen,13,FALSE),$K11*$M11/$J11)</f>
        <v>39.470572293238476</v>
      </c>
      <c r="O11" s="155">
        <f t="shared" si="1"/>
        <v>39.470572293238476</v>
      </c>
      <c r="P11">
        <f t="shared" si="2"/>
        <v>45</v>
      </c>
      <c r="Q11" t="e">
        <f>VLOOKUP(B11,'C.P.'!$A$2:$B$164,2,FALSE)</f>
        <v>#N/A</v>
      </c>
      <c r="R11" t="e">
        <f>VLOOKUP(B11,'C.P.'!$C$2:$D$164,2,FALSE)</f>
        <v>#N/A</v>
      </c>
      <c r="S11" t="e">
        <f>VLOOKUP(B11,'C.P.'!$E$2:$F$164,2,FALSE)</f>
        <v>#N/A</v>
      </c>
      <c r="T11" t="e">
        <f>VLOOKUP(B11,'C.P.'!$G$2:$H$164,2,FALSE)</f>
        <v>#N/A</v>
      </c>
      <c r="U11" s="180"/>
    </row>
    <row r="12" spans="1:21">
      <c r="A12">
        <f ca="1">COUNTIF('I.A. + Fasce'!B$1:'I.A. + Fasce'!B$538,B10)</f>
        <v>1</v>
      </c>
      <c r="B12" s="211" t="s">
        <v>606</v>
      </c>
      <c r="C12" s="212" t="str">
        <f>VLOOKUP(B12,'IA FG'!$B$2:$G$600,6,FALSE)</f>
        <v>ROM</v>
      </c>
      <c r="D12" s="213">
        <v>8</v>
      </c>
      <c r="E12" s="213">
        <v>9</v>
      </c>
      <c r="F12" s="213">
        <v>7</v>
      </c>
      <c r="G12" s="213">
        <v>7</v>
      </c>
      <c r="H12" s="213">
        <v>6</v>
      </c>
      <c r="I12" s="213">
        <v>8</v>
      </c>
      <c r="J12" s="210">
        <f>$D12*Pesi!$B$16+Pesi!$B$17*$E12+$F12*Pesi!$B$18+$G12*Pesi!$B$19+Pesi!$B$20*$H12+$I12*Pesi!$B$21+Pesi!$B$22*VLOOKUP($C12,TabAlgSqu,2,FALSE)+VLOOKUP($C12,TabAlgFC,2,FALSE)*Pesi!$B$23+Pesi!$B$24*VLOOKUP($C12,TabAlgAll,2,FALSE)</f>
        <v>84.575100000000006</v>
      </c>
      <c r="K12" s="155">
        <f>IF(ISNA(MATCH($B12,Pesi!$B$31:$B$34,0)),VLOOKUP(Pesi!$B$32,TabAlgCen,10,FALSE)-((VLOOKUP(Pesi!$B$32,TabAlgCen,9,FALSE)-$J12)/(VLOOKUP(Pesi!$B$32,TabAlgCen,9,FALSE)-Pesi!$D$42))*VLOOKUP(Pesi!$B$32,TabAlgCen,10,FALSE),Pesi!$F$32*Pesi!$C$28)</f>
        <v>39.985386801666557</v>
      </c>
      <c r="L12" s="155">
        <f t="shared" si="0"/>
        <v>39.985386801666557</v>
      </c>
      <c r="M12" s="154">
        <f>$D12*Pesi!$D$16+Pesi!$D$17*$E12+$F12*Pesi!$D$18+$G12*Pesi!$D$19+Pesi!$D$20*$H12+$I12*Pesi!$D$21+Pesi!$D$22*VLOOKUP($C12,TabAlgSqu,2,FALSE)+VLOOKUP($C12,TabAlgFC,2,FALSE)*Pesi!$D$23+Pesi!$D$24*VLOOKUP($C12,TabAlgAll,2,FALSE)</f>
        <v>81.775099999999995</v>
      </c>
      <c r="N12" s="155">
        <f>IF(ISNA(MATCH($B12,Pesi!$B$31:$B$34,0)),VLOOKUP(Pesi!$B$32,TabAlgCen,13,FALSE)-((VLOOKUP(Pesi!$B$32,TabAlgCen,12,FALSE)-$M12)/(VLOOKUP(Pesi!$B$32,TabAlgCen,12,FALSE)-Pesi!$F$42))*VLOOKUP(Pesi!$B$32,TabAlgCen,13,FALSE),$K12*$M12/$J12)</f>
        <v>39.910871995799894</v>
      </c>
      <c r="O12" s="155">
        <f t="shared" si="1"/>
        <v>39.910871995799894</v>
      </c>
      <c r="P12">
        <f t="shared" si="2"/>
        <v>45</v>
      </c>
      <c r="Q12">
        <f>VLOOKUP(B12,'C.P.'!$A$2:$B$164,2,FALSE)</f>
        <v>0</v>
      </c>
      <c r="R12">
        <f>VLOOKUP(B12,'C.P.'!$C$2:$D$164,2,FALSE)</f>
        <v>3</v>
      </c>
      <c r="S12" t="e">
        <f>VLOOKUP(B12,'C.P.'!$E$2:$F$164,2,FALSE)</f>
        <v>#N/A</v>
      </c>
      <c r="T12" t="e">
        <f>VLOOKUP(B12,'C.P.'!$G$2:$H$164,2,FALSE)</f>
        <v>#N/A</v>
      </c>
    </row>
    <row r="13" spans="1:21">
      <c r="A13">
        <f ca="1">COUNTIF('I.A. + Fasce'!B$1:'I.A. + Fasce'!B$538,B11)</f>
        <v>1</v>
      </c>
      <c r="B13" s="211" t="s">
        <v>456</v>
      </c>
      <c r="C13" s="212" t="str">
        <f>VLOOKUP(B13,'IA FG'!$B$2:$G$600,6,FALSE)</f>
        <v>LAZ</v>
      </c>
      <c r="D13" s="213">
        <v>9</v>
      </c>
      <c r="E13" s="213">
        <v>8</v>
      </c>
      <c r="F13" s="213">
        <v>7</v>
      </c>
      <c r="G13" s="213">
        <v>8</v>
      </c>
      <c r="H13" s="213">
        <v>7</v>
      </c>
      <c r="I13" s="213">
        <v>8</v>
      </c>
      <c r="J13" s="210">
        <f>$D13*Pesi!$B$16+Pesi!$B$17*$E13+$F13*Pesi!$B$18+$G13*Pesi!$B$19+Pesi!$B$20*$H13+$I13*Pesi!$B$21+Pesi!$B$22*VLOOKUP($C13,TabAlgSqu,2,FALSE)+VLOOKUP($C13,TabAlgFC,2,FALSE)*Pesi!$B$23+Pesi!$B$24*VLOOKUP($C13,TabAlgAll,2,FALSE)</f>
        <v>84.174700000000001</v>
      </c>
      <c r="K13" s="155">
        <f>IF(ISNA(MATCH($B13,Pesi!$B$31:$B$34,0)),VLOOKUP(Pesi!$B$32,TabAlgCen,10,FALSE)-((VLOOKUP(Pesi!$B$32,TabAlgCen,9,FALSE)-$J13)/(VLOOKUP(Pesi!$B$32,TabAlgCen,9,FALSE)-Pesi!$D$42))*VLOOKUP(Pesi!$B$32,TabAlgCen,10,FALSE),Pesi!$F$32*Pesi!$C$28)</f>
        <v>38.886927863107822</v>
      </c>
      <c r="L13" s="155">
        <f t="shared" si="0"/>
        <v>38.886927863107822</v>
      </c>
      <c r="M13" s="154">
        <f>$D13*Pesi!$D$16+Pesi!$D$17*$E13+$F13*Pesi!$D$18+$G13*Pesi!$D$19+Pesi!$D$20*$H13+$I13*Pesi!$D$21+Pesi!$D$22*VLOOKUP($C13,TabAlgSqu,2,FALSE)+VLOOKUP($C13,TabAlgFC,2,FALSE)*Pesi!$D$23+Pesi!$D$24*VLOOKUP($C13,TabAlgAll,2,FALSE)</f>
        <v>81.324700000000007</v>
      </c>
      <c r="N13" s="155">
        <f>IF(ISNA(MATCH($B13,Pesi!$B$31:$B$34,0)),VLOOKUP(Pesi!$B$32,TabAlgCen,13,FALSE)-((VLOOKUP(Pesi!$B$32,TabAlgCen,12,FALSE)-$M13)/(VLOOKUP(Pesi!$B$32,TabAlgCen,12,FALSE)-Pesi!$F$42))*VLOOKUP(Pesi!$B$32,TabAlgCen,13,FALSE),$K13*$M13/$J13)</f>
        <v>38.694240179642456</v>
      </c>
      <c r="O13" s="155">
        <f t="shared" si="1"/>
        <v>38.694240179642456</v>
      </c>
      <c r="P13">
        <f t="shared" si="2"/>
        <v>47</v>
      </c>
      <c r="Q13">
        <f>VLOOKUP(B13,'C.P.'!$A$2:$B$164,2,FALSE)</f>
        <v>0</v>
      </c>
      <c r="R13">
        <f>VLOOKUP(B13,'C.P.'!$C$2:$D$164,2,FALSE)</f>
        <v>3</v>
      </c>
      <c r="S13">
        <f>VLOOKUP(B13,'C.P.'!$E$2:$F$164,2,FALSE)</f>
        <v>1</v>
      </c>
      <c r="T13">
        <f>VLOOKUP(B13,'C.P.'!$G$2:$H$164,2,FALSE)</f>
        <v>1</v>
      </c>
      <c r="U13" s="420"/>
    </row>
    <row r="14" spans="1:21">
      <c r="A14">
        <f ca="1">COUNTIF('I.A. + Fasce'!B$1:'I.A. + Fasce'!B$538,B13)</f>
        <v>1</v>
      </c>
      <c r="B14" s="211" t="s">
        <v>555</v>
      </c>
      <c r="C14" s="212" t="str">
        <f>VLOOKUP(B14,'IA FG'!$B$2:$G$600,6,FALSE)</f>
        <v>LAZ</v>
      </c>
      <c r="D14" s="213">
        <v>9</v>
      </c>
      <c r="E14" s="213">
        <v>9</v>
      </c>
      <c r="F14" s="213">
        <v>7</v>
      </c>
      <c r="G14" s="213">
        <v>7</v>
      </c>
      <c r="H14" s="213">
        <v>7</v>
      </c>
      <c r="I14" s="213">
        <v>8</v>
      </c>
      <c r="J14" s="210">
        <f>$D14*Pesi!$B$16+Pesi!$B$17*$E14+$F14*Pesi!$B$18+$G14*Pesi!$B$19+Pesi!$B$20*$H14+$I14*Pesi!$B$21+Pesi!$B$22*VLOOKUP($C14,TabAlgSqu,2,FALSE)+VLOOKUP($C14,TabAlgFC,2,FALSE)*Pesi!$B$23+Pesi!$B$24*VLOOKUP($C14,TabAlgAll,2,FALSE)</f>
        <v>83.89970000000001</v>
      </c>
      <c r="K14" s="155">
        <f>IF(ISNA(MATCH($B14,Pesi!$B$31:$B$34,0)),VLOOKUP(Pesi!$B$32,TabAlgCen,10,FALSE)-((VLOOKUP(Pesi!$B$32,TabAlgCen,9,FALSE)-$J14)/(VLOOKUP(Pesi!$B$32,TabAlgCen,9,FALSE)-Pesi!$D$42))*VLOOKUP(Pesi!$B$32,TabAlgCen,10,FALSE),Pesi!$F$32*Pesi!$C$28)</f>
        <v>38.132491778932895</v>
      </c>
      <c r="L14" s="155">
        <f t="shared" si="0"/>
        <v>38.132491778932895</v>
      </c>
      <c r="M14" s="154">
        <f>$D14*Pesi!$D$16+Pesi!$D$17*$E14+$F14*Pesi!$D$18+$G14*Pesi!$D$19+Pesi!$D$20*$H14+$I14*Pesi!$D$21+Pesi!$D$22*VLOOKUP($C14,TabAlgSqu,2,FALSE)+VLOOKUP($C14,TabAlgFC,2,FALSE)*Pesi!$D$23+Pesi!$D$24*VLOOKUP($C14,TabAlgAll,2,FALSE)</f>
        <v>81.099699999999999</v>
      </c>
      <c r="N14" s="155">
        <f>IF(ISNA(MATCH($B14,Pesi!$B$31:$B$34,0)),VLOOKUP(Pesi!$B$32,TabAlgCen,13,FALSE)-((VLOOKUP(Pesi!$B$32,TabAlgCen,12,FALSE)-$M14)/(VLOOKUP(Pesi!$B$32,TabAlgCen,12,FALSE)-Pesi!$F$42))*VLOOKUP(Pesi!$B$32,TabAlgCen,13,FALSE),$K14*$M14/$J14)</f>
        <v>38.086464516597509</v>
      </c>
      <c r="O14" s="155">
        <f t="shared" si="1"/>
        <v>38.086464516597509</v>
      </c>
      <c r="P14">
        <f t="shared" si="2"/>
        <v>47</v>
      </c>
      <c r="Q14">
        <f>VLOOKUP(B14,'C.P.'!$A$2:$B$164,2,FALSE)</f>
        <v>1</v>
      </c>
      <c r="R14" t="e">
        <f>VLOOKUP(B14,'C.P.'!$C$2:$D$164,2,FALSE)</f>
        <v>#N/A</v>
      </c>
      <c r="S14" t="e">
        <f>VLOOKUP(B14,'C.P.'!$E$2:$F$164,2,FALSE)</f>
        <v>#N/A</v>
      </c>
      <c r="T14" t="e">
        <f>VLOOKUP(B14,'C.P.'!$G$2:$H$164,2,FALSE)</f>
        <v>#N/A</v>
      </c>
      <c r="U14" s="420"/>
    </row>
    <row r="15" spans="1:21">
      <c r="A15">
        <f ca="1">COUNTIF('I.A. + Fasce'!B$1:'I.A. + Fasce'!B$538,B12)</f>
        <v>1</v>
      </c>
      <c r="B15" s="211" t="s">
        <v>1303</v>
      </c>
      <c r="C15" s="212" t="str">
        <f>VLOOKUP(B15,'IA FG'!$B$2:$G$600,6,FALSE)</f>
        <v>MIL</v>
      </c>
      <c r="D15" s="213">
        <v>9</v>
      </c>
      <c r="E15" s="213">
        <v>8</v>
      </c>
      <c r="F15" s="213">
        <v>8</v>
      </c>
      <c r="G15" s="213">
        <v>7</v>
      </c>
      <c r="H15" s="213">
        <v>6</v>
      </c>
      <c r="I15" s="213">
        <v>8</v>
      </c>
      <c r="J15" s="210">
        <f>$D15*Pesi!$B$16+Pesi!$B$17*$E15+$F15*Pesi!$B$18+$G15*Pesi!$B$19+Pesi!$B$20*$H15+$I15*Pesi!$B$21+Pesi!$B$22*VLOOKUP($C15,TabAlgSqu,2,FALSE)+VLOOKUP($C15,TabAlgFC,2,FALSE)*Pesi!$B$23+Pesi!$B$24*VLOOKUP($C15,TabAlgAll,2,FALSE)</f>
        <v>83.589399999999998</v>
      </c>
      <c r="K15" s="155">
        <f>IF(ISNA(MATCH($B15,Pesi!$B$31:$B$34,0)),VLOOKUP(Pesi!$B$32,TabAlgCen,10,FALSE)-((VLOOKUP(Pesi!$B$32,TabAlgCen,9,FALSE)-$J15)/(VLOOKUP(Pesi!$B$32,TabAlgCen,9,FALSE)-Pesi!$D$42))*VLOOKUP(Pesi!$B$32,TabAlgCen,10,FALSE),Pesi!$F$32*Pesi!$C$28)</f>
        <v>37.281213535589274</v>
      </c>
      <c r="L15" s="155">
        <f t="shared" si="0"/>
        <v>37.281213535589274</v>
      </c>
      <c r="M15" s="154">
        <f>$D15*Pesi!$D$16+Pesi!$D$17*$E15+$F15*Pesi!$D$18+$G15*Pesi!$D$19+Pesi!$D$20*$H15+$I15*Pesi!$D$21+Pesi!$D$22*VLOOKUP($C15,TabAlgSqu,2,FALSE)+VLOOKUP($C15,TabAlgFC,2,FALSE)*Pesi!$D$23+Pesi!$D$24*VLOOKUP($C15,TabAlgAll,2,FALSE)</f>
        <v>80.439399999999992</v>
      </c>
      <c r="N15" s="155">
        <f>IF(ISNA(MATCH($B15,Pesi!$B$31:$B$34,0)),VLOOKUP(Pesi!$B$32,TabAlgCen,13,FALSE)-((VLOOKUP(Pesi!$B$32,TabAlgCen,12,FALSE)-$M15)/(VLOOKUP(Pesi!$B$32,TabAlgCen,12,FALSE)-Pesi!$F$42))*VLOOKUP(Pesi!$B$32,TabAlgCen,13,FALSE),$K15*$M15/$J15)</f>
        <v>36.302845537448341</v>
      </c>
      <c r="O15" s="155">
        <f t="shared" si="1"/>
        <v>36.302845537448341</v>
      </c>
      <c r="P15">
        <f t="shared" si="2"/>
        <v>46</v>
      </c>
      <c r="Q15" t="e">
        <f>VLOOKUP(B15,'C.P.'!$A$2:$B$164,2,FALSE)</f>
        <v>#N/A</v>
      </c>
      <c r="R15">
        <f>VLOOKUP(B15,'C.P.'!$C$2:$D$164,2,FALSE)</f>
        <v>1</v>
      </c>
      <c r="S15" t="e">
        <f>VLOOKUP(B15,'C.P.'!$E$2:$F$164,2,FALSE)</f>
        <v>#N/A</v>
      </c>
      <c r="T15" t="e">
        <f>VLOOKUP(B15,'C.P.'!$G$2:$H$164,2,FALSE)</f>
        <v>#N/A</v>
      </c>
    </row>
    <row r="16" spans="1:21">
      <c r="A16">
        <f ca="1">COUNTIF('I.A. + Fasce'!B$1:'I.A. + Fasce'!B$538,B14)</f>
        <v>1</v>
      </c>
      <c r="B16" s="211" t="s">
        <v>1339</v>
      </c>
      <c r="C16" s="212" t="str">
        <f>VLOOKUP(B16,'IA FG'!$B$2:$G$600,6,FALSE)</f>
        <v>JUV</v>
      </c>
      <c r="D16" s="213">
        <v>8</v>
      </c>
      <c r="E16" s="213">
        <v>7</v>
      </c>
      <c r="F16" s="213">
        <v>8</v>
      </c>
      <c r="G16" s="213">
        <v>7</v>
      </c>
      <c r="H16" s="213">
        <v>7</v>
      </c>
      <c r="I16" s="213">
        <v>7</v>
      </c>
      <c r="J16" s="210">
        <f>$D16*Pesi!$B$16+Pesi!$B$17*$E16+$F16*Pesi!$B$18+$G16*Pesi!$B$19+Pesi!$B$20*$H16+$I16*Pesi!$B$21+Pesi!$B$22*VLOOKUP($C16,TabAlgSqu,2,FALSE)+VLOOKUP($C16,TabAlgFC,2,FALSE)*Pesi!$B$23+Pesi!$B$24*VLOOKUP($C16,TabAlgAll,2,FALSE)</f>
        <v>83.549599999999998</v>
      </c>
      <c r="K16" s="155">
        <f>IF(ISNA(MATCH($B16,Pesi!$B$31:$B$34,0)),VLOOKUP(Pesi!$B$32,TabAlgCen,10,FALSE)-((VLOOKUP(Pesi!$B$32,TabAlgCen,9,FALSE)-$J16)/(VLOOKUP(Pesi!$B$32,TabAlgCen,9,FALSE)-Pesi!$D$42))*VLOOKUP(Pesi!$B$32,TabAlgCen,10,FALSE),Pesi!$F$32*Pesi!$C$28)</f>
        <v>37.172026058679592</v>
      </c>
      <c r="L16" s="155">
        <f t="shared" si="0"/>
        <v>37.172026058679592</v>
      </c>
      <c r="M16" s="154">
        <f>$D16*Pesi!$D$16+Pesi!$D$17*$E16+$F16*Pesi!$D$18+$G16*Pesi!$D$19+Pesi!$D$20*$H16+$I16*Pesi!$D$21+Pesi!$D$22*VLOOKUP($C16,TabAlgSqu,2,FALSE)+VLOOKUP($C16,TabAlgFC,2,FALSE)*Pesi!$D$23+Pesi!$D$24*VLOOKUP($C16,TabAlgAll,2,FALSE)</f>
        <v>80.399599999999992</v>
      </c>
      <c r="N16" s="155">
        <f>IF(ISNA(MATCH($B16,Pesi!$B$31:$B$34,0)),VLOOKUP(Pesi!$B$32,TabAlgCen,13,FALSE)-((VLOOKUP(Pesi!$B$32,TabAlgCen,12,FALSE)-$M16)/(VLOOKUP(Pesi!$B$32,TabAlgCen,12,FALSE)-Pesi!$F$42))*VLOOKUP(Pesi!$B$32,TabAlgCen,13,FALSE),$K16*$M16/$J16)</f>
        <v>36.195336775718616</v>
      </c>
      <c r="O16" s="155">
        <f t="shared" si="1"/>
        <v>36.195336775718616</v>
      </c>
      <c r="P16">
        <f t="shared" si="2"/>
        <v>44</v>
      </c>
      <c r="Q16" t="e">
        <f>VLOOKUP(B16,'C.P.'!$A$2:$B$164,2,FALSE)</f>
        <v>#N/A</v>
      </c>
      <c r="R16" t="e">
        <f>VLOOKUP(B16,'C.P.'!$C$2:$D$164,2,FALSE)</f>
        <v>#N/A</v>
      </c>
      <c r="S16" t="e">
        <f>VLOOKUP(B16,'C.P.'!$E$2:$F$164,2,FALSE)</f>
        <v>#N/A</v>
      </c>
      <c r="T16" t="e">
        <f>VLOOKUP(B16,'C.P.'!$G$2:$H$164,2,FALSE)</f>
        <v>#N/A</v>
      </c>
    </row>
    <row r="17" spans="1:21">
      <c r="A17">
        <f ca="1">COUNTIF('I.A. + Fasce'!B$1:'I.A. + Fasce'!B$538,B15)</f>
        <v>1</v>
      </c>
      <c r="B17" s="211" t="s">
        <v>1938</v>
      </c>
      <c r="C17" s="212" t="str">
        <f>VLOOKUP(B17,'IA FG'!$B$2:$G$600,6,FALSE)</f>
        <v>JUV</v>
      </c>
      <c r="D17" s="213">
        <v>8</v>
      </c>
      <c r="E17" s="213">
        <v>7</v>
      </c>
      <c r="F17" s="213">
        <v>8</v>
      </c>
      <c r="G17" s="213">
        <v>7</v>
      </c>
      <c r="H17" s="213">
        <v>7</v>
      </c>
      <c r="I17" s="213">
        <v>7</v>
      </c>
      <c r="J17" s="210">
        <f>$D17*Pesi!$B$16+Pesi!$B$17*$E17+$F17*Pesi!$B$18+$G17*Pesi!$B$19+Pesi!$B$20*$H17+$I17*Pesi!$B$21+Pesi!$B$22*VLOOKUP($C17,TabAlgSqu,2,FALSE)+VLOOKUP($C17,TabAlgFC,2,FALSE)*Pesi!$B$23+Pesi!$B$24*VLOOKUP($C17,TabAlgAll,2,FALSE)</f>
        <v>83.549599999999998</v>
      </c>
      <c r="K17" s="155">
        <f>IF(ISNA(MATCH($B17,Pesi!$B$31:$B$34,0)),VLOOKUP(Pesi!$B$32,TabAlgCen,10,FALSE)-((VLOOKUP(Pesi!$B$32,TabAlgCen,9,FALSE)-$J17)/(VLOOKUP(Pesi!$B$32,TabAlgCen,9,FALSE)-Pesi!$D$42))*VLOOKUP(Pesi!$B$32,TabAlgCen,10,FALSE),Pesi!$F$32*Pesi!$C$28)</f>
        <v>37.172026058679592</v>
      </c>
      <c r="L17" s="155">
        <f t="shared" si="0"/>
        <v>37.172026058679592</v>
      </c>
      <c r="M17" s="154">
        <f>$D17*Pesi!$D$16+Pesi!$D$17*$E17+$F17*Pesi!$D$18+$G17*Pesi!$D$19+Pesi!$D$20*$H17+$I17*Pesi!$D$21+Pesi!$D$22*VLOOKUP($C17,TabAlgSqu,2,FALSE)+VLOOKUP($C17,TabAlgFC,2,FALSE)*Pesi!$D$23+Pesi!$D$24*VLOOKUP($C17,TabAlgAll,2,FALSE)</f>
        <v>80.399599999999992</v>
      </c>
      <c r="N17" s="155">
        <f>IF(ISNA(MATCH($B17,Pesi!$B$31:$B$34,0)),VLOOKUP(Pesi!$B$32,TabAlgCen,13,FALSE)-((VLOOKUP(Pesi!$B$32,TabAlgCen,12,FALSE)-$M17)/(VLOOKUP(Pesi!$B$32,TabAlgCen,12,FALSE)-Pesi!$F$42))*VLOOKUP(Pesi!$B$32,TabAlgCen,13,FALSE),$K17*$M17/$J17)</f>
        <v>36.195336775718616</v>
      </c>
      <c r="O17" s="155">
        <f t="shared" si="1"/>
        <v>36.195336775718616</v>
      </c>
      <c r="P17">
        <f t="shared" si="2"/>
        <v>44</v>
      </c>
      <c r="Q17" t="e">
        <f>VLOOKUP(B17,'C.P.'!$A$2:$B$164,2,FALSE)</f>
        <v>#N/A</v>
      </c>
      <c r="R17" t="e">
        <f>VLOOKUP(B17,'C.P.'!$C$2:$D$164,2,FALSE)</f>
        <v>#N/A</v>
      </c>
      <c r="S17" t="e">
        <f>VLOOKUP(B17,'C.P.'!$E$2:$F$164,2,FALSE)</f>
        <v>#N/A</v>
      </c>
      <c r="T17" t="e">
        <f>VLOOKUP(B17,'C.P.'!$G$2:$H$164,2,FALSE)</f>
        <v>#N/A</v>
      </c>
    </row>
    <row r="18" spans="1:21">
      <c r="A18">
        <f ca="1">COUNTIF('I.A. + Fasce'!B$1:'I.A. + Fasce'!B$538,B15)</f>
        <v>1</v>
      </c>
      <c r="B18" s="211" t="s">
        <v>493</v>
      </c>
      <c r="C18" s="212" t="str">
        <f>VLOOKUP(B18,'IA FG'!$B$2:$G$600,6,FALSE)</f>
        <v>TOR</v>
      </c>
      <c r="D18" s="213">
        <v>9</v>
      </c>
      <c r="E18" s="213">
        <v>8</v>
      </c>
      <c r="F18" s="213">
        <v>7</v>
      </c>
      <c r="G18" s="213">
        <v>8</v>
      </c>
      <c r="H18" s="213">
        <v>7</v>
      </c>
      <c r="I18" s="213">
        <v>8</v>
      </c>
      <c r="J18" s="210">
        <f>$D18*Pesi!$B$16+Pesi!$B$17*$E18+$F18*Pesi!$B$18+$G18*Pesi!$B$19+Pesi!$B$20*$H18+$I18*Pesi!$B$21+Pesi!$B$22*VLOOKUP($C18,TabAlgSqu,2,FALSE)+VLOOKUP($C18,TabAlgFC,2,FALSE)*Pesi!$B$23+Pesi!$B$24*VLOOKUP($C18,TabAlgAll,2,FALSE)</f>
        <v>83.1477</v>
      </c>
      <c r="K18" s="155">
        <f>IF(ISNA(MATCH($B18,Pesi!$B$31:$B$34,0)),VLOOKUP(Pesi!$B$32,TabAlgCen,10,FALSE)-((VLOOKUP(Pesi!$B$32,TabAlgCen,9,FALSE)-$J18)/(VLOOKUP(Pesi!$B$32,TabAlgCen,9,FALSE)-Pesi!$D$42))*VLOOKUP(Pesi!$B$32,TabAlgCen,10,FALSE),Pesi!$F$32*Pesi!$C$28)</f>
        <v>36.069452014207187</v>
      </c>
      <c r="L18" s="155">
        <f t="shared" si="0"/>
        <v>36.069452014207187</v>
      </c>
      <c r="M18" s="154">
        <f>$D18*Pesi!$D$16+Pesi!$D$17*$E18+$F18*Pesi!$D$18+$G18*Pesi!$D$19+Pesi!$D$20*$H18+$I18*Pesi!$D$21+Pesi!$D$22*VLOOKUP($C18,TabAlgSqu,2,FALSE)+VLOOKUP($C18,TabAlgFC,2,FALSE)*Pesi!$D$23+Pesi!$D$24*VLOOKUP($C18,TabAlgAll,2,FALSE)</f>
        <v>80.297700000000006</v>
      </c>
      <c r="N18" s="155">
        <f>IF(ISNA(MATCH($B18,Pesi!$B$31:$B$34,0)),VLOOKUP(Pesi!$B$32,TabAlgCen,13,FALSE)-((VLOOKUP(Pesi!$B$32,TabAlgCen,12,FALSE)-$M18)/(VLOOKUP(Pesi!$B$32,TabAlgCen,12,FALSE)-Pesi!$F$42))*VLOOKUP(Pesi!$B$32,TabAlgCen,13,FALSE),$K18*$M18/$J18)</f>
        <v>35.920081930988538</v>
      </c>
      <c r="O18" s="155">
        <f t="shared" si="1"/>
        <v>35.920081930988538</v>
      </c>
      <c r="P18">
        <f t="shared" si="2"/>
        <v>47</v>
      </c>
      <c r="Q18">
        <f>VLOOKUP(B18,'C.P.'!$A$2:$B$164,2,FALSE)</f>
        <v>1</v>
      </c>
      <c r="R18">
        <f>VLOOKUP(B18,'C.P.'!$C$2:$D$164,2,FALSE)</f>
        <v>3</v>
      </c>
      <c r="S18">
        <f>VLOOKUP(B18,'C.P.'!$E$2:$F$164,2,FALSE)</f>
        <v>1</v>
      </c>
      <c r="T18" t="e">
        <f>VLOOKUP(B18,'C.P.'!$G$2:$H$164,2,FALSE)</f>
        <v>#N/A</v>
      </c>
    </row>
    <row r="19" spans="1:21">
      <c r="A19">
        <f ca="1">COUNTIF('I.A. + Fasce'!B$1:'I.A. + Fasce'!B$538,B18)</f>
        <v>1</v>
      </c>
      <c r="B19" s="211" t="s">
        <v>532</v>
      </c>
      <c r="C19" s="212" t="str">
        <f>VLOOKUP(B19,'IA FG'!$B$2:$G$600,6,FALSE)</f>
        <v>TOR</v>
      </c>
      <c r="D19" s="213">
        <v>8</v>
      </c>
      <c r="E19" s="213">
        <v>9</v>
      </c>
      <c r="F19" s="213">
        <v>7</v>
      </c>
      <c r="G19" s="213">
        <v>8</v>
      </c>
      <c r="H19" s="213">
        <v>7</v>
      </c>
      <c r="I19" s="213">
        <v>8</v>
      </c>
      <c r="J19" s="210">
        <f>$D19*Pesi!$B$16+Pesi!$B$17*$E19+$F19*Pesi!$B$18+$G19*Pesi!$B$19+Pesi!$B$20*$H19+$I19*Pesi!$B$21+Pesi!$B$22*VLOOKUP($C19,TabAlgSqu,2,FALSE)+VLOOKUP($C19,TabAlgFC,2,FALSE)*Pesi!$B$23+Pesi!$B$24*VLOOKUP($C19,TabAlgAll,2,FALSE)</f>
        <v>83.026899999999998</v>
      </c>
      <c r="K19" s="155">
        <f>IF(ISNA(MATCH($B19,Pesi!$B$31:$B$34,0)),VLOOKUP(Pesi!$B$32,TabAlgCen,10,FALSE)-((VLOOKUP(Pesi!$B$32,TabAlgCen,9,FALSE)-$J19)/(VLOOKUP(Pesi!$B$32,TabAlgCen,9,FALSE)-Pesi!$D$42))*VLOOKUP(Pesi!$B$32,TabAlgCen,10,FALSE),Pesi!$F$32*Pesi!$C$28)</f>
        <v>35.738048817958699</v>
      </c>
      <c r="L19" s="155">
        <f t="shared" si="0"/>
        <v>35.738048817958699</v>
      </c>
      <c r="M19" s="154">
        <f>$D19*Pesi!$D$16+Pesi!$D$17*$E19+$F19*Pesi!$D$18+$G19*Pesi!$D$19+Pesi!$D$20*$H19+$I19*Pesi!$D$21+Pesi!$D$22*VLOOKUP($C19,TabAlgSqu,2,FALSE)+VLOOKUP($C19,TabAlgFC,2,FALSE)*Pesi!$D$23+Pesi!$D$24*VLOOKUP($C19,TabAlgAll,2,FALSE)</f>
        <v>80.176900000000003</v>
      </c>
      <c r="N19" s="155">
        <f>IF(ISNA(MATCH($B19,Pesi!$B$31:$B$34,0)),VLOOKUP(Pesi!$B$32,TabAlgCen,13,FALSE)-((VLOOKUP(Pesi!$B$32,TabAlgCen,12,FALSE)-$M19)/(VLOOKUP(Pesi!$B$32,TabAlgCen,12,FALSE)-Pesi!$F$42))*VLOOKUP(Pesi!$B$32,TabAlgCen,13,FALSE),$K19*$M19/$J19)</f>
        <v>35.593773930562627</v>
      </c>
      <c r="O19" s="155">
        <f t="shared" si="1"/>
        <v>35.593773930562627</v>
      </c>
      <c r="P19">
        <f t="shared" si="2"/>
        <v>47</v>
      </c>
      <c r="Q19">
        <f>VLOOKUP(B19,'C.P.'!$A$2:$B$164,2,FALSE)</f>
        <v>1</v>
      </c>
      <c r="R19">
        <f>VLOOKUP(B19,'C.P.'!$C$2:$D$164,2,FALSE)</f>
        <v>2</v>
      </c>
      <c r="S19">
        <f>VLOOKUP(B19,'C.P.'!$E$2:$F$164,2,FALSE)</f>
        <v>4</v>
      </c>
      <c r="T19">
        <f>VLOOKUP(B19,'C.P.'!$G$2:$H$164,2,FALSE)</f>
        <v>1</v>
      </c>
    </row>
    <row r="20" spans="1:21">
      <c r="A20">
        <f ca="1">COUNTIF('I.A. + Fasce'!B$1:'I.A. + Fasce'!B$538,B18)</f>
        <v>1</v>
      </c>
      <c r="B20" s="211" t="s">
        <v>378</v>
      </c>
      <c r="C20" s="212" t="str">
        <f>VLOOKUP(B20,'IA FG'!$B$2:$G$600,6,FALSE)</f>
        <v>INT</v>
      </c>
      <c r="D20" s="213">
        <v>8</v>
      </c>
      <c r="E20" s="213">
        <v>9</v>
      </c>
      <c r="F20" s="213">
        <v>7</v>
      </c>
      <c r="G20" s="213">
        <v>7</v>
      </c>
      <c r="H20" s="213">
        <v>7</v>
      </c>
      <c r="I20" s="213">
        <v>8</v>
      </c>
      <c r="J20" s="210">
        <f>$D20*Pesi!$B$16+Pesi!$B$17*$E20+$F20*Pesi!$B$18+$G20*Pesi!$B$19+Pesi!$B$20*$H20+$I20*Pesi!$B$21+Pesi!$B$22*VLOOKUP($C20,TabAlgSqu,2,FALSE)+VLOOKUP($C20,TabAlgFC,2,FALSE)*Pesi!$B$23+Pesi!$B$24*VLOOKUP($C20,TabAlgAll,2,FALSE)</f>
        <v>82.861899999999991</v>
      </c>
      <c r="K20" s="155">
        <f>IF(ISNA(MATCH($B20,Pesi!$B$31:$B$34,0)),VLOOKUP(Pesi!$B$32,TabAlgCen,10,FALSE)-((VLOOKUP(Pesi!$B$32,TabAlgCen,9,FALSE)-$J20)/(VLOOKUP(Pesi!$B$32,TabAlgCen,9,FALSE)-Pesi!$D$42))*VLOOKUP(Pesi!$B$32,TabAlgCen,10,FALSE),Pesi!$F$32*Pesi!$C$28)</f>
        <v>35.285387167453706</v>
      </c>
      <c r="L20" s="155">
        <f t="shared" si="0"/>
        <v>35.285387167453706</v>
      </c>
      <c r="M20" s="154">
        <f>$D20*Pesi!$D$16+Pesi!$D$17*$E20+$F20*Pesi!$D$18+$G20*Pesi!$D$19+Pesi!$D$20*$H20+$I20*Pesi!$D$21+Pesi!$D$22*VLOOKUP($C20,TabAlgSqu,2,FALSE)+VLOOKUP($C20,TabAlgFC,2,FALSE)*Pesi!$D$23+Pesi!$D$24*VLOOKUP($C20,TabAlgAll,2,FALSE)</f>
        <v>80.061899999999994</v>
      </c>
      <c r="N20" s="155">
        <f>IF(ISNA(MATCH($B20,Pesi!$B$31:$B$34,0)),VLOOKUP(Pesi!$B$32,TabAlgCen,13,FALSE)-((VLOOKUP(Pesi!$B$32,TabAlgCen,12,FALSE)-$M20)/(VLOOKUP(Pesi!$B$32,TabAlgCen,12,FALSE)-Pesi!$F$42))*VLOOKUP(Pesi!$B$32,TabAlgCen,13,FALSE),$K20*$M20/$J20)</f>
        <v>35.283133036117427</v>
      </c>
      <c r="O20" s="155">
        <f t="shared" si="1"/>
        <v>35.283133036117427</v>
      </c>
      <c r="P20">
        <f t="shared" si="2"/>
        <v>46</v>
      </c>
      <c r="Q20" t="e">
        <f>VLOOKUP(B20,'C.P.'!$A$2:$B$164,2,FALSE)</f>
        <v>#N/A</v>
      </c>
      <c r="R20">
        <f>VLOOKUP(B20,'C.P.'!$C$2:$D$164,2,FALSE)</f>
        <v>2</v>
      </c>
      <c r="S20">
        <f>VLOOKUP(B20,'C.P.'!$E$2:$F$164,2,FALSE)</f>
        <v>2</v>
      </c>
      <c r="T20" t="e">
        <f>VLOOKUP(B20,'C.P.'!$G$2:$H$164,2,FALSE)</f>
        <v>#N/A</v>
      </c>
    </row>
    <row r="21" spans="1:21">
      <c r="A21">
        <f ca="1">COUNTIF('I.A. + Fasce'!B$1:'I.A. + Fasce'!B$538,B19)</f>
        <v>1</v>
      </c>
      <c r="B21" s="211" t="s">
        <v>461</v>
      </c>
      <c r="C21" s="212" t="str">
        <f>VLOOKUP(B21,'IA FG'!$B$2:$G$600,6,FALSE)</f>
        <v>ATA</v>
      </c>
      <c r="D21" s="213">
        <v>9</v>
      </c>
      <c r="E21" s="213">
        <v>8</v>
      </c>
      <c r="F21" s="213">
        <v>8</v>
      </c>
      <c r="G21" s="213">
        <v>8</v>
      </c>
      <c r="H21" s="213">
        <v>5</v>
      </c>
      <c r="I21" s="213">
        <v>8</v>
      </c>
      <c r="J21" s="210">
        <f>$D21*Pesi!$B$16+Pesi!$B$17*$E21+$F21*Pesi!$B$18+$G21*Pesi!$B$19+Pesi!$B$20*$H21+$I21*Pesi!$B$21+Pesi!$B$22*VLOOKUP($C21,TabAlgSqu,2,FALSE)+VLOOKUP($C21,TabAlgFC,2,FALSE)*Pesi!$B$23+Pesi!$B$24*VLOOKUP($C21,TabAlgAll,2,FALSE)</f>
        <v>82.303600000000003</v>
      </c>
      <c r="K21" s="155">
        <f>IF(ISNA(MATCH($B21,Pesi!$B$31:$B$34,0)),VLOOKUP(Pesi!$B$32,TabAlgCen,10,FALSE)-((VLOOKUP(Pesi!$B$32,TabAlgCen,9,FALSE)-$J21)/(VLOOKUP(Pesi!$B$32,TabAlgCen,9,FALSE)-Pesi!$D$42))*VLOOKUP(Pesi!$B$32,TabAlgCen,10,FALSE),Pesi!$F$32*Pesi!$C$28)</f>
        <v>33.753744746381471</v>
      </c>
      <c r="L21" s="155">
        <f t="shared" si="0"/>
        <v>33.753744746381471</v>
      </c>
      <c r="M21" s="154">
        <f>$D21*Pesi!$D$16+Pesi!$D$17*$E21+$F21*Pesi!$D$18+$G21*Pesi!$D$19+Pesi!$D$20*$H21+$I21*Pesi!$D$21+Pesi!$D$22*VLOOKUP($C21,TabAlgSqu,2,FALSE)+VLOOKUP($C21,TabAlgFC,2,FALSE)*Pesi!$D$23+Pesi!$D$24*VLOOKUP($C21,TabAlgAll,2,FALSE)</f>
        <v>79.1036</v>
      </c>
      <c r="N21" s="155">
        <f>IF(ISNA(MATCH($B21,Pesi!$B$31:$B$34,0)),VLOOKUP(Pesi!$B$32,TabAlgCen,13,FALSE)-((VLOOKUP(Pesi!$B$32,TabAlgCen,12,FALSE)-$M21)/(VLOOKUP(Pesi!$B$32,TabAlgCen,12,FALSE)-Pesi!$F$42))*VLOOKUP(Pesi!$B$32,TabAlgCen,13,FALSE),$K21*$M21/$J21)</f>
        <v>32.694548956579908</v>
      </c>
      <c r="O21" s="155">
        <f t="shared" si="1"/>
        <v>32.694548956579908</v>
      </c>
      <c r="P21">
        <f t="shared" si="2"/>
        <v>46</v>
      </c>
      <c r="Q21">
        <f>VLOOKUP(B21,'C.P.'!$A$2:$B$164,2,FALSE)</f>
        <v>1</v>
      </c>
      <c r="R21" t="e">
        <f>VLOOKUP(B21,'C.P.'!$C$2:$D$164,2,FALSE)</f>
        <v>#N/A</v>
      </c>
      <c r="S21" t="e">
        <f>VLOOKUP(B21,'C.P.'!$E$2:$F$164,2,FALSE)</f>
        <v>#N/A</v>
      </c>
      <c r="T21" t="e">
        <f>VLOOKUP(B21,'C.P.'!$G$2:$H$164,2,FALSE)</f>
        <v>#N/A</v>
      </c>
    </row>
    <row r="22" spans="1:21" ht="12.75" customHeight="1">
      <c r="A22">
        <f ca="1">COUNTIF('I.A. + Fasce'!B$1:'I.A. + Fasce'!B$538,B19)</f>
        <v>1</v>
      </c>
      <c r="B22" s="443" t="s">
        <v>508</v>
      </c>
      <c r="C22" s="212" t="str">
        <f>VLOOKUP(B22,'IA FG'!$B$2:$G$600,6,FALSE)</f>
        <v>NAP</v>
      </c>
      <c r="D22" s="213">
        <v>8</v>
      </c>
      <c r="E22" s="213">
        <v>7</v>
      </c>
      <c r="F22" s="213">
        <v>7</v>
      </c>
      <c r="G22" s="213">
        <v>6</v>
      </c>
      <c r="H22" s="213">
        <v>7</v>
      </c>
      <c r="I22" s="213">
        <v>7</v>
      </c>
      <c r="J22" s="210">
        <f>$D22*Pesi!$B$16+Pesi!$B$17*$E22+$F22*Pesi!$B$18+$G22*Pesi!$B$19+Pesi!$B$20*$H22+$I22*Pesi!$B$21+Pesi!$B$22*VLOOKUP($C22,TabAlgSqu,2,FALSE)+VLOOKUP($C22,TabAlgFC,2,FALSE)*Pesi!$B$23+Pesi!$B$24*VLOOKUP($C22,TabAlgAll,2,FALSE)</f>
        <v>81.917600000000007</v>
      </c>
      <c r="K22" s="155">
        <f>IF(ISNA(MATCH($B22,Pesi!$B$31:$B$34,0)),VLOOKUP(Pesi!$B$32,TabAlgCen,10,FALSE)-((VLOOKUP(Pesi!$B$32,TabAlgCen,9,FALSE)-$J22)/(VLOOKUP(Pesi!$B$32,TabAlgCen,9,FALSE)-Pesi!$D$42))*VLOOKUP(Pesi!$B$32,TabAlgCen,10,FALSE),Pesi!$F$32*Pesi!$C$28)</f>
        <v>32.694790824594101</v>
      </c>
      <c r="L22" s="155">
        <f t="shared" si="0"/>
        <v>32.694790824594101</v>
      </c>
      <c r="M22" s="154">
        <f>$D22*Pesi!$D$16+Pesi!$D$17*$E22+$F22*Pesi!$D$18+$G22*Pesi!$D$19+Pesi!$D$20*$H22+$I22*Pesi!$D$21+Pesi!$D$22*VLOOKUP($C22,TabAlgSqu,2,FALSE)+VLOOKUP($C22,TabAlgFC,2,FALSE)*Pesi!$D$23+Pesi!$D$24*VLOOKUP($C22,TabAlgAll,2,FALSE)</f>
        <v>79.167600000000007</v>
      </c>
      <c r="N22" s="155">
        <f>IF(ISNA(MATCH($B22,Pesi!$B$31:$B$34,0)),VLOOKUP(Pesi!$B$32,TabAlgCen,13,FALSE)-((VLOOKUP(Pesi!$B$32,TabAlgCen,12,FALSE)-$M22)/(VLOOKUP(Pesi!$B$32,TabAlgCen,12,FALSE)-Pesi!$F$42))*VLOOKUP(Pesi!$B$32,TabAlgCen,13,FALSE),$K22*$M22/$J22)</f>
        <v>32.867427367401589</v>
      </c>
      <c r="O22" s="155">
        <f t="shared" si="1"/>
        <v>32.867427367401589</v>
      </c>
      <c r="P22">
        <f t="shared" si="2"/>
        <v>42</v>
      </c>
      <c r="Q22" t="e">
        <f>VLOOKUP(B22,'C.P.'!$A$2:$B$164,2,FALSE)</f>
        <v>#N/A</v>
      </c>
      <c r="R22">
        <f>VLOOKUP(B22,'C.P.'!$C$2:$D$164,2,FALSE)</f>
        <v>3</v>
      </c>
      <c r="S22" t="e">
        <f>VLOOKUP(B22,'C.P.'!$E$2:$F$164,2,FALSE)</f>
        <v>#N/A</v>
      </c>
      <c r="T22" t="e">
        <f>VLOOKUP(B22,'C.P.'!$G$2:$H$164,2,FALSE)</f>
        <v>#N/A</v>
      </c>
    </row>
    <row r="23" spans="1:21">
      <c r="A23">
        <f ca="1">COUNTIF('I.A. + Fasce'!B$1:'I.A. + Fasce'!B$538,B20)</f>
        <v>1</v>
      </c>
      <c r="B23" s="211" t="s">
        <v>335</v>
      </c>
      <c r="C23" s="212" t="str">
        <f>VLOOKUP(B23,'IA FG'!$B$2:$G$600,6,FALSE)</f>
        <v>FIO</v>
      </c>
      <c r="D23" s="213">
        <v>9</v>
      </c>
      <c r="E23" s="213">
        <v>9</v>
      </c>
      <c r="F23" s="213">
        <v>7</v>
      </c>
      <c r="G23" s="213">
        <v>7</v>
      </c>
      <c r="H23" s="213">
        <v>7</v>
      </c>
      <c r="I23" s="213">
        <v>9</v>
      </c>
      <c r="J23" s="210">
        <f>$D23*Pesi!$B$16+Pesi!$B$17*$E23+$F23*Pesi!$B$18+$G23*Pesi!$B$19+Pesi!$B$20*$H23+$I23*Pesi!$B$21+Pesi!$B$22*VLOOKUP($C23,TabAlgSqu,2,FALSE)+VLOOKUP($C23,TabAlgFC,2,FALSE)*Pesi!$B$23+Pesi!$B$24*VLOOKUP($C23,TabAlgAll,2,FALSE)</f>
        <v>81.406000000000006</v>
      </c>
      <c r="K23" s="155">
        <f>IF(ISNA(MATCH($B23,Pesi!$B$31:$B$34,0)),VLOOKUP(Pesi!$B$32,TabAlgCen,10,FALSE)-((VLOOKUP(Pesi!$B$32,TabAlgCen,9,FALSE)-$J23)/(VLOOKUP(Pesi!$B$32,TabAlgCen,9,FALSE)-Pesi!$D$42))*VLOOKUP(Pesi!$B$32,TabAlgCen,10,FALSE),Pesi!$F$32*Pesi!$C$28)</f>
        <v>31.291265367634452</v>
      </c>
      <c r="L23" s="155">
        <f t="shared" si="0"/>
        <v>31.291265367634452</v>
      </c>
      <c r="M23" s="154">
        <f>$D23*Pesi!$D$16+Pesi!$D$17*$E23+$F23*Pesi!$D$18+$G23*Pesi!$D$19+Pesi!$D$20*$H23+$I23*Pesi!$D$21+Pesi!$D$22*VLOOKUP($C23,TabAlgSqu,2,FALSE)+VLOOKUP($C23,TabAlgFC,2,FALSE)*Pesi!$D$23+Pesi!$D$24*VLOOKUP($C23,TabAlgAll,2,FALSE)</f>
        <v>78.605999999999995</v>
      </c>
      <c r="N23" s="155">
        <f>IF(ISNA(MATCH($B23,Pesi!$B$31:$B$34,0)),VLOOKUP(Pesi!$B$32,TabAlgCen,13,FALSE)-((VLOOKUP(Pesi!$B$32,TabAlgCen,12,FALSE)-$M23)/(VLOOKUP(Pesi!$B$32,TabAlgCen,12,FALSE)-Pesi!$F$42))*VLOOKUP(Pesi!$B$32,TabAlgCen,13,FALSE),$K23*$M23/$J23)</f>
        <v>31.350419312441439</v>
      </c>
      <c r="O23" s="155">
        <f t="shared" si="1"/>
        <v>31.350419312441439</v>
      </c>
      <c r="P23">
        <f t="shared" si="2"/>
        <v>48</v>
      </c>
      <c r="Q23">
        <f>VLOOKUP(B23,'C.P.'!$A$2:$B$164,2,FALSE)</f>
        <v>1</v>
      </c>
      <c r="R23" t="e">
        <f>VLOOKUP(B23,'C.P.'!$C$2:$D$164,2,FALSE)</f>
        <v>#N/A</v>
      </c>
      <c r="S23" t="e">
        <f>VLOOKUP(B23,'C.P.'!$E$2:$F$164,2,FALSE)</f>
        <v>#N/A</v>
      </c>
      <c r="T23">
        <f>VLOOKUP(B23,'C.P.'!$G$2:$H$164,2,FALSE)</f>
        <v>1</v>
      </c>
    </row>
    <row r="24" spans="1:21">
      <c r="A24">
        <f ca="1">COUNTIF('I.A. + Fasce'!B$1:'I.A. + Fasce'!B$538,B22)</f>
        <v>1</v>
      </c>
      <c r="B24" s="211" t="s">
        <v>538</v>
      </c>
      <c r="C24" s="212" t="str">
        <f>VLOOKUP(B24,'IA FG'!$B$2:$G$600,6,FALSE)</f>
        <v>LAZ</v>
      </c>
      <c r="D24" s="213">
        <v>9</v>
      </c>
      <c r="E24" s="213">
        <v>9</v>
      </c>
      <c r="F24" s="213">
        <v>7</v>
      </c>
      <c r="G24" s="213">
        <v>7</v>
      </c>
      <c r="H24" s="213">
        <v>6</v>
      </c>
      <c r="I24" s="213">
        <v>7</v>
      </c>
      <c r="J24" s="210">
        <f>$D24*Pesi!$B$16+Pesi!$B$17*$E24+$F24*Pesi!$B$18+$G24*Pesi!$B$19+Pesi!$B$20*$H24+$I24*Pesi!$B$21+Pesi!$B$22*VLOOKUP($C24,TabAlgSqu,2,FALSE)+VLOOKUP($C24,TabAlgFC,2,FALSE)*Pesi!$B$23+Pesi!$B$24*VLOOKUP($C24,TabAlgAll,2,FALSE)</f>
        <v>81.233100000000007</v>
      </c>
      <c r="K24" s="155">
        <f>IF(ISNA(MATCH($B24,Pesi!$B$31:$B$34,0)),VLOOKUP(Pesi!$B$32,TabAlgCen,10,FALSE)-((VLOOKUP(Pesi!$B$32,TabAlgCen,9,FALSE)-$J24)/(VLOOKUP(Pesi!$B$32,TabAlgCen,9,FALSE)-Pesi!$D$42))*VLOOKUP(Pesi!$B$32,TabAlgCen,10,FALSE),Pesi!$F$32*Pesi!$C$28)</f>
        <v>30.816930825984095</v>
      </c>
      <c r="L24" s="155">
        <f t="shared" si="0"/>
        <v>30.816930825984095</v>
      </c>
      <c r="M24" s="154">
        <f>$D24*Pesi!$D$16+Pesi!$D$17*$E24+$F24*Pesi!$D$18+$G24*Pesi!$D$19+Pesi!$D$20*$H24+$I24*Pesi!$D$21+Pesi!$D$22*VLOOKUP($C24,TabAlgSqu,2,FALSE)+VLOOKUP($C24,TabAlgFC,2,FALSE)*Pesi!$D$23+Pesi!$D$24*VLOOKUP($C24,TabAlgAll,2,FALSE)</f>
        <v>78.43310000000001</v>
      </c>
      <c r="N24" s="155">
        <f>IF(ISNA(MATCH($B24,Pesi!$B$31:$B$34,0)),VLOOKUP(Pesi!$B$32,TabAlgCen,13,FALSE)-((VLOOKUP(Pesi!$B$32,TabAlgCen,12,FALSE)-$M24)/(VLOOKUP(Pesi!$B$32,TabAlgCen,12,FALSE)-Pesi!$F$42))*VLOOKUP(Pesi!$B$32,TabAlgCen,13,FALSE),$K24*$M24/$J24)</f>
        <v>30.883377480706073</v>
      </c>
      <c r="O24" s="155">
        <f t="shared" si="1"/>
        <v>30.883377480706073</v>
      </c>
      <c r="P24">
        <f t="shared" si="2"/>
        <v>45</v>
      </c>
      <c r="Q24" t="e">
        <f>VLOOKUP(B24,'C.P.'!$A$2:$B$164,2,FALSE)</f>
        <v>#N/A</v>
      </c>
      <c r="R24" t="e">
        <f>VLOOKUP(B24,'C.P.'!$C$2:$D$164,2,FALSE)</f>
        <v>#N/A</v>
      </c>
      <c r="S24" t="e">
        <f>VLOOKUP(B24,'C.P.'!$E$2:$F$164,2,FALSE)</f>
        <v>#N/A</v>
      </c>
      <c r="T24" t="e">
        <f>VLOOKUP(B24,'C.P.'!$G$2:$H$164,2,FALSE)</f>
        <v>#N/A</v>
      </c>
      <c r="U24" s="420"/>
    </row>
    <row r="25" spans="1:21" ht="12.75" customHeight="1">
      <c r="A25">
        <f ca="1">COUNTIF('I.A. + Fasce'!B$1:'I.A. + Fasce'!B$538,#REF!)</f>
        <v>0</v>
      </c>
      <c r="B25" s="211" t="s">
        <v>578</v>
      </c>
      <c r="C25" s="212" t="str">
        <f>VLOOKUP(B25,'IA FG'!$B$2:$G$600,6,FALSE)</f>
        <v>LAZ</v>
      </c>
      <c r="D25" s="213">
        <v>9</v>
      </c>
      <c r="E25" s="213">
        <v>9</v>
      </c>
      <c r="F25" s="213">
        <v>7</v>
      </c>
      <c r="G25" s="213">
        <v>7</v>
      </c>
      <c r="H25" s="213">
        <v>6</v>
      </c>
      <c r="I25" s="213">
        <v>7</v>
      </c>
      <c r="J25" s="210">
        <f>$D25*Pesi!$B$16+Pesi!$B$17*$E25+$F25*Pesi!$B$18+$G25*Pesi!$B$19+Pesi!$B$20*$H25+$I25*Pesi!$B$21+Pesi!$B$22*VLOOKUP($C25,TabAlgSqu,2,FALSE)+VLOOKUP($C25,TabAlgFC,2,FALSE)*Pesi!$B$23+Pesi!$B$24*VLOOKUP($C25,TabAlgAll,2,FALSE)</f>
        <v>81.233100000000007</v>
      </c>
      <c r="K25" s="155">
        <f>IF(ISNA(MATCH($B25,Pesi!$B$31:$B$34,0)),VLOOKUP(Pesi!$B$32,TabAlgCen,10,FALSE)-((VLOOKUP(Pesi!$B$32,TabAlgCen,9,FALSE)-$J25)/(VLOOKUP(Pesi!$B$32,TabAlgCen,9,FALSE)-Pesi!$D$42))*VLOOKUP(Pesi!$B$32,TabAlgCen,10,FALSE),Pesi!$F$32*Pesi!$C$28)</f>
        <v>30.816930825984095</v>
      </c>
      <c r="L25" s="155">
        <f t="shared" si="0"/>
        <v>30.816930825984095</v>
      </c>
      <c r="M25" s="154">
        <f>$D25*Pesi!$D$16+Pesi!$D$17*$E25+$F25*Pesi!$D$18+$G25*Pesi!$D$19+Pesi!$D$20*$H25+$I25*Pesi!$D$21+Pesi!$D$22*VLOOKUP($C25,TabAlgSqu,2,FALSE)+VLOOKUP($C25,TabAlgFC,2,FALSE)*Pesi!$D$23+Pesi!$D$24*VLOOKUP($C25,TabAlgAll,2,FALSE)</f>
        <v>78.43310000000001</v>
      </c>
      <c r="N25" s="155">
        <f>IF(ISNA(MATCH($B25,Pesi!$B$31:$B$34,0)),VLOOKUP(Pesi!$B$32,TabAlgCen,13,FALSE)-((VLOOKUP(Pesi!$B$32,TabAlgCen,12,FALSE)-$M25)/(VLOOKUP(Pesi!$B$32,TabAlgCen,12,FALSE)-Pesi!$F$42))*VLOOKUP(Pesi!$B$32,TabAlgCen,13,FALSE),$K25*$M25/$J25)</f>
        <v>30.883377480706073</v>
      </c>
      <c r="O25" s="155">
        <f t="shared" si="1"/>
        <v>30.883377480706073</v>
      </c>
      <c r="P25">
        <f t="shared" si="2"/>
        <v>45</v>
      </c>
      <c r="Q25" t="e">
        <f>VLOOKUP(B25,'C.P.'!$A$2:$B$164,2,FALSE)</f>
        <v>#N/A</v>
      </c>
      <c r="R25" t="e">
        <f>VLOOKUP(B25,'C.P.'!$C$2:$D$164,2,FALSE)</f>
        <v>#N/A</v>
      </c>
      <c r="S25" t="e">
        <f>VLOOKUP(B25,'C.P.'!$E$2:$F$164,2,FALSE)</f>
        <v>#N/A</v>
      </c>
      <c r="T25" t="e">
        <f>VLOOKUP(B25,'C.P.'!$G$2:$H$164,2,FALSE)</f>
        <v>#N/A</v>
      </c>
      <c r="U25" s="180"/>
    </row>
    <row r="26" spans="1:21">
      <c r="B26" s="211" t="s">
        <v>357</v>
      </c>
      <c r="C26" s="212" t="str">
        <f>VLOOKUP(B26,'IA FG'!$B$2:$G$600,6,FALSE)</f>
        <v>MIL</v>
      </c>
      <c r="D26" s="213">
        <v>7</v>
      </c>
      <c r="E26" s="213">
        <v>8</v>
      </c>
      <c r="F26" s="213">
        <v>8</v>
      </c>
      <c r="G26" s="213">
        <v>7</v>
      </c>
      <c r="H26" s="213">
        <v>6</v>
      </c>
      <c r="I26" s="213">
        <v>8</v>
      </c>
      <c r="J26" s="210">
        <f>$D26*Pesi!$B$16+Pesi!$B$17*$E26+$F26*Pesi!$B$18+$G26*Pesi!$B$19+Pesi!$B$20*$H26+$I26*Pesi!$B$21+Pesi!$B$22*VLOOKUP($C26,TabAlgSqu,2,FALSE)+VLOOKUP($C26,TabAlgFC,2,FALSE)*Pesi!$B$23+Pesi!$B$24*VLOOKUP($C26,TabAlgAll,2,FALSE)</f>
        <v>80.922800000000009</v>
      </c>
      <c r="K26" s="155">
        <f>IF(ISNA(MATCH($B26,Pesi!$B$31:$B$34,0)),VLOOKUP(Pesi!$B$32,TabAlgCen,10,FALSE)-((VLOOKUP(Pesi!$B$32,TabAlgCen,9,FALSE)-$J26)/(VLOOKUP(Pesi!$B$32,TabAlgCen,9,FALSE)-Pesi!$D$42))*VLOOKUP(Pesi!$B$32,TabAlgCen,10,FALSE),Pesi!$F$32*Pesi!$C$28)</f>
        <v>29.965652582640509</v>
      </c>
      <c r="L26" s="155">
        <f t="shared" si="0"/>
        <v>29.965652582640509</v>
      </c>
      <c r="M26" s="154">
        <f>$D26*Pesi!$D$16+Pesi!$D$17*$E26+$F26*Pesi!$D$18+$G26*Pesi!$D$19+Pesi!$D$20*$H26+$I26*Pesi!$D$21+Pesi!$D$22*VLOOKUP($C26,TabAlgSqu,2,FALSE)+VLOOKUP($C26,TabAlgFC,2,FALSE)*Pesi!$D$23+Pesi!$D$24*VLOOKUP($C26,TabAlgAll,2,FALSE)</f>
        <v>77.772800000000004</v>
      </c>
      <c r="N26" s="155">
        <f>IF(ISNA(MATCH($B26,Pesi!$B$31:$B$34,0)),VLOOKUP(Pesi!$B$32,TabAlgCen,13,FALSE)-((VLOOKUP(Pesi!$B$32,TabAlgCen,12,FALSE)-$M26)/(VLOOKUP(Pesi!$B$32,TabAlgCen,12,FALSE)-Pesi!$F$42))*VLOOKUP(Pesi!$B$32,TabAlgCen,13,FALSE),$K26*$M26/$J26)</f>
        <v>29.099758501556906</v>
      </c>
      <c r="O26" s="155">
        <f t="shared" si="1"/>
        <v>29.099758501556906</v>
      </c>
      <c r="P26">
        <f t="shared" si="2"/>
        <v>44</v>
      </c>
      <c r="Q26" t="e">
        <f>VLOOKUP(B26,'C.P.'!$A$2:$B$164,2,FALSE)</f>
        <v>#N/A</v>
      </c>
      <c r="R26" t="e">
        <f>VLOOKUP(B26,'C.P.'!$C$2:$D$164,2,FALSE)</f>
        <v>#N/A</v>
      </c>
      <c r="S26" t="e">
        <f>VLOOKUP(B26,'C.P.'!$E$2:$F$164,2,FALSE)</f>
        <v>#N/A</v>
      </c>
      <c r="T26" t="e">
        <f>VLOOKUP(B26,'C.P.'!$G$2:$H$164,2,FALSE)</f>
        <v>#N/A</v>
      </c>
    </row>
    <row r="27" spans="1:21">
      <c r="B27" s="211" t="s">
        <v>437</v>
      </c>
      <c r="C27" s="212" t="str">
        <f>VLOOKUP(B27,'IA FG'!$B$2:$G$600,6,FALSE)</f>
        <v>NAP</v>
      </c>
      <c r="D27" s="213">
        <v>8</v>
      </c>
      <c r="E27" s="213">
        <v>7</v>
      </c>
      <c r="F27" s="213">
        <v>7</v>
      </c>
      <c r="G27" s="213">
        <v>5</v>
      </c>
      <c r="H27" s="213">
        <v>7</v>
      </c>
      <c r="I27" s="213">
        <v>7</v>
      </c>
      <c r="J27" s="210">
        <f>$D27*Pesi!$B$16+Pesi!$B$17*$E27+$F27*Pesi!$B$18+$G27*Pesi!$B$19+Pesi!$B$20*$H27+$I27*Pesi!$B$21+Pesi!$B$22*VLOOKUP($C27,TabAlgSqu,2,FALSE)+VLOOKUP($C27,TabAlgFC,2,FALSE)*Pesi!$B$23+Pesi!$B$24*VLOOKUP($C27,TabAlgAll,2,FALSE)</f>
        <v>80.430100000000024</v>
      </c>
      <c r="K27" s="155">
        <f>IF(ISNA(MATCH($B27,Pesi!$B$31:$B$34,0)),VLOOKUP(Pesi!$B$32,TabAlgCen,10,FALSE)-((VLOOKUP(Pesi!$B$32,TabAlgCen,9,FALSE)-$J27)/(VLOOKUP(Pesi!$B$32,TabAlgCen,9,FALSE)-Pesi!$D$42))*VLOOKUP(Pesi!$B$32,TabAlgCen,10,FALSE),Pesi!$F$32*Pesi!$C$28)</f>
        <v>28.613977460193283</v>
      </c>
      <c r="L27" s="155">
        <f t="shared" si="0"/>
        <v>28.613977460193283</v>
      </c>
      <c r="M27" s="154">
        <f>$D27*Pesi!$D$16+Pesi!$D$17*$E27+$F27*Pesi!$D$18+$G27*Pesi!$D$19+Pesi!$D$20*$H27+$I27*Pesi!$D$21+Pesi!$D$22*VLOOKUP($C27,TabAlgSqu,2,FALSE)+VLOOKUP($C27,TabAlgFC,2,FALSE)*Pesi!$D$23+Pesi!$D$24*VLOOKUP($C27,TabAlgAll,2,FALSE)</f>
        <v>77.730100000000007</v>
      </c>
      <c r="N27" s="155">
        <f>IF(ISNA(MATCH($B27,Pesi!$B$31:$B$34,0)),VLOOKUP(Pesi!$B$32,TabAlgCen,13,FALSE)-((VLOOKUP(Pesi!$B$32,TabAlgCen,12,FALSE)-$M27)/(VLOOKUP(Pesi!$B$32,TabAlgCen,12,FALSE)-Pesi!$F$42))*VLOOKUP(Pesi!$B$32,TabAlgCen,13,FALSE),$K27*$M27/$J27)</f>
        <v>28.984416186836832</v>
      </c>
      <c r="O27" s="155">
        <f t="shared" si="1"/>
        <v>28.984416186836832</v>
      </c>
      <c r="P27">
        <f t="shared" si="2"/>
        <v>41</v>
      </c>
      <c r="Q27" t="e">
        <f>VLOOKUP(B27,'C.P.'!$A$2:$B$164,2,FALSE)</f>
        <v>#N/A</v>
      </c>
      <c r="R27" t="e">
        <f>VLOOKUP(B27,'C.P.'!$C$2:$D$164,2,FALSE)</f>
        <v>#N/A</v>
      </c>
      <c r="S27" t="e">
        <f>VLOOKUP(B27,'C.P.'!$E$2:$F$164,2,FALSE)</f>
        <v>#N/A</v>
      </c>
      <c r="T27" t="e">
        <f>VLOOKUP(B27,'C.P.'!$G$2:$H$164,2,FALSE)</f>
        <v>#N/A</v>
      </c>
    </row>
    <row r="28" spans="1:21">
      <c r="A28">
        <f ca="1">COUNTIF('I.A. + Fasce'!B$1:'I.A. + Fasce'!B$538,B26)</f>
        <v>1</v>
      </c>
      <c r="B28" s="211" t="s">
        <v>361</v>
      </c>
      <c r="C28" s="212" t="str">
        <f>VLOOKUP(B28,'IA FG'!$B$2:$G$600,6,FALSE)</f>
        <v>INT</v>
      </c>
      <c r="D28" s="213">
        <v>8</v>
      </c>
      <c r="E28" s="213">
        <v>9</v>
      </c>
      <c r="F28" s="213">
        <v>7</v>
      </c>
      <c r="G28" s="213">
        <v>6</v>
      </c>
      <c r="H28" s="213">
        <v>6</v>
      </c>
      <c r="I28" s="213">
        <v>8</v>
      </c>
      <c r="J28" s="210">
        <f>$D28*Pesi!$B$16+Pesi!$B$17*$E28+$F28*Pesi!$B$18+$G28*Pesi!$B$19+Pesi!$B$20*$H28+$I28*Pesi!$B$21+Pesi!$B$22*VLOOKUP($C28,TabAlgSqu,2,FALSE)+VLOOKUP($C28,TabAlgFC,2,FALSE)*Pesi!$B$23+Pesi!$B$24*VLOOKUP($C28,TabAlgAll,2,FALSE)</f>
        <v>80.0411</v>
      </c>
      <c r="K28" s="155">
        <f>IF(ISNA(MATCH($B28,Pesi!$B$31:$B$34,0)),VLOOKUP(Pesi!$B$32,TabAlgCen,10,FALSE)-((VLOOKUP(Pesi!$B$32,TabAlgCen,9,FALSE)-$J28)/(VLOOKUP(Pesi!$B$32,TabAlgCen,9,FALSE)-Pesi!$D$42))*VLOOKUP(Pesi!$B$32,TabAlgCen,10,FALSE),Pesi!$F$32*Pesi!$C$28)</f>
        <v>27.546793326578474</v>
      </c>
      <c r="L28" s="155">
        <f t="shared" si="0"/>
        <v>27.546793326578474</v>
      </c>
      <c r="M28" s="154">
        <f>$D28*Pesi!$D$16+Pesi!$D$17*$E28+$F28*Pesi!$D$18+$G28*Pesi!$D$19+Pesi!$D$20*$H28+$I28*Pesi!$D$21+Pesi!$D$22*VLOOKUP($C28,TabAlgSqu,2,FALSE)+VLOOKUP($C28,TabAlgFC,2,FALSE)*Pesi!$D$23+Pesi!$D$24*VLOOKUP($C28,TabAlgAll,2,FALSE)</f>
        <v>77.291099999999986</v>
      </c>
      <c r="N28" s="155">
        <f>IF(ISNA(MATCH($B28,Pesi!$B$31:$B$34,0)),VLOOKUP(Pesi!$B$32,TabAlgCen,13,FALSE)-((VLOOKUP(Pesi!$B$32,TabAlgCen,12,FALSE)-$M28)/(VLOOKUP(Pesi!$B$32,TabAlgCen,12,FALSE)-Pesi!$F$42))*VLOOKUP(Pesi!$B$32,TabAlgCen,13,FALSE),$K28*$M28/$J28)</f>
        <v>27.798578337606912</v>
      </c>
      <c r="O28" s="155">
        <f t="shared" si="1"/>
        <v>27.798578337606912</v>
      </c>
      <c r="P28">
        <f t="shared" si="2"/>
        <v>44</v>
      </c>
      <c r="Q28" t="e">
        <f>VLOOKUP(B28,'C.P.'!$A$2:$B$164,2,FALSE)</f>
        <v>#N/A</v>
      </c>
      <c r="R28" t="e">
        <f>VLOOKUP(B28,'C.P.'!$C$2:$D$164,2,FALSE)</f>
        <v>#N/A</v>
      </c>
      <c r="S28">
        <f>VLOOKUP(B28,'C.P.'!$E$2:$F$164,2,FALSE)</f>
        <v>1</v>
      </c>
      <c r="T28">
        <f>VLOOKUP(B28,'C.P.'!$G$2:$H$164,2,FALSE)</f>
        <v>2</v>
      </c>
    </row>
    <row r="29" spans="1:21">
      <c r="A29">
        <f ca="1">COUNTIF('I.A. + Fasce'!B$1:'I.A. + Fasce'!B$538,#REF!)</f>
        <v>0</v>
      </c>
      <c r="B29" s="211" t="s">
        <v>543</v>
      </c>
      <c r="C29" s="212" t="str">
        <f>VLOOKUP(B29,'IA FG'!$B$2:$G$600,6,FALSE)</f>
        <v>JUV</v>
      </c>
      <c r="D29" s="213">
        <v>7</v>
      </c>
      <c r="E29" s="213">
        <v>7</v>
      </c>
      <c r="F29" s="213">
        <v>8</v>
      </c>
      <c r="G29" s="213">
        <v>6</v>
      </c>
      <c r="H29" s="213">
        <v>6</v>
      </c>
      <c r="I29" s="213">
        <v>7</v>
      </c>
      <c r="J29" s="210">
        <f>$D29*Pesi!$B$16+Pesi!$B$17*$E29+$F29*Pesi!$B$18+$G29*Pesi!$B$19+Pesi!$B$20*$H29+$I29*Pesi!$B$21+Pesi!$B$22*VLOOKUP($C29,TabAlgSqu,2,FALSE)+VLOOKUP($C29,TabAlgFC,2,FALSE)*Pesi!$B$23+Pesi!$B$24*VLOOKUP($C29,TabAlgAll,2,FALSE)</f>
        <v>79.395499999999998</v>
      </c>
      <c r="K29" s="155">
        <f>IF(ISNA(MATCH($B29,Pesi!$B$31:$B$34,0)),VLOOKUP(Pesi!$B$32,TabAlgCen,10,FALSE)-((VLOOKUP(Pesi!$B$32,TabAlgCen,9,FALSE)-$J29)/(VLOOKUP(Pesi!$B$32,TabAlgCen,9,FALSE)-Pesi!$D$42))*VLOOKUP(Pesi!$B$32,TabAlgCen,10,FALSE),Pesi!$F$32*Pesi!$C$28)</f>
        <v>25.775651741329938</v>
      </c>
      <c r="L29" s="155">
        <f t="shared" si="0"/>
        <v>25.775651741329938</v>
      </c>
      <c r="M29" s="154">
        <f>$D29*Pesi!$D$16+Pesi!$D$17*$E29+$F29*Pesi!$D$18+$G29*Pesi!$D$19+Pesi!$D$20*$H29+$I29*Pesi!$D$21+Pesi!$D$22*VLOOKUP($C29,TabAlgSqu,2,FALSE)+VLOOKUP($C29,TabAlgFC,2,FALSE)*Pesi!$D$23+Pesi!$D$24*VLOOKUP($C29,TabAlgAll,2,FALSE)</f>
        <v>76.29549999999999</v>
      </c>
      <c r="N29" s="155">
        <f>IF(ISNA(MATCH($B29,Pesi!$B$31:$B$34,0)),VLOOKUP(Pesi!$B$32,TabAlgCen,13,FALSE)-((VLOOKUP(Pesi!$B$32,TabAlgCen,12,FALSE)-$M29)/(VLOOKUP(Pesi!$B$32,TabAlgCen,12,FALSE)-Pesi!$F$42))*VLOOKUP(Pesi!$B$32,TabAlgCen,13,FALSE),$K29*$M29/$J29)</f>
        <v>25.109238559262387</v>
      </c>
      <c r="O29" s="155">
        <f t="shared" si="1"/>
        <v>25.109238559262387</v>
      </c>
      <c r="P29">
        <f t="shared" si="2"/>
        <v>41</v>
      </c>
      <c r="Q29">
        <f>VLOOKUP(B29,'C.P.'!$A$2:$B$164,2,FALSE)</f>
        <v>0</v>
      </c>
      <c r="R29">
        <f>VLOOKUP(B29,'C.P.'!$C$2:$D$164,2,FALSE)</f>
        <v>2</v>
      </c>
      <c r="S29" t="e">
        <f>VLOOKUP(B29,'C.P.'!$E$2:$F$164,2,FALSE)</f>
        <v>#N/A</v>
      </c>
      <c r="T29" t="e">
        <f>VLOOKUP(B29,'C.P.'!$G$2:$H$164,2,FALSE)</f>
        <v>#N/A</v>
      </c>
    </row>
    <row r="30" spans="1:21">
      <c r="A30">
        <f ca="1">COUNTIF('I.A. + Fasce'!B$1:'I.A. + Fasce'!B$538,B28)</f>
        <v>1</v>
      </c>
      <c r="B30" s="211" t="s">
        <v>581</v>
      </c>
      <c r="C30" s="212" t="str">
        <f>VLOOKUP(B30,'IA FG'!$B$2:$G$600,6,FALSE)</f>
        <v>ROM</v>
      </c>
      <c r="D30" s="213">
        <v>8</v>
      </c>
      <c r="E30" s="213">
        <v>6</v>
      </c>
      <c r="F30" s="213">
        <v>6</v>
      </c>
      <c r="G30" s="213">
        <v>7</v>
      </c>
      <c r="H30" s="213">
        <v>7</v>
      </c>
      <c r="I30" s="213">
        <v>7</v>
      </c>
      <c r="J30" s="210">
        <f>$D30*Pesi!$B$16+Pesi!$B$17*$E30+$F30*Pesi!$B$18+$G30*Pesi!$B$19+Pesi!$B$20*$H30+$I30*Pesi!$B$21+Pesi!$B$22*VLOOKUP($C30,TabAlgSqu,2,FALSE)+VLOOKUP($C30,TabAlgFC,2,FALSE)*Pesi!$B$23+Pesi!$B$24*VLOOKUP($C30,TabAlgAll,2,FALSE)</f>
        <v>79.337599999999995</v>
      </c>
      <c r="K30" s="155">
        <f>IF(ISNA(MATCH($B30,Pesi!$B$31:$B$34,0)),VLOOKUP(Pesi!$B$32,TabAlgCen,10,FALSE)-((VLOOKUP(Pesi!$B$32,TabAlgCen,9,FALSE)-$J30)/(VLOOKUP(Pesi!$B$32,TabAlgCen,9,FALSE)-Pesi!$D$42))*VLOOKUP(Pesi!$B$32,TabAlgCen,10,FALSE),Pesi!$F$32*Pesi!$C$28)</f>
        <v>25.616808653061824</v>
      </c>
      <c r="L30" s="155">
        <f t="shared" si="0"/>
        <v>25.616808653061824</v>
      </c>
      <c r="M30" s="154">
        <f>$D30*Pesi!$D$16+Pesi!$D$17*$E30+$F30*Pesi!$D$18+$G30*Pesi!$D$19+Pesi!$D$20*$H30+$I30*Pesi!$D$21+Pesi!$D$22*VLOOKUP($C30,TabAlgSqu,2,FALSE)+VLOOKUP($C30,TabAlgFC,2,FALSE)*Pesi!$D$23+Pesi!$D$24*VLOOKUP($C30,TabAlgAll,2,FALSE)</f>
        <v>76.887600000000006</v>
      </c>
      <c r="N30" s="155">
        <f>IF(ISNA(MATCH($B30,Pesi!$B$31:$B$34,0)),VLOOKUP(Pesi!$B$32,TabAlgCen,13,FALSE)-((VLOOKUP(Pesi!$B$32,TabAlgCen,12,FALSE)-$M30)/(VLOOKUP(Pesi!$B$32,TabAlgCen,12,FALSE)-Pesi!$F$42))*VLOOKUP(Pesi!$B$32,TabAlgCen,13,FALSE),$K30*$M30/$J30)</f>
        <v>26.70863398187975</v>
      </c>
      <c r="O30" s="155">
        <f t="shared" si="1"/>
        <v>26.70863398187975</v>
      </c>
      <c r="P30">
        <f t="shared" si="2"/>
        <v>41</v>
      </c>
      <c r="Q30" t="e">
        <f>VLOOKUP(B30,'C.P.'!$A$2:$B$164,2,FALSE)</f>
        <v>#N/A</v>
      </c>
      <c r="R30">
        <f>VLOOKUP(B30,'C.P.'!$C$2:$D$164,2,FALSE)</f>
        <v>1</v>
      </c>
      <c r="S30" t="e">
        <f>VLOOKUP(B30,'C.P.'!$E$2:$F$164,2,FALSE)</f>
        <v>#N/A</v>
      </c>
      <c r="T30">
        <f>VLOOKUP(B30,'C.P.'!$G$2:$H$164,2,FALSE)</f>
        <v>1</v>
      </c>
      <c r="U30" s="156"/>
    </row>
    <row r="31" spans="1:21">
      <c r="A31">
        <f ca="1">COUNTIF('I.A. + Fasce'!B$1:'I.A. + Fasce'!B$538,B31)</f>
        <v>1</v>
      </c>
      <c r="B31" s="211" t="s">
        <v>1329</v>
      </c>
      <c r="C31" s="212" t="str">
        <f>VLOOKUP(B31,'IA FG'!$B$2:$G$600,6,FALSE)</f>
        <v>INT</v>
      </c>
      <c r="D31" s="213">
        <v>8</v>
      </c>
      <c r="E31" s="213">
        <v>7</v>
      </c>
      <c r="F31" s="213">
        <v>7</v>
      </c>
      <c r="G31" s="213">
        <v>7</v>
      </c>
      <c r="H31" s="213">
        <v>7</v>
      </c>
      <c r="I31" s="213">
        <v>7</v>
      </c>
      <c r="J31" s="210">
        <f>$D31*Pesi!$B$16+Pesi!$B$17*$E31+$F31*Pesi!$B$18+$G31*Pesi!$B$19+Pesi!$B$20*$H31+$I31*Pesi!$B$21+Pesi!$B$22*VLOOKUP($C31,TabAlgSqu,2,FALSE)+VLOOKUP($C31,TabAlgFC,2,FALSE)*Pesi!$B$23+Pesi!$B$24*VLOOKUP($C31,TabAlgAll,2,FALSE)</f>
        <v>79.1036</v>
      </c>
      <c r="K31" s="155">
        <f>IF(ISNA(MATCH($B31,Pesi!$B$31:$B$34,0)),VLOOKUP(Pesi!$B$32,TabAlgCen,10,FALSE)-((VLOOKUP(Pesi!$B$32,TabAlgCen,9,FALSE)-$J31)/(VLOOKUP(Pesi!$B$32,TabAlgCen,9,FALSE)-Pesi!$D$42))*VLOOKUP(Pesi!$B$32,TabAlgCen,10,FALSE),Pesi!$F$32*Pesi!$C$28)</f>
        <v>24.974852130527516</v>
      </c>
      <c r="L31" s="155">
        <f t="shared" si="0"/>
        <v>24.974852130527516</v>
      </c>
      <c r="M31" s="154">
        <f>$D31*Pesi!$D$16+Pesi!$D$17*$E31+$F31*Pesi!$D$18+$G31*Pesi!$D$19+Pesi!$D$20*$H31+$I31*Pesi!$D$21+Pesi!$D$22*VLOOKUP($C31,TabAlgSqu,2,FALSE)+VLOOKUP($C31,TabAlgFC,2,FALSE)*Pesi!$D$23+Pesi!$D$24*VLOOKUP($C31,TabAlgAll,2,FALSE)</f>
        <v>76.303600000000003</v>
      </c>
      <c r="N31" s="155">
        <f>IF(ISNA(MATCH($B31,Pesi!$B$31:$B$34,0)),VLOOKUP(Pesi!$B$32,TabAlgCen,13,FALSE)-((VLOOKUP(Pesi!$B$32,TabAlgCen,12,FALSE)-$M31)/(VLOOKUP(Pesi!$B$32,TabAlgCen,12,FALSE)-Pesi!$F$42))*VLOOKUP(Pesi!$B$32,TabAlgCen,13,FALSE),$K31*$M31/$J31)</f>
        <v>25.131118483132035</v>
      </c>
      <c r="O31" s="155">
        <f t="shared" si="1"/>
        <v>25.131118483132035</v>
      </c>
      <c r="P31">
        <f t="shared" si="2"/>
        <v>43</v>
      </c>
      <c r="Q31">
        <f>VLOOKUP(B31,'C.P.'!$A$2:$B$164,2,FALSE)</f>
        <v>0</v>
      </c>
      <c r="R31" t="e">
        <f>VLOOKUP(B31,'C.P.'!$C$2:$D$164,2,FALSE)</f>
        <v>#N/A</v>
      </c>
      <c r="S31">
        <f>VLOOKUP(B31,'C.P.'!$E$2:$F$164,2,FALSE)</f>
        <v>3</v>
      </c>
      <c r="T31">
        <f>VLOOKUP(B31,'C.P.'!$G$2:$H$164,2,FALSE)</f>
        <v>1</v>
      </c>
      <c r="U31" s="180"/>
    </row>
    <row r="32" spans="1:21">
      <c r="A32">
        <f ca="1">COUNTIF('I.A. + Fasce'!B$1:'I.A. + Fasce'!B$538,B29)</f>
        <v>1</v>
      </c>
      <c r="B32" s="211" t="s">
        <v>620</v>
      </c>
      <c r="C32" s="212" t="str">
        <f>VLOOKUP(B32,'IA FG'!$B$2:$G$600,6,FALSE)</f>
        <v>INT</v>
      </c>
      <c r="D32" s="213">
        <v>8</v>
      </c>
      <c r="E32" s="213">
        <v>8</v>
      </c>
      <c r="F32" s="213">
        <v>8</v>
      </c>
      <c r="G32" s="213">
        <v>6</v>
      </c>
      <c r="H32" s="213">
        <v>6</v>
      </c>
      <c r="I32" s="213">
        <v>7</v>
      </c>
      <c r="J32" s="210">
        <f>$D32*Pesi!$B$16+Pesi!$B$17*$E32+$F32*Pesi!$B$18+$G32*Pesi!$B$19+Pesi!$B$20*$H32+$I32*Pesi!$B$21+Pesi!$B$22*VLOOKUP($C32,TabAlgSqu,2,FALSE)+VLOOKUP($C32,TabAlgFC,2,FALSE)*Pesi!$B$23+Pesi!$B$24*VLOOKUP($C32,TabAlgAll,2,FALSE)</f>
        <v>79.095299999999995</v>
      </c>
      <c r="K32" s="155">
        <f>IF(ISNA(MATCH($B32,Pesi!$B$31:$B$34,0)),VLOOKUP(Pesi!$B$32,TabAlgCen,10,FALSE)-((VLOOKUP(Pesi!$B$32,TabAlgCen,9,FALSE)-$J32)/(VLOOKUP(Pesi!$B$32,TabAlgCen,9,FALSE)-Pesi!$D$42))*VLOOKUP(Pesi!$B$32,TabAlgCen,10,FALSE),Pesi!$F$32*Pesi!$C$28)</f>
        <v>24.952081877805121</v>
      </c>
      <c r="L32" s="155">
        <f t="shared" si="0"/>
        <v>24.952081877805121</v>
      </c>
      <c r="M32" s="154">
        <f>$D32*Pesi!$D$16+Pesi!$D$17*$E32+$F32*Pesi!$D$18+$G32*Pesi!$D$19+Pesi!$D$20*$H32+$I32*Pesi!$D$21+Pesi!$D$22*VLOOKUP($C32,TabAlgSqu,2,FALSE)+VLOOKUP($C32,TabAlgFC,2,FALSE)*Pesi!$D$23+Pesi!$D$24*VLOOKUP($C32,TabAlgAll,2,FALSE)</f>
        <v>75.9953</v>
      </c>
      <c r="N32" s="155">
        <f>IF(ISNA(MATCH($B32,Pesi!$B$31:$B$34,0)),VLOOKUP(Pesi!$B$32,TabAlgCen,13,FALSE)-((VLOOKUP(Pesi!$B$32,TabAlgCen,12,FALSE)-$M32)/(VLOOKUP(Pesi!$B$32,TabAlgCen,12,FALSE)-Pesi!$F$42))*VLOOKUP(Pesi!$B$32,TabAlgCen,13,FALSE),$K32*$M32/$J32)</f>
        <v>24.298330763502037</v>
      </c>
      <c r="O32" s="155">
        <f t="shared" si="1"/>
        <v>24.298330763502037</v>
      </c>
      <c r="P32">
        <f t="shared" si="2"/>
        <v>43</v>
      </c>
      <c r="Q32">
        <f>VLOOKUP(B32,'C.P.'!$A$2:$B$164,2,FALSE)</f>
        <v>0</v>
      </c>
      <c r="R32" t="e">
        <f>VLOOKUP(B32,'C.P.'!$C$2:$D$164,2,FALSE)</f>
        <v>#N/A</v>
      </c>
      <c r="S32" t="e">
        <f>VLOOKUP(B32,'C.P.'!$E$2:$F$164,2,FALSE)</f>
        <v>#N/A</v>
      </c>
      <c r="T32" t="e">
        <f>VLOOKUP(B32,'C.P.'!$G$2:$H$164,2,FALSE)</f>
        <v>#N/A</v>
      </c>
    </row>
    <row r="33" spans="1:20">
      <c r="A33">
        <f ca="1">COUNTIF('I.A. + Fasce'!B$1:'I.A. + Fasce'!B$538,B30)</f>
        <v>1</v>
      </c>
      <c r="B33" s="211" t="s">
        <v>333</v>
      </c>
      <c r="C33" s="212" t="str">
        <f>VLOOKUP(B33,'IA FG'!$B$2:$G$600,6,FALSE)</f>
        <v>TOR</v>
      </c>
      <c r="D33" s="213">
        <v>8</v>
      </c>
      <c r="E33" s="213">
        <v>9</v>
      </c>
      <c r="F33" s="213">
        <v>6</v>
      </c>
      <c r="G33" s="213">
        <v>8</v>
      </c>
      <c r="H33" s="213">
        <v>6</v>
      </c>
      <c r="I33" s="213">
        <v>7</v>
      </c>
      <c r="J33" s="210">
        <f>$D33*Pesi!$B$16+Pesi!$B$17*$E33+$F33*Pesi!$B$18+$G33*Pesi!$B$19+Pesi!$B$20*$H33+$I33*Pesi!$B$21+Pesi!$B$22*VLOOKUP($C33,TabAlgSqu,2,FALSE)+VLOOKUP($C33,TabAlgFC,2,FALSE)*Pesi!$B$23+Pesi!$B$24*VLOOKUP($C33,TabAlgAll,2,FALSE)</f>
        <v>78.760300000000001</v>
      </c>
      <c r="K33" s="155">
        <f>IF(ISNA(MATCH($B33,Pesi!$B$31:$B$34,0)),VLOOKUP(Pesi!$B$32,TabAlgCen,10,FALSE)-((VLOOKUP(Pesi!$B$32,TabAlgCen,9,FALSE)-$J33)/(VLOOKUP(Pesi!$B$32,TabAlgCen,9,FALSE)-Pesi!$D$42))*VLOOKUP(Pesi!$B$32,TabAlgCen,10,FALSE),Pesi!$F$32*Pesi!$C$28)</f>
        <v>24.033041557082932</v>
      </c>
      <c r="L33" s="155">
        <f t="shared" si="0"/>
        <v>24.033041557082932</v>
      </c>
      <c r="M33" s="154">
        <f>$D33*Pesi!$D$16+Pesi!$D$17*$E33+$F33*Pesi!$D$18+$G33*Pesi!$D$19+Pesi!$D$20*$H33+$I33*Pesi!$D$21+Pesi!$D$22*VLOOKUP($C33,TabAlgSqu,2,FALSE)+VLOOKUP($C33,TabAlgFC,2,FALSE)*Pesi!$D$23+Pesi!$D$24*VLOOKUP($C33,TabAlgAll,2,FALSE)</f>
        <v>76.260300000000001</v>
      </c>
      <c r="N33" s="155">
        <f>IF(ISNA(MATCH($B33,Pesi!$B$31:$B$34,0)),VLOOKUP(Pesi!$B$32,TabAlgCen,13,FALSE)-((VLOOKUP(Pesi!$B$32,TabAlgCen,12,FALSE)-$M33)/(VLOOKUP(Pesi!$B$32,TabAlgCen,12,FALSE)-Pesi!$F$42))*VLOOKUP(Pesi!$B$32,TabAlgCen,13,FALSE),$K33*$M33/$J33)</f>
        <v>25.014155433310499</v>
      </c>
      <c r="O33" s="155">
        <f t="shared" si="1"/>
        <v>25.014155433310499</v>
      </c>
      <c r="P33">
        <f t="shared" si="2"/>
        <v>44</v>
      </c>
      <c r="Q33">
        <f>VLOOKUP(B33,'C.P.'!$A$2:$B$164,2,FALSE)</f>
        <v>0</v>
      </c>
      <c r="R33" t="e">
        <f>VLOOKUP(B33,'C.P.'!$C$2:$D$164,2,FALSE)</f>
        <v>#N/A</v>
      </c>
      <c r="S33">
        <f>VLOOKUP(B33,'C.P.'!$E$2:$F$164,2,FALSE)</f>
        <v>3</v>
      </c>
      <c r="T33" t="e">
        <f>VLOOKUP(B33,'C.P.'!$G$2:$H$164,2,FALSE)</f>
        <v>#N/A</v>
      </c>
    </row>
    <row r="34" spans="1:20">
      <c r="A34">
        <f ca="1">COUNTIF('I.A. + Fasce'!B$1:'I.A. + Fasce'!B$538,B32)</f>
        <v>1</v>
      </c>
      <c r="B34" s="211" t="s">
        <v>506</v>
      </c>
      <c r="C34" s="212" t="str">
        <f>VLOOKUP(B34,'IA FG'!$B$2:$G$600,6,FALSE)</f>
        <v>CAG</v>
      </c>
      <c r="D34" s="213">
        <v>7</v>
      </c>
      <c r="E34" s="213">
        <v>9</v>
      </c>
      <c r="F34" s="213">
        <v>6</v>
      </c>
      <c r="G34" s="213">
        <v>9</v>
      </c>
      <c r="H34" s="213">
        <v>6</v>
      </c>
      <c r="I34" s="213">
        <v>9</v>
      </c>
      <c r="J34" s="210">
        <f>$D34*Pesi!$B$16+Pesi!$B$17*$E34+$F34*Pesi!$B$18+$G34*Pesi!$B$19+Pesi!$B$20*$H34+$I34*Pesi!$B$21+Pesi!$B$22*VLOOKUP($C34,TabAlgSqu,2,FALSE)+VLOOKUP($C34,TabAlgFC,2,FALSE)*Pesi!$B$23+Pesi!$B$24*VLOOKUP($C34,TabAlgAll,2,FALSE)</f>
        <v>78.616099999999989</v>
      </c>
      <c r="K34" s="155">
        <f>IF(ISNA(MATCH($B34,Pesi!$B$31:$B$34,0)),VLOOKUP(Pesi!$B$32,TabAlgCen,10,FALSE)-((VLOOKUP(Pesi!$B$32,TabAlgCen,9,FALSE)-$J34)/(VLOOKUP(Pesi!$B$32,TabAlgCen,9,FALSE)-Pesi!$D$42))*VLOOKUP(Pesi!$B$32,TabAlgCen,10,FALSE),Pesi!$F$32*Pesi!$C$28)</f>
        <v>23.637442708580977</v>
      </c>
      <c r="L34" s="155">
        <f t="shared" ref="L34:L65" si="3">IF(K34&lt;=1,1,K34)</f>
        <v>23.637442708580977</v>
      </c>
      <c r="M34" s="154">
        <f>$D34*Pesi!$D$16+Pesi!$D$17*$E34+$F34*Pesi!$D$18+$G34*Pesi!$D$19+Pesi!$D$20*$H34+$I34*Pesi!$D$21+Pesi!$D$22*VLOOKUP($C34,TabAlgSqu,2,FALSE)+VLOOKUP($C34,TabAlgFC,2,FALSE)*Pesi!$D$23+Pesi!$D$24*VLOOKUP($C34,TabAlgAll,2,FALSE)</f>
        <v>76.066099999999992</v>
      </c>
      <c r="N34" s="155">
        <f>IF(ISNA(MATCH($B34,Pesi!$B$31:$B$34,0)),VLOOKUP(Pesi!$B$32,TabAlgCen,13,FALSE)-((VLOOKUP(Pesi!$B$32,TabAlgCen,12,FALSE)-$M34)/(VLOOKUP(Pesi!$B$32,TabAlgCen,12,FALSE)-Pesi!$F$42))*VLOOKUP(Pesi!$B$32,TabAlgCen,13,FALSE),$K34*$M34/$J34)</f>
        <v>24.489577505473477</v>
      </c>
      <c r="O34" s="155">
        <f t="shared" ref="O34:O65" si="4">IF(N34&lt;=1,1,N34)</f>
        <v>24.489577505473477</v>
      </c>
      <c r="P34">
        <f t="shared" ref="P34:P65" si="5">SUM(D34:I34)</f>
        <v>46</v>
      </c>
      <c r="Q34">
        <f>VLOOKUP(B34,'C.P.'!$A$2:$B$164,2,FALSE)</f>
        <v>1</v>
      </c>
      <c r="R34">
        <f>VLOOKUP(B34,'C.P.'!$C$2:$D$164,2,FALSE)</f>
        <v>1</v>
      </c>
      <c r="S34" t="e">
        <f>VLOOKUP(B34,'C.P.'!$E$2:$F$164,2,FALSE)</f>
        <v>#N/A</v>
      </c>
      <c r="T34" t="e">
        <f>VLOOKUP(B34,'C.P.'!$G$2:$H$164,2,FALSE)</f>
        <v>#N/A</v>
      </c>
    </row>
    <row r="35" spans="1:20">
      <c r="A35">
        <f ca="1">COUNTIF('I.A. + Fasce'!B$1:'I.A. + Fasce'!B$538,B32)</f>
        <v>1</v>
      </c>
      <c r="B35" s="211" t="s">
        <v>579</v>
      </c>
      <c r="C35" s="212" t="str">
        <f>VLOOKUP(B35,'IA FG'!$B$2:$G$600,6,FALSE)</f>
        <v>ROM</v>
      </c>
      <c r="D35" s="213">
        <v>8</v>
      </c>
      <c r="E35" s="213">
        <v>6</v>
      </c>
      <c r="F35" s="213">
        <v>7</v>
      </c>
      <c r="G35" s="213">
        <v>7</v>
      </c>
      <c r="H35" s="213">
        <v>6</v>
      </c>
      <c r="I35" s="213">
        <v>6</v>
      </c>
      <c r="J35" s="210">
        <f>$D35*Pesi!$B$16+Pesi!$B$17*$E35+$F35*Pesi!$B$18+$G35*Pesi!$B$19+Pesi!$B$20*$H35+$I35*Pesi!$B$21+Pesi!$B$22*VLOOKUP($C35,TabAlgSqu,2,FALSE)+VLOOKUP($C35,TabAlgFC,2,FALSE)*Pesi!$B$23+Pesi!$B$24*VLOOKUP($C35,TabAlgAll,2,FALSE)</f>
        <v>78.271000000000001</v>
      </c>
      <c r="K35" s="155">
        <f>IF(ISNA(MATCH($B35,Pesi!$B$31:$B$34,0)),VLOOKUP(Pesi!$B$32,TabAlgCen,10,FALSE)-((VLOOKUP(Pesi!$B$32,TabAlgCen,9,FALSE)-$J35)/(VLOOKUP(Pesi!$B$32,TabAlgCen,9,FALSE)-Pesi!$D$42))*VLOOKUP(Pesi!$B$32,TabAlgCen,10,FALSE),Pesi!$F$32*Pesi!$C$28)</f>
        <v>22.690694008040012</v>
      </c>
      <c r="L35" s="155">
        <f t="shared" si="3"/>
        <v>22.690694008040012</v>
      </c>
      <c r="M35" s="154">
        <f>$D35*Pesi!$D$16+Pesi!$D$17*$E35+$F35*Pesi!$D$18+$G35*Pesi!$D$19+Pesi!$D$20*$H35+$I35*Pesi!$D$21+Pesi!$D$22*VLOOKUP($C35,TabAlgSqu,2,FALSE)+VLOOKUP($C35,TabAlgFC,2,FALSE)*Pesi!$D$23+Pesi!$D$24*VLOOKUP($C35,TabAlgAll,2,FALSE)</f>
        <v>75.471000000000004</v>
      </c>
      <c r="N35" s="155">
        <f>IF(ISNA(MATCH($B35,Pesi!$B$31:$B$34,0)),VLOOKUP(Pesi!$B$32,TabAlgCen,13,FALSE)-((VLOOKUP(Pesi!$B$32,TabAlgCen,12,FALSE)-$M35)/(VLOOKUP(Pesi!$B$32,TabAlgCen,12,FALSE)-Pesi!$F$42))*VLOOKUP(Pesi!$B$32,TabAlgCen,13,FALSE),$K35*$M35/$J35)</f>
        <v>22.882078407348935</v>
      </c>
      <c r="O35" s="155">
        <f t="shared" si="4"/>
        <v>22.882078407348935</v>
      </c>
      <c r="P35">
        <f t="shared" si="5"/>
        <v>40</v>
      </c>
      <c r="Q35" t="e">
        <f>VLOOKUP(B35,'C.P.'!$A$2:$B$164,2,FALSE)</f>
        <v>#N/A</v>
      </c>
      <c r="R35" t="e">
        <f>VLOOKUP(B35,'C.P.'!$C$2:$D$164,2,FALSE)</f>
        <v>#N/A</v>
      </c>
      <c r="S35" t="e">
        <f>VLOOKUP(B35,'C.P.'!$E$2:$F$164,2,FALSE)</f>
        <v>#N/A</v>
      </c>
      <c r="T35" t="e">
        <f>VLOOKUP(B35,'C.P.'!$G$2:$H$164,2,FALSE)</f>
        <v>#N/A</v>
      </c>
    </row>
    <row r="36" spans="1:20">
      <c r="B36" s="211" t="s">
        <v>1836</v>
      </c>
      <c r="C36" s="212" t="str">
        <f>VLOOKUP(B36,'IA FG'!$B$2:$G$600,6,FALSE)</f>
        <v>JUV</v>
      </c>
      <c r="D36" s="213">
        <v>9</v>
      </c>
      <c r="E36" s="213">
        <v>5</v>
      </c>
      <c r="F36" s="213">
        <v>7</v>
      </c>
      <c r="G36" s="213">
        <v>7</v>
      </c>
      <c r="H36" s="213">
        <v>7</v>
      </c>
      <c r="I36" s="213">
        <v>5</v>
      </c>
      <c r="J36" s="210">
        <f>$D36*Pesi!$B$16+Pesi!$B$17*$E36+$F36*Pesi!$B$18+$G36*Pesi!$B$19+Pesi!$B$20*$H36+$I36*Pesi!$B$21+Pesi!$B$22*VLOOKUP($C36,TabAlgSqu,2,FALSE)+VLOOKUP($C36,TabAlgFC,2,FALSE)*Pesi!$B$23+Pesi!$B$24*VLOOKUP($C36,TabAlgAll,2,FALSE)</f>
        <v>78.191299999999998</v>
      </c>
      <c r="K36" s="155">
        <f>IF(ISNA(MATCH($B36,Pesi!$B$31:$B$34,0)),VLOOKUP(Pesi!$B$32,TabAlgCen,10,FALSE)-((VLOOKUP(Pesi!$B$32,TabAlgCen,9,FALSE)-$J36)/(VLOOKUP(Pesi!$B$32,TabAlgCen,9,FALSE)-Pesi!$D$42))*VLOOKUP(Pesi!$B$32,TabAlgCen,10,FALSE),Pesi!$F$32*Pesi!$C$28)</f>
        <v>22.472044713826392</v>
      </c>
      <c r="L36" s="155">
        <f t="shared" si="3"/>
        <v>22.472044713826392</v>
      </c>
      <c r="M36" s="154">
        <f>$D36*Pesi!$D$16+Pesi!$D$17*$E36+$F36*Pesi!$D$18+$G36*Pesi!$D$19+Pesi!$D$20*$H36+$I36*Pesi!$D$21+Pesi!$D$22*VLOOKUP($C36,TabAlgSqu,2,FALSE)+VLOOKUP($C36,TabAlgFC,2,FALSE)*Pesi!$D$23+Pesi!$D$24*VLOOKUP($C36,TabAlgAll,2,FALSE)</f>
        <v>75.391300000000001</v>
      </c>
      <c r="N36" s="155">
        <f>IF(ISNA(MATCH($B36,Pesi!$B$31:$B$34,0)),VLOOKUP(Pesi!$B$32,TabAlgCen,13,FALSE)-((VLOOKUP(Pesi!$B$32,TabAlgCen,12,FALSE)-$M36)/(VLOOKUP(Pesi!$B$32,TabAlgCen,12,FALSE)-Pesi!$F$42))*VLOOKUP(Pesi!$B$32,TabAlgCen,13,FALSE),$K36*$M36/$J36)</f>
        <v>22.666790761372567</v>
      </c>
      <c r="O36" s="155">
        <f t="shared" si="4"/>
        <v>22.666790761372567</v>
      </c>
      <c r="P36">
        <f t="shared" si="5"/>
        <v>40</v>
      </c>
      <c r="Q36" t="e">
        <f>VLOOKUP(B36,'C.P.'!$A$2:$B$164,2,FALSE)</f>
        <v>#N/A</v>
      </c>
      <c r="R36" t="e">
        <f>VLOOKUP(B36,'C.P.'!$C$2:$D$164,2,FALSE)</f>
        <v>#N/A</v>
      </c>
      <c r="S36" t="e">
        <f>VLOOKUP(B36,'C.P.'!$E$2:$F$164,2,FALSE)</f>
        <v>#N/A</v>
      </c>
      <c r="T36" t="e">
        <f>VLOOKUP(B36,'C.P.'!$G$2:$H$164,2,FALSE)</f>
        <v>#N/A</v>
      </c>
    </row>
    <row r="37" spans="1:20" ht="15" customHeight="1">
      <c r="A37">
        <f ca="1">COUNTIF('I.A. + Fasce'!B$1:'I.A. + Fasce'!B$538,#REF!)</f>
        <v>0</v>
      </c>
      <c r="B37" s="209" t="s">
        <v>1331</v>
      </c>
      <c r="C37" s="212" t="str">
        <f>VLOOKUP(B37,'IA FG'!$B$2:$G$600,6,FALSE)</f>
        <v>NAP</v>
      </c>
      <c r="D37" s="207">
        <v>8</v>
      </c>
      <c r="E37" s="207">
        <v>6</v>
      </c>
      <c r="F37" s="207">
        <v>7</v>
      </c>
      <c r="G37" s="207">
        <v>6</v>
      </c>
      <c r="H37" s="207">
        <v>6</v>
      </c>
      <c r="I37" s="207">
        <v>6</v>
      </c>
      <c r="J37" s="210">
        <f>$D37*Pesi!$B$16+Pesi!$B$17*$E37+$F37*Pesi!$B$18+$G37*Pesi!$B$19+Pesi!$B$20*$H37+$I37*Pesi!$B$21+Pesi!$B$22*VLOOKUP($C37,TabAlgSqu,2,FALSE)+VLOOKUP($C37,TabAlgFC,2,FALSE)*Pesi!$B$23+Pesi!$B$24*VLOOKUP($C37,TabAlgAll,2,FALSE)</f>
        <v>78.038500000000013</v>
      </c>
      <c r="K37" s="155">
        <f>IF(ISNA(MATCH($B37,Pesi!$B$31:$B$34,0)),VLOOKUP(Pesi!$B$32,TabAlgCen,10,FALSE)-((VLOOKUP(Pesi!$B$32,TabAlgCen,9,FALSE)-$J37)/(VLOOKUP(Pesi!$B$32,TabAlgCen,9,FALSE)-Pesi!$D$42))*VLOOKUP(Pesi!$B$32,TabAlgCen,10,FALSE),Pesi!$F$32*Pesi!$C$28)</f>
        <v>22.052852591419409</v>
      </c>
      <c r="L37" s="155">
        <f t="shared" si="3"/>
        <v>22.052852591419409</v>
      </c>
      <c r="M37" s="154">
        <f>$D37*Pesi!$D$16+Pesi!$D$17*$E37+$F37*Pesi!$D$18+$G37*Pesi!$D$19+Pesi!$D$20*$H37+$I37*Pesi!$D$21+Pesi!$D$22*VLOOKUP($C37,TabAlgSqu,2,FALSE)+VLOOKUP($C37,TabAlgFC,2,FALSE)*Pesi!$D$23+Pesi!$D$24*VLOOKUP($C37,TabAlgAll,2,FALSE)</f>
        <v>75.288500000000013</v>
      </c>
      <c r="N37" s="155">
        <f>IF(ISNA(MATCH($B37,Pesi!$B$31:$B$34,0)),VLOOKUP(Pesi!$B$32,TabAlgCen,13,FALSE)-((VLOOKUP(Pesi!$B$32,TabAlgCen,12,FALSE)-$M37)/(VLOOKUP(Pesi!$B$32,TabAlgCen,12,FALSE)-Pesi!$F$42))*VLOOKUP(Pesi!$B$32,TabAlgCen,13,FALSE),$K37*$M37/$J37)</f>
        <v>22.389104813990294</v>
      </c>
      <c r="O37" s="155">
        <f t="shared" si="4"/>
        <v>22.389104813990294</v>
      </c>
      <c r="P37">
        <f t="shared" si="5"/>
        <v>39</v>
      </c>
      <c r="Q37" t="e">
        <f>VLOOKUP(B37,'C.P.'!$A$2:$B$164,2,FALSE)</f>
        <v>#N/A</v>
      </c>
      <c r="R37" t="e">
        <f>VLOOKUP(B37,'C.P.'!$C$2:$D$164,2,FALSE)</f>
        <v>#N/A</v>
      </c>
      <c r="S37" t="e">
        <f>VLOOKUP(B37,'C.P.'!$E$2:$F$164,2,FALSE)</f>
        <v>#N/A</v>
      </c>
      <c r="T37" t="e">
        <f>VLOOKUP(B37,'C.P.'!$G$2:$H$164,2,FALSE)</f>
        <v>#N/A</v>
      </c>
    </row>
    <row r="38" spans="1:20" ht="12.75" customHeight="1">
      <c r="A38">
        <f ca="1">COUNTIF('I.A. + Fasce'!B$1:'I.A. + Fasce'!B$538,B36)</f>
        <v>1</v>
      </c>
      <c r="B38" s="211" t="s">
        <v>463</v>
      </c>
      <c r="C38" s="212" t="str">
        <f>VLOOKUP(B38,'IA FG'!$B$2:$G$600,6,FALSE)</f>
        <v>INT</v>
      </c>
      <c r="D38" s="213">
        <v>8</v>
      </c>
      <c r="E38" s="213">
        <v>7</v>
      </c>
      <c r="F38" s="213">
        <v>8</v>
      </c>
      <c r="G38" s="213">
        <v>6</v>
      </c>
      <c r="H38" s="213">
        <v>6</v>
      </c>
      <c r="I38" s="213">
        <v>7</v>
      </c>
      <c r="J38" s="210">
        <f>$D38*Pesi!$B$16+Pesi!$B$17*$E38+$F38*Pesi!$B$18+$G38*Pesi!$B$19+Pesi!$B$20*$H38+$I38*Pesi!$B$21+Pesi!$B$22*VLOOKUP($C38,TabAlgSqu,2,FALSE)+VLOOKUP($C38,TabAlgFC,2,FALSE)*Pesi!$B$23+Pesi!$B$24*VLOOKUP($C38,TabAlgAll,2,FALSE)</f>
        <v>77.882800000000003</v>
      </c>
      <c r="K38" s="155">
        <f>IF(ISNA(MATCH($B38,Pesi!$B$31:$B$34,0)),VLOOKUP(Pesi!$B$32,TabAlgCen,10,FALSE)-((VLOOKUP(Pesi!$B$32,TabAlgCen,9,FALSE)-$J38)/(VLOOKUP(Pesi!$B$32,TabAlgCen,9,FALSE)-Pesi!$D$42))*VLOOKUP(Pesi!$B$32,TabAlgCen,10,FALSE),Pesi!$F$32*Pesi!$C$28)</f>
        <v>21.625704597579237</v>
      </c>
      <c r="L38" s="155">
        <f t="shared" si="3"/>
        <v>21.625704597579237</v>
      </c>
      <c r="M38" s="154">
        <f>$D38*Pesi!$D$16+Pesi!$D$17*$E38+$F38*Pesi!$D$18+$G38*Pesi!$D$19+Pesi!$D$20*$H38+$I38*Pesi!$D$21+Pesi!$D$22*VLOOKUP($C38,TabAlgSqu,2,FALSE)+VLOOKUP($C38,TabAlgFC,2,FALSE)*Pesi!$D$23+Pesi!$D$24*VLOOKUP($C38,TabAlgAll,2,FALSE)</f>
        <v>74.782799999999995</v>
      </c>
      <c r="N38" s="155">
        <f>IF(ISNA(MATCH($B38,Pesi!$B$31:$B$34,0)),VLOOKUP(Pesi!$B$32,TabAlgCen,13,FALSE)-((VLOOKUP(Pesi!$B$32,TabAlgCen,12,FALSE)-$M38)/(VLOOKUP(Pesi!$B$32,TabAlgCen,12,FALSE)-Pesi!$F$42))*VLOOKUP(Pesi!$B$32,TabAlgCen,13,FALSE),$K38*$M38/$J38)</f>
        <v>21.023095245982176</v>
      </c>
      <c r="O38" s="155">
        <f t="shared" si="4"/>
        <v>21.023095245982176</v>
      </c>
      <c r="P38">
        <f t="shared" si="5"/>
        <v>42</v>
      </c>
      <c r="Q38" t="e">
        <f>VLOOKUP(B38,'C.P.'!$A$2:$B$164,2,FALSE)</f>
        <v>#N/A</v>
      </c>
      <c r="R38" t="e">
        <f>VLOOKUP(B38,'C.P.'!$C$2:$D$164,2,FALSE)</f>
        <v>#N/A</v>
      </c>
      <c r="S38" t="e">
        <f>VLOOKUP(B38,'C.P.'!$E$2:$F$164,2,FALSE)</f>
        <v>#N/A</v>
      </c>
      <c r="T38" t="e">
        <f>VLOOKUP(B38,'C.P.'!$G$2:$H$164,2,FALSE)</f>
        <v>#N/A</v>
      </c>
    </row>
    <row r="39" spans="1:20">
      <c r="A39">
        <f ca="1">COUNTIF('I.A. + Fasce'!B$1:'I.A. + Fasce'!B$538,B37)</f>
        <v>1</v>
      </c>
      <c r="B39" s="211" t="s">
        <v>1923</v>
      </c>
      <c r="C39" s="212" t="str">
        <f>VLOOKUP(B39,'IA FG'!$B$2:$G$600,6,FALSE)</f>
        <v>SAM</v>
      </c>
      <c r="D39" s="213">
        <v>8</v>
      </c>
      <c r="E39" s="213">
        <v>8</v>
      </c>
      <c r="F39" s="213">
        <v>8</v>
      </c>
      <c r="G39" s="213">
        <v>8</v>
      </c>
      <c r="H39" s="213">
        <v>5</v>
      </c>
      <c r="I39" s="213">
        <v>8</v>
      </c>
      <c r="J39" s="210">
        <f>$D39*Pesi!$B$16+Pesi!$B$17*$E39+$F39*Pesi!$B$18+$G39*Pesi!$B$19+Pesi!$B$20*$H39+$I39*Pesi!$B$21+Pesi!$B$22*VLOOKUP($C39,TabAlgSqu,2,FALSE)+VLOOKUP($C39,TabAlgFC,2,FALSE)*Pesi!$B$23+Pesi!$B$24*VLOOKUP($C39,TabAlgAll,2,FALSE)</f>
        <v>77.847300000000004</v>
      </c>
      <c r="K39" s="155">
        <f>IF(ISNA(MATCH($B39,Pesi!$B$31:$B$34,0)),VLOOKUP(Pesi!$B$32,TabAlgCen,10,FALSE)-((VLOOKUP(Pesi!$B$32,TabAlgCen,9,FALSE)-$J39)/(VLOOKUP(Pesi!$B$32,TabAlgCen,9,FALSE)-Pesi!$D$42))*VLOOKUP(Pesi!$B$32,TabAlgCen,10,FALSE),Pesi!$F$32*Pesi!$C$28)</f>
        <v>21.528313757622115</v>
      </c>
      <c r="L39" s="155">
        <f t="shared" si="3"/>
        <v>21.528313757622115</v>
      </c>
      <c r="M39" s="154">
        <f>$D39*Pesi!$D$16+Pesi!$D$17*$E39+$F39*Pesi!$D$18+$G39*Pesi!$D$19+Pesi!$D$20*$H39+$I39*Pesi!$D$21+Pesi!$D$22*VLOOKUP($C39,TabAlgSqu,2,FALSE)+VLOOKUP($C39,TabAlgFC,2,FALSE)*Pesi!$D$23+Pesi!$D$24*VLOOKUP($C39,TabAlgAll,2,FALSE)</f>
        <v>74.647300000000001</v>
      </c>
      <c r="N39" s="155">
        <f>IF(ISNA(MATCH($B39,Pesi!$B$31:$B$34,0)),VLOOKUP(Pesi!$B$32,TabAlgCen,13,FALSE)-((VLOOKUP(Pesi!$B$32,TabAlgCen,12,FALSE)-$M39)/(VLOOKUP(Pesi!$B$32,TabAlgCen,12,FALSE)-Pesi!$F$42))*VLOOKUP(Pesi!$B$32,TabAlgCen,13,FALSE),$K39*$M39/$J39)</f>
        <v>20.657079235570706</v>
      </c>
      <c r="O39" s="155">
        <f t="shared" si="4"/>
        <v>20.657079235570706</v>
      </c>
      <c r="P39">
        <f t="shared" si="5"/>
        <v>45</v>
      </c>
      <c r="Q39">
        <f>VLOOKUP(B39,'C.P.'!$A$2:$B$164,2,FALSE)</f>
        <v>1</v>
      </c>
      <c r="R39">
        <f>VLOOKUP(B39,'C.P.'!$C$2:$D$164,2,FALSE)</f>
        <v>3</v>
      </c>
      <c r="S39" t="e">
        <f>VLOOKUP(B39,'C.P.'!$E$2:$F$164,2,FALSE)</f>
        <v>#N/A</v>
      </c>
      <c r="T39" t="e">
        <f>VLOOKUP(B39,'C.P.'!$G$2:$H$164,2,FALSE)</f>
        <v>#N/A</v>
      </c>
    </row>
    <row r="40" spans="1:20">
      <c r="A40">
        <f ca="1">COUNTIF('I.A. + Fasce'!B$1:'I.A. + Fasce'!B$538,B37)</f>
        <v>1</v>
      </c>
      <c r="B40" s="211" t="s">
        <v>354</v>
      </c>
      <c r="C40" s="212" t="str">
        <f>VLOOKUP(B40,'IA FG'!$B$2:$G$600,6,FALSE)</f>
        <v>CHI</v>
      </c>
      <c r="D40" s="213">
        <v>9</v>
      </c>
      <c r="E40" s="213">
        <v>9</v>
      </c>
      <c r="F40" s="213">
        <v>6</v>
      </c>
      <c r="G40" s="213">
        <v>8</v>
      </c>
      <c r="H40" s="213">
        <v>7</v>
      </c>
      <c r="I40" s="213">
        <v>8</v>
      </c>
      <c r="J40" s="210">
        <f>$D40*Pesi!$B$16+Pesi!$B$17*$E40+$F40*Pesi!$B$18+$G40*Pesi!$B$19+Pesi!$B$20*$H40+$I40*Pesi!$B$21+Pesi!$B$22*VLOOKUP($C40,TabAlgSqu,2,FALSE)+VLOOKUP($C40,TabAlgFC,2,FALSE)*Pesi!$B$23+Pesi!$B$24*VLOOKUP($C40,TabAlgAll,2,FALSE)</f>
        <v>77.333200000000005</v>
      </c>
      <c r="K40" s="155">
        <f>IF(ISNA(MATCH($B40,Pesi!$B$31:$B$34,0)),VLOOKUP(Pesi!$B$32,TabAlgCen,10,FALSE)-((VLOOKUP(Pesi!$B$32,TabAlgCen,9,FALSE)-$J40)/(VLOOKUP(Pesi!$B$32,TabAlgCen,9,FALSE)-Pesi!$D$42))*VLOOKUP(Pesi!$B$32,TabAlgCen,10,FALSE),Pesi!$F$32*Pesi!$C$28)</f>
        <v>20.117929790806329</v>
      </c>
      <c r="L40" s="155">
        <f t="shared" si="3"/>
        <v>20.117929790806329</v>
      </c>
      <c r="M40" s="154">
        <f>$D40*Pesi!$D$16+Pesi!$D$17*$E40+$F40*Pesi!$D$18+$G40*Pesi!$D$19+Pesi!$D$20*$H40+$I40*Pesi!$D$21+Pesi!$D$22*VLOOKUP($C40,TabAlgSqu,2,FALSE)+VLOOKUP($C40,TabAlgFC,2,FALSE)*Pesi!$D$23+Pesi!$D$24*VLOOKUP($C40,TabAlgAll,2,FALSE)</f>
        <v>74.833200000000005</v>
      </c>
      <c r="N40" s="155">
        <f>IF(ISNA(MATCH($B40,Pesi!$B$31:$B$34,0)),VLOOKUP(Pesi!$B$32,TabAlgCen,13,FALSE)-((VLOOKUP(Pesi!$B$32,TabAlgCen,12,FALSE)-$M40)/(VLOOKUP(Pesi!$B$32,TabAlgCen,12,FALSE)-Pesi!$F$42))*VLOOKUP(Pesi!$B$32,TabAlgCen,13,FALSE),$K40*$M40/$J40)</f>
        <v>21.159236994504269</v>
      </c>
      <c r="O40" s="155">
        <f t="shared" si="4"/>
        <v>21.159236994504269</v>
      </c>
      <c r="P40">
        <f t="shared" si="5"/>
        <v>47</v>
      </c>
      <c r="Q40">
        <f>VLOOKUP(B40,'C.P.'!$A$2:$B$164,2,FALSE)</f>
        <v>1</v>
      </c>
      <c r="R40">
        <f>VLOOKUP(B40,'C.P.'!$C$2:$D$164,2,FALSE)</f>
        <v>2</v>
      </c>
      <c r="S40">
        <f>VLOOKUP(B40,'C.P.'!$E$2:$F$164,2,FALSE)</f>
        <v>1</v>
      </c>
      <c r="T40">
        <f>VLOOKUP(B40,'C.P.'!$G$2:$H$164,2,FALSE)</f>
        <v>1</v>
      </c>
    </row>
    <row r="41" spans="1:20">
      <c r="A41">
        <f ca="1">COUNTIF('I.A. + Fasce'!B$1:'I.A. + Fasce'!B$538,B38)</f>
        <v>1</v>
      </c>
      <c r="B41" s="211" t="s">
        <v>1744</v>
      </c>
      <c r="C41" s="212" t="str">
        <f>VLOOKUP(B41,'IA FG'!$B$2:$G$600,6,FALSE)</f>
        <v>ROM</v>
      </c>
      <c r="D41" s="213">
        <v>8</v>
      </c>
      <c r="E41" s="213">
        <v>5</v>
      </c>
      <c r="F41" s="213">
        <v>6</v>
      </c>
      <c r="G41" s="213">
        <v>7</v>
      </c>
      <c r="H41" s="213">
        <v>7</v>
      </c>
      <c r="I41" s="213">
        <v>6</v>
      </c>
      <c r="J41" s="210">
        <f>$D41*Pesi!$B$16+Pesi!$B$17*$E41+$F41*Pesi!$B$18+$G41*Pesi!$B$19+Pesi!$B$20*$H41+$I41*Pesi!$B$21+Pesi!$B$22*VLOOKUP($C41,TabAlgSqu,2,FALSE)+VLOOKUP($C41,TabAlgFC,2,FALSE)*Pesi!$B$23+Pesi!$B$24*VLOOKUP($C41,TabAlgAll,2,FALSE)</f>
        <v>76.791799999999995</v>
      </c>
      <c r="K41" s="155">
        <f>IF(ISNA(MATCH($B41,Pesi!$B$31:$B$34,0)),VLOOKUP(Pesi!$B$32,TabAlgCen,10,FALSE)-((VLOOKUP(Pesi!$B$32,TabAlgCen,9,FALSE)-$J41)/(VLOOKUP(Pesi!$B$32,TabAlgCen,9,FALSE)-Pesi!$D$42))*VLOOKUP(Pesi!$B$32,TabAlgCen,10,FALSE),Pesi!$F$32*Pesi!$C$28)</f>
        <v>18.632650896361511</v>
      </c>
      <c r="L41" s="155">
        <f t="shared" si="3"/>
        <v>18.632650896361511</v>
      </c>
      <c r="M41" s="154">
        <f>$D41*Pesi!$D$16+Pesi!$D$17*$E41+$F41*Pesi!$D$18+$G41*Pesi!$D$19+Pesi!$D$20*$H41+$I41*Pesi!$D$21+Pesi!$D$22*VLOOKUP($C41,TabAlgSqu,2,FALSE)+VLOOKUP($C41,TabAlgFC,2,FALSE)*Pesi!$D$23+Pesi!$D$24*VLOOKUP($C41,TabAlgAll,2,FALSE)</f>
        <v>74.341799999999992</v>
      </c>
      <c r="N41" s="155">
        <f>IF(ISNA(MATCH($B41,Pesi!$B$31:$B$34,0)),VLOOKUP(Pesi!$B$32,TabAlgCen,13,FALSE)-((VLOOKUP(Pesi!$B$32,TabAlgCen,12,FALSE)-$M41)/(VLOOKUP(Pesi!$B$32,TabAlgCen,12,FALSE)-Pesi!$F$42))*VLOOKUP(Pesi!$B$32,TabAlgCen,13,FALSE),$K41*$M41/$J41)</f>
        <v>19.83185494641414</v>
      </c>
      <c r="O41" s="155">
        <f t="shared" si="4"/>
        <v>19.83185494641414</v>
      </c>
      <c r="P41">
        <f t="shared" si="5"/>
        <v>39</v>
      </c>
      <c r="Q41">
        <f>VLOOKUP(B41,'C.P.'!$A$2:$B$164,2,FALSE)</f>
        <v>0</v>
      </c>
      <c r="R41" t="e">
        <f>VLOOKUP(B41,'C.P.'!$C$2:$D$164,2,FALSE)</f>
        <v>#N/A</v>
      </c>
      <c r="S41" t="e">
        <f>VLOOKUP(B41,'C.P.'!$E$2:$F$164,2,FALSE)</f>
        <v>#N/A</v>
      </c>
      <c r="T41" t="e">
        <f>VLOOKUP(B41,'C.P.'!$G$2:$H$164,2,FALSE)</f>
        <v>#N/A</v>
      </c>
    </row>
    <row r="42" spans="1:20">
      <c r="A42">
        <f ca="1">COUNTIF('I.A. + Fasce'!B$1:'I.A. + Fasce'!B$538,B39)</f>
        <v>1</v>
      </c>
      <c r="B42" s="211" t="s">
        <v>398</v>
      </c>
      <c r="C42" s="212" t="str">
        <f>VLOOKUP(B42,'IA FG'!$B$2:$G$600,6,FALSE)</f>
        <v>ATA</v>
      </c>
      <c r="D42" s="213">
        <v>7</v>
      </c>
      <c r="E42" s="213">
        <v>6</v>
      </c>
      <c r="F42" s="213">
        <v>6</v>
      </c>
      <c r="G42" s="213">
        <v>8</v>
      </c>
      <c r="H42" s="213">
        <v>8</v>
      </c>
      <c r="I42" s="213">
        <v>7</v>
      </c>
      <c r="J42" s="210">
        <f>$D42*Pesi!$B$16+Pesi!$B$17*$E42+$F42*Pesi!$B$18+$G42*Pesi!$B$19+Pesi!$B$20*$H42+$I42*Pesi!$B$21+Pesi!$B$22*VLOOKUP($C42,TabAlgSqu,2,FALSE)+VLOOKUP($C42,TabAlgFC,2,FALSE)*Pesi!$B$23+Pesi!$B$24*VLOOKUP($C42,TabAlgAll,2,FALSE)</f>
        <v>76.678600000000003</v>
      </c>
      <c r="K42" s="155">
        <f>IF(ISNA(MATCH($B42,Pesi!$B$31:$B$34,0)),VLOOKUP(Pesi!$B$32,TabAlgCen,10,FALSE)-((VLOOKUP(Pesi!$B$32,TabAlgCen,9,FALSE)-$J42)/(VLOOKUP(Pesi!$B$32,TabAlgCen,9,FALSE)-Pesi!$D$42))*VLOOKUP(Pesi!$B$32,TabAlgCen,10,FALSE),Pesi!$F$32*Pesi!$C$28)</f>
        <v>18.322097570075698</v>
      </c>
      <c r="L42" s="155">
        <f t="shared" si="3"/>
        <v>18.322097570075698</v>
      </c>
      <c r="M42" s="154">
        <f>$D42*Pesi!$D$16+Pesi!$D$17*$E42+$F42*Pesi!$D$18+$G42*Pesi!$D$19+Pesi!$D$20*$H42+$I42*Pesi!$D$21+Pesi!$D$22*VLOOKUP($C42,TabAlgSqu,2,FALSE)+VLOOKUP($C42,TabAlgFC,2,FALSE)*Pesi!$D$23+Pesi!$D$24*VLOOKUP($C42,TabAlgAll,2,FALSE)</f>
        <v>74.178600000000003</v>
      </c>
      <c r="N42" s="155">
        <f>IF(ISNA(MATCH($B42,Pesi!$B$31:$B$34,0)),VLOOKUP(Pesi!$B$32,TabAlgCen,13,FALSE)-((VLOOKUP(Pesi!$B$32,TabAlgCen,12,FALSE)-$M42)/(VLOOKUP(Pesi!$B$32,TabAlgCen,12,FALSE)-Pesi!$F$42))*VLOOKUP(Pesi!$B$32,TabAlgCen,13,FALSE),$K42*$M42/$J42)</f>
        <v>19.391014998818918</v>
      </c>
      <c r="O42" s="155">
        <f t="shared" si="4"/>
        <v>19.391014998818918</v>
      </c>
      <c r="P42">
        <f t="shared" si="5"/>
        <v>42</v>
      </c>
      <c r="Q42" t="e">
        <f>VLOOKUP(B42,'C.P.'!$A$2:$B$164,2,FALSE)</f>
        <v>#N/A</v>
      </c>
      <c r="R42">
        <f>VLOOKUP(B42,'C.P.'!$C$2:$D$164,2,FALSE)</f>
        <v>1</v>
      </c>
      <c r="S42">
        <f>VLOOKUP(B42,'C.P.'!$E$2:$F$164,2,FALSE)</f>
        <v>1</v>
      </c>
      <c r="T42" t="e">
        <f>VLOOKUP(B42,'C.P.'!$G$2:$H$164,2,FALSE)</f>
        <v>#N/A</v>
      </c>
    </row>
    <row r="43" spans="1:20">
      <c r="A43">
        <f ca="1">COUNTIF('I.A. + Fasce'!B$1:'I.A. + Fasce'!B$538,B40)</f>
        <v>1</v>
      </c>
      <c r="B43" s="211" t="s">
        <v>346</v>
      </c>
      <c r="C43" s="212" t="str">
        <f>VLOOKUP(B43,'IA FG'!$B$2:$G$600,6,FALSE)</f>
        <v>MIL</v>
      </c>
      <c r="D43" s="213">
        <v>6</v>
      </c>
      <c r="E43" s="213">
        <v>8</v>
      </c>
      <c r="F43" s="213">
        <v>7</v>
      </c>
      <c r="G43" s="213">
        <v>7</v>
      </c>
      <c r="H43" s="213">
        <v>6</v>
      </c>
      <c r="I43" s="213">
        <v>7</v>
      </c>
      <c r="J43" s="210">
        <f>$D43*Pesi!$B$16+Pesi!$B$17*$E43+$F43*Pesi!$B$18+$G43*Pesi!$B$19+Pesi!$B$20*$H43+$I43*Pesi!$B$21+Pesi!$B$22*VLOOKUP($C43,TabAlgSqu,2,FALSE)+VLOOKUP($C43,TabAlgFC,2,FALSE)*Pesi!$B$23+Pesi!$B$24*VLOOKUP($C43,TabAlgAll,2,FALSE)</f>
        <v>76.656199999999998</v>
      </c>
      <c r="K43" s="155">
        <f>IF(ISNA(MATCH($B43,Pesi!$B$31:$B$34,0)),VLOOKUP(Pesi!$B$32,TabAlgCen,10,FALSE)-((VLOOKUP(Pesi!$B$32,TabAlgCen,9,FALSE)-$J43)/(VLOOKUP(Pesi!$B$32,TabAlgCen,9,FALSE)-Pesi!$D$42))*VLOOKUP(Pesi!$B$32,TabAlgCen,10,FALSE),Pesi!$F$32*Pesi!$C$28)</f>
        <v>18.260645321764706</v>
      </c>
      <c r="L43" s="155">
        <f t="shared" si="3"/>
        <v>18.260645321764706</v>
      </c>
      <c r="M43" s="154">
        <f>$D43*Pesi!$D$16+Pesi!$D$17*$E43+$F43*Pesi!$D$18+$G43*Pesi!$D$19+Pesi!$D$20*$H43+$I43*Pesi!$D$21+Pesi!$D$22*VLOOKUP($C43,TabAlgSqu,2,FALSE)+VLOOKUP($C43,TabAlgFC,2,FALSE)*Pesi!$D$23+Pesi!$D$24*VLOOKUP($C43,TabAlgAll,2,FALSE)</f>
        <v>73.856200000000015</v>
      </c>
      <c r="N43" s="155">
        <f>IF(ISNA(MATCH($B43,Pesi!$B$31:$B$34,0)),VLOOKUP(Pesi!$B$32,TabAlgCen,13,FALSE)-((VLOOKUP(Pesi!$B$32,TabAlgCen,12,FALSE)-$M43)/(VLOOKUP(Pesi!$B$32,TabAlgCen,12,FALSE)-Pesi!$F$42))*VLOOKUP(Pesi!$B$32,TabAlgCen,13,FALSE),$K43*$M43/$J43)</f>
        <v>18.520140004304807</v>
      </c>
      <c r="O43" s="155">
        <f t="shared" si="4"/>
        <v>18.520140004304807</v>
      </c>
      <c r="P43">
        <f t="shared" si="5"/>
        <v>41</v>
      </c>
      <c r="Q43" t="e">
        <f>VLOOKUP(B43,'C.P.'!$A$2:$B$164,2,FALSE)</f>
        <v>#N/A</v>
      </c>
      <c r="R43">
        <f>VLOOKUP(B43,'C.P.'!$C$2:$D$164,2,FALSE)</f>
        <v>3</v>
      </c>
      <c r="S43">
        <f>VLOOKUP(B43,'C.P.'!$E$2:$F$164,2,FALSE)</f>
        <v>2</v>
      </c>
      <c r="T43">
        <f>VLOOKUP(B43,'C.P.'!$G$2:$H$164,2,FALSE)</f>
        <v>1</v>
      </c>
    </row>
    <row r="44" spans="1:20">
      <c r="A44">
        <f ca="1">COUNTIF('I.A. + Fasce'!B$1:'I.A. + Fasce'!B$538,B42)</f>
        <v>1</v>
      </c>
      <c r="B44" s="211" t="s">
        <v>1925</v>
      </c>
      <c r="C44" s="212" t="str">
        <f>VLOOKUP(B44,'IA FG'!$B$2:$G$600,6,FALSE)</f>
        <v>FIO</v>
      </c>
      <c r="D44" s="213">
        <v>9</v>
      </c>
      <c r="E44" s="213">
        <v>7</v>
      </c>
      <c r="F44" s="213">
        <v>7</v>
      </c>
      <c r="G44" s="213">
        <v>7</v>
      </c>
      <c r="H44" s="213">
        <v>7</v>
      </c>
      <c r="I44" s="213">
        <v>7</v>
      </c>
      <c r="J44" s="210">
        <f>$D44*Pesi!$B$16+Pesi!$B$17*$E44+$F44*Pesi!$B$18+$G44*Pesi!$B$19+Pesi!$B$20*$H44+$I44*Pesi!$B$21+Pesi!$B$22*VLOOKUP($C44,TabAlgSqu,2,FALSE)+VLOOKUP($C44,TabAlgFC,2,FALSE)*Pesi!$B$23+Pesi!$B$24*VLOOKUP($C44,TabAlgAll,2,FALSE)</f>
        <v>76.314400000000006</v>
      </c>
      <c r="K44" s="155">
        <f>IF(ISNA(MATCH($B44,Pesi!$B$31:$B$34,0)),VLOOKUP(Pesi!$B$32,TabAlgCen,10,FALSE)-((VLOOKUP(Pesi!$B$32,TabAlgCen,9,FALSE)-$J44)/(VLOOKUP(Pesi!$B$32,TabAlgCen,9,FALSE)-Pesi!$D$42))*VLOOKUP(Pesi!$B$32,TabAlgCen,10,FALSE),Pesi!$F$32*Pesi!$C$28)</f>
        <v>17.322949854233826</v>
      </c>
      <c r="L44" s="155">
        <f t="shared" si="3"/>
        <v>17.322949854233826</v>
      </c>
      <c r="M44" s="154">
        <f>$D44*Pesi!$D$16+Pesi!$D$17*$E44+$F44*Pesi!$D$18+$G44*Pesi!$D$19+Pesi!$D$20*$H44+$I44*Pesi!$D$21+Pesi!$D$22*VLOOKUP($C44,TabAlgSqu,2,FALSE)+VLOOKUP($C44,TabAlgFC,2,FALSE)*Pesi!$D$23+Pesi!$D$24*VLOOKUP($C44,TabAlgAll,2,FALSE)</f>
        <v>73.514400000000009</v>
      </c>
      <c r="N44" s="155">
        <f>IF(ISNA(MATCH($B44,Pesi!$B$31:$B$34,0)),VLOOKUP(Pesi!$B$32,TabAlgCen,13,FALSE)-((VLOOKUP(Pesi!$B$32,TabAlgCen,12,FALSE)-$M44)/(VLOOKUP(Pesi!$B$32,TabAlgCen,12,FALSE)-Pesi!$F$42))*VLOOKUP(Pesi!$B$32,TabAlgCen,13,FALSE),$K44*$M44/$J44)</f>
        <v>17.596861241510325</v>
      </c>
      <c r="O44" s="155">
        <f t="shared" si="4"/>
        <v>17.596861241510325</v>
      </c>
      <c r="P44">
        <f t="shared" si="5"/>
        <v>44</v>
      </c>
      <c r="Q44">
        <f>VLOOKUP(B44,'C.P.'!$A$2:$B$164,2,FALSE)</f>
        <v>0</v>
      </c>
      <c r="R44" t="e">
        <f>VLOOKUP(B44,'C.P.'!$C$2:$D$164,2,FALSE)</f>
        <v>#N/A</v>
      </c>
      <c r="S44" t="e">
        <f>VLOOKUP(B44,'C.P.'!$E$2:$F$164,2,FALSE)</f>
        <v>#N/A</v>
      </c>
      <c r="T44" t="e">
        <f>VLOOKUP(B44,'C.P.'!$G$2:$H$164,2,FALSE)</f>
        <v>#N/A</v>
      </c>
    </row>
    <row r="45" spans="1:20">
      <c r="B45" s="211" t="s">
        <v>563</v>
      </c>
      <c r="C45" s="212" t="str">
        <f>VLOOKUP(B45,'IA FG'!$B$2:$G$600,6,FALSE)</f>
        <v>LAZ</v>
      </c>
      <c r="D45" s="213">
        <v>9</v>
      </c>
      <c r="E45" s="213">
        <v>6</v>
      </c>
      <c r="F45" s="213">
        <v>7</v>
      </c>
      <c r="G45" s="213">
        <v>7</v>
      </c>
      <c r="H45" s="213">
        <v>7</v>
      </c>
      <c r="I45" s="213">
        <v>5</v>
      </c>
      <c r="J45" s="210">
        <f>$D45*Pesi!$B$16+Pesi!$B$17*$E45+$F45*Pesi!$B$18+$G45*Pesi!$B$19+Pesi!$B$20*$H45+$I45*Pesi!$B$21+Pesi!$B$22*VLOOKUP($C45,TabAlgSqu,2,FALSE)+VLOOKUP($C45,TabAlgFC,2,FALSE)*Pesi!$B$23+Pesi!$B$24*VLOOKUP($C45,TabAlgAll,2,FALSE)</f>
        <v>76.26230000000001</v>
      </c>
      <c r="K45" s="155">
        <f>IF(ISNA(MATCH($B45,Pesi!$B$31:$B$34,0)),VLOOKUP(Pesi!$B$32,TabAlgCen,10,FALSE)-((VLOOKUP(Pesi!$B$32,TabAlgCen,9,FALSE)-$J45)/(VLOOKUP(Pesi!$B$32,TabAlgCen,9,FALSE)-Pesi!$D$42))*VLOOKUP(Pesi!$B$32,TabAlgCen,10,FALSE),Pesi!$F$32*Pesi!$C$28)</f>
        <v>17.180018508831964</v>
      </c>
      <c r="L45" s="155">
        <f t="shared" si="3"/>
        <v>17.180018508831964</v>
      </c>
      <c r="M45" s="154">
        <f>$D45*Pesi!$D$16+Pesi!$D$17*$E45+$F45*Pesi!$D$18+$G45*Pesi!$D$19+Pesi!$D$20*$H45+$I45*Pesi!$D$21+Pesi!$D$22*VLOOKUP($C45,TabAlgSqu,2,FALSE)+VLOOKUP($C45,TabAlgFC,2,FALSE)*Pesi!$D$23+Pesi!$D$24*VLOOKUP($C45,TabAlgAll,2,FALSE)</f>
        <v>73.462299999999999</v>
      </c>
      <c r="N45" s="155">
        <f>IF(ISNA(MATCH($B45,Pesi!$B$31:$B$34,0)),VLOOKUP(Pesi!$B$32,TabAlgCen,13,FALSE)-((VLOOKUP(Pesi!$B$32,TabAlgCen,12,FALSE)-$M45)/(VLOOKUP(Pesi!$B$32,TabAlgCen,12,FALSE)-Pesi!$F$42))*VLOOKUP(Pesi!$B$32,TabAlgCen,13,FALSE),$K45*$M45/$J45)</f>
        <v>17.456127410200793</v>
      </c>
      <c r="O45" s="155">
        <f t="shared" si="4"/>
        <v>17.456127410200793</v>
      </c>
      <c r="P45">
        <f t="shared" si="5"/>
        <v>41</v>
      </c>
      <c r="Q45" t="e">
        <f>VLOOKUP(B45,'C.P.'!$A$2:$B$164,2,FALSE)</f>
        <v>#N/A</v>
      </c>
      <c r="R45" t="e">
        <f>VLOOKUP(B45,'C.P.'!$C$2:$D$164,2,FALSE)</f>
        <v>#N/A</v>
      </c>
      <c r="S45" t="e">
        <f>VLOOKUP(B45,'C.P.'!$E$2:$F$164,2,FALSE)</f>
        <v>#N/A</v>
      </c>
      <c r="T45" t="e">
        <f>VLOOKUP(B45,'C.P.'!$G$2:$H$164,2,FALSE)</f>
        <v>#N/A</v>
      </c>
    </row>
    <row r="46" spans="1:20">
      <c r="A46">
        <f ca="1">COUNTIF('I.A. + Fasce'!B$1:'I.A. + Fasce'!B$538,B44)</f>
        <v>1</v>
      </c>
      <c r="B46" s="211" t="s">
        <v>1738</v>
      </c>
      <c r="C46" s="212" t="str">
        <f>VLOOKUP(B46,'IA FG'!$B$2:$G$600,6,FALSE)</f>
        <v>TOR</v>
      </c>
      <c r="D46" s="213">
        <v>9</v>
      </c>
      <c r="E46" s="213">
        <v>7</v>
      </c>
      <c r="F46" s="213">
        <v>6</v>
      </c>
      <c r="G46" s="213">
        <v>6</v>
      </c>
      <c r="H46" s="213">
        <v>7</v>
      </c>
      <c r="I46" s="213">
        <v>7</v>
      </c>
      <c r="J46" s="210">
        <f>$D46*Pesi!$B$16+Pesi!$B$17*$E46+$F46*Pesi!$B$18+$G46*Pesi!$B$19+Pesi!$B$20*$H46+$I46*Pesi!$B$21+Pesi!$B$22*VLOOKUP($C46,TabAlgSqu,2,FALSE)+VLOOKUP($C46,TabAlgFC,2,FALSE)*Pesi!$B$23+Pesi!$B$24*VLOOKUP($C46,TabAlgAll,2,FALSE)</f>
        <v>76.026900000000012</v>
      </c>
      <c r="K46" s="155">
        <f>IF(ISNA(MATCH($B46,Pesi!$B$31:$B$34,0)),VLOOKUP(Pesi!$B$32,TabAlgCen,10,FALSE)-((VLOOKUP(Pesi!$B$32,TabAlgCen,9,FALSE)-$J46)/(VLOOKUP(Pesi!$B$32,TabAlgCen,9,FALSE)-Pesi!$D$42))*VLOOKUP(Pesi!$B$32,TabAlgCen,10,FALSE),Pesi!$F$32*Pesi!$C$28)</f>
        <v>16.534221220778214</v>
      </c>
      <c r="L46" s="155">
        <f t="shared" si="3"/>
        <v>16.534221220778214</v>
      </c>
      <c r="M46" s="154">
        <f>$D46*Pesi!$D$16+Pesi!$D$17*$E46+$F46*Pesi!$D$18+$G46*Pesi!$D$19+Pesi!$D$20*$H46+$I46*Pesi!$D$21+Pesi!$D$22*VLOOKUP($C46,TabAlgSqu,2,FALSE)+VLOOKUP($C46,TabAlgFC,2,FALSE)*Pesi!$D$23+Pesi!$D$24*VLOOKUP($C46,TabAlgAll,2,FALSE)</f>
        <v>73.626900000000006</v>
      </c>
      <c r="N46" s="155">
        <f>IF(ISNA(MATCH($B46,Pesi!$B$31:$B$34,0)),VLOOKUP(Pesi!$B$32,TabAlgCen,13,FALSE)-((VLOOKUP(Pesi!$B$32,TabAlgCen,12,FALSE)-$M46)/(VLOOKUP(Pesi!$B$32,TabAlgCen,12,FALSE)-Pesi!$F$42))*VLOOKUP(Pesi!$B$32,TabAlgCen,13,FALSE),$K46*$M46/$J46)</f>
        <v>17.900749073032777</v>
      </c>
      <c r="O46" s="155">
        <f t="shared" si="4"/>
        <v>17.900749073032777</v>
      </c>
      <c r="P46">
        <f t="shared" si="5"/>
        <v>42</v>
      </c>
      <c r="Q46">
        <f>VLOOKUP(B46,'C.P.'!$A$2:$B$164,2,FALSE)</f>
        <v>-1</v>
      </c>
      <c r="R46" t="e">
        <f>VLOOKUP(B46,'C.P.'!$C$2:$D$164,2,FALSE)</f>
        <v>#N/A</v>
      </c>
      <c r="S46" t="e">
        <f>VLOOKUP(B46,'C.P.'!$E$2:$F$164,2,FALSE)</f>
        <v>#N/A</v>
      </c>
      <c r="T46" t="e">
        <f>VLOOKUP(B46,'C.P.'!$G$2:$H$164,2,FALSE)</f>
        <v>#N/A</v>
      </c>
    </row>
    <row r="47" spans="1:20" ht="15" customHeight="1">
      <c r="A47">
        <f ca="1">COUNTIF('I.A. + Fasce'!B$1:'I.A. + Fasce'!B$538,B44)</f>
        <v>1</v>
      </c>
      <c r="B47" s="211" t="s">
        <v>1340</v>
      </c>
      <c r="C47" s="212" t="str">
        <f>VLOOKUP(B47,'IA FG'!$B$2:$G$600,6,FALSE)</f>
        <v>LAZ</v>
      </c>
      <c r="D47" s="213">
        <v>8</v>
      </c>
      <c r="E47" s="213">
        <v>7</v>
      </c>
      <c r="F47" s="213">
        <v>7</v>
      </c>
      <c r="G47" s="213">
        <v>6</v>
      </c>
      <c r="H47" s="213">
        <v>7</v>
      </c>
      <c r="I47" s="213">
        <v>6</v>
      </c>
      <c r="J47" s="210">
        <f>$D47*Pesi!$B$16+Pesi!$B$17*$E47+$F47*Pesi!$B$18+$G47*Pesi!$B$19+Pesi!$B$20*$H47+$I47*Pesi!$B$21+Pesi!$B$22*VLOOKUP($C47,TabAlgSqu,2,FALSE)+VLOOKUP($C47,TabAlgFC,2,FALSE)*Pesi!$B$23+Pesi!$B$24*VLOOKUP($C47,TabAlgAll,2,FALSE)</f>
        <v>75.987300000000019</v>
      </c>
      <c r="K47" s="155">
        <f>IF(ISNA(MATCH($B47,Pesi!$B$31:$B$34,0)),VLOOKUP(Pesi!$B$32,TabAlgCen,10,FALSE)-((VLOOKUP(Pesi!$B$32,TabAlgCen,9,FALSE)-$J47)/(VLOOKUP(Pesi!$B$32,TabAlgCen,9,FALSE)-Pesi!$D$42))*VLOOKUP(Pesi!$B$32,TabAlgCen,10,FALSE),Pesi!$F$32*Pesi!$C$28)</f>
        <v>16.425582424657044</v>
      </c>
      <c r="L47" s="155">
        <f t="shared" si="3"/>
        <v>16.425582424657044</v>
      </c>
      <c r="M47" s="154">
        <f>$D47*Pesi!$D$16+Pesi!$D$17*$E47+$F47*Pesi!$D$18+$G47*Pesi!$D$19+Pesi!$D$20*$H47+$I47*Pesi!$D$21+Pesi!$D$22*VLOOKUP($C47,TabAlgSqu,2,FALSE)+VLOOKUP($C47,TabAlgFC,2,FALSE)*Pesi!$D$23+Pesi!$D$24*VLOOKUP($C47,TabAlgAll,2,FALSE)</f>
        <v>73.237300000000005</v>
      </c>
      <c r="N47" s="155">
        <f>IF(ISNA(MATCH($B47,Pesi!$B$31:$B$34,0)),VLOOKUP(Pesi!$B$32,TabAlgCen,13,FALSE)-((VLOOKUP(Pesi!$B$32,TabAlgCen,12,FALSE)-$M47)/(VLOOKUP(Pesi!$B$32,TabAlgCen,12,FALSE)-Pesi!$F$42))*VLOOKUP(Pesi!$B$32,TabAlgCen,13,FALSE),$K47*$M47/$J47)</f>
        <v>16.848351747155888</v>
      </c>
      <c r="O47" s="155">
        <f t="shared" si="4"/>
        <v>16.848351747155888</v>
      </c>
      <c r="P47">
        <f t="shared" si="5"/>
        <v>41</v>
      </c>
      <c r="Q47">
        <f>VLOOKUP(B47,'C.P.'!$A$2:$B$164,2,FALSE)</f>
        <v>0</v>
      </c>
      <c r="R47" t="e">
        <f>VLOOKUP(B47,'C.P.'!$C$2:$D$164,2,FALSE)</f>
        <v>#N/A</v>
      </c>
      <c r="S47">
        <f>VLOOKUP(B47,'C.P.'!$E$2:$F$164,2,FALSE)</f>
        <v>2</v>
      </c>
      <c r="T47">
        <f>VLOOKUP(B47,'C.P.'!$G$2:$H$164,2,FALSE)</f>
        <v>2</v>
      </c>
    </row>
    <row r="48" spans="1:20" ht="12.75" customHeight="1">
      <c r="A48">
        <f ca="1">COUNTIF('I.A. + Fasce'!B$1:'I.A. + Fasce'!B$538,B46)</f>
        <v>1</v>
      </c>
      <c r="B48" s="211" t="s">
        <v>1740</v>
      </c>
      <c r="C48" s="212" t="str">
        <f>VLOOKUP(B48,'IA FG'!$B$2:$G$600,6,FALSE)</f>
        <v>LAZ</v>
      </c>
      <c r="D48" s="213">
        <v>8</v>
      </c>
      <c r="E48" s="213">
        <v>8</v>
      </c>
      <c r="F48" s="213">
        <v>7</v>
      </c>
      <c r="G48" s="213">
        <v>5</v>
      </c>
      <c r="H48" s="213">
        <v>6</v>
      </c>
      <c r="I48" s="213">
        <v>7</v>
      </c>
      <c r="J48" s="210">
        <f>$D48*Pesi!$B$16+Pesi!$B$17*$E48+$F48*Pesi!$B$18+$G48*Pesi!$B$19+Pesi!$B$20*$H48+$I48*Pesi!$B$21+Pesi!$B$22*VLOOKUP($C48,TabAlgSqu,2,FALSE)+VLOOKUP($C48,TabAlgFC,2,FALSE)*Pesi!$B$23+Pesi!$B$24*VLOOKUP($C48,TabAlgAll,2,FALSE)</f>
        <v>75.712300000000013</v>
      </c>
      <c r="K48" s="155">
        <f>IF(ISNA(MATCH($B48,Pesi!$B$31:$B$34,0)),VLOOKUP(Pesi!$B$32,TabAlgCen,10,FALSE)-((VLOOKUP(Pesi!$B$32,TabAlgCen,9,FALSE)-$J48)/(VLOOKUP(Pesi!$B$32,TabAlgCen,9,FALSE)-Pesi!$D$42))*VLOOKUP(Pesi!$B$32,TabAlgCen,10,FALSE),Pesi!$F$32*Pesi!$C$28)</f>
        <v>15.671146340482082</v>
      </c>
      <c r="L48" s="155">
        <f t="shared" si="3"/>
        <v>15.671146340482082</v>
      </c>
      <c r="M48" s="154">
        <f>$D48*Pesi!$D$16+Pesi!$D$17*$E48+$F48*Pesi!$D$18+$G48*Pesi!$D$19+Pesi!$D$20*$H48+$I48*Pesi!$D$21+Pesi!$D$22*VLOOKUP($C48,TabAlgSqu,2,FALSE)+VLOOKUP($C48,TabAlgFC,2,FALSE)*Pesi!$D$23+Pesi!$D$24*VLOOKUP($C48,TabAlgAll,2,FALSE)</f>
        <v>73.01230000000001</v>
      </c>
      <c r="N48" s="155">
        <f>IF(ISNA(MATCH($B48,Pesi!$B$31:$B$34,0)),VLOOKUP(Pesi!$B$32,TabAlgCen,13,FALSE)-((VLOOKUP(Pesi!$B$32,TabAlgCen,12,FALSE)-$M48)/(VLOOKUP(Pesi!$B$32,TabAlgCen,12,FALSE)-Pesi!$F$42))*VLOOKUP(Pesi!$B$32,TabAlgCen,13,FALSE),$K48*$M48/$J48)</f>
        <v>16.240576084110984</v>
      </c>
      <c r="O48" s="155">
        <f t="shared" si="4"/>
        <v>16.240576084110984</v>
      </c>
      <c r="P48">
        <f t="shared" si="5"/>
        <v>41</v>
      </c>
      <c r="Q48">
        <f>VLOOKUP(B48,'C.P.'!$A$2:$B$164,2,FALSE)</f>
        <v>-1</v>
      </c>
      <c r="R48" t="e">
        <f>VLOOKUP(B48,'C.P.'!$C$2:$D$164,2,FALSE)</f>
        <v>#N/A</v>
      </c>
      <c r="S48" t="e">
        <f>VLOOKUP(B48,'C.P.'!$E$2:$F$164,2,FALSE)</f>
        <v>#N/A</v>
      </c>
      <c r="T48" t="e">
        <f>VLOOKUP(B48,'C.P.'!$G$2:$H$164,2,FALSE)</f>
        <v>#N/A</v>
      </c>
    </row>
    <row r="49" spans="1:21">
      <c r="A49">
        <f ca="1">COUNTIF('I.A. + Fasce'!B$1:'I.A. + Fasce'!B$538,B46)</f>
        <v>1</v>
      </c>
      <c r="B49" s="211" t="s">
        <v>407</v>
      </c>
      <c r="C49" s="212" t="str">
        <f>VLOOKUP(B49,'IA FG'!$B$2:$G$600,6,FALSE)</f>
        <v>ATA</v>
      </c>
      <c r="D49" s="213">
        <v>9</v>
      </c>
      <c r="E49" s="213">
        <v>6</v>
      </c>
      <c r="F49" s="213">
        <v>7</v>
      </c>
      <c r="G49" s="213">
        <v>7</v>
      </c>
      <c r="H49" s="213">
        <v>6</v>
      </c>
      <c r="I49" s="213">
        <v>6</v>
      </c>
      <c r="J49" s="210">
        <f>$D49*Pesi!$B$16+Pesi!$B$17*$E49+$F49*Pesi!$B$18+$G49*Pesi!$B$19+Pesi!$B$20*$H49+$I49*Pesi!$B$21+Pesi!$B$22*VLOOKUP($C49,TabAlgSqu,2,FALSE)+VLOOKUP($C49,TabAlgFC,2,FALSE)*Pesi!$B$23+Pesi!$B$24*VLOOKUP($C49,TabAlgAll,2,FALSE)</f>
        <v>75.457800000000006</v>
      </c>
      <c r="K49" s="155">
        <f>IF(ISNA(MATCH($B49,Pesi!$B$31:$B$34,0)),VLOOKUP(Pesi!$B$32,TabAlgCen,10,FALSE)-((VLOOKUP(Pesi!$B$32,TabAlgCen,9,FALSE)-$J49)/(VLOOKUP(Pesi!$B$32,TabAlgCen,9,FALSE)-Pesi!$D$42))*VLOOKUP(Pesi!$B$32,TabAlgCen,10,FALSE),Pesi!$F$32*Pesi!$C$28)</f>
        <v>14.972950037127426</v>
      </c>
      <c r="L49" s="155">
        <f t="shared" si="3"/>
        <v>14.972950037127426</v>
      </c>
      <c r="M49" s="154">
        <f>$D49*Pesi!$D$16+Pesi!$D$17*$E49+$F49*Pesi!$D$18+$G49*Pesi!$D$19+Pesi!$D$20*$H49+$I49*Pesi!$D$21+Pesi!$D$22*VLOOKUP($C49,TabAlgSqu,2,FALSE)+VLOOKUP($C49,TabAlgFC,2,FALSE)*Pesi!$D$23+Pesi!$D$24*VLOOKUP($C49,TabAlgAll,2,FALSE)</f>
        <v>72.657799999999995</v>
      </c>
      <c r="N49" s="155">
        <f>IF(ISNA(MATCH($B49,Pesi!$B$31:$B$34,0)),VLOOKUP(Pesi!$B$32,TabAlgCen,13,FALSE)-((VLOOKUP(Pesi!$B$32,TabAlgCen,12,FALSE)-$M49)/(VLOOKUP(Pesi!$B$32,TabAlgCen,12,FALSE)-Pesi!$F$42))*VLOOKUP(Pesi!$B$32,TabAlgCen,13,FALSE),$K49*$M49/$J49)</f>
        <v>15.282991761669059</v>
      </c>
      <c r="O49" s="155">
        <f t="shared" si="4"/>
        <v>15.282991761669059</v>
      </c>
      <c r="P49">
        <f t="shared" si="5"/>
        <v>41</v>
      </c>
      <c r="Q49" t="e">
        <f>VLOOKUP(B49,'C.P.'!$A$2:$B$164,2,FALSE)</f>
        <v>#N/A</v>
      </c>
      <c r="R49" t="e">
        <f>VLOOKUP(B49,'C.P.'!$C$2:$D$164,2,FALSE)</f>
        <v>#N/A</v>
      </c>
      <c r="S49" t="e">
        <f>VLOOKUP(B49,'C.P.'!$E$2:$F$164,2,FALSE)</f>
        <v>#N/A</v>
      </c>
      <c r="T49" t="e">
        <f>VLOOKUP(B49,'C.P.'!$G$2:$H$164,2,FALSE)</f>
        <v>#N/A</v>
      </c>
    </row>
    <row r="50" spans="1:21">
      <c r="A50">
        <f ca="1">COUNTIF('I.A. + Fasce'!B$1:'I.A. + Fasce'!B$538,B48)</f>
        <v>1</v>
      </c>
      <c r="B50" s="211" t="s">
        <v>530</v>
      </c>
      <c r="C50" s="212" t="str">
        <f>VLOOKUP(B50,'IA FG'!$B$2:$G$600,6,FALSE)</f>
        <v>SAM</v>
      </c>
      <c r="D50" s="213">
        <v>9</v>
      </c>
      <c r="E50" s="213">
        <v>6</v>
      </c>
      <c r="F50" s="213">
        <v>8</v>
      </c>
      <c r="G50" s="213">
        <v>7</v>
      </c>
      <c r="H50" s="213">
        <v>6</v>
      </c>
      <c r="I50" s="213">
        <v>7</v>
      </c>
      <c r="J50" s="210">
        <f>$D50*Pesi!$B$16+Pesi!$B$17*$E50+$F50*Pesi!$B$18+$G50*Pesi!$B$19+Pesi!$B$20*$H50+$I50*Pesi!$B$21+Pesi!$B$22*VLOOKUP($C50,TabAlgSqu,2,FALSE)+VLOOKUP($C50,TabAlgFC,2,FALSE)*Pesi!$B$23+Pesi!$B$24*VLOOKUP($C50,TabAlgAll,2,FALSE)</f>
        <v>75.268100000000004</v>
      </c>
      <c r="K50" s="155">
        <f>IF(ISNA(MATCH($B50,Pesi!$B$31:$B$34,0)),VLOOKUP(Pesi!$B$32,TabAlgCen,10,FALSE)-((VLOOKUP(Pesi!$B$32,TabAlgCen,9,FALSE)-$J50)/(VLOOKUP(Pesi!$B$32,TabAlgCen,9,FALSE)-Pesi!$D$42))*VLOOKUP(Pesi!$B$32,TabAlgCen,10,FALSE),Pesi!$F$32*Pesi!$C$28)</f>
        <v>14.452526309243822</v>
      </c>
      <c r="L50" s="155">
        <f t="shared" si="3"/>
        <v>14.452526309243822</v>
      </c>
      <c r="M50" s="154">
        <f>$D50*Pesi!$D$16+Pesi!$D$17*$E50+$F50*Pesi!$D$18+$G50*Pesi!$D$19+Pesi!$D$20*$H50+$I50*Pesi!$D$21+Pesi!$D$22*VLOOKUP($C50,TabAlgSqu,2,FALSE)+VLOOKUP($C50,TabAlgFC,2,FALSE)*Pesi!$D$23+Pesi!$D$24*VLOOKUP($C50,TabAlgAll,2,FALSE)</f>
        <v>72.118099999999998</v>
      </c>
      <c r="N50" s="155">
        <f>IF(ISNA(MATCH($B50,Pesi!$B$31:$B$34,0)),VLOOKUP(Pesi!$B$32,TabAlgCen,13,FALSE)-((VLOOKUP(Pesi!$B$32,TabAlgCen,12,FALSE)-$M50)/(VLOOKUP(Pesi!$B$32,TabAlgCen,12,FALSE)-Pesi!$F$42))*VLOOKUP(Pesi!$B$32,TabAlgCen,13,FALSE),$K50*$M50/$J50)</f>
        <v>13.825140537911992</v>
      </c>
      <c r="O50" s="155">
        <f t="shared" si="4"/>
        <v>13.825140537911992</v>
      </c>
      <c r="P50">
        <f t="shared" si="5"/>
        <v>43</v>
      </c>
      <c r="Q50">
        <f>VLOOKUP(B50,'C.P.'!$A$2:$B$164,2,FALSE)</f>
        <v>0</v>
      </c>
      <c r="R50" t="e">
        <f>VLOOKUP(B50,'C.P.'!$C$2:$D$164,2,FALSE)</f>
        <v>#N/A</v>
      </c>
      <c r="S50" t="e">
        <f>VLOOKUP(B50,'C.P.'!$E$2:$F$164,2,FALSE)</f>
        <v>#N/A</v>
      </c>
      <c r="T50" t="e">
        <f>VLOOKUP(B50,'C.P.'!$G$2:$H$164,2,FALSE)</f>
        <v>#N/A</v>
      </c>
    </row>
    <row r="51" spans="1:21">
      <c r="A51">
        <f ca="1">COUNTIF('I.A. + Fasce'!B$1:'I.A. + Fasce'!B$538,B51)</f>
        <v>1</v>
      </c>
      <c r="B51" s="211" t="s">
        <v>367</v>
      </c>
      <c r="C51" s="212" t="str">
        <f>VLOOKUP(B51,'IA FG'!$B$2:$G$600,6,FALSE)</f>
        <v>INT</v>
      </c>
      <c r="D51" s="213">
        <v>8</v>
      </c>
      <c r="E51" s="213">
        <v>6</v>
      </c>
      <c r="F51" s="213">
        <v>7</v>
      </c>
      <c r="G51" s="213">
        <v>7</v>
      </c>
      <c r="H51" s="213">
        <v>6</v>
      </c>
      <c r="I51" s="213">
        <v>6</v>
      </c>
      <c r="J51" s="210">
        <f>$D51*Pesi!$B$16+Pesi!$B$17*$E51+$F51*Pesi!$B$18+$G51*Pesi!$B$19+Pesi!$B$20*$H51+$I51*Pesi!$B$21+Pesi!$B$22*VLOOKUP($C51,TabAlgSqu,2,FALSE)+VLOOKUP($C51,TabAlgFC,2,FALSE)*Pesi!$B$23+Pesi!$B$24*VLOOKUP($C51,TabAlgAll,2,FALSE)</f>
        <v>75.224499999999992</v>
      </c>
      <c r="K51" s="155">
        <f>IF(ISNA(MATCH($B51,Pesi!$B$31:$B$34,0)),VLOOKUP(Pesi!$B$32,TabAlgCen,10,FALSE)-((VLOOKUP(Pesi!$B$32,TabAlgCen,9,FALSE)-$J51)/(VLOOKUP(Pesi!$B$32,TabAlgCen,9,FALSE)-Pesi!$D$42))*VLOOKUP(Pesi!$B$32,TabAlgCen,10,FALSE),Pesi!$F$32*Pesi!$C$28)</f>
        <v>14.332913897352775</v>
      </c>
      <c r="L51" s="155">
        <f t="shared" si="3"/>
        <v>14.332913897352775</v>
      </c>
      <c r="M51" s="154">
        <f>$D51*Pesi!$D$16+Pesi!$D$17*$E51+$F51*Pesi!$D$18+$G51*Pesi!$D$19+Pesi!$D$20*$H51+$I51*Pesi!$D$21+Pesi!$D$22*VLOOKUP($C51,TabAlgSqu,2,FALSE)+VLOOKUP($C51,TabAlgFC,2,FALSE)*Pesi!$D$23+Pesi!$D$24*VLOOKUP($C51,TabAlgAll,2,FALSE)</f>
        <v>72.424499999999995</v>
      </c>
      <c r="N51" s="155">
        <f>IF(ISNA(MATCH($B51,Pesi!$B$31:$B$34,0)),VLOOKUP(Pesi!$B$32,TabAlgCen,13,FALSE)-((VLOOKUP(Pesi!$B$32,TabAlgCen,12,FALSE)-$M51)/(VLOOKUP(Pesi!$B$32,TabAlgCen,12,FALSE)-Pesi!$F$42))*VLOOKUP(Pesi!$B$32,TabAlgCen,13,FALSE),$K51*$M51/$J51)</f>
        <v>14.65279592972071</v>
      </c>
      <c r="O51" s="155">
        <f t="shared" si="4"/>
        <v>14.65279592972071</v>
      </c>
      <c r="P51">
        <f t="shared" si="5"/>
        <v>40</v>
      </c>
      <c r="Q51" t="e">
        <f>VLOOKUP(B51,'C.P.'!$A$2:$B$164,2,FALSE)</f>
        <v>#N/A</v>
      </c>
      <c r="R51" t="e">
        <f>VLOOKUP(B51,'C.P.'!$C$2:$D$164,2,FALSE)</f>
        <v>#N/A</v>
      </c>
      <c r="S51">
        <f>VLOOKUP(B51,'C.P.'!$E$2:$F$164,2,FALSE)</f>
        <v>4</v>
      </c>
      <c r="T51" t="e">
        <f>VLOOKUP(B51,'C.P.'!$G$2:$H$164,2,FALSE)</f>
        <v>#N/A</v>
      </c>
      <c r="U51" s="180"/>
    </row>
    <row r="52" spans="1:21">
      <c r="A52">
        <f ca="1">COUNTIF('I.A. + Fasce'!B$1:'I.A. + Fasce'!B$538,B49)</f>
        <v>1</v>
      </c>
      <c r="B52" s="211" t="s">
        <v>424</v>
      </c>
      <c r="C52" s="212" t="str">
        <f>VLOOKUP(B52,'IA FG'!$B$2:$G$600,6,FALSE)</f>
        <v>ROM</v>
      </c>
      <c r="D52" s="213">
        <v>8</v>
      </c>
      <c r="E52" s="213">
        <v>6</v>
      </c>
      <c r="F52" s="213">
        <v>6</v>
      </c>
      <c r="G52" s="213">
        <v>6</v>
      </c>
      <c r="H52" s="213">
        <v>6</v>
      </c>
      <c r="I52" s="213">
        <v>6</v>
      </c>
      <c r="J52" s="210">
        <f>$D52*Pesi!$B$16+Pesi!$B$17*$E52+$F52*Pesi!$B$18+$G52*Pesi!$B$19+Pesi!$B$20*$H52+$I52*Pesi!$B$21+Pesi!$B$22*VLOOKUP($C52,TabAlgSqu,2,FALSE)+VLOOKUP($C52,TabAlgFC,2,FALSE)*Pesi!$B$23+Pesi!$B$24*VLOOKUP($C52,TabAlgAll,2,FALSE)</f>
        <v>75.183499999999995</v>
      </c>
      <c r="K52" s="155">
        <f>IF(ISNA(MATCH($B52,Pesi!$B$31:$B$34,0)),VLOOKUP(Pesi!$B$32,TabAlgCen,10,FALSE)-((VLOOKUP(Pesi!$B$32,TabAlgCen,9,FALSE)-$J52)/(VLOOKUP(Pesi!$B$32,TabAlgCen,9,FALSE)-Pesi!$D$42))*VLOOKUP(Pesi!$B$32,TabAlgCen,10,FALSE),Pesi!$F$32*Pesi!$C$28)</f>
        <v>14.220434335712163</v>
      </c>
      <c r="L52" s="155">
        <f t="shared" si="3"/>
        <v>14.220434335712163</v>
      </c>
      <c r="M52" s="154">
        <f>$D52*Pesi!$D$16+Pesi!$D$17*$E52+$F52*Pesi!$D$18+$G52*Pesi!$D$19+Pesi!$D$20*$H52+$I52*Pesi!$D$21+Pesi!$D$22*VLOOKUP($C52,TabAlgSqu,2,FALSE)+VLOOKUP($C52,TabAlgFC,2,FALSE)*Pesi!$D$23+Pesi!$D$24*VLOOKUP($C52,TabAlgAll,2,FALSE)</f>
        <v>72.783500000000004</v>
      </c>
      <c r="N52" s="155">
        <f>IF(ISNA(MATCH($B52,Pesi!$B$31:$B$34,0)),VLOOKUP(Pesi!$B$32,TabAlgCen,13,FALSE)-((VLOOKUP(Pesi!$B$32,TabAlgCen,12,FALSE)-$M52)/(VLOOKUP(Pesi!$B$32,TabAlgCen,12,FALSE)-Pesi!$F$42))*VLOOKUP(Pesi!$B$32,TabAlgCen,13,FALSE),$K52*$M52/$J52)</f>
        <v>15.622535765423514</v>
      </c>
      <c r="O52" s="155">
        <f t="shared" si="4"/>
        <v>15.622535765423514</v>
      </c>
      <c r="P52">
        <f t="shared" si="5"/>
        <v>38</v>
      </c>
      <c r="Q52" t="e">
        <f>VLOOKUP(B52,'C.P.'!$A$2:$B$164,2,FALSE)</f>
        <v>#N/A</v>
      </c>
      <c r="R52">
        <f>VLOOKUP(B52,'C.P.'!$C$2:$D$164,2,FALSE)</f>
        <v>2</v>
      </c>
      <c r="S52">
        <f>VLOOKUP(B52,'C.P.'!$E$2:$F$164,2,FALSE)</f>
        <v>2</v>
      </c>
      <c r="T52" t="e">
        <f>VLOOKUP(B52,'C.P.'!$G$2:$H$164,2,FALSE)</f>
        <v>#N/A</v>
      </c>
      <c r="U52" s="156"/>
    </row>
    <row r="53" spans="1:21">
      <c r="B53" s="211" t="s">
        <v>1924</v>
      </c>
      <c r="C53" s="212" t="str">
        <f>VLOOKUP(B53,'IA FG'!$B$2:$G$600,6,FALSE)</f>
        <v>ATA</v>
      </c>
      <c r="D53" s="213">
        <v>9</v>
      </c>
      <c r="E53" s="213">
        <v>7</v>
      </c>
      <c r="F53" s="213">
        <v>7</v>
      </c>
      <c r="G53" s="213">
        <v>6</v>
      </c>
      <c r="H53" s="213">
        <v>5</v>
      </c>
      <c r="I53" s="213">
        <v>7</v>
      </c>
      <c r="J53" s="210">
        <f>$D53*Pesi!$B$16+Pesi!$B$17*$E53+$F53*Pesi!$B$18+$G53*Pesi!$B$19+Pesi!$B$20*$H53+$I53*Pesi!$B$21+Pesi!$B$22*VLOOKUP($C53,TabAlgSqu,2,FALSE)+VLOOKUP($C53,TabAlgFC,2,FALSE)*Pesi!$B$23+Pesi!$B$24*VLOOKUP($C53,TabAlgAll,2,FALSE)</f>
        <v>75.1828</v>
      </c>
      <c r="K53" s="155">
        <f>IF(ISNA(MATCH($B53,Pesi!$B$31:$B$34,0)),VLOOKUP(Pesi!$B$32,TabAlgCen,10,FALSE)-((VLOOKUP(Pesi!$B$32,TabAlgCen,9,FALSE)-$J53)/(VLOOKUP(Pesi!$B$32,TabAlgCen,9,FALSE)-Pesi!$D$42))*VLOOKUP(Pesi!$B$32,TabAlgCen,10,FALSE),Pesi!$F$32*Pesi!$C$28)</f>
        <v>14.218513952952456</v>
      </c>
      <c r="L53" s="155">
        <f t="shared" si="3"/>
        <v>14.218513952952456</v>
      </c>
      <c r="M53" s="154">
        <f>$D53*Pesi!$D$16+Pesi!$D$17*$E53+$F53*Pesi!$D$18+$G53*Pesi!$D$19+Pesi!$D$20*$H53+$I53*Pesi!$D$21+Pesi!$D$22*VLOOKUP($C53,TabAlgSqu,2,FALSE)+VLOOKUP($C53,TabAlgFC,2,FALSE)*Pesi!$D$23+Pesi!$D$24*VLOOKUP($C53,TabAlgAll,2,FALSE)</f>
        <v>72.4328</v>
      </c>
      <c r="N53" s="155">
        <f>IF(ISNA(MATCH($B53,Pesi!$B$31:$B$34,0)),VLOOKUP(Pesi!$B$32,TabAlgCen,13,FALSE)-((VLOOKUP(Pesi!$B$32,TabAlgCen,12,FALSE)-$M53)/(VLOOKUP(Pesi!$B$32,TabAlgCen,12,FALSE)-Pesi!$F$42))*VLOOKUP(Pesi!$B$32,TabAlgCen,13,FALSE),$K53*$M53/$J53)</f>
        <v>14.675216098624155</v>
      </c>
      <c r="O53" s="155">
        <f t="shared" si="4"/>
        <v>14.675216098624155</v>
      </c>
      <c r="P53">
        <f t="shared" si="5"/>
        <v>41</v>
      </c>
      <c r="Q53" t="e">
        <f>VLOOKUP(B53,'C.P.'!$A$2:$B$164,2,FALSE)</f>
        <v>#N/A</v>
      </c>
      <c r="R53" t="e">
        <f>VLOOKUP(B53,'C.P.'!$C$2:$D$164,2,FALSE)</f>
        <v>#N/A</v>
      </c>
      <c r="S53" t="e">
        <f>VLOOKUP(B53,'C.P.'!$E$2:$F$164,2,FALSE)</f>
        <v>#N/A</v>
      </c>
      <c r="T53" t="e">
        <f>VLOOKUP(B53,'C.P.'!$G$2:$H$164,2,FALSE)</f>
        <v>#N/A</v>
      </c>
    </row>
    <row r="54" spans="1:21">
      <c r="A54">
        <f ca="1">COUNTIF('I.A. + Fasce'!B$1:'I.A. + Fasce'!B$538,B52)</f>
        <v>1</v>
      </c>
      <c r="B54" s="211" t="s">
        <v>525</v>
      </c>
      <c r="C54" s="212" t="str">
        <f>VLOOKUP(B54,'IA FG'!$B$2:$G$600,6,FALSE)</f>
        <v>ATA</v>
      </c>
      <c r="D54" s="213">
        <v>9</v>
      </c>
      <c r="E54" s="213">
        <v>7</v>
      </c>
      <c r="F54" s="213">
        <v>6</v>
      </c>
      <c r="G54" s="213">
        <v>7</v>
      </c>
      <c r="H54" s="213">
        <v>6</v>
      </c>
      <c r="I54" s="213">
        <v>6</v>
      </c>
      <c r="J54" s="210">
        <f>$D54*Pesi!$B$16+Pesi!$B$17*$E54+$F54*Pesi!$B$18+$G54*Pesi!$B$19+Pesi!$B$20*$H54+$I54*Pesi!$B$21+Pesi!$B$22*VLOOKUP($C54,TabAlgSqu,2,FALSE)+VLOOKUP($C54,TabAlgFC,2,FALSE)*Pesi!$B$23+Pesi!$B$24*VLOOKUP($C54,TabAlgAll,2,FALSE)</f>
        <v>75.070300000000003</v>
      </c>
      <c r="K54" s="155">
        <f>IF(ISNA(MATCH($B54,Pesi!$B$31:$B$34,0)),VLOOKUP(Pesi!$B$32,TabAlgCen,10,FALSE)-((VLOOKUP(Pesi!$B$32,TabAlgCen,9,FALSE)-$J54)/(VLOOKUP(Pesi!$B$32,TabAlgCen,9,FALSE)-Pesi!$D$42))*VLOOKUP(Pesi!$B$32,TabAlgCen,10,FALSE),Pesi!$F$32*Pesi!$C$28)</f>
        <v>13.90988100942635</v>
      </c>
      <c r="L54" s="155">
        <f t="shared" si="3"/>
        <v>13.90988100942635</v>
      </c>
      <c r="M54" s="154">
        <f>$D54*Pesi!$D$16+Pesi!$D$17*$E54+$F54*Pesi!$D$18+$G54*Pesi!$D$19+Pesi!$D$20*$H54+$I54*Pesi!$D$21+Pesi!$D$22*VLOOKUP($C54,TabAlgSqu,2,FALSE)+VLOOKUP($C54,TabAlgFC,2,FALSE)*Pesi!$D$23+Pesi!$D$24*VLOOKUP($C54,TabAlgAll,2,FALSE)</f>
        <v>72.6203</v>
      </c>
      <c r="N54" s="155">
        <f>IF(ISNA(MATCH($B54,Pesi!$B$31:$B$34,0)),VLOOKUP(Pesi!$B$32,TabAlgCen,13,FALSE)-((VLOOKUP(Pesi!$B$32,TabAlgCen,12,FALSE)-$M54)/(VLOOKUP(Pesi!$B$32,TabAlgCen,12,FALSE)-Pesi!$F$42))*VLOOKUP(Pesi!$B$32,TabAlgCen,13,FALSE),$K54*$M54/$J54)</f>
        <v>15.181695817828249</v>
      </c>
      <c r="O54" s="155">
        <f t="shared" si="4"/>
        <v>15.181695817828249</v>
      </c>
      <c r="P54">
        <f t="shared" si="5"/>
        <v>41</v>
      </c>
      <c r="Q54">
        <f>VLOOKUP(B54,'C.P.'!$A$2:$B$164,2,FALSE)</f>
        <v>-1</v>
      </c>
      <c r="R54" t="e">
        <f>VLOOKUP(B54,'C.P.'!$C$2:$D$164,2,FALSE)</f>
        <v>#N/A</v>
      </c>
      <c r="S54" t="e">
        <f>VLOOKUP(B54,'C.P.'!$E$2:$F$164,2,FALSE)</f>
        <v>#N/A</v>
      </c>
      <c r="T54" t="e">
        <f>VLOOKUP(B54,'C.P.'!$G$2:$H$164,2,FALSE)</f>
        <v>#N/A</v>
      </c>
    </row>
    <row r="55" spans="1:21" ht="15" customHeight="1">
      <c r="B55" s="211" t="s">
        <v>600</v>
      </c>
      <c r="C55" s="212" t="str">
        <f>VLOOKUP(B55,'IA FG'!$B$2:$G$600,6,FALSE)</f>
        <v>FIO</v>
      </c>
      <c r="D55" s="213">
        <v>7</v>
      </c>
      <c r="E55" s="213">
        <v>7</v>
      </c>
      <c r="F55" s="213">
        <v>7</v>
      </c>
      <c r="G55" s="213">
        <v>7</v>
      </c>
      <c r="H55" s="213">
        <v>8</v>
      </c>
      <c r="I55" s="213">
        <v>7</v>
      </c>
      <c r="J55" s="210">
        <f>$D55*Pesi!$B$16+Pesi!$B$17*$E55+$F55*Pesi!$B$18+$G55*Pesi!$B$19+Pesi!$B$20*$H55+$I55*Pesi!$B$21+Pesi!$B$22*VLOOKUP($C55,TabAlgSqu,2,FALSE)+VLOOKUP($C55,TabAlgFC,2,FALSE)*Pesi!$B$23+Pesi!$B$24*VLOOKUP($C55,TabAlgAll,2,FALSE)</f>
        <v>74.981100000000012</v>
      </c>
      <c r="K55" s="155">
        <f>IF(ISNA(MATCH($B55,Pesi!$B$31:$B$34,0)),VLOOKUP(Pesi!$B$32,TabAlgCen,10,FALSE)-((VLOOKUP(Pesi!$B$32,TabAlgCen,9,FALSE)-$J55)/(VLOOKUP(Pesi!$B$32,TabAlgCen,9,FALSE)-Pesi!$D$42))*VLOOKUP(Pesi!$B$32,TabAlgCen,10,FALSE),Pesi!$F$32*Pesi!$C$28)</f>
        <v>13.665169377759447</v>
      </c>
      <c r="L55" s="155">
        <f t="shared" si="3"/>
        <v>13.665169377759447</v>
      </c>
      <c r="M55" s="154">
        <f>$D55*Pesi!$D$16+Pesi!$D$17*$E55+$F55*Pesi!$D$18+$G55*Pesi!$D$19+Pesi!$D$20*$H55+$I55*Pesi!$D$21+Pesi!$D$22*VLOOKUP($C55,TabAlgSqu,2,FALSE)+VLOOKUP($C55,TabAlgFC,2,FALSE)*Pesi!$D$23+Pesi!$D$24*VLOOKUP($C55,TabAlgAll,2,FALSE)</f>
        <v>72.181100000000001</v>
      </c>
      <c r="N55" s="155">
        <f>IF(ISNA(MATCH($B55,Pesi!$B$31:$B$34,0)),VLOOKUP(Pesi!$B$32,TabAlgCen,13,FALSE)-((VLOOKUP(Pesi!$B$32,TabAlgCen,12,FALSE)-$M55)/(VLOOKUP(Pesi!$B$32,TabAlgCen,12,FALSE)-Pesi!$F$42))*VLOOKUP(Pesi!$B$32,TabAlgCen,13,FALSE),$K55*$M55/$J55)</f>
        <v>13.995317723564575</v>
      </c>
      <c r="O55" s="155">
        <f t="shared" si="4"/>
        <v>13.995317723564575</v>
      </c>
      <c r="P55">
        <f t="shared" si="5"/>
        <v>43</v>
      </c>
      <c r="Q55">
        <f>VLOOKUP(B55,'C.P.'!$A$2:$B$164,2,FALSE)</f>
        <v>0</v>
      </c>
      <c r="R55">
        <f>VLOOKUP(B55,'C.P.'!$C$2:$D$164,2,FALSE)</f>
        <v>2</v>
      </c>
      <c r="S55">
        <f>VLOOKUP(B55,'C.P.'!$E$2:$F$164,2,FALSE)</f>
        <v>1</v>
      </c>
      <c r="T55">
        <f>VLOOKUP(B55,'C.P.'!$G$2:$H$164,2,FALSE)</f>
        <v>2</v>
      </c>
    </row>
    <row r="56" spans="1:21" ht="12.75" customHeight="1">
      <c r="A56">
        <f ca="1">COUNTIF('I.A. + Fasce'!B$1:'I.A. + Fasce'!B$538,B54)</f>
        <v>1</v>
      </c>
      <c r="B56" s="443" t="s">
        <v>595</v>
      </c>
      <c r="C56" s="212" t="str">
        <f>VLOOKUP(B56,'IA FG'!$B$2:$G$600,6,FALSE)</f>
        <v>TOR</v>
      </c>
      <c r="D56" s="213">
        <v>9</v>
      </c>
      <c r="E56" s="213">
        <v>8</v>
      </c>
      <c r="F56" s="213">
        <v>7</v>
      </c>
      <c r="G56" s="213">
        <v>6</v>
      </c>
      <c r="H56" s="213">
        <v>5</v>
      </c>
      <c r="I56" s="213">
        <v>6</v>
      </c>
      <c r="J56" s="210">
        <f>$D56*Pesi!$B$16+Pesi!$B$17*$E56+$F56*Pesi!$B$18+$G56*Pesi!$B$19+Pesi!$B$20*$H56+$I56*Pesi!$B$21+Pesi!$B$22*VLOOKUP($C56,TabAlgSqu,2,FALSE)+VLOOKUP($C56,TabAlgFC,2,FALSE)*Pesi!$B$23+Pesi!$B$24*VLOOKUP($C56,TabAlgAll,2,FALSE)</f>
        <v>74.839500000000015</v>
      </c>
      <c r="K56" s="155">
        <f>IF(ISNA(MATCH($B56,Pesi!$B$31:$B$34,0)),VLOOKUP(Pesi!$B$32,TabAlgCen,10,FALSE)-((VLOOKUP(Pesi!$B$32,TabAlgCen,9,FALSE)-$J56)/(VLOOKUP(Pesi!$B$32,TabAlgCen,9,FALSE)-Pesi!$D$42))*VLOOKUP(Pesi!$B$32,TabAlgCen,10,FALSE),Pesi!$F$32*Pesi!$C$28)</f>
        <v>13.276703379507914</v>
      </c>
      <c r="L56" s="155">
        <f t="shared" si="3"/>
        <v>13.276703379507914</v>
      </c>
      <c r="M56" s="154">
        <f>$D56*Pesi!$D$16+Pesi!$D$17*$E56+$F56*Pesi!$D$18+$G56*Pesi!$D$19+Pesi!$D$20*$H56+$I56*Pesi!$D$21+Pesi!$D$22*VLOOKUP($C56,TabAlgSqu,2,FALSE)+VLOOKUP($C56,TabAlgFC,2,FALSE)*Pesi!$D$23+Pesi!$D$24*VLOOKUP($C56,TabAlgAll,2,FALSE)</f>
        <v>72.089500000000001</v>
      </c>
      <c r="N56" s="155">
        <f>IF(ISNA(MATCH($B56,Pesi!$B$31:$B$34,0)),VLOOKUP(Pesi!$B$32,TabAlgCen,13,FALSE)-((VLOOKUP(Pesi!$B$32,TabAlgCen,12,FALSE)-$M56)/(VLOOKUP(Pesi!$B$32,TabAlgCen,12,FALSE)-Pesi!$F$42))*VLOOKUP(Pesi!$B$32,TabAlgCen,13,FALSE),$K56*$M56/$J56)</f>
        <v>13.747885498076066</v>
      </c>
      <c r="O56" s="155">
        <f t="shared" si="4"/>
        <v>13.747885498076066</v>
      </c>
      <c r="P56">
        <f t="shared" si="5"/>
        <v>41</v>
      </c>
      <c r="Q56" t="e">
        <f>VLOOKUP(B56,'C.P.'!$A$2:$B$164,2,FALSE)</f>
        <v>#N/A</v>
      </c>
      <c r="R56" t="e">
        <f>VLOOKUP(B56,'C.P.'!$C$2:$D$164,2,FALSE)</f>
        <v>#N/A</v>
      </c>
      <c r="S56" t="e">
        <f>VLOOKUP(B56,'C.P.'!$E$2:$F$164,2,FALSE)</f>
        <v>#N/A</v>
      </c>
      <c r="T56" t="e">
        <f>VLOOKUP(B56,'C.P.'!$G$2:$H$164,2,FALSE)</f>
        <v>#N/A</v>
      </c>
    </row>
    <row r="57" spans="1:21">
      <c r="B57" s="211" t="s">
        <v>616</v>
      </c>
      <c r="C57" s="212" t="str">
        <f>VLOOKUP(B57,'IA FG'!$B$2:$G$600,6,FALSE)</f>
        <v>SAM</v>
      </c>
      <c r="D57" s="213">
        <v>8</v>
      </c>
      <c r="E57" s="213">
        <v>9</v>
      </c>
      <c r="F57" s="213">
        <v>8</v>
      </c>
      <c r="G57" s="213">
        <v>5</v>
      </c>
      <c r="H57" s="213">
        <v>6</v>
      </c>
      <c r="I57" s="213">
        <v>7</v>
      </c>
      <c r="J57" s="210">
        <f>$D57*Pesi!$B$16+Pesi!$B$17*$E57+$F57*Pesi!$B$18+$G57*Pesi!$B$19+Pesi!$B$20*$H57+$I57*Pesi!$B$21+Pesi!$B$22*VLOOKUP($C57,TabAlgSqu,2,FALSE)+VLOOKUP($C57,TabAlgFC,2,FALSE)*Pesi!$B$23+Pesi!$B$24*VLOOKUP($C57,TabAlgAll,2,FALSE)</f>
        <v>74.597300000000004</v>
      </c>
      <c r="K57" s="155">
        <f>IF(ISNA(MATCH($B57,Pesi!$B$31:$B$34,0)),VLOOKUP(Pesi!$B$32,TabAlgCen,10,FALSE)-((VLOOKUP(Pesi!$B$32,TabAlgCen,9,FALSE)-$J57)/(VLOOKUP(Pesi!$B$32,TabAlgCen,9,FALSE)-Pesi!$D$42))*VLOOKUP(Pesi!$B$32,TabAlgCen,10,FALSE),Pesi!$F$32*Pesi!$C$28)</f>
        <v>12.612250944645439</v>
      </c>
      <c r="L57" s="155">
        <f t="shared" si="3"/>
        <v>12.612250944645439</v>
      </c>
      <c r="M57" s="154">
        <f>$D57*Pesi!$D$16+Pesi!$D$17*$E57+$F57*Pesi!$D$18+$G57*Pesi!$D$19+Pesi!$D$20*$H57+$I57*Pesi!$D$21+Pesi!$D$22*VLOOKUP($C57,TabAlgSqu,2,FALSE)+VLOOKUP($C57,TabAlgFC,2,FALSE)*Pesi!$D$23+Pesi!$D$24*VLOOKUP($C57,TabAlgAll,2,FALSE)</f>
        <v>71.547299999999993</v>
      </c>
      <c r="N57" s="155">
        <f>IF(ISNA(MATCH($B57,Pesi!$B$31:$B$34,0)),VLOOKUP(Pesi!$B$32,TabAlgCen,13,FALSE)-((VLOOKUP(Pesi!$B$32,TabAlgCen,12,FALSE)-$M57)/(VLOOKUP(Pesi!$B$32,TabAlgCen,12,FALSE)-Pesi!$F$42))*VLOOKUP(Pesi!$B$32,TabAlgCen,13,FALSE),$K57*$M57/$J57)</f>
        <v>12.283281211396243</v>
      </c>
      <c r="O57" s="155">
        <f t="shared" si="4"/>
        <v>12.283281211396243</v>
      </c>
      <c r="P57">
        <f t="shared" si="5"/>
        <v>43</v>
      </c>
      <c r="Q57" t="e">
        <f>VLOOKUP(B57,'C.P.'!$A$2:$B$164,2,FALSE)</f>
        <v>#N/A</v>
      </c>
      <c r="R57" t="e">
        <f>VLOOKUP(B57,'C.P.'!$C$2:$D$164,2,FALSE)</f>
        <v>#N/A</v>
      </c>
      <c r="S57">
        <f>VLOOKUP(B57,'C.P.'!$E$2:$F$164,2,FALSE)</f>
        <v>3</v>
      </c>
      <c r="T57">
        <f>VLOOKUP(B57,'C.P.'!$G$2:$H$164,2,FALSE)</f>
        <v>2</v>
      </c>
    </row>
    <row r="58" spans="1:21">
      <c r="A58">
        <f ca="1">COUNTIF('I.A. + Fasce'!B$1:'I.A. + Fasce'!B$538,B57)</f>
        <v>1</v>
      </c>
      <c r="B58" s="211" t="s">
        <v>421</v>
      </c>
      <c r="C58" s="212" t="str">
        <f>VLOOKUP(B58,'IA FG'!$B$2:$G$600,6,FALSE)</f>
        <v>UDI</v>
      </c>
      <c r="D58" s="213">
        <v>9</v>
      </c>
      <c r="E58" s="213">
        <v>9</v>
      </c>
      <c r="F58" s="213">
        <v>6</v>
      </c>
      <c r="G58" s="213">
        <v>7</v>
      </c>
      <c r="H58" s="213">
        <v>5</v>
      </c>
      <c r="I58" s="213">
        <v>8</v>
      </c>
      <c r="J58" s="210">
        <f>$D58*Pesi!$B$16+Pesi!$B$17*$E58+$F58*Pesi!$B$18+$G58*Pesi!$B$19+Pesi!$B$20*$H58+$I58*Pesi!$B$21+Pesi!$B$22*VLOOKUP($C58,TabAlgSqu,2,FALSE)+VLOOKUP($C58,TabAlgFC,2,FALSE)*Pesi!$B$23+Pesi!$B$24*VLOOKUP($C58,TabAlgAll,2,FALSE)</f>
        <v>74.447599999999994</v>
      </c>
      <c r="K58" s="155">
        <f>IF(ISNA(MATCH($B58,Pesi!$B$31:$B$34,0)),VLOOKUP(Pesi!$B$32,TabAlgCen,10,FALSE)-((VLOOKUP(Pesi!$B$32,TabAlgCen,9,FALSE)-$J58)/(VLOOKUP(Pesi!$B$32,TabAlgCen,9,FALSE)-Pesi!$D$42))*VLOOKUP(Pesi!$B$32,TabAlgCen,10,FALSE),Pesi!$F$32*Pesi!$C$28)</f>
        <v>12.201563374459994</v>
      </c>
      <c r="L58" s="155">
        <f t="shared" si="3"/>
        <v>12.201563374459994</v>
      </c>
      <c r="M58" s="154">
        <f>$D58*Pesi!$D$16+Pesi!$D$17*$E58+$F58*Pesi!$D$18+$G58*Pesi!$D$19+Pesi!$D$20*$H58+$I58*Pesi!$D$21+Pesi!$D$22*VLOOKUP($C58,TabAlgSqu,2,FALSE)+VLOOKUP($C58,TabAlgFC,2,FALSE)*Pesi!$D$23+Pesi!$D$24*VLOOKUP($C58,TabAlgAll,2,FALSE)</f>
        <v>71.997599999999991</v>
      </c>
      <c r="N58" s="155">
        <f>IF(ISNA(MATCH($B58,Pesi!$B$31:$B$34,0)),VLOOKUP(Pesi!$B$32,TabAlgCen,13,FALSE)-((VLOOKUP(Pesi!$B$32,TabAlgCen,12,FALSE)-$M58)/(VLOOKUP(Pesi!$B$32,TabAlgCen,12,FALSE)-Pesi!$F$42))*VLOOKUP(Pesi!$B$32,TabAlgCen,13,FALSE),$K58*$M58/$J58)</f>
        <v>13.499642905036801</v>
      </c>
      <c r="O58" s="155">
        <f t="shared" si="4"/>
        <v>13.499642905036801</v>
      </c>
      <c r="P58">
        <f t="shared" si="5"/>
        <v>44</v>
      </c>
      <c r="Q58">
        <f>VLOOKUP(B58,'C.P.'!$A$2:$B$164,2,FALSE)</f>
        <v>1</v>
      </c>
      <c r="R58">
        <f>VLOOKUP(B58,'C.P.'!$C$2:$D$164,2,FALSE)</f>
        <v>3</v>
      </c>
      <c r="S58">
        <f>VLOOKUP(B58,'C.P.'!$E$2:$F$164,2,FALSE)</f>
        <v>1</v>
      </c>
      <c r="T58">
        <f>VLOOKUP(B58,'C.P.'!$G$2:$H$164,2,FALSE)</f>
        <v>1</v>
      </c>
    </row>
    <row r="59" spans="1:21" ht="12.75" customHeight="1">
      <c r="A59">
        <f ca="1">COUNTIF('I.A. + Fasce'!B$1:'I.A. + Fasce'!B$538,#REF!)</f>
        <v>0</v>
      </c>
      <c r="B59" s="211" t="s">
        <v>604</v>
      </c>
      <c r="C59" s="212" t="str">
        <f>VLOOKUP(B59,'IA FG'!$B$2:$G$600,6,FALSE)</f>
        <v>ATA</v>
      </c>
      <c r="D59" s="213">
        <v>9</v>
      </c>
      <c r="E59" s="213">
        <v>6</v>
      </c>
      <c r="F59" s="213">
        <v>8</v>
      </c>
      <c r="G59" s="213">
        <v>5</v>
      </c>
      <c r="H59" s="213">
        <v>7</v>
      </c>
      <c r="I59" s="213">
        <v>5</v>
      </c>
      <c r="J59" s="210">
        <f>$D59*Pesi!$B$16+Pesi!$B$17*$E59+$F59*Pesi!$B$18+$G59*Pesi!$B$19+Pesi!$B$20*$H59+$I59*Pesi!$B$21+Pesi!$B$22*VLOOKUP($C59,TabAlgSqu,2,FALSE)+VLOOKUP($C59,TabAlgFC,2,FALSE)*Pesi!$B$23+Pesi!$B$24*VLOOKUP($C59,TabAlgAll,2,FALSE)</f>
        <v>74.082800000000006</v>
      </c>
      <c r="K59" s="155">
        <f>IF(ISNA(MATCH($B59,Pesi!$B$31:$B$34,0)),VLOOKUP(Pesi!$B$32,TabAlgCen,10,FALSE)-((VLOOKUP(Pesi!$B$32,TabAlgCen,9,FALSE)-$J59)/(VLOOKUP(Pesi!$B$32,TabAlgCen,9,FALSE)-Pesi!$D$42))*VLOOKUP(Pesi!$B$32,TabAlgCen,10,FALSE),Pesi!$F$32*Pesi!$C$28)</f>
        <v>11.200769616252678</v>
      </c>
      <c r="L59" s="155">
        <f t="shared" si="3"/>
        <v>11.200769616252678</v>
      </c>
      <c r="M59" s="154">
        <f>$D59*Pesi!$D$16+Pesi!$D$17*$E59+$F59*Pesi!$D$18+$G59*Pesi!$D$19+Pesi!$D$20*$H59+$I59*Pesi!$D$21+Pesi!$D$22*VLOOKUP($C59,TabAlgSqu,2,FALSE)+VLOOKUP($C59,TabAlgFC,2,FALSE)*Pesi!$D$23+Pesi!$D$24*VLOOKUP($C59,TabAlgAll,2,FALSE)</f>
        <v>71.032799999999995</v>
      </c>
      <c r="N59" s="155">
        <f>IF(ISNA(MATCH($B59,Pesi!$B$31:$B$34,0)),VLOOKUP(Pesi!$B$32,TabAlgCen,13,FALSE)-((VLOOKUP(Pesi!$B$32,TabAlgCen,12,FALSE)-$M59)/(VLOOKUP(Pesi!$B$32,TabAlgCen,12,FALSE)-Pesi!$F$42))*VLOOKUP(Pesi!$B$32,TabAlgCen,13,FALSE),$K59*$M59/$J59)</f>
        <v>10.893500861900201</v>
      </c>
      <c r="O59" s="155">
        <f t="shared" si="4"/>
        <v>10.893500861900201</v>
      </c>
      <c r="P59">
        <f t="shared" si="5"/>
        <v>40</v>
      </c>
      <c r="Q59" t="e">
        <f>VLOOKUP(B59,'C.P.'!$A$2:$B$164,2,FALSE)</f>
        <v>#N/A</v>
      </c>
      <c r="R59" t="e">
        <f>VLOOKUP(B59,'C.P.'!$C$2:$D$164,2,FALSE)</f>
        <v>#N/A</v>
      </c>
      <c r="S59" t="e">
        <f>VLOOKUP(B59,'C.P.'!$E$2:$F$164,2,FALSE)</f>
        <v>#N/A</v>
      </c>
      <c r="T59" t="e">
        <f>VLOOKUP(B59,'C.P.'!$G$2:$H$164,2,FALSE)</f>
        <v>#N/A</v>
      </c>
    </row>
    <row r="60" spans="1:21">
      <c r="A60">
        <f ca="1">COUNTIF('I.A. + Fasce'!B$1:'I.A. + Fasce'!B$538,B59)</f>
        <v>1</v>
      </c>
      <c r="B60" s="211" t="s">
        <v>468</v>
      </c>
      <c r="C60" s="212" t="str">
        <f>VLOOKUP(B60,'IA FG'!$B$2:$G$600,6,FALSE)</f>
        <v>NAP</v>
      </c>
      <c r="D60" s="213">
        <v>7</v>
      </c>
      <c r="E60" s="213">
        <v>5</v>
      </c>
      <c r="F60" s="213">
        <v>6</v>
      </c>
      <c r="G60" s="213">
        <v>6</v>
      </c>
      <c r="H60" s="213">
        <v>7</v>
      </c>
      <c r="I60" s="213">
        <v>5</v>
      </c>
      <c r="J60" s="210">
        <f>$D60*Pesi!$B$16+Pesi!$B$17*$E60+$F60*Pesi!$B$18+$G60*Pesi!$B$19+Pesi!$B$20*$H60+$I60*Pesi!$B$21+Pesi!$B$22*VLOOKUP($C60,TabAlgSqu,2,FALSE)+VLOOKUP($C60,TabAlgFC,2,FALSE)*Pesi!$B$23+Pesi!$B$24*VLOOKUP($C60,TabAlgAll,2,FALSE)</f>
        <v>73.892700000000005</v>
      </c>
      <c r="K60" s="155">
        <f>IF(ISNA(MATCH($B60,Pesi!$B$31:$B$34,0)),VLOOKUP(Pesi!$B$32,TabAlgCen,10,FALSE)-((VLOOKUP(Pesi!$B$32,TabAlgCen,9,FALSE)-$J60)/(VLOOKUP(Pesi!$B$32,TabAlgCen,9,FALSE)-Pesi!$D$42))*VLOOKUP(Pesi!$B$32,TabAlgCen,10,FALSE),Pesi!$F$32*Pesi!$C$28)</f>
        <v>10.679248526792108</v>
      </c>
      <c r="L60" s="155">
        <f t="shared" si="3"/>
        <v>10.679248526792108</v>
      </c>
      <c r="M60" s="154">
        <f>$D60*Pesi!$D$16+Pesi!$D$17*$E60+$F60*Pesi!$D$18+$G60*Pesi!$D$19+Pesi!$D$20*$H60+$I60*Pesi!$D$21+Pesi!$D$22*VLOOKUP($C60,TabAlgSqu,2,FALSE)+VLOOKUP($C60,TabAlgFC,2,FALSE)*Pesi!$D$23+Pesi!$D$24*VLOOKUP($C60,TabAlgAll,2,FALSE)</f>
        <v>71.492699999999999</v>
      </c>
      <c r="N60" s="155">
        <f>IF(ISNA(MATCH($B60,Pesi!$B$31:$B$34,0)),VLOOKUP(Pesi!$B$32,TabAlgCen,13,FALSE)-((VLOOKUP(Pesi!$B$32,TabAlgCen,12,FALSE)-$M60)/(VLOOKUP(Pesi!$B$32,TabAlgCen,12,FALSE)-Pesi!$F$42))*VLOOKUP(Pesi!$B$32,TabAlgCen,13,FALSE),$K60*$M60/$J60)</f>
        <v>12.135794317164027</v>
      </c>
      <c r="O60" s="155">
        <f t="shared" si="4"/>
        <v>12.135794317164027</v>
      </c>
      <c r="P60">
        <f t="shared" si="5"/>
        <v>36</v>
      </c>
      <c r="Q60">
        <f>VLOOKUP(B60,'C.P.'!$A$2:$B$164,2,FALSE)</f>
        <v>-1</v>
      </c>
      <c r="R60" t="e">
        <f>VLOOKUP(B60,'C.P.'!$C$2:$D$164,2,FALSE)</f>
        <v>#N/A</v>
      </c>
      <c r="S60" t="e">
        <f>VLOOKUP(B60,'C.P.'!$E$2:$F$164,2,FALSE)</f>
        <v>#N/A</v>
      </c>
      <c r="T60" t="e">
        <f>VLOOKUP(B60,'C.P.'!$G$2:$H$164,2,FALSE)</f>
        <v>#N/A</v>
      </c>
    </row>
    <row r="61" spans="1:21">
      <c r="A61">
        <f ca="1">COUNTIF('I.A. + Fasce'!B$1:'I.A. + Fasce'!B$538,B59)</f>
        <v>1</v>
      </c>
      <c r="B61" s="211" t="s">
        <v>1937</v>
      </c>
      <c r="C61" s="212" t="str">
        <f>VLOOKUP(B61,'IA FG'!$B$2:$G$600,6,FALSE)</f>
        <v>FIO</v>
      </c>
      <c r="D61" s="213">
        <v>9</v>
      </c>
      <c r="E61" s="213">
        <v>6</v>
      </c>
      <c r="F61" s="213">
        <v>7</v>
      </c>
      <c r="G61" s="213">
        <v>7</v>
      </c>
      <c r="H61" s="213">
        <v>6</v>
      </c>
      <c r="I61" s="213">
        <v>7</v>
      </c>
      <c r="J61" s="210">
        <f>$D61*Pesi!$B$16+Pesi!$B$17*$E61+$F61*Pesi!$B$18+$G61*Pesi!$B$19+Pesi!$B$20*$H61+$I61*Pesi!$B$21+Pesi!$B$22*VLOOKUP($C61,TabAlgSqu,2,FALSE)+VLOOKUP($C61,TabAlgFC,2,FALSE)*Pesi!$B$23+Pesi!$B$24*VLOOKUP($C61,TabAlgAll,2,FALSE)</f>
        <v>73.768600000000006</v>
      </c>
      <c r="K61" s="155">
        <f>IF(ISNA(MATCH($B61,Pesi!$B$31:$B$34,0)),VLOOKUP(Pesi!$B$32,TabAlgCen,10,FALSE)-((VLOOKUP(Pesi!$B$32,TabAlgCen,9,FALSE)-$J61)/(VLOOKUP(Pesi!$B$32,TabAlgCen,9,FALSE)-Pesi!$D$42))*VLOOKUP(Pesi!$B$32,TabAlgCen,10,FALSE),Pesi!$F$32*Pesi!$C$28)</f>
        <v>10.338792097533513</v>
      </c>
      <c r="L61" s="155">
        <f t="shared" si="3"/>
        <v>10.338792097533513</v>
      </c>
      <c r="M61" s="154">
        <f>$D61*Pesi!$D$16+Pesi!$D$17*$E61+$F61*Pesi!$D$18+$G61*Pesi!$D$19+Pesi!$D$20*$H61+$I61*Pesi!$D$21+Pesi!$D$22*VLOOKUP($C61,TabAlgSqu,2,FALSE)+VLOOKUP($C61,TabAlgFC,2,FALSE)*Pesi!$D$23+Pesi!$D$24*VLOOKUP($C61,TabAlgAll,2,FALSE)</f>
        <v>70.968600000000009</v>
      </c>
      <c r="N61" s="155">
        <f>IF(ISNA(MATCH($B61,Pesi!$B$31:$B$34,0)),VLOOKUP(Pesi!$B$32,TabAlgCen,13,FALSE)-((VLOOKUP(Pesi!$B$32,TabAlgCen,12,FALSE)-$M61)/(VLOOKUP(Pesi!$B$32,TabAlgCen,12,FALSE)-Pesi!$F$42))*VLOOKUP(Pesi!$B$32,TabAlgCen,13,FALSE),$K61*$M61/$J61)</f>
        <v>10.720082206044758</v>
      </c>
      <c r="O61" s="155">
        <f t="shared" si="4"/>
        <v>10.720082206044758</v>
      </c>
      <c r="P61">
        <f t="shared" si="5"/>
        <v>42</v>
      </c>
      <c r="Q61">
        <f>VLOOKUP(B61,'C.P.'!$A$2:$B$164,2,FALSE)</f>
        <v>0</v>
      </c>
      <c r="R61" t="e">
        <f>VLOOKUP(B61,'C.P.'!$C$2:$D$164,2,FALSE)</f>
        <v>#N/A</v>
      </c>
      <c r="S61" t="e">
        <f>VLOOKUP(B61,'C.P.'!$E$2:$F$164,2,FALSE)</f>
        <v>#N/A</v>
      </c>
      <c r="T61" t="e">
        <f>VLOOKUP(B61,'C.P.'!$G$2:$H$164,2,FALSE)</f>
        <v>#N/A</v>
      </c>
    </row>
    <row r="62" spans="1:21">
      <c r="A62">
        <f ca="1">COUNTIF('I.A. + Fasce'!B$1:'I.A. + Fasce'!B$538,B62)</f>
        <v>1</v>
      </c>
      <c r="B62" s="211" t="s">
        <v>343</v>
      </c>
      <c r="C62" s="212" t="str">
        <f>VLOOKUP(B62,'IA FG'!$B$2:$G$600,6,FALSE)</f>
        <v>GEN</v>
      </c>
      <c r="D62" s="213">
        <v>8</v>
      </c>
      <c r="E62" s="213">
        <v>8</v>
      </c>
      <c r="F62" s="213">
        <v>7</v>
      </c>
      <c r="G62" s="213">
        <v>7</v>
      </c>
      <c r="H62" s="213">
        <v>6</v>
      </c>
      <c r="I62" s="213">
        <v>7</v>
      </c>
      <c r="J62" s="210">
        <f>$D62*Pesi!$B$16+Pesi!$B$17*$E62+$F62*Pesi!$B$18+$G62*Pesi!$B$19+Pesi!$B$20*$H62+$I62*Pesi!$B$21+Pesi!$B$22*VLOOKUP($C62,TabAlgSqu,2,FALSE)+VLOOKUP($C62,TabAlgFC,2,FALSE)*Pesi!$B$23+Pesi!$B$24*VLOOKUP($C62,TabAlgAll,2,FALSE)</f>
        <v>73.758300000000006</v>
      </c>
      <c r="K62" s="155">
        <f>IF(ISNA(MATCH($B62,Pesi!$B$31:$B$34,0)),VLOOKUP(Pesi!$B$32,TabAlgCen,10,FALSE)-((VLOOKUP(Pesi!$B$32,TabAlgCen,9,FALSE)-$J62)/(VLOOKUP(Pesi!$B$32,TabAlgCen,9,FALSE)-Pesi!$D$42))*VLOOKUP(Pesi!$B$32,TabAlgCen,10,FALSE),Pesi!$F$32*Pesi!$C$28)</f>
        <v>10.31053503692624</v>
      </c>
      <c r="L62" s="155">
        <f t="shared" si="3"/>
        <v>10.31053503692624</v>
      </c>
      <c r="M62" s="154">
        <f>$D62*Pesi!$D$16+Pesi!$D$17*$E62+$F62*Pesi!$D$18+$G62*Pesi!$D$19+Pesi!$D$20*$H62+$I62*Pesi!$D$21+Pesi!$D$22*VLOOKUP($C62,TabAlgSqu,2,FALSE)+VLOOKUP($C62,TabAlgFC,2,FALSE)*Pesi!$D$23+Pesi!$D$24*VLOOKUP($C62,TabAlgAll,2,FALSE)</f>
        <v>70.958300000000008</v>
      </c>
      <c r="N62" s="155">
        <f>IF(ISNA(MATCH($B62,Pesi!$B$31:$B$34,0)),VLOOKUP(Pesi!$B$32,TabAlgCen,13,FALSE)-((VLOOKUP(Pesi!$B$32,TabAlgCen,12,FALSE)-$M62)/(VLOOKUP(Pesi!$B$32,TabAlgCen,12,FALSE)-Pesi!$F$42))*VLOOKUP(Pesi!$B$32,TabAlgCen,13,FALSE),$K62*$M62/$J62)</f>
        <v>10.692259586803139</v>
      </c>
      <c r="O62" s="155">
        <f t="shared" si="4"/>
        <v>10.692259586803139</v>
      </c>
      <c r="P62">
        <f t="shared" si="5"/>
        <v>43</v>
      </c>
      <c r="Q62">
        <f>VLOOKUP(B62,'C.P.'!$A$2:$B$164,2,FALSE)</f>
        <v>1</v>
      </c>
      <c r="R62" t="e">
        <f>VLOOKUP(B62,'C.P.'!$C$2:$D$164,2,FALSE)</f>
        <v>#N/A</v>
      </c>
      <c r="S62">
        <f>VLOOKUP(B62,'C.P.'!$E$2:$F$164,2,FALSE)</f>
        <v>4</v>
      </c>
      <c r="T62" t="e">
        <f>VLOOKUP(B62,'C.P.'!$G$2:$H$164,2,FALSE)</f>
        <v>#N/A</v>
      </c>
      <c r="U62" s="180"/>
    </row>
    <row r="63" spans="1:21">
      <c r="A63">
        <f ca="1">COUNTIF('I.A. + Fasce'!B$1:'I.A. + Fasce'!B$538,B60)</f>
        <v>1</v>
      </c>
      <c r="B63" s="211" t="s">
        <v>1301</v>
      </c>
      <c r="C63" s="212" t="str">
        <f>VLOOKUP(B63,'IA FG'!$B$2:$G$600,6,FALSE)</f>
        <v>LAZ</v>
      </c>
      <c r="D63" s="213">
        <v>9</v>
      </c>
      <c r="E63" s="213">
        <v>5</v>
      </c>
      <c r="F63" s="213">
        <v>7</v>
      </c>
      <c r="G63" s="213">
        <v>6</v>
      </c>
      <c r="H63" s="213">
        <v>7</v>
      </c>
      <c r="I63" s="213">
        <v>5</v>
      </c>
      <c r="J63" s="210">
        <f>$D63*Pesi!$B$16+Pesi!$B$17*$E63+$F63*Pesi!$B$18+$G63*Pesi!$B$19+Pesi!$B$20*$H63+$I63*Pesi!$B$21+Pesi!$B$22*VLOOKUP($C63,TabAlgSqu,2,FALSE)+VLOOKUP($C63,TabAlgFC,2,FALSE)*Pesi!$B$23+Pesi!$B$24*VLOOKUP($C63,TabAlgAll,2,FALSE)</f>
        <v>73.562300000000008</v>
      </c>
      <c r="K63" s="155">
        <f>IF(ISNA(MATCH($B63,Pesi!$B$31:$B$34,0)),VLOOKUP(Pesi!$B$32,TabAlgCen,10,FALSE)-((VLOOKUP(Pesi!$B$32,TabAlgCen,9,FALSE)-$J63)/(VLOOKUP(Pesi!$B$32,TabAlgCen,9,FALSE)-Pesi!$D$42))*VLOOKUP(Pesi!$B$32,TabAlgCen,10,FALSE),Pesi!$F$32*Pesi!$C$28)</f>
        <v>9.7728278642051976</v>
      </c>
      <c r="L63" s="155">
        <f t="shared" si="3"/>
        <v>9.7728278642051976</v>
      </c>
      <c r="M63" s="154">
        <f>$D63*Pesi!$D$16+Pesi!$D$17*$E63+$F63*Pesi!$D$18+$G63*Pesi!$D$19+Pesi!$D$20*$H63+$I63*Pesi!$D$21+Pesi!$D$22*VLOOKUP($C63,TabAlgSqu,2,FALSE)+VLOOKUP($C63,TabAlgFC,2,FALSE)*Pesi!$D$23+Pesi!$D$24*VLOOKUP($C63,TabAlgAll,2,FALSE)</f>
        <v>70.812300000000008</v>
      </c>
      <c r="N63" s="155">
        <f>IF(ISNA(MATCH($B63,Pesi!$B$31:$B$34,0)),VLOOKUP(Pesi!$B$32,TabAlgCen,13,FALSE)-((VLOOKUP(Pesi!$B$32,TabAlgCen,12,FALSE)-$M63)/(VLOOKUP(Pesi!$B$32,TabAlgCen,12,FALSE)-Pesi!$F$42))*VLOOKUP(Pesi!$B$32,TabAlgCen,13,FALSE),$K63*$M63/$J63)</f>
        <v>10.297880712116218</v>
      </c>
      <c r="O63" s="155">
        <f t="shared" si="4"/>
        <v>10.297880712116218</v>
      </c>
      <c r="P63">
        <f t="shared" si="5"/>
        <v>39</v>
      </c>
      <c r="Q63" t="e">
        <f>VLOOKUP(B63,'C.P.'!$A$2:$B$164,2,FALSE)</f>
        <v>#N/A</v>
      </c>
      <c r="R63" t="e">
        <f>VLOOKUP(B63,'C.P.'!$C$2:$D$164,2,FALSE)</f>
        <v>#N/A</v>
      </c>
      <c r="S63" t="e">
        <f>VLOOKUP(B63,'C.P.'!$E$2:$F$164,2,FALSE)</f>
        <v>#N/A</v>
      </c>
      <c r="T63" t="e">
        <f>VLOOKUP(B63,'C.P.'!$G$2:$H$164,2,FALSE)</f>
        <v>#N/A</v>
      </c>
    </row>
    <row r="64" spans="1:21">
      <c r="A64">
        <f ca="1">COUNTIF('I.A. + Fasce'!B$1:'I.A. + Fasce'!B$538,B62)</f>
        <v>1</v>
      </c>
      <c r="B64" s="211" t="s">
        <v>526</v>
      </c>
      <c r="C64" s="212" t="str">
        <f>VLOOKUP(B64,'IA FG'!$B$2:$G$600,6,FALSE)</f>
        <v>GEN</v>
      </c>
      <c r="D64" s="213">
        <v>8</v>
      </c>
      <c r="E64" s="213">
        <v>9</v>
      </c>
      <c r="F64" s="213">
        <v>7</v>
      </c>
      <c r="G64" s="213">
        <v>6</v>
      </c>
      <c r="H64" s="213">
        <v>6</v>
      </c>
      <c r="I64" s="213">
        <v>7</v>
      </c>
      <c r="J64" s="210">
        <f>$D64*Pesi!$B$16+Pesi!$B$17*$E64+$F64*Pesi!$B$18+$G64*Pesi!$B$19+Pesi!$B$20*$H64+$I64*Pesi!$B$21+Pesi!$B$22*VLOOKUP($C64,TabAlgSqu,2,FALSE)+VLOOKUP($C64,TabAlgFC,2,FALSE)*Pesi!$B$23+Pesi!$B$24*VLOOKUP($C64,TabAlgAll,2,FALSE)</f>
        <v>73.4833</v>
      </c>
      <c r="K64" s="155">
        <f>IF(ISNA(MATCH($B64,Pesi!$B$31:$B$34,0)),VLOOKUP(Pesi!$B$32,TabAlgCen,10,FALSE)-((VLOOKUP(Pesi!$B$32,TabAlgCen,9,FALSE)-$J64)/(VLOOKUP(Pesi!$B$32,TabAlgCen,9,FALSE)-Pesi!$D$42))*VLOOKUP(Pesi!$B$32,TabAlgCen,10,FALSE),Pesi!$F$32*Pesi!$C$28)</f>
        <v>9.5560989527512703</v>
      </c>
      <c r="L64" s="155">
        <f t="shared" si="3"/>
        <v>9.5560989527512703</v>
      </c>
      <c r="M64" s="154">
        <f>$D64*Pesi!$D$16+Pesi!$D$17*$E64+$F64*Pesi!$D$18+$G64*Pesi!$D$19+Pesi!$D$20*$H64+$I64*Pesi!$D$21+Pesi!$D$22*VLOOKUP($C64,TabAlgSqu,2,FALSE)+VLOOKUP($C64,TabAlgFC,2,FALSE)*Pesi!$D$23+Pesi!$D$24*VLOOKUP($C64,TabAlgAll,2,FALSE)</f>
        <v>70.7333</v>
      </c>
      <c r="N64" s="155">
        <f>IF(ISNA(MATCH($B64,Pesi!$B$31:$B$34,0)),VLOOKUP(Pesi!$B$32,TabAlgCen,13,FALSE)-((VLOOKUP(Pesi!$B$32,TabAlgCen,12,FALSE)-$M64)/(VLOOKUP(Pesi!$B$32,TabAlgCen,12,FALSE)-Pesi!$F$42))*VLOOKUP(Pesi!$B$32,TabAlgCen,13,FALSE),$K64*$M64/$J64)</f>
        <v>10.084483923758199</v>
      </c>
      <c r="O64" s="155">
        <f t="shared" si="4"/>
        <v>10.084483923758199</v>
      </c>
      <c r="P64">
        <f t="shared" si="5"/>
        <v>43</v>
      </c>
      <c r="Q64" t="e">
        <f>VLOOKUP(B64,'C.P.'!$A$2:$B$164,2,FALSE)</f>
        <v>#N/A</v>
      </c>
      <c r="R64" t="e">
        <f>VLOOKUP(B64,'C.P.'!$C$2:$D$164,2,FALSE)</f>
        <v>#N/A</v>
      </c>
      <c r="S64" t="e">
        <f>VLOOKUP(B64,'C.P.'!$E$2:$F$164,2,FALSE)</f>
        <v>#N/A</v>
      </c>
      <c r="T64" t="e">
        <f>VLOOKUP(B64,'C.P.'!$G$2:$H$164,2,FALSE)</f>
        <v>#N/A</v>
      </c>
    </row>
    <row r="65" spans="1:21">
      <c r="A65">
        <f ca="1">COUNTIF('I.A. + Fasce'!B$1:'I.A. + Fasce'!B$538,B63)</f>
        <v>1</v>
      </c>
      <c r="B65" s="211" t="s">
        <v>337</v>
      </c>
      <c r="C65" s="212" t="str">
        <f>VLOOKUP(B65,'IA FG'!$B$2:$G$600,6,FALSE)</f>
        <v>FIO</v>
      </c>
      <c r="D65" s="213">
        <v>9</v>
      </c>
      <c r="E65" s="213">
        <v>8</v>
      </c>
      <c r="F65" s="213">
        <v>6</v>
      </c>
      <c r="G65" s="213">
        <v>7</v>
      </c>
      <c r="H65" s="213">
        <v>6</v>
      </c>
      <c r="I65" s="213">
        <v>6</v>
      </c>
      <c r="J65" s="210">
        <f>$D65*Pesi!$B$16+Pesi!$B$17*$E65+$F65*Pesi!$B$18+$G65*Pesi!$B$19+Pesi!$B$20*$H65+$I65*Pesi!$B$21+Pesi!$B$22*VLOOKUP($C65,TabAlgSqu,2,FALSE)+VLOOKUP($C65,TabAlgFC,2,FALSE)*Pesi!$B$23+Pesi!$B$24*VLOOKUP($C65,TabAlgAll,2,FALSE)</f>
        <v>73.260300000000001</v>
      </c>
      <c r="K65" s="155">
        <f>IF(ISNA(MATCH($B65,Pesi!$B$31:$B$34,0)),VLOOKUP(Pesi!$B$32,TabAlgCen,10,FALSE)-((VLOOKUP(Pesi!$B$32,TabAlgCen,9,FALSE)-$J65)/(VLOOKUP(Pesi!$B$32,TabAlgCen,9,FALSE)-Pesi!$D$42))*VLOOKUP(Pesi!$B$32,TabAlgCen,10,FALSE),Pesi!$F$32*Pesi!$C$28)</f>
        <v>8.9443198735839502</v>
      </c>
      <c r="L65" s="155">
        <f t="shared" si="3"/>
        <v>8.9443198735839502</v>
      </c>
      <c r="M65" s="154">
        <f>$D65*Pesi!$D$16+Pesi!$D$17*$E65+$F65*Pesi!$D$18+$G65*Pesi!$D$19+Pesi!$D$20*$H65+$I65*Pesi!$D$21+Pesi!$D$22*VLOOKUP($C65,TabAlgSqu,2,FALSE)+VLOOKUP($C65,TabAlgFC,2,FALSE)*Pesi!$D$23+Pesi!$D$24*VLOOKUP($C65,TabAlgAll,2,FALSE)</f>
        <v>70.810300000000012</v>
      </c>
      <c r="N65" s="155">
        <f>IF(ISNA(MATCH($B65,Pesi!$B$31:$B$34,0)),VLOOKUP(Pesi!$B$32,TabAlgCen,13,FALSE)-((VLOOKUP(Pesi!$B$32,TabAlgCen,12,FALSE)-$M65)/(VLOOKUP(Pesi!$B$32,TabAlgCen,12,FALSE)-Pesi!$F$42))*VLOOKUP(Pesi!$B$32,TabAlgCen,13,FALSE),$K65*$M65/$J65)</f>
        <v>10.292478261778051</v>
      </c>
      <c r="O65" s="155">
        <f t="shared" si="4"/>
        <v>10.292478261778051</v>
      </c>
      <c r="P65">
        <f t="shared" si="5"/>
        <v>42</v>
      </c>
      <c r="Q65">
        <f>VLOOKUP(B65,'C.P.'!$A$2:$B$164,2,FALSE)</f>
        <v>1</v>
      </c>
      <c r="R65" t="e">
        <f>VLOOKUP(B65,'C.P.'!$C$2:$D$164,2,FALSE)</f>
        <v>#N/A</v>
      </c>
      <c r="S65" t="e">
        <f>VLOOKUP(B65,'C.P.'!$E$2:$F$164,2,FALSE)</f>
        <v>#N/A</v>
      </c>
      <c r="T65" t="e">
        <f>VLOOKUP(B65,'C.P.'!$G$2:$H$164,2,FALSE)</f>
        <v>#N/A</v>
      </c>
    </row>
    <row r="66" spans="1:21" ht="15" customHeight="1">
      <c r="B66" s="211" t="s">
        <v>327</v>
      </c>
      <c r="C66" s="212" t="str">
        <f>VLOOKUP(B66,'IA FG'!$B$2:$G$600,6,FALSE)</f>
        <v>CAG</v>
      </c>
      <c r="D66" s="213">
        <v>8</v>
      </c>
      <c r="E66" s="213">
        <v>8</v>
      </c>
      <c r="F66" s="213">
        <v>7</v>
      </c>
      <c r="G66" s="213">
        <v>6</v>
      </c>
      <c r="H66" s="213">
        <v>6</v>
      </c>
      <c r="I66" s="213">
        <v>7</v>
      </c>
      <c r="J66" s="210">
        <f>$D66*Pesi!$B$16+Pesi!$B$17*$E66+$F66*Pesi!$B$18+$G66*Pesi!$B$19+Pesi!$B$20*$H66+$I66*Pesi!$B$21+Pesi!$B$22*VLOOKUP($C66,TabAlgSqu,2,FALSE)+VLOOKUP($C66,TabAlgFC,2,FALSE)*Pesi!$B$23+Pesi!$B$24*VLOOKUP($C66,TabAlgAll,2,FALSE)</f>
        <v>73.207799999999992</v>
      </c>
      <c r="K66" s="155">
        <f>IF(ISNA(MATCH($B66,Pesi!$B$31:$B$34,0)),VLOOKUP(Pesi!$B$32,TabAlgCen,10,FALSE)-((VLOOKUP(Pesi!$B$32,TabAlgCen,9,FALSE)-$J66)/(VLOOKUP(Pesi!$B$32,TabAlgCen,9,FALSE)-Pesi!$D$42))*VLOOKUP(Pesi!$B$32,TabAlgCen,10,FALSE),Pesi!$F$32*Pesi!$C$28)</f>
        <v>8.8002911666050778</v>
      </c>
      <c r="L66" s="155">
        <f t="shared" ref="L66:L97" si="6">IF(K66&lt;=1,1,K66)</f>
        <v>8.8002911666050778</v>
      </c>
      <c r="M66" s="154">
        <f>$D66*Pesi!$D$16+Pesi!$D$17*$E66+$F66*Pesi!$D$18+$G66*Pesi!$D$19+Pesi!$D$20*$H66+$I66*Pesi!$D$21+Pesi!$D$22*VLOOKUP($C66,TabAlgSqu,2,FALSE)+VLOOKUP($C66,TabAlgFC,2,FALSE)*Pesi!$D$23+Pesi!$D$24*VLOOKUP($C66,TabAlgAll,2,FALSE)</f>
        <v>70.457799999999992</v>
      </c>
      <c r="N66" s="155">
        <f>IF(ISNA(MATCH($B66,Pesi!$B$31:$B$34,0)),VLOOKUP(Pesi!$B$32,TabAlgCen,13,FALSE)-((VLOOKUP(Pesi!$B$32,TabAlgCen,12,FALSE)-$M66)/(VLOOKUP(Pesi!$B$32,TabAlgCen,12,FALSE)-Pesi!$F$42))*VLOOKUP(Pesi!$B$32,TabAlgCen,13,FALSE),$K66*$M66/$J66)</f>
        <v>9.3402963896742861</v>
      </c>
      <c r="O66" s="155">
        <f t="shared" ref="O66:O97" si="7">IF(N66&lt;=1,1,N66)</f>
        <v>9.3402963896742861</v>
      </c>
      <c r="P66">
        <f t="shared" ref="P66:P97" si="8">SUM(D66:I66)</f>
        <v>42</v>
      </c>
      <c r="Q66">
        <f>VLOOKUP(B66,'C.P.'!$A$2:$B$164,2,FALSE)</f>
        <v>1</v>
      </c>
      <c r="R66" t="e">
        <f>VLOOKUP(B66,'C.P.'!$C$2:$D$164,2,FALSE)</f>
        <v>#N/A</v>
      </c>
      <c r="S66" t="e">
        <f>VLOOKUP(B66,'C.P.'!$E$2:$F$164,2,FALSE)</f>
        <v>#N/A</v>
      </c>
      <c r="T66" t="e">
        <f>VLOOKUP(B66,'C.P.'!$G$2:$H$164,2,FALSE)</f>
        <v>#N/A</v>
      </c>
    </row>
    <row r="67" spans="1:21" ht="12.75" customHeight="1">
      <c r="B67" s="211" t="s">
        <v>459</v>
      </c>
      <c r="C67" s="212" t="str">
        <f>VLOOKUP(B67,'IA FG'!$B$2:$G$600,6,FALSE)</f>
        <v>UDI</v>
      </c>
      <c r="D67" s="213">
        <v>8</v>
      </c>
      <c r="E67" s="213">
        <v>9</v>
      </c>
      <c r="F67" s="213">
        <v>6</v>
      </c>
      <c r="G67" s="213">
        <v>7</v>
      </c>
      <c r="H67" s="213">
        <v>6</v>
      </c>
      <c r="I67" s="213">
        <v>7</v>
      </c>
      <c r="J67" s="210">
        <f>$D67*Pesi!$B$16+Pesi!$B$17*$E67+$F67*Pesi!$B$18+$G67*Pesi!$B$19+Pesi!$B$20*$H67+$I67*Pesi!$B$21+Pesi!$B$22*VLOOKUP($C67,TabAlgSqu,2,FALSE)+VLOOKUP($C67,TabAlgFC,2,FALSE)*Pesi!$B$23+Pesi!$B$24*VLOOKUP($C67,TabAlgAll,2,FALSE)</f>
        <v>73.1143</v>
      </c>
      <c r="K67" s="155">
        <f>IF(ISNA(MATCH($B67,Pesi!$B$31:$B$34,0)),VLOOKUP(Pesi!$B$32,TabAlgCen,10,FALSE)-((VLOOKUP(Pesi!$B$32,TabAlgCen,9,FALSE)-$J67)/(VLOOKUP(Pesi!$B$32,TabAlgCen,9,FALSE)-Pesi!$D$42))*VLOOKUP(Pesi!$B$32,TabAlgCen,10,FALSE),Pesi!$F$32*Pesi!$C$28)</f>
        <v>8.5437828979856079</v>
      </c>
      <c r="L67" s="155">
        <f t="shared" si="6"/>
        <v>8.5437828979856079</v>
      </c>
      <c r="M67" s="154">
        <f>$D67*Pesi!$D$16+Pesi!$D$17*$E67+$F67*Pesi!$D$18+$G67*Pesi!$D$19+Pesi!$D$20*$H67+$I67*Pesi!$D$21+Pesi!$D$22*VLOOKUP($C67,TabAlgSqu,2,FALSE)+VLOOKUP($C67,TabAlgFC,2,FALSE)*Pesi!$D$23+Pesi!$D$24*VLOOKUP($C67,TabAlgAll,2,FALSE)</f>
        <v>70.664299999999997</v>
      </c>
      <c r="N67" s="155">
        <f>IF(ISNA(MATCH($B67,Pesi!$B$31:$B$34,0)),VLOOKUP(Pesi!$B$32,TabAlgCen,13,FALSE)-((VLOOKUP(Pesi!$B$32,TabAlgCen,12,FALSE)-$M67)/(VLOOKUP(Pesi!$B$32,TabAlgCen,12,FALSE)-Pesi!$F$42))*VLOOKUP(Pesi!$B$32,TabAlgCen,13,FALSE),$K67*$M67/$J67)</f>
        <v>9.8980993870910865</v>
      </c>
      <c r="O67" s="155">
        <f t="shared" si="7"/>
        <v>9.8980993870910865</v>
      </c>
      <c r="P67">
        <f t="shared" si="8"/>
        <v>43</v>
      </c>
      <c r="Q67">
        <f>VLOOKUP(B67,'C.P.'!$A$2:$B$164,2,FALSE)</f>
        <v>1</v>
      </c>
      <c r="R67" t="e">
        <f>VLOOKUP(B67,'C.P.'!$C$2:$D$164,2,FALSE)</f>
        <v>#N/A</v>
      </c>
      <c r="S67" t="e">
        <f>VLOOKUP(B67,'C.P.'!$E$2:$F$164,2,FALSE)</f>
        <v>#N/A</v>
      </c>
      <c r="T67" t="e">
        <f>VLOOKUP(B67,'C.P.'!$G$2:$H$164,2,FALSE)</f>
        <v>#N/A</v>
      </c>
    </row>
    <row r="68" spans="1:21">
      <c r="A68">
        <f ca="1">COUNTIF('I.A. + Fasce'!B$1:'I.A. + Fasce'!B$538,B66)</f>
        <v>1</v>
      </c>
      <c r="B68" s="211" t="s">
        <v>504</v>
      </c>
      <c r="C68" s="212" t="str">
        <f>VLOOKUP(B68,'IA FG'!$B$2:$G$600,6,FALSE)</f>
        <v>UDI</v>
      </c>
      <c r="D68" s="213">
        <v>9</v>
      </c>
      <c r="E68" s="213">
        <v>9</v>
      </c>
      <c r="F68" s="213">
        <v>6</v>
      </c>
      <c r="G68" s="213">
        <v>7</v>
      </c>
      <c r="H68" s="213">
        <v>5</v>
      </c>
      <c r="I68" s="213">
        <v>7</v>
      </c>
      <c r="J68" s="210">
        <f>$D68*Pesi!$B$16+Pesi!$B$17*$E68+$F68*Pesi!$B$18+$G68*Pesi!$B$19+Pesi!$B$20*$H68+$I68*Pesi!$B$21+Pesi!$B$22*VLOOKUP($C68,TabAlgSqu,2,FALSE)+VLOOKUP($C68,TabAlgFC,2,FALSE)*Pesi!$B$23+Pesi!$B$24*VLOOKUP($C68,TabAlgAll,2,FALSE)</f>
        <v>73.1143</v>
      </c>
      <c r="K68" s="155">
        <f>IF(ISNA(MATCH($B68,Pesi!$B$31:$B$34,0)),VLOOKUP(Pesi!$B$32,TabAlgCen,10,FALSE)-((VLOOKUP(Pesi!$B$32,TabAlgCen,9,FALSE)-$J68)/(VLOOKUP(Pesi!$B$32,TabAlgCen,9,FALSE)-Pesi!$D$42))*VLOOKUP(Pesi!$B$32,TabAlgCen,10,FALSE),Pesi!$F$32*Pesi!$C$28)</f>
        <v>8.5437828979856079</v>
      </c>
      <c r="L68" s="155">
        <f t="shared" si="6"/>
        <v>8.5437828979856079</v>
      </c>
      <c r="M68" s="154">
        <f>$D68*Pesi!$D$16+Pesi!$D$17*$E68+$F68*Pesi!$D$18+$G68*Pesi!$D$19+Pesi!$D$20*$H68+$I68*Pesi!$D$21+Pesi!$D$22*VLOOKUP($C68,TabAlgSqu,2,FALSE)+VLOOKUP($C68,TabAlgFC,2,FALSE)*Pesi!$D$23+Pesi!$D$24*VLOOKUP($C68,TabAlgAll,2,FALSE)</f>
        <v>70.664299999999997</v>
      </c>
      <c r="N68" s="155">
        <f>IF(ISNA(MATCH($B68,Pesi!$B$31:$B$34,0)),VLOOKUP(Pesi!$B$32,TabAlgCen,13,FALSE)-((VLOOKUP(Pesi!$B$32,TabAlgCen,12,FALSE)-$M68)/(VLOOKUP(Pesi!$B$32,TabAlgCen,12,FALSE)-Pesi!$F$42))*VLOOKUP(Pesi!$B$32,TabAlgCen,13,FALSE),$K68*$M68/$J68)</f>
        <v>9.8980993870910865</v>
      </c>
      <c r="O68" s="155">
        <f t="shared" si="7"/>
        <v>9.8980993870910865</v>
      </c>
      <c r="P68">
        <f t="shared" si="8"/>
        <v>43</v>
      </c>
      <c r="Q68">
        <f>VLOOKUP(B68,'C.P.'!$A$2:$B$164,2,FALSE)</f>
        <v>0</v>
      </c>
      <c r="R68" t="e">
        <f>VLOOKUP(B68,'C.P.'!$C$2:$D$164,2,FALSE)</f>
        <v>#N/A</v>
      </c>
      <c r="S68" t="e">
        <f>VLOOKUP(B68,'C.P.'!$E$2:$F$164,2,FALSE)</f>
        <v>#N/A</v>
      </c>
      <c r="T68">
        <f>VLOOKUP(B68,'C.P.'!$G$2:$H$164,2,FALSE)</f>
        <v>2</v>
      </c>
    </row>
    <row r="69" spans="1:21">
      <c r="B69" s="211" t="s">
        <v>395</v>
      </c>
      <c r="C69" s="212" t="str">
        <f>VLOOKUP(B69,'IA FG'!$B$2:$G$600,6,FALSE)</f>
        <v>CAG</v>
      </c>
      <c r="D69" s="213">
        <v>7</v>
      </c>
      <c r="E69" s="213">
        <v>9</v>
      </c>
      <c r="F69" s="213">
        <v>6</v>
      </c>
      <c r="G69" s="213">
        <v>7</v>
      </c>
      <c r="H69" s="213">
        <v>6</v>
      </c>
      <c r="I69" s="213">
        <v>7</v>
      </c>
      <c r="J69" s="210">
        <f>$D69*Pesi!$B$16+Pesi!$B$17*$E69+$F69*Pesi!$B$18+$G69*Pesi!$B$19+Pesi!$B$20*$H69+$I69*Pesi!$B$21+Pesi!$B$22*VLOOKUP($C69,TabAlgSqu,2,FALSE)+VLOOKUP($C69,TabAlgFC,2,FALSE)*Pesi!$B$23+Pesi!$B$24*VLOOKUP($C69,TabAlgAll,2,FALSE)</f>
        <v>72.974500000000006</v>
      </c>
      <c r="K69" s="155">
        <f>IF(ISNA(MATCH($B69,Pesi!$B$31:$B$34,0)),VLOOKUP(Pesi!$B$32,TabAlgCen,10,FALSE)-((VLOOKUP(Pesi!$B$32,TabAlgCen,9,FALSE)-$J69)/(VLOOKUP(Pesi!$B$32,TabAlgCen,9,FALSE)-Pesi!$D$42))*VLOOKUP(Pesi!$B$32,TabAlgCen,10,FALSE),Pesi!$F$32*Pesi!$C$28)</f>
        <v>8.1602550268305123</v>
      </c>
      <c r="L69" s="155">
        <f t="shared" si="6"/>
        <v>8.1602550268305123</v>
      </c>
      <c r="M69" s="154">
        <f>$D69*Pesi!$D$16+Pesi!$D$17*$E69+$F69*Pesi!$D$18+$G69*Pesi!$D$19+Pesi!$D$20*$H69+$I69*Pesi!$D$21+Pesi!$D$22*VLOOKUP($C69,TabAlgSqu,2,FALSE)+VLOOKUP($C69,TabAlgFC,2,FALSE)*Pesi!$D$23+Pesi!$D$24*VLOOKUP($C69,TabAlgAll,2,FALSE)</f>
        <v>70.524499999999989</v>
      </c>
      <c r="N69" s="155">
        <f>IF(ISNA(MATCH($B69,Pesi!$B$31:$B$34,0)),VLOOKUP(Pesi!$B$32,TabAlgCen,13,FALSE)-((VLOOKUP(Pesi!$B$32,TabAlgCen,12,FALSE)-$M69)/(VLOOKUP(Pesi!$B$32,TabAlgCen,12,FALSE)-Pesi!$F$42))*VLOOKUP(Pesi!$B$32,TabAlgCen,13,FALSE),$K69*$M69/$J69)</f>
        <v>9.5204681084524907</v>
      </c>
      <c r="O69" s="155">
        <f t="shared" si="7"/>
        <v>9.5204681084524907</v>
      </c>
      <c r="P69">
        <f t="shared" si="8"/>
        <v>42</v>
      </c>
      <c r="Q69">
        <f>VLOOKUP(B69,'C.P.'!$A$2:$B$164,2,FALSE)</f>
        <v>0</v>
      </c>
      <c r="R69" t="e">
        <f>VLOOKUP(B69,'C.P.'!$C$2:$D$164,2,FALSE)</f>
        <v>#N/A</v>
      </c>
      <c r="S69">
        <f>VLOOKUP(B69,'C.P.'!$E$2:$F$164,2,FALSE)</f>
        <v>1</v>
      </c>
      <c r="T69">
        <f>VLOOKUP(B69,'C.P.'!$G$2:$H$164,2,FALSE)</f>
        <v>1</v>
      </c>
      <c r="U69" s="420"/>
    </row>
    <row r="70" spans="1:21">
      <c r="A70">
        <f ca="1">COUNTIF('I.A. + Fasce'!B$1:'I.A. + Fasce'!B$538,B68)</f>
        <v>1</v>
      </c>
      <c r="B70" s="211" t="s">
        <v>299</v>
      </c>
      <c r="C70" s="212" t="str">
        <f>VLOOKUP(B70,'IA FG'!$B$2:$G$600,6,FALSE)</f>
        <v>TOR</v>
      </c>
      <c r="D70" s="213">
        <v>8</v>
      </c>
      <c r="E70" s="213">
        <v>7</v>
      </c>
      <c r="F70" s="213">
        <v>6</v>
      </c>
      <c r="G70" s="213">
        <v>7</v>
      </c>
      <c r="H70" s="213">
        <v>5</v>
      </c>
      <c r="I70" s="213">
        <v>6</v>
      </c>
      <c r="J70" s="210">
        <f>$D70*Pesi!$B$16+Pesi!$B$17*$E70+$F70*Pesi!$B$18+$G70*Pesi!$B$19+Pesi!$B$20*$H70+$I70*Pesi!$B$21+Pesi!$B$22*VLOOKUP($C70,TabAlgSqu,2,FALSE)+VLOOKUP($C70,TabAlgFC,2,FALSE)*Pesi!$B$23+Pesi!$B$24*VLOOKUP($C70,TabAlgAll,2,FALSE)</f>
        <v>72.181200000000004</v>
      </c>
      <c r="K70" s="155">
        <f>IF(ISNA(MATCH($B70,Pesi!$B$31:$B$34,0)),VLOOKUP(Pesi!$B$32,TabAlgCen,10,FALSE)-((VLOOKUP(Pesi!$B$32,TabAlgCen,9,FALSE)-$J70)/(VLOOKUP(Pesi!$B$32,TabAlgCen,9,FALSE)-Pesi!$D$42))*VLOOKUP(Pesi!$B$32,TabAlgCen,10,FALSE),Pesi!$F$32*Pesi!$C$28)</f>
        <v>5.9839126792814596</v>
      </c>
      <c r="L70" s="155">
        <f t="shared" si="6"/>
        <v>5.9839126792814596</v>
      </c>
      <c r="M70" s="154">
        <f>$D70*Pesi!$D$16+Pesi!$D$17*$E70+$F70*Pesi!$D$18+$G70*Pesi!$D$19+Pesi!$D$20*$H70+$I70*Pesi!$D$21+Pesi!$D$22*VLOOKUP($C70,TabAlgSqu,2,FALSE)+VLOOKUP($C70,TabAlgFC,2,FALSE)*Pesi!$D$23+Pesi!$D$24*VLOOKUP($C70,TabAlgAll,2,FALSE)</f>
        <v>69.731200000000001</v>
      </c>
      <c r="N70" s="155">
        <f>IF(ISNA(MATCH($B70,Pesi!$B$31:$B$34,0)),VLOOKUP(Pesi!$B$32,TabAlgCen,13,FALSE)-((VLOOKUP(Pesi!$B$32,TabAlgCen,12,FALSE)-$M70)/(VLOOKUP(Pesi!$B$32,TabAlgCen,12,FALSE)-Pesi!$F$42))*VLOOKUP(Pesi!$B$32,TabAlgCen,13,FALSE),$K70*$M70/$J70)</f>
        <v>7.3775861818145927</v>
      </c>
      <c r="O70" s="155">
        <f t="shared" si="7"/>
        <v>7.3775861818145927</v>
      </c>
      <c r="P70">
        <f t="shared" si="8"/>
        <v>39</v>
      </c>
      <c r="Q70" t="e">
        <f>VLOOKUP(B70,'C.P.'!$A$2:$B$164,2,FALSE)</f>
        <v>#N/A</v>
      </c>
      <c r="R70" t="e">
        <f>VLOOKUP(B70,'C.P.'!$C$2:$D$164,2,FALSE)</f>
        <v>#N/A</v>
      </c>
      <c r="S70" t="e">
        <f>VLOOKUP(B70,'C.P.'!$E$2:$F$164,2,FALSE)</f>
        <v>#N/A</v>
      </c>
      <c r="T70" t="e">
        <f>VLOOKUP(B70,'C.P.'!$G$2:$H$164,2,FALSE)</f>
        <v>#N/A</v>
      </c>
    </row>
    <row r="71" spans="1:21">
      <c r="A71">
        <f ca="1">COUNTIF('I.A. + Fasce'!B$1:'I.A. + Fasce'!B$538,#REF!)</f>
        <v>0</v>
      </c>
      <c r="B71" s="211" t="s">
        <v>527</v>
      </c>
      <c r="C71" s="212" t="str">
        <f>VLOOKUP(B71,'IA FG'!$B$2:$G$600,6,FALSE)</f>
        <v>GEN</v>
      </c>
      <c r="D71" s="213">
        <v>8</v>
      </c>
      <c r="E71" s="213">
        <v>8</v>
      </c>
      <c r="F71" s="213">
        <v>6</v>
      </c>
      <c r="G71" s="213">
        <v>7</v>
      </c>
      <c r="H71" s="213">
        <v>6</v>
      </c>
      <c r="I71" s="213">
        <v>7</v>
      </c>
      <c r="J71" s="210">
        <f>$D71*Pesi!$B$16+Pesi!$B$17*$E71+$F71*Pesi!$B$18+$G71*Pesi!$B$19+Pesi!$B$20*$H71+$I71*Pesi!$B$21+Pesi!$B$22*VLOOKUP($C71,TabAlgSqu,2,FALSE)+VLOOKUP($C71,TabAlgFC,2,FALSE)*Pesi!$B$23+Pesi!$B$24*VLOOKUP($C71,TabAlgAll,2,FALSE)</f>
        <v>72.158300000000011</v>
      </c>
      <c r="K71" s="155">
        <f>IF(ISNA(MATCH($B71,Pesi!$B$31:$B$34,0)),VLOOKUP(Pesi!$B$32,TabAlgCen,10,FALSE)-((VLOOKUP(Pesi!$B$32,TabAlgCen,9,FALSE)-$J71)/(VLOOKUP(Pesi!$B$32,TabAlgCen,9,FALSE)-Pesi!$D$42))*VLOOKUP(Pesi!$B$32,TabAlgCen,10,FALSE),Pesi!$F$32*Pesi!$C$28)</f>
        <v>5.9210887289992797</v>
      </c>
      <c r="L71" s="155">
        <f t="shared" si="6"/>
        <v>5.9210887289992797</v>
      </c>
      <c r="M71" s="154">
        <f>$D71*Pesi!$D$16+Pesi!$D$17*$E71+$F71*Pesi!$D$18+$G71*Pesi!$D$19+Pesi!$D$20*$H71+$I71*Pesi!$D$21+Pesi!$D$22*VLOOKUP($C71,TabAlgSqu,2,FALSE)+VLOOKUP($C71,TabAlgFC,2,FALSE)*Pesi!$D$23+Pesi!$D$24*VLOOKUP($C71,TabAlgAll,2,FALSE)</f>
        <v>69.708300000000008</v>
      </c>
      <c r="N71" s="155">
        <f>IF(ISNA(MATCH($B71,Pesi!$B$31:$B$34,0)),VLOOKUP(Pesi!$B$32,TabAlgCen,13,FALSE)-((VLOOKUP(Pesi!$B$32,TabAlgCen,12,FALSE)-$M71)/(VLOOKUP(Pesi!$B$32,TabAlgCen,12,FALSE)-Pesi!$F$42))*VLOOKUP(Pesi!$B$32,TabAlgCen,13,FALSE),$K71*$M71/$J71)</f>
        <v>7.315728125442476</v>
      </c>
      <c r="O71" s="155">
        <f t="shared" si="7"/>
        <v>7.315728125442476</v>
      </c>
      <c r="P71">
        <f t="shared" si="8"/>
        <v>42</v>
      </c>
      <c r="Q71" t="e">
        <f>VLOOKUP(B71,'C.P.'!$A$2:$B$164,2,FALSE)</f>
        <v>#N/A</v>
      </c>
      <c r="R71" t="e">
        <f>VLOOKUP(B71,'C.P.'!$C$2:$D$164,2,FALSE)</f>
        <v>#N/A</v>
      </c>
      <c r="S71" t="e">
        <f>VLOOKUP(B71,'C.P.'!$E$2:$F$164,2,FALSE)</f>
        <v>#N/A</v>
      </c>
      <c r="T71">
        <f>VLOOKUP(B71,'C.P.'!$G$2:$H$164,2,FALSE)</f>
        <v>2</v>
      </c>
    </row>
    <row r="72" spans="1:21" ht="12.75" customHeight="1">
      <c r="A72">
        <f ca="1">COUNTIF('I.A. + Fasce'!B$1:'I.A. + Fasce'!B$538,B69)</f>
        <v>1</v>
      </c>
      <c r="B72" s="443" t="s">
        <v>389</v>
      </c>
      <c r="C72" s="212" t="str">
        <f>VLOOKUP(B72,'IA FG'!$B$2:$G$600,6,FALSE)</f>
        <v>CHI</v>
      </c>
      <c r="D72" s="213">
        <v>7</v>
      </c>
      <c r="E72" s="213">
        <v>9</v>
      </c>
      <c r="F72" s="213">
        <v>7</v>
      </c>
      <c r="G72" s="213">
        <v>7</v>
      </c>
      <c r="H72" s="213">
        <v>6</v>
      </c>
      <c r="I72" s="213">
        <v>7</v>
      </c>
      <c r="J72" s="210">
        <f>$D72*Pesi!$B$16+Pesi!$B$17*$E72+$F72*Pesi!$B$18+$G72*Pesi!$B$19+Pesi!$B$20*$H72+$I72*Pesi!$B$21+Pesi!$B$22*VLOOKUP($C72,TabAlgSqu,2,FALSE)+VLOOKUP($C72,TabAlgFC,2,FALSE)*Pesi!$B$23+Pesi!$B$24*VLOOKUP($C72,TabAlgAll,2,FALSE)</f>
        <v>72.112500000000011</v>
      </c>
      <c r="K72" s="155">
        <f>IF(ISNA(MATCH($B72,Pesi!$B$31:$B$34,0)),VLOOKUP(Pesi!$B$32,TabAlgCen,10,FALSE)-((VLOOKUP(Pesi!$B$32,TabAlgCen,9,FALSE)-$J72)/(VLOOKUP(Pesi!$B$32,TabAlgCen,9,FALSE)-Pesi!$D$42))*VLOOKUP(Pesi!$B$32,TabAlgCen,10,FALSE),Pesi!$F$32*Pesi!$C$28)</f>
        <v>5.7954408284348631</v>
      </c>
      <c r="L72" s="155">
        <f t="shared" si="6"/>
        <v>5.7954408284348631</v>
      </c>
      <c r="M72" s="154">
        <f>$D72*Pesi!$D$16+Pesi!$D$17*$E72+$F72*Pesi!$D$18+$G72*Pesi!$D$19+Pesi!$D$20*$H72+$I72*Pesi!$D$21+Pesi!$D$22*VLOOKUP($C72,TabAlgSqu,2,FALSE)+VLOOKUP($C72,TabAlgFC,2,FALSE)*Pesi!$D$23+Pesi!$D$24*VLOOKUP($C72,TabAlgAll,2,FALSE)</f>
        <v>69.3125</v>
      </c>
      <c r="N72" s="155">
        <f>IF(ISNA(MATCH($B72,Pesi!$B$31:$B$34,0)),VLOOKUP(Pesi!$B$32,TabAlgCen,13,FALSE)-((VLOOKUP(Pesi!$B$32,TabAlgCen,12,FALSE)-$M72)/(VLOOKUP(Pesi!$B$32,TabAlgCen,12,FALSE)-Pesi!$F$42))*VLOOKUP(Pesi!$B$32,TabAlgCen,13,FALSE),$K72*$M72/$J72)</f>
        <v>6.2465832035172184</v>
      </c>
      <c r="O72" s="155">
        <f t="shared" si="7"/>
        <v>6.2465832035172184</v>
      </c>
      <c r="P72">
        <f t="shared" si="8"/>
        <v>43</v>
      </c>
      <c r="Q72">
        <f>VLOOKUP(B72,'C.P.'!$A$2:$B$164,2,FALSE)</f>
        <v>1</v>
      </c>
      <c r="R72" t="e">
        <f>VLOOKUP(B72,'C.P.'!$C$2:$D$164,2,FALSE)</f>
        <v>#N/A</v>
      </c>
      <c r="S72" t="e">
        <f>VLOOKUP(B72,'C.P.'!$E$2:$F$164,2,FALSE)</f>
        <v>#N/A</v>
      </c>
      <c r="T72">
        <f>VLOOKUP(B72,'C.P.'!$G$2:$H$164,2,FALSE)</f>
        <v>2</v>
      </c>
    </row>
    <row r="73" spans="1:21">
      <c r="A73">
        <f ca="1">COUNTIF('I.A. + Fasce'!B$1:'I.A. + Fasce'!B$538,B70)</f>
        <v>1</v>
      </c>
      <c r="B73" s="211" t="s">
        <v>313</v>
      </c>
      <c r="C73" s="212" t="str">
        <f>VLOOKUP(B73,'IA FG'!$B$2:$G$600,6,FALSE)</f>
        <v>FIO</v>
      </c>
      <c r="D73" s="213">
        <v>8</v>
      </c>
      <c r="E73" s="213">
        <v>8</v>
      </c>
      <c r="F73" s="213">
        <v>7</v>
      </c>
      <c r="G73" s="213">
        <v>6</v>
      </c>
      <c r="H73" s="213">
        <v>6</v>
      </c>
      <c r="I73" s="213">
        <v>6</v>
      </c>
      <c r="J73" s="210">
        <f>$D73*Pesi!$B$16+Pesi!$B$17*$E73+$F73*Pesi!$B$18+$G73*Pesi!$B$19+Pesi!$B$20*$H73+$I73*Pesi!$B$21+Pesi!$B$22*VLOOKUP($C73,TabAlgSqu,2,FALSE)+VLOOKUP($C73,TabAlgFC,2,FALSE)*Pesi!$B$23+Pesi!$B$24*VLOOKUP($C73,TabAlgAll,2,FALSE)</f>
        <v>72.039500000000004</v>
      </c>
      <c r="K73" s="155">
        <f>IF(ISNA(MATCH($B73,Pesi!$B$31:$B$34,0)),VLOOKUP(Pesi!$B$32,TabAlgCen,10,FALSE)-((VLOOKUP(Pesi!$B$32,TabAlgCen,9,FALSE)-$J73)/(VLOOKUP(Pesi!$B$32,TabAlgCen,9,FALSE)-Pesi!$D$42))*VLOOKUP(Pesi!$B$32,TabAlgCen,10,FALSE),Pesi!$F$32*Pesi!$C$28)</f>
        <v>5.5951723406356848</v>
      </c>
      <c r="L73" s="155">
        <f t="shared" si="6"/>
        <v>5.5951723406356848</v>
      </c>
      <c r="M73" s="154">
        <f>$D73*Pesi!$D$16+Pesi!$D$17*$E73+$F73*Pesi!$D$18+$G73*Pesi!$D$19+Pesi!$D$20*$H73+$I73*Pesi!$D$21+Pesi!$D$22*VLOOKUP($C73,TabAlgSqu,2,FALSE)+VLOOKUP($C73,TabAlgFC,2,FALSE)*Pesi!$D$23+Pesi!$D$24*VLOOKUP($C73,TabAlgAll,2,FALSE)</f>
        <v>69.289500000000004</v>
      </c>
      <c r="N73" s="155">
        <f>IF(ISNA(MATCH($B73,Pesi!$B$31:$B$34,0)),VLOOKUP(Pesi!$B$32,TabAlgCen,13,FALSE)-((VLOOKUP(Pesi!$B$32,TabAlgCen,12,FALSE)-$M73)/(VLOOKUP(Pesi!$B$32,TabAlgCen,12,FALSE)-Pesi!$F$42))*VLOOKUP(Pesi!$B$32,TabAlgCen,13,FALSE),$K73*$M73/$J73)</f>
        <v>6.1844550246281926</v>
      </c>
      <c r="O73" s="155">
        <f t="shared" si="7"/>
        <v>6.1844550246281926</v>
      </c>
      <c r="P73">
        <f t="shared" si="8"/>
        <v>41</v>
      </c>
      <c r="Q73" t="e">
        <f>VLOOKUP(B73,'C.P.'!$A$2:$B$164,2,FALSE)</f>
        <v>#N/A</v>
      </c>
      <c r="R73" t="e">
        <f>VLOOKUP(B73,'C.P.'!$C$2:$D$164,2,FALSE)</f>
        <v>#N/A</v>
      </c>
      <c r="S73" t="e">
        <f>VLOOKUP(B73,'C.P.'!$E$2:$F$164,2,FALSE)</f>
        <v>#N/A</v>
      </c>
      <c r="T73" t="e">
        <f>VLOOKUP(B73,'C.P.'!$G$2:$H$164,2,FALSE)</f>
        <v>#N/A</v>
      </c>
    </row>
    <row r="74" spans="1:21">
      <c r="A74">
        <f ca="1">COUNTIF('I.A. + Fasce'!B$1:'I.A. + Fasce'!B$538,B74)</f>
        <v>1</v>
      </c>
      <c r="B74" s="211" t="s">
        <v>1737</v>
      </c>
      <c r="C74" s="212" t="str">
        <f>VLOOKUP(B74,'IA FG'!$B$2:$G$600,6,FALSE)</f>
        <v>FIO</v>
      </c>
      <c r="D74" s="213">
        <v>9</v>
      </c>
      <c r="E74" s="213">
        <v>8</v>
      </c>
      <c r="F74" s="213">
        <v>6</v>
      </c>
      <c r="G74" s="213">
        <v>6</v>
      </c>
      <c r="H74" s="213">
        <v>6</v>
      </c>
      <c r="I74" s="213">
        <v>6</v>
      </c>
      <c r="J74" s="210">
        <f>$D74*Pesi!$B$16+Pesi!$B$17*$E74+$F74*Pesi!$B$18+$G74*Pesi!$B$19+Pesi!$B$20*$H74+$I74*Pesi!$B$21+Pesi!$B$22*VLOOKUP($C74,TabAlgSqu,2,FALSE)+VLOOKUP($C74,TabAlgFC,2,FALSE)*Pesi!$B$23+Pesi!$B$24*VLOOKUP($C74,TabAlgAll,2,FALSE)</f>
        <v>71.772800000000004</v>
      </c>
      <c r="K74" s="155">
        <f>IF(ISNA(MATCH($B74,Pesi!$B$31:$B$34,0)),VLOOKUP(Pesi!$B$32,TabAlgCen,10,FALSE)-((VLOOKUP(Pesi!$B$32,TabAlgCen,9,FALSE)-$J74)/(VLOOKUP(Pesi!$B$32,TabAlgCen,9,FALSE)-Pesi!$D$42))*VLOOKUP(Pesi!$B$32,TabAlgCen,10,FALSE),Pesi!$F$32*Pesi!$C$28)</f>
        <v>4.8635065091830967</v>
      </c>
      <c r="L74" s="155">
        <f t="shared" si="6"/>
        <v>4.8635065091830967</v>
      </c>
      <c r="M74" s="154">
        <f>$D74*Pesi!$D$16+Pesi!$D$17*$E74+$F74*Pesi!$D$18+$G74*Pesi!$D$19+Pesi!$D$20*$H74+$I74*Pesi!$D$21+Pesi!$D$22*VLOOKUP($C74,TabAlgSqu,2,FALSE)+VLOOKUP($C74,TabAlgFC,2,FALSE)*Pesi!$D$23+Pesi!$D$24*VLOOKUP($C74,TabAlgAll,2,FALSE)</f>
        <v>69.372800000000012</v>
      </c>
      <c r="N74" s="155">
        <f>IF(ISNA(MATCH($B74,Pesi!$B$31:$B$34,0)),VLOOKUP(Pesi!$B$32,TabAlgCen,13,FALSE)-((VLOOKUP(Pesi!$B$32,TabAlgCen,12,FALSE)-$M74)/(VLOOKUP(Pesi!$B$32,TabAlgCen,12,FALSE)-Pesi!$F$42))*VLOOKUP(Pesi!$B$32,TabAlgCen,13,FALSE),$K74*$M74/$J74)</f>
        <v>6.4094670812132932</v>
      </c>
      <c r="O74" s="155">
        <f t="shared" si="7"/>
        <v>6.4094670812132932</v>
      </c>
      <c r="P74">
        <f t="shared" si="8"/>
        <v>41</v>
      </c>
      <c r="Q74" t="e">
        <f>VLOOKUP(B74,'C.P.'!$A$2:$B$164,2,FALSE)</f>
        <v>#N/A</v>
      </c>
      <c r="R74" t="e">
        <f>VLOOKUP(B74,'C.P.'!$C$2:$D$164,2,FALSE)</f>
        <v>#N/A</v>
      </c>
      <c r="S74" t="e">
        <f>VLOOKUP(B74,'C.P.'!$E$2:$F$164,2,FALSE)</f>
        <v>#N/A</v>
      </c>
      <c r="T74" t="e">
        <f>VLOOKUP(B74,'C.P.'!$G$2:$H$164,2,FALSE)</f>
        <v>#N/A</v>
      </c>
      <c r="U74" s="180"/>
    </row>
    <row r="75" spans="1:21" ht="12.75" customHeight="1">
      <c r="A75">
        <f ca="1">COUNTIF('I.A. + Fasce'!B$1:'I.A. + Fasce'!B$538,B73)</f>
        <v>1</v>
      </c>
      <c r="B75" s="211" t="s">
        <v>497</v>
      </c>
      <c r="C75" s="212" t="str">
        <f>VLOOKUP(B75,'IA FG'!$B$2:$G$600,6,FALSE)</f>
        <v>CAG</v>
      </c>
      <c r="D75" s="213">
        <v>7</v>
      </c>
      <c r="E75" s="213">
        <v>8</v>
      </c>
      <c r="F75" s="213">
        <v>6</v>
      </c>
      <c r="G75" s="213">
        <v>7</v>
      </c>
      <c r="H75" s="213">
        <v>6</v>
      </c>
      <c r="I75" s="213">
        <v>7</v>
      </c>
      <c r="J75" s="210">
        <f>$D75*Pesi!$B$16+Pesi!$B$17*$E75+$F75*Pesi!$B$18+$G75*Pesi!$B$19+Pesi!$B$20*$H75+$I75*Pesi!$B$21+Pesi!$B$22*VLOOKUP($C75,TabAlgSqu,2,FALSE)+VLOOKUP($C75,TabAlgFC,2,FALSE)*Pesi!$B$23+Pesi!$B$24*VLOOKUP($C75,TabAlgAll,2,FALSE)</f>
        <v>71.762</v>
      </c>
      <c r="K75" s="155">
        <f>IF(ISNA(MATCH($B75,Pesi!$B$31:$B$34,0)),VLOOKUP(Pesi!$B$32,TabAlgCen,10,FALSE)-((VLOOKUP(Pesi!$B$32,TabAlgCen,9,FALSE)-$J75)/(VLOOKUP(Pesi!$B$32,TabAlgCen,9,FALSE)-Pesi!$D$42))*VLOOKUP(Pesi!$B$32,TabAlgCen,10,FALSE),Pesi!$F$32*Pesi!$C$28)</f>
        <v>4.8338777466045855</v>
      </c>
      <c r="L75" s="155">
        <f t="shared" si="6"/>
        <v>4.8338777466045855</v>
      </c>
      <c r="M75" s="154">
        <f>$D75*Pesi!$D$16+Pesi!$D$17*$E75+$F75*Pesi!$D$18+$G75*Pesi!$D$19+Pesi!$D$20*$H75+$I75*Pesi!$D$21+Pesi!$D$22*VLOOKUP($C75,TabAlgSqu,2,FALSE)+VLOOKUP($C75,TabAlgFC,2,FALSE)*Pesi!$D$23+Pesi!$D$24*VLOOKUP($C75,TabAlgAll,2,FALSE)</f>
        <v>69.311999999999998</v>
      </c>
      <c r="N75" s="155">
        <f>IF(ISNA(MATCH($B75,Pesi!$B$31:$B$34,0)),VLOOKUP(Pesi!$B$32,TabAlgCen,13,FALSE)-((VLOOKUP(Pesi!$B$32,TabAlgCen,12,FALSE)-$M75)/(VLOOKUP(Pesi!$B$32,TabAlgCen,12,FALSE)-Pesi!$F$42))*VLOOKUP(Pesi!$B$32,TabAlgCen,13,FALSE),$K75*$M75/$J75)</f>
        <v>6.2452325909326731</v>
      </c>
      <c r="O75" s="155">
        <f t="shared" si="7"/>
        <v>6.2452325909326731</v>
      </c>
      <c r="P75">
        <f t="shared" si="8"/>
        <v>41</v>
      </c>
      <c r="Q75" t="e">
        <f>VLOOKUP(B75,'C.P.'!$A$2:$B$164,2,FALSE)</f>
        <v>#N/A</v>
      </c>
      <c r="R75" t="e">
        <f>VLOOKUP(B75,'C.P.'!$C$2:$D$164,2,FALSE)</f>
        <v>#N/A</v>
      </c>
      <c r="S75" t="e">
        <f>VLOOKUP(B75,'C.P.'!$E$2:$F$164,2,FALSE)</f>
        <v>#N/A</v>
      </c>
      <c r="T75" t="e">
        <f>VLOOKUP(B75,'C.P.'!$G$2:$H$164,2,FALSE)</f>
        <v>#N/A</v>
      </c>
    </row>
    <row r="76" spans="1:21">
      <c r="A76">
        <f ca="1">COUNTIF('I.A. + Fasce'!B$1:'I.A. + Fasce'!B$538,B74)</f>
        <v>1</v>
      </c>
      <c r="B76" s="211" t="s">
        <v>1746</v>
      </c>
      <c r="C76" s="212" t="str">
        <f>VLOOKUP(B76,'IA FG'!$B$2:$G$600,6,FALSE)</f>
        <v>ATA</v>
      </c>
      <c r="D76" s="213">
        <v>9</v>
      </c>
      <c r="E76" s="213">
        <v>5</v>
      </c>
      <c r="F76" s="213">
        <v>7</v>
      </c>
      <c r="G76" s="213">
        <v>5</v>
      </c>
      <c r="H76" s="213">
        <v>6</v>
      </c>
      <c r="I76" s="213">
        <v>6</v>
      </c>
      <c r="J76" s="210">
        <f>$D76*Pesi!$B$16+Pesi!$B$17*$E76+$F76*Pesi!$B$18+$G76*Pesi!$B$19+Pesi!$B$20*$H76+$I76*Pesi!$B$21+Pesi!$B$22*VLOOKUP($C76,TabAlgSqu,2,FALSE)+VLOOKUP($C76,TabAlgFC,2,FALSE)*Pesi!$B$23+Pesi!$B$24*VLOOKUP($C76,TabAlgAll,2,FALSE)</f>
        <v>71.270300000000006</v>
      </c>
      <c r="K76" s="155">
        <f>IF(ISNA(MATCH($B76,Pesi!$B$31:$B$34,0)),VLOOKUP(Pesi!$B$32,TabAlgCen,10,FALSE)-((VLOOKUP(Pesi!$B$32,TabAlgCen,9,FALSE)-$J76)/(VLOOKUP(Pesi!$B$32,TabAlgCen,9,FALSE)-Pesi!$D$42))*VLOOKUP(Pesi!$B$32,TabAlgCen,10,FALSE),Pesi!$F$32*Pesi!$C$28)</f>
        <v>3.4849460280997988</v>
      </c>
      <c r="L76" s="155">
        <f t="shared" si="6"/>
        <v>3.4849460280997988</v>
      </c>
      <c r="M76" s="154">
        <f>$D76*Pesi!$D$16+Pesi!$D$17*$E76+$F76*Pesi!$D$18+$G76*Pesi!$D$19+Pesi!$D$20*$H76+$I76*Pesi!$D$21+Pesi!$D$22*VLOOKUP($C76,TabAlgSqu,2,FALSE)+VLOOKUP($C76,TabAlgFC,2,FALSE)*Pesi!$D$23+Pesi!$D$24*VLOOKUP($C76,TabAlgAll,2,FALSE)</f>
        <v>68.570300000000003</v>
      </c>
      <c r="N76" s="155">
        <f>IF(ISNA(MATCH($B76,Pesi!$B$31:$B$34,0)),VLOOKUP(Pesi!$B$32,TabAlgCen,13,FALSE)-((VLOOKUP(Pesi!$B$32,TabAlgCen,12,FALSE)-$M76)/(VLOOKUP(Pesi!$B$32,TabAlgCen,12,FALSE)-Pesi!$F$42))*VLOOKUP(Pesi!$B$32,TabAlgCen,13,FALSE),$K76*$M76/$J76)</f>
        <v>4.2417338830197338</v>
      </c>
      <c r="O76" s="155">
        <f t="shared" si="7"/>
        <v>4.2417338830197338</v>
      </c>
      <c r="P76">
        <f t="shared" si="8"/>
        <v>38</v>
      </c>
      <c r="Q76" t="e">
        <f>VLOOKUP(B76,'C.P.'!$A$2:$B$164,2,FALSE)</f>
        <v>#N/A</v>
      </c>
      <c r="R76" t="e">
        <f>VLOOKUP(B76,'C.P.'!$C$2:$D$164,2,FALSE)</f>
        <v>#N/A</v>
      </c>
      <c r="S76" t="e">
        <f>VLOOKUP(B76,'C.P.'!$E$2:$F$164,2,FALSE)</f>
        <v>#N/A</v>
      </c>
      <c r="T76" t="e">
        <f>VLOOKUP(B76,'C.P.'!$G$2:$H$164,2,FALSE)</f>
        <v>#N/A</v>
      </c>
    </row>
    <row r="77" spans="1:21">
      <c r="A77">
        <f ca="1">COUNTIF('I.A. + Fasce'!B$1:'I.A. + Fasce'!B$538,B75)</f>
        <v>1</v>
      </c>
      <c r="B77" s="211" t="s">
        <v>1307</v>
      </c>
      <c r="C77" s="212" t="str">
        <f>VLOOKUP(B77,'IA FG'!$B$2:$G$600,6,FALSE)</f>
        <v>MIL</v>
      </c>
      <c r="D77" s="213">
        <v>8</v>
      </c>
      <c r="E77" s="213">
        <v>5</v>
      </c>
      <c r="F77" s="213">
        <v>6</v>
      </c>
      <c r="G77" s="213">
        <v>6</v>
      </c>
      <c r="H77" s="213">
        <v>6</v>
      </c>
      <c r="I77" s="213">
        <v>6</v>
      </c>
      <c r="J77" s="210">
        <f>$D77*Pesi!$B$16+Pesi!$B$17*$E77+$F77*Pesi!$B$18+$G77*Pesi!$B$19+Pesi!$B$20*$H77+$I77*Pesi!$B$21+Pesi!$B$22*VLOOKUP($C77,TabAlgSqu,2,FALSE)+VLOOKUP($C77,TabAlgFC,2,FALSE)*Pesi!$B$23+Pesi!$B$24*VLOOKUP($C77,TabAlgAll,2,FALSE)</f>
        <v>71.264500000000012</v>
      </c>
      <c r="K77" s="155">
        <f>IF(ISNA(MATCH($B77,Pesi!$B$31:$B$34,0)),VLOOKUP(Pesi!$B$32,TabAlgCen,10,FALSE)-((VLOOKUP(Pesi!$B$32,TabAlgCen,9,FALSE)-$J77)/(VLOOKUP(Pesi!$B$32,TabAlgCen,9,FALSE)-Pesi!$D$42))*VLOOKUP(Pesi!$B$32,TabAlgCen,10,FALSE),Pesi!$F$32*Pesi!$C$28)</f>
        <v>3.469034285233576</v>
      </c>
      <c r="L77" s="155">
        <f t="shared" si="6"/>
        <v>3.469034285233576</v>
      </c>
      <c r="M77" s="154">
        <f>$D77*Pesi!$D$16+Pesi!$D$17*$E77+$F77*Pesi!$D$18+$G77*Pesi!$D$19+Pesi!$D$20*$H77+$I77*Pesi!$D$21+Pesi!$D$22*VLOOKUP($C77,TabAlgSqu,2,FALSE)+VLOOKUP($C77,TabAlgFC,2,FALSE)*Pesi!$D$23+Pesi!$D$24*VLOOKUP($C77,TabAlgAll,2,FALSE)</f>
        <v>68.864500000000007</v>
      </c>
      <c r="N77" s="155">
        <f>IF(ISNA(MATCH($B77,Pesi!$B$31:$B$34,0)),VLOOKUP(Pesi!$B$32,TabAlgCen,13,FALSE)-((VLOOKUP(Pesi!$B$32,TabAlgCen,12,FALSE)-$M77)/(VLOOKUP(Pesi!$B$32,TabAlgCen,12,FALSE)-Pesi!$F$42))*VLOOKUP(Pesi!$B$32,TabAlgCen,13,FALSE),$K77*$M77/$J77)</f>
        <v>5.0364343277655763</v>
      </c>
      <c r="O77" s="155">
        <f t="shared" si="7"/>
        <v>5.0364343277655763</v>
      </c>
      <c r="P77">
        <f t="shared" si="8"/>
        <v>37</v>
      </c>
      <c r="Q77" t="e">
        <f>VLOOKUP(B77,'C.P.'!$A$2:$B$164,2,FALSE)</f>
        <v>#N/A</v>
      </c>
      <c r="R77" t="e">
        <f>VLOOKUP(B77,'C.P.'!$C$2:$D$164,2,FALSE)</f>
        <v>#N/A</v>
      </c>
      <c r="S77" t="e">
        <f>VLOOKUP(B77,'C.P.'!$E$2:$F$164,2,FALSE)</f>
        <v>#N/A</v>
      </c>
      <c r="T77" t="e">
        <f>VLOOKUP(B77,'C.P.'!$G$2:$H$164,2,FALSE)</f>
        <v>#N/A</v>
      </c>
    </row>
    <row r="78" spans="1:21">
      <c r="A78">
        <f ca="1">COUNTIF('I.A. + Fasce'!B$1:'I.A. + Fasce'!B$538,B76)</f>
        <v>1</v>
      </c>
      <c r="B78" s="211" t="s">
        <v>1756</v>
      </c>
      <c r="C78" s="212" t="str">
        <f>VLOOKUP(B78,'IA FG'!$B$2:$G$600,6,FALSE)</f>
        <v>ROM</v>
      </c>
      <c r="D78" s="213">
        <v>8</v>
      </c>
      <c r="E78" s="213">
        <v>6</v>
      </c>
      <c r="F78" s="213">
        <v>6</v>
      </c>
      <c r="G78" s="213">
        <v>5</v>
      </c>
      <c r="H78" s="213">
        <v>6</v>
      </c>
      <c r="I78" s="213">
        <v>4</v>
      </c>
      <c r="J78" s="210">
        <f>$D78*Pesi!$B$16+Pesi!$B$17*$E78+$F78*Pesi!$B$18+$G78*Pesi!$B$19+Pesi!$B$20*$H78+$I78*Pesi!$B$21+Pesi!$B$22*VLOOKUP($C78,TabAlgSqu,2,FALSE)+VLOOKUP($C78,TabAlgFC,2,FALSE)*Pesi!$B$23+Pesi!$B$24*VLOOKUP($C78,TabAlgAll,2,FALSE)</f>
        <v>71.029399999999995</v>
      </c>
      <c r="K78" s="155">
        <f>IF(ISNA(MATCH($B78,Pesi!$B$31:$B$34,0)),VLOOKUP(Pesi!$B$32,TabAlgCen,10,FALSE)-((VLOOKUP(Pesi!$B$32,TabAlgCen,9,FALSE)-$J78)/(VLOOKUP(Pesi!$B$32,TabAlgCen,9,FALSE)-Pesi!$D$42))*VLOOKUP(Pesi!$B$32,TabAlgCen,10,FALSE),Pesi!$F$32*Pesi!$C$28)</f>
        <v>2.824060018362502</v>
      </c>
      <c r="L78" s="155">
        <f t="shared" si="6"/>
        <v>2.824060018362502</v>
      </c>
      <c r="M78" s="154">
        <f>$D78*Pesi!$D$16+Pesi!$D$17*$E78+$F78*Pesi!$D$18+$G78*Pesi!$D$19+Pesi!$D$20*$H78+$I78*Pesi!$D$21+Pesi!$D$22*VLOOKUP($C78,TabAlgSqu,2,FALSE)+VLOOKUP($C78,TabAlgFC,2,FALSE)*Pesi!$D$23+Pesi!$D$24*VLOOKUP($C78,TabAlgAll,2,FALSE)</f>
        <v>68.679400000000001</v>
      </c>
      <c r="N78" s="155">
        <f>IF(ISNA(MATCH($B78,Pesi!$B$31:$B$34,0)),VLOOKUP(Pesi!$B$32,TabAlgCen,13,FALSE)-((VLOOKUP(Pesi!$B$32,TabAlgCen,12,FALSE)-$M78)/(VLOOKUP(Pesi!$B$32,TabAlgCen,12,FALSE)-Pesi!$F$42))*VLOOKUP(Pesi!$B$32,TabAlgCen,13,FALSE),$K78*$M78/$J78)</f>
        <v>4.536437548967271</v>
      </c>
      <c r="O78" s="155">
        <f t="shared" si="7"/>
        <v>4.536437548967271</v>
      </c>
      <c r="P78">
        <f t="shared" si="8"/>
        <v>35</v>
      </c>
      <c r="Q78">
        <f>VLOOKUP(B78,'C.P.'!$A$2:$B$164,2,FALSE)</f>
        <v>-1</v>
      </c>
      <c r="R78" t="e">
        <f>VLOOKUP(B78,'C.P.'!$C$2:$D$164,2,FALSE)</f>
        <v>#N/A</v>
      </c>
      <c r="S78">
        <f>VLOOKUP(B78,'C.P.'!$E$2:$F$164,2,FALSE)</f>
        <v>4</v>
      </c>
      <c r="T78" t="e">
        <f>VLOOKUP(B78,'C.P.'!$G$2:$H$164,2,FALSE)</f>
        <v>#N/A</v>
      </c>
    </row>
    <row r="79" spans="1:21">
      <c r="A79">
        <f ca="1">COUNTIF('I.A. + Fasce'!B$1:'I.A. + Fasce'!B$538,B76)</f>
        <v>1</v>
      </c>
      <c r="B79" s="211" t="s">
        <v>1330</v>
      </c>
      <c r="C79" s="212" t="str">
        <f>VLOOKUP(B79,'IA FG'!$B$2:$G$600,6,FALSE)</f>
        <v>SAM</v>
      </c>
      <c r="D79" s="213">
        <v>9</v>
      </c>
      <c r="E79" s="213">
        <v>6</v>
      </c>
      <c r="F79" s="213">
        <v>7</v>
      </c>
      <c r="G79" s="213">
        <v>6</v>
      </c>
      <c r="H79" s="213">
        <v>6</v>
      </c>
      <c r="I79" s="213">
        <v>6</v>
      </c>
      <c r="J79" s="210">
        <f>$D79*Pesi!$B$16+Pesi!$B$17*$E79+$F79*Pesi!$B$18+$G79*Pesi!$B$19+Pesi!$B$20*$H79+$I79*Pesi!$B$21+Pesi!$B$22*VLOOKUP($C79,TabAlgSqu,2,FALSE)+VLOOKUP($C79,TabAlgFC,2,FALSE)*Pesi!$B$23+Pesi!$B$24*VLOOKUP($C79,TabAlgAll,2,FALSE)</f>
        <v>70.84729999999999</v>
      </c>
      <c r="K79" s="155">
        <f>IF(ISNA(MATCH($B79,Pesi!$B$31:$B$34,0)),VLOOKUP(Pesi!$B$32,TabAlgCen,10,FALSE)-((VLOOKUP(Pesi!$B$32,TabAlgCen,9,FALSE)-$J79)/(VLOOKUP(Pesi!$B$32,TabAlgCen,9,FALSE)-Pesi!$D$42))*VLOOKUP(Pesi!$B$32,TabAlgCen,10,FALSE),Pesi!$F$32*Pesi!$C$28)</f>
        <v>2.3244861604415519</v>
      </c>
      <c r="L79" s="155">
        <f t="shared" si="6"/>
        <v>2.3244861604415519</v>
      </c>
      <c r="M79" s="154">
        <f>$D79*Pesi!$D$16+Pesi!$D$17*$E79+$F79*Pesi!$D$18+$G79*Pesi!$D$19+Pesi!$D$20*$H79+$I79*Pesi!$D$21+Pesi!$D$22*VLOOKUP($C79,TabAlgSqu,2,FALSE)+VLOOKUP($C79,TabAlgFC,2,FALSE)*Pesi!$D$23+Pesi!$D$24*VLOOKUP($C79,TabAlgAll,2,FALSE)</f>
        <v>68.09729999999999</v>
      </c>
      <c r="N79" s="155">
        <f>IF(ISNA(MATCH($B79,Pesi!$B$31:$B$34,0)),VLOOKUP(Pesi!$B$32,TabAlgCen,13,FALSE)-((VLOOKUP(Pesi!$B$32,TabAlgCen,12,FALSE)-$M79)/(VLOOKUP(Pesi!$B$32,TabAlgCen,12,FALSE)-Pesi!$F$42))*VLOOKUP(Pesi!$B$32,TabAlgCen,13,FALSE),$K79*$M79/$J79)</f>
        <v>2.9640543780408137</v>
      </c>
      <c r="O79" s="155">
        <f t="shared" si="7"/>
        <v>2.9640543780408137</v>
      </c>
      <c r="P79">
        <f t="shared" si="8"/>
        <v>40</v>
      </c>
      <c r="Q79">
        <f>VLOOKUP(B79,'C.P.'!$A$2:$B$164,2,FALSE)</f>
        <v>0</v>
      </c>
      <c r="R79" t="e">
        <f>VLOOKUP(B79,'C.P.'!$C$2:$D$164,2,FALSE)</f>
        <v>#N/A</v>
      </c>
      <c r="S79">
        <f>VLOOKUP(B79,'C.P.'!$E$2:$F$164,2,FALSE)</f>
        <v>4</v>
      </c>
      <c r="T79" t="e">
        <f>VLOOKUP(B79,'C.P.'!$G$2:$H$164,2,FALSE)</f>
        <v>#N/A</v>
      </c>
    </row>
    <row r="80" spans="1:21">
      <c r="A80">
        <f ca="1">COUNTIF('I.A. + Fasce'!B$1:'I.A. + Fasce'!B$538,B77)</f>
        <v>1</v>
      </c>
      <c r="B80" s="211" t="s">
        <v>1304</v>
      </c>
      <c r="C80" s="212" t="str">
        <f>VLOOKUP(B80,'IA FG'!$B$2:$G$600,6,FALSE)</f>
        <v>SAM</v>
      </c>
      <c r="D80" s="213">
        <v>8</v>
      </c>
      <c r="E80" s="213">
        <v>7</v>
      </c>
      <c r="F80" s="213">
        <v>7</v>
      </c>
      <c r="G80" s="213">
        <v>6</v>
      </c>
      <c r="H80" s="213">
        <v>6</v>
      </c>
      <c r="I80" s="213">
        <v>6</v>
      </c>
      <c r="J80" s="210">
        <f>$D80*Pesi!$B$16+Pesi!$B$17*$E80+$F80*Pesi!$B$18+$G80*Pesi!$B$19+Pesi!$B$20*$H80+$I80*Pesi!$B$21+Pesi!$B$22*VLOOKUP($C80,TabAlgSqu,2,FALSE)+VLOOKUP($C80,TabAlgFC,2,FALSE)*Pesi!$B$23+Pesi!$B$24*VLOOKUP($C80,TabAlgAll,2,FALSE)</f>
        <v>70.726500000000001</v>
      </c>
      <c r="K80" s="155">
        <f>IF(ISNA(MATCH($B80,Pesi!$B$31:$B$34,0)),VLOOKUP(Pesi!$B$32,TabAlgCen,10,FALSE)-((VLOOKUP(Pesi!$B$32,TabAlgCen,9,FALSE)-$J80)/(VLOOKUP(Pesi!$B$32,TabAlgCen,9,FALSE)-Pesi!$D$42))*VLOOKUP(Pesi!$B$32,TabAlgCen,10,FALSE),Pesi!$F$32*Pesi!$C$28)</f>
        <v>1.9930829641930927</v>
      </c>
      <c r="L80" s="155">
        <f t="shared" si="6"/>
        <v>1.9930829641930927</v>
      </c>
      <c r="M80" s="154">
        <f>$D80*Pesi!$D$16+Pesi!$D$17*$E80+$F80*Pesi!$D$18+$G80*Pesi!$D$19+Pesi!$D$20*$H80+$I80*Pesi!$D$21+Pesi!$D$22*VLOOKUP($C80,TabAlgSqu,2,FALSE)+VLOOKUP($C80,TabAlgFC,2,FALSE)*Pesi!$D$23+Pesi!$D$24*VLOOKUP($C80,TabAlgAll,2,FALSE)</f>
        <v>67.976500000000001</v>
      </c>
      <c r="N80" s="155">
        <f>IF(ISNA(MATCH($B80,Pesi!$B$31:$B$34,0)),VLOOKUP(Pesi!$B$32,TabAlgCen,13,FALSE)-((VLOOKUP(Pesi!$B$32,TabAlgCen,12,FALSE)-$M80)/(VLOOKUP(Pesi!$B$32,TabAlgCen,12,FALSE)-Pesi!$F$42))*VLOOKUP(Pesi!$B$32,TabAlgCen,13,FALSE),$K80*$M80/$J80)</f>
        <v>2.6377463776149455</v>
      </c>
      <c r="O80" s="155">
        <f t="shared" si="7"/>
        <v>2.6377463776149455</v>
      </c>
      <c r="P80">
        <f t="shared" si="8"/>
        <v>40</v>
      </c>
      <c r="Q80" t="e">
        <f>VLOOKUP(B80,'C.P.'!$A$2:$B$164,2,FALSE)</f>
        <v>#N/A</v>
      </c>
      <c r="R80" t="e">
        <f>VLOOKUP(B80,'C.P.'!$C$2:$D$164,2,FALSE)</f>
        <v>#N/A</v>
      </c>
      <c r="S80" t="e">
        <f>VLOOKUP(B80,'C.P.'!$E$2:$F$164,2,FALSE)</f>
        <v>#N/A</v>
      </c>
      <c r="T80" t="e">
        <f>VLOOKUP(B80,'C.P.'!$G$2:$H$164,2,FALSE)</f>
        <v>#N/A</v>
      </c>
    </row>
    <row r="81" spans="1:21">
      <c r="A81">
        <f ca="1">COUNTIF('I.A. + Fasce'!B$1:'I.A. + Fasce'!B$538,B79)</f>
        <v>1</v>
      </c>
      <c r="B81" s="211" t="s">
        <v>447</v>
      </c>
      <c r="C81" s="212" t="str">
        <f>VLOOKUP(B81,'IA FG'!$B$2:$G$600,6,FALSE)</f>
        <v>SAS</v>
      </c>
      <c r="D81" s="213">
        <v>7</v>
      </c>
      <c r="E81" s="213">
        <v>7</v>
      </c>
      <c r="F81" s="213">
        <v>7</v>
      </c>
      <c r="G81" s="213">
        <v>6</v>
      </c>
      <c r="H81" s="213">
        <v>7</v>
      </c>
      <c r="I81" s="213">
        <v>7</v>
      </c>
      <c r="J81" s="210">
        <f>$D81*Pesi!$B$16+Pesi!$B$17*$E81+$F81*Pesi!$B$18+$G81*Pesi!$B$19+Pesi!$B$20*$H81+$I81*Pesi!$B$21+Pesi!$B$22*VLOOKUP($C81,TabAlgSqu,2,FALSE)+VLOOKUP($C81,TabAlgFC,2,FALSE)*Pesi!$B$23+Pesi!$B$24*VLOOKUP($C81,TabAlgAll,2,FALSE)</f>
        <v>70.516800000000003</v>
      </c>
      <c r="K81" s="155">
        <f>IF(ISNA(MATCH($B81,Pesi!$B$31:$B$34,0)),VLOOKUP(Pesi!$B$32,TabAlgCen,10,FALSE)-((VLOOKUP(Pesi!$B$32,TabAlgCen,9,FALSE)-$J81)/(VLOOKUP(Pesi!$B$32,TabAlgCen,9,FALSE)-Pesi!$D$42))*VLOOKUP(Pesi!$B$32,TabAlgCen,10,FALSE),Pesi!$F$32*Pesi!$C$28)</f>
        <v>1.4177911574604281</v>
      </c>
      <c r="L81" s="155">
        <f t="shared" si="6"/>
        <v>1.4177911574604281</v>
      </c>
      <c r="M81" s="154">
        <f>$D81*Pesi!$D$16+Pesi!$D$17*$E81+$F81*Pesi!$D$18+$G81*Pesi!$D$19+Pesi!$D$20*$H81+$I81*Pesi!$D$21+Pesi!$D$22*VLOOKUP($C81,TabAlgSqu,2,FALSE)+VLOOKUP($C81,TabAlgFC,2,FALSE)*Pesi!$D$23+Pesi!$D$24*VLOOKUP($C81,TabAlgAll,2,FALSE)</f>
        <v>67.766800000000003</v>
      </c>
      <c r="N81" s="155">
        <f>IF(ISNA(MATCH($B81,Pesi!$B$31:$B$34,0)),VLOOKUP(Pesi!$B$32,TabAlgCen,13,FALSE)-((VLOOKUP(Pesi!$B$32,TabAlgCen,12,FALSE)-$M81)/(VLOOKUP(Pesi!$B$32,TabAlgCen,12,FALSE)-Pesi!$F$42))*VLOOKUP(Pesi!$B$32,TabAlgCen,13,FALSE),$K81*$M81/$J81)</f>
        <v>2.0712994596570837</v>
      </c>
      <c r="O81" s="155">
        <f t="shared" si="7"/>
        <v>2.0712994596570837</v>
      </c>
      <c r="P81">
        <f t="shared" si="8"/>
        <v>41</v>
      </c>
      <c r="Q81" t="e">
        <f>VLOOKUP(B81,'C.P.'!$A$2:$B$164,2,FALSE)</f>
        <v>#N/A</v>
      </c>
      <c r="R81" t="e">
        <f>VLOOKUP(B81,'C.P.'!$C$2:$D$164,2,FALSE)</f>
        <v>#N/A</v>
      </c>
      <c r="S81" t="e">
        <f>VLOOKUP(B81,'C.P.'!$E$2:$F$164,2,FALSE)</f>
        <v>#N/A</v>
      </c>
      <c r="T81" t="e">
        <f>VLOOKUP(B81,'C.P.'!$G$2:$H$164,2,FALSE)</f>
        <v>#N/A</v>
      </c>
      <c r="U81" s="420"/>
    </row>
    <row r="82" spans="1:21">
      <c r="A82">
        <f ca="1">COUNTIF('I.A. + Fasce'!B$1:'I.A. + Fasce'!B$538,B79)</f>
        <v>1</v>
      </c>
      <c r="B82" s="211" t="s">
        <v>608</v>
      </c>
      <c r="C82" s="212" t="str">
        <f>VLOOKUP(B82,'IA FG'!$B$2:$G$600,6,FALSE)</f>
        <v>JUV</v>
      </c>
      <c r="D82" s="213">
        <v>9</v>
      </c>
      <c r="E82" s="213">
        <v>5</v>
      </c>
      <c r="F82" s="213">
        <v>7</v>
      </c>
      <c r="G82" s="213">
        <v>5</v>
      </c>
      <c r="H82" s="213">
        <v>3</v>
      </c>
      <c r="I82" s="213">
        <v>5</v>
      </c>
      <c r="J82" s="210">
        <f>$D82*Pesi!$B$16+Pesi!$B$17*$E82+$F82*Pesi!$B$18+$G82*Pesi!$B$19+Pesi!$B$20*$H82+$I82*Pesi!$B$21+Pesi!$B$22*VLOOKUP($C82,TabAlgSqu,2,FALSE)+VLOOKUP($C82,TabAlgFC,2,FALSE)*Pesi!$B$23+Pesi!$B$24*VLOOKUP($C82,TabAlgAll,2,FALSE)</f>
        <v>69.883099999999999</v>
      </c>
      <c r="K82" s="155">
        <f>IF(ISNA(MATCH($B82,Pesi!$B$31:$B$34,0)),VLOOKUP(Pesi!$B$32,TabAlgCen,10,FALSE)-((VLOOKUP(Pesi!$B$32,TabAlgCen,9,FALSE)-$J82)/(VLOOKUP(Pesi!$B$32,TabAlgCen,9,FALSE)-Pesi!$D$42))*VLOOKUP(Pesi!$B$32,TabAlgCen,10,FALSE),Pesi!$F$32*Pesi!$C$28)</f>
        <v>-0.32070392087291566</v>
      </c>
      <c r="L82" s="155">
        <f t="shared" si="6"/>
        <v>1</v>
      </c>
      <c r="M82" s="154">
        <f>$D82*Pesi!$D$16+Pesi!$D$17*$E82+$F82*Pesi!$D$18+$G82*Pesi!$D$19+Pesi!$D$20*$H82+$I82*Pesi!$D$21+Pesi!$D$22*VLOOKUP($C82,TabAlgSqu,2,FALSE)+VLOOKUP($C82,TabAlgFC,2,FALSE)*Pesi!$D$23+Pesi!$D$24*VLOOKUP($C82,TabAlgAll,2,FALSE)</f>
        <v>67.183099999999996</v>
      </c>
      <c r="N82" s="155">
        <f>IF(ISNA(MATCH($B82,Pesi!$B$31:$B$34,0)),VLOOKUP(Pesi!$B$32,TabAlgCen,13,FALSE)-((VLOOKUP(Pesi!$B$32,TabAlgCen,12,FALSE)-$M82)/(VLOOKUP(Pesi!$B$32,TabAlgCen,12,FALSE)-Pesi!$F$42))*VLOOKUP(Pesi!$B$32,TabAlgCen,13,FALSE),$K82*$M82/$J82)</f>
        <v>0.49459432846009577</v>
      </c>
      <c r="O82" s="155">
        <f t="shared" si="7"/>
        <v>1</v>
      </c>
      <c r="P82">
        <f t="shared" si="8"/>
        <v>34</v>
      </c>
      <c r="Q82" t="e">
        <f>VLOOKUP(B82,'C.P.'!$A$2:$B$164,2,FALSE)</f>
        <v>#N/A</v>
      </c>
      <c r="R82" t="e">
        <f>VLOOKUP(B82,'C.P.'!$C$2:$D$164,2,FALSE)</f>
        <v>#N/A</v>
      </c>
      <c r="S82" t="e">
        <f>VLOOKUP(B82,'C.P.'!$E$2:$F$164,2,FALSE)</f>
        <v>#N/A</v>
      </c>
      <c r="T82" t="e">
        <f>VLOOKUP(B82,'C.P.'!$G$2:$H$164,2,FALSE)</f>
        <v>#N/A</v>
      </c>
    </row>
    <row r="83" spans="1:21">
      <c r="A83">
        <f ca="1">COUNTIF('I.A. + Fasce'!B$1:'I.A. + Fasce'!B$538,B80)</f>
        <v>1</v>
      </c>
      <c r="B83" s="211" t="s">
        <v>1739</v>
      </c>
      <c r="C83" s="212" t="str">
        <f>VLOOKUP(B83,'IA FG'!$B$2:$G$600,6,FALSE)</f>
        <v>VER</v>
      </c>
      <c r="D83" s="213">
        <v>7</v>
      </c>
      <c r="E83" s="213">
        <v>8</v>
      </c>
      <c r="F83" s="213">
        <v>7</v>
      </c>
      <c r="G83" s="213">
        <v>7</v>
      </c>
      <c r="H83" s="213">
        <v>6</v>
      </c>
      <c r="I83" s="213">
        <v>7</v>
      </c>
      <c r="J83" s="210">
        <f>$D83*Pesi!$B$16+Pesi!$B$17*$E83+$F83*Pesi!$B$18+$G83*Pesi!$B$19+Pesi!$B$20*$H83+$I83*Pesi!$B$21+Pesi!$B$22*VLOOKUP($C83,TabAlgSqu,2,FALSE)+VLOOKUP($C83,TabAlgFC,2,FALSE)*Pesi!$B$23+Pesi!$B$24*VLOOKUP($C83,TabAlgAll,2,FALSE)</f>
        <v>69.790000000000006</v>
      </c>
      <c r="K83" s="155">
        <f>IF(ISNA(MATCH($B83,Pesi!$B$31:$B$34,0)),VLOOKUP(Pesi!$B$32,TabAlgCen,10,FALSE)-((VLOOKUP(Pesi!$B$32,TabAlgCen,9,FALSE)-$J83)/(VLOOKUP(Pesi!$B$32,TabAlgCen,9,FALSE)-Pesi!$D$42))*VLOOKUP(Pesi!$B$32,TabAlgCen,10,FALSE),Pesi!$F$32*Pesi!$C$28)</f>
        <v>-0.57611482791540425</v>
      </c>
      <c r="L83" s="155">
        <f t="shared" si="6"/>
        <v>1</v>
      </c>
      <c r="M83" s="154">
        <f>$D83*Pesi!$D$16+Pesi!$D$17*$E83+$F83*Pesi!$D$18+$G83*Pesi!$D$19+Pesi!$D$20*$H83+$I83*Pesi!$D$21+Pesi!$D$22*VLOOKUP($C83,TabAlgSqu,2,FALSE)+VLOOKUP($C83,TabAlgFC,2,FALSE)*Pesi!$D$23+Pesi!$D$24*VLOOKUP($C83,TabAlgAll,2,FALSE)</f>
        <v>66.989999999999995</v>
      </c>
      <c r="N83" s="155">
        <f>IF(ISNA(MATCH($B83,Pesi!$B$31:$B$34,0)),VLOOKUP(Pesi!$B$32,TabAlgCen,13,FALSE)-((VLOOKUP(Pesi!$B$32,TabAlgCen,12,FALSE)-$M83)/(VLOOKUP(Pesi!$B$32,TabAlgCen,12,FALSE)-Pesi!$F$42))*VLOOKUP(Pesi!$B$32,TabAlgCen,13,FALSE),$K83*$M83/$J83)</f>
        <v>-2.7012251690905487E-2</v>
      </c>
      <c r="O83" s="155">
        <f t="shared" si="7"/>
        <v>1</v>
      </c>
      <c r="P83">
        <f t="shared" si="8"/>
        <v>42</v>
      </c>
      <c r="Q83">
        <f>VLOOKUP(B83,'C.P.'!$A$2:$B$164,2,FALSE)</f>
        <v>1</v>
      </c>
      <c r="R83">
        <f>VLOOKUP(B83,'C.P.'!$C$2:$D$164,2,FALSE)</f>
        <v>3</v>
      </c>
      <c r="S83">
        <f>VLOOKUP(B83,'C.P.'!$E$2:$F$164,2,FALSE)</f>
        <v>1</v>
      </c>
      <c r="T83">
        <f>VLOOKUP(B83,'C.P.'!$G$2:$H$164,2,FALSE)</f>
        <v>1</v>
      </c>
    </row>
    <row r="84" spans="1:21">
      <c r="A84">
        <f ca="1">COUNTIF('I.A. + Fasce'!B$1:'I.A. + Fasce'!B$538,#REF!)</f>
        <v>0</v>
      </c>
      <c r="B84" s="211" t="s">
        <v>1300</v>
      </c>
      <c r="C84" s="212" t="str">
        <f>VLOOKUP(B84,'IA FG'!$B$2:$G$600,6,FALSE)</f>
        <v>GEN</v>
      </c>
      <c r="D84" s="213">
        <v>7</v>
      </c>
      <c r="E84" s="213">
        <v>8</v>
      </c>
      <c r="F84" s="213">
        <v>7</v>
      </c>
      <c r="G84" s="213">
        <v>6</v>
      </c>
      <c r="H84" s="213">
        <v>5</v>
      </c>
      <c r="I84" s="213">
        <v>7</v>
      </c>
      <c r="J84" s="210">
        <f>$D84*Pesi!$B$16+Pesi!$B$17*$E84+$F84*Pesi!$B$18+$G84*Pesi!$B$19+Pesi!$B$20*$H84+$I84*Pesi!$B$21+Pesi!$B$22*VLOOKUP($C84,TabAlgSqu,2,FALSE)+VLOOKUP($C84,TabAlgFC,2,FALSE)*Pesi!$B$23+Pesi!$B$24*VLOOKUP($C84,TabAlgAll,2,FALSE)</f>
        <v>69.604200000000006</v>
      </c>
      <c r="K84" s="155">
        <f>IF(ISNA(MATCH($B84,Pesi!$B$31:$B$34,0)),VLOOKUP(Pesi!$B$32,TabAlgCen,10,FALSE)-((VLOOKUP(Pesi!$B$32,TabAlgCen,9,FALSE)-$J84)/(VLOOKUP(Pesi!$B$32,TabAlgCen,9,FALSE)-Pesi!$D$42))*VLOOKUP(Pesi!$B$32,TabAlgCen,10,FALSE),Pesi!$F$32*Pesi!$C$28)</f>
        <v>-1.0858392804234285</v>
      </c>
      <c r="L84" s="155">
        <f t="shared" si="6"/>
        <v>1</v>
      </c>
      <c r="M84" s="154">
        <f>$D84*Pesi!$D$16+Pesi!$D$17*$E84+$F84*Pesi!$D$18+$G84*Pesi!$D$19+Pesi!$D$20*$H84+$I84*Pesi!$D$21+Pesi!$D$22*VLOOKUP($C84,TabAlgSqu,2,FALSE)+VLOOKUP($C84,TabAlgFC,2,FALSE)*Pesi!$D$23+Pesi!$D$24*VLOOKUP($C84,TabAlgAll,2,FALSE)</f>
        <v>66.854200000000006</v>
      </c>
      <c r="N84" s="155">
        <f>IF(ISNA(MATCH($B84,Pesi!$B$31:$B$34,0)),VLOOKUP(Pesi!$B$32,TabAlgCen,13,FALSE)-((VLOOKUP(Pesi!$B$32,TabAlgCen,12,FALSE)-$M84)/(VLOOKUP(Pesi!$B$32,TabAlgCen,12,FALSE)-Pesi!$F$42))*VLOOKUP(Pesi!$B$32,TabAlgCen,13,FALSE),$K84*$M84/$J84)</f>
        <v>-0.39383862965308936</v>
      </c>
      <c r="O84" s="155">
        <f t="shared" si="7"/>
        <v>1</v>
      </c>
      <c r="P84">
        <f t="shared" si="8"/>
        <v>40</v>
      </c>
      <c r="Q84" t="e">
        <f>VLOOKUP(B84,'C.P.'!$A$2:$B$164,2,FALSE)</f>
        <v>#N/A</v>
      </c>
      <c r="R84">
        <f>VLOOKUP(B84,'C.P.'!$C$2:$D$164,2,FALSE)</f>
        <v>2</v>
      </c>
      <c r="S84">
        <f>VLOOKUP(B84,'C.P.'!$E$2:$F$164,2,FALSE)</f>
        <v>1</v>
      </c>
      <c r="T84">
        <f>VLOOKUP(B84,'C.P.'!$G$2:$H$164,2,FALSE)</f>
        <v>1</v>
      </c>
    </row>
    <row r="85" spans="1:21">
      <c r="A85">
        <f ca="1">COUNTIF('I.A. + Fasce'!B$1:'I.A. + Fasce'!B$538,B83)</f>
        <v>1</v>
      </c>
      <c r="B85" s="211" t="s">
        <v>605</v>
      </c>
      <c r="C85" s="212" t="str">
        <f>VLOOKUP(B85,'IA FG'!$B$2:$G$600,6,FALSE)</f>
        <v>CRO</v>
      </c>
      <c r="D85" s="213">
        <v>8</v>
      </c>
      <c r="E85" s="213">
        <v>7</v>
      </c>
      <c r="F85" s="213">
        <v>7</v>
      </c>
      <c r="G85" s="213">
        <v>7</v>
      </c>
      <c r="H85" s="213">
        <v>6</v>
      </c>
      <c r="I85" s="213">
        <v>7</v>
      </c>
      <c r="J85" s="210">
        <f>$D85*Pesi!$B$16+Pesi!$B$17*$E85+$F85*Pesi!$B$18+$G85*Pesi!$B$19+Pesi!$B$20*$H85+$I85*Pesi!$B$21+Pesi!$B$22*VLOOKUP($C85,TabAlgSqu,2,FALSE)+VLOOKUP($C85,TabAlgFC,2,FALSE)*Pesi!$B$23+Pesi!$B$24*VLOOKUP($C85,TabAlgAll,2,FALSE)</f>
        <v>69.510800000000003</v>
      </c>
      <c r="K85" s="155">
        <f>IF(ISNA(MATCH($B85,Pesi!$B$31:$B$34,0)),VLOOKUP(Pesi!$B$32,TabAlgCen,10,FALSE)-((VLOOKUP(Pesi!$B$32,TabAlgCen,9,FALSE)-$J85)/(VLOOKUP(Pesi!$B$32,TabAlgCen,9,FALSE)-Pesi!$D$42))*VLOOKUP(Pesi!$B$32,TabAlgCen,10,FALSE),Pesi!$F$32*Pesi!$C$28)</f>
        <v>-1.3420732086486566</v>
      </c>
      <c r="L85" s="155">
        <f t="shared" si="6"/>
        <v>1</v>
      </c>
      <c r="M85" s="154">
        <f>$D85*Pesi!$D$16+Pesi!$D$17*$E85+$F85*Pesi!$D$18+$G85*Pesi!$D$19+Pesi!$D$20*$H85+$I85*Pesi!$D$21+Pesi!$D$22*VLOOKUP($C85,TabAlgSqu,2,FALSE)+VLOOKUP($C85,TabAlgFC,2,FALSE)*Pesi!$D$23+Pesi!$D$24*VLOOKUP($C85,TabAlgAll,2,FALSE)</f>
        <v>66.710800000000006</v>
      </c>
      <c r="N85" s="155">
        <f>IF(ISNA(MATCH($B85,Pesi!$B$31:$B$34,0)),VLOOKUP(Pesi!$B$32,TabAlgCen,13,FALSE)-((VLOOKUP(Pesi!$B$32,TabAlgCen,12,FALSE)-$M85)/(VLOOKUP(Pesi!$B$32,TabAlgCen,12,FALSE)-Pesi!$F$42))*VLOOKUP(Pesi!$B$32,TabAlgCen,13,FALSE),$K85*$M85/$J85)</f>
        <v>-0.78119431890038982</v>
      </c>
      <c r="O85" s="155">
        <f t="shared" si="7"/>
        <v>1</v>
      </c>
      <c r="P85">
        <f t="shared" si="8"/>
        <v>42</v>
      </c>
      <c r="Q85">
        <f>VLOOKUP(B85,'C.P.'!$A$2:$B$164,2,FALSE)</f>
        <v>0</v>
      </c>
      <c r="R85">
        <f>VLOOKUP(B85,'C.P.'!$C$2:$D$164,2,FALSE)</f>
        <v>3</v>
      </c>
      <c r="S85">
        <f>VLOOKUP(B85,'C.P.'!$E$2:$F$164,2,FALSE)</f>
        <v>3</v>
      </c>
      <c r="T85">
        <f>VLOOKUP(B85,'C.P.'!$G$2:$H$164,2,FALSE)</f>
        <v>2</v>
      </c>
    </row>
    <row r="86" spans="1:21" ht="12.75" customHeight="1">
      <c r="A86">
        <f ca="1">COUNTIF('I.A. + Fasce'!B$1:'I.A. + Fasce'!B$538,B83)</f>
        <v>1</v>
      </c>
      <c r="B86" s="443" t="s">
        <v>923</v>
      </c>
      <c r="C86" s="212" t="str">
        <f>VLOOKUP(B86,'IA FG'!$B$2:$G$600,6,FALSE)</f>
        <v>CRO</v>
      </c>
      <c r="D86" s="213">
        <v>8</v>
      </c>
      <c r="E86" s="213">
        <v>8</v>
      </c>
      <c r="F86" s="213">
        <v>7</v>
      </c>
      <c r="G86" s="213">
        <v>6</v>
      </c>
      <c r="H86" s="213">
        <v>6</v>
      </c>
      <c r="I86" s="213">
        <v>7</v>
      </c>
      <c r="J86" s="210">
        <f>$D86*Pesi!$B$16+Pesi!$B$17*$E86+$F86*Pesi!$B$18+$G86*Pesi!$B$19+Pesi!$B$20*$H86+$I86*Pesi!$B$21+Pesi!$B$22*VLOOKUP($C86,TabAlgSqu,2,FALSE)+VLOOKUP($C86,TabAlgFC,2,FALSE)*Pesi!$B$23+Pesi!$B$24*VLOOKUP($C86,TabAlgAll,2,FALSE)</f>
        <v>69.235799999999998</v>
      </c>
      <c r="K86" s="155">
        <f>IF(ISNA(MATCH($B86,Pesi!$B$31:$B$34,0)),VLOOKUP(Pesi!$B$32,TabAlgCen,10,FALSE)-((VLOOKUP(Pesi!$B$32,TabAlgCen,9,FALSE)-$J86)/(VLOOKUP(Pesi!$B$32,TabAlgCen,9,FALSE)-Pesi!$D$42))*VLOOKUP(Pesi!$B$32,TabAlgCen,10,FALSE),Pesi!$F$32*Pesi!$C$28)</f>
        <v>-2.096509292823626</v>
      </c>
      <c r="L86" s="155">
        <f t="shared" si="6"/>
        <v>1</v>
      </c>
      <c r="M86" s="154">
        <f>$D86*Pesi!$D$16+Pesi!$D$17*$E86+$F86*Pesi!$D$18+$G86*Pesi!$D$19+Pesi!$D$20*$H86+$I86*Pesi!$D$21+Pesi!$D$22*VLOOKUP($C86,TabAlgSqu,2,FALSE)+VLOOKUP($C86,TabAlgFC,2,FALSE)*Pesi!$D$23+Pesi!$D$24*VLOOKUP($C86,TabAlgAll,2,FALSE)</f>
        <v>66.485799999999998</v>
      </c>
      <c r="N86" s="155">
        <f>IF(ISNA(MATCH($B86,Pesi!$B$31:$B$34,0)),VLOOKUP(Pesi!$B$32,TabAlgCen,13,FALSE)-((VLOOKUP(Pesi!$B$32,TabAlgCen,12,FALSE)-$M86)/(VLOOKUP(Pesi!$B$32,TabAlgCen,12,FALSE)-Pesi!$F$42))*VLOOKUP(Pesi!$B$32,TabAlgCen,13,FALSE),$K86*$M86/$J86)</f>
        <v>-1.3889699819453227</v>
      </c>
      <c r="O86" s="155">
        <f t="shared" si="7"/>
        <v>1</v>
      </c>
      <c r="P86">
        <f t="shared" si="8"/>
        <v>42</v>
      </c>
      <c r="Q86" t="e">
        <f>VLOOKUP(B86,'C.P.'!$A$2:$B$164,2,FALSE)</f>
        <v>#N/A</v>
      </c>
      <c r="R86" t="e">
        <f>VLOOKUP(B86,'C.P.'!$C$2:$D$164,2,FALSE)</f>
        <v>#N/A</v>
      </c>
      <c r="S86" t="e">
        <f>VLOOKUP(B86,'C.P.'!$E$2:$F$164,2,FALSE)</f>
        <v>#N/A</v>
      </c>
      <c r="T86" t="e">
        <f>VLOOKUP(B86,'C.P.'!$G$2:$H$164,2,FALSE)</f>
        <v>#N/A</v>
      </c>
    </row>
    <row r="87" spans="1:21">
      <c r="A87">
        <f ca="1">COUNTIF('I.A. + Fasce'!B$1:'I.A. + Fasce'!B$538,B85)</f>
        <v>1</v>
      </c>
      <c r="B87" s="211" t="s">
        <v>323</v>
      </c>
      <c r="C87" s="212" t="str">
        <f>VLOOKUP(B87,'IA FG'!$B$2:$G$600,6,FALSE)</f>
        <v>CRO</v>
      </c>
      <c r="D87" s="213">
        <v>8</v>
      </c>
      <c r="E87" s="213">
        <v>8</v>
      </c>
      <c r="F87" s="213">
        <v>6</v>
      </c>
      <c r="G87" s="213">
        <v>7</v>
      </c>
      <c r="H87" s="213">
        <v>6</v>
      </c>
      <c r="I87" s="213">
        <v>7</v>
      </c>
      <c r="J87" s="210">
        <f>$D87*Pesi!$B$16+Pesi!$B$17*$E87+$F87*Pesi!$B$18+$G87*Pesi!$B$19+Pesi!$B$20*$H87+$I87*Pesi!$B$21+Pesi!$B$22*VLOOKUP($C87,TabAlgSqu,2,FALSE)+VLOOKUP($C87,TabAlgFC,2,FALSE)*Pesi!$B$23+Pesi!$B$24*VLOOKUP($C87,TabAlgAll,2,FALSE)</f>
        <v>69.1233</v>
      </c>
      <c r="K87" s="155">
        <f>IF(ISNA(MATCH($B87,Pesi!$B$31:$B$34,0)),VLOOKUP(Pesi!$B$32,TabAlgCen,10,FALSE)-((VLOOKUP(Pesi!$B$32,TabAlgCen,9,FALSE)-$J87)/(VLOOKUP(Pesi!$B$32,TabAlgCen,9,FALSE)-Pesi!$D$42))*VLOOKUP(Pesi!$B$32,TabAlgCen,10,FALSE),Pesi!$F$32*Pesi!$C$28)</f>
        <v>-2.4051422363497323</v>
      </c>
      <c r="L87" s="155">
        <f t="shared" si="6"/>
        <v>1</v>
      </c>
      <c r="M87" s="154">
        <f>$D87*Pesi!$D$16+Pesi!$D$17*$E87+$F87*Pesi!$D$18+$G87*Pesi!$D$19+Pesi!$D$20*$H87+$I87*Pesi!$D$21+Pesi!$D$22*VLOOKUP($C87,TabAlgSqu,2,FALSE)+VLOOKUP($C87,TabAlgFC,2,FALSE)*Pesi!$D$23+Pesi!$D$24*VLOOKUP($C87,TabAlgAll,2,FALSE)</f>
        <v>66.673299999999998</v>
      </c>
      <c r="N87" s="155">
        <f>IF(ISNA(MATCH($B87,Pesi!$B$31:$B$34,0)),VLOOKUP(Pesi!$B$32,TabAlgCen,13,FALSE)-((VLOOKUP(Pesi!$B$32,TabAlgCen,12,FALSE)-$M87)/(VLOOKUP(Pesi!$B$32,TabAlgCen,12,FALSE)-Pesi!$F$42))*VLOOKUP(Pesi!$B$32,TabAlgCen,13,FALSE),$K87*$M87/$J87)</f>
        <v>-0.88249026274121434</v>
      </c>
      <c r="O87" s="155">
        <f t="shared" si="7"/>
        <v>1</v>
      </c>
      <c r="P87">
        <f t="shared" si="8"/>
        <v>42</v>
      </c>
      <c r="Q87" t="e">
        <f>VLOOKUP(B87,'C.P.'!$A$2:$B$164,2,FALSE)</f>
        <v>#N/A</v>
      </c>
      <c r="R87" t="e">
        <f>VLOOKUP(B87,'C.P.'!$C$2:$D$164,2,FALSE)</f>
        <v>#N/A</v>
      </c>
      <c r="S87">
        <f>VLOOKUP(B87,'C.P.'!$E$2:$F$164,2,FALSE)</f>
        <v>1</v>
      </c>
      <c r="T87">
        <f>VLOOKUP(B87,'C.P.'!$G$2:$H$164,2,FALSE)</f>
        <v>1</v>
      </c>
    </row>
    <row r="88" spans="1:21">
      <c r="A88">
        <f ca="1">COUNTIF('I.A. + Fasce'!B$1:'I.A. + Fasce'!B$538,B85)</f>
        <v>1</v>
      </c>
      <c r="B88" s="211" t="s">
        <v>519</v>
      </c>
      <c r="C88" s="212" t="str">
        <f>VLOOKUP(B88,'IA FG'!$B$2:$G$600,6,FALSE)</f>
        <v>BOL</v>
      </c>
      <c r="D88" s="213">
        <v>8</v>
      </c>
      <c r="E88" s="213">
        <v>8</v>
      </c>
      <c r="F88" s="213">
        <v>7</v>
      </c>
      <c r="G88" s="213">
        <v>5</v>
      </c>
      <c r="H88" s="213">
        <v>6</v>
      </c>
      <c r="I88" s="213">
        <v>7</v>
      </c>
      <c r="J88" s="210">
        <f>$D88*Pesi!$B$16+Pesi!$B$17*$E88+$F88*Pesi!$B$18+$G88*Pesi!$B$19+Pesi!$B$20*$H88+$I88*Pesi!$B$21+Pesi!$B$22*VLOOKUP($C88,TabAlgSqu,2,FALSE)+VLOOKUP($C88,TabAlgFC,2,FALSE)*Pesi!$B$23+Pesi!$B$24*VLOOKUP($C88,TabAlgAll,2,FALSE)</f>
        <v>69.010300000000015</v>
      </c>
      <c r="K88" s="155">
        <f>IF(ISNA(MATCH($B88,Pesi!$B$31:$B$34,0)),VLOOKUP(Pesi!$B$32,TabAlgCen,10,FALSE)-((VLOOKUP(Pesi!$B$32,TabAlgCen,9,FALSE)-$J88)/(VLOOKUP(Pesi!$B$32,TabAlgCen,9,FALSE)-Pesi!$D$42))*VLOOKUP(Pesi!$B$32,TabAlgCen,10,FALSE),Pesi!$F$32*Pesi!$C$28)</f>
        <v>-2.7151468818470335</v>
      </c>
      <c r="L88" s="155">
        <f t="shared" si="6"/>
        <v>1</v>
      </c>
      <c r="M88" s="154">
        <f>$D88*Pesi!$D$16+Pesi!$D$17*$E88+$F88*Pesi!$D$18+$G88*Pesi!$D$19+Pesi!$D$20*$H88+$I88*Pesi!$D$21+Pesi!$D$22*VLOOKUP($C88,TabAlgSqu,2,FALSE)+VLOOKUP($C88,TabAlgFC,2,FALSE)*Pesi!$D$23+Pesi!$D$24*VLOOKUP($C88,TabAlgAll,2,FALSE)</f>
        <v>66.310300000000012</v>
      </c>
      <c r="N88" s="155">
        <f>IF(ISNA(MATCH($B88,Pesi!$B$31:$B$34,0)),VLOOKUP(Pesi!$B$32,TabAlgCen,13,FALSE)-((VLOOKUP(Pesi!$B$32,TabAlgCen,12,FALSE)-$M88)/(VLOOKUP(Pesi!$B$32,TabAlgCen,12,FALSE)-Pesi!$F$42))*VLOOKUP(Pesi!$B$32,TabAlgCen,13,FALSE),$K88*$M88/$J88)</f>
        <v>-1.8630349991203303</v>
      </c>
      <c r="O88" s="155">
        <f t="shared" si="7"/>
        <v>1</v>
      </c>
      <c r="P88">
        <f t="shared" si="8"/>
        <v>41</v>
      </c>
      <c r="Q88">
        <f>VLOOKUP(B88,'C.P.'!$A$2:$B$164,2,FALSE)</f>
        <v>1</v>
      </c>
      <c r="R88">
        <f>VLOOKUP(B88,'C.P.'!$C$2:$D$164,2,FALSE)</f>
        <v>3</v>
      </c>
      <c r="S88">
        <f>VLOOKUP(B88,'C.P.'!$E$2:$F$164,2,FALSE)</f>
        <v>2</v>
      </c>
      <c r="T88">
        <f>VLOOKUP(B88,'C.P.'!$G$2:$H$164,2,FALSE)</f>
        <v>2</v>
      </c>
    </row>
    <row r="89" spans="1:21" ht="12.75" customHeight="1">
      <c r="A89">
        <f ca="1">COUNTIF('I.A. + Fasce'!B$1:'I.A. + Fasce'!B$538,B87)</f>
        <v>1</v>
      </c>
      <c r="B89" s="211" t="s">
        <v>351</v>
      </c>
      <c r="C89" s="212" t="str">
        <f>VLOOKUP(B89,'IA FG'!$B$2:$G$600,6,FALSE)</f>
        <v>SAM</v>
      </c>
      <c r="D89" s="213">
        <v>8</v>
      </c>
      <c r="E89" s="213">
        <v>5</v>
      </c>
      <c r="F89" s="213">
        <v>6</v>
      </c>
      <c r="G89" s="213">
        <v>7</v>
      </c>
      <c r="H89" s="213">
        <v>6</v>
      </c>
      <c r="I89" s="213">
        <v>6</v>
      </c>
      <c r="J89" s="210">
        <f>$D89*Pesi!$B$16+Pesi!$B$17*$E89+$F89*Pesi!$B$18+$G89*Pesi!$B$19+Pesi!$B$20*$H89+$I89*Pesi!$B$21+Pesi!$B$22*VLOOKUP($C89,TabAlgSqu,2,FALSE)+VLOOKUP($C89,TabAlgFC,2,FALSE)*Pesi!$B$23+Pesi!$B$24*VLOOKUP($C89,TabAlgAll,2,FALSE)</f>
        <v>68.188999999999993</v>
      </c>
      <c r="K89" s="155">
        <f>IF(ISNA(MATCH($B89,Pesi!$B$31:$B$34,0)),VLOOKUP(Pesi!$B$32,TabAlgCen,10,FALSE)-((VLOOKUP(Pesi!$B$32,TabAlgCen,9,FALSE)-$J89)/(VLOOKUP(Pesi!$B$32,TabAlgCen,9,FALSE)-Pesi!$D$42))*VLOOKUP(Pesi!$B$32,TabAlgCen,10,FALSE),Pesi!$F$32*Pesi!$C$28)</f>
        <v>-4.9683045397848673</v>
      </c>
      <c r="L89" s="155">
        <f t="shared" si="6"/>
        <v>1</v>
      </c>
      <c r="M89" s="154">
        <f>$D89*Pesi!$D$16+Pesi!$D$17*$E89+$F89*Pesi!$D$18+$G89*Pesi!$D$19+Pesi!$D$20*$H89+$I89*Pesi!$D$21+Pesi!$D$22*VLOOKUP($C89,TabAlgSqu,2,FALSE)+VLOOKUP($C89,TabAlgFC,2,FALSE)*Pesi!$D$23+Pesi!$D$24*VLOOKUP($C89,TabAlgAll,2,FALSE)</f>
        <v>65.73899999999999</v>
      </c>
      <c r="N89" s="155">
        <f>IF(ISNA(MATCH($B89,Pesi!$B$31:$B$34,0)),VLOOKUP(Pesi!$B$32,TabAlgCen,13,FALSE)-((VLOOKUP(Pesi!$B$32,TabAlgCen,12,FALSE)-$M89)/(VLOOKUP(Pesi!$B$32,TabAlgCen,12,FALSE)-Pesi!$F$42))*VLOOKUP(Pesi!$B$32,TabAlgCen,13,FALSE),$K89*$M89/$J89)</f>
        <v>-3.4062449382206523</v>
      </c>
      <c r="O89" s="155">
        <f t="shared" si="7"/>
        <v>1</v>
      </c>
      <c r="P89">
        <f t="shared" si="8"/>
        <v>38</v>
      </c>
      <c r="Q89" t="e">
        <f>VLOOKUP(B89,'C.P.'!$A$2:$B$164,2,FALSE)</f>
        <v>#N/A</v>
      </c>
      <c r="R89" t="e">
        <f>VLOOKUP(B89,'C.P.'!$C$2:$D$164,2,FALSE)</f>
        <v>#N/A</v>
      </c>
      <c r="S89" t="e">
        <f>VLOOKUP(B89,'C.P.'!$E$2:$F$164,2,FALSE)</f>
        <v>#N/A</v>
      </c>
      <c r="T89" t="e">
        <f>VLOOKUP(B89,'C.P.'!$G$2:$H$164,2,FALSE)</f>
        <v>#N/A</v>
      </c>
    </row>
    <row r="90" spans="1:21">
      <c r="A90">
        <f ca="1">COUNTIF('I.A. + Fasce'!B$1:'I.A. + Fasce'!B$538,B88)</f>
        <v>1</v>
      </c>
      <c r="B90" s="211" t="s">
        <v>603</v>
      </c>
      <c r="C90" s="212" t="str">
        <f>VLOOKUP(B90,'IA FG'!$B$2:$G$600,6,FALSE)</f>
        <v>SAS</v>
      </c>
      <c r="D90" s="213">
        <v>7</v>
      </c>
      <c r="E90" s="213">
        <v>6</v>
      </c>
      <c r="F90" s="213">
        <v>7</v>
      </c>
      <c r="G90" s="213">
        <v>7</v>
      </c>
      <c r="H90" s="213">
        <v>5</v>
      </c>
      <c r="I90" s="213">
        <v>7</v>
      </c>
      <c r="J90" s="210">
        <f>$D90*Pesi!$B$16+Pesi!$B$17*$E90+$F90*Pesi!$B$18+$G90*Pesi!$B$19+Pesi!$B$20*$H90+$I90*Pesi!$B$21+Pesi!$B$22*VLOOKUP($C90,TabAlgSqu,2,FALSE)+VLOOKUP($C90,TabAlgFC,2,FALSE)*Pesi!$B$23+Pesi!$B$24*VLOOKUP($C90,TabAlgAll,2,FALSE)</f>
        <v>68.125200000000007</v>
      </c>
      <c r="K90" s="155">
        <f>IF(ISNA(MATCH($B90,Pesi!$B$31:$B$34,0)),VLOOKUP(Pesi!$B$32,TabAlgCen,10,FALSE)-((VLOOKUP(Pesi!$B$32,TabAlgCen,9,FALSE)-$J90)/(VLOOKUP(Pesi!$B$32,TabAlgCen,9,FALSE)-Pesi!$D$42))*VLOOKUP(Pesi!$B$32,TabAlgCen,10,FALSE),Pesi!$F$32*Pesi!$C$28)</f>
        <v>-5.1433337113134172</v>
      </c>
      <c r="L90" s="155">
        <f t="shared" si="6"/>
        <v>1</v>
      </c>
      <c r="M90" s="154">
        <f>$D90*Pesi!$D$16+Pesi!$D$17*$E90+$F90*Pesi!$D$18+$G90*Pesi!$D$19+Pesi!$D$20*$H90+$I90*Pesi!$D$21+Pesi!$D$22*VLOOKUP($C90,TabAlgSqu,2,FALSE)+VLOOKUP($C90,TabAlgFC,2,FALSE)*Pesi!$D$23+Pesi!$D$24*VLOOKUP($C90,TabAlgAll,2,FALSE)</f>
        <v>65.325200000000009</v>
      </c>
      <c r="N90" s="155">
        <f>IF(ISNA(MATCH($B90,Pesi!$B$31:$B$34,0)),VLOOKUP(Pesi!$B$32,TabAlgCen,13,FALSE)-((VLOOKUP(Pesi!$B$32,TabAlgCen,12,FALSE)-$M90)/(VLOOKUP(Pesi!$B$32,TabAlgCen,12,FALSE)-Pesi!$F$42))*VLOOKUP(Pesi!$B$32,TabAlgCen,13,FALSE),$K90*$M90/$J90)</f>
        <v>-4.5240119131894403</v>
      </c>
      <c r="O90" s="155">
        <f t="shared" si="7"/>
        <v>1</v>
      </c>
      <c r="P90">
        <f t="shared" si="8"/>
        <v>39</v>
      </c>
      <c r="Q90">
        <f>VLOOKUP(B90,'C.P.'!$A$2:$B$164,2,FALSE)</f>
        <v>0</v>
      </c>
      <c r="R90" t="e">
        <f>VLOOKUP(B90,'C.P.'!$C$2:$D$164,2,FALSE)</f>
        <v>#N/A</v>
      </c>
      <c r="S90">
        <f>VLOOKUP(B90,'C.P.'!$E$2:$F$164,2,FALSE)</f>
        <v>3</v>
      </c>
      <c r="T90" t="e">
        <f>VLOOKUP(B90,'C.P.'!$G$2:$H$164,2,FALSE)</f>
        <v>#N/A</v>
      </c>
    </row>
    <row r="91" spans="1:21">
      <c r="B91" s="211" t="s">
        <v>556</v>
      </c>
      <c r="C91" s="212" t="str">
        <f>VLOOKUP(B91,'IA FG'!$B$2:$G$600,6,FALSE)</f>
        <v>SAS</v>
      </c>
      <c r="D91" s="213">
        <v>5</v>
      </c>
      <c r="E91" s="213">
        <v>7</v>
      </c>
      <c r="F91" s="213">
        <v>7</v>
      </c>
      <c r="G91" s="213">
        <v>7</v>
      </c>
      <c r="H91" s="213">
        <v>7</v>
      </c>
      <c r="I91" s="213">
        <v>6</v>
      </c>
      <c r="J91" s="210">
        <f>$D91*Pesi!$B$16+Pesi!$B$17*$E91+$F91*Pesi!$B$18+$G91*Pesi!$B$19+Pesi!$B$20*$H91+$I91*Pesi!$B$21+Pesi!$B$22*VLOOKUP($C91,TabAlgSqu,2,FALSE)+VLOOKUP($C91,TabAlgFC,2,FALSE)*Pesi!$B$23+Pesi!$B$24*VLOOKUP($C91,TabAlgAll,2,FALSE)</f>
        <v>68.004400000000004</v>
      </c>
      <c r="K91" s="155">
        <f>IF(ISNA(MATCH($B91,Pesi!$B$31:$B$34,0)),VLOOKUP(Pesi!$B$32,TabAlgCen,10,FALSE)-((VLOOKUP(Pesi!$B$32,TabAlgCen,9,FALSE)-$J91)/(VLOOKUP(Pesi!$B$32,TabAlgCen,9,FALSE)-Pesi!$D$42))*VLOOKUP(Pesi!$B$32,TabAlgCen,10,FALSE),Pesi!$F$32*Pesi!$C$28)</f>
        <v>-5.4747369075619048</v>
      </c>
      <c r="L91" s="155">
        <f t="shared" si="6"/>
        <v>1</v>
      </c>
      <c r="M91" s="154">
        <f>$D91*Pesi!$D$16+Pesi!$D$17*$E91+$F91*Pesi!$D$18+$G91*Pesi!$D$19+Pesi!$D$20*$H91+$I91*Pesi!$D$21+Pesi!$D$22*VLOOKUP($C91,TabAlgSqu,2,FALSE)+VLOOKUP($C91,TabAlgFC,2,FALSE)*Pesi!$D$23+Pesi!$D$24*VLOOKUP($C91,TabAlgAll,2,FALSE)</f>
        <v>65.204400000000007</v>
      </c>
      <c r="N91" s="155">
        <f>IF(ISNA(MATCH($B91,Pesi!$B$31:$B$34,0)),VLOOKUP(Pesi!$B$32,TabAlgCen,13,FALSE)-((VLOOKUP(Pesi!$B$32,TabAlgCen,12,FALSE)-$M91)/(VLOOKUP(Pesi!$B$32,TabAlgCen,12,FALSE)-Pesi!$F$42))*VLOOKUP(Pesi!$B$32,TabAlgCen,13,FALSE),$K91*$M91/$J91)</f>
        <v>-4.8503199136153512</v>
      </c>
      <c r="O91" s="155">
        <f t="shared" si="7"/>
        <v>1</v>
      </c>
      <c r="P91">
        <f t="shared" si="8"/>
        <v>39</v>
      </c>
      <c r="Q91">
        <f>VLOOKUP(B91,'C.P.'!$A$2:$B$164,2,FALSE)</f>
        <v>-1</v>
      </c>
      <c r="R91" t="e">
        <f>VLOOKUP(B91,'C.P.'!$C$2:$D$164,2,FALSE)</f>
        <v>#N/A</v>
      </c>
      <c r="S91" t="e">
        <f>VLOOKUP(B91,'C.P.'!$E$2:$F$164,2,FALSE)</f>
        <v>#N/A</v>
      </c>
      <c r="T91" t="e">
        <f>VLOOKUP(B91,'C.P.'!$G$2:$H$164,2,FALSE)</f>
        <v>#N/A</v>
      </c>
      <c r="U91" s="420"/>
    </row>
    <row r="92" spans="1:21">
      <c r="A92">
        <f ca="1">COUNTIF('I.A. + Fasce'!B$1:'I.A. + Fasce'!B$538,B90)</f>
        <v>1</v>
      </c>
      <c r="B92" s="211" t="s">
        <v>584</v>
      </c>
      <c r="C92" s="212" t="str">
        <f>VLOOKUP(B92,'IA FG'!$B$2:$G$600,6,FALSE)</f>
        <v>BOL</v>
      </c>
      <c r="D92" s="213">
        <v>8</v>
      </c>
      <c r="E92" s="213">
        <v>8</v>
      </c>
      <c r="F92" s="213">
        <v>7</v>
      </c>
      <c r="G92" s="213">
        <v>5</v>
      </c>
      <c r="H92" s="213">
        <v>6</v>
      </c>
      <c r="I92" s="213">
        <v>6</v>
      </c>
      <c r="J92" s="210">
        <f>$D92*Pesi!$B$16+Pesi!$B$17*$E92+$F92*Pesi!$B$18+$G92*Pesi!$B$19+Pesi!$B$20*$H92+$I92*Pesi!$B$21+Pesi!$B$22*VLOOKUP($C92,TabAlgSqu,2,FALSE)+VLOOKUP($C92,TabAlgFC,2,FALSE)*Pesi!$B$23+Pesi!$B$24*VLOOKUP($C92,TabAlgAll,2,FALSE)</f>
        <v>67.677000000000007</v>
      </c>
      <c r="K92" s="155">
        <f>IF(ISNA(MATCH($B92,Pesi!$B$31:$B$34,0)),VLOOKUP(Pesi!$B$32,TabAlgCen,10,FALSE)-((VLOOKUP(Pesi!$B$32,TabAlgCen,9,FALSE)-$J92)/(VLOOKUP(Pesi!$B$32,TabAlgCen,9,FALSE)-Pesi!$D$42))*VLOOKUP(Pesi!$B$32,TabAlgCen,10,FALSE),Pesi!$F$32*Pesi!$C$28)</f>
        <v>-6.3729273583214621</v>
      </c>
      <c r="L92" s="155">
        <f t="shared" si="6"/>
        <v>1</v>
      </c>
      <c r="M92" s="154">
        <f>$D92*Pesi!$D$16+Pesi!$D$17*$E92+$F92*Pesi!$D$18+$G92*Pesi!$D$19+Pesi!$D$20*$H92+$I92*Pesi!$D$21+Pesi!$D$22*VLOOKUP($C92,TabAlgSqu,2,FALSE)+VLOOKUP($C92,TabAlgFC,2,FALSE)*Pesi!$D$23+Pesi!$D$24*VLOOKUP($C92,TabAlgAll,2,FALSE)</f>
        <v>64.977000000000004</v>
      </c>
      <c r="N92" s="155">
        <f>IF(ISNA(MATCH($B92,Pesi!$B$31:$B$34,0)),VLOOKUP(Pesi!$B$32,TabAlgCen,13,FALSE)-((VLOOKUP(Pesi!$B$32,TabAlgCen,12,FALSE)-$M92)/(VLOOKUP(Pesi!$B$32,TabAlgCen,12,FALSE)-Pesi!$F$42))*VLOOKUP(Pesi!$B$32,TabAlgCen,13,FALSE),$K92*$M92/$J92)</f>
        <v>-5.4645785170660872</v>
      </c>
      <c r="O92" s="155">
        <f t="shared" si="7"/>
        <v>1</v>
      </c>
      <c r="P92">
        <f t="shared" si="8"/>
        <v>40</v>
      </c>
      <c r="Q92" t="e">
        <f>VLOOKUP(B92,'C.P.'!$A$2:$B$164,2,FALSE)</f>
        <v>#N/A</v>
      </c>
      <c r="R92" t="e">
        <f>VLOOKUP(B92,'C.P.'!$C$2:$D$164,2,FALSE)</f>
        <v>#N/A</v>
      </c>
      <c r="S92" t="e">
        <f>VLOOKUP(B92,'C.P.'!$E$2:$F$164,2,FALSE)</f>
        <v>#N/A</v>
      </c>
      <c r="T92" t="e">
        <f>VLOOKUP(B92,'C.P.'!$G$2:$H$164,2,FALSE)</f>
        <v>#N/A</v>
      </c>
    </row>
    <row r="93" spans="1:21">
      <c r="A93">
        <f ca="1">COUNTIF('I.A. + Fasce'!B$1:'I.A. + Fasce'!B$538,B90)</f>
        <v>1</v>
      </c>
      <c r="B93" s="211" t="s">
        <v>1856</v>
      </c>
      <c r="C93" s="212" t="str">
        <f>VLOOKUP(B93,'IA FG'!$B$2:$G$600,6,FALSE)</f>
        <v>GEN</v>
      </c>
      <c r="D93" s="213">
        <v>8</v>
      </c>
      <c r="E93" s="213">
        <v>6</v>
      </c>
      <c r="F93" s="213">
        <v>6</v>
      </c>
      <c r="G93" s="213">
        <v>7</v>
      </c>
      <c r="H93" s="213">
        <v>5</v>
      </c>
      <c r="I93" s="213">
        <v>6</v>
      </c>
      <c r="J93" s="210">
        <f>$D93*Pesi!$B$16+Pesi!$B$17*$E93+$F93*Pesi!$B$18+$G93*Pesi!$B$19+Pesi!$B$20*$H93+$I93*Pesi!$B$21+Pesi!$B$22*VLOOKUP($C93,TabAlgSqu,2,FALSE)+VLOOKUP($C93,TabAlgFC,2,FALSE)*Pesi!$B$23+Pesi!$B$24*VLOOKUP($C93,TabAlgAll,2,FALSE)</f>
        <v>67.066699999999997</v>
      </c>
      <c r="K93" s="155">
        <f>IF(ISNA(MATCH($B93,Pesi!$B$31:$B$34,0)),VLOOKUP(Pesi!$B$32,TabAlgCen,10,FALSE)-((VLOOKUP(Pesi!$B$32,TabAlgCen,9,FALSE)-$J93)/(VLOOKUP(Pesi!$B$32,TabAlgCen,9,FALSE)-Pesi!$D$42))*VLOOKUP(Pesi!$B$32,TabAlgCen,10,FALSE),Pesi!$F$32*Pesi!$C$28)</f>
        <v>-8.0472267844013885</v>
      </c>
      <c r="L93" s="155">
        <f t="shared" si="6"/>
        <v>1</v>
      </c>
      <c r="M93" s="154">
        <f>$D93*Pesi!$D$16+Pesi!$D$17*$E93+$F93*Pesi!$D$18+$G93*Pesi!$D$19+Pesi!$D$20*$H93+$I93*Pesi!$D$21+Pesi!$D$22*VLOOKUP($C93,TabAlgSqu,2,FALSE)+VLOOKUP($C93,TabAlgFC,2,FALSE)*Pesi!$D$23+Pesi!$D$24*VLOOKUP($C93,TabAlgAll,2,FALSE)</f>
        <v>64.616700000000009</v>
      </c>
      <c r="N93" s="155">
        <f>IF(ISNA(MATCH($B93,Pesi!$B$31:$B$34,0)),VLOOKUP(Pesi!$B$32,TabAlgCen,13,FALSE)-((VLOOKUP(Pesi!$B$32,TabAlgCen,12,FALSE)-$M93)/(VLOOKUP(Pesi!$B$32,TabAlgCen,12,FALSE)-Pesi!$F$42))*VLOOKUP(Pesi!$B$32,TabAlgCen,13,FALSE),$K93*$M93/$J93)</f>
        <v>-6.4378299454886729</v>
      </c>
      <c r="O93" s="155">
        <f t="shared" si="7"/>
        <v>1</v>
      </c>
      <c r="P93">
        <f t="shared" si="8"/>
        <v>38</v>
      </c>
      <c r="Q93" t="e">
        <f>VLOOKUP(B93,'C.P.'!$A$2:$B$164,2,FALSE)</f>
        <v>#N/A</v>
      </c>
      <c r="R93" t="e">
        <f>VLOOKUP(B93,'C.P.'!$C$2:$D$164,2,FALSE)</f>
        <v>#N/A</v>
      </c>
      <c r="S93" t="e">
        <f>VLOOKUP(B93,'C.P.'!$E$2:$F$164,2,FALSE)</f>
        <v>#N/A</v>
      </c>
      <c r="T93" t="e">
        <f>VLOOKUP(B93,'C.P.'!$G$2:$H$164,2,FALSE)</f>
        <v>#N/A</v>
      </c>
    </row>
    <row r="94" spans="1:21">
      <c r="A94">
        <f ca="1">COUNTIF('I.A. + Fasce'!B$1:'I.A. + Fasce'!B$538,B92)</f>
        <v>1</v>
      </c>
      <c r="B94" s="211" t="s">
        <v>559</v>
      </c>
      <c r="C94" s="212" t="str">
        <f>VLOOKUP(B94,'IA FG'!$B$2:$G$600,6,FALSE)</f>
        <v>MIL</v>
      </c>
      <c r="D94" s="213">
        <v>6</v>
      </c>
      <c r="E94" s="213">
        <v>6</v>
      </c>
      <c r="F94" s="213">
        <v>6</v>
      </c>
      <c r="G94" s="213">
        <v>5</v>
      </c>
      <c r="H94" s="213">
        <v>6</v>
      </c>
      <c r="I94" s="213">
        <v>5</v>
      </c>
      <c r="J94" s="210">
        <f>$D94*Pesi!$B$16+Pesi!$B$17*$E94+$F94*Pesi!$B$18+$G94*Pesi!$B$19+Pesi!$B$20*$H94+$I94*Pesi!$B$21+Pesi!$B$22*VLOOKUP($C94,TabAlgSqu,2,FALSE)+VLOOKUP($C94,TabAlgFC,2,FALSE)*Pesi!$B$23+Pesi!$B$24*VLOOKUP($C94,TabAlgAll,2,FALSE)</f>
        <v>66.98960000000001</v>
      </c>
      <c r="K94" s="155">
        <f>IF(ISNA(MATCH($B94,Pesi!$B$31:$B$34,0)),VLOOKUP(Pesi!$B$32,TabAlgCen,10,FALSE)-((VLOOKUP(Pesi!$B$32,TabAlgCen,9,FALSE)-$J94)/(VLOOKUP(Pesi!$B$32,TabAlgCen,9,FALSE)-Pesi!$D$42))*VLOOKUP(Pesi!$B$32,TabAlgCen,10,FALSE),Pesi!$F$32*Pesi!$C$28)</f>
        <v>-8.2587432283645796</v>
      </c>
      <c r="L94" s="155">
        <f t="shared" si="6"/>
        <v>1</v>
      </c>
      <c r="M94" s="154">
        <f>$D94*Pesi!$D$16+Pesi!$D$17*$E94+$F94*Pesi!$D$18+$G94*Pesi!$D$19+Pesi!$D$20*$H94+$I94*Pesi!$D$21+Pesi!$D$22*VLOOKUP($C94,TabAlgSqu,2,FALSE)+VLOOKUP($C94,TabAlgFC,2,FALSE)*Pesi!$D$23+Pesi!$D$24*VLOOKUP($C94,TabAlgAll,2,FALSE)</f>
        <v>64.639600000000002</v>
      </c>
      <c r="N94" s="155">
        <f>IF(ISNA(MATCH($B94,Pesi!$B$31:$B$34,0)),VLOOKUP(Pesi!$B$32,TabAlgCen,13,FALSE)-((VLOOKUP(Pesi!$B$32,TabAlgCen,12,FALSE)-$M94)/(VLOOKUP(Pesi!$B$32,TabAlgCen,12,FALSE)-Pesi!$F$42))*VLOOKUP(Pesi!$B$32,TabAlgCen,13,FALSE),$K94*$M94/$J94)</f>
        <v>-6.3759718891165562</v>
      </c>
      <c r="O94" s="155">
        <f t="shared" si="7"/>
        <v>1</v>
      </c>
      <c r="P94">
        <f t="shared" si="8"/>
        <v>34</v>
      </c>
      <c r="Q94">
        <f>VLOOKUP(B94,'C.P.'!$A$2:$B$164,2,FALSE)</f>
        <v>-1</v>
      </c>
      <c r="R94" t="e">
        <f>VLOOKUP(B94,'C.P.'!$C$2:$D$164,2,FALSE)</f>
        <v>#N/A</v>
      </c>
      <c r="S94" t="e">
        <f>VLOOKUP(B94,'C.P.'!$E$2:$F$164,2,FALSE)</f>
        <v>#N/A</v>
      </c>
      <c r="T94" t="e">
        <f>VLOOKUP(B94,'C.P.'!$G$2:$H$164,2,FALSE)</f>
        <v>#N/A</v>
      </c>
    </row>
    <row r="95" spans="1:21">
      <c r="A95">
        <f ca="1">COUNTIF('I.A. + Fasce'!B$1:'I.A. + Fasce'!B$538,B93)</f>
        <v>1</v>
      </c>
      <c r="B95" s="211" t="s">
        <v>1753</v>
      </c>
      <c r="C95" s="212" t="str">
        <f>VLOOKUP(B95,'IA FG'!$B$2:$G$600,6,FALSE)</f>
        <v>GEN</v>
      </c>
      <c r="D95" s="213">
        <v>8</v>
      </c>
      <c r="E95" s="213">
        <v>6</v>
      </c>
      <c r="F95" s="213">
        <v>6</v>
      </c>
      <c r="G95" s="213">
        <v>6</v>
      </c>
      <c r="H95" s="213">
        <v>6</v>
      </c>
      <c r="I95" s="213">
        <v>6</v>
      </c>
      <c r="J95" s="210">
        <f>$D95*Pesi!$B$16+Pesi!$B$17*$E95+$F95*Pesi!$B$18+$G95*Pesi!$B$19+Pesi!$B$20*$H95+$I95*Pesi!$B$21+Pesi!$B$22*VLOOKUP($C95,TabAlgSqu,2,FALSE)+VLOOKUP($C95,TabAlgFC,2,FALSE)*Pesi!$B$23+Pesi!$B$24*VLOOKUP($C95,TabAlgAll,2,FALSE)</f>
        <v>66.912500000000009</v>
      </c>
      <c r="K95" s="155">
        <f>IF(ISNA(MATCH($B95,Pesi!$B$31:$B$34,0)),VLOOKUP(Pesi!$B$32,TabAlgCen,10,FALSE)-((VLOOKUP(Pesi!$B$32,TabAlgCen,9,FALSE)-$J95)/(VLOOKUP(Pesi!$B$32,TabAlgCen,9,FALSE)-Pesi!$D$42))*VLOOKUP(Pesi!$B$32,TabAlgCen,10,FALSE),Pesi!$F$32*Pesi!$C$28)</f>
        <v>-8.4702596723278134</v>
      </c>
      <c r="L95" s="155">
        <f t="shared" si="6"/>
        <v>1</v>
      </c>
      <c r="M95" s="154">
        <f>$D95*Pesi!$D$16+Pesi!$D$17*$E95+$F95*Pesi!$D$18+$G95*Pesi!$D$19+Pesi!$D$20*$H95+$I95*Pesi!$D$21+Pesi!$D$22*VLOOKUP($C95,TabAlgSqu,2,FALSE)+VLOOKUP($C95,TabAlgFC,2,FALSE)*Pesi!$D$23+Pesi!$D$24*VLOOKUP($C95,TabAlgAll,2,FALSE)</f>
        <v>64.512500000000003</v>
      </c>
      <c r="N95" s="155">
        <f>IF(ISNA(MATCH($B95,Pesi!$B$31:$B$34,0)),VLOOKUP(Pesi!$B$32,TabAlgCen,13,FALSE)-((VLOOKUP(Pesi!$B$32,TabAlgCen,12,FALSE)-$M95)/(VLOOKUP(Pesi!$B$32,TabAlgCen,12,FALSE)-Pesi!$F$42))*VLOOKUP(Pesi!$B$32,TabAlgCen,13,FALSE),$K95*$M95/$J95)</f>
        <v>-6.7192976081076949</v>
      </c>
      <c r="O95" s="155">
        <f t="shared" si="7"/>
        <v>1</v>
      </c>
      <c r="P95">
        <f t="shared" si="8"/>
        <v>38</v>
      </c>
      <c r="Q95" t="e">
        <f>VLOOKUP(B95,'C.P.'!$A$2:$B$164,2,FALSE)</f>
        <v>#N/A</v>
      </c>
      <c r="R95" t="e">
        <f>VLOOKUP(B95,'C.P.'!$C$2:$D$164,2,FALSE)</f>
        <v>#N/A</v>
      </c>
      <c r="S95" t="e">
        <f>VLOOKUP(B95,'C.P.'!$E$2:$F$164,2,FALSE)</f>
        <v>#N/A</v>
      </c>
      <c r="T95" t="e">
        <f>VLOOKUP(B95,'C.P.'!$G$2:$H$164,2,FALSE)</f>
        <v>#N/A</v>
      </c>
    </row>
    <row r="96" spans="1:21">
      <c r="A96">
        <f ca="1">COUNTIF('I.A. + Fasce'!B$1:'I.A. + Fasce'!B$538,B94)</f>
        <v>1</v>
      </c>
      <c r="B96" s="211" t="s">
        <v>1956</v>
      </c>
      <c r="C96" s="212" t="str">
        <f>VLOOKUP(B96,'IA FG'!$B$2:$G$600,6,FALSE)</f>
        <v>GEN</v>
      </c>
      <c r="D96" s="213">
        <v>8</v>
      </c>
      <c r="E96" s="213">
        <v>6</v>
      </c>
      <c r="F96" s="213">
        <v>6</v>
      </c>
      <c r="G96" s="213">
        <v>6</v>
      </c>
      <c r="H96" s="213">
        <v>6</v>
      </c>
      <c r="I96" s="213">
        <v>6</v>
      </c>
      <c r="J96" s="210">
        <f>$D96*Pesi!$B$16+Pesi!$B$17*$E96+$F96*Pesi!$B$18+$G96*Pesi!$B$19+Pesi!$B$20*$H96+$I96*Pesi!$B$21+Pesi!$B$22*VLOOKUP($C96,TabAlgSqu,2,FALSE)+VLOOKUP($C96,TabAlgFC,2,FALSE)*Pesi!$B$23+Pesi!$B$24*VLOOKUP($C96,TabAlgAll,2,FALSE)</f>
        <v>66.912500000000009</v>
      </c>
      <c r="K96" s="155">
        <f>IF(ISNA(MATCH($B96,Pesi!$B$31:$B$34,0)),VLOOKUP(Pesi!$B$32,TabAlgCen,10,FALSE)-((VLOOKUP(Pesi!$B$32,TabAlgCen,9,FALSE)-$J96)/(VLOOKUP(Pesi!$B$32,TabAlgCen,9,FALSE)-Pesi!$D$42))*VLOOKUP(Pesi!$B$32,TabAlgCen,10,FALSE),Pesi!$F$32*Pesi!$C$28)</f>
        <v>-8.4702596723278134</v>
      </c>
      <c r="L96" s="155">
        <f t="shared" si="6"/>
        <v>1</v>
      </c>
      <c r="M96" s="154">
        <f>$D96*Pesi!$D$16+Pesi!$D$17*$E96+$F96*Pesi!$D$18+$G96*Pesi!$D$19+Pesi!$D$20*$H96+$I96*Pesi!$D$21+Pesi!$D$22*VLOOKUP($C96,TabAlgSqu,2,FALSE)+VLOOKUP($C96,TabAlgFC,2,FALSE)*Pesi!$D$23+Pesi!$D$24*VLOOKUP($C96,TabAlgAll,2,FALSE)</f>
        <v>64.512500000000003</v>
      </c>
      <c r="N96" s="155">
        <f>IF(ISNA(MATCH($B96,Pesi!$B$31:$B$34,0)),VLOOKUP(Pesi!$B$32,TabAlgCen,13,FALSE)-((VLOOKUP(Pesi!$B$32,TabAlgCen,12,FALSE)-$M96)/(VLOOKUP(Pesi!$B$32,TabAlgCen,12,FALSE)-Pesi!$F$42))*VLOOKUP(Pesi!$B$32,TabAlgCen,13,FALSE),$K96*$M96/$J96)</f>
        <v>-6.7192976081076949</v>
      </c>
      <c r="O96" s="155">
        <f t="shared" si="7"/>
        <v>1</v>
      </c>
      <c r="P96">
        <f t="shared" si="8"/>
        <v>38</v>
      </c>
      <c r="Q96" t="e">
        <f>VLOOKUP(B96,'C.P.'!$A$2:$B$164,2,FALSE)</f>
        <v>#N/A</v>
      </c>
      <c r="R96" t="e">
        <f>VLOOKUP(B96,'C.P.'!$C$2:$D$164,2,FALSE)</f>
        <v>#N/A</v>
      </c>
      <c r="S96" t="e">
        <f>VLOOKUP(B96,'C.P.'!$E$2:$F$164,2,FALSE)</f>
        <v>#N/A</v>
      </c>
      <c r="T96" t="e">
        <f>VLOOKUP(B96,'C.P.'!$G$2:$H$164,2,FALSE)</f>
        <v>#N/A</v>
      </c>
      <c r="U96" s="420"/>
    </row>
    <row r="97" spans="1:21">
      <c r="A97">
        <f ca="1">COUNTIF('I.A. + Fasce'!B$1:'I.A. + Fasce'!B$538,B96)</f>
        <v>1</v>
      </c>
      <c r="B97" s="211" t="s">
        <v>1280</v>
      </c>
      <c r="C97" s="212" t="str">
        <f>VLOOKUP(B97,'IA FG'!$B$2:$G$600,6,FALSE)</f>
        <v>FIO</v>
      </c>
      <c r="D97" s="213">
        <v>9</v>
      </c>
      <c r="E97" s="213">
        <v>5</v>
      </c>
      <c r="F97" s="213">
        <v>6</v>
      </c>
      <c r="G97" s="213">
        <v>5</v>
      </c>
      <c r="H97" s="213">
        <v>6</v>
      </c>
      <c r="I97" s="213">
        <v>6</v>
      </c>
      <c r="J97" s="210">
        <f>$D97*Pesi!$B$16+Pesi!$B$17*$E97+$F97*Pesi!$B$18+$G97*Pesi!$B$19+Pesi!$B$20*$H97+$I97*Pesi!$B$21+Pesi!$B$22*VLOOKUP($C97,TabAlgSqu,2,FALSE)+VLOOKUP($C97,TabAlgFC,2,FALSE)*Pesi!$B$23+Pesi!$B$24*VLOOKUP($C97,TabAlgAll,2,FALSE)</f>
        <v>66.647800000000004</v>
      </c>
      <c r="K97" s="155">
        <f>IF(ISNA(MATCH($B97,Pesi!$B$31:$B$34,0)),VLOOKUP(Pesi!$B$32,TabAlgCen,10,FALSE)-((VLOOKUP(Pesi!$B$32,TabAlgCen,9,FALSE)-$J97)/(VLOOKUP(Pesi!$B$32,TabAlgCen,9,FALSE)-Pesi!$D$42))*VLOOKUP(Pesi!$B$32,TabAlgCen,10,FALSE),Pesi!$F$32*Pesi!$C$28)</f>
        <v>-9.1964386958955089</v>
      </c>
      <c r="L97" s="155">
        <f t="shared" si="6"/>
        <v>1</v>
      </c>
      <c r="M97" s="154">
        <f>$D97*Pesi!$D$16+Pesi!$D$17*$E97+$F97*Pesi!$D$18+$G97*Pesi!$D$19+Pesi!$D$20*$H97+$I97*Pesi!$D$21+Pesi!$D$22*VLOOKUP($C97,TabAlgSqu,2,FALSE)+VLOOKUP($C97,TabAlgFC,2,FALSE)*Pesi!$D$23+Pesi!$D$24*VLOOKUP($C97,TabAlgAll,2,FALSE)</f>
        <v>64.297799999999995</v>
      </c>
      <c r="N97" s="155">
        <f>IF(ISNA(MATCH($B97,Pesi!$B$31:$B$34,0)),VLOOKUP(Pesi!$B$32,TabAlgCen,13,FALSE)-((VLOOKUP(Pesi!$B$32,TabAlgCen,12,FALSE)-$M97)/(VLOOKUP(Pesi!$B$32,TabAlgCen,12,FALSE)-Pesi!$F$42))*VLOOKUP(Pesi!$B$32,TabAlgCen,13,FALSE),$K97*$M97/$J97)</f>
        <v>-7.2992506519110236</v>
      </c>
      <c r="O97" s="155">
        <f t="shared" si="7"/>
        <v>1</v>
      </c>
      <c r="P97">
        <f t="shared" si="8"/>
        <v>37</v>
      </c>
      <c r="Q97" t="e">
        <f>VLOOKUP(B97,'C.P.'!$A$2:$B$164,2,FALSE)</f>
        <v>#N/A</v>
      </c>
      <c r="R97" t="e">
        <f>VLOOKUP(B97,'C.P.'!$C$2:$D$164,2,FALSE)</f>
        <v>#N/A</v>
      </c>
      <c r="S97" t="e">
        <f>VLOOKUP(B97,'C.P.'!$E$2:$F$164,2,FALSE)</f>
        <v>#N/A</v>
      </c>
      <c r="T97" t="e">
        <f>VLOOKUP(B97,'C.P.'!$G$2:$H$164,2,FALSE)</f>
        <v>#N/A</v>
      </c>
    </row>
    <row r="98" spans="1:21">
      <c r="A98">
        <f ca="1">COUNTIF('I.A. + Fasce'!B$1:'I.A. + Fasce'!B$538,B97)</f>
        <v>1</v>
      </c>
      <c r="B98" s="211" t="s">
        <v>540</v>
      </c>
      <c r="C98" s="212" t="str">
        <f>VLOOKUP(B98,'IA FG'!$B$2:$G$600,6,FALSE)</f>
        <v>SAS</v>
      </c>
      <c r="D98" s="213">
        <v>6</v>
      </c>
      <c r="E98" s="213">
        <v>8</v>
      </c>
      <c r="F98" s="213">
        <v>7</v>
      </c>
      <c r="G98" s="213">
        <v>5</v>
      </c>
      <c r="H98" s="213">
        <v>6</v>
      </c>
      <c r="I98" s="213">
        <v>6</v>
      </c>
      <c r="J98" s="210">
        <f>$D98*Pesi!$B$16+Pesi!$B$17*$E98+$F98*Pesi!$B$18+$G98*Pesi!$B$19+Pesi!$B$20*$H98+$I98*Pesi!$B$21+Pesi!$B$22*VLOOKUP($C98,TabAlgSqu,2,FALSE)+VLOOKUP($C98,TabAlgFC,2,FALSE)*Pesi!$B$23+Pesi!$B$24*VLOOKUP($C98,TabAlgAll,2,FALSE)</f>
        <v>66.241900000000001</v>
      </c>
      <c r="K98" s="155">
        <f>IF(ISNA(MATCH($B98,Pesi!$B$31:$B$34,0)),VLOOKUP(Pesi!$B$32,TabAlgCen,10,FALSE)-((VLOOKUP(Pesi!$B$32,TabAlgCen,9,FALSE)-$J98)/(VLOOKUP(Pesi!$B$32,TabAlgCen,9,FALSE)-Pesi!$D$42))*VLOOKUP(Pesi!$B$32,TabAlgCen,10,FALSE),Pesi!$F$32*Pesi!$C$28)</f>
        <v>-10.309986356137728</v>
      </c>
      <c r="L98" s="155">
        <f t="shared" ref="L98:L129" si="9">IF(K98&lt;=1,1,K98)</f>
        <v>1</v>
      </c>
      <c r="M98" s="154">
        <f>$D98*Pesi!$D$16+Pesi!$D$17*$E98+$F98*Pesi!$D$18+$G98*Pesi!$D$19+Pesi!$D$20*$H98+$I98*Pesi!$D$21+Pesi!$D$22*VLOOKUP($C98,TabAlgSqu,2,FALSE)+VLOOKUP($C98,TabAlgFC,2,FALSE)*Pesi!$D$23+Pesi!$D$24*VLOOKUP($C98,TabAlgAll,2,FALSE)</f>
        <v>63.541899999999991</v>
      </c>
      <c r="N98" s="155">
        <f>IF(ISNA(MATCH($B98,Pesi!$B$31:$B$34,0)),VLOOKUP(Pesi!$B$32,TabAlgCen,13,FALSE)-((VLOOKUP(Pesi!$B$32,TabAlgCen,12,FALSE)-$M98)/(VLOOKUP(Pesi!$B$32,TabAlgCen,12,FALSE)-Pesi!$F$42))*VLOOKUP(Pesi!$B$32,TabAlgCen,13,FALSE),$K98*$M98/$J98)</f>
        <v>-9.3411067572250772</v>
      </c>
      <c r="O98" s="155">
        <f t="shared" ref="O98:O129" si="10">IF(N98&lt;=1,1,N98)</f>
        <v>1</v>
      </c>
      <c r="P98">
        <f t="shared" ref="P98:P129" si="11">SUM(D98:I98)</f>
        <v>38</v>
      </c>
      <c r="Q98" t="e">
        <f>VLOOKUP(B98,'C.P.'!$A$2:$B$164,2,FALSE)</f>
        <v>#N/A</v>
      </c>
      <c r="R98" t="e">
        <f>VLOOKUP(B98,'C.P.'!$C$2:$D$164,2,FALSE)</f>
        <v>#N/A</v>
      </c>
      <c r="S98">
        <f>VLOOKUP(B98,'C.P.'!$E$2:$F$164,2,FALSE)</f>
        <v>4</v>
      </c>
      <c r="T98" t="e">
        <f>VLOOKUP(B98,'C.P.'!$G$2:$H$164,2,FALSE)</f>
        <v>#N/A</v>
      </c>
    </row>
    <row r="99" spans="1:21">
      <c r="A99">
        <f ca="1">COUNTIF('I.A. + Fasce'!B$1:'I.A. + Fasce'!B$538,B97)</f>
        <v>1</v>
      </c>
      <c r="B99" s="211" t="s">
        <v>613</v>
      </c>
      <c r="C99" s="212" t="str">
        <f>VLOOKUP(B99,'IA FG'!$B$2:$G$600,6,FALSE)</f>
        <v>BOL</v>
      </c>
      <c r="D99" s="213">
        <v>8</v>
      </c>
      <c r="E99" s="213">
        <v>8</v>
      </c>
      <c r="F99" s="213">
        <v>6</v>
      </c>
      <c r="G99" s="213">
        <v>6</v>
      </c>
      <c r="H99" s="213">
        <v>5</v>
      </c>
      <c r="I99" s="213">
        <v>6</v>
      </c>
      <c r="J99" s="210">
        <f>$D99*Pesi!$B$16+Pesi!$B$17*$E99+$F99*Pesi!$B$18+$G99*Pesi!$B$19+Pesi!$B$20*$H99+$I99*Pesi!$B$21+Pesi!$B$22*VLOOKUP($C99,TabAlgSqu,2,FALSE)+VLOOKUP($C99,TabAlgFC,2,FALSE)*Pesi!$B$23+Pesi!$B$24*VLOOKUP($C99,TabAlgAll,2,FALSE)</f>
        <v>66.231200000000015</v>
      </c>
      <c r="K99" s="155">
        <f>IF(ISNA(MATCH($B99,Pesi!$B$31:$B$34,0)),VLOOKUP(Pesi!$B$32,TabAlgCen,10,FALSE)-((VLOOKUP(Pesi!$B$32,TabAlgCen,9,FALSE)-$J99)/(VLOOKUP(Pesi!$B$32,TabAlgCen,9,FALSE)-Pesi!$D$42))*VLOOKUP(Pesi!$B$32,TabAlgCen,10,FALSE),Pesi!$F$32*Pesi!$C$28)</f>
        <v>-10.339340778321954</v>
      </c>
      <c r="L99" s="155">
        <f t="shared" si="9"/>
        <v>1</v>
      </c>
      <c r="M99" s="154">
        <f>$D99*Pesi!$D$16+Pesi!$D$17*$E99+$F99*Pesi!$D$18+$G99*Pesi!$D$19+Pesi!$D$20*$H99+$I99*Pesi!$D$21+Pesi!$D$22*VLOOKUP($C99,TabAlgSqu,2,FALSE)+VLOOKUP($C99,TabAlgFC,2,FALSE)*Pesi!$D$23+Pesi!$D$24*VLOOKUP($C99,TabAlgAll,2,FALSE)</f>
        <v>63.831200000000003</v>
      </c>
      <c r="N99" s="155">
        <f>IF(ISNA(MATCH($B99,Pesi!$B$31:$B$34,0)),VLOOKUP(Pesi!$B$32,TabAlgCen,13,FALSE)-((VLOOKUP(Pesi!$B$32,TabAlgCen,12,FALSE)-$M99)/(VLOOKUP(Pesi!$B$32,TabAlgCen,12,FALSE)-Pesi!$F$42))*VLOOKUP(Pesi!$B$32,TabAlgCen,13,FALSE),$K99*$M99/$J99)</f>
        <v>-8.5596423158077215</v>
      </c>
      <c r="O99" s="155">
        <f t="shared" si="10"/>
        <v>1</v>
      </c>
      <c r="P99">
        <f t="shared" si="11"/>
        <v>39</v>
      </c>
      <c r="Q99" t="e">
        <f>VLOOKUP(B99,'C.P.'!$A$2:$B$164,2,FALSE)</f>
        <v>#N/A</v>
      </c>
      <c r="R99" t="e">
        <f>VLOOKUP(B99,'C.P.'!$C$2:$D$164,2,FALSE)</f>
        <v>#N/A</v>
      </c>
      <c r="S99">
        <f>VLOOKUP(B99,'C.P.'!$E$2:$F$164,2,FALSE)</f>
        <v>3</v>
      </c>
      <c r="T99" t="e">
        <f>VLOOKUP(B99,'C.P.'!$G$2:$H$164,2,FALSE)</f>
        <v>#N/A</v>
      </c>
    </row>
    <row r="100" spans="1:21">
      <c r="A100">
        <f ca="1">COUNTIF('I.A. + Fasce'!B$1:'I.A. + Fasce'!B$538,B97)</f>
        <v>1</v>
      </c>
      <c r="B100" s="211" t="s">
        <v>1759</v>
      </c>
      <c r="C100" s="212" t="str">
        <f>VLOOKUP(B100,'IA FG'!$B$2:$G$600,6,FALSE)</f>
        <v>ATA</v>
      </c>
      <c r="D100" s="213">
        <v>9</v>
      </c>
      <c r="E100" s="213">
        <v>3</v>
      </c>
      <c r="F100" s="213">
        <v>6</v>
      </c>
      <c r="G100" s="213">
        <v>6</v>
      </c>
      <c r="H100" s="213">
        <v>6</v>
      </c>
      <c r="I100" s="213">
        <v>4</v>
      </c>
      <c r="J100" s="210">
        <f>$D100*Pesi!$B$16+Pesi!$B$17*$E100+$F100*Pesi!$B$18+$G100*Pesi!$B$19+Pesi!$B$20*$H100+$I100*Pesi!$B$21+Pesi!$B$22*VLOOKUP($C100,TabAlgSqu,2,FALSE)+VLOOKUP($C100,TabAlgFC,2,FALSE)*Pesi!$B$23+Pesi!$B$24*VLOOKUP($C100,TabAlgAll,2,FALSE)</f>
        <v>66.066199999999995</v>
      </c>
      <c r="K100" s="155">
        <f>IF(ISNA(MATCH($B100,Pesi!$B$31:$B$34,0)),VLOOKUP(Pesi!$B$32,TabAlgCen,10,FALSE)-((VLOOKUP(Pesi!$B$32,TabAlgCen,9,FALSE)-$J100)/(VLOOKUP(Pesi!$B$32,TabAlgCen,9,FALSE)-Pesi!$D$42))*VLOOKUP(Pesi!$B$32,TabAlgCen,10,FALSE),Pesi!$F$32*Pesi!$C$28)</f>
        <v>-10.792002428826976</v>
      </c>
      <c r="L100" s="155">
        <f t="shared" si="9"/>
        <v>1</v>
      </c>
      <c r="M100" s="154">
        <f>$D100*Pesi!$D$16+Pesi!$D$17*$E100+$F100*Pesi!$D$18+$G100*Pesi!$D$19+Pesi!$D$20*$H100+$I100*Pesi!$D$21+Pesi!$D$22*VLOOKUP($C100,TabAlgSqu,2,FALSE)+VLOOKUP($C100,TabAlgFC,2,FALSE)*Pesi!$D$23+Pesi!$D$24*VLOOKUP($C100,TabAlgAll,2,FALSE)</f>
        <v>63.666200000000003</v>
      </c>
      <c r="N100" s="155">
        <f>IF(ISNA(MATCH($B100,Pesi!$B$31:$B$34,0)),VLOOKUP(Pesi!$B$32,TabAlgCen,13,FALSE)-((VLOOKUP(Pesi!$B$32,TabAlgCen,12,FALSE)-$M100)/(VLOOKUP(Pesi!$B$32,TabAlgCen,12,FALSE)-Pesi!$F$42))*VLOOKUP(Pesi!$B$32,TabAlgCen,13,FALSE),$K100*$M100/$J100)</f>
        <v>-9.0053444687073352</v>
      </c>
      <c r="O100" s="155">
        <f t="shared" si="10"/>
        <v>1</v>
      </c>
      <c r="P100">
        <f t="shared" si="11"/>
        <v>34</v>
      </c>
      <c r="Q100" t="e">
        <f>VLOOKUP(B100,'C.P.'!$A$2:$B$164,2,FALSE)</f>
        <v>#N/A</v>
      </c>
      <c r="R100" t="e">
        <f>VLOOKUP(B100,'C.P.'!$C$2:$D$164,2,FALSE)</f>
        <v>#N/A</v>
      </c>
      <c r="S100" t="e">
        <f>VLOOKUP(B100,'C.P.'!$E$2:$F$164,2,FALSE)</f>
        <v>#N/A</v>
      </c>
      <c r="T100" t="e">
        <f>VLOOKUP(B100,'C.P.'!$G$2:$H$164,2,FALSE)</f>
        <v>#N/A</v>
      </c>
    </row>
    <row r="101" spans="1:21">
      <c r="A101">
        <f ca="1">COUNTIF('I.A. + Fasce'!B$1:'I.A. + Fasce'!B$538,B98)</f>
        <v>1</v>
      </c>
      <c r="B101" s="211" t="s">
        <v>1858</v>
      </c>
      <c r="C101" s="212" t="str">
        <f>VLOOKUP(B101,'IA FG'!$B$2:$G$600,6,FALSE)</f>
        <v>ATA</v>
      </c>
      <c r="D101" s="213">
        <v>9</v>
      </c>
      <c r="E101" s="213">
        <v>4</v>
      </c>
      <c r="F101" s="213">
        <v>6</v>
      </c>
      <c r="G101" s="213">
        <v>5</v>
      </c>
      <c r="H101" s="213">
        <v>5</v>
      </c>
      <c r="I101" s="213">
        <v>5</v>
      </c>
      <c r="J101" s="210">
        <f>$D101*Pesi!$B$16+Pesi!$B$17*$E101+$F101*Pesi!$B$18+$G101*Pesi!$B$19+Pesi!$B$20*$H101+$I101*Pesi!$B$21+Pesi!$B$22*VLOOKUP($C101,TabAlgSqu,2,FALSE)+VLOOKUP($C101,TabAlgFC,2,FALSE)*Pesi!$B$23+Pesi!$B$24*VLOOKUP($C101,TabAlgAll,2,FALSE)</f>
        <v>65.791200000000003</v>
      </c>
      <c r="K101" s="155">
        <f>IF(ISNA(MATCH($B101,Pesi!$B$31:$B$34,0)),VLOOKUP(Pesi!$B$32,TabAlgCen,10,FALSE)-((VLOOKUP(Pesi!$B$32,TabAlgCen,9,FALSE)-$J101)/(VLOOKUP(Pesi!$B$32,TabAlgCen,9,FALSE)-Pesi!$D$42))*VLOOKUP(Pesi!$B$32,TabAlgCen,10,FALSE),Pesi!$F$32*Pesi!$C$28)</f>
        <v>-11.546438513001888</v>
      </c>
      <c r="L101" s="155">
        <f t="shared" si="9"/>
        <v>1</v>
      </c>
      <c r="M101" s="154">
        <f>$D101*Pesi!$D$16+Pesi!$D$17*$E101+$F101*Pesi!$D$18+$G101*Pesi!$D$19+Pesi!$D$20*$H101+$I101*Pesi!$D$21+Pesi!$D$22*VLOOKUP($C101,TabAlgSqu,2,FALSE)+VLOOKUP($C101,TabAlgFC,2,FALSE)*Pesi!$D$23+Pesi!$D$24*VLOOKUP($C101,TabAlgAll,2,FALSE)</f>
        <v>63.441200000000002</v>
      </c>
      <c r="N101" s="155">
        <f>IF(ISNA(MATCH($B101,Pesi!$B$31:$B$34,0)),VLOOKUP(Pesi!$B$32,TabAlgCen,13,FALSE)-((VLOOKUP(Pesi!$B$32,TabAlgCen,12,FALSE)-$M101)/(VLOOKUP(Pesi!$B$32,TabAlgCen,12,FALSE)-Pesi!$F$42))*VLOOKUP(Pesi!$B$32,TabAlgCen,13,FALSE),$K101*$M101/$J101)</f>
        <v>-9.6131201317522539</v>
      </c>
      <c r="O101" s="155">
        <f t="shared" si="10"/>
        <v>1</v>
      </c>
      <c r="P101">
        <f t="shared" si="11"/>
        <v>34</v>
      </c>
      <c r="Q101" t="e">
        <f>VLOOKUP(B101,'C.P.'!$A$2:$B$164,2,FALSE)</f>
        <v>#N/A</v>
      </c>
      <c r="R101" t="e">
        <f>VLOOKUP(B101,'C.P.'!$C$2:$D$164,2,FALSE)</f>
        <v>#N/A</v>
      </c>
      <c r="S101" t="e">
        <f>VLOOKUP(B101,'C.P.'!$E$2:$F$164,2,FALSE)</f>
        <v>#N/A</v>
      </c>
      <c r="T101" t="e">
        <f>VLOOKUP(B101,'C.P.'!$G$2:$H$164,2,FALSE)</f>
        <v>#N/A</v>
      </c>
    </row>
    <row r="102" spans="1:21">
      <c r="A102">
        <f ca="1">COUNTIF('I.A. + Fasce'!B$1:'I.A. + Fasce'!B$538,B101)</f>
        <v>1</v>
      </c>
      <c r="B102" s="211" t="s">
        <v>1295</v>
      </c>
      <c r="C102" s="212" t="str">
        <f>VLOOKUP(B102,'IA FG'!$B$2:$G$600,6,FALSE)</f>
        <v>MIL</v>
      </c>
      <c r="D102" s="213">
        <v>7</v>
      </c>
      <c r="E102" s="213">
        <v>5</v>
      </c>
      <c r="F102" s="213">
        <v>6</v>
      </c>
      <c r="G102" s="213">
        <v>5</v>
      </c>
      <c r="H102" s="213">
        <v>6</v>
      </c>
      <c r="I102" s="213">
        <v>4</v>
      </c>
      <c r="J102" s="210">
        <f>$D102*Pesi!$B$16+Pesi!$B$17*$E102+$F102*Pesi!$B$18+$G102*Pesi!$B$19+Pesi!$B$20*$H102+$I102*Pesi!$B$21+Pesi!$B$22*VLOOKUP($C102,TabAlgSqu,2,FALSE)+VLOOKUP($C102,TabAlgFC,2,FALSE)*Pesi!$B$23+Pesi!$B$24*VLOOKUP($C102,TabAlgAll,2,FALSE)</f>
        <v>65.777100000000004</v>
      </c>
      <c r="K102" s="155">
        <f>IF(ISNA(MATCH($B102,Pesi!$B$31:$B$34,0)),VLOOKUP(Pesi!$B$32,TabAlgCen,10,FALSE)-((VLOOKUP(Pesi!$B$32,TabAlgCen,9,FALSE)-$J102)/(VLOOKUP(Pesi!$B$32,TabAlgCen,9,FALSE)-Pesi!$D$42))*VLOOKUP(Pesi!$B$32,TabAlgCen,10,FALSE),Pesi!$F$32*Pesi!$C$28)</f>
        <v>-11.585120508590506</v>
      </c>
      <c r="L102" s="155">
        <f t="shared" si="9"/>
        <v>1</v>
      </c>
      <c r="M102" s="154">
        <f>$D102*Pesi!$D$16+Pesi!$D$17*$E102+$F102*Pesi!$D$18+$G102*Pesi!$D$19+Pesi!$D$20*$H102+$I102*Pesi!$D$21+Pesi!$D$22*VLOOKUP($C102,TabAlgSqu,2,FALSE)+VLOOKUP($C102,TabAlgFC,2,FALSE)*Pesi!$D$23+Pesi!$D$24*VLOOKUP($C102,TabAlgAll,2,FALSE)</f>
        <v>63.427099999999996</v>
      </c>
      <c r="N102" s="155">
        <f>IF(ISNA(MATCH($B102,Pesi!$B$31:$B$34,0)),VLOOKUP(Pesi!$B$32,TabAlgCen,13,FALSE)-((VLOOKUP(Pesi!$B$32,TabAlgCen,12,FALSE)-$M102)/(VLOOKUP(Pesi!$B$32,TabAlgCen,12,FALSE)-Pesi!$F$42))*VLOOKUP(Pesi!$B$32,TabAlgCen,13,FALSE),$K102*$M102/$J102)</f>
        <v>-9.6512074066364022</v>
      </c>
      <c r="O102" s="155">
        <f t="shared" si="10"/>
        <v>1</v>
      </c>
      <c r="P102">
        <f t="shared" si="11"/>
        <v>33</v>
      </c>
      <c r="Q102" t="e">
        <f>VLOOKUP(B102,'C.P.'!$A$2:$B$164,2,FALSE)</f>
        <v>#N/A</v>
      </c>
      <c r="R102" t="e">
        <f>VLOOKUP(B102,'C.P.'!$C$2:$D$164,2,FALSE)</f>
        <v>#N/A</v>
      </c>
      <c r="S102" t="e">
        <f>VLOOKUP(B102,'C.P.'!$E$2:$F$164,2,FALSE)</f>
        <v>#N/A</v>
      </c>
      <c r="T102" t="e">
        <f>VLOOKUP(B102,'C.P.'!$G$2:$H$164,2,FALSE)</f>
        <v>#N/A</v>
      </c>
    </row>
    <row r="103" spans="1:21">
      <c r="A103">
        <f ca="1">COUNTIF('I.A. + Fasce'!B$1:'I.A. + Fasce'!B$538,B101)</f>
        <v>1</v>
      </c>
      <c r="B103" s="211" t="s">
        <v>619</v>
      </c>
      <c r="C103" s="212" t="str">
        <f>VLOOKUP(B103,'IA FG'!$B$2:$G$600,6,FALSE)</f>
        <v>TOR</v>
      </c>
      <c r="D103" s="213">
        <v>7</v>
      </c>
      <c r="E103" s="213">
        <v>5</v>
      </c>
      <c r="F103" s="213">
        <v>6</v>
      </c>
      <c r="G103" s="213">
        <v>5</v>
      </c>
      <c r="H103" s="213">
        <v>6</v>
      </c>
      <c r="I103" s="213">
        <v>5</v>
      </c>
      <c r="J103" s="210">
        <f>$D103*Pesi!$B$16+Pesi!$B$17*$E103+$F103*Pesi!$B$18+$G103*Pesi!$B$19+Pesi!$B$20*$H103+$I103*Pesi!$B$21+Pesi!$B$22*VLOOKUP($C103,TabAlgSqu,2,FALSE)+VLOOKUP($C103,TabAlgFC,2,FALSE)*Pesi!$B$23+Pesi!$B$24*VLOOKUP($C103,TabAlgAll,2,FALSE)</f>
        <v>65.447900000000004</v>
      </c>
      <c r="K103" s="155">
        <f>IF(ISNA(MATCH($B103,Pesi!$B$31:$B$34,0)),VLOOKUP(Pesi!$B$32,TabAlgCen,10,FALSE)-((VLOOKUP(Pesi!$B$32,TabAlgCen,9,FALSE)-$J103)/(VLOOKUP(Pesi!$B$32,TabAlgCen,9,FALSE)-Pesi!$D$42))*VLOOKUP(Pesi!$B$32,TabAlgCen,10,FALSE),Pesi!$F$32*Pesi!$C$28)</f>
        <v>-12.488249086446473</v>
      </c>
      <c r="L103" s="155">
        <f t="shared" si="9"/>
        <v>1</v>
      </c>
      <c r="M103" s="154">
        <f>$D103*Pesi!$D$16+Pesi!$D$17*$E103+$F103*Pesi!$D$18+$G103*Pesi!$D$19+Pesi!$D$20*$H103+$I103*Pesi!$D$21+Pesi!$D$22*VLOOKUP($C103,TabAlgSqu,2,FALSE)+VLOOKUP($C103,TabAlgFC,2,FALSE)*Pesi!$D$23+Pesi!$D$24*VLOOKUP($C103,TabAlgAll,2,FALSE)</f>
        <v>63.097899999999996</v>
      </c>
      <c r="N103" s="155">
        <f>IF(ISNA(MATCH($B103,Pesi!$B$31:$B$34,0)),VLOOKUP(Pesi!$B$32,TabAlgCen,13,FALSE)-((VLOOKUP(Pesi!$B$32,TabAlgCen,12,FALSE)-$M103)/(VLOOKUP(Pesi!$B$32,TabAlgCen,12,FALSE)-Pesi!$F$42))*VLOOKUP(Pesi!$B$32,TabAlgCen,13,FALSE),$K103*$M103/$J103)</f>
        <v>-10.540450732300343</v>
      </c>
      <c r="O103" s="155">
        <f t="shared" si="10"/>
        <v>1</v>
      </c>
      <c r="P103">
        <f t="shared" si="11"/>
        <v>34</v>
      </c>
      <c r="Q103" t="e">
        <f>VLOOKUP(B103,'C.P.'!$A$2:$B$164,2,FALSE)</f>
        <v>#N/A</v>
      </c>
      <c r="R103" t="e">
        <f>VLOOKUP(B103,'C.P.'!$C$2:$D$164,2,FALSE)</f>
        <v>#N/A</v>
      </c>
      <c r="S103">
        <f>VLOOKUP(B103,'C.P.'!$E$2:$F$164,2,FALSE)</f>
        <v>2</v>
      </c>
      <c r="T103">
        <f>VLOOKUP(B103,'C.P.'!$G$2:$H$164,2,FALSE)</f>
        <v>2</v>
      </c>
    </row>
    <row r="104" spans="1:21">
      <c r="A104">
        <f ca="1">COUNTIF('I.A. + Fasce'!B$1:'I.A. + Fasce'!B$538,B102)</f>
        <v>1</v>
      </c>
      <c r="B104" s="211" t="s">
        <v>1338</v>
      </c>
      <c r="C104" s="212" t="str">
        <f>VLOOKUP(B104,'IA FG'!$B$2:$G$600,6,FALSE)</f>
        <v>FIO</v>
      </c>
      <c r="D104" s="213">
        <v>9</v>
      </c>
      <c r="E104" s="213">
        <v>5</v>
      </c>
      <c r="F104" s="213">
        <v>6</v>
      </c>
      <c r="G104" s="213">
        <v>5</v>
      </c>
      <c r="H104" s="213">
        <v>6</v>
      </c>
      <c r="I104" s="213">
        <v>5</v>
      </c>
      <c r="J104" s="210">
        <f>$D104*Pesi!$B$16+Pesi!$B$17*$E104+$F104*Pesi!$B$18+$G104*Pesi!$B$19+Pesi!$B$20*$H104+$I104*Pesi!$B$21+Pesi!$B$22*VLOOKUP($C104,TabAlgSqu,2,FALSE)+VLOOKUP($C104,TabAlgFC,2,FALSE)*Pesi!$B$23+Pesi!$B$24*VLOOKUP($C104,TabAlgAll,2,FALSE)</f>
        <v>65.31450000000001</v>
      </c>
      <c r="K104" s="155">
        <f>IF(ISNA(MATCH($B104,Pesi!$B$31:$B$34,0)),VLOOKUP(Pesi!$B$32,TabAlgCen,10,FALSE)-((VLOOKUP(Pesi!$B$32,TabAlgCen,9,FALSE)-$J104)/(VLOOKUP(Pesi!$B$32,TabAlgCen,9,FALSE)-Pesi!$D$42))*VLOOKUP(Pesi!$B$32,TabAlgCen,10,FALSE),Pesi!$F$32*Pesi!$C$28)</f>
        <v>-12.854219172369881</v>
      </c>
      <c r="L104" s="155">
        <f t="shared" si="9"/>
        <v>1</v>
      </c>
      <c r="M104" s="154">
        <f>$D104*Pesi!$D$16+Pesi!$D$17*$E104+$F104*Pesi!$D$18+$G104*Pesi!$D$19+Pesi!$D$20*$H104+$I104*Pesi!$D$21+Pesi!$D$22*VLOOKUP($C104,TabAlgSqu,2,FALSE)+VLOOKUP($C104,TabAlgFC,2,FALSE)*Pesi!$D$23+Pesi!$D$24*VLOOKUP($C104,TabAlgAll,2,FALSE)</f>
        <v>62.964499999999994</v>
      </c>
      <c r="N104" s="155">
        <f>IF(ISNA(MATCH($B104,Pesi!$B$31:$B$34,0)),VLOOKUP(Pesi!$B$32,TabAlgCen,13,FALSE)-((VLOOKUP(Pesi!$B$32,TabAlgCen,12,FALSE)-$M104)/(VLOOKUP(Pesi!$B$32,TabAlgCen,12,FALSE)-Pesi!$F$42))*VLOOKUP(Pesi!$B$32,TabAlgCen,13,FALSE),$K104*$M104/$J104)</f>
        <v>-10.900794169856766</v>
      </c>
      <c r="O104" s="155">
        <f t="shared" si="10"/>
        <v>1</v>
      </c>
      <c r="P104">
        <f t="shared" si="11"/>
        <v>36</v>
      </c>
      <c r="Q104" t="e">
        <f>VLOOKUP(B104,'C.P.'!$A$2:$B$164,2,FALSE)</f>
        <v>#N/A</v>
      </c>
      <c r="R104" t="e">
        <f>VLOOKUP(B104,'C.P.'!$C$2:$D$164,2,FALSE)</f>
        <v>#N/A</v>
      </c>
      <c r="S104" t="e">
        <f>VLOOKUP(B104,'C.P.'!$E$2:$F$164,2,FALSE)</f>
        <v>#N/A</v>
      </c>
      <c r="T104" t="e">
        <f>VLOOKUP(B104,'C.P.'!$G$2:$H$164,2,FALSE)</f>
        <v>#N/A</v>
      </c>
    </row>
    <row r="105" spans="1:21">
      <c r="A105">
        <f ca="1">COUNTIF('I.A. + Fasce'!B$1:'I.A. + Fasce'!B$538,B103)</f>
        <v>1</v>
      </c>
      <c r="B105" s="211" t="s">
        <v>571</v>
      </c>
      <c r="C105" s="212" t="str">
        <f>VLOOKUP(B105,'IA FG'!$B$2:$G$600,6,FALSE)</f>
        <v>TOR</v>
      </c>
      <c r="D105" s="213">
        <v>6</v>
      </c>
      <c r="E105" s="213">
        <v>6</v>
      </c>
      <c r="F105" s="213">
        <v>5</v>
      </c>
      <c r="G105" s="213">
        <v>6</v>
      </c>
      <c r="H105" s="213">
        <v>6</v>
      </c>
      <c r="I105" s="213">
        <v>5</v>
      </c>
      <c r="J105" s="210">
        <f>$D105*Pesi!$B$16+Pesi!$B$17*$E105+$F105*Pesi!$B$18+$G105*Pesi!$B$19+Pesi!$B$20*$H105+$I105*Pesi!$B$21+Pesi!$B$22*VLOOKUP($C105,TabAlgSqu,2,FALSE)+VLOOKUP($C105,TabAlgFC,2,FALSE)*Pesi!$B$23+Pesi!$B$24*VLOOKUP($C105,TabAlgAll,2,FALSE)</f>
        <v>65.21459999999999</v>
      </c>
      <c r="K105" s="155">
        <f>IF(ISNA(MATCH($B105,Pesi!$B$31:$B$34,0)),VLOOKUP(Pesi!$B$32,TabAlgCen,10,FALSE)-((VLOOKUP(Pesi!$B$32,TabAlgCen,9,FALSE)-$J105)/(VLOOKUP(Pesi!$B$32,TabAlgCen,9,FALSE)-Pesi!$D$42))*VLOOKUP(Pesi!$B$32,TabAlgCen,10,FALSE),Pesi!$F$32*Pesi!$C$28)</f>
        <v>-13.128285226221109</v>
      </c>
      <c r="L105" s="155">
        <f t="shared" si="9"/>
        <v>1</v>
      </c>
      <c r="M105" s="154">
        <f>$D105*Pesi!$D$16+Pesi!$D$17*$E105+$F105*Pesi!$D$18+$G105*Pesi!$D$19+Pesi!$D$20*$H105+$I105*Pesi!$D$21+Pesi!$D$22*VLOOKUP($C105,TabAlgSqu,2,FALSE)+VLOOKUP($C105,TabAlgFC,2,FALSE)*Pesi!$D$23+Pesi!$D$24*VLOOKUP($C105,TabAlgAll,2,FALSE)</f>
        <v>63.164599999999993</v>
      </c>
      <c r="N105" s="155">
        <f>IF(ISNA(MATCH($B105,Pesi!$B$31:$B$34,0)),VLOOKUP(Pesi!$B$32,TabAlgCen,13,FALSE)-((VLOOKUP(Pesi!$B$32,TabAlgCen,12,FALSE)-$M105)/(VLOOKUP(Pesi!$B$32,TabAlgCen,12,FALSE)-Pesi!$F$42))*VLOOKUP(Pesi!$B$32,TabAlgCen,13,FALSE),$K105*$M105/$J105)</f>
        <v>-10.36027901352216</v>
      </c>
      <c r="O105" s="155">
        <f t="shared" si="10"/>
        <v>1</v>
      </c>
      <c r="P105">
        <f t="shared" si="11"/>
        <v>34</v>
      </c>
      <c r="Q105" t="e">
        <f>VLOOKUP(B105,'C.P.'!$A$2:$B$164,2,FALSE)</f>
        <v>#N/A</v>
      </c>
      <c r="R105" t="e">
        <f>VLOOKUP(B105,'C.P.'!$C$2:$D$164,2,FALSE)</f>
        <v>#N/A</v>
      </c>
      <c r="S105" t="e">
        <f>VLOOKUP(B105,'C.P.'!$E$2:$F$164,2,FALSE)</f>
        <v>#N/A</v>
      </c>
      <c r="T105" t="e">
        <f>VLOOKUP(B105,'C.P.'!$G$2:$H$164,2,FALSE)</f>
        <v>#N/A</v>
      </c>
    </row>
    <row r="106" spans="1:21">
      <c r="A106">
        <f ca="1">COUNTIF('I.A. + Fasce'!B$1:'I.A. + Fasce'!B$538,B104)</f>
        <v>1</v>
      </c>
      <c r="B106" s="211" t="s">
        <v>482</v>
      </c>
      <c r="C106" s="212" t="str">
        <f>VLOOKUP(B106,'IA FG'!$B$2:$G$600,6,FALSE)</f>
        <v>UDI</v>
      </c>
      <c r="D106" s="213">
        <v>8</v>
      </c>
      <c r="E106" s="213">
        <v>7</v>
      </c>
      <c r="F106" s="213">
        <v>6</v>
      </c>
      <c r="G106" s="213">
        <v>6</v>
      </c>
      <c r="H106" s="213">
        <v>4</v>
      </c>
      <c r="I106" s="213">
        <v>6</v>
      </c>
      <c r="J106" s="210">
        <f>$D106*Pesi!$B$16+Pesi!$B$17*$E106+$F106*Pesi!$B$18+$G106*Pesi!$B$19+Pesi!$B$20*$H106+$I106*Pesi!$B$21+Pesi!$B$22*VLOOKUP($C106,TabAlgSqu,2,FALSE)+VLOOKUP($C106,TabAlgFC,2,FALSE)*Pesi!$B$23+Pesi!$B$24*VLOOKUP($C106,TabAlgAll,2,FALSE)</f>
        <v>65.201899999999995</v>
      </c>
      <c r="K106" s="155">
        <f>IF(ISNA(MATCH($B106,Pesi!$B$31:$B$34,0)),VLOOKUP(Pesi!$B$32,TabAlgCen,10,FALSE)-((VLOOKUP(Pesi!$B$32,TabAlgCen,9,FALSE)-$J106)/(VLOOKUP(Pesi!$B$32,TabAlgCen,9,FALSE)-Pesi!$D$42))*VLOOKUP(Pesi!$B$32,TabAlgCen,10,FALSE),Pesi!$F$32*Pesi!$C$28)</f>
        <v>-13.163126456290271</v>
      </c>
      <c r="L106" s="155">
        <f t="shared" si="9"/>
        <v>1</v>
      </c>
      <c r="M106" s="154">
        <f>$D106*Pesi!$D$16+Pesi!$D$17*$E106+$F106*Pesi!$D$18+$G106*Pesi!$D$19+Pesi!$D$20*$H106+$I106*Pesi!$D$21+Pesi!$D$22*VLOOKUP($C106,TabAlgSqu,2,FALSE)+VLOOKUP($C106,TabAlgFC,2,FALSE)*Pesi!$D$23+Pesi!$D$24*VLOOKUP($C106,TabAlgAll,2,FALSE)</f>
        <v>62.801899999999996</v>
      </c>
      <c r="N106" s="155">
        <f>IF(ISNA(MATCH($B106,Pesi!$B$31:$B$34,0)),VLOOKUP(Pesi!$B$32,TabAlgCen,13,FALSE)-((VLOOKUP(Pesi!$B$32,TabAlgCen,12,FALSE)-$M106)/(VLOOKUP(Pesi!$B$32,TabAlgCen,12,FALSE)-Pesi!$F$42))*VLOOKUP(Pesi!$B$32,TabAlgCen,13,FALSE),$K106*$M106/$J106)</f>
        <v>-11.340013382350563</v>
      </c>
      <c r="O106" s="155">
        <f t="shared" si="10"/>
        <v>1</v>
      </c>
      <c r="P106">
        <f t="shared" si="11"/>
        <v>37</v>
      </c>
      <c r="Q106">
        <f>VLOOKUP(B106,'C.P.'!$A$2:$B$164,2,FALSE)</f>
        <v>-1</v>
      </c>
      <c r="R106" t="e">
        <f>VLOOKUP(B106,'C.P.'!$C$2:$D$164,2,FALSE)</f>
        <v>#N/A</v>
      </c>
      <c r="S106">
        <f>VLOOKUP(B106,'C.P.'!$E$2:$F$164,2,FALSE)</f>
        <v>2</v>
      </c>
      <c r="T106" t="e">
        <f>VLOOKUP(B106,'C.P.'!$G$2:$H$164,2,FALSE)</f>
        <v>#N/A</v>
      </c>
    </row>
    <row r="107" spans="1:21">
      <c r="A107">
        <f ca="1">COUNTIF('I.A. + Fasce'!B$1:'I.A. + Fasce'!B$538,B104)</f>
        <v>1</v>
      </c>
      <c r="B107" s="211" t="s">
        <v>565</v>
      </c>
      <c r="C107" s="212" t="str">
        <f>VLOOKUP(B107,'IA FG'!$B$2:$G$600,6,FALSE)</f>
        <v>BOL</v>
      </c>
      <c r="D107" s="213">
        <v>8</v>
      </c>
      <c r="E107" s="213">
        <v>7</v>
      </c>
      <c r="F107" s="213">
        <v>7</v>
      </c>
      <c r="G107" s="213">
        <v>5</v>
      </c>
      <c r="H107" s="213">
        <v>6</v>
      </c>
      <c r="I107" s="213">
        <v>5</v>
      </c>
      <c r="J107" s="210">
        <f>$D107*Pesi!$B$16+Pesi!$B$17*$E107+$F107*Pesi!$B$18+$G107*Pesi!$B$19+Pesi!$B$20*$H107+$I107*Pesi!$B$21+Pesi!$B$22*VLOOKUP($C107,TabAlgSqu,2,FALSE)+VLOOKUP($C107,TabAlgFC,2,FALSE)*Pesi!$B$23+Pesi!$B$24*VLOOKUP($C107,TabAlgAll,2,FALSE)</f>
        <v>65.131200000000007</v>
      </c>
      <c r="K107" s="155">
        <f>IF(ISNA(MATCH($B107,Pesi!$B$31:$B$34,0)),VLOOKUP(Pesi!$B$32,TabAlgCen,10,FALSE)-((VLOOKUP(Pesi!$B$32,TabAlgCen,9,FALSE)-$J107)/(VLOOKUP(Pesi!$B$32,TabAlgCen,9,FALSE)-Pesi!$D$42))*VLOOKUP(Pesi!$B$32,TabAlgCen,10,FALSE),Pesi!$F$32*Pesi!$C$28)</f>
        <v>-13.357085115021775</v>
      </c>
      <c r="L107" s="155">
        <f t="shared" si="9"/>
        <v>1</v>
      </c>
      <c r="M107" s="154">
        <f>$D107*Pesi!$D$16+Pesi!$D$17*$E107+$F107*Pesi!$D$18+$G107*Pesi!$D$19+Pesi!$D$20*$H107+$I107*Pesi!$D$21+Pesi!$D$22*VLOOKUP($C107,TabAlgSqu,2,FALSE)+VLOOKUP($C107,TabAlgFC,2,FALSE)*Pesi!$D$23+Pesi!$D$24*VLOOKUP($C107,TabAlgAll,2,FALSE)</f>
        <v>62.431199999999997</v>
      </c>
      <c r="N107" s="155">
        <f>IF(ISNA(MATCH($B107,Pesi!$B$31:$B$34,0)),VLOOKUP(Pesi!$B$32,TabAlgCen,13,FALSE)-((VLOOKUP(Pesi!$B$32,TabAlgCen,12,FALSE)-$M107)/(VLOOKUP(Pesi!$B$32,TabAlgCen,12,FALSE)-Pesi!$F$42))*VLOOKUP(Pesi!$B$32,TabAlgCen,13,FALSE),$K107*$M107/$J107)</f>
        <v>-12.341357552531662</v>
      </c>
      <c r="O107" s="155">
        <f t="shared" si="10"/>
        <v>1</v>
      </c>
      <c r="P107">
        <f t="shared" si="11"/>
        <v>38</v>
      </c>
      <c r="Q107" t="e">
        <f>VLOOKUP(B107,'C.P.'!$A$2:$B$164,2,FALSE)</f>
        <v>#N/A</v>
      </c>
      <c r="R107" t="e">
        <f>VLOOKUP(B107,'C.P.'!$C$2:$D$164,2,FALSE)</f>
        <v>#N/A</v>
      </c>
      <c r="S107" t="e">
        <f>VLOOKUP(B107,'C.P.'!$E$2:$F$164,2,FALSE)</f>
        <v>#N/A</v>
      </c>
      <c r="T107" t="e">
        <f>VLOOKUP(B107,'C.P.'!$G$2:$H$164,2,FALSE)</f>
        <v>#N/A</v>
      </c>
    </row>
    <row r="108" spans="1:21">
      <c r="A108">
        <f ca="1">COUNTIF('I.A. + Fasce'!B$1:'I.A. + Fasce'!B$538,B106)</f>
        <v>1</v>
      </c>
      <c r="B108" s="211" t="s">
        <v>575</v>
      </c>
      <c r="C108" s="212" t="str">
        <f>VLOOKUP(B108,'IA FG'!$B$2:$G$600,6,FALSE)</f>
        <v>CAG</v>
      </c>
      <c r="D108" s="213">
        <v>8</v>
      </c>
      <c r="E108" s="213">
        <v>6</v>
      </c>
      <c r="F108" s="213">
        <v>5</v>
      </c>
      <c r="G108" s="213">
        <v>6</v>
      </c>
      <c r="H108" s="213">
        <v>6</v>
      </c>
      <c r="I108" s="213">
        <v>5</v>
      </c>
      <c r="J108" s="210">
        <f>$D108*Pesi!$B$16+Pesi!$B$17*$E108+$F108*Pesi!$B$18+$G108*Pesi!$B$19+Pesi!$B$20*$H108+$I108*Pesi!$B$21+Pesi!$B$22*VLOOKUP($C108,TabAlgSqu,2,FALSE)+VLOOKUP($C108,TabAlgFC,2,FALSE)*Pesi!$B$23+Pesi!$B$24*VLOOKUP($C108,TabAlgAll,2,FALSE)</f>
        <v>64.916200000000003</v>
      </c>
      <c r="K108" s="155">
        <f>IF(ISNA(MATCH($B108,Pesi!$B$31:$B$34,0)),VLOOKUP(Pesi!$B$32,TabAlgCen,10,FALSE)-((VLOOKUP(Pesi!$B$32,TabAlgCen,9,FALSE)-$J108)/(VLOOKUP(Pesi!$B$32,TabAlgCen,9,FALSE)-Pesi!$D$42))*VLOOKUP(Pesi!$B$32,TabAlgCen,10,FALSE),Pesi!$F$32*Pesi!$C$28)</f>
        <v>-13.946916962649468</v>
      </c>
      <c r="L108" s="155">
        <f t="shared" si="9"/>
        <v>1</v>
      </c>
      <c r="M108" s="154">
        <f>$D108*Pesi!$D$16+Pesi!$D$17*$E108+$F108*Pesi!$D$18+$G108*Pesi!$D$19+Pesi!$D$20*$H108+$I108*Pesi!$D$21+Pesi!$D$22*VLOOKUP($C108,TabAlgSqu,2,FALSE)+VLOOKUP($C108,TabAlgFC,2,FALSE)*Pesi!$D$23+Pesi!$D$24*VLOOKUP($C108,TabAlgAll,2,FALSE)</f>
        <v>62.866200000000006</v>
      </c>
      <c r="N108" s="155">
        <f>IF(ISNA(MATCH($B108,Pesi!$B$31:$B$34,0)),VLOOKUP(Pesi!$B$32,TabAlgCen,13,FALSE)-((VLOOKUP(Pesi!$B$32,TabAlgCen,12,FALSE)-$M108)/(VLOOKUP(Pesi!$B$32,TabAlgCen,12,FALSE)-Pesi!$F$42))*VLOOKUP(Pesi!$B$32,TabAlgCen,13,FALSE),$K108*$M108/$J108)</f>
        <v>-11.16632460397814</v>
      </c>
      <c r="O108" s="155">
        <f t="shared" si="10"/>
        <v>1</v>
      </c>
      <c r="P108">
        <f t="shared" si="11"/>
        <v>36</v>
      </c>
      <c r="Q108">
        <f>VLOOKUP(B108,'C.P.'!$A$2:$B$164,2,FALSE)</f>
        <v>-1</v>
      </c>
      <c r="R108" t="e">
        <f>VLOOKUP(B108,'C.P.'!$C$2:$D$164,2,FALSE)</f>
        <v>#N/A</v>
      </c>
      <c r="S108" t="e">
        <f>VLOOKUP(B108,'C.P.'!$E$2:$F$164,2,FALSE)</f>
        <v>#N/A</v>
      </c>
      <c r="T108" t="e">
        <f>VLOOKUP(B108,'C.P.'!$G$2:$H$164,2,FALSE)</f>
        <v>#N/A</v>
      </c>
    </row>
    <row r="109" spans="1:21">
      <c r="A109">
        <f ca="1">COUNTIF('I.A. + Fasce'!B$1:'I.A. + Fasce'!B$538,#REF!)</f>
        <v>0</v>
      </c>
      <c r="B109" s="211" t="s">
        <v>1958</v>
      </c>
      <c r="C109" s="212" t="str">
        <f>VLOOKUP(B109,'IA FG'!$B$2:$G$600,6,FALSE)</f>
        <v>MIL</v>
      </c>
      <c r="D109" s="213">
        <v>8</v>
      </c>
      <c r="E109" s="213">
        <v>3</v>
      </c>
      <c r="F109" s="213">
        <v>6</v>
      </c>
      <c r="G109" s="213">
        <v>6</v>
      </c>
      <c r="H109" s="213">
        <v>6</v>
      </c>
      <c r="I109" s="213">
        <v>3</v>
      </c>
      <c r="J109" s="210">
        <f>$D109*Pesi!$B$16+Pesi!$B$17*$E109+$F109*Pesi!$B$18+$G109*Pesi!$B$19+Pesi!$B$20*$H109+$I109*Pesi!$B$21+Pesi!$B$22*VLOOKUP($C109,TabAlgSqu,2,FALSE)+VLOOKUP($C109,TabAlgFC,2,FALSE)*Pesi!$B$23+Pesi!$B$24*VLOOKUP($C109,TabAlgAll,2,FALSE)</f>
        <v>64.839600000000004</v>
      </c>
      <c r="K109" s="155">
        <f>IF(ISNA(MATCH($B109,Pesi!$B$31:$B$34,0)),VLOOKUP(Pesi!$B$32,TabAlgCen,10,FALSE)-((VLOOKUP(Pesi!$B$32,TabAlgCen,9,FALSE)-$J109)/(VLOOKUP(Pesi!$B$32,TabAlgCen,9,FALSE)-Pesi!$D$42))*VLOOKUP(Pesi!$B$32,TabAlgCen,10,FALSE),Pesi!$F$32*Pesi!$C$28)</f>
        <v>-14.157061704641464</v>
      </c>
      <c r="L109" s="155">
        <f t="shared" si="9"/>
        <v>1</v>
      </c>
      <c r="M109" s="154">
        <f>$D109*Pesi!$D$16+Pesi!$D$17*$E109+$F109*Pesi!$D$18+$G109*Pesi!$D$19+Pesi!$D$20*$H109+$I109*Pesi!$D$21+Pesi!$D$22*VLOOKUP($C109,TabAlgSqu,2,FALSE)+VLOOKUP($C109,TabAlgFC,2,FALSE)*Pesi!$D$23+Pesi!$D$24*VLOOKUP($C109,TabAlgAll,2,FALSE)</f>
        <v>62.439599999999999</v>
      </c>
      <c r="N109" s="155">
        <f>IF(ISNA(MATCH($B109,Pesi!$B$31:$B$34,0)),VLOOKUP(Pesi!$B$32,TabAlgCen,13,FALSE)-((VLOOKUP(Pesi!$B$32,TabAlgCen,12,FALSE)-$M109)/(VLOOKUP(Pesi!$B$32,TabAlgCen,12,FALSE)-Pesi!$F$42))*VLOOKUP(Pesi!$B$32,TabAlgCen,13,FALSE),$K109*$M109/$J109)</f>
        <v>-12.318667261111329</v>
      </c>
      <c r="O109" s="155">
        <f t="shared" si="10"/>
        <v>1</v>
      </c>
      <c r="P109">
        <f t="shared" si="11"/>
        <v>32</v>
      </c>
      <c r="Q109" t="e">
        <f>VLOOKUP(B109,'C.P.'!$A$2:$B$164,2,FALSE)</f>
        <v>#N/A</v>
      </c>
      <c r="R109" t="e">
        <f>VLOOKUP(B109,'C.P.'!$C$2:$D$164,2,FALSE)</f>
        <v>#N/A</v>
      </c>
      <c r="S109" t="e">
        <f>VLOOKUP(B109,'C.P.'!$E$2:$F$164,2,FALSE)</f>
        <v>#N/A</v>
      </c>
      <c r="T109" t="e">
        <f>VLOOKUP(B109,'C.P.'!$G$2:$H$164,2,FALSE)</f>
        <v>#N/A</v>
      </c>
    </row>
    <row r="110" spans="1:21">
      <c r="B110" s="211" t="s">
        <v>1306</v>
      </c>
      <c r="C110" s="212" t="str">
        <f>VLOOKUP(B110,'IA FG'!$B$2:$G$600,6,FALSE)</f>
        <v>MIL</v>
      </c>
      <c r="D110" s="213">
        <v>8</v>
      </c>
      <c r="E110" s="213">
        <v>4</v>
      </c>
      <c r="F110" s="213">
        <v>6</v>
      </c>
      <c r="G110" s="213">
        <v>5</v>
      </c>
      <c r="H110" s="213">
        <v>5</v>
      </c>
      <c r="I110" s="213">
        <v>4</v>
      </c>
      <c r="J110" s="210">
        <f>$D110*Pesi!$B$16+Pesi!$B$17*$E110+$F110*Pesi!$B$18+$G110*Pesi!$B$19+Pesi!$B$20*$H110+$I110*Pesi!$B$21+Pesi!$B$22*VLOOKUP($C110,TabAlgSqu,2,FALSE)+VLOOKUP($C110,TabAlgFC,2,FALSE)*Pesi!$B$23+Pesi!$B$24*VLOOKUP($C110,TabAlgAll,2,FALSE)</f>
        <v>64.564599999999999</v>
      </c>
      <c r="K110" s="155">
        <f>IF(ISNA(MATCH($B110,Pesi!$B$31:$B$34,0)),VLOOKUP(Pesi!$B$32,TabAlgCen,10,FALSE)-((VLOOKUP(Pesi!$B$32,TabAlgCen,9,FALSE)-$J110)/(VLOOKUP(Pesi!$B$32,TabAlgCen,9,FALSE)-Pesi!$D$42))*VLOOKUP(Pesi!$B$32,TabAlgCen,10,FALSE),Pesi!$F$32*Pesi!$C$28)</f>
        <v>-14.911497788816433</v>
      </c>
      <c r="L110" s="155">
        <f t="shared" si="9"/>
        <v>1</v>
      </c>
      <c r="M110" s="154">
        <f>$D110*Pesi!$D$16+Pesi!$D$17*$E110+$F110*Pesi!$D$18+$G110*Pesi!$D$19+Pesi!$D$20*$H110+$I110*Pesi!$D$21+Pesi!$D$22*VLOOKUP($C110,TabAlgSqu,2,FALSE)+VLOOKUP($C110,TabAlgFC,2,FALSE)*Pesi!$D$23+Pesi!$D$24*VLOOKUP($C110,TabAlgAll,2,FALSE)</f>
        <v>62.21459999999999</v>
      </c>
      <c r="N110" s="155">
        <f>IF(ISNA(MATCH($B110,Pesi!$B$31:$B$34,0)),VLOOKUP(Pesi!$B$32,TabAlgCen,13,FALSE)-((VLOOKUP(Pesi!$B$32,TabAlgCen,12,FALSE)-$M110)/(VLOOKUP(Pesi!$B$32,TabAlgCen,12,FALSE)-Pesi!$F$42))*VLOOKUP(Pesi!$B$32,TabAlgCen,13,FALSE),$K110*$M110/$J110)</f>
        <v>-12.926442924156262</v>
      </c>
      <c r="O110" s="155">
        <f t="shared" si="10"/>
        <v>1</v>
      </c>
      <c r="P110">
        <f t="shared" si="11"/>
        <v>32</v>
      </c>
      <c r="Q110" t="e">
        <f>VLOOKUP(B110,'C.P.'!$A$2:$B$164,2,FALSE)</f>
        <v>#N/A</v>
      </c>
      <c r="R110" t="e">
        <f>VLOOKUP(B110,'C.P.'!$C$2:$D$164,2,FALSE)</f>
        <v>#N/A</v>
      </c>
      <c r="S110" t="e">
        <f>VLOOKUP(B110,'C.P.'!$E$2:$F$164,2,FALSE)</f>
        <v>#N/A</v>
      </c>
      <c r="T110" t="e">
        <f>VLOOKUP(B110,'C.P.'!$G$2:$H$164,2,FALSE)</f>
        <v>#N/A</v>
      </c>
    </row>
    <row r="111" spans="1:21">
      <c r="A111">
        <f ca="1">COUNTIF('I.A. + Fasce'!B$1:'I.A. + Fasce'!B$538,B108)</f>
        <v>1</v>
      </c>
      <c r="B111" s="211" t="s">
        <v>926</v>
      </c>
      <c r="C111" s="212" t="str">
        <f>VLOOKUP(B111,'IA FG'!$B$2:$G$600,6,FALSE)</f>
        <v>FIO</v>
      </c>
      <c r="D111" s="213">
        <v>9</v>
      </c>
      <c r="E111" s="213">
        <v>4</v>
      </c>
      <c r="F111" s="213">
        <v>6</v>
      </c>
      <c r="G111" s="213">
        <v>7</v>
      </c>
      <c r="H111" s="213">
        <v>6</v>
      </c>
      <c r="I111" s="213">
        <v>3</v>
      </c>
      <c r="J111" s="210">
        <f>$D111*Pesi!$B$16+Pesi!$B$17*$E111+$F111*Pesi!$B$18+$G111*Pesi!$B$19+Pesi!$B$20*$H111+$I111*Pesi!$B$21+Pesi!$B$22*VLOOKUP($C111,TabAlgSqu,2,FALSE)+VLOOKUP($C111,TabAlgFC,2,FALSE)*Pesi!$B$23+Pesi!$B$24*VLOOKUP($C111,TabAlgAll,2,FALSE)</f>
        <v>64.410399999999996</v>
      </c>
      <c r="K111" s="155">
        <f>IF(ISNA(MATCH($B111,Pesi!$B$31:$B$34,0)),VLOOKUP(Pesi!$B$32,TabAlgCen,10,FALSE)-((VLOOKUP(Pesi!$B$32,TabAlgCen,9,FALSE)-$J111)/(VLOOKUP(Pesi!$B$32,TabAlgCen,9,FALSE)-Pesi!$D$42))*VLOOKUP(Pesi!$B$32,TabAlgCen,10,FALSE),Pesi!$F$32*Pesi!$C$28)</f>
        <v>-15.334530676742901</v>
      </c>
      <c r="L111" s="155">
        <f t="shared" si="9"/>
        <v>1</v>
      </c>
      <c r="M111" s="154">
        <f>$D111*Pesi!$D$16+Pesi!$D$17*$E111+$F111*Pesi!$D$18+$G111*Pesi!$D$19+Pesi!$D$20*$H111+$I111*Pesi!$D$21+Pesi!$D$22*VLOOKUP($C111,TabAlgSqu,2,FALSE)+VLOOKUP($C111,TabAlgFC,2,FALSE)*Pesi!$D$23+Pesi!$D$24*VLOOKUP($C111,TabAlgAll,2,FALSE)</f>
        <v>61.960399999999993</v>
      </c>
      <c r="N111" s="155">
        <f>IF(ISNA(MATCH($B111,Pesi!$B$31:$B$34,0)),VLOOKUP(Pesi!$B$32,TabAlgCen,13,FALSE)-((VLOOKUP(Pesi!$B$32,TabAlgCen,12,FALSE)-$M111)/(VLOOKUP(Pesi!$B$32,TabAlgCen,12,FALSE)-Pesi!$F$42))*VLOOKUP(Pesi!$B$32,TabAlgCen,13,FALSE),$K111*$M111/$J111)</f>
        <v>-13.613094362138568</v>
      </c>
      <c r="O111" s="155">
        <f t="shared" si="10"/>
        <v>1</v>
      </c>
      <c r="P111">
        <f t="shared" si="11"/>
        <v>35</v>
      </c>
      <c r="Q111" t="e">
        <f>VLOOKUP(B111,'C.P.'!$A$2:$B$164,2,FALSE)</f>
        <v>#N/A</v>
      </c>
      <c r="R111" t="e">
        <f>VLOOKUP(B111,'C.P.'!$C$2:$D$164,2,FALSE)</f>
        <v>#N/A</v>
      </c>
      <c r="S111" t="e">
        <f>VLOOKUP(B111,'C.P.'!$E$2:$F$164,2,FALSE)</f>
        <v>#N/A</v>
      </c>
      <c r="T111" t="e">
        <f>VLOOKUP(B111,'C.P.'!$G$2:$H$164,2,FALSE)</f>
        <v>#N/A</v>
      </c>
    </row>
    <row r="112" spans="1:21">
      <c r="A112">
        <f ca="1">COUNTIF('I.A. + Fasce'!B$1:'I.A. + Fasce'!B$538,B112)</f>
        <v>1</v>
      </c>
      <c r="B112" s="211" t="s">
        <v>1298</v>
      </c>
      <c r="C112" s="212" t="str">
        <f>VLOOKUP(B112,'IA FG'!$B$2:$G$600,6,FALSE)</f>
        <v>FIO</v>
      </c>
      <c r="D112" s="213">
        <v>8</v>
      </c>
      <c r="E112" s="213">
        <v>4</v>
      </c>
      <c r="F112" s="213">
        <v>6</v>
      </c>
      <c r="G112" s="213">
        <v>7</v>
      </c>
      <c r="H112" s="213">
        <v>7</v>
      </c>
      <c r="I112" s="213">
        <v>3</v>
      </c>
      <c r="J112" s="210">
        <f>$D112*Pesi!$B$16+Pesi!$B$17*$E112+$F112*Pesi!$B$18+$G112*Pesi!$B$19+Pesi!$B$20*$H112+$I112*Pesi!$B$21+Pesi!$B$22*VLOOKUP($C112,TabAlgSqu,2,FALSE)+VLOOKUP($C112,TabAlgFC,2,FALSE)*Pesi!$B$23+Pesi!$B$24*VLOOKUP($C112,TabAlgAll,2,FALSE)</f>
        <v>64.410399999999996</v>
      </c>
      <c r="K112" s="155">
        <f>IF(ISNA(MATCH($B112,Pesi!$B$31:$B$34,0)),VLOOKUP(Pesi!$B$32,TabAlgCen,10,FALSE)-((VLOOKUP(Pesi!$B$32,TabAlgCen,9,FALSE)-$J112)/(VLOOKUP(Pesi!$B$32,TabAlgCen,9,FALSE)-Pesi!$D$42))*VLOOKUP(Pesi!$B$32,TabAlgCen,10,FALSE),Pesi!$F$32*Pesi!$C$28)</f>
        <v>-15.334530676742901</v>
      </c>
      <c r="L112" s="155">
        <f t="shared" si="9"/>
        <v>1</v>
      </c>
      <c r="M112" s="154">
        <f>$D112*Pesi!$D$16+Pesi!$D$17*$E112+$F112*Pesi!$D$18+$G112*Pesi!$D$19+Pesi!$D$20*$H112+$I112*Pesi!$D$21+Pesi!$D$22*VLOOKUP($C112,TabAlgSqu,2,FALSE)+VLOOKUP($C112,TabAlgFC,2,FALSE)*Pesi!$D$23+Pesi!$D$24*VLOOKUP($C112,TabAlgAll,2,FALSE)</f>
        <v>61.960399999999993</v>
      </c>
      <c r="N112" s="155">
        <f>IF(ISNA(MATCH($B112,Pesi!$B$31:$B$34,0)),VLOOKUP(Pesi!$B$32,TabAlgCen,13,FALSE)-((VLOOKUP(Pesi!$B$32,TabAlgCen,12,FALSE)-$M112)/(VLOOKUP(Pesi!$B$32,TabAlgCen,12,FALSE)-Pesi!$F$42))*VLOOKUP(Pesi!$B$32,TabAlgCen,13,FALSE),$K112*$M112/$J112)</f>
        <v>-13.613094362138568</v>
      </c>
      <c r="O112" s="155">
        <f t="shared" si="10"/>
        <v>1</v>
      </c>
      <c r="P112">
        <f t="shared" si="11"/>
        <v>35</v>
      </c>
      <c r="Q112" t="e">
        <f>VLOOKUP(B112,'C.P.'!$A$2:$B$164,2,FALSE)</f>
        <v>#N/A</v>
      </c>
      <c r="R112" t="e">
        <f>VLOOKUP(B112,'C.P.'!$C$2:$D$164,2,FALSE)</f>
        <v>#N/A</v>
      </c>
      <c r="S112" t="e">
        <f>VLOOKUP(B112,'C.P.'!$E$2:$F$164,2,FALSE)</f>
        <v>#N/A</v>
      </c>
      <c r="T112" t="e">
        <f>VLOOKUP(B112,'C.P.'!$G$2:$H$164,2,FALSE)</f>
        <v>#N/A</v>
      </c>
      <c r="U112" s="180"/>
    </row>
    <row r="113" spans="1:21">
      <c r="A113">
        <f ca="1">COUNTIF('I.A. + Fasce'!B$1:'I.A. + Fasce'!B$538,B110)</f>
        <v>1</v>
      </c>
      <c r="B113" s="211" t="s">
        <v>458</v>
      </c>
      <c r="C113" s="212" t="str">
        <f>VLOOKUP(B113,'IA FG'!$B$2:$G$600,6,FALSE)</f>
        <v>CRO</v>
      </c>
      <c r="D113" s="213">
        <v>6</v>
      </c>
      <c r="E113" s="213">
        <v>6</v>
      </c>
      <c r="F113" s="213">
        <v>7</v>
      </c>
      <c r="G113" s="213">
        <v>7</v>
      </c>
      <c r="H113" s="213">
        <v>6</v>
      </c>
      <c r="I113" s="213">
        <v>6</v>
      </c>
      <c r="J113" s="210">
        <f>$D113*Pesi!$B$16+Pesi!$B$17*$E113+$F113*Pesi!$B$18+$G113*Pesi!$B$19+Pesi!$B$20*$H113+$I113*Pesi!$B$21+Pesi!$B$22*VLOOKUP($C113,TabAlgSqu,2,FALSE)+VLOOKUP($C113,TabAlgFC,2,FALSE)*Pesi!$B$23+Pesi!$B$24*VLOOKUP($C113,TabAlgAll,2,FALSE)</f>
        <v>64.298400000000001</v>
      </c>
      <c r="K113" s="155">
        <f>IF(ISNA(MATCH($B113,Pesi!$B$31:$B$34,0)),VLOOKUP(Pesi!$B$32,TabAlgCen,10,FALSE)-((VLOOKUP(Pesi!$B$32,TabAlgCen,9,FALSE)-$J113)/(VLOOKUP(Pesi!$B$32,TabAlgCen,9,FALSE)-Pesi!$D$42))*VLOOKUP(Pesi!$B$32,TabAlgCen,10,FALSE),Pesi!$F$32*Pesi!$C$28)</f>
        <v>-15.64179191829777</v>
      </c>
      <c r="L113" s="155">
        <f t="shared" si="9"/>
        <v>1</v>
      </c>
      <c r="M113" s="154">
        <f>$D113*Pesi!$D$16+Pesi!$D$17*$E113+$F113*Pesi!$D$18+$G113*Pesi!$D$19+Pesi!$D$20*$H113+$I113*Pesi!$D$21+Pesi!$D$22*VLOOKUP($C113,TabAlgSqu,2,FALSE)+VLOOKUP($C113,TabAlgFC,2,FALSE)*Pesi!$D$23+Pesi!$D$24*VLOOKUP($C113,TabAlgAll,2,FALSE)</f>
        <v>61.498400000000004</v>
      </c>
      <c r="N113" s="155">
        <f>IF(ISNA(MATCH($B113,Pesi!$B$31:$B$34,0)),VLOOKUP(Pesi!$B$32,TabAlgCen,13,FALSE)-((VLOOKUP(Pesi!$B$32,TabAlgCen,12,FALSE)-$M113)/(VLOOKUP(Pesi!$B$32,TabAlgCen,12,FALSE)-Pesi!$F$42))*VLOOKUP(Pesi!$B$32,TabAlgCen,13,FALSE),$K113*$M113/$J113)</f>
        <v>-14.861060390257435</v>
      </c>
      <c r="O113" s="155">
        <f t="shared" si="10"/>
        <v>1</v>
      </c>
      <c r="P113">
        <f t="shared" si="11"/>
        <v>38</v>
      </c>
      <c r="Q113" t="e">
        <f>VLOOKUP(B113,'C.P.'!$A$2:$B$164,2,FALSE)</f>
        <v>#N/A</v>
      </c>
      <c r="R113" t="e">
        <f>VLOOKUP(B113,'C.P.'!$C$2:$D$164,2,FALSE)</f>
        <v>#N/A</v>
      </c>
      <c r="S113" t="e">
        <f>VLOOKUP(B113,'C.P.'!$E$2:$F$164,2,FALSE)</f>
        <v>#N/A</v>
      </c>
      <c r="T113" t="e">
        <f>VLOOKUP(B113,'C.P.'!$G$2:$H$164,2,FALSE)</f>
        <v>#N/A</v>
      </c>
    </row>
    <row r="114" spans="1:21">
      <c r="A114">
        <f ca="1">COUNTIF('I.A. + Fasce'!B$1:'I.A. + Fasce'!B$538,B112)</f>
        <v>1</v>
      </c>
      <c r="B114" s="211" t="s">
        <v>381</v>
      </c>
      <c r="C114" s="212" t="str">
        <f>VLOOKUP(B114,'IA FG'!$B$2:$G$600,6,FALSE)</f>
        <v>ROM</v>
      </c>
      <c r="D114" s="213">
        <v>8</v>
      </c>
      <c r="E114" s="213">
        <v>4</v>
      </c>
      <c r="F114" s="213">
        <v>5</v>
      </c>
      <c r="G114" s="213">
        <v>4</v>
      </c>
      <c r="H114" s="213">
        <v>7</v>
      </c>
      <c r="I114" s="213">
        <v>2</v>
      </c>
      <c r="J114" s="210">
        <f>$D114*Pesi!$B$16+Pesi!$B$17*$E114+$F114*Pesi!$B$18+$G114*Pesi!$B$19+Pesi!$B$20*$H114+$I114*Pesi!$B$21+Pesi!$B$22*VLOOKUP($C114,TabAlgSqu,2,FALSE)+VLOOKUP($C114,TabAlgFC,2,FALSE)*Pesi!$B$23+Pesi!$B$24*VLOOKUP($C114,TabAlgAll,2,FALSE)</f>
        <v>64.183599999999998</v>
      </c>
      <c r="K114" s="155">
        <f>IF(ISNA(MATCH($B114,Pesi!$B$31:$B$34,0)),VLOOKUP(Pesi!$B$32,TabAlgCen,10,FALSE)-((VLOOKUP(Pesi!$B$32,TabAlgCen,9,FALSE)-$J114)/(VLOOKUP(Pesi!$B$32,TabAlgCen,9,FALSE)-Pesi!$D$42))*VLOOKUP(Pesi!$B$32,TabAlgCen,10,FALSE),Pesi!$F$32*Pesi!$C$28)</f>
        <v>-15.956734690891537</v>
      </c>
      <c r="L114" s="155">
        <f t="shared" si="9"/>
        <v>1</v>
      </c>
      <c r="M114" s="154">
        <f>$D114*Pesi!$D$16+Pesi!$D$17*$E114+$F114*Pesi!$D$18+$G114*Pesi!$D$19+Pesi!$D$20*$H114+$I114*Pesi!$D$21+Pesi!$D$22*VLOOKUP($C114,TabAlgSqu,2,FALSE)+VLOOKUP($C114,TabAlgFC,2,FALSE)*Pesi!$D$23+Pesi!$D$24*VLOOKUP($C114,TabAlgAll,2,FALSE)</f>
        <v>62.233600000000003</v>
      </c>
      <c r="N114" s="155">
        <f>IF(ISNA(MATCH($B114,Pesi!$B$31:$B$34,0)),VLOOKUP(Pesi!$B$32,TabAlgCen,13,FALSE)-((VLOOKUP(Pesi!$B$32,TabAlgCen,12,FALSE)-$M114)/(VLOOKUP(Pesi!$B$32,TabAlgCen,12,FALSE)-Pesi!$F$42))*VLOOKUP(Pesi!$B$32,TabAlgCen,13,FALSE),$K114*$M114/$J114)</f>
        <v>-12.875119645943556</v>
      </c>
      <c r="O114" s="155">
        <f t="shared" si="10"/>
        <v>1</v>
      </c>
      <c r="P114">
        <f t="shared" si="11"/>
        <v>30</v>
      </c>
      <c r="Q114">
        <f>VLOOKUP(B114,'C.P.'!$A$2:$B$164,2,FALSE)</f>
        <v>-1</v>
      </c>
      <c r="R114" t="e">
        <f>VLOOKUP(B114,'C.P.'!$C$2:$D$164,2,FALSE)</f>
        <v>#N/A</v>
      </c>
      <c r="S114" t="e">
        <f>VLOOKUP(B114,'C.P.'!$E$2:$F$164,2,FALSE)</f>
        <v>#N/A</v>
      </c>
      <c r="T114" t="e">
        <f>VLOOKUP(B114,'C.P.'!$G$2:$H$164,2,FALSE)</f>
        <v>#N/A</v>
      </c>
    </row>
    <row r="115" spans="1:21">
      <c r="A115">
        <f ca="1">COUNTIF('I.A. + Fasce'!B$1:'I.A. + Fasce'!B$538,B112)</f>
        <v>1</v>
      </c>
      <c r="B115" s="211" t="s">
        <v>318</v>
      </c>
      <c r="C115" s="212" t="str">
        <f>VLOOKUP(B115,'IA FG'!$B$2:$G$600,6,FALSE)</f>
        <v>UDI</v>
      </c>
      <c r="D115" s="213">
        <v>7</v>
      </c>
      <c r="E115" s="213">
        <v>5</v>
      </c>
      <c r="F115" s="213">
        <v>6</v>
      </c>
      <c r="G115" s="213">
        <v>6</v>
      </c>
      <c r="H115" s="213">
        <v>6</v>
      </c>
      <c r="I115" s="213">
        <v>6</v>
      </c>
      <c r="J115" s="210">
        <f>$D115*Pesi!$B$16+Pesi!$B$17*$E115+$F115*Pesi!$B$18+$G115*Pesi!$B$19+Pesi!$B$20*$H115+$I115*Pesi!$B$21+Pesi!$B$22*VLOOKUP($C115,TabAlgSqu,2,FALSE)+VLOOKUP($C115,TabAlgFC,2,FALSE)*Pesi!$B$23+Pesi!$B$24*VLOOKUP($C115,TabAlgAll,2,FALSE)</f>
        <v>64.110200000000006</v>
      </c>
      <c r="K115" s="155">
        <f>IF(ISNA(MATCH($B115,Pesi!$B$31:$B$34,0)),VLOOKUP(Pesi!$B$32,TabAlgCen,10,FALSE)-((VLOOKUP(Pesi!$B$32,TabAlgCen,9,FALSE)-$J115)/(VLOOKUP(Pesi!$B$32,TabAlgCen,9,FALSE)-Pesi!$D$42))*VLOOKUP(Pesi!$B$32,TabAlgCen,10,FALSE),Pesi!$F$32*Pesi!$C$28)</f>
        <v>-16.158100540267668</v>
      </c>
      <c r="L115" s="155">
        <f t="shared" si="9"/>
        <v>1</v>
      </c>
      <c r="M115" s="154">
        <f>$D115*Pesi!$D$16+Pesi!$D$17*$E115+$F115*Pesi!$D$18+$G115*Pesi!$D$19+Pesi!$D$20*$H115+$I115*Pesi!$D$21+Pesi!$D$22*VLOOKUP($C115,TabAlgSqu,2,FALSE)+VLOOKUP($C115,TabAlgFC,2,FALSE)*Pesi!$D$23+Pesi!$D$24*VLOOKUP($C115,TabAlgAll,2,FALSE)</f>
        <v>61.7102</v>
      </c>
      <c r="N115" s="155">
        <f>IF(ISNA(MATCH($B115,Pesi!$B$31:$B$34,0)),VLOOKUP(Pesi!$B$32,TabAlgCen,13,FALSE)-((VLOOKUP(Pesi!$B$32,TabAlgCen,12,FALSE)-$M115)/(VLOOKUP(Pesi!$B$32,TabAlgCen,12,FALSE)-Pesi!$F$42))*VLOOKUP(Pesi!$B$32,TabAlgCen,13,FALSE),$K115*$M115/$J115)</f>
        <v>-14.288940899444498</v>
      </c>
      <c r="O115" s="155">
        <f t="shared" si="10"/>
        <v>1</v>
      </c>
      <c r="P115">
        <f t="shared" si="11"/>
        <v>36</v>
      </c>
      <c r="Q115" t="e">
        <f>VLOOKUP(B115,'C.P.'!$A$2:$B$164,2,FALSE)</f>
        <v>#N/A</v>
      </c>
      <c r="R115" t="e">
        <f>VLOOKUP(B115,'C.P.'!$C$2:$D$164,2,FALSE)</f>
        <v>#N/A</v>
      </c>
      <c r="S115">
        <f>VLOOKUP(B115,'C.P.'!$E$2:$F$164,2,FALSE)</f>
        <v>3</v>
      </c>
      <c r="T115" t="e">
        <f>VLOOKUP(B115,'C.P.'!$G$2:$H$164,2,FALSE)</f>
        <v>#N/A</v>
      </c>
    </row>
    <row r="116" spans="1:21">
      <c r="A116">
        <f ca="1">COUNTIF('I.A. + Fasce'!B$1:'I.A. + Fasce'!B$538,B113)</f>
        <v>1</v>
      </c>
      <c r="B116" s="211" t="s">
        <v>1747</v>
      </c>
      <c r="C116" s="212" t="str">
        <f>VLOOKUP(B116,'IA FG'!$B$2:$G$600,6,FALSE)</f>
        <v>FIO</v>
      </c>
      <c r="D116" s="213">
        <v>9</v>
      </c>
      <c r="E116" s="213">
        <v>4</v>
      </c>
      <c r="F116" s="213">
        <v>5</v>
      </c>
      <c r="G116" s="213">
        <v>6</v>
      </c>
      <c r="H116" s="213">
        <v>6</v>
      </c>
      <c r="I116" s="213">
        <v>5</v>
      </c>
      <c r="J116" s="210">
        <f>$D116*Pesi!$B$16+Pesi!$B$17*$E116+$F116*Pesi!$B$18+$G116*Pesi!$B$19+Pesi!$B$20*$H116+$I116*Pesi!$B$21+Pesi!$B$22*VLOOKUP($C116,TabAlgSqu,2,FALSE)+VLOOKUP($C116,TabAlgFC,2,FALSE)*Pesi!$B$23+Pesi!$B$24*VLOOKUP($C116,TabAlgAll,2,FALSE)</f>
        <v>63.989499999999992</v>
      </c>
      <c r="K116" s="155">
        <f>IF(ISNA(MATCH($B116,Pesi!$B$31:$B$34,0)),VLOOKUP(Pesi!$B$32,TabAlgCen,10,FALSE)-((VLOOKUP(Pesi!$B$32,TabAlgCen,9,FALSE)-$J116)/(VLOOKUP(Pesi!$B$32,TabAlgCen,9,FALSE)-Pesi!$D$42))*VLOOKUP(Pesi!$B$32,TabAlgCen,10,FALSE),Pesi!$F$32*Pesi!$C$28)</f>
        <v>-16.489229396121956</v>
      </c>
      <c r="L116" s="155">
        <f t="shared" si="9"/>
        <v>1</v>
      </c>
      <c r="M116" s="154">
        <f>$D116*Pesi!$D$16+Pesi!$D$17*$E116+$F116*Pesi!$D$18+$G116*Pesi!$D$19+Pesi!$D$20*$H116+$I116*Pesi!$D$21+Pesi!$D$22*VLOOKUP($C116,TabAlgSqu,2,FALSE)+VLOOKUP($C116,TabAlgFC,2,FALSE)*Pesi!$D$23+Pesi!$D$24*VLOOKUP($C116,TabAlgAll,2,FALSE)</f>
        <v>61.939499999999995</v>
      </c>
      <c r="N116" s="155">
        <f>IF(ISNA(MATCH($B116,Pesi!$B$31:$B$34,0)),VLOOKUP(Pesi!$B$32,TabAlgCen,13,FALSE)-((VLOOKUP(Pesi!$B$32,TabAlgCen,12,FALSE)-$M116)/(VLOOKUP(Pesi!$B$32,TabAlgCen,12,FALSE)-Pesi!$F$42))*VLOOKUP(Pesi!$B$32,TabAlgCen,13,FALSE),$K116*$M116/$J116)</f>
        <v>-13.669549968172504</v>
      </c>
      <c r="O116" s="155">
        <f t="shared" si="10"/>
        <v>1</v>
      </c>
      <c r="P116">
        <f t="shared" si="11"/>
        <v>35</v>
      </c>
      <c r="Q116" t="e">
        <f>VLOOKUP(B116,'C.P.'!$A$2:$B$164,2,FALSE)</f>
        <v>#N/A</v>
      </c>
      <c r="R116" t="e">
        <f>VLOOKUP(B116,'C.P.'!$C$2:$D$164,2,FALSE)</f>
        <v>#N/A</v>
      </c>
      <c r="S116" t="e">
        <f>VLOOKUP(B116,'C.P.'!$E$2:$F$164,2,FALSE)</f>
        <v>#N/A</v>
      </c>
      <c r="T116" t="e">
        <f>VLOOKUP(B116,'C.P.'!$G$2:$H$164,2,FALSE)</f>
        <v>#N/A</v>
      </c>
    </row>
    <row r="117" spans="1:21">
      <c r="A117">
        <f ca="1">COUNTIF('I.A. + Fasce'!B$1:'I.A. + Fasce'!B$538,B115)</f>
        <v>1</v>
      </c>
      <c r="B117" s="211" t="s">
        <v>1763</v>
      </c>
      <c r="C117" s="212" t="str">
        <f>VLOOKUP(B117,'IA FG'!$B$2:$G$600,6,FALSE)</f>
        <v>UDI</v>
      </c>
      <c r="D117" s="213">
        <v>7</v>
      </c>
      <c r="E117" s="213">
        <v>6</v>
      </c>
      <c r="F117" s="213">
        <v>6</v>
      </c>
      <c r="G117" s="213">
        <v>6</v>
      </c>
      <c r="H117" s="213">
        <v>5</v>
      </c>
      <c r="I117" s="213">
        <v>6</v>
      </c>
      <c r="J117" s="210">
        <f>$D117*Pesi!$B$16+Pesi!$B$17*$E117+$F117*Pesi!$B$18+$G117*Pesi!$B$19+Pesi!$B$20*$H117+$I117*Pesi!$B$21+Pesi!$B$22*VLOOKUP($C117,TabAlgSqu,2,FALSE)+VLOOKUP($C117,TabAlgFC,2,FALSE)*Pesi!$B$23+Pesi!$B$24*VLOOKUP($C117,TabAlgAll,2,FALSE)</f>
        <v>63.989400000000003</v>
      </c>
      <c r="K117" s="155">
        <f>IF(ISNA(MATCH($B117,Pesi!$B$31:$B$34,0)),VLOOKUP(Pesi!$B$32,TabAlgCen,10,FALSE)-((VLOOKUP(Pesi!$B$32,TabAlgCen,9,FALSE)-$J117)/(VLOOKUP(Pesi!$B$32,TabAlgCen,9,FALSE)-Pesi!$D$42))*VLOOKUP(Pesi!$B$32,TabAlgCen,10,FALSE),Pesi!$F$32*Pesi!$C$28)</f>
        <v>-16.489503736516156</v>
      </c>
      <c r="L117" s="155">
        <f t="shared" si="9"/>
        <v>1</v>
      </c>
      <c r="M117" s="154">
        <f>$D117*Pesi!$D$16+Pesi!$D$17*$E117+$F117*Pesi!$D$18+$G117*Pesi!$D$19+Pesi!$D$20*$H117+$I117*Pesi!$D$21+Pesi!$D$22*VLOOKUP($C117,TabAlgSqu,2,FALSE)+VLOOKUP($C117,TabAlgFC,2,FALSE)*Pesi!$D$23+Pesi!$D$24*VLOOKUP($C117,TabAlgAll,2,FALSE)</f>
        <v>61.589399999999998</v>
      </c>
      <c r="N117" s="155">
        <f>IF(ISNA(MATCH($B117,Pesi!$B$31:$B$34,0)),VLOOKUP(Pesi!$B$32,TabAlgCen,13,FALSE)-((VLOOKUP(Pesi!$B$32,TabAlgCen,12,FALSE)-$M117)/(VLOOKUP(Pesi!$B$32,TabAlgCen,12,FALSE)-Pesi!$F$42))*VLOOKUP(Pesi!$B$32,TabAlgCen,13,FALSE),$K117*$M117/$J117)</f>
        <v>-14.615248899870409</v>
      </c>
      <c r="O117" s="155">
        <f t="shared" si="10"/>
        <v>1</v>
      </c>
      <c r="P117">
        <f t="shared" si="11"/>
        <v>36</v>
      </c>
      <c r="Q117" t="e">
        <f>VLOOKUP(B117,'C.P.'!$A$2:$B$164,2,FALSE)</f>
        <v>#N/A</v>
      </c>
      <c r="R117" t="e">
        <f>VLOOKUP(B117,'C.P.'!$C$2:$D$164,2,FALSE)</f>
        <v>#N/A</v>
      </c>
      <c r="S117" t="e">
        <f>VLOOKUP(B117,'C.P.'!$E$2:$F$164,2,FALSE)</f>
        <v>#N/A</v>
      </c>
      <c r="T117" t="e">
        <f>VLOOKUP(B117,'C.P.'!$G$2:$H$164,2,FALSE)</f>
        <v>#N/A</v>
      </c>
    </row>
    <row r="118" spans="1:21">
      <c r="A118">
        <f ca="1">COUNTIF('I.A. + Fasce'!B$1:'I.A. + Fasce'!B$538,B115)</f>
        <v>1</v>
      </c>
      <c r="B118" s="211" t="s">
        <v>1335</v>
      </c>
      <c r="C118" s="212" t="str">
        <f>VLOOKUP(B118,'IA FG'!$B$2:$G$600,6,FALSE)</f>
        <v>CHI</v>
      </c>
      <c r="D118" s="213">
        <v>8</v>
      </c>
      <c r="E118" s="213">
        <v>5</v>
      </c>
      <c r="F118" s="213">
        <v>5</v>
      </c>
      <c r="G118" s="213">
        <v>6</v>
      </c>
      <c r="H118" s="213">
        <v>7</v>
      </c>
      <c r="I118" s="213">
        <v>6</v>
      </c>
      <c r="J118" s="210">
        <f>$D118*Pesi!$B$16+Pesi!$B$17*$E118+$F118*Pesi!$B$18+$G118*Pesi!$B$19+Pesi!$B$20*$H118+$I118*Pesi!$B$21+Pesi!$B$22*VLOOKUP($C118,TabAlgSqu,2,FALSE)+VLOOKUP($C118,TabAlgFC,2,FALSE)*Pesi!$B$23+Pesi!$B$24*VLOOKUP($C118,TabAlgAll,2,FALSE)</f>
        <v>63.908299999999997</v>
      </c>
      <c r="K118" s="155">
        <f>IF(ISNA(MATCH($B118,Pesi!$B$31:$B$34,0)),VLOOKUP(Pesi!$B$32,TabAlgCen,10,FALSE)-((VLOOKUP(Pesi!$B$32,TabAlgCen,9,FALSE)-$J118)/(VLOOKUP(Pesi!$B$32,TabAlgCen,9,FALSE)-Pesi!$D$42))*VLOOKUP(Pesi!$B$32,TabAlgCen,10,FALSE),Pesi!$F$32*Pesi!$C$28)</f>
        <v>-16.711993796249232</v>
      </c>
      <c r="L118" s="155">
        <f t="shared" si="9"/>
        <v>1</v>
      </c>
      <c r="M118" s="154">
        <f>$D118*Pesi!$D$16+Pesi!$D$17*$E118+$F118*Pesi!$D$18+$G118*Pesi!$D$19+Pesi!$D$20*$H118+$I118*Pesi!$D$21+Pesi!$D$22*VLOOKUP($C118,TabAlgSqu,2,FALSE)+VLOOKUP($C118,TabAlgFC,2,FALSE)*Pesi!$D$23+Pesi!$D$24*VLOOKUP($C118,TabAlgAll,2,FALSE)</f>
        <v>61.858299999999993</v>
      </c>
      <c r="N118" s="155">
        <f>IF(ISNA(MATCH($B118,Pesi!$B$31:$B$34,0)),VLOOKUP(Pesi!$B$32,TabAlgCen,13,FALSE)-((VLOOKUP(Pesi!$B$32,TabAlgCen,12,FALSE)-$M118)/(VLOOKUP(Pesi!$B$32,TabAlgCen,12,FALSE)-Pesi!$F$42))*VLOOKUP(Pesi!$B$32,TabAlgCen,13,FALSE),$K118*$M118/$J118)</f>
        <v>-13.8888894519025</v>
      </c>
      <c r="O118" s="155">
        <f t="shared" si="10"/>
        <v>1</v>
      </c>
      <c r="P118">
        <f t="shared" si="11"/>
        <v>37</v>
      </c>
      <c r="Q118">
        <f>VLOOKUP(B118,'C.P.'!$A$2:$B$164,2,FALSE)</f>
        <v>0</v>
      </c>
      <c r="R118" t="e">
        <f>VLOOKUP(B118,'C.P.'!$C$2:$D$164,2,FALSE)</f>
        <v>#N/A</v>
      </c>
      <c r="S118" t="e">
        <f>VLOOKUP(B118,'C.P.'!$E$2:$F$164,2,FALSE)</f>
        <v>#N/A</v>
      </c>
      <c r="T118" t="e">
        <f>VLOOKUP(B118,'C.P.'!$G$2:$H$164,2,FALSE)</f>
        <v>#N/A</v>
      </c>
    </row>
    <row r="119" spans="1:21">
      <c r="A119">
        <f ca="1">COUNTIF('I.A. + Fasce'!B$1:'I.A. + Fasce'!B$538,B118)</f>
        <v>1</v>
      </c>
      <c r="B119" s="211" t="s">
        <v>1751</v>
      </c>
      <c r="C119" s="212" t="str">
        <f>VLOOKUP(B119,'IA FG'!$B$2:$G$600,6,FALSE)</f>
        <v>CHI</v>
      </c>
      <c r="D119" s="213">
        <v>7</v>
      </c>
      <c r="E119" s="213">
        <v>5</v>
      </c>
      <c r="F119" s="213">
        <v>5</v>
      </c>
      <c r="G119" s="213">
        <v>7</v>
      </c>
      <c r="H119" s="213">
        <v>6</v>
      </c>
      <c r="I119" s="213">
        <v>6</v>
      </c>
      <c r="J119" s="210">
        <f>$D119*Pesi!$B$16+Pesi!$B$17*$E119+$F119*Pesi!$B$18+$G119*Pesi!$B$19+Pesi!$B$20*$H119+$I119*Pesi!$B$21+Pesi!$B$22*VLOOKUP($C119,TabAlgSqu,2,FALSE)+VLOOKUP($C119,TabAlgFC,2,FALSE)*Pesi!$B$23+Pesi!$B$24*VLOOKUP($C119,TabAlgAll,2,FALSE)</f>
        <v>62.729199999999992</v>
      </c>
      <c r="K119" s="155">
        <f>IF(ISNA(MATCH($B119,Pesi!$B$31:$B$34,0)),VLOOKUP(Pesi!$B$32,TabAlgCen,10,FALSE)-((VLOOKUP(Pesi!$B$32,TabAlgCen,9,FALSE)-$J119)/(VLOOKUP(Pesi!$B$32,TabAlgCen,9,FALSE)-Pesi!$D$42))*VLOOKUP(Pesi!$B$32,TabAlgCen,10,FALSE),Pesi!$F$32*Pesi!$C$28)</f>
        <v>-19.946741384797178</v>
      </c>
      <c r="L119" s="155">
        <f t="shared" si="9"/>
        <v>1</v>
      </c>
      <c r="M119" s="154">
        <f>$D119*Pesi!$D$16+Pesi!$D$17*$E119+$F119*Pesi!$D$18+$G119*Pesi!$D$19+Pesi!$D$20*$H119+$I119*Pesi!$D$21+Pesi!$D$22*VLOOKUP($C119,TabAlgSqu,2,FALSE)+VLOOKUP($C119,TabAlgFC,2,FALSE)*Pesi!$D$23+Pesi!$D$24*VLOOKUP($C119,TabAlgAll,2,FALSE)</f>
        <v>60.629199999999997</v>
      </c>
      <c r="N119" s="155">
        <f>IF(ISNA(MATCH($B119,Pesi!$B$31:$B$34,0)),VLOOKUP(Pesi!$B$32,TabAlgCen,13,FALSE)-((VLOOKUP(Pesi!$B$32,TabAlgCen,12,FALSE)-$M119)/(VLOOKUP(Pesi!$B$32,TabAlgCen,12,FALSE)-Pesi!$F$42))*VLOOKUP(Pesi!$B$32,TabAlgCen,13,FALSE),$K119*$M119/$J119)</f>
        <v>-17.208965307229192</v>
      </c>
      <c r="O119" s="155">
        <f t="shared" si="10"/>
        <v>1</v>
      </c>
      <c r="P119">
        <f t="shared" si="11"/>
        <v>36</v>
      </c>
      <c r="Q119">
        <f>VLOOKUP(B119,'C.P.'!$A$2:$B$164,2,FALSE)</f>
        <v>0</v>
      </c>
      <c r="R119" t="e">
        <f>VLOOKUP(B119,'C.P.'!$C$2:$D$164,2,FALSE)</f>
        <v>#N/A</v>
      </c>
      <c r="S119" t="e">
        <f>VLOOKUP(B119,'C.P.'!$E$2:$F$164,2,FALSE)</f>
        <v>#N/A</v>
      </c>
      <c r="T119" t="e">
        <f>VLOOKUP(B119,'C.P.'!$G$2:$H$164,2,FALSE)</f>
        <v>#N/A</v>
      </c>
      <c r="U119" s="420"/>
    </row>
    <row r="120" spans="1:21">
      <c r="A120">
        <f ca="1">COUNTIF('I.A. + Fasce'!B$1:'I.A. + Fasce'!B$538,B118)</f>
        <v>1</v>
      </c>
      <c r="B120" s="211" t="s">
        <v>1296</v>
      </c>
      <c r="C120" s="212" t="str">
        <f>VLOOKUP(B120,'IA FG'!$B$2:$G$600,6,FALSE)</f>
        <v>SAM</v>
      </c>
      <c r="D120" s="213">
        <v>8</v>
      </c>
      <c r="E120" s="213">
        <v>5</v>
      </c>
      <c r="F120" s="213">
        <v>6</v>
      </c>
      <c r="G120" s="213">
        <v>6</v>
      </c>
      <c r="H120" s="213">
        <v>5</v>
      </c>
      <c r="I120" s="213">
        <v>4</v>
      </c>
      <c r="J120" s="210">
        <f>$D120*Pesi!$B$16+Pesi!$B$17*$E120+$F120*Pesi!$B$18+$G120*Pesi!$B$19+Pesi!$B$20*$H120+$I120*Pesi!$B$21+Pesi!$B$22*VLOOKUP($C120,TabAlgSqu,2,FALSE)+VLOOKUP($C120,TabAlgFC,2,FALSE)*Pesi!$B$23+Pesi!$B$24*VLOOKUP($C120,TabAlgAll,2,FALSE)</f>
        <v>62.701599999999999</v>
      </c>
      <c r="K120" s="155">
        <f>IF(ISNA(MATCH($B120,Pesi!$B$31:$B$34,0)),VLOOKUP(Pesi!$B$32,TabAlgCen,10,FALSE)-((VLOOKUP(Pesi!$B$32,TabAlgCen,9,FALSE)-$J120)/(VLOOKUP(Pesi!$B$32,TabAlgCen,9,FALSE)-Pesi!$D$42))*VLOOKUP(Pesi!$B$32,TabAlgCen,10,FALSE),Pesi!$F$32*Pesi!$C$28)</f>
        <v>-20.022459333608907</v>
      </c>
      <c r="L120" s="155">
        <f t="shared" si="9"/>
        <v>1</v>
      </c>
      <c r="M120" s="154">
        <f>$D120*Pesi!$D$16+Pesi!$D$17*$E120+$F120*Pesi!$D$18+$G120*Pesi!$D$19+Pesi!$D$20*$H120+$I120*Pesi!$D$21+Pesi!$D$22*VLOOKUP($C120,TabAlgSqu,2,FALSE)+VLOOKUP($C120,TabAlgFC,2,FALSE)*Pesi!$D$23+Pesi!$D$24*VLOOKUP($C120,TabAlgAll,2,FALSE)</f>
        <v>60.301599999999993</v>
      </c>
      <c r="N120" s="155">
        <f>IF(ISNA(MATCH($B120,Pesi!$B$31:$B$34,0)),VLOOKUP(Pesi!$B$32,TabAlgCen,13,FALSE)-((VLOOKUP(Pesi!$B$32,TabAlgCen,12,FALSE)-$M120)/(VLOOKUP(Pesi!$B$32,TabAlgCen,12,FALSE)-Pesi!$F$42))*VLOOKUP(Pesi!$B$32,TabAlgCen,13,FALSE),$K120*$M120/$J120)</f>
        <v>-18.093886672622602</v>
      </c>
      <c r="O120" s="155">
        <f t="shared" si="10"/>
        <v>1</v>
      </c>
      <c r="P120">
        <f t="shared" si="11"/>
        <v>34</v>
      </c>
      <c r="Q120" t="e">
        <f>VLOOKUP(B120,'C.P.'!$A$2:$B$164,2,FALSE)</f>
        <v>#N/A</v>
      </c>
      <c r="R120" t="e">
        <f>VLOOKUP(B120,'C.P.'!$C$2:$D$164,2,FALSE)</f>
        <v>#N/A</v>
      </c>
      <c r="S120" t="e">
        <f>VLOOKUP(B120,'C.P.'!$E$2:$F$164,2,FALSE)</f>
        <v>#N/A</v>
      </c>
      <c r="T120" t="e">
        <f>VLOOKUP(B120,'C.P.'!$G$2:$H$164,2,FALSE)</f>
        <v>#N/A</v>
      </c>
    </row>
    <row r="121" spans="1:21">
      <c r="A121">
        <f ca="1">COUNTIF('I.A. + Fasce'!B$1:'I.A. + Fasce'!B$538,B119)</f>
        <v>1</v>
      </c>
      <c r="B121" s="211" t="s">
        <v>383</v>
      </c>
      <c r="C121" s="212" t="str">
        <f>VLOOKUP(B121,'IA FG'!$B$2:$G$600,6,FALSE)</f>
        <v>SAM</v>
      </c>
      <c r="D121" s="213">
        <v>9</v>
      </c>
      <c r="E121" s="213">
        <v>5</v>
      </c>
      <c r="F121" s="213">
        <v>6</v>
      </c>
      <c r="G121" s="213">
        <v>5</v>
      </c>
      <c r="H121" s="213">
        <v>5</v>
      </c>
      <c r="I121" s="213">
        <v>4</v>
      </c>
      <c r="J121" s="210">
        <f>$D121*Pesi!$B$16+Pesi!$B$17*$E121+$F121*Pesi!$B$18+$G121*Pesi!$B$19+Pesi!$B$20*$H121+$I121*Pesi!$B$21+Pesi!$B$22*VLOOKUP($C121,TabAlgSqu,2,FALSE)+VLOOKUP($C121,TabAlgFC,2,FALSE)*Pesi!$B$23+Pesi!$B$24*VLOOKUP($C121,TabAlgAll,2,FALSE)</f>
        <v>62.547399999999996</v>
      </c>
      <c r="K121" s="155">
        <f>IF(ISNA(MATCH($B121,Pesi!$B$31:$B$34,0)),VLOOKUP(Pesi!$B$32,TabAlgCen,10,FALSE)-((VLOOKUP(Pesi!$B$32,TabAlgCen,9,FALSE)-$J121)/(VLOOKUP(Pesi!$B$32,TabAlgCen,9,FALSE)-Pesi!$D$42))*VLOOKUP(Pesi!$B$32,TabAlgCen,10,FALSE),Pesi!$F$32*Pesi!$C$28)</f>
        <v>-20.445492221535375</v>
      </c>
      <c r="L121" s="155">
        <f t="shared" si="9"/>
        <v>1</v>
      </c>
      <c r="M121" s="154">
        <f>$D121*Pesi!$D$16+Pesi!$D$17*$E121+$F121*Pesi!$D$18+$G121*Pesi!$D$19+Pesi!$D$20*$H121+$I121*Pesi!$D$21+Pesi!$D$22*VLOOKUP($C121,TabAlgSqu,2,FALSE)+VLOOKUP($C121,TabAlgFC,2,FALSE)*Pesi!$D$23+Pesi!$D$24*VLOOKUP($C121,TabAlgAll,2,FALSE)</f>
        <v>60.197399999999988</v>
      </c>
      <c r="N121" s="155">
        <f>IF(ISNA(MATCH($B121,Pesi!$B$31:$B$34,0)),VLOOKUP(Pesi!$B$32,TabAlgCen,13,FALSE)-((VLOOKUP(Pesi!$B$32,TabAlgCen,12,FALSE)-$M121)/(VLOOKUP(Pesi!$B$32,TabAlgCen,12,FALSE)-Pesi!$F$42))*VLOOKUP(Pesi!$B$32,TabAlgCen,13,FALSE),$K121*$M121/$J121)</f>
        <v>-18.375354335241653</v>
      </c>
      <c r="O121" s="155">
        <f t="shared" si="10"/>
        <v>1</v>
      </c>
      <c r="P121">
        <f t="shared" si="11"/>
        <v>34</v>
      </c>
      <c r="Q121" t="e">
        <f>VLOOKUP(B121,'C.P.'!$A$2:$B$164,2,FALSE)</f>
        <v>#N/A</v>
      </c>
      <c r="R121" t="e">
        <f>VLOOKUP(B121,'C.P.'!$C$2:$D$164,2,FALSE)</f>
        <v>#N/A</v>
      </c>
      <c r="S121" t="e">
        <f>VLOOKUP(B121,'C.P.'!$E$2:$F$164,2,FALSE)</f>
        <v>#N/A</v>
      </c>
      <c r="T121" t="e">
        <f>VLOOKUP(B121,'C.P.'!$G$2:$H$164,2,FALSE)</f>
        <v>#N/A</v>
      </c>
    </row>
    <row r="122" spans="1:21">
      <c r="B122" s="211" t="s">
        <v>1940</v>
      </c>
      <c r="C122" s="212" t="str">
        <f>VLOOKUP(B122,'IA FG'!$B$2:$G$600,6,FALSE)</f>
        <v>UDI</v>
      </c>
      <c r="D122" s="213">
        <v>8</v>
      </c>
      <c r="E122" s="213">
        <v>6</v>
      </c>
      <c r="F122" s="213">
        <v>6</v>
      </c>
      <c r="G122" s="213">
        <v>4</v>
      </c>
      <c r="H122" s="213">
        <v>5</v>
      </c>
      <c r="I122" s="213">
        <v>6</v>
      </c>
      <c r="J122" s="210">
        <f>$D122*Pesi!$B$16+Pesi!$B$17*$E122+$F122*Pesi!$B$18+$G122*Pesi!$B$19+Pesi!$B$20*$H122+$I122*Pesi!$B$21+Pesi!$B$22*VLOOKUP($C122,TabAlgSqu,2,FALSE)+VLOOKUP($C122,TabAlgFC,2,FALSE)*Pesi!$B$23+Pesi!$B$24*VLOOKUP($C122,TabAlgAll,2,FALSE)</f>
        <v>62.347699999999996</v>
      </c>
      <c r="K122" s="155">
        <f>IF(ISNA(MATCH($B122,Pesi!$B$31:$B$34,0)),VLOOKUP(Pesi!$B$32,TabAlgCen,10,FALSE)-((VLOOKUP(Pesi!$B$32,TabAlgCen,9,FALSE)-$J122)/(VLOOKUP(Pesi!$B$32,TabAlgCen,9,FALSE)-Pesi!$D$42))*VLOOKUP(Pesi!$B$32,TabAlgCen,10,FALSE),Pesi!$F$32*Pesi!$C$28)</f>
        <v>-20.993349988843519</v>
      </c>
      <c r="L122" s="155">
        <f t="shared" si="9"/>
        <v>1</v>
      </c>
      <c r="M122" s="154">
        <f>$D122*Pesi!$D$16+Pesi!$D$17*$E122+$F122*Pesi!$D$18+$G122*Pesi!$D$19+Pesi!$D$20*$H122+$I122*Pesi!$D$21+Pesi!$D$22*VLOOKUP($C122,TabAlgSqu,2,FALSE)+VLOOKUP($C122,TabAlgFC,2,FALSE)*Pesi!$D$23+Pesi!$D$24*VLOOKUP($C122,TabAlgAll,2,FALSE)</f>
        <v>60.047699999999999</v>
      </c>
      <c r="N122" s="155">
        <f>IF(ISNA(MATCH($B122,Pesi!$B$31:$B$34,0)),VLOOKUP(Pesi!$B$32,TabAlgCen,13,FALSE)-((VLOOKUP(Pesi!$B$32,TabAlgCen,12,FALSE)-$M122)/(VLOOKUP(Pesi!$B$32,TabAlgCen,12,FALSE)-Pesi!$F$42))*VLOOKUP(Pesi!$B$32,TabAlgCen,13,FALSE),$K122*$M122/$J122)</f>
        <v>-18.779727743054167</v>
      </c>
      <c r="O122" s="155">
        <f t="shared" si="10"/>
        <v>1</v>
      </c>
      <c r="P122">
        <f t="shared" si="11"/>
        <v>35</v>
      </c>
      <c r="Q122" t="e">
        <f>VLOOKUP(B122,'C.P.'!$A$2:$B$164,2,FALSE)</f>
        <v>#N/A</v>
      </c>
      <c r="R122" t="e">
        <f>VLOOKUP(B122,'C.P.'!$C$2:$D$164,2,FALSE)</f>
        <v>#N/A</v>
      </c>
      <c r="S122" t="e">
        <f>VLOOKUP(B122,'C.P.'!$E$2:$F$164,2,FALSE)</f>
        <v>#N/A</v>
      </c>
      <c r="T122" t="e">
        <f>VLOOKUP(B122,'C.P.'!$G$2:$H$164,2,FALSE)</f>
        <v>#N/A</v>
      </c>
    </row>
    <row r="123" spans="1:21">
      <c r="B123" s="211" t="s">
        <v>622</v>
      </c>
      <c r="C123" s="212" t="str">
        <f>VLOOKUP(B123,'IA FG'!$B$2:$G$600,6,FALSE)</f>
        <v>SAM</v>
      </c>
      <c r="D123" s="213">
        <v>8</v>
      </c>
      <c r="E123" s="213">
        <v>5</v>
      </c>
      <c r="F123" s="213">
        <v>5</v>
      </c>
      <c r="G123" s="213">
        <v>5</v>
      </c>
      <c r="H123" s="213">
        <v>6</v>
      </c>
      <c r="I123" s="213">
        <v>5</v>
      </c>
      <c r="J123" s="210">
        <f>$D123*Pesi!$B$16+Pesi!$B$17*$E123+$F123*Pesi!$B$18+$G123*Pesi!$B$19+Pesi!$B$20*$H123+$I123*Pesi!$B$21+Pesi!$B$22*VLOOKUP($C123,TabAlgSqu,2,FALSE)+VLOOKUP($C123,TabAlgFC,2,FALSE)*Pesi!$B$23+Pesi!$B$24*VLOOKUP($C123,TabAlgAll,2,FALSE)</f>
        <v>62.280699999999996</v>
      </c>
      <c r="K123" s="155">
        <f>IF(ISNA(MATCH($B123,Pesi!$B$31:$B$34,0)),VLOOKUP(Pesi!$B$32,TabAlgCen,10,FALSE)-((VLOOKUP(Pesi!$B$32,TabAlgCen,9,FALSE)-$J123)/(VLOOKUP(Pesi!$B$32,TabAlgCen,9,FALSE)-Pesi!$D$42))*VLOOKUP(Pesi!$B$32,TabAlgCen,10,FALSE),Pesi!$F$32*Pesi!$C$28)</f>
        <v>-21.177158052987963</v>
      </c>
      <c r="L123" s="155">
        <f t="shared" si="9"/>
        <v>1</v>
      </c>
      <c r="M123" s="154">
        <f>$D123*Pesi!$D$16+Pesi!$D$17*$E123+$F123*Pesi!$D$18+$G123*Pesi!$D$19+Pesi!$D$20*$H123+$I123*Pesi!$D$21+Pesi!$D$22*VLOOKUP($C123,TabAlgSqu,2,FALSE)+VLOOKUP($C123,TabAlgFC,2,FALSE)*Pesi!$D$23+Pesi!$D$24*VLOOKUP($C123,TabAlgAll,2,FALSE)</f>
        <v>60.280699999999996</v>
      </c>
      <c r="N123" s="155">
        <f>IF(ISNA(MATCH($B123,Pesi!$B$31:$B$34,0)),VLOOKUP(Pesi!$B$32,TabAlgCen,13,FALSE)-((VLOOKUP(Pesi!$B$32,TabAlgCen,12,FALSE)-$M123)/(VLOOKUP(Pesi!$B$32,TabAlgCen,12,FALSE)-Pesi!$F$42))*VLOOKUP(Pesi!$B$32,TabAlgCen,13,FALSE),$K123*$M123/$J123)</f>
        <v>-18.150342278656552</v>
      </c>
      <c r="O123" s="155">
        <f t="shared" si="10"/>
        <v>1</v>
      </c>
      <c r="P123">
        <f t="shared" si="11"/>
        <v>34</v>
      </c>
      <c r="Q123" t="e">
        <f>VLOOKUP(B123,'C.P.'!$A$2:$B$164,2,FALSE)</f>
        <v>#N/A</v>
      </c>
      <c r="R123" t="e">
        <f>VLOOKUP(B123,'C.P.'!$C$2:$D$164,2,FALSE)</f>
        <v>#N/A</v>
      </c>
      <c r="S123" t="e">
        <f>VLOOKUP(B123,'C.P.'!$E$2:$F$164,2,FALSE)</f>
        <v>#N/A</v>
      </c>
      <c r="T123" t="e">
        <f>VLOOKUP(B123,'C.P.'!$G$2:$H$164,2,FALSE)</f>
        <v>#N/A</v>
      </c>
    </row>
    <row r="124" spans="1:21" ht="15" customHeight="1">
      <c r="A124">
        <f ca="1">COUNTIF('I.A. + Fasce'!B$1:'I.A. + Fasce'!B$538,B120)</f>
        <v>1</v>
      </c>
      <c r="B124" s="211" t="s">
        <v>590</v>
      </c>
      <c r="C124" s="212" t="str">
        <f>VLOOKUP(B124,'IA FG'!$B$2:$G$600,6,FALSE)</f>
        <v>CHI</v>
      </c>
      <c r="D124" s="213">
        <v>8</v>
      </c>
      <c r="E124" s="213">
        <v>8</v>
      </c>
      <c r="F124" s="213">
        <v>6</v>
      </c>
      <c r="G124" s="213">
        <v>4</v>
      </c>
      <c r="H124" s="213">
        <v>4</v>
      </c>
      <c r="I124" s="213">
        <v>6</v>
      </c>
      <c r="J124" s="210">
        <f>$D124*Pesi!$B$16+Pesi!$B$17*$E124+$F124*Pesi!$B$18+$G124*Pesi!$B$19+Pesi!$B$20*$H124+$I124*Pesi!$B$21+Pesi!$B$22*VLOOKUP($C124,TabAlgSqu,2,FALSE)+VLOOKUP($C124,TabAlgFC,2,FALSE)*Pesi!$B$23+Pesi!$B$24*VLOOKUP($C124,TabAlgAll,2,FALSE)</f>
        <v>62.170899999999996</v>
      </c>
      <c r="K124" s="155">
        <f>IF(ISNA(MATCH($B124,Pesi!$B$31:$B$34,0)),VLOOKUP(Pesi!$B$32,TabAlgCen,10,FALSE)-((VLOOKUP(Pesi!$B$32,TabAlgCen,9,FALSE)-$J124)/(VLOOKUP(Pesi!$B$32,TabAlgCen,9,FALSE)-Pesi!$D$42))*VLOOKUP(Pesi!$B$32,TabAlgCen,10,FALSE),Pesi!$F$32*Pesi!$C$28)</f>
        <v>-21.478383805869441</v>
      </c>
      <c r="L124" s="155">
        <f t="shared" si="9"/>
        <v>1</v>
      </c>
      <c r="M124" s="154">
        <f>$D124*Pesi!$D$16+Pesi!$D$17*$E124+$F124*Pesi!$D$18+$G124*Pesi!$D$19+Pesi!$D$20*$H124+$I124*Pesi!$D$21+Pesi!$D$22*VLOOKUP($C124,TabAlgSqu,2,FALSE)+VLOOKUP($C124,TabAlgFC,2,FALSE)*Pesi!$D$23+Pesi!$D$24*VLOOKUP($C124,TabAlgAll,2,FALSE)</f>
        <v>59.870899999999992</v>
      </c>
      <c r="N124" s="155">
        <f>IF(ISNA(MATCH($B124,Pesi!$B$31:$B$34,0)),VLOOKUP(Pesi!$B$32,TabAlgCen,13,FALSE)-((VLOOKUP(Pesi!$B$32,TabAlgCen,12,FALSE)-$M124)/(VLOOKUP(Pesi!$B$32,TabAlgCen,12,FALSE)-Pesi!$F$42))*VLOOKUP(Pesi!$B$32,TabAlgCen,13,FALSE),$K124*$M124/$J124)</f>
        <v>-19.257304352949035</v>
      </c>
      <c r="O124" s="155">
        <f t="shared" si="10"/>
        <v>1</v>
      </c>
      <c r="P124">
        <f t="shared" si="11"/>
        <v>36</v>
      </c>
      <c r="Q124" t="e">
        <f>VLOOKUP(B124,'C.P.'!$A$2:$B$164,2,FALSE)</f>
        <v>#N/A</v>
      </c>
      <c r="R124" t="e">
        <f>VLOOKUP(B124,'C.P.'!$C$2:$D$164,2,FALSE)</f>
        <v>#N/A</v>
      </c>
      <c r="S124">
        <f>VLOOKUP(B124,'C.P.'!$E$2:$F$164,2,FALSE)</f>
        <v>3</v>
      </c>
      <c r="T124" t="e">
        <f>VLOOKUP(B124,'C.P.'!$G$2:$H$164,2,FALSE)</f>
        <v>#N/A</v>
      </c>
    </row>
    <row r="125" spans="1:21" ht="12.75" customHeight="1">
      <c r="A125">
        <f ca="1">COUNTIF('I.A. + Fasce'!B$1:'I.A. + Fasce'!B$538,B125)</f>
        <v>0</v>
      </c>
      <c r="B125" s="211" t="s">
        <v>1997</v>
      </c>
      <c r="C125" s="212" t="s">
        <v>724</v>
      </c>
      <c r="D125" s="213">
        <v>8</v>
      </c>
      <c r="E125" s="213">
        <v>3</v>
      </c>
      <c r="F125" s="213">
        <v>6</v>
      </c>
      <c r="G125" s="213">
        <v>4</v>
      </c>
      <c r="H125" s="213">
        <v>6</v>
      </c>
      <c r="I125" s="213">
        <v>1</v>
      </c>
      <c r="J125" s="210">
        <f>$D125*Pesi!$B$16+Pesi!$B$17*$E125+$F125*Pesi!$B$18+$G125*Pesi!$B$19+Pesi!$B$20*$H125+$I125*Pesi!$B$21+Pesi!$B$22*VLOOKUP($C125,TabAlgSqu,2,FALSE)+VLOOKUP($C125,TabAlgFC,2,FALSE)*Pesi!$B$23+Pesi!$B$24*VLOOKUP($C125,TabAlgAll,2,FALSE)</f>
        <v>61.904499999999999</v>
      </c>
      <c r="K125" s="155">
        <f>IF(ISNA(MATCH($B125,Pesi!$B$31:$B$34,0)),VLOOKUP(Pesi!$B$32,TabAlgCen,10,FALSE)-((VLOOKUP(Pesi!$B$32,TabAlgCen,9,FALSE)-$J125)/(VLOOKUP(Pesi!$B$32,TabAlgCen,9,FALSE)-Pesi!$D$42))*VLOOKUP(Pesi!$B$32,TabAlgCen,10,FALSE),Pesi!$F$32*Pesi!$C$28)</f>
        <v>-22.209226616139276</v>
      </c>
      <c r="L125" s="155">
        <f t="shared" si="9"/>
        <v>1</v>
      </c>
      <c r="M125" s="154">
        <f>$D125*Pesi!$D$16+Pesi!$D$17*$E125+$F125*Pesi!$D$18+$G125*Pesi!$D$19+Pesi!$D$20*$H125+$I125*Pesi!$D$21+Pesi!$D$22*VLOOKUP($C125,TabAlgSqu,2,FALSE)+VLOOKUP($C125,TabAlgFC,2,FALSE)*Pesi!$D$23+Pesi!$D$24*VLOOKUP($C125,TabAlgAll,2,FALSE)</f>
        <v>59.604500000000002</v>
      </c>
      <c r="N125" s="155">
        <f>IF(ISNA(MATCH($B125,Pesi!$B$31:$B$34,0)),VLOOKUP(Pesi!$B$32,TabAlgCen,13,FALSE)-((VLOOKUP(Pesi!$B$32,TabAlgCen,12,FALSE)-$M125)/(VLOOKUP(Pesi!$B$32,TabAlgCen,12,FALSE)-Pesi!$F$42))*VLOOKUP(Pesi!$B$32,TabAlgCen,13,FALSE),$K125*$M125/$J125)</f>
        <v>-19.976910737994203</v>
      </c>
      <c r="O125" s="155">
        <f t="shared" si="10"/>
        <v>1</v>
      </c>
      <c r="P125">
        <f t="shared" si="11"/>
        <v>28</v>
      </c>
      <c r="Q125" t="e">
        <f>VLOOKUP(B125,'C.P.'!$A$2:$B$164,2,FALSE)</f>
        <v>#N/A</v>
      </c>
      <c r="R125" t="e">
        <f>VLOOKUP(B125,'C.P.'!$C$2:$D$164,2,FALSE)</f>
        <v>#N/A</v>
      </c>
      <c r="S125" t="e">
        <f>VLOOKUP(B125,'C.P.'!$E$2:$F$164,2,FALSE)</f>
        <v>#N/A</v>
      </c>
      <c r="T125" t="e">
        <f>VLOOKUP(B125,'C.P.'!$G$2:$H$164,2,FALSE)</f>
        <v>#N/A</v>
      </c>
      <c r="U125" s="180"/>
    </row>
    <row r="126" spans="1:21">
      <c r="A126">
        <f ca="1">COUNTIF('I.A. + Fasce'!B$1:'I.A. + Fasce'!B$538,B124)</f>
        <v>1</v>
      </c>
      <c r="B126" s="211" t="s">
        <v>1932</v>
      </c>
      <c r="C126" s="212" t="str">
        <f>VLOOKUP(B126,'IA FG'!$B$2:$G$600,6,FALSE)</f>
        <v>GEN</v>
      </c>
      <c r="D126" s="213">
        <v>8</v>
      </c>
      <c r="E126" s="213">
        <v>4</v>
      </c>
      <c r="F126" s="213">
        <v>6</v>
      </c>
      <c r="G126" s="213">
        <v>6</v>
      </c>
      <c r="H126" s="213">
        <v>6</v>
      </c>
      <c r="I126" s="213">
        <v>4</v>
      </c>
      <c r="J126" s="210">
        <f>$D126*Pesi!$B$16+Pesi!$B$17*$E126+$F126*Pesi!$B$18+$G126*Pesi!$B$19+Pesi!$B$20*$H126+$I126*Pesi!$B$21+Pesi!$B$22*VLOOKUP($C126,TabAlgSqu,2,FALSE)+VLOOKUP($C126,TabAlgFC,2,FALSE)*Pesi!$B$23+Pesi!$B$24*VLOOKUP($C126,TabAlgAll,2,FALSE)</f>
        <v>61.820899999999995</v>
      </c>
      <c r="K126" s="155">
        <f>IF(ISNA(MATCH($B126,Pesi!$B$31:$B$34,0)),VLOOKUP(Pesi!$B$32,TabAlgCen,10,FALSE)-((VLOOKUP(Pesi!$B$32,TabAlgCen,9,FALSE)-$J126)/(VLOOKUP(Pesi!$B$32,TabAlgCen,9,FALSE)-Pesi!$D$42))*VLOOKUP(Pesi!$B$32,TabAlgCen,10,FALSE),Pesi!$F$32*Pesi!$C$28)</f>
        <v>-22.438575185728482</v>
      </c>
      <c r="L126" s="155">
        <f t="shared" si="9"/>
        <v>1</v>
      </c>
      <c r="M126" s="154">
        <f>$D126*Pesi!$D$16+Pesi!$D$17*$E126+$F126*Pesi!$D$18+$G126*Pesi!$D$19+Pesi!$D$20*$H126+$I126*Pesi!$D$21+Pesi!$D$22*VLOOKUP($C126,TabAlgSqu,2,FALSE)+VLOOKUP($C126,TabAlgFC,2,FALSE)*Pesi!$D$23+Pesi!$D$24*VLOOKUP($C126,TabAlgAll,2,FALSE)</f>
        <v>59.420899999999996</v>
      </c>
      <c r="N126" s="155">
        <f>IF(ISNA(MATCH($B126,Pesi!$B$31:$B$34,0)),VLOOKUP(Pesi!$B$32,TabAlgCen,13,FALSE)-((VLOOKUP(Pesi!$B$32,TabAlgCen,12,FALSE)-$M126)/(VLOOKUP(Pesi!$B$32,TabAlgCen,12,FALSE)-Pesi!$F$42))*VLOOKUP(Pesi!$B$32,TabAlgCen,13,FALSE),$K126*$M126/$J126)</f>
        <v>-20.472855679038872</v>
      </c>
      <c r="O126" s="155">
        <f t="shared" si="10"/>
        <v>1</v>
      </c>
      <c r="P126">
        <f t="shared" si="11"/>
        <v>34</v>
      </c>
      <c r="Q126" t="e">
        <f>VLOOKUP(B126,'C.P.'!$A$2:$B$164,2,FALSE)</f>
        <v>#N/A</v>
      </c>
      <c r="R126" t="e">
        <f>VLOOKUP(B126,'C.P.'!$C$2:$D$164,2,FALSE)</f>
        <v>#N/A</v>
      </c>
      <c r="S126" t="e">
        <f>VLOOKUP(B126,'C.P.'!$E$2:$F$164,2,FALSE)</f>
        <v>#N/A</v>
      </c>
      <c r="T126" t="e">
        <f>VLOOKUP(B126,'C.P.'!$G$2:$H$164,2,FALSE)</f>
        <v>#N/A</v>
      </c>
    </row>
    <row r="127" spans="1:21">
      <c r="A127">
        <f ca="1">COUNTIF('I.A. + Fasce'!B$1:'I.A. + Fasce'!B$538,B126)</f>
        <v>1</v>
      </c>
      <c r="B127" s="211" t="s">
        <v>1736</v>
      </c>
      <c r="C127" s="212" t="str">
        <f>VLOOKUP(B127,'IA FG'!$B$2:$G$600,6,FALSE)</f>
        <v>BEN</v>
      </c>
      <c r="D127" s="213">
        <v>7</v>
      </c>
      <c r="E127" s="213">
        <v>9</v>
      </c>
      <c r="F127" s="213">
        <v>7</v>
      </c>
      <c r="G127" s="213">
        <v>7</v>
      </c>
      <c r="H127" s="213">
        <v>6</v>
      </c>
      <c r="I127" s="213">
        <v>7</v>
      </c>
      <c r="J127" s="210">
        <f>$D127*Pesi!$B$16+Pesi!$B$17*$E127+$F127*Pesi!$B$18+$G127*Pesi!$B$19+Pesi!$B$20*$H127+$I127*Pesi!$B$21+Pesi!$B$22*VLOOKUP($C127,TabAlgSqu,2,FALSE)+VLOOKUP($C127,TabAlgFC,2,FALSE)*Pesi!$B$23+Pesi!$B$24*VLOOKUP($C127,TabAlgAll,2,FALSE)</f>
        <v>61.785000000000004</v>
      </c>
      <c r="K127" s="155">
        <f>IF(ISNA(MATCH($B127,Pesi!$B$31:$B$34,0)),VLOOKUP(Pesi!$B$32,TabAlgCen,10,FALSE)-((VLOOKUP(Pesi!$B$32,TabAlgCen,9,FALSE)-$J127)/(VLOOKUP(Pesi!$B$32,TabAlgCen,9,FALSE)-Pesi!$D$42))*VLOOKUP(Pesi!$B$32,TabAlgCen,10,FALSE),Pesi!$F$32*Pesi!$C$28)</f>
        <v>-22.537063387262549</v>
      </c>
      <c r="L127" s="155">
        <f t="shared" si="9"/>
        <v>1</v>
      </c>
      <c r="M127" s="154">
        <f>$D127*Pesi!$D$16+Pesi!$D$17*$E127+$F127*Pesi!$D$18+$G127*Pesi!$D$19+Pesi!$D$20*$H127+$I127*Pesi!$D$21+Pesi!$D$22*VLOOKUP($C127,TabAlgSqu,2,FALSE)+VLOOKUP($C127,TabAlgFC,2,FALSE)*Pesi!$D$23+Pesi!$D$24*VLOOKUP($C127,TabAlgAll,2,FALSE)</f>
        <v>58.984999999999999</v>
      </c>
      <c r="N127" s="155">
        <f>IF(ISNA(MATCH($B127,Pesi!$B$31:$B$34,0)),VLOOKUP(Pesi!$B$32,TabAlgCen,13,FALSE)-((VLOOKUP(Pesi!$B$32,TabAlgCen,12,FALSE)-$M127)/(VLOOKUP(Pesi!$B$32,TabAlgCen,12,FALSE)-Pesi!$F$42))*VLOOKUP(Pesi!$B$32,TabAlgCen,13,FALSE),$K127*$M127/$J127)</f>
        <v>-21.650319730244547</v>
      </c>
      <c r="O127" s="155">
        <f t="shared" si="10"/>
        <v>1</v>
      </c>
      <c r="P127">
        <f t="shared" si="11"/>
        <v>43</v>
      </c>
      <c r="Q127">
        <f>VLOOKUP(B127,'C.P.'!$A$2:$B$164,2,FALSE)</f>
        <v>1</v>
      </c>
      <c r="R127" t="e">
        <f>VLOOKUP(B127,'C.P.'!$C$2:$D$164,2,FALSE)</f>
        <v>#N/A</v>
      </c>
      <c r="S127">
        <f>VLOOKUP(B127,'C.P.'!$E$2:$F$164,2,FALSE)</f>
        <v>1</v>
      </c>
      <c r="T127">
        <f>VLOOKUP(B127,'C.P.'!$G$2:$H$164,2,FALSE)</f>
        <v>2</v>
      </c>
      <c r="U127" s="420"/>
    </row>
    <row r="128" spans="1:21">
      <c r="A128">
        <f ca="1">COUNTIF('I.A. + Fasce'!B$1:'I.A. + Fasce'!B$538,#REF!)</f>
        <v>0</v>
      </c>
      <c r="B128" s="211" t="s">
        <v>400</v>
      </c>
      <c r="C128" s="212" t="str">
        <f>VLOOKUP(B128,'IA FG'!$B$2:$G$600,6,FALSE)</f>
        <v>GEN</v>
      </c>
      <c r="D128" s="213">
        <v>8</v>
      </c>
      <c r="E128" s="213">
        <v>5</v>
      </c>
      <c r="F128" s="213">
        <v>6</v>
      </c>
      <c r="G128" s="213">
        <v>5</v>
      </c>
      <c r="H128" s="213">
        <v>5</v>
      </c>
      <c r="I128" s="213">
        <v>5</v>
      </c>
      <c r="J128" s="210">
        <f>$D128*Pesi!$B$16+Pesi!$B$17*$E128+$F128*Pesi!$B$18+$G128*Pesi!$B$19+Pesi!$B$20*$H128+$I128*Pesi!$B$21+Pesi!$B$22*VLOOKUP($C128,TabAlgSqu,2,FALSE)+VLOOKUP($C128,TabAlgFC,2,FALSE)*Pesi!$B$23+Pesi!$B$24*VLOOKUP($C128,TabAlgAll,2,FALSE)</f>
        <v>61.545900000000003</v>
      </c>
      <c r="K128" s="155">
        <f>IF(ISNA(MATCH($B128,Pesi!$B$31:$B$34,0)),VLOOKUP(Pesi!$B$32,TabAlgCen,10,FALSE)-((VLOOKUP(Pesi!$B$32,TabAlgCen,9,FALSE)-$J128)/(VLOOKUP(Pesi!$B$32,TabAlgCen,9,FALSE)-Pesi!$D$42))*VLOOKUP(Pesi!$B$32,TabAlgCen,10,FALSE),Pesi!$F$32*Pesi!$C$28)</f>
        <v>-23.193011269903394</v>
      </c>
      <c r="L128" s="155">
        <f t="shared" si="9"/>
        <v>1</v>
      </c>
      <c r="M128" s="154">
        <f>$D128*Pesi!$D$16+Pesi!$D$17*$E128+$F128*Pesi!$D$18+$G128*Pesi!$D$19+Pesi!$D$20*$H128+$I128*Pesi!$D$21+Pesi!$D$22*VLOOKUP($C128,TabAlgSqu,2,FALSE)+VLOOKUP($C128,TabAlgFC,2,FALSE)*Pesi!$D$23+Pesi!$D$24*VLOOKUP($C128,TabAlgAll,2,FALSE)</f>
        <v>59.195899999999995</v>
      </c>
      <c r="N128" s="155">
        <f>IF(ISNA(MATCH($B128,Pesi!$B$31:$B$34,0)),VLOOKUP(Pesi!$B$32,TabAlgCen,13,FALSE)-((VLOOKUP(Pesi!$B$32,TabAlgCen,12,FALSE)-$M128)/(VLOOKUP(Pesi!$B$32,TabAlgCen,12,FALSE)-Pesi!$F$42))*VLOOKUP(Pesi!$B$32,TabAlgCen,13,FALSE),$K128*$M128/$J128)</f>
        <v>-21.080631342083791</v>
      </c>
      <c r="O128" s="155">
        <f t="shared" si="10"/>
        <v>1</v>
      </c>
      <c r="P128">
        <f t="shared" si="11"/>
        <v>34</v>
      </c>
      <c r="Q128" t="e">
        <f>VLOOKUP(B128,'C.P.'!$A$2:$B$164,2,FALSE)</f>
        <v>#N/A</v>
      </c>
      <c r="R128" t="e">
        <f>VLOOKUP(B128,'C.P.'!$C$2:$D$164,2,FALSE)</f>
        <v>#N/A</v>
      </c>
      <c r="S128" t="e">
        <f>VLOOKUP(B128,'C.P.'!$E$2:$F$164,2,FALSE)</f>
        <v>#N/A</v>
      </c>
      <c r="T128" t="e">
        <f>VLOOKUP(B128,'C.P.'!$G$2:$H$164,2,FALSE)</f>
        <v>#N/A</v>
      </c>
      <c r="U128" s="420"/>
    </row>
    <row r="129" spans="1:21">
      <c r="A129">
        <f ca="1">COUNTIF('I.A. + Fasce'!B$1:'I.A. + Fasce'!B$538,B129)</f>
        <v>1</v>
      </c>
      <c r="B129" s="211" t="s">
        <v>1859</v>
      </c>
      <c r="C129" s="212" t="str">
        <f>VLOOKUP(B129,'IA FG'!$B$2:$G$600,6,FALSE)</f>
        <v>VER</v>
      </c>
      <c r="D129" s="213">
        <v>6</v>
      </c>
      <c r="E129" s="213">
        <v>7</v>
      </c>
      <c r="F129" s="213">
        <v>6</v>
      </c>
      <c r="G129" s="213">
        <v>6</v>
      </c>
      <c r="H129" s="213">
        <v>5</v>
      </c>
      <c r="I129" s="213">
        <v>6</v>
      </c>
      <c r="J129" s="210">
        <f>$D129*Pesi!$B$16+Pesi!$B$17*$E129+$F129*Pesi!$B$18+$G129*Pesi!$B$19+Pesi!$B$20*$H129+$I129*Pesi!$B$21+Pesi!$B$22*VLOOKUP($C129,TabAlgSqu,2,FALSE)+VLOOKUP($C129,TabAlgFC,2,FALSE)*Pesi!$B$23+Pesi!$B$24*VLOOKUP($C129,TabAlgAll,2,FALSE)</f>
        <v>61.490099999999998</v>
      </c>
      <c r="K129" s="155">
        <f>IF(ISNA(MATCH($B129,Pesi!$B$31:$B$34,0)),VLOOKUP(Pesi!$B$32,TabAlgCen,10,FALSE)-((VLOOKUP(Pesi!$B$32,TabAlgCen,9,FALSE)-$J129)/(VLOOKUP(Pesi!$B$32,TabAlgCen,9,FALSE)-Pesi!$D$42))*VLOOKUP(Pesi!$B$32,TabAlgCen,10,FALSE),Pesi!$F$32*Pesi!$C$28)</f>
        <v>-23.346093209892359</v>
      </c>
      <c r="L129" s="155">
        <f t="shared" si="9"/>
        <v>1</v>
      </c>
      <c r="M129" s="154">
        <f>$D129*Pesi!$D$16+Pesi!$D$17*$E129+$F129*Pesi!$D$18+$G129*Pesi!$D$19+Pesi!$D$20*$H129+$I129*Pesi!$D$21+Pesi!$D$22*VLOOKUP($C129,TabAlgSqu,2,FALSE)+VLOOKUP($C129,TabAlgFC,2,FALSE)*Pesi!$D$23+Pesi!$D$24*VLOOKUP($C129,TabAlgAll,2,FALSE)</f>
        <v>59.0901</v>
      </c>
      <c r="N129" s="155">
        <f>IF(ISNA(MATCH($B129,Pesi!$B$31:$B$34,0)),VLOOKUP(Pesi!$B$32,TabAlgCen,13,FALSE)-((VLOOKUP(Pesi!$B$32,TabAlgCen,12,FALSE)-$M129)/(VLOOKUP(Pesi!$B$32,TabAlgCen,12,FALSE)-Pesi!$F$42))*VLOOKUP(Pesi!$B$32,TabAlgCen,13,FALSE),$K129*$M129/$J129)</f>
        <v>-21.366420964973358</v>
      </c>
      <c r="O129" s="155">
        <f t="shared" si="10"/>
        <v>1</v>
      </c>
      <c r="P129">
        <f t="shared" si="11"/>
        <v>36</v>
      </c>
      <c r="Q129" t="e">
        <f>VLOOKUP(B129,'C.P.'!$A$2:$B$164,2,FALSE)</f>
        <v>#N/A</v>
      </c>
      <c r="R129" t="e">
        <f>VLOOKUP(B129,'C.P.'!$C$2:$D$164,2,FALSE)</f>
        <v>#N/A</v>
      </c>
      <c r="S129" t="e">
        <f>VLOOKUP(B129,'C.P.'!$E$2:$F$164,2,FALSE)</f>
        <v>#N/A</v>
      </c>
      <c r="T129" t="e">
        <f>VLOOKUP(B129,'C.P.'!$G$2:$H$164,2,FALSE)</f>
        <v>#N/A</v>
      </c>
      <c r="U129" s="180"/>
    </row>
    <row r="130" spans="1:21">
      <c r="A130">
        <f ca="1">COUNTIF('I.A. + Fasce'!B$1:'I.A. + Fasce'!B$538,B127)</f>
        <v>1</v>
      </c>
      <c r="B130" s="211" t="s">
        <v>548</v>
      </c>
      <c r="C130" s="212" t="str">
        <f>VLOOKUP(B130,'IA FG'!$B$2:$G$600,6,FALSE)</f>
        <v>SAS</v>
      </c>
      <c r="D130" s="213">
        <v>7</v>
      </c>
      <c r="E130" s="213">
        <v>5</v>
      </c>
      <c r="F130" s="213">
        <v>7</v>
      </c>
      <c r="G130" s="213">
        <v>6</v>
      </c>
      <c r="H130" s="213">
        <v>5</v>
      </c>
      <c r="I130" s="213">
        <v>4</v>
      </c>
      <c r="J130" s="210">
        <f>$D130*Pesi!$B$16+Pesi!$B$17*$E130+$F130*Pesi!$B$18+$G130*Pesi!$B$19+Pesi!$B$20*$H130+$I130*Pesi!$B$21+Pesi!$B$22*VLOOKUP($C130,TabAlgSqu,2,FALSE)+VLOOKUP($C130,TabAlgFC,2,FALSE)*Pesi!$B$23+Pesi!$B$24*VLOOKUP($C130,TabAlgAll,2,FALSE)</f>
        <v>61.4253</v>
      </c>
      <c r="K130" s="155">
        <f>IF(ISNA(MATCH($B130,Pesi!$B$31:$B$34,0)),VLOOKUP(Pesi!$B$32,TabAlgCen,10,FALSE)-((VLOOKUP(Pesi!$B$32,TabAlgCen,9,FALSE)-$J130)/(VLOOKUP(Pesi!$B$32,TabAlgCen,9,FALSE)-Pesi!$D$42))*VLOOKUP(Pesi!$B$32,TabAlgCen,10,FALSE),Pesi!$F$32*Pesi!$C$28)</f>
        <v>-23.523865785363398</v>
      </c>
      <c r="L130" s="155">
        <f t="shared" ref="L130:L161" si="12">IF(K130&lt;=1,1,K130)</f>
        <v>1</v>
      </c>
      <c r="M130" s="154">
        <f>$D130*Pesi!$D$16+Pesi!$D$17*$E130+$F130*Pesi!$D$18+$G130*Pesi!$D$19+Pesi!$D$20*$H130+$I130*Pesi!$D$21+Pesi!$D$22*VLOOKUP($C130,TabAlgSqu,2,FALSE)+VLOOKUP($C130,TabAlgFC,2,FALSE)*Pesi!$D$23+Pesi!$D$24*VLOOKUP($C130,TabAlgAll,2,FALSE)</f>
        <v>58.6753</v>
      </c>
      <c r="N130" s="155">
        <f>IF(ISNA(MATCH($B130,Pesi!$B$31:$B$34,0)),VLOOKUP(Pesi!$B$32,TabAlgCen,13,FALSE)-((VLOOKUP(Pesi!$B$32,TabAlgCen,12,FALSE)-$M130)/(VLOOKUP(Pesi!$B$32,TabAlgCen,12,FALSE)-Pesi!$F$42))*VLOOKUP(Pesi!$B$32,TabAlgCen,13,FALSE),$K130*$M130/$J130)</f>
        <v>-22.486889165111265</v>
      </c>
      <c r="O130" s="155">
        <f t="shared" ref="O130:O161" si="13">IF(N130&lt;=1,1,N130)</f>
        <v>1</v>
      </c>
      <c r="P130">
        <f t="shared" ref="P130:P161" si="14">SUM(D130:I130)</f>
        <v>34</v>
      </c>
      <c r="Q130" t="e">
        <f>VLOOKUP(B130,'C.P.'!$A$2:$B$164,2,FALSE)</f>
        <v>#N/A</v>
      </c>
      <c r="R130" t="e">
        <f>VLOOKUP(B130,'C.P.'!$C$2:$D$164,2,FALSE)</f>
        <v>#N/A</v>
      </c>
      <c r="S130" t="e">
        <f>VLOOKUP(B130,'C.P.'!$E$2:$F$164,2,FALSE)</f>
        <v>#N/A</v>
      </c>
      <c r="T130" t="e">
        <f>VLOOKUP(B130,'C.P.'!$G$2:$H$164,2,FALSE)</f>
        <v>#N/A</v>
      </c>
    </row>
    <row r="131" spans="1:21">
      <c r="A131">
        <f ca="1">COUNTIF('I.A. + Fasce'!B$1:'I.A. + Fasce'!B$538,B129)</f>
        <v>1</v>
      </c>
      <c r="B131" s="211" t="s">
        <v>1742</v>
      </c>
      <c r="C131" s="212" t="str">
        <f>VLOOKUP(B131,'IA FG'!$B$2:$G$600,6,FALSE)</f>
        <v>UDI</v>
      </c>
      <c r="D131" s="213">
        <v>7</v>
      </c>
      <c r="E131" s="213">
        <v>4</v>
      </c>
      <c r="F131" s="213">
        <v>6</v>
      </c>
      <c r="G131" s="213">
        <v>5</v>
      </c>
      <c r="H131" s="213">
        <v>7</v>
      </c>
      <c r="I131" s="213">
        <v>5</v>
      </c>
      <c r="J131" s="210">
        <f>$D131*Pesi!$B$16+Pesi!$B$17*$E131+$F131*Pesi!$B$18+$G131*Pesi!$B$19+Pesi!$B$20*$H131+$I131*Pesi!$B$21+Pesi!$B$22*VLOOKUP($C131,TabAlgSqu,2,FALSE)+VLOOKUP($C131,TabAlgFC,2,FALSE)*Pesi!$B$23+Pesi!$B$24*VLOOKUP($C131,TabAlgAll,2,FALSE)</f>
        <v>61.410199999999996</v>
      </c>
      <c r="K131" s="155">
        <f>IF(ISNA(MATCH($B131,Pesi!$B$31:$B$34,0)),VLOOKUP(Pesi!$B$32,TabAlgCen,10,FALSE)-((VLOOKUP(Pesi!$B$32,TabAlgCen,9,FALSE)-$J131)/(VLOOKUP(Pesi!$B$32,TabAlgCen,9,FALSE)-Pesi!$D$42))*VLOOKUP(Pesi!$B$32,TabAlgCen,10,FALSE),Pesi!$F$32*Pesi!$C$28)</f>
        <v>-23.565291184894463</v>
      </c>
      <c r="L131" s="155">
        <f t="shared" si="12"/>
        <v>1</v>
      </c>
      <c r="M131" s="154">
        <f>$D131*Pesi!$D$16+Pesi!$D$17*$E131+$F131*Pesi!$D$18+$G131*Pesi!$D$19+Pesi!$D$20*$H131+$I131*Pesi!$D$21+Pesi!$D$22*VLOOKUP($C131,TabAlgSqu,2,FALSE)+VLOOKUP($C131,TabAlgFC,2,FALSE)*Pesi!$D$23+Pesi!$D$24*VLOOKUP($C131,TabAlgAll,2,FALSE)</f>
        <v>59.060199999999995</v>
      </c>
      <c r="N131" s="155">
        <f>IF(ISNA(MATCH($B131,Pesi!$B$31:$B$34,0)),VLOOKUP(Pesi!$B$32,TabAlgCen,13,FALSE)-((VLOOKUP(Pesi!$B$32,TabAlgCen,12,FALSE)-$M131)/(VLOOKUP(Pesi!$B$32,TabAlgCen,12,FALSE)-Pesi!$F$42))*VLOOKUP(Pesi!$B$32,TabAlgCen,13,FALSE),$K131*$M131/$J131)</f>
        <v>-21.447187597529108</v>
      </c>
      <c r="O131" s="155">
        <f t="shared" si="13"/>
        <v>1</v>
      </c>
      <c r="P131">
        <f t="shared" si="14"/>
        <v>34</v>
      </c>
      <c r="Q131" t="e">
        <f>VLOOKUP(B131,'C.P.'!$A$2:$B$164,2,FALSE)</f>
        <v>#N/A</v>
      </c>
      <c r="R131" t="e">
        <f>VLOOKUP(B131,'C.P.'!$C$2:$D$164,2,FALSE)</f>
        <v>#N/A</v>
      </c>
      <c r="S131" t="e">
        <f>VLOOKUP(B131,'C.P.'!$E$2:$F$164,2,FALSE)</f>
        <v>#N/A</v>
      </c>
      <c r="T131" t="e">
        <f>VLOOKUP(B131,'C.P.'!$G$2:$H$164,2,FALSE)</f>
        <v>#N/A</v>
      </c>
    </row>
    <row r="132" spans="1:21">
      <c r="B132" s="209" t="s">
        <v>1991</v>
      </c>
      <c r="C132" s="212" t="str">
        <f>VLOOKUP(B132,'IA FG'!$B$2:$G$600,6,FALSE)</f>
        <v>CRO</v>
      </c>
      <c r="D132" s="207">
        <v>8</v>
      </c>
      <c r="E132" s="207">
        <v>5</v>
      </c>
      <c r="F132" s="207">
        <v>6</v>
      </c>
      <c r="G132" s="207">
        <v>6</v>
      </c>
      <c r="H132" s="207">
        <v>6</v>
      </c>
      <c r="I132" s="207">
        <v>5</v>
      </c>
      <c r="J132" s="210">
        <f>$D132*Pesi!$B$16+Pesi!$B$17*$E132+$F132*Pesi!$B$18+$G132*Pesi!$B$19+Pesi!$B$20*$H132+$I132*Pesi!$B$21+Pesi!$B$22*VLOOKUP($C132,TabAlgSqu,2,FALSE)+VLOOKUP($C132,TabAlgFC,2,FALSE)*Pesi!$B$23+Pesi!$B$24*VLOOKUP($C132,TabAlgAll,2,FALSE)</f>
        <v>61.331700000000005</v>
      </c>
      <c r="K132" s="155">
        <f>IF(ISNA(MATCH($B132,Pesi!$B$31:$B$34,0)),VLOOKUP(Pesi!$B$32,TabAlgCen,10,FALSE)-((VLOOKUP(Pesi!$B$32,TabAlgCen,9,FALSE)-$J132)/(VLOOKUP(Pesi!$B$32,TabAlgCen,9,FALSE)-Pesi!$D$42))*VLOOKUP(Pesi!$B$32,TabAlgCen,10,FALSE),Pesi!$F$32*Pesi!$C$28)</f>
        <v>-23.780648394377124</v>
      </c>
      <c r="L132" s="155">
        <f t="shared" si="12"/>
        <v>1</v>
      </c>
      <c r="M132" s="154">
        <f>$D132*Pesi!$D$16+Pesi!$D$17*$E132+$F132*Pesi!$D$18+$G132*Pesi!$D$19+Pesi!$D$20*$H132+$I132*Pesi!$D$21+Pesi!$D$22*VLOOKUP($C132,TabAlgSqu,2,FALSE)+VLOOKUP($C132,TabAlgFC,2,FALSE)*Pesi!$D$23+Pesi!$D$24*VLOOKUP($C132,TabAlgAll,2,FALSE)</f>
        <v>58.931699999999999</v>
      </c>
      <c r="N132" s="155">
        <f>IF(ISNA(MATCH($B132,Pesi!$B$31:$B$34,0)),VLOOKUP(Pesi!$B$32,TabAlgCen,13,FALSE)-((VLOOKUP(Pesi!$B$32,TabAlgCen,12,FALSE)-$M132)/(VLOOKUP(Pesi!$B$32,TabAlgCen,12,FALSE)-Pesi!$F$42))*VLOOKUP(Pesi!$B$32,TabAlgCen,13,FALSE),$K132*$M132/$J132)</f>
        <v>-21.794295031756974</v>
      </c>
      <c r="O132" s="155">
        <f t="shared" si="13"/>
        <v>1</v>
      </c>
      <c r="P132">
        <f t="shared" si="14"/>
        <v>36</v>
      </c>
      <c r="Q132" t="e">
        <f>VLOOKUP(B132,'C.P.'!$A$2:$B$164,2,FALSE)</f>
        <v>#N/A</v>
      </c>
      <c r="R132" t="e">
        <f>VLOOKUP(B132,'C.P.'!$C$2:$D$164,2,FALSE)</f>
        <v>#N/A</v>
      </c>
      <c r="S132" t="e">
        <f>VLOOKUP(B132,'C.P.'!$E$2:$F$164,2,FALSE)</f>
        <v>#N/A</v>
      </c>
      <c r="T132" t="e">
        <f>VLOOKUP(B132,'C.P.'!$G$2:$H$164,2,FALSE)</f>
        <v>#N/A</v>
      </c>
    </row>
    <row r="133" spans="1:21">
      <c r="A133">
        <f ca="1">COUNTIF('I.A. + Fasce'!B$1:'I.A. + Fasce'!B$538,B131)</f>
        <v>1</v>
      </c>
      <c r="B133" s="211" t="s">
        <v>1762</v>
      </c>
      <c r="C133" s="212" t="str">
        <f>VLOOKUP(B133,'IA FG'!$B$2:$G$600,6,FALSE)</f>
        <v>CAG</v>
      </c>
      <c r="D133" s="213">
        <v>6</v>
      </c>
      <c r="E133" s="213">
        <v>5</v>
      </c>
      <c r="F133" s="213">
        <v>6</v>
      </c>
      <c r="G133" s="213">
        <v>6</v>
      </c>
      <c r="H133" s="213">
        <v>5</v>
      </c>
      <c r="I133" s="213">
        <v>5</v>
      </c>
      <c r="J133" s="210">
        <f>$D133*Pesi!$B$16+Pesi!$B$17*$E133+$F133*Pesi!$B$18+$G133*Pesi!$B$19+Pesi!$B$20*$H133+$I133*Pesi!$B$21+Pesi!$B$22*VLOOKUP($C133,TabAlgSqu,2,FALSE)+VLOOKUP($C133,TabAlgFC,2,FALSE)*Pesi!$B$23+Pesi!$B$24*VLOOKUP($C133,TabAlgAll,2,FALSE)</f>
        <v>61.303800000000003</v>
      </c>
      <c r="K133" s="155">
        <f>IF(ISNA(MATCH($B133,Pesi!$B$31:$B$34,0)),VLOOKUP(Pesi!$B$32,TabAlgCen,10,FALSE)-((VLOOKUP(Pesi!$B$32,TabAlgCen,9,FALSE)-$J133)/(VLOOKUP(Pesi!$B$32,TabAlgCen,9,FALSE)-Pesi!$D$42))*VLOOKUP(Pesi!$B$32,TabAlgCen,10,FALSE),Pesi!$F$32*Pesi!$C$28)</f>
        <v>-23.857189364371607</v>
      </c>
      <c r="L133" s="155">
        <f t="shared" si="12"/>
        <v>1</v>
      </c>
      <c r="M133" s="154">
        <f>$D133*Pesi!$D$16+Pesi!$D$17*$E133+$F133*Pesi!$D$18+$G133*Pesi!$D$19+Pesi!$D$20*$H133+$I133*Pesi!$D$21+Pesi!$D$22*VLOOKUP($C133,TabAlgSqu,2,FALSE)+VLOOKUP($C133,TabAlgFC,2,FALSE)*Pesi!$D$23+Pesi!$D$24*VLOOKUP($C133,TabAlgAll,2,FALSE)</f>
        <v>58.903800000000004</v>
      </c>
      <c r="N133" s="155">
        <f>IF(ISNA(MATCH($B133,Pesi!$B$31:$B$34,0)),VLOOKUP(Pesi!$B$32,TabAlgCen,13,FALSE)-((VLOOKUP(Pesi!$B$32,TabAlgCen,12,FALSE)-$M133)/(VLOOKUP(Pesi!$B$32,TabAlgCen,12,FALSE)-Pesi!$F$42))*VLOOKUP(Pesi!$B$32,TabAlgCen,13,FALSE),$K133*$M133/$J133)</f>
        <v>-21.869659213974529</v>
      </c>
      <c r="O133" s="155">
        <f t="shared" si="13"/>
        <v>1</v>
      </c>
      <c r="P133">
        <f t="shared" si="14"/>
        <v>33</v>
      </c>
      <c r="Q133" t="e">
        <f>VLOOKUP(B133,'C.P.'!$A$2:$B$164,2,FALSE)</f>
        <v>#N/A</v>
      </c>
      <c r="R133" t="e">
        <f>VLOOKUP(B133,'C.P.'!$C$2:$D$164,2,FALSE)</f>
        <v>#N/A</v>
      </c>
      <c r="S133">
        <f>VLOOKUP(B133,'C.P.'!$E$2:$F$164,2,FALSE)</f>
        <v>3</v>
      </c>
      <c r="T133">
        <f>VLOOKUP(B133,'C.P.'!$G$2:$H$164,2,FALSE)</f>
        <v>2</v>
      </c>
    </row>
    <row r="134" spans="1:21">
      <c r="A134">
        <f ca="1">COUNTIF('I.A. + Fasce'!B$1:'I.A. + Fasce'!B$538,B132)</f>
        <v>1</v>
      </c>
      <c r="B134" s="211" t="s">
        <v>1279</v>
      </c>
      <c r="C134" s="212" t="str">
        <f>VLOOKUP(B134,'IA FG'!$B$2:$G$600,6,FALSE)</f>
        <v>TOR</v>
      </c>
      <c r="D134" s="213">
        <v>8</v>
      </c>
      <c r="E134" s="213">
        <v>4</v>
      </c>
      <c r="F134" s="213">
        <v>5</v>
      </c>
      <c r="G134" s="213">
        <v>5</v>
      </c>
      <c r="H134" s="213">
        <v>6</v>
      </c>
      <c r="I134" s="213">
        <v>3</v>
      </c>
      <c r="J134" s="210">
        <f>$D134*Pesi!$B$16+Pesi!$B$17*$E134+$F134*Pesi!$B$18+$G134*Pesi!$B$19+Pesi!$B$20*$H134+$I134*Pesi!$B$21+Pesi!$B$22*VLOOKUP($C134,TabAlgSqu,2,FALSE)+VLOOKUP($C134,TabAlgFC,2,FALSE)*Pesi!$B$23+Pesi!$B$24*VLOOKUP($C134,TabAlgAll,2,FALSE)</f>
        <v>61.302099999999996</v>
      </c>
      <c r="K134" s="155">
        <f>IF(ISNA(MATCH($B134,Pesi!$B$31:$B$34,0)),VLOOKUP(Pesi!$B$32,TabAlgCen,10,FALSE)-((VLOOKUP(Pesi!$B$32,TabAlgCen,9,FALSE)-$J134)/(VLOOKUP(Pesi!$B$32,TabAlgCen,9,FALSE)-Pesi!$D$42))*VLOOKUP(Pesi!$B$32,TabAlgCen,10,FALSE),Pesi!$F$32*Pesi!$C$28)</f>
        <v>-23.861853151073774</v>
      </c>
      <c r="L134" s="155">
        <f t="shared" si="12"/>
        <v>1</v>
      </c>
      <c r="M134" s="154">
        <f>$D134*Pesi!$D$16+Pesi!$D$17*$E134+$F134*Pesi!$D$18+$G134*Pesi!$D$19+Pesi!$D$20*$H134+$I134*Pesi!$D$21+Pesi!$D$22*VLOOKUP($C134,TabAlgSqu,2,FALSE)+VLOOKUP($C134,TabAlgFC,2,FALSE)*Pesi!$D$23+Pesi!$D$24*VLOOKUP($C134,TabAlgAll,2,FALSE)</f>
        <v>59.302099999999996</v>
      </c>
      <c r="N134" s="155">
        <f>IF(ISNA(MATCH($B134,Pesi!$B$31:$B$34,0)),VLOOKUP(Pesi!$B$32,TabAlgCen,13,FALSE)-((VLOOKUP(Pesi!$B$32,TabAlgCen,12,FALSE)-$M134)/(VLOOKUP(Pesi!$B$32,TabAlgCen,12,FALSE)-Pesi!$F$42))*VLOOKUP(Pesi!$B$32,TabAlgCen,13,FALSE),$K134*$M134/$J134)</f>
        <v>-20.793761229126588</v>
      </c>
      <c r="O134" s="155">
        <f t="shared" si="13"/>
        <v>1</v>
      </c>
      <c r="P134">
        <f t="shared" si="14"/>
        <v>31</v>
      </c>
      <c r="Q134" t="e">
        <f>VLOOKUP(B134,'C.P.'!$A$2:$B$164,2,FALSE)</f>
        <v>#N/A</v>
      </c>
      <c r="R134" t="e">
        <f>VLOOKUP(B134,'C.P.'!$C$2:$D$164,2,FALSE)</f>
        <v>#N/A</v>
      </c>
      <c r="S134" t="e">
        <f>VLOOKUP(B134,'C.P.'!$E$2:$F$164,2,FALSE)</f>
        <v>#N/A</v>
      </c>
      <c r="T134" t="e">
        <f>VLOOKUP(B134,'C.P.'!$G$2:$H$164,2,FALSE)</f>
        <v>#N/A</v>
      </c>
    </row>
    <row r="135" spans="1:21">
      <c r="A135">
        <f ca="1">COUNTIF('I.A. + Fasce'!B$1:'I.A. + Fasce'!B$538,B132)</f>
        <v>1</v>
      </c>
      <c r="B135" s="211" t="s">
        <v>1851</v>
      </c>
      <c r="C135" s="212" t="str">
        <f>VLOOKUP(B135,'IA FG'!$B$2:$G$600,6,FALSE)</f>
        <v>UDI</v>
      </c>
      <c r="D135" s="213">
        <v>7</v>
      </c>
      <c r="E135" s="213">
        <v>4</v>
      </c>
      <c r="F135" s="213">
        <v>5</v>
      </c>
      <c r="G135" s="213">
        <v>6</v>
      </c>
      <c r="H135" s="213">
        <v>7</v>
      </c>
      <c r="I135" s="213">
        <v>5</v>
      </c>
      <c r="J135" s="210">
        <f>$D135*Pesi!$B$16+Pesi!$B$17*$E135+$F135*Pesi!$B$18+$G135*Pesi!$B$19+Pesi!$B$20*$H135+$I135*Pesi!$B$21+Pesi!$B$22*VLOOKUP($C135,TabAlgSqu,2,FALSE)+VLOOKUP($C135,TabAlgFC,2,FALSE)*Pesi!$B$23+Pesi!$B$24*VLOOKUP($C135,TabAlgAll,2,FALSE)</f>
        <v>61.297699999999999</v>
      </c>
      <c r="K135" s="155">
        <f>IF(ISNA(MATCH($B135,Pesi!$B$31:$B$34,0)),VLOOKUP(Pesi!$B$32,TabAlgCen,10,FALSE)-((VLOOKUP(Pesi!$B$32,TabAlgCen,9,FALSE)-$J135)/(VLOOKUP(Pesi!$B$32,TabAlgCen,9,FALSE)-Pesi!$D$42))*VLOOKUP(Pesi!$B$32,TabAlgCen,10,FALSE),Pesi!$F$32*Pesi!$C$28)</f>
        <v>-23.873924128420583</v>
      </c>
      <c r="L135" s="155">
        <f t="shared" si="12"/>
        <v>1</v>
      </c>
      <c r="M135" s="154">
        <f>$D135*Pesi!$D$16+Pesi!$D$17*$E135+$F135*Pesi!$D$18+$G135*Pesi!$D$19+Pesi!$D$20*$H135+$I135*Pesi!$D$21+Pesi!$D$22*VLOOKUP($C135,TabAlgSqu,2,FALSE)+VLOOKUP($C135,TabAlgFC,2,FALSE)*Pesi!$D$23+Pesi!$D$24*VLOOKUP($C135,TabAlgAll,2,FALSE)</f>
        <v>59.247699999999995</v>
      </c>
      <c r="N135" s="155">
        <f>IF(ISNA(MATCH($B135,Pesi!$B$31:$B$34,0)),VLOOKUP(Pesi!$B$32,TabAlgCen,13,FALSE)-((VLOOKUP(Pesi!$B$32,TabAlgCen,12,FALSE)-$M135)/(VLOOKUP(Pesi!$B$32,TabAlgCen,12,FALSE)-Pesi!$F$42))*VLOOKUP(Pesi!$B$32,TabAlgCen,13,FALSE),$K135*$M135/$J135)</f>
        <v>-20.940707878325</v>
      </c>
      <c r="O135" s="155">
        <f t="shared" si="13"/>
        <v>1</v>
      </c>
      <c r="P135">
        <f t="shared" si="14"/>
        <v>34</v>
      </c>
      <c r="Q135" t="e">
        <f>VLOOKUP(B135,'C.P.'!$A$2:$B$164,2,FALSE)</f>
        <v>#N/A</v>
      </c>
      <c r="R135" t="e">
        <f>VLOOKUP(B135,'C.P.'!$C$2:$D$164,2,FALSE)</f>
        <v>#N/A</v>
      </c>
      <c r="S135" t="e">
        <f>VLOOKUP(B135,'C.P.'!$E$2:$F$164,2,FALSE)</f>
        <v>#N/A</v>
      </c>
      <c r="T135" t="e">
        <f>VLOOKUP(B135,'C.P.'!$G$2:$H$164,2,FALSE)</f>
        <v>#N/A</v>
      </c>
    </row>
    <row r="136" spans="1:21">
      <c r="A136">
        <f ca="1">COUNTIF('I.A. + Fasce'!B$1:'I.A. + Fasce'!B$538,B134)</f>
        <v>1</v>
      </c>
      <c r="B136" s="211" t="s">
        <v>368</v>
      </c>
      <c r="C136" s="212" t="str">
        <f>VLOOKUP(B136,'IA FG'!$B$2:$G$600,6,FALSE)</f>
        <v>UDI</v>
      </c>
      <c r="D136" s="213">
        <v>7</v>
      </c>
      <c r="E136" s="213">
        <v>4</v>
      </c>
      <c r="F136" s="213">
        <v>5</v>
      </c>
      <c r="G136" s="213">
        <v>6</v>
      </c>
      <c r="H136" s="213">
        <v>7</v>
      </c>
      <c r="I136" s="213">
        <v>5</v>
      </c>
      <c r="J136" s="210">
        <f>$D136*Pesi!$B$16+Pesi!$B$17*$E136+$F136*Pesi!$B$18+$G136*Pesi!$B$19+Pesi!$B$20*$H136+$I136*Pesi!$B$21+Pesi!$B$22*VLOOKUP($C136,TabAlgSqu,2,FALSE)+VLOOKUP($C136,TabAlgFC,2,FALSE)*Pesi!$B$23+Pesi!$B$24*VLOOKUP($C136,TabAlgAll,2,FALSE)</f>
        <v>61.297699999999999</v>
      </c>
      <c r="K136" s="155">
        <f>IF(ISNA(MATCH($B136,Pesi!$B$31:$B$34,0)),VLOOKUP(Pesi!$B$32,TabAlgCen,10,FALSE)-((VLOOKUP(Pesi!$B$32,TabAlgCen,9,FALSE)-$J136)/(VLOOKUP(Pesi!$B$32,TabAlgCen,9,FALSE)-Pesi!$D$42))*VLOOKUP(Pesi!$B$32,TabAlgCen,10,FALSE),Pesi!$F$32*Pesi!$C$28)</f>
        <v>-23.873924128420583</v>
      </c>
      <c r="L136" s="155">
        <f t="shared" si="12"/>
        <v>1</v>
      </c>
      <c r="M136" s="154">
        <f>$D136*Pesi!$D$16+Pesi!$D$17*$E136+$F136*Pesi!$D$18+$G136*Pesi!$D$19+Pesi!$D$20*$H136+$I136*Pesi!$D$21+Pesi!$D$22*VLOOKUP($C136,TabAlgSqu,2,FALSE)+VLOOKUP($C136,TabAlgFC,2,FALSE)*Pesi!$D$23+Pesi!$D$24*VLOOKUP($C136,TabAlgAll,2,FALSE)</f>
        <v>59.247699999999995</v>
      </c>
      <c r="N136" s="155">
        <f>IF(ISNA(MATCH($B136,Pesi!$B$31:$B$34,0)),VLOOKUP(Pesi!$B$32,TabAlgCen,13,FALSE)-((VLOOKUP(Pesi!$B$32,TabAlgCen,12,FALSE)-$M136)/(VLOOKUP(Pesi!$B$32,TabAlgCen,12,FALSE)-Pesi!$F$42))*VLOOKUP(Pesi!$B$32,TabAlgCen,13,FALSE),$K136*$M136/$J136)</f>
        <v>-20.940707878325</v>
      </c>
      <c r="O136" s="155">
        <f t="shared" si="13"/>
        <v>1</v>
      </c>
      <c r="P136">
        <f t="shared" si="14"/>
        <v>34</v>
      </c>
      <c r="Q136" t="e">
        <f>VLOOKUP(B136,'C.P.'!$A$2:$B$164,2,FALSE)</f>
        <v>#N/A</v>
      </c>
      <c r="R136" t="e">
        <f>VLOOKUP(B136,'C.P.'!$C$2:$D$164,2,FALSE)</f>
        <v>#N/A</v>
      </c>
      <c r="S136" t="e">
        <f>VLOOKUP(B136,'C.P.'!$E$2:$F$164,2,FALSE)</f>
        <v>#N/A</v>
      </c>
      <c r="T136" t="e">
        <f>VLOOKUP(B136,'C.P.'!$G$2:$H$164,2,FALSE)</f>
        <v>#N/A</v>
      </c>
    </row>
    <row r="137" spans="1:21">
      <c r="A137">
        <f ca="1">COUNTIF('I.A. + Fasce'!B$1:'I.A. + Fasce'!B$538,B134)</f>
        <v>1</v>
      </c>
      <c r="B137" s="211" t="s">
        <v>444</v>
      </c>
      <c r="C137" s="212" t="str">
        <f>VLOOKUP(B137,'IA FG'!$B$2:$G$600,6,FALSE)</f>
        <v>BOL</v>
      </c>
      <c r="D137" s="213">
        <v>7</v>
      </c>
      <c r="E137" s="213">
        <v>5</v>
      </c>
      <c r="F137" s="213">
        <v>6</v>
      </c>
      <c r="G137" s="213">
        <v>6</v>
      </c>
      <c r="H137" s="213">
        <v>6</v>
      </c>
      <c r="I137" s="213">
        <v>5</v>
      </c>
      <c r="J137" s="210">
        <f>$D137*Pesi!$B$16+Pesi!$B$17*$E137+$F137*Pesi!$B$18+$G137*Pesi!$B$19+Pesi!$B$20*$H137+$I137*Pesi!$B$21+Pesi!$B$22*VLOOKUP($C137,TabAlgSqu,2,FALSE)+VLOOKUP($C137,TabAlgFC,2,FALSE)*Pesi!$B$23+Pesi!$B$24*VLOOKUP($C137,TabAlgAll,2,FALSE)</f>
        <v>61.260400000000011</v>
      </c>
      <c r="K137" s="155">
        <f>IF(ISNA(MATCH($B137,Pesi!$B$31:$B$34,0)),VLOOKUP(Pesi!$B$32,TabAlgCen,10,FALSE)-((VLOOKUP(Pesi!$B$32,TabAlgCen,9,FALSE)-$J137)/(VLOOKUP(Pesi!$B$32,TabAlgCen,9,FALSE)-Pesi!$D$42))*VLOOKUP(Pesi!$B$32,TabAlgCen,10,FALSE),Pesi!$F$32*Pesi!$C$28)</f>
        <v>-23.976253095474092</v>
      </c>
      <c r="L137" s="155">
        <f t="shared" si="12"/>
        <v>1</v>
      </c>
      <c r="M137" s="154">
        <f>$D137*Pesi!$D$16+Pesi!$D$17*$E137+$F137*Pesi!$D$18+$G137*Pesi!$D$19+Pesi!$D$20*$H137+$I137*Pesi!$D$21+Pesi!$D$22*VLOOKUP($C137,TabAlgSqu,2,FALSE)+VLOOKUP($C137,TabAlgFC,2,FALSE)*Pesi!$D$23+Pesi!$D$24*VLOOKUP($C137,TabAlgAll,2,FALSE)</f>
        <v>58.860400000000006</v>
      </c>
      <c r="N137" s="155">
        <f>IF(ISNA(MATCH($B137,Pesi!$B$31:$B$34,0)),VLOOKUP(Pesi!$B$32,TabAlgCen,13,FALSE)-((VLOOKUP(Pesi!$B$32,TabAlgCen,12,FALSE)-$M137)/(VLOOKUP(Pesi!$B$32,TabAlgCen,12,FALSE)-Pesi!$F$42))*VLOOKUP(Pesi!$B$32,TabAlgCen,13,FALSE),$K137*$M137/$J137)</f>
        <v>-21.98689238631296</v>
      </c>
      <c r="O137" s="155">
        <f t="shared" si="13"/>
        <v>1</v>
      </c>
      <c r="P137">
        <f t="shared" si="14"/>
        <v>35</v>
      </c>
      <c r="Q137" t="e">
        <f>VLOOKUP(B137,'C.P.'!$A$2:$B$164,2,FALSE)</f>
        <v>#N/A</v>
      </c>
      <c r="R137" t="e">
        <f>VLOOKUP(B137,'C.P.'!$C$2:$D$164,2,FALSE)</f>
        <v>#N/A</v>
      </c>
      <c r="S137" t="e">
        <f>VLOOKUP(B137,'C.P.'!$E$2:$F$164,2,FALSE)</f>
        <v>#N/A</v>
      </c>
      <c r="T137" t="e">
        <f>VLOOKUP(B137,'C.P.'!$G$2:$H$164,2,FALSE)</f>
        <v>#N/A</v>
      </c>
    </row>
    <row r="138" spans="1:21">
      <c r="B138" s="211" t="s">
        <v>1755</v>
      </c>
      <c r="C138" s="212" t="str">
        <f>VLOOKUP(B138,'IA FG'!$B$2:$G$600,6,FALSE)</f>
        <v>BOL</v>
      </c>
      <c r="D138" s="213">
        <v>8</v>
      </c>
      <c r="E138" s="213">
        <v>5</v>
      </c>
      <c r="F138" s="213">
        <v>6</v>
      </c>
      <c r="G138" s="213">
        <v>6</v>
      </c>
      <c r="H138" s="213">
        <v>5</v>
      </c>
      <c r="I138" s="213">
        <v>5</v>
      </c>
      <c r="J138" s="210">
        <f>$D138*Pesi!$B$16+Pesi!$B$17*$E138+$F138*Pesi!$B$18+$G138*Pesi!$B$19+Pesi!$B$20*$H138+$I138*Pesi!$B$21+Pesi!$B$22*VLOOKUP($C138,TabAlgSqu,2,FALSE)+VLOOKUP($C138,TabAlgFC,2,FALSE)*Pesi!$B$23+Pesi!$B$24*VLOOKUP($C138,TabAlgAll,2,FALSE)</f>
        <v>61.260399999999997</v>
      </c>
      <c r="K138" s="155">
        <f>IF(ISNA(MATCH($B138,Pesi!$B$31:$B$34,0)),VLOOKUP(Pesi!$B$32,TabAlgCen,10,FALSE)-((VLOOKUP(Pesi!$B$32,TabAlgCen,9,FALSE)-$J138)/(VLOOKUP(Pesi!$B$32,TabAlgCen,9,FALSE)-Pesi!$D$42))*VLOOKUP(Pesi!$B$32,TabAlgCen,10,FALSE),Pesi!$F$32*Pesi!$C$28)</f>
        <v>-23.976253095474121</v>
      </c>
      <c r="L138" s="155">
        <f t="shared" si="12"/>
        <v>1</v>
      </c>
      <c r="M138" s="154">
        <f>$D138*Pesi!$D$16+Pesi!$D$17*$E138+$F138*Pesi!$D$18+$G138*Pesi!$D$19+Pesi!$D$20*$H138+$I138*Pesi!$D$21+Pesi!$D$22*VLOOKUP($C138,TabAlgSqu,2,FALSE)+VLOOKUP($C138,TabAlgFC,2,FALSE)*Pesi!$D$23+Pesi!$D$24*VLOOKUP($C138,TabAlgAll,2,FALSE)</f>
        <v>58.860399999999991</v>
      </c>
      <c r="N138" s="155">
        <f>IF(ISNA(MATCH($B138,Pesi!$B$31:$B$34,0)),VLOOKUP(Pesi!$B$32,TabAlgCen,13,FALSE)-((VLOOKUP(Pesi!$B$32,TabAlgCen,12,FALSE)-$M138)/(VLOOKUP(Pesi!$B$32,TabAlgCen,12,FALSE)-Pesi!$F$42))*VLOOKUP(Pesi!$B$32,TabAlgCen,13,FALSE),$K138*$M138/$J138)</f>
        <v>-21.986892386313016</v>
      </c>
      <c r="O138" s="155">
        <f t="shared" si="13"/>
        <v>1</v>
      </c>
      <c r="P138">
        <f t="shared" si="14"/>
        <v>35</v>
      </c>
      <c r="Q138">
        <f>VLOOKUP(B138,'C.P.'!$A$2:$B$164,2,FALSE)</f>
        <v>0</v>
      </c>
      <c r="R138" t="e">
        <f>VLOOKUP(B138,'C.P.'!$C$2:$D$164,2,FALSE)</f>
        <v>#N/A</v>
      </c>
      <c r="S138" t="e">
        <f>VLOOKUP(B138,'C.P.'!$E$2:$F$164,2,FALSE)</f>
        <v>#N/A</v>
      </c>
      <c r="T138" t="e">
        <f>VLOOKUP(B138,'C.P.'!$G$2:$H$164,2,FALSE)</f>
        <v>#N/A</v>
      </c>
    </row>
    <row r="139" spans="1:21">
      <c r="A139">
        <f ca="1">COUNTIF('I.A. + Fasce'!B$1:'I.A. + Fasce'!B$538,B136)</f>
        <v>1</v>
      </c>
      <c r="B139" s="211" t="s">
        <v>1852</v>
      </c>
      <c r="C139" s="212" t="str">
        <f>VLOOKUP(B139,'IA FG'!$B$2:$G$600,6,FALSE)</f>
        <v>CAG</v>
      </c>
      <c r="D139" s="213">
        <v>7</v>
      </c>
      <c r="E139" s="213">
        <v>5</v>
      </c>
      <c r="F139" s="213">
        <v>5</v>
      </c>
      <c r="G139" s="213">
        <v>6</v>
      </c>
      <c r="H139" s="213">
        <v>6</v>
      </c>
      <c r="I139" s="213">
        <v>4</v>
      </c>
      <c r="J139" s="210">
        <f>$D139*Pesi!$B$16+Pesi!$B$17*$E139+$F139*Pesi!$B$18+$G139*Pesi!$B$19+Pesi!$B$20*$H139+$I139*Pesi!$B$21+Pesi!$B$22*VLOOKUP($C139,TabAlgSqu,2,FALSE)+VLOOKUP($C139,TabAlgFC,2,FALSE)*Pesi!$B$23+Pesi!$B$24*VLOOKUP($C139,TabAlgAll,2,FALSE)</f>
        <v>61.037100000000002</v>
      </c>
      <c r="K139" s="155">
        <f>IF(ISNA(MATCH($B139,Pesi!$B$31:$B$34,0)),VLOOKUP(Pesi!$B$32,TabAlgCen,10,FALSE)-((VLOOKUP(Pesi!$B$32,TabAlgCen,9,FALSE)-$J139)/(VLOOKUP(Pesi!$B$32,TabAlgCen,9,FALSE)-Pesi!$D$42))*VLOOKUP(Pesi!$B$32,TabAlgCen,10,FALSE),Pesi!$F$32*Pesi!$C$28)</f>
        <v>-24.588855195824181</v>
      </c>
      <c r="L139" s="155">
        <f t="shared" si="12"/>
        <v>1</v>
      </c>
      <c r="M139" s="154">
        <f>$D139*Pesi!$D$16+Pesi!$D$17*$E139+$F139*Pesi!$D$18+$G139*Pesi!$D$19+Pesi!$D$20*$H139+$I139*Pesi!$D$21+Pesi!$D$22*VLOOKUP($C139,TabAlgSqu,2,FALSE)+VLOOKUP($C139,TabAlgFC,2,FALSE)*Pesi!$D$23+Pesi!$D$24*VLOOKUP($C139,TabAlgAll,2,FALSE)</f>
        <v>58.987100000000005</v>
      </c>
      <c r="N139" s="155">
        <f>IF(ISNA(MATCH($B139,Pesi!$B$31:$B$34,0)),VLOOKUP(Pesi!$B$32,TabAlgCen,13,FALSE)-((VLOOKUP(Pesi!$B$32,TabAlgCen,12,FALSE)-$M139)/(VLOOKUP(Pesi!$B$32,TabAlgCen,12,FALSE)-Pesi!$F$42))*VLOOKUP(Pesi!$B$32,TabAlgCen,13,FALSE),$K139*$M139/$J139)</f>
        <v>-21.644647157389457</v>
      </c>
      <c r="O139" s="155">
        <f t="shared" si="13"/>
        <v>1</v>
      </c>
      <c r="P139">
        <f t="shared" si="14"/>
        <v>33</v>
      </c>
      <c r="Q139" t="e">
        <f>VLOOKUP(B139,'C.P.'!$A$2:$B$164,2,FALSE)</f>
        <v>#N/A</v>
      </c>
      <c r="R139" t="e">
        <f>VLOOKUP(B139,'C.P.'!$C$2:$D$164,2,FALSE)</f>
        <v>#N/A</v>
      </c>
      <c r="S139" t="e">
        <f>VLOOKUP(B139,'C.P.'!$E$2:$F$164,2,FALSE)</f>
        <v>#N/A</v>
      </c>
      <c r="T139" t="e">
        <f>VLOOKUP(B139,'C.P.'!$G$2:$H$164,2,FALSE)</f>
        <v>#N/A</v>
      </c>
    </row>
    <row r="140" spans="1:21">
      <c r="A140">
        <f ca="1">COUNTIF('I.A. + Fasce'!B$1:'I.A. + Fasce'!B$538,#REF!)</f>
        <v>0</v>
      </c>
      <c r="B140" s="211" t="s">
        <v>430</v>
      </c>
      <c r="C140" s="212" t="str">
        <f>VLOOKUP(B140,'IA FG'!$B$2:$G$600,6,FALSE)</f>
        <v>CAG</v>
      </c>
      <c r="D140" s="213">
        <v>7</v>
      </c>
      <c r="E140" s="213">
        <v>6</v>
      </c>
      <c r="F140" s="213">
        <v>5</v>
      </c>
      <c r="G140" s="213">
        <v>5</v>
      </c>
      <c r="H140" s="213">
        <v>5</v>
      </c>
      <c r="I140" s="213">
        <v>5</v>
      </c>
      <c r="J140" s="210">
        <f>$D140*Pesi!$B$16+Pesi!$B$17*$E140+$F140*Pesi!$B$18+$G140*Pesi!$B$19+Pesi!$B$20*$H140+$I140*Pesi!$B$21+Pesi!$B$22*VLOOKUP($C140,TabAlgSqu,2,FALSE)+VLOOKUP($C140,TabAlgFC,2,FALSE)*Pesi!$B$23+Pesi!$B$24*VLOOKUP($C140,TabAlgAll,2,FALSE)</f>
        <v>60.762100000000004</v>
      </c>
      <c r="K140" s="155">
        <f>IF(ISNA(MATCH($B140,Pesi!$B$31:$B$34,0)),VLOOKUP(Pesi!$B$32,TabAlgCen,10,FALSE)-((VLOOKUP(Pesi!$B$32,TabAlgCen,9,FALSE)-$J140)/(VLOOKUP(Pesi!$B$32,TabAlgCen,9,FALSE)-Pesi!$D$42))*VLOOKUP(Pesi!$B$32,TabAlgCen,10,FALSE),Pesi!$F$32*Pesi!$C$28)</f>
        <v>-25.343291279999107</v>
      </c>
      <c r="L140" s="155">
        <f t="shared" si="12"/>
        <v>1</v>
      </c>
      <c r="M140" s="154">
        <f>$D140*Pesi!$D$16+Pesi!$D$17*$E140+$F140*Pesi!$D$18+$G140*Pesi!$D$19+Pesi!$D$20*$H140+$I140*Pesi!$D$21+Pesi!$D$22*VLOOKUP($C140,TabAlgSqu,2,FALSE)+VLOOKUP($C140,TabAlgFC,2,FALSE)*Pesi!$D$23+Pesi!$D$24*VLOOKUP($C140,TabAlgAll,2,FALSE)</f>
        <v>58.762100000000004</v>
      </c>
      <c r="N140" s="155">
        <f>IF(ISNA(MATCH($B140,Pesi!$B$31:$B$34,0)),VLOOKUP(Pesi!$B$32,TabAlgCen,13,FALSE)-((VLOOKUP(Pesi!$B$32,TabAlgCen,12,FALSE)-$M140)/(VLOOKUP(Pesi!$B$32,TabAlgCen,12,FALSE)-Pesi!$F$42))*VLOOKUP(Pesi!$B$32,TabAlgCen,13,FALSE),$K140*$M140/$J140)</f>
        <v>-22.252422820434376</v>
      </c>
      <c r="O140" s="155">
        <f t="shared" si="13"/>
        <v>1</v>
      </c>
      <c r="P140">
        <f t="shared" si="14"/>
        <v>33</v>
      </c>
      <c r="Q140">
        <f>VLOOKUP(B140,'C.P.'!$A$2:$B$164,2,FALSE)</f>
        <v>-1</v>
      </c>
      <c r="R140" t="e">
        <f>VLOOKUP(B140,'C.P.'!$C$2:$D$164,2,FALSE)</f>
        <v>#N/A</v>
      </c>
      <c r="S140" t="e">
        <f>VLOOKUP(B140,'C.P.'!$E$2:$F$164,2,FALSE)</f>
        <v>#N/A</v>
      </c>
      <c r="T140" t="e">
        <f>VLOOKUP(B140,'C.P.'!$G$2:$H$164,2,FALSE)</f>
        <v>#N/A</v>
      </c>
    </row>
    <row r="141" spans="1:21">
      <c r="A141">
        <f ca="1">COUNTIF('I.A. + Fasce'!B$1:'I.A. + Fasce'!B$538,B138)</f>
        <v>1</v>
      </c>
      <c r="B141" s="211" t="s">
        <v>487</v>
      </c>
      <c r="C141" s="212" t="str">
        <f>VLOOKUP(B141,'IA FG'!$B$2:$G$600,6,FALSE)</f>
        <v>CHI</v>
      </c>
      <c r="D141" s="213">
        <v>6</v>
      </c>
      <c r="E141" s="213">
        <v>8</v>
      </c>
      <c r="F141" s="213">
        <v>5</v>
      </c>
      <c r="G141" s="213">
        <v>4</v>
      </c>
      <c r="H141" s="213">
        <v>5</v>
      </c>
      <c r="I141" s="213">
        <v>7</v>
      </c>
      <c r="J141" s="210">
        <f>$D141*Pesi!$B$16+Pesi!$B$17*$E141+$F141*Pesi!$B$18+$G141*Pesi!$B$19+Pesi!$B$20*$H141+$I141*Pesi!$B$21+Pesi!$B$22*VLOOKUP($C141,TabAlgSqu,2,FALSE)+VLOOKUP($C141,TabAlgFC,2,FALSE)*Pesi!$B$23+Pesi!$B$24*VLOOKUP($C141,TabAlgAll,2,FALSE)</f>
        <v>60.570899999999995</v>
      </c>
      <c r="K141" s="155">
        <f>IF(ISNA(MATCH($B141,Pesi!$B$31:$B$34,0)),VLOOKUP(Pesi!$B$32,TabAlgCen,10,FALSE)-((VLOOKUP(Pesi!$B$32,TabAlgCen,9,FALSE)-$J141)/(VLOOKUP(Pesi!$B$32,TabAlgCen,9,FALSE)-Pesi!$D$42))*VLOOKUP(Pesi!$B$32,TabAlgCen,10,FALSE),Pesi!$F$32*Pesi!$C$28)</f>
        <v>-25.867830113796416</v>
      </c>
      <c r="L141" s="155">
        <f t="shared" si="12"/>
        <v>1</v>
      </c>
      <c r="M141" s="154">
        <f>$D141*Pesi!$D$16+Pesi!$D$17*$E141+$F141*Pesi!$D$18+$G141*Pesi!$D$19+Pesi!$D$20*$H141+$I141*Pesi!$D$21+Pesi!$D$22*VLOOKUP($C141,TabAlgSqu,2,FALSE)+VLOOKUP($C141,TabAlgFC,2,FALSE)*Pesi!$D$23+Pesi!$D$24*VLOOKUP($C141,TabAlgAll,2,FALSE)</f>
        <v>58.620899999999992</v>
      </c>
      <c r="N141" s="155">
        <f>IF(ISNA(MATCH($B141,Pesi!$B$31:$B$34,0)),VLOOKUP(Pesi!$B$32,TabAlgCen,13,FALSE)-((VLOOKUP(Pesi!$B$32,TabAlgCen,12,FALSE)-$M141)/(VLOOKUP(Pesi!$B$32,TabAlgCen,12,FALSE)-Pesi!$F$42))*VLOOKUP(Pesi!$B$32,TabAlgCen,13,FALSE),$K141*$M141/$J141)</f>
        <v>-22.633835814309705</v>
      </c>
      <c r="O141" s="155">
        <f t="shared" si="13"/>
        <v>1</v>
      </c>
      <c r="P141">
        <f t="shared" si="14"/>
        <v>35</v>
      </c>
      <c r="Q141">
        <f>VLOOKUP(B141,'C.P.'!$A$2:$B$164,2,FALSE)</f>
        <v>-1</v>
      </c>
      <c r="R141" t="e">
        <f>VLOOKUP(B141,'C.P.'!$C$2:$D$164,2,FALSE)</f>
        <v>#N/A</v>
      </c>
      <c r="S141" t="e">
        <f>VLOOKUP(B141,'C.P.'!$E$2:$F$164,2,FALSE)</f>
        <v>#N/A</v>
      </c>
      <c r="T141" t="e">
        <f>VLOOKUP(B141,'C.P.'!$G$2:$H$164,2,FALSE)</f>
        <v>#N/A</v>
      </c>
    </row>
    <row r="142" spans="1:21">
      <c r="A142">
        <f ca="1">COUNTIF('I.A. + Fasce'!B$1:'I.A. + Fasce'!B$538,B139)</f>
        <v>1</v>
      </c>
      <c r="B142" s="211" t="s">
        <v>414</v>
      </c>
      <c r="C142" s="212" t="str">
        <f>VLOOKUP(B142,'IA FG'!$B$2:$G$600,6,FALSE)</f>
        <v>BEN</v>
      </c>
      <c r="D142" s="213">
        <v>8</v>
      </c>
      <c r="E142" s="213">
        <v>8</v>
      </c>
      <c r="F142" s="213">
        <v>6</v>
      </c>
      <c r="G142" s="213">
        <v>7</v>
      </c>
      <c r="H142" s="213">
        <v>6</v>
      </c>
      <c r="I142" s="213">
        <v>7</v>
      </c>
      <c r="J142" s="210">
        <f>$D142*Pesi!$B$16+Pesi!$B$17*$E142+$F142*Pesi!$B$18+$G142*Pesi!$B$19+Pesi!$B$20*$H142+$I142*Pesi!$B$21+Pesi!$B$22*VLOOKUP($C142,TabAlgSqu,2,FALSE)+VLOOKUP($C142,TabAlgFC,2,FALSE)*Pesi!$B$23+Pesi!$B$24*VLOOKUP($C142,TabAlgAll,2,FALSE)</f>
        <v>60.305800000000005</v>
      </c>
      <c r="K142" s="155">
        <f>IF(ISNA(MATCH($B142,Pesi!$B$31:$B$34,0)),VLOOKUP(Pesi!$B$32,TabAlgCen,10,FALSE)-((VLOOKUP(Pesi!$B$32,TabAlgCen,9,FALSE)-$J142)/(VLOOKUP(Pesi!$B$32,TabAlgCen,9,FALSE)-Pesi!$D$42))*VLOOKUP(Pesi!$B$32,TabAlgCen,10,FALSE),Pesi!$F$32*Pesi!$C$28)</f>
        <v>-26.595106498941036</v>
      </c>
      <c r="L142" s="155">
        <f t="shared" si="12"/>
        <v>1</v>
      </c>
      <c r="M142" s="154">
        <f>$D142*Pesi!$D$16+Pesi!$D$17*$E142+$F142*Pesi!$D$18+$G142*Pesi!$D$19+Pesi!$D$20*$H142+$I142*Pesi!$D$21+Pesi!$D$22*VLOOKUP($C142,TabAlgSqu,2,FALSE)+VLOOKUP($C142,TabAlgFC,2,FALSE)*Pesi!$D$23+Pesi!$D$24*VLOOKUP($C142,TabAlgAll,2,FALSE)</f>
        <v>57.855800000000002</v>
      </c>
      <c r="N142" s="155">
        <f>IF(ISNA(MATCH($B142,Pesi!$B$31:$B$34,0)),VLOOKUP(Pesi!$B$32,TabAlgCen,13,FALSE)-((VLOOKUP(Pesi!$B$32,TabAlgCen,12,FALSE)-$M142)/(VLOOKUP(Pesi!$B$32,TabAlgCen,12,FALSE)-Pesi!$F$42))*VLOOKUP(Pesi!$B$32,TabAlgCen,13,FALSE),$K142*$M142/$J142)</f>
        <v>-24.700543191179307</v>
      </c>
      <c r="O142" s="155">
        <f t="shared" si="13"/>
        <v>1</v>
      </c>
      <c r="P142">
        <f t="shared" si="14"/>
        <v>42</v>
      </c>
      <c r="Q142">
        <f>VLOOKUP(B142,'C.P.'!$A$2:$B$164,2,FALSE)</f>
        <v>0</v>
      </c>
      <c r="R142" t="e">
        <f>VLOOKUP(B142,'C.P.'!$C$2:$D$164,2,FALSE)</f>
        <v>#N/A</v>
      </c>
      <c r="S142">
        <f>VLOOKUP(B142,'C.P.'!$E$2:$F$164,2,FALSE)</f>
        <v>2</v>
      </c>
      <c r="T142" t="e">
        <f>VLOOKUP(B142,'C.P.'!$G$2:$H$164,2,FALSE)</f>
        <v>#N/A</v>
      </c>
    </row>
    <row r="143" spans="1:21">
      <c r="A143">
        <f ca="1">COUNTIF('I.A. + Fasce'!B$1:'I.A. + Fasce'!B$538,B141)</f>
        <v>1</v>
      </c>
      <c r="B143" s="211" t="s">
        <v>1995</v>
      </c>
      <c r="C143" s="212" t="s">
        <v>721</v>
      </c>
      <c r="D143" s="213">
        <v>7</v>
      </c>
      <c r="E143" s="213">
        <v>3</v>
      </c>
      <c r="F143" s="213">
        <v>6</v>
      </c>
      <c r="G143" s="213">
        <v>5</v>
      </c>
      <c r="H143" s="213">
        <v>5</v>
      </c>
      <c r="I143" s="213">
        <v>3</v>
      </c>
      <c r="J143" s="210">
        <f>$D143*Pesi!$B$16+Pesi!$B$17*$E143+$F143*Pesi!$B$18+$G143*Pesi!$B$19+Pesi!$B$20*$H143+$I143*Pesi!$B$21+Pesi!$B$22*VLOOKUP($C143,TabAlgSqu,2,FALSE)+VLOOKUP($C143,TabAlgFC,2,FALSE)*Pesi!$B$23+Pesi!$B$24*VLOOKUP($C143,TabAlgAll,2,FALSE)</f>
        <v>60.05</v>
      </c>
      <c r="K143" s="155">
        <f>IF(ISNA(MATCH($B143,Pesi!$B$31:$B$34,0)),VLOOKUP(Pesi!$B$32,TabAlgCen,10,FALSE)-((VLOOKUP(Pesi!$B$32,TabAlgCen,9,FALSE)-$J143)/(VLOOKUP(Pesi!$B$32,TabAlgCen,9,FALSE)-Pesi!$D$42))*VLOOKUP(Pesi!$B$32,TabAlgCen,10,FALSE),Pesi!$F$32*Pesi!$C$28)</f>
        <v>-27.296869227420885</v>
      </c>
      <c r="L143" s="155">
        <f t="shared" si="12"/>
        <v>1</v>
      </c>
      <c r="M143" s="154">
        <f>$D143*Pesi!$D$16+Pesi!$D$17*$E143+$F143*Pesi!$D$18+$G143*Pesi!$D$19+Pesi!$D$20*$H143+$I143*Pesi!$D$21+Pesi!$D$22*VLOOKUP($C143,TabAlgSqu,2,FALSE)+VLOOKUP($C143,TabAlgFC,2,FALSE)*Pesi!$D$23+Pesi!$D$24*VLOOKUP($C143,TabAlgAll,2,FALSE)</f>
        <v>57.699999999999996</v>
      </c>
      <c r="N143" s="155">
        <f>IF(ISNA(MATCH($B143,Pesi!$B$31:$B$34,0)),VLOOKUP(Pesi!$B$32,TabAlgCen,13,FALSE)-((VLOOKUP(Pesi!$B$32,TabAlgCen,12,FALSE)-$M143)/(VLOOKUP(Pesi!$B$32,TabAlgCen,12,FALSE)-Pesi!$F$42))*VLOOKUP(Pesi!$B$32,TabAlgCen,13,FALSE),$K143*$M143/$J143)</f>
        <v>-25.12139407252333</v>
      </c>
      <c r="O143" s="155">
        <f t="shared" si="13"/>
        <v>1</v>
      </c>
      <c r="P143">
        <f t="shared" si="14"/>
        <v>29</v>
      </c>
      <c r="Q143" t="e">
        <f>VLOOKUP(B143,'C.P.'!$A$2:$B$164,2,FALSE)</f>
        <v>#N/A</v>
      </c>
      <c r="R143" t="e">
        <f>VLOOKUP(B143,'C.P.'!$C$2:$D$164,2,FALSE)</f>
        <v>#N/A</v>
      </c>
      <c r="S143" t="e">
        <f>VLOOKUP(B143,'C.P.'!$E$2:$F$164,2,FALSE)</f>
        <v>#N/A</v>
      </c>
      <c r="T143" t="e">
        <f>VLOOKUP(B143,'C.P.'!$G$2:$H$164,2,FALSE)</f>
        <v>#N/A</v>
      </c>
    </row>
    <row r="144" spans="1:21">
      <c r="B144" s="211" t="s">
        <v>1741</v>
      </c>
      <c r="C144" s="212" t="str">
        <f>VLOOKUP(B144,'IA FG'!$B$2:$G$600,6,FALSE)</f>
        <v>SPA</v>
      </c>
      <c r="D144" s="213">
        <v>8</v>
      </c>
      <c r="E144" s="213">
        <v>7</v>
      </c>
      <c r="F144" s="213">
        <v>7</v>
      </c>
      <c r="G144" s="213">
        <v>7</v>
      </c>
      <c r="H144" s="213">
        <v>5</v>
      </c>
      <c r="I144" s="213">
        <v>7</v>
      </c>
      <c r="J144" s="210">
        <f>$D144*Pesi!$B$16+Pesi!$B$17*$E144+$F144*Pesi!$B$18+$G144*Pesi!$B$19+Pesi!$B$20*$H144+$I144*Pesi!$B$21+Pesi!$B$22*VLOOKUP($C144,TabAlgSqu,2,FALSE)+VLOOKUP($C144,TabAlgFC,2,FALSE)*Pesi!$B$23+Pesi!$B$24*VLOOKUP($C144,TabAlgAll,2,FALSE)</f>
        <v>60.026500000000006</v>
      </c>
      <c r="K144" s="155">
        <f>IF(ISNA(MATCH($B144,Pesi!$B$31:$B$34,0)),VLOOKUP(Pesi!$B$32,TabAlgCen,10,FALSE)-((VLOOKUP(Pesi!$B$32,TabAlgCen,9,FALSE)-$J144)/(VLOOKUP(Pesi!$B$32,TabAlgCen,9,FALSE)-Pesi!$D$42))*VLOOKUP(Pesi!$B$32,TabAlgCen,10,FALSE),Pesi!$F$32*Pesi!$C$28)</f>
        <v>-27.361339220068544</v>
      </c>
      <c r="L144" s="155">
        <f t="shared" si="12"/>
        <v>1</v>
      </c>
      <c r="M144" s="154">
        <f>$D144*Pesi!$D$16+Pesi!$D$17*$E144+$F144*Pesi!$D$18+$G144*Pesi!$D$19+Pesi!$D$20*$H144+$I144*Pesi!$D$21+Pesi!$D$22*VLOOKUP($C144,TabAlgSqu,2,FALSE)+VLOOKUP($C144,TabAlgFC,2,FALSE)*Pesi!$D$23+Pesi!$D$24*VLOOKUP($C144,TabAlgAll,2,FALSE)</f>
        <v>57.226500000000001</v>
      </c>
      <c r="N144" s="155">
        <f>IF(ISNA(MATCH($B144,Pesi!$B$31:$B$34,0)),VLOOKUP(Pesi!$B$32,TabAlgCen,13,FALSE)-((VLOOKUP(Pesi!$B$32,TabAlgCen,12,FALSE)-$M144)/(VLOOKUP(Pesi!$B$32,TabAlgCen,12,FALSE)-Pesi!$F$42))*VLOOKUP(Pesi!$B$32,TabAlgCen,13,FALSE),$K144*$M144/$J144)</f>
        <v>-26.400424190086724</v>
      </c>
      <c r="O144" s="155">
        <f t="shared" si="13"/>
        <v>1</v>
      </c>
      <c r="P144">
        <f t="shared" si="14"/>
        <v>41</v>
      </c>
      <c r="Q144">
        <f>VLOOKUP(B144,'C.P.'!$A$2:$B$164,2,FALSE)</f>
        <v>0</v>
      </c>
      <c r="R144" t="e">
        <f>VLOOKUP(B144,'C.P.'!$C$2:$D$164,2,FALSE)</f>
        <v>#N/A</v>
      </c>
      <c r="S144" t="e">
        <f>VLOOKUP(B144,'C.P.'!$E$2:$F$164,2,FALSE)</f>
        <v>#N/A</v>
      </c>
      <c r="T144" t="e">
        <f>VLOOKUP(B144,'C.P.'!$G$2:$H$164,2,FALSE)</f>
        <v>#N/A</v>
      </c>
    </row>
    <row r="145" spans="1:21">
      <c r="A145">
        <f ca="1">COUNTIF('I.A. + Fasce'!B$1:'I.A. + Fasce'!B$538,#REF!)</f>
        <v>0</v>
      </c>
      <c r="B145" s="211" t="s">
        <v>593</v>
      </c>
      <c r="C145" s="212" t="str">
        <f>VLOOKUP(B145,'IA FG'!$B$2:$G$600,6,FALSE)</f>
        <v>CHI</v>
      </c>
      <c r="D145" s="213">
        <v>7</v>
      </c>
      <c r="E145" s="213">
        <v>6</v>
      </c>
      <c r="F145" s="213">
        <v>7</v>
      </c>
      <c r="G145" s="213">
        <v>4</v>
      </c>
      <c r="H145" s="213">
        <v>6</v>
      </c>
      <c r="I145" s="213">
        <v>4</v>
      </c>
      <c r="J145" s="210">
        <f>$D145*Pesi!$B$16+Pesi!$B$17*$E145+$F145*Pesi!$B$18+$G145*Pesi!$B$19+Pesi!$B$20*$H145+$I145*Pesi!$B$21+Pesi!$B$22*VLOOKUP($C145,TabAlgSqu,2,FALSE)+VLOOKUP($C145,TabAlgFC,2,FALSE)*Pesi!$B$23+Pesi!$B$24*VLOOKUP($C145,TabAlgAll,2,FALSE)</f>
        <v>60.012599999999999</v>
      </c>
      <c r="K145" s="155">
        <f>IF(ISNA(MATCH($B145,Pesi!$B$31:$B$34,0)),VLOOKUP(Pesi!$B$32,TabAlgCen,10,FALSE)-((VLOOKUP(Pesi!$B$32,TabAlgCen,9,FALSE)-$J145)/(VLOOKUP(Pesi!$B$32,TabAlgCen,9,FALSE)-Pesi!$D$42))*VLOOKUP(Pesi!$B$32,TabAlgCen,10,FALSE),Pesi!$F$32*Pesi!$C$28)</f>
        <v>-27.399472534868679</v>
      </c>
      <c r="L145" s="155">
        <f t="shared" si="12"/>
        <v>1</v>
      </c>
      <c r="M145" s="154">
        <f>$D145*Pesi!$D$16+Pesi!$D$17*$E145+$F145*Pesi!$D$18+$G145*Pesi!$D$19+Pesi!$D$20*$H145+$I145*Pesi!$D$21+Pesi!$D$22*VLOOKUP($C145,TabAlgSqu,2,FALSE)+VLOOKUP($C145,TabAlgFC,2,FALSE)*Pesi!$D$23+Pesi!$D$24*VLOOKUP($C145,TabAlgAll,2,FALSE)</f>
        <v>57.362599999999993</v>
      </c>
      <c r="N145" s="155">
        <f>IF(ISNA(MATCH($B145,Pesi!$B$31:$B$34,0)),VLOOKUP(Pesi!$B$32,TabAlgCen,13,FALSE)-((VLOOKUP(Pesi!$B$32,TabAlgCen,12,FALSE)-$M145)/(VLOOKUP(Pesi!$B$32,TabAlgCen,12,FALSE)-Pesi!$F$42))*VLOOKUP(Pesi!$B$32,TabAlgCen,13,FALSE),$K145*$M145/$J145)</f>
        <v>-26.032787444573799</v>
      </c>
      <c r="O145" s="155">
        <f t="shared" si="13"/>
        <v>1</v>
      </c>
      <c r="P145">
        <f t="shared" si="14"/>
        <v>34</v>
      </c>
      <c r="Q145" t="e">
        <f>VLOOKUP(B145,'C.P.'!$A$2:$B$164,2,FALSE)</f>
        <v>#N/A</v>
      </c>
      <c r="R145" t="e">
        <f>VLOOKUP(B145,'C.P.'!$C$2:$D$164,2,FALSE)</f>
        <v>#N/A</v>
      </c>
      <c r="S145" t="e">
        <f>VLOOKUP(B145,'C.P.'!$E$2:$F$164,2,FALSE)</f>
        <v>#N/A</v>
      </c>
      <c r="T145" t="e">
        <f>VLOOKUP(B145,'C.P.'!$G$2:$H$164,2,FALSE)</f>
        <v>#N/A</v>
      </c>
    </row>
    <row r="146" spans="1:21">
      <c r="A146">
        <f ca="1">COUNTIF('I.A. + Fasce'!B$1:'I.A. + Fasce'!B$538,B143)</f>
        <v>0</v>
      </c>
      <c r="B146" s="211" t="s">
        <v>1764</v>
      </c>
      <c r="C146" s="212" t="str">
        <f>VLOOKUP(B146,'IA FG'!$B$2:$G$600,6,FALSE)</f>
        <v>BOL</v>
      </c>
      <c r="D146" s="213">
        <v>7</v>
      </c>
      <c r="E146" s="213">
        <v>5</v>
      </c>
      <c r="F146" s="213">
        <v>6</v>
      </c>
      <c r="G146" s="213">
        <v>6</v>
      </c>
      <c r="H146" s="213">
        <v>6</v>
      </c>
      <c r="I146" s="213">
        <v>4</v>
      </c>
      <c r="J146" s="210">
        <f>$D146*Pesi!$B$16+Pesi!$B$17*$E146+$F146*Pesi!$B$18+$G146*Pesi!$B$19+Pesi!$B$20*$H146+$I146*Pesi!$B$21+Pesi!$B$22*VLOOKUP($C146,TabAlgSqu,2,FALSE)+VLOOKUP($C146,TabAlgFC,2,FALSE)*Pesi!$B$23+Pesi!$B$24*VLOOKUP($C146,TabAlgAll,2,FALSE)</f>
        <v>59.927100000000003</v>
      </c>
      <c r="K146" s="155">
        <f>IF(ISNA(MATCH($B146,Pesi!$B$31:$B$34,0)),VLOOKUP(Pesi!$B$32,TabAlgCen,10,FALSE)-((VLOOKUP(Pesi!$B$32,TabAlgCen,9,FALSE)-$J146)/(VLOOKUP(Pesi!$B$32,TabAlgCen,9,FALSE)-Pesi!$D$42))*VLOOKUP(Pesi!$B$32,TabAlgCen,10,FALSE),Pesi!$F$32*Pesi!$C$28)</f>
        <v>-27.634033571948521</v>
      </c>
      <c r="L146" s="155">
        <f t="shared" si="12"/>
        <v>1</v>
      </c>
      <c r="M146" s="154">
        <f>$D146*Pesi!$D$16+Pesi!$D$17*$E146+$F146*Pesi!$D$18+$G146*Pesi!$D$19+Pesi!$D$20*$H146+$I146*Pesi!$D$21+Pesi!$D$22*VLOOKUP($C146,TabAlgSqu,2,FALSE)+VLOOKUP($C146,TabAlgFC,2,FALSE)*Pesi!$D$23+Pesi!$D$24*VLOOKUP($C146,TabAlgAll,2,FALSE)</f>
        <v>57.527099999999997</v>
      </c>
      <c r="N146" s="155">
        <f>IF(ISNA(MATCH($B146,Pesi!$B$31:$B$34,0)),VLOOKUP(Pesi!$B$32,TabAlgCen,13,FALSE)-((VLOOKUP(Pesi!$B$32,TabAlgCen,12,FALSE)-$M146)/(VLOOKUP(Pesi!$B$32,TabAlgCen,12,FALSE)-Pesi!$F$42))*VLOOKUP(Pesi!$B$32,TabAlgCen,13,FALSE),$K146*$M146/$J146)</f>
        <v>-25.588435904258731</v>
      </c>
      <c r="O146" s="155">
        <f t="shared" si="13"/>
        <v>1</v>
      </c>
      <c r="P146">
        <f t="shared" si="14"/>
        <v>34</v>
      </c>
      <c r="Q146" t="e">
        <f>VLOOKUP(B146,'C.P.'!$A$2:$B$164,2,FALSE)</f>
        <v>#N/A</v>
      </c>
      <c r="R146" t="e">
        <f>VLOOKUP(B146,'C.P.'!$C$2:$D$164,2,FALSE)</f>
        <v>#N/A</v>
      </c>
      <c r="S146" t="e">
        <f>VLOOKUP(B146,'C.P.'!$E$2:$F$164,2,FALSE)</f>
        <v>#N/A</v>
      </c>
      <c r="T146" t="e">
        <f>VLOOKUP(B146,'C.P.'!$G$2:$H$164,2,FALSE)</f>
        <v>#N/A</v>
      </c>
    </row>
    <row r="147" spans="1:21">
      <c r="A147">
        <f ca="1">COUNTIF('I.A. + Fasce'!B$1:'I.A. + Fasce'!B$538,B144)</f>
        <v>1</v>
      </c>
      <c r="B147" s="211" t="s">
        <v>541</v>
      </c>
      <c r="C147" s="212" t="str">
        <f>VLOOKUP(B147,'IA FG'!$B$2:$G$600,6,FALSE)</f>
        <v>CRO</v>
      </c>
      <c r="D147" s="213">
        <v>6</v>
      </c>
      <c r="E147" s="213">
        <v>6</v>
      </c>
      <c r="F147" s="213">
        <v>6</v>
      </c>
      <c r="G147" s="213">
        <v>5</v>
      </c>
      <c r="H147" s="213">
        <v>6</v>
      </c>
      <c r="I147" s="213">
        <v>6</v>
      </c>
      <c r="J147" s="210">
        <f>$D147*Pesi!$B$16+Pesi!$B$17*$E147+$F147*Pesi!$B$18+$G147*Pesi!$B$19+Pesi!$B$20*$H147+$I147*Pesi!$B$21+Pesi!$B$22*VLOOKUP($C147,TabAlgSqu,2,FALSE)+VLOOKUP($C147,TabAlgFC,2,FALSE)*Pesi!$B$23+Pesi!$B$24*VLOOKUP($C147,TabAlgAll,2,FALSE)</f>
        <v>59.723400000000005</v>
      </c>
      <c r="K147" s="155">
        <f>IF(ISNA(MATCH($B147,Pesi!$B$31:$B$34,0)),VLOOKUP(Pesi!$B$32,TabAlgCen,10,FALSE)-((VLOOKUP(Pesi!$B$32,TabAlgCen,9,FALSE)-$J147)/(VLOOKUP(Pesi!$B$32,TabAlgCen,9,FALSE)-Pesi!$D$42))*VLOOKUP(Pesi!$B$32,TabAlgCen,10,FALSE),Pesi!$F$32*Pesi!$C$28)</f>
        <v>-28.192864955026465</v>
      </c>
      <c r="L147" s="155">
        <f t="shared" si="12"/>
        <v>1</v>
      </c>
      <c r="M147" s="154">
        <f>$D147*Pesi!$D$16+Pesi!$D$17*$E147+$F147*Pesi!$D$18+$G147*Pesi!$D$19+Pesi!$D$20*$H147+$I147*Pesi!$D$21+Pesi!$D$22*VLOOKUP($C147,TabAlgSqu,2,FALSE)+VLOOKUP($C147,TabAlgFC,2,FALSE)*Pesi!$D$23+Pesi!$D$24*VLOOKUP($C147,TabAlgAll,2,FALSE)</f>
        <v>57.373400000000004</v>
      </c>
      <c r="N147" s="155">
        <f>IF(ISNA(MATCH($B147,Pesi!$B$31:$B$34,0)),VLOOKUP(Pesi!$B$32,TabAlgCen,13,FALSE)-((VLOOKUP(Pesi!$B$32,TabAlgCen,12,FALSE)-$M147)/(VLOOKUP(Pesi!$B$32,TabAlgCen,12,FALSE)-Pesi!$F$42))*VLOOKUP(Pesi!$B$32,TabAlgCen,13,FALSE),$K147*$M147/$J147)</f>
        <v>-26.003614212747607</v>
      </c>
      <c r="O147" s="155">
        <f t="shared" si="13"/>
        <v>1</v>
      </c>
      <c r="P147">
        <f t="shared" si="14"/>
        <v>35</v>
      </c>
      <c r="Q147" t="e">
        <f>VLOOKUP(B147,'C.P.'!$A$2:$B$164,2,FALSE)</f>
        <v>#N/A</v>
      </c>
      <c r="R147" t="e">
        <f>VLOOKUP(B147,'C.P.'!$C$2:$D$164,2,FALSE)</f>
        <v>#N/A</v>
      </c>
      <c r="S147" t="e">
        <f>VLOOKUP(B147,'C.P.'!$E$2:$F$164,2,FALSE)</f>
        <v>#N/A</v>
      </c>
      <c r="T147" t="e">
        <f>VLOOKUP(B147,'C.P.'!$G$2:$H$164,2,FALSE)</f>
        <v>#N/A</v>
      </c>
    </row>
    <row r="148" spans="1:21" ht="12.75" customHeight="1">
      <c r="A148">
        <f ca="1">COUNTIF('I.A. + Fasce'!B$1:'I.A. + Fasce'!B$538,B147)</f>
        <v>1</v>
      </c>
      <c r="B148" s="444" t="s">
        <v>501</v>
      </c>
      <c r="C148" s="212" t="str">
        <f>VLOOKUP(B148,'IA FG'!$B$2:$G$600,6,FALSE)</f>
        <v>CRO</v>
      </c>
      <c r="D148" s="213">
        <v>6</v>
      </c>
      <c r="E148" s="213">
        <v>7</v>
      </c>
      <c r="F148" s="213">
        <v>6</v>
      </c>
      <c r="G148" s="213">
        <v>5</v>
      </c>
      <c r="H148" s="213">
        <v>5</v>
      </c>
      <c r="I148" s="213">
        <v>6</v>
      </c>
      <c r="J148" s="210">
        <f>$D148*Pesi!$B$16+Pesi!$B$17*$E148+$F148*Pesi!$B$18+$G148*Pesi!$B$19+Pesi!$B$20*$H148+$I148*Pesi!$B$21+Pesi!$B$22*VLOOKUP($C148,TabAlgSqu,2,FALSE)+VLOOKUP($C148,TabAlgFC,2,FALSE)*Pesi!$B$23+Pesi!$B$24*VLOOKUP($C148,TabAlgAll,2,FALSE)</f>
        <v>59.602600000000002</v>
      </c>
      <c r="K148" s="155">
        <f>IF(ISNA(MATCH($B148,Pesi!$B$31:$B$34,0)),VLOOKUP(Pesi!$B$32,TabAlgCen,10,FALSE)-((VLOOKUP(Pesi!$B$32,TabAlgCen,9,FALSE)-$J148)/(VLOOKUP(Pesi!$B$32,TabAlgCen,9,FALSE)-Pesi!$D$42))*VLOOKUP(Pesi!$B$32,TabAlgCen,10,FALSE),Pesi!$F$32*Pesi!$C$28)</f>
        <v>-28.524268151274953</v>
      </c>
      <c r="L148" s="155">
        <f t="shared" si="12"/>
        <v>1</v>
      </c>
      <c r="M148" s="154">
        <f>$D148*Pesi!$D$16+Pesi!$D$17*$E148+$F148*Pesi!$D$18+$G148*Pesi!$D$19+Pesi!$D$20*$H148+$I148*Pesi!$D$21+Pesi!$D$22*VLOOKUP($C148,TabAlgSqu,2,FALSE)+VLOOKUP($C148,TabAlgFC,2,FALSE)*Pesi!$D$23+Pesi!$D$24*VLOOKUP($C148,TabAlgAll,2,FALSE)</f>
        <v>57.252600000000001</v>
      </c>
      <c r="N148" s="155">
        <f>IF(ISNA(MATCH($B148,Pesi!$B$31:$B$34,0)),VLOOKUP(Pesi!$B$32,TabAlgCen,13,FALSE)-((VLOOKUP(Pesi!$B$32,TabAlgCen,12,FALSE)-$M148)/(VLOOKUP(Pesi!$B$32,TabAlgCen,12,FALSE)-Pesi!$F$42))*VLOOKUP(Pesi!$B$32,TabAlgCen,13,FALSE),$K148*$M148/$J148)</f>
        <v>-26.329922213173518</v>
      </c>
      <c r="O148" s="155">
        <f t="shared" si="13"/>
        <v>1</v>
      </c>
      <c r="P148">
        <f t="shared" si="14"/>
        <v>35</v>
      </c>
      <c r="Q148" t="e">
        <f>VLOOKUP(B148,'C.P.'!$A$2:$B$164,2,FALSE)</f>
        <v>#N/A</v>
      </c>
      <c r="R148" t="e">
        <f>VLOOKUP(B148,'C.P.'!$C$2:$D$164,2,FALSE)</f>
        <v>#N/A</v>
      </c>
      <c r="S148" t="e">
        <f>VLOOKUP(B148,'C.P.'!$E$2:$F$164,2,FALSE)</f>
        <v>#N/A</v>
      </c>
      <c r="T148" t="e">
        <f>VLOOKUP(B148,'C.P.'!$G$2:$H$164,2,FALSE)</f>
        <v>#N/A</v>
      </c>
      <c r="U148" s="420"/>
    </row>
    <row r="149" spans="1:21">
      <c r="B149" s="211" t="s">
        <v>427</v>
      </c>
      <c r="C149" s="212" t="str">
        <f>VLOOKUP(B149,'IA FG'!$B$2:$G$600,6,FALSE)</f>
        <v>CAG</v>
      </c>
      <c r="D149" s="213">
        <v>8</v>
      </c>
      <c r="E149" s="213">
        <v>5</v>
      </c>
      <c r="F149" s="213">
        <v>5</v>
      </c>
      <c r="G149" s="213">
        <v>5</v>
      </c>
      <c r="H149" s="213">
        <v>5</v>
      </c>
      <c r="I149" s="213">
        <v>4</v>
      </c>
      <c r="J149" s="210">
        <f>$D149*Pesi!$B$16+Pesi!$B$17*$E149+$F149*Pesi!$B$18+$G149*Pesi!$B$19+Pesi!$B$20*$H149+$I149*Pesi!$B$21+Pesi!$B$22*VLOOKUP($C149,TabAlgSqu,2,FALSE)+VLOOKUP($C149,TabAlgFC,2,FALSE)*Pesi!$B$23+Pesi!$B$24*VLOOKUP($C149,TabAlgAll,2,FALSE)</f>
        <v>59.549599999999998</v>
      </c>
      <c r="K149" s="155">
        <f>IF(ISNA(MATCH($B149,Pesi!$B$31:$B$34,0)),VLOOKUP(Pesi!$B$32,TabAlgCen,10,FALSE)-((VLOOKUP(Pesi!$B$32,TabAlgCen,9,FALSE)-$J149)/(VLOOKUP(Pesi!$B$32,TabAlgCen,9,FALSE)-Pesi!$D$42))*VLOOKUP(Pesi!$B$32,TabAlgCen,10,FALSE),Pesi!$F$32*Pesi!$C$28)</f>
        <v>-28.669668560225048</v>
      </c>
      <c r="L149" s="155">
        <f t="shared" si="12"/>
        <v>1</v>
      </c>
      <c r="M149" s="154">
        <f>$D149*Pesi!$D$16+Pesi!$D$17*$E149+$F149*Pesi!$D$18+$G149*Pesi!$D$19+Pesi!$D$20*$H149+$I149*Pesi!$D$21+Pesi!$D$22*VLOOKUP($C149,TabAlgSqu,2,FALSE)+VLOOKUP($C149,TabAlgFC,2,FALSE)*Pesi!$D$23+Pesi!$D$24*VLOOKUP($C149,TabAlgAll,2,FALSE)</f>
        <v>57.549599999999998</v>
      </c>
      <c r="N149" s="155">
        <f>IF(ISNA(MATCH($B149,Pesi!$B$31:$B$34,0)),VLOOKUP(Pesi!$B$32,TabAlgCen,13,FALSE)-((VLOOKUP(Pesi!$B$32,TabAlgCen,12,FALSE)-$M149)/(VLOOKUP(Pesi!$B$32,TabAlgCen,12,FALSE)-Pesi!$F$42))*VLOOKUP(Pesi!$B$32,TabAlgCen,13,FALSE),$K149*$M149/$J149)</f>
        <v>-25.527658337954222</v>
      </c>
      <c r="O149" s="155">
        <f t="shared" si="13"/>
        <v>1</v>
      </c>
      <c r="P149">
        <f t="shared" si="14"/>
        <v>32</v>
      </c>
      <c r="Q149" t="e">
        <f>VLOOKUP(B149,'C.P.'!$A$2:$B$164,2,FALSE)</f>
        <v>#N/A</v>
      </c>
      <c r="R149" t="e">
        <f>VLOOKUP(B149,'C.P.'!$C$2:$D$164,2,FALSE)</f>
        <v>#N/A</v>
      </c>
      <c r="S149" t="e">
        <f>VLOOKUP(B149,'C.P.'!$E$2:$F$164,2,FALSE)</f>
        <v>#N/A</v>
      </c>
      <c r="T149" t="e">
        <f>VLOOKUP(B149,'C.P.'!$G$2:$H$164,2,FALSE)</f>
        <v>#N/A</v>
      </c>
    </row>
    <row r="150" spans="1:21">
      <c r="A150">
        <f ca="1">COUNTIF('I.A. + Fasce'!B$1:'I.A. + Fasce'!B$538,B148)</f>
        <v>1</v>
      </c>
      <c r="B150" s="211" t="s">
        <v>1757</v>
      </c>
      <c r="C150" s="212" t="str">
        <f>VLOOKUP(B150,'IA FG'!$B$2:$G$600,6,FALSE)</f>
        <v>VER</v>
      </c>
      <c r="D150" s="213">
        <v>6</v>
      </c>
      <c r="E150" s="213">
        <v>5</v>
      </c>
      <c r="F150" s="213">
        <v>6</v>
      </c>
      <c r="G150" s="213">
        <v>6</v>
      </c>
      <c r="H150" s="213">
        <v>6</v>
      </c>
      <c r="I150" s="213">
        <v>5</v>
      </c>
      <c r="J150" s="210">
        <f>$D150*Pesi!$B$16+Pesi!$B$17*$E150+$F150*Pesi!$B$18+$G150*Pesi!$B$19+Pesi!$B$20*$H150+$I150*Pesi!$B$21+Pesi!$B$22*VLOOKUP($C150,TabAlgSqu,2,FALSE)+VLOOKUP($C150,TabAlgFC,2,FALSE)*Pesi!$B$23+Pesi!$B$24*VLOOKUP($C150,TabAlgAll,2,FALSE)</f>
        <v>59.065100000000001</v>
      </c>
      <c r="K150" s="155">
        <f>IF(ISNA(MATCH($B150,Pesi!$B$31:$B$34,0)),VLOOKUP(Pesi!$B$32,TabAlgCen,10,FALSE)-((VLOOKUP(Pesi!$B$32,TabAlgCen,9,FALSE)-$J150)/(VLOOKUP(Pesi!$B$32,TabAlgCen,9,FALSE)-Pesi!$D$42))*VLOOKUP(Pesi!$B$32,TabAlgCen,10,FALSE),Pesi!$F$32*Pesi!$C$28)</f>
        <v>-29.99884777034417</v>
      </c>
      <c r="L150" s="155">
        <f t="shared" si="12"/>
        <v>1</v>
      </c>
      <c r="M150" s="154">
        <f>$D150*Pesi!$D$16+Pesi!$D$17*$E150+$F150*Pesi!$D$18+$G150*Pesi!$D$19+Pesi!$D$20*$H150+$I150*Pesi!$D$21+Pesi!$D$22*VLOOKUP($C150,TabAlgSqu,2,FALSE)+VLOOKUP($C150,TabAlgFC,2,FALSE)*Pesi!$D$23+Pesi!$D$24*VLOOKUP($C150,TabAlgAll,2,FALSE)</f>
        <v>56.665100000000002</v>
      </c>
      <c r="N150" s="155">
        <f>IF(ISNA(MATCH($B150,Pesi!$B$31:$B$34,0)),VLOOKUP(Pesi!$B$32,TabAlgCen,13,FALSE)-((VLOOKUP(Pesi!$B$32,TabAlgCen,12,FALSE)-$M150)/(VLOOKUP(Pesi!$B$32,TabAlgCen,12,FALSE)-Pesi!$F$42))*VLOOKUP(Pesi!$B$32,TabAlgCen,13,FALSE),$K150*$M150/$J150)</f>
        <v>-27.916892000013021</v>
      </c>
      <c r="O150" s="155">
        <f t="shared" si="13"/>
        <v>1</v>
      </c>
      <c r="P150">
        <f t="shared" si="14"/>
        <v>34</v>
      </c>
      <c r="Q150" t="e">
        <f>VLOOKUP(B150,'C.P.'!$A$2:$B$164,2,FALSE)</f>
        <v>#N/A</v>
      </c>
      <c r="R150" t="e">
        <f>VLOOKUP(B150,'C.P.'!$C$2:$D$164,2,FALSE)</f>
        <v>#N/A</v>
      </c>
      <c r="S150" t="e">
        <f>VLOOKUP(B150,'C.P.'!$E$2:$F$164,2,FALSE)</f>
        <v>#N/A</v>
      </c>
      <c r="T150" t="e">
        <f>VLOOKUP(B150,'C.P.'!$G$2:$H$164,2,FALSE)</f>
        <v>#N/A</v>
      </c>
    </row>
    <row r="151" spans="1:21">
      <c r="A151">
        <f ca="1">COUNTIF('I.A. + Fasce'!B$1:'I.A. + Fasce'!B$538,B151)</f>
        <v>1</v>
      </c>
      <c r="B151" s="211" t="s">
        <v>1758</v>
      </c>
      <c r="C151" s="212" t="str">
        <f>VLOOKUP(B151,'IA FG'!$B$2:$G$600,6,FALSE)</f>
        <v>VER</v>
      </c>
      <c r="D151" s="213">
        <v>7</v>
      </c>
      <c r="E151" s="213">
        <v>5</v>
      </c>
      <c r="F151" s="213">
        <v>6</v>
      </c>
      <c r="G151" s="213">
        <v>5</v>
      </c>
      <c r="H151" s="213">
        <v>6</v>
      </c>
      <c r="I151" s="213">
        <v>5</v>
      </c>
      <c r="J151" s="210">
        <f>$D151*Pesi!$B$16+Pesi!$B$17*$E151+$F151*Pesi!$B$18+$G151*Pesi!$B$19+Pesi!$B$20*$H151+$I151*Pesi!$B$21+Pesi!$B$22*VLOOKUP($C151,TabAlgSqu,2,FALSE)+VLOOKUP($C151,TabAlgFC,2,FALSE)*Pesi!$B$23+Pesi!$B$24*VLOOKUP($C151,TabAlgAll,2,FALSE)</f>
        <v>58.910900000000005</v>
      </c>
      <c r="K151" s="155">
        <f>IF(ISNA(MATCH($B151,Pesi!$B$31:$B$34,0)),VLOOKUP(Pesi!$B$32,TabAlgCen,10,FALSE)-((VLOOKUP(Pesi!$B$32,TabAlgCen,9,FALSE)-$J151)/(VLOOKUP(Pesi!$B$32,TabAlgCen,9,FALSE)-Pesi!$D$42))*VLOOKUP(Pesi!$B$32,TabAlgCen,10,FALSE),Pesi!$F$32*Pesi!$C$28)</f>
        <v>-30.421880658270624</v>
      </c>
      <c r="L151" s="155">
        <f t="shared" si="12"/>
        <v>1</v>
      </c>
      <c r="M151" s="154">
        <f>$D151*Pesi!$D$16+Pesi!$D$17*$E151+$F151*Pesi!$D$18+$G151*Pesi!$D$19+Pesi!$D$20*$H151+$I151*Pesi!$D$21+Pesi!$D$22*VLOOKUP($C151,TabAlgSqu,2,FALSE)+VLOOKUP($C151,TabAlgFC,2,FALSE)*Pesi!$D$23+Pesi!$D$24*VLOOKUP($C151,TabAlgAll,2,FALSE)</f>
        <v>56.560900000000004</v>
      </c>
      <c r="N151" s="155">
        <f>IF(ISNA(MATCH($B151,Pesi!$B$31:$B$34,0)),VLOOKUP(Pesi!$B$32,TabAlgCen,13,FALSE)-((VLOOKUP(Pesi!$B$32,TabAlgCen,12,FALSE)-$M151)/(VLOOKUP(Pesi!$B$32,TabAlgCen,12,FALSE)-Pesi!$F$42))*VLOOKUP(Pesi!$B$32,TabAlgCen,13,FALSE),$K151*$M151/$J151)</f>
        <v>-28.198359662632043</v>
      </c>
      <c r="O151" s="155">
        <f t="shared" si="13"/>
        <v>1</v>
      </c>
      <c r="P151">
        <f t="shared" si="14"/>
        <v>34</v>
      </c>
      <c r="Q151" t="e">
        <f>VLOOKUP(B151,'C.P.'!$A$2:$B$164,2,FALSE)</f>
        <v>#N/A</v>
      </c>
      <c r="R151" t="e">
        <f>VLOOKUP(B151,'C.P.'!$C$2:$D$164,2,FALSE)</f>
        <v>#N/A</v>
      </c>
      <c r="S151" t="e">
        <f>VLOOKUP(B151,'C.P.'!$E$2:$F$164,2,FALSE)</f>
        <v>#N/A</v>
      </c>
      <c r="T151" t="e">
        <f>VLOOKUP(B151,'C.P.'!$G$2:$H$164,2,FALSE)</f>
        <v>#N/A</v>
      </c>
      <c r="U151" s="180"/>
    </row>
    <row r="152" spans="1:21">
      <c r="A152">
        <f ca="1">COUNTIF('I.A. + Fasce'!B$1:'I.A. + Fasce'!B$538,B150)</f>
        <v>1</v>
      </c>
      <c r="B152" s="211" t="s">
        <v>1760</v>
      </c>
      <c r="C152" s="212" t="str">
        <f>VLOOKUP(B152,'IA FG'!$B$2:$G$600,6,FALSE)</f>
        <v>VER</v>
      </c>
      <c r="D152" s="213">
        <v>7</v>
      </c>
      <c r="E152" s="213">
        <v>6</v>
      </c>
      <c r="F152" s="213">
        <v>6</v>
      </c>
      <c r="G152" s="213">
        <v>5</v>
      </c>
      <c r="H152" s="213">
        <v>5</v>
      </c>
      <c r="I152" s="213">
        <v>5</v>
      </c>
      <c r="J152" s="210">
        <f>$D152*Pesi!$B$16+Pesi!$B$17*$E152+$F152*Pesi!$B$18+$G152*Pesi!$B$19+Pesi!$B$20*$H152+$I152*Pesi!$B$21+Pesi!$B$22*VLOOKUP($C152,TabAlgSqu,2,FALSE)+VLOOKUP($C152,TabAlgFC,2,FALSE)*Pesi!$B$23+Pesi!$B$24*VLOOKUP($C152,TabAlgAll,2,FALSE)</f>
        <v>58.790100000000002</v>
      </c>
      <c r="K152" s="155">
        <f>IF(ISNA(MATCH($B152,Pesi!$B$31:$B$34,0)),VLOOKUP(Pesi!$B$32,TabAlgCen,10,FALSE)-((VLOOKUP(Pesi!$B$32,TabAlgCen,9,FALSE)-$J152)/(VLOOKUP(Pesi!$B$32,TabAlgCen,9,FALSE)-Pesi!$D$42))*VLOOKUP(Pesi!$B$32,TabAlgCen,10,FALSE),Pesi!$F$32*Pesi!$C$28)</f>
        <v>-30.753283854519125</v>
      </c>
      <c r="L152" s="155">
        <f t="shared" si="12"/>
        <v>1</v>
      </c>
      <c r="M152" s="154">
        <f>$D152*Pesi!$D$16+Pesi!$D$17*$E152+$F152*Pesi!$D$18+$G152*Pesi!$D$19+Pesi!$D$20*$H152+$I152*Pesi!$D$21+Pesi!$D$22*VLOOKUP($C152,TabAlgSqu,2,FALSE)+VLOOKUP($C152,TabAlgFC,2,FALSE)*Pesi!$D$23+Pesi!$D$24*VLOOKUP($C152,TabAlgAll,2,FALSE)</f>
        <v>56.440100000000001</v>
      </c>
      <c r="N152" s="155">
        <f>IF(ISNA(MATCH($B152,Pesi!$B$31:$B$34,0)),VLOOKUP(Pesi!$B$32,TabAlgCen,13,FALSE)-((VLOOKUP(Pesi!$B$32,TabAlgCen,12,FALSE)-$M152)/(VLOOKUP(Pesi!$B$32,TabAlgCen,12,FALSE)-Pesi!$F$42))*VLOOKUP(Pesi!$B$32,TabAlgCen,13,FALSE),$K152*$M152/$J152)</f>
        <v>-28.524667663057954</v>
      </c>
      <c r="O152" s="155">
        <f t="shared" si="13"/>
        <v>1</v>
      </c>
      <c r="P152">
        <f t="shared" si="14"/>
        <v>34</v>
      </c>
      <c r="Q152" t="e">
        <f>VLOOKUP(B152,'C.P.'!$A$2:$B$164,2,FALSE)</f>
        <v>#N/A</v>
      </c>
      <c r="R152" t="e">
        <f>VLOOKUP(B152,'C.P.'!$C$2:$D$164,2,FALSE)</f>
        <v>#N/A</v>
      </c>
      <c r="S152" t="e">
        <f>VLOOKUP(B152,'C.P.'!$E$2:$F$164,2,FALSE)</f>
        <v>#N/A</v>
      </c>
      <c r="T152" t="e">
        <f>VLOOKUP(B152,'C.P.'!$G$2:$H$164,2,FALSE)</f>
        <v>#N/A</v>
      </c>
      <c r="U152" s="420"/>
    </row>
    <row r="153" spans="1:21">
      <c r="A153">
        <f ca="1">COUNTIF('I.A. + Fasce'!B$1:'I.A. + Fasce'!B$538,B150)</f>
        <v>1</v>
      </c>
      <c r="B153" s="211" t="s">
        <v>1996</v>
      </c>
      <c r="C153" s="212" t="s">
        <v>721</v>
      </c>
      <c r="D153" s="213">
        <v>7</v>
      </c>
      <c r="E153" s="213">
        <v>3</v>
      </c>
      <c r="F153" s="213">
        <v>6</v>
      </c>
      <c r="G153" s="213">
        <v>5</v>
      </c>
      <c r="H153" s="213">
        <v>4</v>
      </c>
      <c r="I153" s="213">
        <v>3</v>
      </c>
      <c r="J153" s="210">
        <f>$D153*Pesi!$B$16+Pesi!$B$17*$E153+$F153*Pesi!$B$18+$G153*Pesi!$B$19+Pesi!$B$20*$H153+$I153*Pesi!$B$21+Pesi!$B$22*VLOOKUP($C153,TabAlgSqu,2,FALSE)+VLOOKUP($C153,TabAlgFC,2,FALSE)*Pesi!$B$23+Pesi!$B$24*VLOOKUP($C153,TabAlgAll,2,FALSE)</f>
        <v>58.716699999999996</v>
      </c>
      <c r="K153" s="155">
        <f>IF(ISNA(MATCH($B153,Pesi!$B$31:$B$34,0)),VLOOKUP(Pesi!$B$32,TabAlgCen,10,FALSE)-((VLOOKUP(Pesi!$B$32,TabAlgCen,9,FALSE)-$J153)/(VLOOKUP(Pesi!$B$32,TabAlgCen,9,FALSE)-Pesi!$D$42))*VLOOKUP(Pesi!$B$32,TabAlgCen,10,FALSE),Pesi!$F$32*Pesi!$C$28)</f>
        <v>-30.954649703895299</v>
      </c>
      <c r="L153" s="155">
        <f t="shared" si="12"/>
        <v>1</v>
      </c>
      <c r="M153" s="154">
        <f>$D153*Pesi!$D$16+Pesi!$D$17*$E153+$F153*Pesi!$D$18+$G153*Pesi!$D$19+Pesi!$D$20*$H153+$I153*Pesi!$D$21+Pesi!$D$22*VLOOKUP($C153,TabAlgSqu,2,FALSE)+VLOOKUP($C153,TabAlgFC,2,FALSE)*Pesi!$D$23+Pesi!$D$24*VLOOKUP($C153,TabAlgAll,2,FALSE)</f>
        <v>56.366699999999994</v>
      </c>
      <c r="N153" s="155">
        <f>IF(ISNA(MATCH($B153,Pesi!$B$31:$B$34,0)),VLOOKUP(Pesi!$B$32,TabAlgCen,13,FALSE)-((VLOOKUP(Pesi!$B$32,TabAlgCen,12,FALSE)-$M153)/(VLOOKUP(Pesi!$B$32,TabAlgCen,12,FALSE)-Pesi!$F$42))*VLOOKUP(Pesi!$B$32,TabAlgCen,13,FALSE),$K153*$M153/$J153)</f>
        <v>-28.722937590469058</v>
      </c>
      <c r="O153" s="155">
        <f t="shared" si="13"/>
        <v>1</v>
      </c>
      <c r="P153">
        <f t="shared" si="14"/>
        <v>28</v>
      </c>
      <c r="Q153" t="e">
        <f>VLOOKUP(B153,'C.P.'!$A$2:$B$164,2,FALSE)</f>
        <v>#N/A</v>
      </c>
      <c r="R153" t="e">
        <f>VLOOKUP(B153,'C.P.'!$C$2:$D$164,2,FALSE)</f>
        <v>#N/A</v>
      </c>
      <c r="S153" t="e">
        <f>VLOOKUP(B153,'C.P.'!$E$2:$F$164,2,FALSE)</f>
        <v>#N/A</v>
      </c>
      <c r="T153" t="e">
        <f>VLOOKUP(B153,'C.P.'!$G$2:$H$164,2,FALSE)</f>
        <v>#N/A</v>
      </c>
    </row>
    <row r="154" spans="1:21">
      <c r="A154">
        <f ca="1">COUNTIF('I.A. + Fasce'!B$1:'I.A. + Fasce'!B$538,B153)</f>
        <v>0</v>
      </c>
      <c r="B154" s="211" t="s">
        <v>1765</v>
      </c>
      <c r="C154" s="212" t="str">
        <f>VLOOKUP(B154,'IA FG'!$B$2:$G$600,6,FALSE)</f>
        <v>CHI</v>
      </c>
      <c r="D154" s="213">
        <v>5</v>
      </c>
      <c r="E154" s="213">
        <v>5</v>
      </c>
      <c r="F154" s="213">
        <v>6</v>
      </c>
      <c r="G154" s="213">
        <v>5</v>
      </c>
      <c r="H154" s="213">
        <v>6</v>
      </c>
      <c r="I154" s="213">
        <v>6</v>
      </c>
      <c r="J154" s="210">
        <f>$D154*Pesi!$B$16+Pesi!$B$17*$E154+$F154*Pesi!$B$18+$G154*Pesi!$B$19+Pesi!$B$20*$H154+$I154*Pesi!$B$21+Pesi!$B$22*VLOOKUP($C154,TabAlgSqu,2,FALSE)+VLOOKUP($C154,TabAlgFC,2,FALSE)*Pesi!$B$23+Pesi!$B$24*VLOOKUP($C154,TabAlgAll,2,FALSE)</f>
        <v>58.687599999999996</v>
      </c>
      <c r="K154" s="155">
        <f>IF(ISNA(MATCH($B154,Pesi!$B$31:$B$34,0)),VLOOKUP(Pesi!$B$32,TabAlgCen,10,FALSE)-((VLOOKUP(Pesi!$B$32,TabAlgCen,9,FALSE)-$J154)/(VLOOKUP(Pesi!$B$32,TabAlgCen,9,FALSE)-Pesi!$D$42))*VLOOKUP(Pesi!$B$32,TabAlgCen,10,FALSE),Pesi!$F$32*Pesi!$C$28)</f>
        <v>-31.034482758620712</v>
      </c>
      <c r="L154" s="155">
        <f t="shared" si="12"/>
        <v>1</v>
      </c>
      <c r="M154" s="154">
        <f>$D154*Pesi!$D$16+Pesi!$D$17*$E154+$F154*Pesi!$D$18+$G154*Pesi!$D$19+Pesi!$D$20*$H154+$I154*Pesi!$D$21+Pesi!$D$22*VLOOKUP($C154,TabAlgSqu,2,FALSE)+VLOOKUP($C154,TabAlgFC,2,FALSE)*Pesi!$D$23+Pesi!$D$24*VLOOKUP($C154,TabAlgAll,2,FALSE)</f>
        <v>56.337599999999995</v>
      </c>
      <c r="N154" s="155">
        <f>IF(ISNA(MATCH($B154,Pesi!$B$31:$B$34,0)),VLOOKUP(Pesi!$B$32,TabAlgCen,13,FALSE)-((VLOOKUP(Pesi!$B$32,TabAlgCen,12,FALSE)-$M154)/(VLOOKUP(Pesi!$B$32,TabAlgCen,12,FALSE)-Pesi!$F$42))*VLOOKUP(Pesi!$B$32,TabAlgCen,13,FALSE),$K154*$M154/$J154)</f>
        <v>-28.801543242889537</v>
      </c>
      <c r="O154" s="155">
        <f t="shared" si="13"/>
        <v>1</v>
      </c>
      <c r="P154">
        <f t="shared" si="14"/>
        <v>33</v>
      </c>
      <c r="Q154" t="e">
        <f>VLOOKUP(B154,'C.P.'!$A$2:$B$164,2,FALSE)</f>
        <v>#N/A</v>
      </c>
      <c r="R154">
        <f>VLOOKUP(B154,'C.P.'!$C$2:$D$164,2,FALSE)</f>
        <v>3</v>
      </c>
      <c r="S154">
        <f>VLOOKUP(B154,'C.P.'!$E$2:$F$164,2,FALSE)</f>
        <v>2</v>
      </c>
      <c r="T154" t="e">
        <f>VLOOKUP(B154,'C.P.'!$G$2:$H$164,2,FALSE)</f>
        <v>#N/A</v>
      </c>
    </row>
    <row r="155" spans="1:21">
      <c r="A155">
        <f ca="1">COUNTIF('I.A. + Fasce'!B$1:'I.A. + Fasce'!B$538,B152)</f>
        <v>1</v>
      </c>
      <c r="B155" s="211" t="s">
        <v>1767</v>
      </c>
      <c r="C155" s="212" t="str">
        <f>VLOOKUP(B155,'IA FG'!$B$2:$G$600,6,FALSE)</f>
        <v>CRO</v>
      </c>
      <c r="D155" s="213">
        <v>6</v>
      </c>
      <c r="E155" s="213">
        <v>5</v>
      </c>
      <c r="F155" s="213">
        <v>6</v>
      </c>
      <c r="G155" s="213">
        <v>6</v>
      </c>
      <c r="H155" s="213">
        <v>6</v>
      </c>
      <c r="I155" s="213">
        <v>5</v>
      </c>
      <c r="J155" s="210">
        <f>$D155*Pesi!$B$16+Pesi!$B$17*$E155+$F155*Pesi!$B$18+$G155*Pesi!$B$19+Pesi!$B$20*$H155+$I155*Pesi!$B$21+Pesi!$B$22*VLOOKUP($C155,TabAlgSqu,2,FALSE)+VLOOKUP($C155,TabAlgFC,2,FALSE)*Pesi!$B$23+Pesi!$B$24*VLOOKUP($C155,TabAlgAll,2,FALSE)</f>
        <v>58.665100000000002</v>
      </c>
      <c r="K155" s="155">
        <f>IF(ISNA(MATCH($B155,Pesi!$B$31:$B$34,0)),VLOOKUP(Pesi!$B$32,TabAlgCen,10,FALSE)-((VLOOKUP(Pesi!$B$32,TabAlgCen,9,FALSE)-$J155)/(VLOOKUP(Pesi!$B$32,TabAlgCen,9,FALSE)-Pesi!$D$42))*VLOOKUP(Pesi!$B$32,TabAlgCen,10,FALSE),Pesi!$F$32*Pesi!$C$28)</f>
        <v>-31.096209347325924</v>
      </c>
      <c r="L155" s="155">
        <f t="shared" si="12"/>
        <v>1</v>
      </c>
      <c r="M155" s="154">
        <f>$D155*Pesi!$D$16+Pesi!$D$17*$E155+$F155*Pesi!$D$18+$G155*Pesi!$D$19+Pesi!$D$20*$H155+$I155*Pesi!$D$21+Pesi!$D$22*VLOOKUP($C155,TabAlgSqu,2,FALSE)+VLOOKUP($C155,TabAlgFC,2,FALSE)*Pesi!$D$23+Pesi!$D$24*VLOOKUP($C155,TabAlgAll,2,FALSE)</f>
        <v>56.265100000000004</v>
      </c>
      <c r="N155" s="155">
        <f>IF(ISNA(MATCH($B155,Pesi!$B$31:$B$34,0)),VLOOKUP(Pesi!$B$32,TabAlgCen,13,FALSE)-((VLOOKUP(Pesi!$B$32,TabAlgCen,12,FALSE)-$M155)/(VLOOKUP(Pesi!$B$32,TabAlgCen,12,FALSE)-Pesi!$F$42))*VLOOKUP(Pesi!$B$32,TabAlgCen,13,FALSE),$K155*$M155/$J155)</f>
        <v>-28.997382067648431</v>
      </c>
      <c r="O155" s="155">
        <f t="shared" si="13"/>
        <v>1</v>
      </c>
      <c r="P155">
        <f t="shared" si="14"/>
        <v>34</v>
      </c>
      <c r="Q155">
        <f>VLOOKUP(B155,'C.P.'!$A$2:$B$164,2,FALSE)</f>
        <v>-1</v>
      </c>
      <c r="R155" t="e">
        <f>VLOOKUP(B155,'C.P.'!$C$2:$D$164,2,FALSE)</f>
        <v>#N/A</v>
      </c>
      <c r="S155">
        <f>VLOOKUP(B155,'C.P.'!$E$2:$F$164,2,FALSE)</f>
        <v>2</v>
      </c>
      <c r="T155" t="e">
        <f>VLOOKUP(B155,'C.P.'!$G$2:$H$164,2,FALSE)</f>
        <v>#N/A</v>
      </c>
      <c r="U155" s="156"/>
    </row>
    <row r="156" spans="1:21">
      <c r="A156">
        <f ca="1">COUNTIF('I.A. + Fasce'!B$1:'I.A. + Fasce'!B$538,B154)</f>
        <v>1</v>
      </c>
      <c r="B156" s="211" t="s">
        <v>1838</v>
      </c>
      <c r="C156" s="212" t="str">
        <f>VLOOKUP(B156,'IA FG'!$B$2:$G$600,6,FALSE)</f>
        <v>CRO</v>
      </c>
      <c r="D156" s="213">
        <v>6</v>
      </c>
      <c r="E156" s="213">
        <v>5</v>
      </c>
      <c r="F156" s="213">
        <v>6</v>
      </c>
      <c r="G156" s="213">
        <v>6</v>
      </c>
      <c r="H156" s="213">
        <v>6</v>
      </c>
      <c r="I156" s="213">
        <v>5</v>
      </c>
      <c r="J156" s="210">
        <f>$D156*Pesi!$B$16+Pesi!$B$17*$E156+$F156*Pesi!$B$18+$G156*Pesi!$B$19+Pesi!$B$20*$H156+$I156*Pesi!$B$21+Pesi!$B$22*VLOOKUP($C156,TabAlgSqu,2,FALSE)+VLOOKUP($C156,TabAlgFC,2,FALSE)*Pesi!$B$23+Pesi!$B$24*VLOOKUP($C156,TabAlgAll,2,FALSE)</f>
        <v>58.665100000000002</v>
      </c>
      <c r="K156" s="155">
        <f>IF(ISNA(MATCH($B156,Pesi!$B$31:$B$34,0)),VLOOKUP(Pesi!$B$32,TabAlgCen,10,FALSE)-((VLOOKUP(Pesi!$B$32,TabAlgCen,9,FALSE)-$J156)/(VLOOKUP(Pesi!$B$32,TabAlgCen,9,FALSE)-Pesi!$D$42))*VLOOKUP(Pesi!$B$32,TabAlgCen,10,FALSE),Pesi!$F$32*Pesi!$C$28)</f>
        <v>-31.096209347325924</v>
      </c>
      <c r="L156" s="155">
        <f t="shared" si="12"/>
        <v>1</v>
      </c>
      <c r="M156" s="154">
        <f>$D156*Pesi!$D$16+Pesi!$D$17*$E156+$F156*Pesi!$D$18+$G156*Pesi!$D$19+Pesi!$D$20*$H156+$I156*Pesi!$D$21+Pesi!$D$22*VLOOKUP($C156,TabAlgSqu,2,FALSE)+VLOOKUP($C156,TabAlgFC,2,FALSE)*Pesi!$D$23+Pesi!$D$24*VLOOKUP($C156,TabAlgAll,2,FALSE)</f>
        <v>56.265100000000004</v>
      </c>
      <c r="N156" s="155">
        <f>IF(ISNA(MATCH($B156,Pesi!$B$31:$B$34,0)),VLOOKUP(Pesi!$B$32,TabAlgCen,13,FALSE)-((VLOOKUP(Pesi!$B$32,TabAlgCen,12,FALSE)-$M156)/(VLOOKUP(Pesi!$B$32,TabAlgCen,12,FALSE)-Pesi!$F$42))*VLOOKUP(Pesi!$B$32,TabAlgCen,13,FALSE),$K156*$M156/$J156)</f>
        <v>-28.997382067648431</v>
      </c>
      <c r="O156" s="155">
        <f t="shared" si="13"/>
        <v>1</v>
      </c>
      <c r="P156">
        <f t="shared" si="14"/>
        <v>34</v>
      </c>
      <c r="Q156" t="e">
        <f>VLOOKUP(B156,'C.P.'!$A$2:$B$164,2,FALSE)</f>
        <v>#N/A</v>
      </c>
      <c r="R156" t="e">
        <f>VLOOKUP(B156,'C.P.'!$C$2:$D$164,2,FALSE)</f>
        <v>#N/A</v>
      </c>
      <c r="S156" t="e">
        <f>VLOOKUP(B156,'C.P.'!$E$2:$F$164,2,FALSE)</f>
        <v>#N/A</v>
      </c>
      <c r="T156" t="e">
        <f>VLOOKUP(B156,'C.P.'!$G$2:$H$164,2,FALSE)</f>
        <v>#N/A</v>
      </c>
    </row>
    <row r="157" spans="1:21">
      <c r="A157">
        <f ca="1">COUNTIF('I.A. + Fasce'!B$1:'I.A. + Fasce'!B$538,B154)</f>
        <v>1</v>
      </c>
      <c r="B157" s="211" t="s">
        <v>1837</v>
      </c>
      <c r="C157" s="212" t="str">
        <f>VLOOKUP(B157,'IA FG'!$B$2:$G$600,6,FALSE)</f>
        <v>LAZ</v>
      </c>
      <c r="D157" s="213">
        <v>7</v>
      </c>
      <c r="E157" s="213">
        <v>3</v>
      </c>
      <c r="F157" s="213">
        <v>6</v>
      </c>
      <c r="G157" s="213">
        <v>4</v>
      </c>
      <c r="H157" s="213">
        <v>5</v>
      </c>
      <c r="I157" s="213">
        <v>3</v>
      </c>
      <c r="J157" s="210">
        <f>$D157*Pesi!$B$16+Pesi!$B$17*$E157+$F157*Pesi!$B$18+$G157*Pesi!$B$19+Pesi!$B$20*$H157+$I157*Pesi!$B$21+Pesi!$B$22*VLOOKUP($C157,TabAlgSqu,2,FALSE)+VLOOKUP($C157,TabAlgFC,2,FALSE)*Pesi!$B$23+Pesi!$B$24*VLOOKUP($C157,TabAlgAll,2,FALSE)</f>
        <v>58.5625</v>
      </c>
      <c r="K157" s="155">
        <f>IF(ISNA(MATCH($B157,Pesi!$B$31:$B$34,0)),VLOOKUP(Pesi!$B$32,TabAlgCen,10,FALSE)-((VLOOKUP(Pesi!$B$32,TabAlgCen,9,FALSE)-$J157)/(VLOOKUP(Pesi!$B$32,TabAlgCen,9,FALSE)-Pesi!$D$42))*VLOOKUP(Pesi!$B$32,TabAlgCen,10,FALSE),Pesi!$F$32*Pesi!$C$28)</f>
        <v>-31.377682591821738</v>
      </c>
      <c r="L157" s="155">
        <f t="shared" si="12"/>
        <v>1</v>
      </c>
      <c r="M157" s="154">
        <f>$D157*Pesi!$D$16+Pesi!$D$17*$E157+$F157*Pesi!$D$18+$G157*Pesi!$D$19+Pesi!$D$20*$H157+$I157*Pesi!$D$21+Pesi!$D$22*VLOOKUP($C157,TabAlgSqu,2,FALSE)+VLOOKUP($C157,TabAlgFC,2,FALSE)*Pesi!$D$23+Pesi!$D$24*VLOOKUP($C157,TabAlgAll,2,FALSE)</f>
        <v>56.262499999999996</v>
      </c>
      <c r="N157" s="155">
        <f>IF(ISNA(MATCH($B157,Pesi!$B$31:$B$34,0)),VLOOKUP(Pesi!$B$32,TabAlgCen,13,FALSE)-((VLOOKUP(Pesi!$B$32,TabAlgCen,12,FALSE)-$M157)/(VLOOKUP(Pesi!$B$32,TabAlgCen,12,FALSE)-Pesi!$F$42))*VLOOKUP(Pesi!$B$32,TabAlgCen,13,FALSE),$K157*$M157/$J157)</f>
        <v>-29.00440525308808</v>
      </c>
      <c r="O157" s="155">
        <f t="shared" si="13"/>
        <v>1</v>
      </c>
      <c r="P157">
        <f t="shared" si="14"/>
        <v>28</v>
      </c>
      <c r="Q157" t="e">
        <f>VLOOKUP(B157,'C.P.'!$A$2:$B$164,2,FALSE)</f>
        <v>#N/A</v>
      </c>
      <c r="R157" t="e">
        <f>VLOOKUP(B157,'C.P.'!$C$2:$D$164,2,FALSE)</f>
        <v>#N/A</v>
      </c>
      <c r="S157" t="e">
        <f>VLOOKUP(B157,'C.P.'!$E$2:$F$164,2,FALSE)</f>
        <v>#N/A</v>
      </c>
      <c r="T157" t="e">
        <f>VLOOKUP(B157,'C.P.'!$G$2:$H$164,2,FALSE)</f>
        <v>#N/A</v>
      </c>
    </row>
    <row r="158" spans="1:21">
      <c r="A158">
        <f ca="1">COUNTIF('I.A. + Fasce'!B$1:'I.A. + Fasce'!B$538,B156)</f>
        <v>1</v>
      </c>
      <c r="B158" s="211" t="s">
        <v>404</v>
      </c>
      <c r="C158" s="212" t="str">
        <f>VLOOKUP(B158,'IA FG'!$B$2:$G$600,6,FALSE)</f>
        <v>BOL</v>
      </c>
      <c r="D158" s="213">
        <v>8</v>
      </c>
      <c r="E158" s="213">
        <v>5</v>
      </c>
      <c r="F158" s="213">
        <v>6</v>
      </c>
      <c r="G158" s="213">
        <v>5</v>
      </c>
      <c r="H158" s="213">
        <v>5</v>
      </c>
      <c r="I158" s="213">
        <v>4</v>
      </c>
      <c r="J158" s="210">
        <f>$D158*Pesi!$B$16+Pesi!$B$17*$E158+$F158*Pesi!$B$18+$G158*Pesi!$B$19+Pesi!$B$20*$H158+$I158*Pesi!$B$21+Pesi!$B$22*VLOOKUP($C158,TabAlgSqu,2,FALSE)+VLOOKUP($C158,TabAlgFC,2,FALSE)*Pesi!$B$23+Pesi!$B$24*VLOOKUP($C158,TabAlgAll,2,FALSE)</f>
        <v>58.439600000000006</v>
      </c>
      <c r="K158" s="155">
        <f>IF(ISNA(MATCH($B158,Pesi!$B$31:$B$34,0)),VLOOKUP(Pesi!$B$32,TabAlgCen,10,FALSE)-((VLOOKUP(Pesi!$B$32,TabAlgCen,9,FALSE)-$J158)/(VLOOKUP(Pesi!$B$32,TabAlgCen,9,FALSE)-Pesi!$D$42))*VLOOKUP(Pesi!$B$32,TabAlgCen,10,FALSE),Pesi!$F$32*Pesi!$C$28)</f>
        <v>-31.71484693634936</v>
      </c>
      <c r="L158" s="155">
        <f t="shared" si="12"/>
        <v>1</v>
      </c>
      <c r="M158" s="154">
        <f>$D158*Pesi!$D$16+Pesi!$D$17*$E158+$F158*Pesi!$D$18+$G158*Pesi!$D$19+Pesi!$D$20*$H158+$I158*Pesi!$D$21+Pesi!$D$22*VLOOKUP($C158,TabAlgSqu,2,FALSE)+VLOOKUP($C158,TabAlgFC,2,FALSE)*Pesi!$D$23+Pesi!$D$24*VLOOKUP($C158,TabAlgAll,2,FALSE)</f>
        <v>56.089599999999997</v>
      </c>
      <c r="N158" s="155">
        <f>IF(ISNA(MATCH($B158,Pesi!$B$31:$B$34,0)),VLOOKUP(Pesi!$B$32,TabAlgCen,13,FALSE)-((VLOOKUP(Pesi!$B$32,TabAlgCen,12,FALSE)-$M158)/(VLOOKUP(Pesi!$B$32,TabAlgCen,12,FALSE)-Pesi!$F$42))*VLOOKUP(Pesi!$B$32,TabAlgCen,13,FALSE),$K158*$M158/$J158)</f>
        <v>-29.471447084823481</v>
      </c>
      <c r="O158" s="155">
        <f t="shared" si="13"/>
        <v>1</v>
      </c>
      <c r="P158">
        <f t="shared" si="14"/>
        <v>33</v>
      </c>
      <c r="Q158" t="e">
        <f>VLOOKUP(B158,'C.P.'!$A$2:$B$164,2,FALSE)</f>
        <v>#N/A</v>
      </c>
      <c r="R158" t="e">
        <f>VLOOKUP(B158,'C.P.'!$C$2:$D$164,2,FALSE)</f>
        <v>#N/A</v>
      </c>
      <c r="S158" t="e">
        <f>VLOOKUP(B158,'C.P.'!$E$2:$F$164,2,FALSE)</f>
        <v>#N/A</v>
      </c>
      <c r="T158" t="e">
        <f>VLOOKUP(B158,'C.P.'!$G$2:$H$164,2,FALSE)</f>
        <v>#N/A</v>
      </c>
    </row>
    <row r="159" spans="1:21">
      <c r="A159">
        <f ca="1">COUNTIF('I.A. + Fasce'!B$1:'I.A. + Fasce'!B$538,B157)</f>
        <v>1</v>
      </c>
      <c r="B159" s="211" t="s">
        <v>587</v>
      </c>
      <c r="C159" s="212" t="str">
        <f>VLOOKUP(B159,'IA FG'!$B$2:$G$600,6,FALSE)</f>
        <v>BOL</v>
      </c>
      <c r="D159" s="213">
        <v>8</v>
      </c>
      <c r="E159" s="213">
        <v>6</v>
      </c>
      <c r="F159" s="213">
        <v>5</v>
      </c>
      <c r="G159" s="213">
        <v>5</v>
      </c>
      <c r="H159" s="213">
        <v>5</v>
      </c>
      <c r="I159" s="213">
        <v>4</v>
      </c>
      <c r="J159" s="210">
        <f>$D159*Pesi!$B$16+Pesi!$B$17*$E159+$F159*Pesi!$B$18+$G159*Pesi!$B$19+Pesi!$B$20*$H159+$I159*Pesi!$B$21+Pesi!$B$22*VLOOKUP($C159,TabAlgSqu,2,FALSE)+VLOOKUP($C159,TabAlgFC,2,FALSE)*Pesi!$B$23+Pesi!$B$24*VLOOKUP($C159,TabAlgAll,2,FALSE)</f>
        <v>58.052100000000003</v>
      </c>
      <c r="K159" s="155">
        <f>IF(ISNA(MATCH($B159,Pesi!$B$31:$B$34,0)),VLOOKUP(Pesi!$B$32,TabAlgCen,10,FALSE)-((VLOOKUP(Pesi!$B$32,TabAlgCen,9,FALSE)-$J159)/(VLOOKUP(Pesi!$B$32,TabAlgCen,9,FALSE)-Pesi!$D$42))*VLOOKUP(Pesi!$B$32,TabAlgCen,10,FALSE),Pesi!$F$32*Pesi!$C$28)</f>
        <v>-32.777915964050436</v>
      </c>
      <c r="L159" s="155">
        <f t="shared" si="12"/>
        <v>1</v>
      </c>
      <c r="M159" s="154">
        <f>$D159*Pesi!$D$16+Pesi!$D$17*$E159+$F159*Pesi!$D$18+$G159*Pesi!$D$19+Pesi!$D$20*$H159+$I159*Pesi!$D$21+Pesi!$D$22*VLOOKUP($C159,TabAlgSqu,2,FALSE)+VLOOKUP($C159,TabAlgFC,2,FALSE)*Pesi!$D$23+Pesi!$D$24*VLOOKUP($C159,TabAlgAll,2,FALSE)</f>
        <v>56.052100000000003</v>
      </c>
      <c r="N159" s="155">
        <f>IF(ISNA(MATCH($B159,Pesi!$B$31:$B$34,0)),VLOOKUP(Pesi!$B$32,TabAlgCen,13,FALSE)-((VLOOKUP(Pesi!$B$32,TabAlgCen,12,FALSE)-$M159)/(VLOOKUP(Pesi!$B$32,TabAlgCen,12,FALSE)-Pesi!$F$42))*VLOOKUP(Pesi!$B$32,TabAlgCen,13,FALSE),$K159*$M159/$J159)</f>
        <v>-29.572743028664277</v>
      </c>
      <c r="O159" s="155">
        <f t="shared" si="13"/>
        <v>1</v>
      </c>
      <c r="P159">
        <f t="shared" si="14"/>
        <v>33</v>
      </c>
      <c r="Q159">
        <f>VLOOKUP(B159,'C.P.'!$A$2:$B$164,2,FALSE)</f>
        <v>-1</v>
      </c>
      <c r="R159" t="e">
        <f>VLOOKUP(B159,'C.P.'!$C$2:$D$164,2,FALSE)</f>
        <v>#N/A</v>
      </c>
      <c r="S159" t="e">
        <f>VLOOKUP(B159,'C.P.'!$E$2:$F$164,2,FALSE)</f>
        <v>#N/A</v>
      </c>
      <c r="T159" t="e">
        <f>VLOOKUP(B159,'C.P.'!$G$2:$H$164,2,FALSE)</f>
        <v>#N/A</v>
      </c>
    </row>
    <row r="160" spans="1:21">
      <c r="A160">
        <f ca="1">COUNTIF('I.A. + Fasce'!B$1:'I.A. + Fasce'!B$538,B157)</f>
        <v>1</v>
      </c>
      <c r="B160" s="211" t="s">
        <v>377</v>
      </c>
      <c r="C160" s="212" t="str">
        <f>VLOOKUP(B160,'IA FG'!$B$2:$G$600,6,FALSE)</f>
        <v>VER</v>
      </c>
      <c r="D160" s="213">
        <v>7</v>
      </c>
      <c r="E160" s="213">
        <v>6</v>
      </c>
      <c r="F160" s="213">
        <v>5</v>
      </c>
      <c r="G160" s="213">
        <v>6</v>
      </c>
      <c r="H160" s="213">
        <v>5</v>
      </c>
      <c r="I160" s="213">
        <v>4</v>
      </c>
      <c r="J160" s="210">
        <f>$D160*Pesi!$B$16+Pesi!$B$17*$E160+$F160*Pesi!$B$18+$G160*Pesi!$B$19+Pesi!$B$20*$H160+$I160*Pesi!$B$21+Pesi!$B$22*VLOOKUP($C160,TabAlgSqu,2,FALSE)+VLOOKUP($C160,TabAlgFC,2,FALSE)*Pesi!$B$23+Pesi!$B$24*VLOOKUP($C160,TabAlgAll,2,FALSE)</f>
        <v>57.344300000000004</v>
      </c>
      <c r="K160" s="155">
        <f>IF(ISNA(MATCH($B160,Pesi!$B$31:$B$34,0)),VLOOKUP(Pesi!$B$32,TabAlgCen,10,FALSE)-((VLOOKUP(Pesi!$B$32,TabAlgCen,9,FALSE)-$J160)/(VLOOKUP(Pesi!$B$32,TabAlgCen,9,FALSE)-Pesi!$D$42))*VLOOKUP(Pesi!$B$32,TabAlgCen,10,FALSE),Pesi!$F$32*Pesi!$C$28)</f>
        <v>-34.719697274519646</v>
      </c>
      <c r="L160" s="155">
        <f t="shared" si="12"/>
        <v>1</v>
      </c>
      <c r="M160" s="154">
        <f>$D160*Pesi!$D$16+Pesi!$D$17*$E160+$F160*Pesi!$D$18+$G160*Pesi!$D$19+Pesi!$D$20*$H160+$I160*Pesi!$D$21+Pesi!$D$22*VLOOKUP($C160,TabAlgSqu,2,FALSE)+VLOOKUP($C160,TabAlgFC,2,FALSE)*Pesi!$D$23+Pesi!$D$24*VLOOKUP($C160,TabAlgAll,2,FALSE)</f>
        <v>55.2943</v>
      </c>
      <c r="N160" s="155">
        <f>IF(ISNA(MATCH($B160,Pesi!$B$31:$B$34,0)),VLOOKUP(Pesi!$B$32,TabAlgCen,13,FALSE)-((VLOOKUP(Pesi!$B$32,TabAlgCen,12,FALSE)-$M160)/(VLOOKUP(Pesi!$B$32,TabAlgCen,12,FALSE)-Pesi!$F$42))*VLOOKUP(Pesi!$B$32,TabAlgCen,13,FALSE),$K160*$M160/$J160)</f>
        <v>-31.619731461799574</v>
      </c>
      <c r="O160" s="155">
        <f t="shared" si="13"/>
        <v>1</v>
      </c>
      <c r="P160">
        <f t="shared" si="14"/>
        <v>33</v>
      </c>
      <c r="Q160" t="e">
        <f>VLOOKUP(B160,'C.P.'!$A$2:$B$164,2,FALSE)</f>
        <v>#N/A</v>
      </c>
      <c r="R160" t="e">
        <f>VLOOKUP(B160,'C.P.'!$C$2:$D$164,2,FALSE)</f>
        <v>#N/A</v>
      </c>
      <c r="S160" t="e">
        <f>VLOOKUP(B160,'C.P.'!$E$2:$F$164,2,FALSE)</f>
        <v>#N/A</v>
      </c>
      <c r="T160" t="e">
        <f>VLOOKUP(B160,'C.P.'!$G$2:$H$164,2,FALSE)</f>
        <v>#N/A</v>
      </c>
    </row>
    <row r="161" spans="1:21">
      <c r="A161">
        <f ca="1">COUNTIF('I.A. + Fasce'!B$1:'I.A. + Fasce'!B$538,B159)</f>
        <v>1</v>
      </c>
      <c r="B161" s="211" t="s">
        <v>1344</v>
      </c>
      <c r="C161" s="212" t="str">
        <f>VLOOKUP(B161,'IA FG'!$B$2:$G$600,6,FALSE)</f>
        <v>SPA</v>
      </c>
      <c r="D161" s="213">
        <v>6</v>
      </c>
      <c r="E161" s="213">
        <v>8</v>
      </c>
      <c r="F161" s="213">
        <v>6</v>
      </c>
      <c r="G161" s="213">
        <v>7</v>
      </c>
      <c r="H161" s="213">
        <v>5</v>
      </c>
      <c r="I161" s="213">
        <v>7</v>
      </c>
      <c r="J161" s="210">
        <f>$D161*Pesi!$B$16+Pesi!$B$17*$E161+$F161*Pesi!$B$18+$G161*Pesi!$B$19+Pesi!$B$20*$H161+$I161*Pesi!$B$21+Pesi!$B$22*VLOOKUP($C161,TabAlgSqu,2,FALSE)+VLOOKUP($C161,TabAlgFC,2,FALSE)*Pesi!$B$23+Pesi!$B$24*VLOOKUP($C161,TabAlgAll,2,FALSE)</f>
        <v>56.9724</v>
      </c>
      <c r="K161" s="155">
        <f>IF(ISNA(MATCH($B161,Pesi!$B$31:$B$34,0)),VLOOKUP(Pesi!$B$32,TabAlgCen,10,FALSE)-((VLOOKUP(Pesi!$B$32,TabAlgCen,9,FALSE)-$J161)/(VLOOKUP(Pesi!$B$32,TabAlgCen,9,FALSE)-Pesi!$D$42))*VLOOKUP(Pesi!$B$32,TabAlgCen,10,FALSE),Pesi!$F$32*Pesi!$C$28)</f>
        <v>-35.73996920071842</v>
      </c>
      <c r="L161" s="155">
        <f t="shared" si="12"/>
        <v>1</v>
      </c>
      <c r="M161" s="154">
        <f>$D161*Pesi!$D$16+Pesi!$D$17*$E161+$F161*Pesi!$D$18+$G161*Pesi!$D$19+Pesi!$D$20*$H161+$I161*Pesi!$D$21+Pesi!$D$22*VLOOKUP($C161,TabAlgSqu,2,FALSE)+VLOOKUP($C161,TabAlgFC,2,FALSE)*Pesi!$D$23+Pesi!$D$24*VLOOKUP($C161,TabAlgAll,2,FALSE)</f>
        <v>54.522399999999998</v>
      </c>
      <c r="N161" s="155">
        <f>IF(ISNA(MATCH($B161,Pesi!$B$31:$B$34,0)),VLOOKUP(Pesi!$B$32,TabAlgCen,13,FALSE)-((VLOOKUP(Pesi!$B$32,TabAlgCen,12,FALSE)-$M161)/(VLOOKUP(Pesi!$B$32,TabAlgCen,12,FALSE)-Pesi!$F$42))*VLOOKUP(Pesi!$B$32,TabAlgCen,13,FALSE),$K161*$M161/$J161)</f>
        <v>-33.70480716981902</v>
      </c>
      <c r="O161" s="155">
        <f t="shared" si="13"/>
        <v>1</v>
      </c>
      <c r="P161">
        <f t="shared" si="14"/>
        <v>39</v>
      </c>
      <c r="Q161">
        <f>VLOOKUP(B161,'C.P.'!$A$2:$B$164,2,FALSE)</f>
        <v>0</v>
      </c>
      <c r="R161">
        <f>VLOOKUP(B161,'C.P.'!$C$2:$D$164,2,FALSE)</f>
        <v>3</v>
      </c>
      <c r="S161">
        <f>VLOOKUP(B161,'C.P.'!$E$2:$F$164,2,FALSE)</f>
        <v>1</v>
      </c>
      <c r="T161">
        <f>VLOOKUP(B161,'C.P.'!$G$2:$H$164,2,FALSE)</f>
        <v>1</v>
      </c>
    </row>
    <row r="162" spans="1:21">
      <c r="A162">
        <f ca="1">COUNTIF('I.A. + Fasce'!B$1:'I.A. + Fasce'!B$538,B160)</f>
        <v>1</v>
      </c>
      <c r="B162" s="211" t="s">
        <v>350</v>
      </c>
      <c r="C162" s="212" t="str">
        <f>VLOOKUP(B162,'IA FG'!$B$2:$G$600,6,FALSE)</f>
        <v>SAS</v>
      </c>
      <c r="D162" s="213">
        <v>7</v>
      </c>
      <c r="E162" s="213">
        <v>5</v>
      </c>
      <c r="F162" s="213">
        <v>6</v>
      </c>
      <c r="G162" s="213">
        <v>4</v>
      </c>
      <c r="H162" s="213">
        <v>6</v>
      </c>
      <c r="I162" s="213">
        <v>3</v>
      </c>
      <c r="J162" s="210">
        <f>$D162*Pesi!$B$16+Pesi!$B$17*$E162+$F162*Pesi!$B$18+$G162*Pesi!$B$19+Pesi!$B$20*$H162+$I162*Pesi!$B$21+Pesi!$B$22*VLOOKUP($C162,TabAlgSqu,2,FALSE)+VLOOKUP($C162,TabAlgFC,2,FALSE)*Pesi!$B$23+Pesi!$B$24*VLOOKUP($C162,TabAlgAll,2,FALSE)</f>
        <v>56.850299999999997</v>
      </c>
      <c r="K162" s="155">
        <f>IF(ISNA(MATCH($B162,Pesi!$B$31:$B$34,0)),VLOOKUP(Pesi!$B$32,TabAlgCen,10,FALSE)-((VLOOKUP(Pesi!$B$32,TabAlgCen,9,FALSE)-$J162)/(VLOOKUP(Pesi!$B$32,TabAlgCen,9,FALSE)-Pesi!$D$42))*VLOOKUP(Pesi!$B$32,TabAlgCen,10,FALSE),Pesi!$F$32*Pesi!$C$28)</f>
        <v>-36.074938822092108</v>
      </c>
      <c r="L162" s="155">
        <f t="shared" ref="L162:L180" si="15">IF(K162&lt;=1,1,K162)</f>
        <v>1</v>
      </c>
      <c r="M162" s="154">
        <f>$D162*Pesi!$D$16+Pesi!$D$17*$E162+$F162*Pesi!$D$18+$G162*Pesi!$D$19+Pesi!$D$20*$H162+$I162*Pesi!$D$21+Pesi!$D$22*VLOOKUP($C162,TabAlgSqu,2,FALSE)+VLOOKUP($C162,TabAlgFC,2,FALSE)*Pesi!$D$23+Pesi!$D$24*VLOOKUP($C162,TabAlgAll,2,FALSE)</f>
        <v>54.5503</v>
      </c>
      <c r="N162" s="155">
        <f>IF(ISNA(MATCH($B162,Pesi!$B$31:$B$34,0)),VLOOKUP(Pesi!$B$32,TabAlgCen,13,FALSE)-((VLOOKUP(Pesi!$B$32,TabAlgCen,12,FALSE)-$M162)/(VLOOKUP(Pesi!$B$32,TabAlgCen,12,FALSE)-Pesi!$F$42))*VLOOKUP(Pesi!$B$32,TabAlgCen,13,FALSE),$K162*$M162/$J162)</f>
        <v>-33.62944298760145</v>
      </c>
      <c r="O162" s="155">
        <f t="shared" ref="O162:O180" si="16">IF(N162&lt;=1,1,N162)</f>
        <v>1</v>
      </c>
      <c r="P162">
        <f t="shared" ref="P162:P188" si="17">SUM(D162:I162)</f>
        <v>31</v>
      </c>
      <c r="Q162" t="e">
        <f>VLOOKUP(B162,'C.P.'!$A$2:$B$164,2,FALSE)</f>
        <v>#N/A</v>
      </c>
      <c r="R162" t="e">
        <f>VLOOKUP(B162,'C.P.'!$C$2:$D$164,2,FALSE)</f>
        <v>#N/A</v>
      </c>
      <c r="S162" t="e">
        <f>VLOOKUP(B162,'C.P.'!$E$2:$F$164,2,FALSE)</f>
        <v>#N/A</v>
      </c>
      <c r="T162" t="e">
        <f>VLOOKUP(B162,'C.P.'!$G$2:$H$164,2,FALSE)</f>
        <v>#N/A</v>
      </c>
    </row>
    <row r="163" spans="1:21">
      <c r="A163">
        <f ca="1">COUNTIF('I.A. + Fasce'!B$1:'I.A. + Fasce'!B$538,B160)</f>
        <v>1</v>
      </c>
      <c r="B163" s="211" t="s">
        <v>1743</v>
      </c>
      <c r="C163" s="212" t="str">
        <f>VLOOKUP(B163,'IA FG'!$B$2:$G$600,6,FALSE)</f>
        <v>BEN</v>
      </c>
      <c r="D163" s="213">
        <v>7</v>
      </c>
      <c r="E163" s="213">
        <v>7</v>
      </c>
      <c r="F163" s="213">
        <v>7</v>
      </c>
      <c r="G163" s="213">
        <v>6</v>
      </c>
      <c r="H163" s="213">
        <v>6</v>
      </c>
      <c r="I163" s="213">
        <v>6</v>
      </c>
      <c r="J163" s="210">
        <f>$D163*Pesi!$B$16+Pesi!$B$17*$E163+$F163*Pesi!$B$18+$G163*Pesi!$B$19+Pesi!$B$20*$H163+$I163*Pesi!$B$21+Pesi!$B$22*VLOOKUP($C163,TabAlgSqu,2,FALSE)+VLOOKUP($C163,TabAlgFC,2,FALSE)*Pesi!$B$23+Pesi!$B$24*VLOOKUP($C163,TabAlgAll,2,FALSE)</f>
        <v>56.539200000000001</v>
      </c>
      <c r="K163" s="155">
        <f>IF(ISNA(MATCH($B163,Pesi!$B$31:$B$34,0)),VLOOKUP(Pesi!$B$32,TabAlgCen,10,FALSE)-((VLOOKUP(Pesi!$B$32,TabAlgCen,9,FALSE)-$J163)/(VLOOKUP(Pesi!$B$32,TabAlgCen,9,FALSE)-Pesi!$D$42))*VLOOKUP(Pesi!$B$32,TabAlgCen,10,FALSE),Pesi!$F$32*Pesi!$C$28)</f>
        <v>-36.928411788589642</v>
      </c>
      <c r="L163" s="155">
        <f t="shared" si="15"/>
        <v>1</v>
      </c>
      <c r="M163" s="154">
        <f>$D163*Pesi!$D$16+Pesi!$D$17*$E163+$F163*Pesi!$D$18+$G163*Pesi!$D$19+Pesi!$D$20*$H163+$I163*Pesi!$D$21+Pesi!$D$22*VLOOKUP($C163,TabAlgSqu,2,FALSE)+VLOOKUP($C163,TabAlgFC,2,FALSE)*Pesi!$D$23+Pesi!$D$24*VLOOKUP($C163,TabAlgAll,2,FALSE)</f>
        <v>53.789200000000001</v>
      </c>
      <c r="N163" s="155">
        <f>IF(ISNA(MATCH($B163,Pesi!$B$31:$B$34,0)),VLOOKUP(Pesi!$B$32,TabAlgCen,13,FALSE)-((VLOOKUP(Pesi!$B$32,TabAlgCen,12,FALSE)-$M163)/(VLOOKUP(Pesi!$B$32,TabAlgCen,12,FALSE)-Pesi!$F$42))*VLOOKUP(Pesi!$B$32,TabAlgCen,13,FALSE),$K163*$M163/$J163)</f>
        <v>-35.685345463794718</v>
      </c>
      <c r="O163" s="155">
        <f t="shared" si="16"/>
        <v>1</v>
      </c>
      <c r="P163">
        <f t="shared" si="17"/>
        <v>39</v>
      </c>
      <c r="Q163" t="e">
        <f>VLOOKUP(B163,'C.P.'!$A$2:$B$164,2,FALSE)</f>
        <v>#N/A</v>
      </c>
      <c r="R163" t="e">
        <f>VLOOKUP(B163,'C.P.'!$C$2:$D$164,2,FALSE)</f>
        <v>#N/A</v>
      </c>
      <c r="S163">
        <f>VLOOKUP(B163,'C.P.'!$E$2:$F$164,2,FALSE)</f>
        <v>3</v>
      </c>
      <c r="T163">
        <f>VLOOKUP(B163,'C.P.'!$G$2:$H$164,2,FALSE)</f>
        <v>1</v>
      </c>
    </row>
    <row r="164" spans="1:21">
      <c r="A164">
        <f ca="1">COUNTIF('I.A. + Fasce'!B$1:'I.A. + Fasce'!B$538,B161)</f>
        <v>1</v>
      </c>
      <c r="B164" s="211" t="s">
        <v>391</v>
      </c>
      <c r="C164" s="212" t="str">
        <f>VLOOKUP(B164,'IA FG'!$B$2:$G$600,6,FALSE)</f>
        <v>BEN</v>
      </c>
      <c r="D164" s="213">
        <v>7</v>
      </c>
      <c r="E164" s="213">
        <v>8</v>
      </c>
      <c r="F164" s="213">
        <v>6</v>
      </c>
      <c r="G164" s="213">
        <v>6</v>
      </c>
      <c r="H164" s="213">
        <v>6</v>
      </c>
      <c r="I164" s="213">
        <v>6</v>
      </c>
      <c r="J164" s="210">
        <f>$D164*Pesi!$B$16+Pesi!$B$17*$E164+$F164*Pesi!$B$18+$G164*Pesi!$B$19+Pesi!$B$20*$H164+$I164*Pesi!$B$21+Pesi!$B$22*VLOOKUP($C164,TabAlgSqu,2,FALSE)+VLOOKUP($C164,TabAlgFC,2,FALSE)*Pesi!$B$23+Pesi!$B$24*VLOOKUP($C164,TabAlgAll,2,FALSE)</f>
        <v>56.151699999999998</v>
      </c>
      <c r="K164" s="155">
        <f>IF(ISNA(MATCH($B164,Pesi!$B$31:$B$34,0)),VLOOKUP(Pesi!$B$32,TabAlgCen,10,FALSE)-((VLOOKUP(Pesi!$B$32,TabAlgCen,9,FALSE)-$J164)/(VLOOKUP(Pesi!$B$32,TabAlgCen,9,FALSE)-Pesi!$D$42))*VLOOKUP(Pesi!$B$32,TabAlgCen,10,FALSE),Pesi!$F$32*Pesi!$C$28)</f>
        <v>-37.991480816290718</v>
      </c>
      <c r="L164" s="155">
        <f t="shared" si="15"/>
        <v>1</v>
      </c>
      <c r="M164" s="154">
        <f>$D164*Pesi!$D$16+Pesi!$D$17*$E164+$F164*Pesi!$D$18+$G164*Pesi!$D$19+Pesi!$D$20*$H164+$I164*Pesi!$D$21+Pesi!$D$22*VLOOKUP($C164,TabAlgSqu,2,FALSE)+VLOOKUP($C164,TabAlgFC,2,FALSE)*Pesi!$D$23+Pesi!$D$24*VLOOKUP($C164,TabAlgAll,2,FALSE)</f>
        <v>53.7517</v>
      </c>
      <c r="N164" s="155">
        <f>IF(ISNA(MATCH($B164,Pesi!$B$31:$B$34,0)),VLOOKUP(Pesi!$B$32,TabAlgCen,13,FALSE)-((VLOOKUP(Pesi!$B$32,TabAlgCen,12,FALSE)-$M164)/(VLOOKUP(Pesi!$B$32,TabAlgCen,12,FALSE)-Pesi!$F$42))*VLOOKUP(Pesi!$B$32,TabAlgCen,13,FALSE),$K164*$M164/$J164)</f>
        <v>-35.786641407635557</v>
      </c>
      <c r="O164" s="155">
        <f t="shared" si="16"/>
        <v>1</v>
      </c>
      <c r="P164">
        <f t="shared" si="17"/>
        <v>39</v>
      </c>
      <c r="Q164" t="e">
        <f>VLOOKUP(B164,'C.P.'!$A$2:$B$164,2,FALSE)</f>
        <v>#N/A</v>
      </c>
      <c r="R164" t="e">
        <f>VLOOKUP(B164,'C.P.'!$C$2:$D$164,2,FALSE)</f>
        <v>#N/A</v>
      </c>
      <c r="S164" t="e">
        <f>VLOOKUP(B164,'C.P.'!$E$2:$F$164,2,FALSE)</f>
        <v>#N/A</v>
      </c>
      <c r="T164" t="e">
        <f>VLOOKUP(B164,'C.P.'!$G$2:$H$164,2,FALSE)</f>
        <v>#N/A</v>
      </c>
    </row>
    <row r="165" spans="1:21">
      <c r="A165">
        <f ca="1">COUNTIF('I.A. + Fasce'!B$1:'I.A. + Fasce'!B$538,B163)</f>
        <v>1</v>
      </c>
      <c r="B165" s="211" t="s">
        <v>1805</v>
      </c>
      <c r="C165" s="212" t="str">
        <f>VLOOKUP(B165,'IA FG'!$B$2:$G$600,6,FALSE)</f>
        <v>BOL</v>
      </c>
      <c r="D165" s="213">
        <v>7</v>
      </c>
      <c r="E165" s="213">
        <v>4</v>
      </c>
      <c r="F165" s="213">
        <v>6</v>
      </c>
      <c r="G165" s="213">
        <v>5</v>
      </c>
      <c r="H165" s="213">
        <v>5</v>
      </c>
      <c r="I165" s="213">
        <v>4</v>
      </c>
      <c r="J165" s="210">
        <f>$D165*Pesi!$B$16+Pesi!$B$17*$E165+$F165*Pesi!$B$18+$G165*Pesi!$B$19+Pesi!$B$20*$H165+$I165*Pesi!$B$21+Pesi!$B$22*VLOOKUP($C165,TabAlgSqu,2,FALSE)+VLOOKUP($C165,TabAlgFC,2,FALSE)*Pesi!$B$23+Pesi!$B$24*VLOOKUP($C165,TabAlgAll,2,FALSE)</f>
        <v>55.893800000000006</v>
      </c>
      <c r="K165" s="155">
        <f>IF(ISNA(MATCH($B165,Pesi!$B$31:$B$34,0)),VLOOKUP(Pesi!$B$32,TabAlgCen,10,FALSE)-((VLOOKUP(Pesi!$B$32,TabAlgCen,9,FALSE)-$J165)/(VLOOKUP(Pesi!$B$32,TabAlgCen,9,FALSE)-Pesi!$D$42))*VLOOKUP(Pesi!$B$32,TabAlgCen,10,FALSE),Pesi!$F$32*Pesi!$C$28)</f>
        <v>-38.699004693049673</v>
      </c>
      <c r="L165" s="155">
        <f t="shared" si="15"/>
        <v>1</v>
      </c>
      <c r="M165" s="154">
        <f>$D165*Pesi!$D$16+Pesi!$D$17*$E165+$F165*Pesi!$D$18+$G165*Pesi!$D$19+Pesi!$D$20*$H165+$I165*Pesi!$D$21+Pesi!$D$22*VLOOKUP($C165,TabAlgSqu,2,FALSE)+VLOOKUP($C165,TabAlgFC,2,FALSE)*Pesi!$D$23+Pesi!$D$24*VLOOKUP($C165,TabAlgAll,2,FALSE)</f>
        <v>53.543799999999997</v>
      </c>
      <c r="N165" s="155">
        <f>IF(ISNA(MATCH($B165,Pesi!$B$31:$B$34,0)),VLOOKUP(Pesi!$B$32,TabAlgCen,13,FALSE)-((VLOOKUP(Pesi!$B$32,TabAlgCen,12,FALSE)-$M165)/(VLOOKUP(Pesi!$B$32,TabAlgCen,12,FALSE)-Pesi!$F$42))*VLOOKUP(Pesi!$B$32,TabAlgCen,13,FALSE),$K165*$M165/$J165)</f>
        <v>-36.348226120289056</v>
      </c>
      <c r="O165" s="155">
        <f t="shared" si="16"/>
        <v>1</v>
      </c>
      <c r="P165">
        <f t="shared" si="17"/>
        <v>31</v>
      </c>
      <c r="Q165" t="e">
        <f>VLOOKUP(B165,'C.P.'!$A$2:$B$164,2,FALSE)</f>
        <v>#N/A</v>
      </c>
      <c r="R165" t="e">
        <f>VLOOKUP(B165,'C.P.'!$C$2:$D$164,2,FALSE)</f>
        <v>#N/A</v>
      </c>
      <c r="S165" t="e">
        <f>VLOOKUP(B165,'C.P.'!$E$2:$F$164,2,FALSE)</f>
        <v>#N/A</v>
      </c>
      <c r="T165" t="e">
        <f>VLOOKUP(B165,'C.P.'!$G$2:$H$164,2,FALSE)</f>
        <v>#N/A</v>
      </c>
    </row>
    <row r="166" spans="1:21">
      <c r="A166">
        <f ca="1">COUNTIF('I.A. + Fasce'!B$1:'I.A. + Fasce'!B$538,B165)</f>
        <v>1</v>
      </c>
      <c r="B166" s="211" t="s">
        <v>1748</v>
      </c>
      <c r="C166" s="212" t="str">
        <f>VLOOKUP(B166,'IA FG'!$B$2:$G$600,6,FALSE)</f>
        <v>SPA</v>
      </c>
      <c r="D166" s="213">
        <v>8</v>
      </c>
      <c r="E166" s="213">
        <v>7</v>
      </c>
      <c r="F166" s="213">
        <v>7</v>
      </c>
      <c r="G166" s="213">
        <v>6</v>
      </c>
      <c r="H166" s="213">
        <v>4</v>
      </c>
      <c r="I166" s="213">
        <v>6</v>
      </c>
      <c r="J166" s="210">
        <f>$D166*Pesi!$B$16+Pesi!$B$17*$E166+$F166*Pesi!$B$18+$G166*Pesi!$B$19+Pesi!$B$20*$H166+$I166*Pesi!$B$21+Pesi!$B$22*VLOOKUP($C166,TabAlgSqu,2,FALSE)+VLOOKUP($C166,TabAlgFC,2,FALSE)*Pesi!$B$23+Pesi!$B$24*VLOOKUP($C166,TabAlgAll,2,FALSE)</f>
        <v>55.872400000000006</v>
      </c>
      <c r="K166" s="155">
        <f>IF(ISNA(MATCH($B166,Pesi!$B$31:$B$34,0)),VLOOKUP(Pesi!$B$32,TabAlgCen,10,FALSE)-((VLOOKUP(Pesi!$B$32,TabAlgCen,9,FALSE)-$J166)/(VLOOKUP(Pesi!$B$32,TabAlgCen,9,FALSE)-Pesi!$D$42))*VLOOKUP(Pesi!$B$32,TabAlgCen,10,FALSE),Pesi!$F$32*Pesi!$C$28)</f>
        <v>-38.757713537418198</v>
      </c>
      <c r="L166" s="155">
        <f t="shared" si="15"/>
        <v>1</v>
      </c>
      <c r="M166" s="154">
        <f>$D166*Pesi!$D$16+Pesi!$D$17*$E166+$F166*Pesi!$D$18+$G166*Pesi!$D$19+Pesi!$D$20*$H166+$I166*Pesi!$D$21+Pesi!$D$22*VLOOKUP($C166,TabAlgSqu,2,FALSE)+VLOOKUP($C166,TabAlgFC,2,FALSE)*Pesi!$D$23+Pesi!$D$24*VLOOKUP($C166,TabAlgAll,2,FALSE)</f>
        <v>53.122399999999999</v>
      </c>
      <c r="N166" s="155">
        <f>IF(ISNA(MATCH($B166,Pesi!$B$31:$B$34,0)),VLOOKUP(Pesi!$B$32,TabAlgCen,13,FALSE)-((VLOOKUP(Pesi!$B$32,TabAlgCen,12,FALSE)-$M166)/(VLOOKUP(Pesi!$B$32,TabAlgCen,12,FALSE)-Pesi!$F$42))*VLOOKUP(Pesi!$B$32,TabAlgCen,13,FALSE),$K166*$M166/$J166)</f>
        <v>-37.48652240654296</v>
      </c>
      <c r="O166" s="155">
        <f t="shared" si="16"/>
        <v>1</v>
      </c>
      <c r="P166">
        <f t="shared" si="17"/>
        <v>38</v>
      </c>
      <c r="Q166" t="e">
        <f>VLOOKUP(B166,'C.P.'!$A$2:$B$164,2,FALSE)</f>
        <v>#N/A</v>
      </c>
      <c r="R166" t="e">
        <f>VLOOKUP(B166,'C.P.'!$C$2:$D$164,2,FALSE)</f>
        <v>#N/A</v>
      </c>
      <c r="S166" t="e">
        <f>VLOOKUP(B166,'C.P.'!$E$2:$F$164,2,FALSE)</f>
        <v>#N/A</v>
      </c>
      <c r="T166">
        <f>VLOOKUP(B166,'C.P.'!$G$2:$H$164,2,FALSE)</f>
        <v>2</v>
      </c>
      <c r="U166" s="420"/>
    </row>
    <row r="167" spans="1:21">
      <c r="A167">
        <f ca="1">COUNTIF('I.A. + Fasce'!B$1:'I.A. + Fasce'!B$538,B165)</f>
        <v>1</v>
      </c>
      <c r="B167" s="211" t="s">
        <v>561</v>
      </c>
      <c r="C167" s="212" t="str">
        <f>VLOOKUP(B167,'IA FG'!$B$2:$G$600,6,FALSE)</f>
        <v>BOL</v>
      </c>
      <c r="D167" s="213">
        <v>7</v>
      </c>
      <c r="E167" s="213">
        <v>4</v>
      </c>
      <c r="F167" s="213">
        <v>5</v>
      </c>
      <c r="G167" s="213">
        <v>6</v>
      </c>
      <c r="H167" s="213">
        <v>5</v>
      </c>
      <c r="I167" s="213">
        <v>4</v>
      </c>
      <c r="J167" s="210">
        <f>$D167*Pesi!$B$16+Pesi!$B$17*$E167+$F167*Pesi!$B$18+$G167*Pesi!$B$19+Pesi!$B$20*$H167+$I167*Pesi!$B$21+Pesi!$B$22*VLOOKUP($C167,TabAlgSqu,2,FALSE)+VLOOKUP($C167,TabAlgFC,2,FALSE)*Pesi!$B$23+Pesi!$B$24*VLOOKUP($C167,TabAlgAll,2,FALSE)</f>
        <v>55.781299999999995</v>
      </c>
      <c r="K167" s="155">
        <f>IF(ISNA(MATCH($B167,Pesi!$B$31:$B$34,0)),VLOOKUP(Pesi!$B$32,TabAlgCen,10,FALSE)-((VLOOKUP(Pesi!$B$32,TabAlgCen,9,FALSE)-$J167)/(VLOOKUP(Pesi!$B$32,TabAlgCen,9,FALSE)-Pesi!$D$42))*VLOOKUP(Pesi!$B$32,TabAlgCen,10,FALSE),Pesi!$F$32*Pesi!$C$28)</f>
        <v>-39.007637636575822</v>
      </c>
      <c r="L167" s="155">
        <f t="shared" si="15"/>
        <v>1</v>
      </c>
      <c r="M167" s="154">
        <f>$D167*Pesi!$D$16+Pesi!$D$17*$E167+$F167*Pesi!$D$18+$G167*Pesi!$D$19+Pesi!$D$20*$H167+$I167*Pesi!$D$21+Pesi!$D$22*VLOOKUP($C167,TabAlgSqu,2,FALSE)+VLOOKUP($C167,TabAlgFC,2,FALSE)*Pesi!$D$23+Pesi!$D$24*VLOOKUP($C167,TabAlgAll,2,FALSE)</f>
        <v>53.731299999999997</v>
      </c>
      <c r="N167" s="155">
        <f>IF(ISNA(MATCH($B167,Pesi!$B$31:$B$34,0)),VLOOKUP(Pesi!$B$32,TabAlgCen,13,FALSE)-((VLOOKUP(Pesi!$B$32,TabAlgCen,12,FALSE)-$M167)/(VLOOKUP(Pesi!$B$32,TabAlgCen,12,FALSE)-Pesi!$F$42))*VLOOKUP(Pesi!$B$32,TabAlgCen,13,FALSE),$K167*$M167/$J167)</f>
        <v>-35.841746401084947</v>
      </c>
      <c r="O167" s="155">
        <f t="shared" si="16"/>
        <v>1</v>
      </c>
      <c r="P167">
        <f t="shared" si="17"/>
        <v>31</v>
      </c>
      <c r="Q167" t="e">
        <f>VLOOKUP(B167,'C.P.'!$A$2:$B$164,2,FALSE)</f>
        <v>#N/A</v>
      </c>
      <c r="R167" t="e">
        <f>VLOOKUP(B167,'C.P.'!$C$2:$D$164,2,FALSE)</f>
        <v>#N/A</v>
      </c>
      <c r="S167" t="e">
        <f>VLOOKUP(B167,'C.P.'!$E$2:$F$164,2,FALSE)</f>
        <v>#N/A</v>
      </c>
      <c r="T167" t="e">
        <f>VLOOKUP(B167,'C.P.'!$G$2:$H$164,2,FALSE)</f>
        <v>#N/A</v>
      </c>
    </row>
    <row r="168" spans="1:21">
      <c r="B168" s="211" t="s">
        <v>1964</v>
      </c>
      <c r="C168" s="212" t="str">
        <f>VLOOKUP(B168,'IA FG'!$B$2:$G$600,6,FALSE)</f>
        <v>BEN</v>
      </c>
      <c r="D168" s="213">
        <v>7</v>
      </c>
      <c r="E168" s="213">
        <v>7</v>
      </c>
      <c r="F168" s="213">
        <v>6</v>
      </c>
      <c r="G168" s="213">
        <v>6</v>
      </c>
      <c r="H168" s="213">
        <v>6</v>
      </c>
      <c r="I168" s="213">
        <v>6</v>
      </c>
      <c r="J168" s="210">
        <f>$D168*Pesi!$B$16+Pesi!$B$17*$E168+$F168*Pesi!$B$18+$G168*Pesi!$B$19+Pesi!$B$20*$H168+$I168*Pesi!$B$21+Pesi!$B$22*VLOOKUP($C168,TabAlgSqu,2,FALSE)+VLOOKUP($C168,TabAlgFC,2,FALSE)*Pesi!$B$23+Pesi!$B$24*VLOOKUP($C168,TabAlgAll,2,FALSE)</f>
        <v>54.939200000000007</v>
      </c>
      <c r="K168" s="155">
        <f>IF(ISNA(MATCH($B168,Pesi!$B$31:$B$34,0)),VLOOKUP(Pesi!$B$32,TabAlgCen,10,FALSE)-((VLOOKUP(Pesi!$B$32,TabAlgCen,9,FALSE)-$J168)/(VLOOKUP(Pesi!$B$32,TabAlgCen,9,FALSE)-Pesi!$D$42))*VLOOKUP(Pesi!$B$32,TabAlgCen,10,FALSE),Pesi!$F$32*Pesi!$C$28)</f>
        <v>-41.317858096516602</v>
      </c>
      <c r="L168" s="155">
        <f t="shared" si="15"/>
        <v>1</v>
      </c>
      <c r="M168" s="154">
        <f>$D168*Pesi!$D$16+Pesi!$D$17*$E168+$F168*Pesi!$D$18+$G168*Pesi!$D$19+Pesi!$D$20*$H168+$I168*Pesi!$D$21+Pesi!$D$22*VLOOKUP($C168,TabAlgSqu,2,FALSE)+VLOOKUP($C168,TabAlgFC,2,FALSE)*Pesi!$D$23+Pesi!$D$24*VLOOKUP($C168,TabAlgAll,2,FALSE)</f>
        <v>52.539200000000001</v>
      </c>
      <c r="N168" s="155">
        <f>IF(ISNA(MATCH($B168,Pesi!$B$31:$B$34,0)),VLOOKUP(Pesi!$B$32,TabAlgCen,13,FALSE)-((VLOOKUP(Pesi!$B$32,TabAlgCen,12,FALSE)-$M168)/(VLOOKUP(Pesi!$B$32,TabAlgCen,12,FALSE)-Pesi!$F$42))*VLOOKUP(Pesi!$B$32,TabAlgCen,13,FALSE),$K168*$M168/$J168)</f>
        <v>-39.061876925155374</v>
      </c>
      <c r="O168" s="155">
        <f t="shared" si="16"/>
        <v>1</v>
      </c>
      <c r="P168">
        <f t="shared" si="17"/>
        <v>38</v>
      </c>
      <c r="Q168" t="e">
        <f>VLOOKUP(B168,'C.P.'!$A$2:$B$164,2,FALSE)</f>
        <v>#N/A</v>
      </c>
      <c r="R168" t="e">
        <f>VLOOKUP(B168,'C.P.'!$C$2:$D$164,2,FALSE)</f>
        <v>#N/A</v>
      </c>
      <c r="S168" t="e">
        <f>VLOOKUP(B168,'C.P.'!$E$2:$F$164,2,FALSE)</f>
        <v>#N/A</v>
      </c>
      <c r="T168" t="e">
        <f>VLOOKUP(B168,'C.P.'!$G$2:$H$164,2,FALSE)</f>
        <v>#N/A</v>
      </c>
    </row>
    <row r="169" spans="1:21" ht="15" customHeight="1">
      <c r="A169">
        <f ca="1">COUNTIF('I.A. + Fasce'!B$1:'I.A. + Fasce'!B$538,B167)</f>
        <v>0</v>
      </c>
      <c r="B169" s="211" t="s">
        <v>1745</v>
      </c>
      <c r="C169" s="212" t="str">
        <f>VLOOKUP(B169,'IA FG'!$B$2:$G$600,6,FALSE)</f>
        <v>BEN</v>
      </c>
      <c r="D169" s="213">
        <v>8</v>
      </c>
      <c r="E169" s="213">
        <v>7</v>
      </c>
      <c r="F169" s="213">
        <v>6</v>
      </c>
      <c r="G169" s="213">
        <v>6</v>
      </c>
      <c r="H169" s="213">
        <v>5</v>
      </c>
      <c r="I169" s="213">
        <v>6</v>
      </c>
      <c r="J169" s="210">
        <f>$D169*Pesi!$B$16+Pesi!$B$17*$E169+$F169*Pesi!$B$18+$G169*Pesi!$B$19+Pesi!$B$20*$H169+$I169*Pesi!$B$21+Pesi!$B$22*VLOOKUP($C169,TabAlgSqu,2,FALSE)+VLOOKUP($C169,TabAlgFC,2,FALSE)*Pesi!$B$23+Pesi!$B$24*VLOOKUP($C169,TabAlgAll,2,FALSE)</f>
        <v>54.9392</v>
      </c>
      <c r="K169" s="155">
        <f>IF(ISNA(MATCH($B169,Pesi!$B$31:$B$34,0)),VLOOKUP(Pesi!$B$32,TabAlgCen,10,FALSE)-((VLOOKUP(Pesi!$B$32,TabAlgCen,9,FALSE)-$J169)/(VLOOKUP(Pesi!$B$32,TabAlgCen,9,FALSE)-Pesi!$D$42))*VLOOKUP(Pesi!$B$32,TabAlgCen,10,FALSE),Pesi!$F$32*Pesi!$C$28)</f>
        <v>-41.317858096516616</v>
      </c>
      <c r="L169" s="155">
        <f t="shared" si="15"/>
        <v>1</v>
      </c>
      <c r="M169" s="154">
        <f>$D169*Pesi!$D$16+Pesi!$D$17*$E169+$F169*Pesi!$D$18+$G169*Pesi!$D$19+Pesi!$D$20*$H169+$I169*Pesi!$D$21+Pesi!$D$22*VLOOKUP($C169,TabAlgSqu,2,FALSE)+VLOOKUP($C169,TabAlgFC,2,FALSE)*Pesi!$D$23+Pesi!$D$24*VLOOKUP($C169,TabAlgAll,2,FALSE)</f>
        <v>52.539200000000001</v>
      </c>
      <c r="N169" s="155">
        <f>IF(ISNA(MATCH($B169,Pesi!$B$31:$B$34,0)),VLOOKUP(Pesi!$B$32,TabAlgCen,13,FALSE)-((VLOOKUP(Pesi!$B$32,TabAlgCen,12,FALSE)-$M169)/(VLOOKUP(Pesi!$B$32,TabAlgCen,12,FALSE)-Pesi!$F$42))*VLOOKUP(Pesi!$B$32,TabAlgCen,13,FALSE),$K169*$M169/$J169)</f>
        <v>-39.061876925155374</v>
      </c>
      <c r="O169" s="155">
        <f t="shared" si="16"/>
        <v>1</v>
      </c>
      <c r="P169">
        <f t="shared" si="17"/>
        <v>38</v>
      </c>
      <c r="Q169">
        <f>VLOOKUP(B169,'C.P.'!$A$2:$B$164,2,FALSE)</f>
        <v>-1</v>
      </c>
      <c r="R169" t="e">
        <f>VLOOKUP(B169,'C.P.'!$C$2:$D$164,2,FALSE)</f>
        <v>#N/A</v>
      </c>
      <c r="S169" t="e">
        <f>VLOOKUP(B169,'C.P.'!$E$2:$F$164,2,FALSE)</f>
        <v>#N/A</v>
      </c>
      <c r="T169" t="e">
        <f>VLOOKUP(B169,'C.P.'!$G$2:$H$164,2,FALSE)</f>
        <v>#N/A</v>
      </c>
    </row>
    <row r="170" spans="1:21" ht="15" customHeight="1">
      <c r="A170">
        <f ca="1">COUNTIF('I.A. + Fasce'!B$1:'I.A. + Fasce'!B$538,B168)</f>
        <v>1</v>
      </c>
      <c r="B170" s="211" t="s">
        <v>1771</v>
      </c>
      <c r="C170" s="212" t="str">
        <f>VLOOKUP(B170,'IA FG'!$B$2:$G$600,6,FALSE)</f>
        <v>CRO</v>
      </c>
      <c r="D170" s="213">
        <v>6</v>
      </c>
      <c r="E170" s="213">
        <v>4</v>
      </c>
      <c r="F170" s="213">
        <v>6</v>
      </c>
      <c r="G170" s="213">
        <v>5</v>
      </c>
      <c r="H170" s="213">
        <v>6</v>
      </c>
      <c r="I170" s="213">
        <v>4</v>
      </c>
      <c r="J170" s="210">
        <f>$D170*Pesi!$B$16+Pesi!$B$17*$E170+$F170*Pesi!$B$18+$G170*Pesi!$B$19+Pesi!$B$20*$H170+$I170*Pesi!$B$21+Pesi!$B$22*VLOOKUP($C170,TabAlgSqu,2,FALSE)+VLOOKUP($C170,TabAlgFC,2,FALSE)*Pesi!$B$23+Pesi!$B$24*VLOOKUP($C170,TabAlgAll,2,FALSE)</f>
        <v>54.631799999999998</v>
      </c>
      <c r="K170" s="155">
        <f>IF(ISNA(MATCH($B170,Pesi!$B$31:$B$34,0)),VLOOKUP(Pesi!$B$32,TabAlgCen,10,FALSE)-((VLOOKUP(Pesi!$B$32,TabAlgCen,9,FALSE)-$J170)/(VLOOKUP(Pesi!$B$32,TabAlgCen,9,FALSE)-Pesi!$D$42))*VLOOKUP(Pesi!$B$32,TabAlgCen,10,FALSE),Pesi!$F$32*Pesi!$C$28)</f>
        <v>-42.161180468427091</v>
      </c>
      <c r="L170" s="155">
        <f t="shared" si="15"/>
        <v>1</v>
      </c>
      <c r="M170" s="154">
        <f>$D170*Pesi!$D$16+Pesi!$D$17*$E170+$F170*Pesi!$D$18+$G170*Pesi!$D$19+Pesi!$D$20*$H170+$I170*Pesi!$D$21+Pesi!$D$22*VLOOKUP($C170,TabAlgSqu,2,FALSE)+VLOOKUP($C170,TabAlgFC,2,FALSE)*Pesi!$D$23+Pesi!$D$24*VLOOKUP($C170,TabAlgAll,2,FALSE)</f>
        <v>52.281799999999997</v>
      </c>
      <c r="N170" s="155">
        <f>IF(ISNA(MATCH($B170,Pesi!$B$31:$B$34,0)),VLOOKUP(Pesi!$B$32,TabAlgCen,13,FALSE)-((VLOOKUP(Pesi!$B$32,TabAlgCen,12,FALSE)-$M170)/(VLOOKUP(Pesi!$B$32,TabAlgCen,12,FALSE)-Pesi!$F$42))*VLOOKUP(Pesi!$B$32,TabAlgCen,13,FALSE),$K170*$M170/$J170)</f>
        <v>-39.757172283678784</v>
      </c>
      <c r="O170" s="155">
        <f t="shared" si="16"/>
        <v>1</v>
      </c>
      <c r="P170">
        <f t="shared" si="17"/>
        <v>31</v>
      </c>
      <c r="Q170" t="e">
        <f>VLOOKUP(B170,'C.P.'!$A$2:$B$164,2,FALSE)</f>
        <v>#N/A</v>
      </c>
      <c r="R170" t="e">
        <f>VLOOKUP(B170,'C.P.'!$C$2:$D$164,2,FALSE)</f>
        <v>#N/A</v>
      </c>
      <c r="S170" t="e">
        <f>VLOOKUP(B170,'C.P.'!$E$2:$F$164,2,FALSE)</f>
        <v>#N/A</v>
      </c>
      <c r="T170" t="e">
        <f>VLOOKUP(B170,'C.P.'!$G$2:$H$164,2,FALSE)</f>
        <v>#N/A</v>
      </c>
    </row>
    <row r="171" spans="1:21" ht="15" customHeight="1">
      <c r="B171" s="211" t="s">
        <v>1857</v>
      </c>
      <c r="C171" s="212" t="str">
        <f>VLOOKUP(B171,'IA FG'!$B$2:$G$600,6,FALSE)</f>
        <v>SPA</v>
      </c>
      <c r="D171" s="213">
        <v>8</v>
      </c>
      <c r="E171" s="213">
        <v>7</v>
      </c>
      <c r="F171" s="213">
        <v>7</v>
      </c>
      <c r="G171" s="213">
        <v>5</v>
      </c>
      <c r="H171" s="213">
        <v>4</v>
      </c>
      <c r="I171" s="213">
        <v>6</v>
      </c>
      <c r="J171" s="210">
        <f>$D171*Pesi!$B$16+Pesi!$B$17*$E171+$F171*Pesi!$B$18+$G171*Pesi!$B$19+Pesi!$B$20*$H171+$I171*Pesi!$B$21+Pesi!$B$22*VLOOKUP($C171,TabAlgSqu,2,FALSE)+VLOOKUP($C171,TabAlgFC,2,FALSE)*Pesi!$B$23+Pesi!$B$24*VLOOKUP($C171,TabAlgAll,2,FALSE)</f>
        <v>54.384900000000002</v>
      </c>
      <c r="K171" s="155">
        <f>IF(ISNA(MATCH($B171,Pesi!$B$31:$B$34,0)),VLOOKUP(Pesi!$B$32,TabAlgCen,10,FALSE)-((VLOOKUP(Pesi!$B$32,TabAlgCen,9,FALSE)-$J171)/(VLOOKUP(Pesi!$B$32,TabAlgCen,9,FALSE)-Pesi!$D$42))*VLOOKUP(Pesi!$B$32,TabAlgCen,10,FALSE),Pesi!$F$32*Pesi!$C$28)</f>
        <v>-42.83852690181908</v>
      </c>
      <c r="L171" s="155">
        <f t="shared" si="15"/>
        <v>1</v>
      </c>
      <c r="M171" s="154">
        <f>$D171*Pesi!$D$16+Pesi!$D$17*$E171+$F171*Pesi!$D$18+$G171*Pesi!$D$19+Pesi!$D$20*$H171+$I171*Pesi!$D$21+Pesi!$D$22*VLOOKUP($C171,TabAlgSqu,2,FALSE)+VLOOKUP($C171,TabAlgFC,2,FALSE)*Pesi!$D$23+Pesi!$D$24*VLOOKUP($C171,TabAlgAll,2,FALSE)</f>
        <v>51.684899999999999</v>
      </c>
      <c r="N171" s="155">
        <f>IF(ISNA(MATCH($B171,Pesi!$B$31:$B$34,0)),VLOOKUP(Pesi!$B$32,TabAlgCen,13,FALSE)-((VLOOKUP(Pesi!$B$32,TabAlgCen,12,FALSE)-$M171)/(VLOOKUP(Pesi!$B$32,TabAlgCen,12,FALSE)-Pesi!$F$42))*VLOOKUP(Pesi!$B$32,TabAlgCen,13,FALSE),$K171*$M171/$J171)</f>
        <v>-41.369533587107725</v>
      </c>
      <c r="O171" s="155">
        <f t="shared" si="16"/>
        <v>1</v>
      </c>
      <c r="P171">
        <f t="shared" si="17"/>
        <v>37</v>
      </c>
      <c r="Q171" t="e">
        <f>VLOOKUP(B171,'C.P.'!$A$2:$B$164,2,FALSE)</f>
        <v>#N/A</v>
      </c>
      <c r="R171" t="e">
        <f>VLOOKUP(B171,'C.P.'!$C$2:$D$164,2,FALSE)</f>
        <v>#N/A</v>
      </c>
      <c r="S171" t="e">
        <f>VLOOKUP(B171,'C.P.'!$E$2:$F$164,2,FALSE)</f>
        <v>#N/A</v>
      </c>
      <c r="T171" t="e">
        <f>VLOOKUP(B171,'C.P.'!$G$2:$H$164,2,FALSE)</f>
        <v>#N/A</v>
      </c>
      <c r="U171" s="420"/>
    </row>
    <row r="172" spans="1:21" ht="15" customHeight="1">
      <c r="B172" s="211" t="s">
        <v>1772</v>
      </c>
      <c r="C172" s="212" t="str">
        <f>VLOOKUP(B172,'IA FG'!$B$2:$G$600,6,FALSE)</f>
        <v>SAS</v>
      </c>
      <c r="D172" s="213">
        <v>8</v>
      </c>
      <c r="E172" s="213">
        <v>4</v>
      </c>
      <c r="F172" s="213">
        <v>5</v>
      </c>
      <c r="G172" s="213">
        <v>5</v>
      </c>
      <c r="H172" s="213">
        <v>4</v>
      </c>
      <c r="I172" s="213">
        <v>3</v>
      </c>
      <c r="J172" s="210">
        <f>$D172*Pesi!$B$16+Pesi!$B$17*$E172+$F172*Pesi!$B$18+$G172*Pesi!$B$19+Pesi!$B$20*$H172+$I172*Pesi!$B$21+Pesi!$B$22*VLOOKUP($C172,TabAlgSqu,2,FALSE)+VLOOKUP($C172,TabAlgFC,2,FALSE)*Pesi!$B$23+Pesi!$B$24*VLOOKUP($C172,TabAlgAll,2,FALSE)</f>
        <v>54.191999999999986</v>
      </c>
      <c r="K172" s="155">
        <f>IF(ISNA(MATCH($B172,Pesi!$B$31:$B$34,0)),VLOOKUP(Pesi!$B$32,TabAlgCen,10,FALSE)-((VLOOKUP(Pesi!$B$32,TabAlgCen,9,FALSE)-$J172)/(VLOOKUP(Pesi!$B$32,TabAlgCen,9,FALSE)-Pesi!$D$42))*VLOOKUP(Pesi!$B$32,TabAlgCen,10,FALSE),Pesi!$F$32*Pesi!$C$28)</f>
        <v>-43.367729522318555</v>
      </c>
      <c r="L172" s="155">
        <f t="shared" si="15"/>
        <v>1</v>
      </c>
      <c r="M172" s="154">
        <f>$D172*Pesi!$D$16+Pesi!$D$17*$E172+$F172*Pesi!$D$18+$G172*Pesi!$D$19+Pesi!$D$20*$H172+$I172*Pesi!$D$21+Pesi!$D$22*VLOOKUP($C172,TabAlgSqu,2,FALSE)+VLOOKUP($C172,TabAlgFC,2,FALSE)*Pesi!$D$23+Pesi!$D$24*VLOOKUP($C172,TabAlgAll,2,FALSE)</f>
        <v>52.191999999999986</v>
      </c>
      <c r="N172" s="155">
        <f>IF(ISNA(MATCH($B172,Pesi!$B$31:$B$34,0)),VLOOKUP(Pesi!$B$32,TabAlgCen,13,FALSE)-((VLOOKUP(Pesi!$B$32,TabAlgCen,12,FALSE)-$M172)/(VLOOKUP(Pesi!$B$32,TabAlgCen,12,FALSE)-Pesi!$F$42))*VLOOKUP(Pesi!$B$32,TabAlgCen,13,FALSE),$K172*$M172/$J172)</f>
        <v>-39.999742303862945</v>
      </c>
      <c r="O172" s="155">
        <f t="shared" si="16"/>
        <v>1</v>
      </c>
      <c r="P172">
        <f t="shared" si="17"/>
        <v>29</v>
      </c>
      <c r="Q172" t="e">
        <f>VLOOKUP(B172,'C.P.'!$A$2:$B$164,2,FALSE)</f>
        <v>#N/A</v>
      </c>
      <c r="R172" t="e">
        <f>VLOOKUP(B172,'C.P.'!$C$2:$D$164,2,FALSE)</f>
        <v>#N/A</v>
      </c>
      <c r="S172" t="e">
        <f>VLOOKUP(B172,'C.P.'!$E$2:$F$164,2,FALSE)</f>
        <v>#N/A</v>
      </c>
      <c r="T172" t="e">
        <f>VLOOKUP(B172,'C.P.'!$G$2:$H$164,2,FALSE)</f>
        <v>#N/A</v>
      </c>
      <c r="U172" s="420"/>
    </row>
    <row r="173" spans="1:21" ht="15" customHeight="1">
      <c r="B173" s="211" t="s">
        <v>1860</v>
      </c>
      <c r="C173" s="212" t="str">
        <f>VLOOKUP(B173,'IA FG'!$B$2:$G$600,6,FALSE)</f>
        <v>VER</v>
      </c>
      <c r="D173" s="213">
        <v>4</v>
      </c>
      <c r="E173" s="213">
        <v>6</v>
      </c>
      <c r="F173" s="213">
        <v>6</v>
      </c>
      <c r="G173" s="213">
        <v>5</v>
      </c>
      <c r="H173" s="213">
        <v>5</v>
      </c>
      <c r="I173" s="213">
        <v>4</v>
      </c>
      <c r="J173" s="210">
        <f>$D173*Pesi!$B$16+Pesi!$B$17*$E173+$F173*Pesi!$B$18+$G173*Pesi!$B$19+Pesi!$B$20*$H173+$I173*Pesi!$B$21+Pesi!$B$22*VLOOKUP($C173,TabAlgSqu,2,FALSE)+VLOOKUP($C173,TabAlgFC,2,FALSE)*Pesi!$B$23+Pesi!$B$24*VLOOKUP($C173,TabAlgAll,2,FALSE)</f>
        <v>53.456900000000005</v>
      </c>
      <c r="K173" s="155">
        <f>IF(ISNA(MATCH($B173,Pesi!$B$31:$B$34,0)),VLOOKUP(Pesi!$B$32,TabAlgCen,10,FALSE)-((VLOOKUP(Pesi!$B$32,TabAlgCen,9,FALSE)-$J173)/(VLOOKUP(Pesi!$B$32,TabAlgCen,9,FALSE)-Pesi!$D$42))*VLOOKUP(Pesi!$B$32,TabAlgCen,10,FALSE),Pesi!$F$32*Pesi!$C$28)</f>
        <v>-45.384405760416712</v>
      </c>
      <c r="L173" s="155">
        <f t="shared" si="15"/>
        <v>1</v>
      </c>
      <c r="M173" s="154">
        <f>$D173*Pesi!$D$16+Pesi!$D$17*$E173+$F173*Pesi!$D$18+$G173*Pesi!$D$19+Pesi!$D$20*$H173+$I173*Pesi!$D$21+Pesi!$D$22*VLOOKUP($C173,TabAlgSqu,2,FALSE)+VLOOKUP($C173,TabAlgFC,2,FALSE)*Pesi!$D$23+Pesi!$D$24*VLOOKUP($C173,TabAlgAll,2,FALSE)</f>
        <v>51.106899999999996</v>
      </c>
      <c r="N173" s="155">
        <f>IF(ISNA(MATCH($B173,Pesi!$B$31:$B$34,0)),VLOOKUP(Pesi!$B$32,TabAlgCen,13,FALSE)-((VLOOKUP(Pesi!$B$32,TabAlgCen,12,FALSE)-$M173)/(VLOOKUP(Pesi!$B$32,TabAlgCen,12,FALSE)-Pesi!$F$42))*VLOOKUP(Pesi!$B$32,TabAlgCen,13,FALSE),$K173*$M173/$J173)</f>
        <v>-42.930841734840897</v>
      </c>
      <c r="O173" s="155">
        <f t="shared" si="16"/>
        <v>1</v>
      </c>
      <c r="P173">
        <f t="shared" si="17"/>
        <v>30</v>
      </c>
      <c r="Q173" t="e">
        <f>VLOOKUP(B173,'C.P.'!$A$2:$B$164,2,FALSE)</f>
        <v>#N/A</v>
      </c>
      <c r="R173" t="e">
        <f>VLOOKUP(B173,'C.P.'!$C$2:$D$164,2,FALSE)</f>
        <v>#N/A</v>
      </c>
      <c r="S173" t="e">
        <f>VLOOKUP(B173,'C.P.'!$E$2:$F$164,2,FALSE)</f>
        <v>#N/A</v>
      </c>
      <c r="T173" t="e">
        <f>VLOOKUP(B173,'C.P.'!$G$2:$H$164,2,FALSE)</f>
        <v>#N/A</v>
      </c>
    </row>
    <row r="174" spans="1:21" ht="15" customHeight="1">
      <c r="B174" s="211" t="s">
        <v>1761</v>
      </c>
      <c r="C174" s="212" t="str">
        <f>VLOOKUP(B174,'IA FG'!$B$2:$G$600,6,FALSE)</f>
        <v>BEN</v>
      </c>
      <c r="D174" s="213">
        <v>6</v>
      </c>
      <c r="E174" s="213">
        <v>4</v>
      </c>
      <c r="F174" s="213">
        <v>5</v>
      </c>
      <c r="G174" s="213">
        <v>5</v>
      </c>
      <c r="H174" s="213">
        <v>6</v>
      </c>
      <c r="I174" s="213">
        <v>5</v>
      </c>
      <c r="J174" s="210">
        <f>$D174*Pesi!$B$16+Pesi!$B$17*$E174+$F174*Pesi!$B$18+$G174*Pesi!$B$19+Pesi!$B$20*$H174+$I174*Pesi!$B$21+Pesi!$B$22*VLOOKUP($C174,TabAlgSqu,2,FALSE)+VLOOKUP($C174,TabAlgFC,2,FALSE)*Pesi!$B$23+Pesi!$B$24*VLOOKUP($C174,TabAlgAll,2,FALSE)</f>
        <v>45.547599999999996</v>
      </c>
      <c r="K174" s="155">
        <f>IF(ISNA(MATCH($B174,Pesi!$B$31:$B$34,0)),VLOOKUP(Pesi!$B$32,TabAlgCen,10,FALSE)-((VLOOKUP(Pesi!$B$32,TabAlgCen,9,FALSE)-$J174)/(VLOOKUP(Pesi!$B$32,TabAlgCen,9,FALSE)-Pesi!$D$42))*VLOOKUP(Pesi!$B$32,TabAlgCen,10,FALSE),Pesi!$F$32*Pesi!$C$28)</f>
        <v>-67.082810562470996</v>
      </c>
      <c r="L174" s="155">
        <f t="shared" si="15"/>
        <v>1</v>
      </c>
      <c r="M174" s="154">
        <f>$D174*Pesi!$D$16+Pesi!$D$17*$E174+$F174*Pesi!$D$18+$G174*Pesi!$D$19+Pesi!$D$20*$H174+$I174*Pesi!$D$21+Pesi!$D$22*VLOOKUP($C174,TabAlgSqu,2,FALSE)+VLOOKUP($C174,TabAlgFC,2,FALSE)*Pesi!$D$23+Pesi!$D$24*VLOOKUP($C174,TabAlgAll,2,FALSE)</f>
        <v>43.547599999999996</v>
      </c>
      <c r="N174" s="155">
        <f>IF(ISNA(MATCH($B174,Pesi!$B$31:$B$34,0)),VLOOKUP(Pesi!$B$32,TabAlgCen,13,FALSE)-((VLOOKUP(Pesi!$B$32,TabAlgCen,12,FALSE)-$M174)/(VLOOKUP(Pesi!$B$32,TabAlgCen,12,FALSE)-Pesi!$F$42))*VLOOKUP(Pesi!$B$32,TabAlgCen,13,FALSE),$K174*$M174/$J174)</f>
        <v>-63.350213155531804</v>
      </c>
      <c r="O174" s="155">
        <f t="shared" si="16"/>
        <v>1</v>
      </c>
      <c r="P174">
        <f t="shared" si="17"/>
        <v>31</v>
      </c>
      <c r="Q174" t="e">
        <f>VLOOKUP(B174,'C.P.'!$A$2:$B$164,2,FALSE)</f>
        <v>#N/A</v>
      </c>
      <c r="R174" t="e">
        <f>VLOOKUP(B174,'C.P.'!$C$2:$D$164,2,FALSE)</f>
        <v>#N/A</v>
      </c>
      <c r="S174" t="e">
        <f>VLOOKUP(B174,'C.P.'!$E$2:$F$164,2,FALSE)</f>
        <v>#N/A</v>
      </c>
      <c r="T174" t="e">
        <f>VLOOKUP(B174,'C.P.'!$G$2:$H$164,2,FALSE)</f>
        <v>#N/A</v>
      </c>
    </row>
    <row r="175" spans="1:21" ht="15" customHeight="1">
      <c r="A175">
        <f ca="1">COUNTIF('I.A. + Fasce'!B$1:'I.A. + Fasce'!B$538,B173)</f>
        <v>1</v>
      </c>
      <c r="B175" s="211" t="s">
        <v>1770</v>
      </c>
      <c r="C175" s="212" t="str">
        <f>VLOOKUP(B175,'IA FG'!$B$2:$G$600,6,FALSE)</f>
        <v>BEN</v>
      </c>
      <c r="D175" s="213">
        <v>7</v>
      </c>
      <c r="E175" s="213">
        <v>4</v>
      </c>
      <c r="F175" s="213">
        <v>5</v>
      </c>
      <c r="G175" s="213">
        <v>5</v>
      </c>
      <c r="H175" s="213">
        <v>5</v>
      </c>
      <c r="I175" s="213">
        <v>4</v>
      </c>
      <c r="J175" s="210">
        <f>$D175*Pesi!$B$16+Pesi!$B$17*$E175+$F175*Pesi!$B$18+$G175*Pesi!$B$19+Pesi!$B$20*$H175+$I175*Pesi!$B$21+Pesi!$B$22*VLOOKUP($C175,TabAlgSqu,2,FALSE)+VLOOKUP($C175,TabAlgFC,2,FALSE)*Pesi!$B$23+Pesi!$B$24*VLOOKUP($C175,TabAlgAll,2,FALSE)</f>
        <v>44.214299999999994</v>
      </c>
      <c r="K175" s="155">
        <f>IF(ISNA(MATCH($B175,Pesi!$B$31:$B$34,0)),VLOOKUP(Pesi!$B$32,TabAlgCen,10,FALSE)-((VLOOKUP(Pesi!$B$32,TabAlgCen,9,FALSE)-$J175)/(VLOOKUP(Pesi!$B$32,TabAlgCen,9,FALSE)-Pesi!$D$42))*VLOOKUP(Pesi!$B$32,TabAlgCen,10,FALSE),Pesi!$F$32*Pesi!$C$28)</f>
        <v>-70.740591038945411</v>
      </c>
      <c r="L175" s="155">
        <f t="shared" si="15"/>
        <v>1</v>
      </c>
      <c r="M175" s="154">
        <f>$D175*Pesi!$D$16+Pesi!$D$17*$E175+$F175*Pesi!$D$18+$G175*Pesi!$D$19+Pesi!$D$20*$H175+$I175*Pesi!$D$21+Pesi!$D$22*VLOOKUP($C175,TabAlgSqu,2,FALSE)+VLOOKUP($C175,TabAlgFC,2,FALSE)*Pesi!$D$23+Pesi!$D$24*VLOOKUP($C175,TabAlgAll,2,FALSE)</f>
        <v>42.214299999999994</v>
      </c>
      <c r="N175" s="155">
        <f>IF(ISNA(MATCH($B175,Pesi!$B$31:$B$34,0)),VLOOKUP(Pesi!$B$32,TabAlgCen,13,FALSE)-((VLOOKUP(Pesi!$B$32,TabAlgCen,12,FALSE)-$M175)/(VLOOKUP(Pesi!$B$32,TabAlgCen,12,FALSE)-Pesi!$F$42))*VLOOKUP(Pesi!$B$32,TabAlgCen,13,FALSE),$K175*$M175/$J175)</f>
        <v>-66.951756673477547</v>
      </c>
      <c r="O175" s="155">
        <f t="shared" si="16"/>
        <v>1</v>
      </c>
      <c r="P175">
        <f t="shared" si="17"/>
        <v>30</v>
      </c>
      <c r="Q175" t="e">
        <f>VLOOKUP(B175,'C.P.'!$A$2:$B$164,2,FALSE)</f>
        <v>#N/A</v>
      </c>
      <c r="R175" t="e">
        <f>VLOOKUP(B175,'C.P.'!$C$2:$D$164,2,FALSE)</f>
        <v>#N/A</v>
      </c>
      <c r="S175" t="e">
        <f>VLOOKUP(B175,'C.P.'!$E$2:$F$164,2,FALSE)</f>
        <v>#N/A</v>
      </c>
      <c r="T175" t="e">
        <f>VLOOKUP(B175,'C.P.'!$G$2:$H$164,2,FALSE)</f>
        <v>#N/A</v>
      </c>
    </row>
    <row r="176" spans="1:21">
      <c r="B176" s="211" t="s">
        <v>596</v>
      </c>
      <c r="C176" s="212" t="str">
        <f>VLOOKUP(B176,'IA FG'!$B$2:$G$600,6,FALSE)</f>
        <v>SPA</v>
      </c>
      <c r="D176" s="213">
        <v>5</v>
      </c>
      <c r="E176" s="213">
        <v>6</v>
      </c>
      <c r="F176" s="213">
        <v>4</v>
      </c>
      <c r="G176" s="213">
        <v>4</v>
      </c>
      <c r="H176" s="213">
        <v>6</v>
      </c>
      <c r="I176" s="213">
        <v>3</v>
      </c>
      <c r="J176" s="210">
        <f>$D176*Pesi!$B$16+Pesi!$B$17*$E176+$F176*Pesi!$B$18+$G176*Pesi!$B$19+Pesi!$B$20*$H176+$I176*Pesi!$B$21+Pesi!$B$22*VLOOKUP($C176,TabAlgSqu,2,FALSE)+VLOOKUP($C176,TabAlgFC,2,FALSE)*Pesi!$B$23+Pesi!$B$24*VLOOKUP($C176,TabAlgAll,2,FALSE)</f>
        <v>41.55169999999999</v>
      </c>
      <c r="K176" s="155">
        <f>IF(ISNA(MATCH($B176,Pesi!$B$31:$B$34,0)),VLOOKUP(Pesi!$B$32,TabAlgCen,10,FALSE)-((VLOOKUP(Pesi!$B$32,TabAlgCen,9,FALSE)-$J176)/(VLOOKUP(Pesi!$B$32,TabAlgCen,9,FALSE)-Pesi!$D$42))*VLOOKUP(Pesi!$B$32,TabAlgCen,10,FALSE),Pesi!$F$32*Pesi!$C$28)</f>
        <v>-78.045178376124397</v>
      </c>
      <c r="L176" s="155">
        <f t="shared" si="15"/>
        <v>1</v>
      </c>
      <c r="M176" s="154">
        <f>$D176*Pesi!$D$16+Pesi!$D$17*$E176+$F176*Pesi!$D$18+$G176*Pesi!$D$19+Pesi!$D$20*$H176+$I176*Pesi!$D$21+Pesi!$D$22*VLOOKUP($C176,TabAlgSqu,2,FALSE)+VLOOKUP($C176,TabAlgFC,2,FALSE)*Pesi!$D$23+Pesi!$D$24*VLOOKUP($C176,TabAlgAll,2,FALSE)</f>
        <v>39.951699999999995</v>
      </c>
      <c r="N176" s="155">
        <f>IF(ISNA(MATCH($B176,Pesi!$B$31:$B$34,0)),VLOOKUP(Pesi!$B$32,TabAlgCen,13,FALSE)-((VLOOKUP(Pesi!$B$32,TabAlgCen,12,FALSE)-$M176)/(VLOOKUP(Pesi!$B$32,TabAlgCen,12,FALSE)-Pesi!$F$42))*VLOOKUP(Pesi!$B$32,TabAlgCen,13,FALSE),$K176*$M176/$J176)</f>
        <v>-73.063548741057247</v>
      </c>
      <c r="O176" s="155">
        <f t="shared" si="16"/>
        <v>1</v>
      </c>
      <c r="P176">
        <f t="shared" si="17"/>
        <v>28</v>
      </c>
      <c r="Q176">
        <f>VLOOKUP(B176,'C.P.'!$A$2:$B$164,2,FALSE)</f>
        <v>-1</v>
      </c>
      <c r="R176" t="e">
        <f>VLOOKUP(B176,'C.P.'!$C$2:$D$164,2,FALSE)</f>
        <v>#N/A</v>
      </c>
      <c r="S176" t="e">
        <f>VLOOKUP(B176,'C.P.'!$E$2:$F$164,2,FALSE)</f>
        <v>#N/A</v>
      </c>
      <c r="T176" t="e">
        <f>VLOOKUP(B176,'C.P.'!$G$2:$H$164,2,FALSE)</f>
        <v>#N/A</v>
      </c>
    </row>
    <row r="177" spans="1:21">
      <c r="A177">
        <f ca="1">COUNTIF('I.A. + Fasce'!B$1:'I.A. + Fasce'!B$538,B175)</f>
        <v>1</v>
      </c>
      <c r="B177" s="211" t="s">
        <v>479</v>
      </c>
      <c r="C177" s="212" t="str">
        <f>VLOOKUP(B177,'IA FG'!$B$2:$G$600,6,FALSE)</f>
        <v>SPA</v>
      </c>
      <c r="D177" s="213">
        <v>5</v>
      </c>
      <c r="E177" s="213">
        <v>5</v>
      </c>
      <c r="F177" s="213">
        <v>5</v>
      </c>
      <c r="G177" s="213">
        <v>4</v>
      </c>
      <c r="H177" s="213">
        <v>5</v>
      </c>
      <c r="I177" s="213">
        <v>3</v>
      </c>
      <c r="J177" s="210">
        <f>$D177*Pesi!$B$16+Pesi!$B$17*$E177+$F177*Pesi!$B$18+$G177*Pesi!$B$19+Pesi!$B$20*$H177+$I177*Pesi!$B$21+Pesi!$B$22*VLOOKUP($C177,TabAlgSqu,2,FALSE)+VLOOKUP($C177,TabAlgFC,2,FALSE)*Pesi!$B$23+Pesi!$B$24*VLOOKUP($C177,TabAlgAll,2,FALSE)</f>
        <v>40.605899999999998</v>
      </c>
      <c r="K177" s="155">
        <f>IF(ISNA(MATCH($B177,Pesi!$B$31:$B$34,0)),VLOOKUP(Pesi!$B$32,TabAlgCen,10,FALSE)-((VLOOKUP(Pesi!$B$32,TabAlgCen,9,FALSE)-$J177)/(VLOOKUP(Pesi!$B$32,TabAlgCen,9,FALSE)-Pesi!$D$42))*VLOOKUP(Pesi!$B$32,TabAlgCen,10,FALSE),Pesi!$F$32*Pesi!$C$28)</f>
        <v>-80.639889824897693</v>
      </c>
      <c r="L177" s="155">
        <f t="shared" si="15"/>
        <v>1</v>
      </c>
      <c r="M177" s="154">
        <f>$D177*Pesi!$D$16+Pesi!$D$17*$E177+$F177*Pesi!$D$18+$G177*Pesi!$D$19+Pesi!$D$20*$H177+$I177*Pesi!$D$21+Pesi!$D$22*VLOOKUP($C177,TabAlgSqu,2,FALSE)+VLOOKUP($C177,TabAlgFC,2,FALSE)*Pesi!$D$23+Pesi!$D$24*VLOOKUP($C177,TabAlgAll,2,FALSE)</f>
        <v>38.655899999999995</v>
      </c>
      <c r="N177" s="155">
        <f>IF(ISNA(MATCH($B177,Pesi!$B$31:$B$34,0)),VLOOKUP(Pesi!$B$32,TabAlgCen,13,FALSE)-((VLOOKUP(Pesi!$B$32,TabAlgCen,12,FALSE)-$M177)/(VLOOKUP(Pesi!$B$32,TabAlgCen,12,FALSE)-Pesi!$F$42))*VLOOKUP(Pesi!$B$32,TabAlgCen,13,FALSE),$K177*$M177/$J177)</f>
        <v>-76.563796315162136</v>
      </c>
      <c r="O177" s="155">
        <f t="shared" si="16"/>
        <v>1</v>
      </c>
      <c r="P177">
        <f t="shared" si="17"/>
        <v>27</v>
      </c>
      <c r="Q177" t="e">
        <f>VLOOKUP(B177,'C.P.'!$A$2:$B$164,2,FALSE)</f>
        <v>#N/A</v>
      </c>
      <c r="R177" t="e">
        <f>VLOOKUP(B177,'C.P.'!$C$2:$D$164,2,FALSE)</f>
        <v>#N/A</v>
      </c>
      <c r="S177" t="e">
        <f>VLOOKUP(B177,'C.P.'!$E$2:$F$164,2,FALSE)</f>
        <v>#N/A</v>
      </c>
      <c r="T177" t="e">
        <f>VLOOKUP(B177,'C.P.'!$G$2:$H$164,2,FALSE)</f>
        <v>#N/A</v>
      </c>
    </row>
    <row r="178" spans="1:21">
      <c r="A178">
        <f ca="1">COUNTIF('I.A. + Fasce'!B$1:'I.A. + Fasce'!B$538,B176)</f>
        <v>1</v>
      </c>
      <c r="B178" s="211" t="s">
        <v>1776</v>
      </c>
      <c r="C178" s="212" t="str">
        <f>VLOOKUP(B178,'IA FG'!$B$2:$G$600,6,FALSE)</f>
        <v>SPA</v>
      </c>
      <c r="D178" s="213">
        <v>6</v>
      </c>
      <c r="E178" s="213">
        <v>3</v>
      </c>
      <c r="F178" s="213">
        <v>4</v>
      </c>
      <c r="G178" s="213">
        <v>3</v>
      </c>
      <c r="H178" s="213">
        <v>6</v>
      </c>
      <c r="I178" s="213">
        <v>2</v>
      </c>
      <c r="J178" s="210">
        <f>$D178*Pesi!$B$16+Pesi!$B$17*$E178+$F178*Pesi!$B$18+$G178*Pesi!$B$19+Pesi!$B$20*$H178+$I178*Pesi!$B$21+Pesi!$B$22*VLOOKUP($C178,TabAlgSqu,2,FALSE)+VLOOKUP($C178,TabAlgFC,2,FALSE)*Pesi!$B$23+Pesi!$B$24*VLOOKUP($C178,TabAlgAll,2,FALSE)</f>
        <v>36.426700000000004</v>
      </c>
      <c r="K178" s="155">
        <f>IF(ISNA(MATCH($B178,Pesi!$B$31:$B$34,0)),VLOOKUP(Pesi!$B$32,TabAlgCen,10,FALSE)-((VLOOKUP(Pesi!$B$32,TabAlgCen,9,FALSE)-$J178)/(VLOOKUP(Pesi!$B$32,TabAlgCen,9,FALSE)-Pesi!$D$42))*VLOOKUP(Pesi!$B$32,TabAlgCen,10,FALSE),Pesi!$F$32*Pesi!$C$28)</f>
        <v>-92.105123581202946</v>
      </c>
      <c r="L178" s="155">
        <f t="shared" si="15"/>
        <v>1</v>
      </c>
      <c r="M178" s="154">
        <f>$D178*Pesi!$D$16+Pesi!$D$17*$E178+$F178*Pesi!$D$18+$G178*Pesi!$D$19+Pesi!$D$20*$H178+$I178*Pesi!$D$21+Pesi!$D$22*VLOOKUP($C178,TabAlgSqu,2,FALSE)+VLOOKUP($C178,TabAlgFC,2,FALSE)*Pesi!$D$23+Pesi!$D$24*VLOOKUP($C178,TabAlgAll,2,FALSE)</f>
        <v>34.8767</v>
      </c>
      <c r="N178" s="155">
        <f>IF(ISNA(MATCH($B178,Pesi!$B$31:$B$34,0)),VLOOKUP(Pesi!$B$32,TabAlgCen,13,FALSE)-((VLOOKUP(Pesi!$B$32,TabAlgCen,12,FALSE)-$M178)/(VLOOKUP(Pesi!$B$32,TabAlgCen,12,FALSE)-Pesi!$F$42))*VLOOKUP(Pesi!$B$32,TabAlgCen,13,FALSE),$K178*$M178/$J178)</f>
        <v>-86.772266474181521</v>
      </c>
      <c r="O178" s="155">
        <f t="shared" si="16"/>
        <v>1</v>
      </c>
      <c r="P178">
        <f t="shared" si="17"/>
        <v>24</v>
      </c>
      <c r="Q178" t="e">
        <f>VLOOKUP(B178,'C.P.'!$A$2:$B$164,2,FALSE)</f>
        <v>#N/A</v>
      </c>
      <c r="R178" t="e">
        <f>VLOOKUP(B178,'C.P.'!$C$2:$D$164,2,FALSE)</f>
        <v>#N/A</v>
      </c>
      <c r="S178" t="e">
        <f>VLOOKUP(B178,'C.P.'!$E$2:$F$164,2,FALSE)</f>
        <v>#N/A</v>
      </c>
      <c r="T178" t="e">
        <f>VLOOKUP(B178,'C.P.'!$G$2:$H$164,2,FALSE)</f>
        <v>#N/A</v>
      </c>
      <c r="U178" s="420"/>
    </row>
    <row r="179" spans="1:21" ht="12.75" customHeight="1">
      <c r="A179">
        <f ca="1">COUNTIF('I.A. + Fasce'!B$1:'I.A. + Fasce'!B$538,B177)</f>
        <v>1</v>
      </c>
      <c r="B179" s="211" t="s">
        <v>1993</v>
      </c>
      <c r="C179" s="212" t="str">
        <f>VLOOKUP(B179,'IA FG'!$B$2:$G$600,6,FALSE)</f>
        <v>SPA</v>
      </c>
      <c r="D179" s="213">
        <v>4</v>
      </c>
      <c r="E179" s="213">
        <v>4</v>
      </c>
      <c r="F179" s="213">
        <v>5</v>
      </c>
      <c r="G179" s="213">
        <v>4</v>
      </c>
      <c r="H179" s="213">
        <v>3</v>
      </c>
      <c r="I179" s="213">
        <v>3</v>
      </c>
      <c r="J179" s="210">
        <f>$D179*Pesi!$B$16+Pesi!$B$17*$E179+$F179*Pesi!$B$18+$G179*Pesi!$B$19+Pesi!$B$20*$H179+$I179*Pesi!$B$21+Pesi!$B$22*VLOOKUP($C179,TabAlgSqu,2,FALSE)+VLOOKUP($C179,TabAlgFC,2,FALSE)*Pesi!$B$23+Pesi!$B$24*VLOOKUP($C179,TabAlgAll,2,FALSE)</f>
        <v>35.393499999999996</v>
      </c>
      <c r="K179" s="155">
        <f>IF(ISNA(MATCH($B179,Pesi!$B$31:$B$34,0)),VLOOKUP(Pesi!$B$32,TabAlgCen,10,FALSE)-((VLOOKUP(Pesi!$B$32,TabAlgCen,9,FALSE)-$J179)/(VLOOKUP(Pesi!$B$32,TabAlgCen,9,FALSE)-Pesi!$D$42))*VLOOKUP(Pesi!$B$32,TabAlgCen,10,FALSE),Pesi!$F$32*Pesi!$C$28)</f>
        <v>-94.939608534546807</v>
      </c>
      <c r="L179" s="155">
        <f t="shared" si="15"/>
        <v>1</v>
      </c>
      <c r="M179" s="154">
        <f>$D179*Pesi!$D$16+Pesi!$D$17*$E179+$F179*Pesi!$D$18+$G179*Pesi!$D$19+Pesi!$D$20*$H179+$I179*Pesi!$D$21+Pesi!$D$22*VLOOKUP($C179,TabAlgSqu,2,FALSE)+VLOOKUP($C179,TabAlgFC,2,FALSE)*Pesi!$D$23+Pesi!$D$24*VLOOKUP($C179,TabAlgAll,2,FALSE)</f>
        <v>33.4435</v>
      </c>
      <c r="N179" s="155">
        <f>IF(ISNA(MATCH($B179,Pesi!$B$31:$B$34,0)),VLOOKUP(Pesi!$B$32,TabAlgCen,13,FALSE)-((VLOOKUP(Pesi!$B$32,TabAlgCen,12,FALSE)-$M179)/(VLOOKUP(Pesi!$B$32,TabAlgCen,12,FALSE)-Pesi!$F$42))*VLOOKUP(Pesi!$B$32,TabAlgCen,13,FALSE),$K179*$M179/$J179)</f>
        <v>-90.643662386519196</v>
      </c>
      <c r="O179" s="155">
        <f t="shared" si="16"/>
        <v>1</v>
      </c>
      <c r="P179">
        <f t="shared" si="17"/>
        <v>23</v>
      </c>
      <c r="Q179" t="e">
        <f>VLOOKUP(B179,'C.P.'!$A$2:$B$164,2,FALSE)</f>
        <v>#N/A</v>
      </c>
      <c r="R179" t="e">
        <f>VLOOKUP(B179,'C.P.'!$C$2:$D$164,2,FALSE)</f>
        <v>#N/A</v>
      </c>
      <c r="S179" t="e">
        <f>VLOOKUP(B179,'C.P.'!$E$2:$F$164,2,FALSE)</f>
        <v>#N/A</v>
      </c>
      <c r="T179" t="e">
        <f>VLOOKUP(B179,'C.P.'!$G$2:$H$164,2,FALSE)</f>
        <v>#N/A</v>
      </c>
    </row>
    <row r="180" spans="1:21" ht="12.75" customHeight="1">
      <c r="B180" s="211" t="s">
        <v>473</v>
      </c>
      <c r="C180" s="212" t="str">
        <f>VLOOKUP(B180,'IA FG'!$B$2:$G$600,6,FALSE)</f>
        <v>INT</v>
      </c>
      <c r="D180" s="213"/>
      <c r="E180" s="213"/>
      <c r="F180" s="213"/>
      <c r="G180" s="213"/>
      <c r="H180" s="213"/>
      <c r="I180" s="213"/>
      <c r="J180" s="210">
        <f>$D180*Pesi!$B$16+Pesi!$B$17*$E180+$F180*Pesi!$B$18+$G180*Pesi!$B$19+Pesi!$B$20*$H180+$I180*Pesi!$B$21+Pesi!$B$22*VLOOKUP($C180,TabAlgSqu,2,FALSE)+VLOOKUP($C180,TabAlgFC,2,FALSE)*Pesi!$B$23+Pesi!$B$24*VLOOKUP($C180,TabAlgAll,2,FALSE)</f>
        <v>19.670999999999999</v>
      </c>
      <c r="K180" s="155">
        <f>IF(ISNA(MATCH($B180,Pesi!$B$31:$B$34,0)),VLOOKUP(Pesi!$B$32,TabAlgCen,10,FALSE)-((VLOOKUP(Pesi!$B$32,TabAlgCen,9,FALSE)-$J180)/(VLOOKUP(Pesi!$B$32,TabAlgCen,9,FALSE)-Pesi!$D$42))*VLOOKUP(Pesi!$B$32,TabAlgCen,10,FALSE),Pesi!$F$32*Pesi!$C$28)</f>
        <v>-138.07277701978546</v>
      </c>
      <c r="L180" s="155">
        <f t="shared" si="15"/>
        <v>1</v>
      </c>
      <c r="M180" s="154">
        <f>$D180*Pesi!$D$16+Pesi!$D$17*$E180+$F180*Pesi!$D$18+$G180*Pesi!$D$19+Pesi!$D$20*$H180+$I180*Pesi!$D$21+Pesi!$D$22*VLOOKUP($C180,TabAlgSqu,2,FALSE)+VLOOKUP($C180,TabAlgFC,2,FALSE)*Pesi!$D$23+Pesi!$D$24*VLOOKUP($C180,TabAlgAll,2,FALSE)</f>
        <v>19.670999999999999</v>
      </c>
      <c r="N180" s="155">
        <f>IF(ISNA(MATCH($B180,Pesi!$B$31:$B$34,0)),VLOOKUP(Pesi!$B$32,TabAlgCen,13,FALSE)-((VLOOKUP(Pesi!$B$32,TabAlgCen,12,FALSE)-$M180)/(VLOOKUP(Pesi!$B$32,TabAlgCen,12,FALSE)-Pesi!$F$42))*VLOOKUP(Pesi!$B$32,TabAlgCen,13,FALSE),$K180*$M180/$J180)</f>
        <v>-127.84628602779091</v>
      </c>
      <c r="O180" s="155">
        <f t="shared" si="16"/>
        <v>1</v>
      </c>
      <c r="P180">
        <f t="shared" si="17"/>
        <v>0</v>
      </c>
      <c r="Q180" t="e">
        <f>VLOOKUP(B180,'C.P.'!$A$2:$B$164,2,FALSE)</f>
        <v>#N/A</v>
      </c>
      <c r="R180" t="e">
        <f>VLOOKUP(B180,'C.P.'!$C$2:$D$164,2,FALSE)</f>
        <v>#N/A</v>
      </c>
      <c r="S180" t="e">
        <f>VLOOKUP(B180,'C.P.'!$E$2:$F$164,2,FALSE)</f>
        <v>#N/A</v>
      </c>
      <c r="T180" t="e">
        <f>VLOOKUP(B180,'C.P.'!$G$2:$H$164,2,FALSE)</f>
        <v>#N/A</v>
      </c>
    </row>
    <row r="181" spans="1:21">
      <c r="A181">
        <f ca="1">COUNTIF('I.A. + Fasce'!B$1:'I.A. + Fasce'!B$538,B179)</f>
        <v>1</v>
      </c>
      <c r="B181" s="211"/>
      <c r="C181" s="212"/>
      <c r="D181" s="213"/>
      <c r="E181" s="213"/>
      <c r="F181" s="213"/>
      <c r="G181" s="213"/>
      <c r="H181" s="213"/>
      <c r="I181" s="213"/>
      <c r="J181" s="210"/>
      <c r="K181" s="155"/>
      <c r="L181" s="155"/>
      <c r="M181" s="154"/>
      <c r="N181" s="155"/>
      <c r="O181" s="155"/>
      <c r="P181">
        <f t="shared" si="17"/>
        <v>0</v>
      </c>
      <c r="Q181" t="e">
        <f>VLOOKUP(B181,'C.P.'!$A$2:$B$164,2,FALSE)</f>
        <v>#N/A</v>
      </c>
      <c r="R181" t="e">
        <f>VLOOKUP(B181,'C.P.'!$C$2:$D$164,2,FALSE)</f>
        <v>#N/A</v>
      </c>
      <c r="S181" t="e">
        <f>VLOOKUP(B181,'C.P.'!$E$2:$F$164,2,FALSE)</f>
        <v>#N/A</v>
      </c>
      <c r="T181" t="e">
        <f>VLOOKUP(B181,'C.P.'!$G$2:$H$164,2,FALSE)</f>
        <v>#N/A</v>
      </c>
    </row>
    <row r="182" spans="1:21">
      <c r="A182">
        <f ca="1">COUNTIF('I.A. + Fasce'!B$1:'I.A. + Fasce'!B$538,B180)</f>
        <v>1</v>
      </c>
      <c r="B182" s="211"/>
      <c r="C182" s="212"/>
      <c r="D182" s="213"/>
      <c r="E182" s="213"/>
      <c r="F182" s="213"/>
      <c r="G182" s="213"/>
      <c r="H182" s="213"/>
      <c r="I182" s="213"/>
      <c r="J182" s="210"/>
      <c r="K182" s="155"/>
      <c r="L182" s="155"/>
      <c r="M182" s="154"/>
      <c r="N182" s="155"/>
      <c r="O182" s="155"/>
      <c r="P182">
        <f t="shared" si="17"/>
        <v>0</v>
      </c>
      <c r="Q182" t="e">
        <f>VLOOKUP(B182,'C.P.'!$A$2:$B$164,2,FALSE)</f>
        <v>#N/A</v>
      </c>
      <c r="R182" t="e">
        <f>VLOOKUP(B182,'C.P.'!$C$2:$D$164,2,FALSE)</f>
        <v>#N/A</v>
      </c>
      <c r="S182" t="e">
        <f>VLOOKUP(B182,'C.P.'!$E$2:$F$164,2,FALSE)</f>
        <v>#N/A</v>
      </c>
      <c r="T182" t="e">
        <f>VLOOKUP(B182,'C.P.'!$G$2:$H$164,2,FALSE)</f>
        <v>#N/A</v>
      </c>
    </row>
    <row r="183" spans="1:21">
      <c r="A183">
        <f ca="1">COUNTIF('I.A. + Fasce'!B$1:'I.A. + Fasce'!B$538,B180)</f>
        <v>1</v>
      </c>
      <c r="B183" s="211"/>
      <c r="C183" s="212"/>
      <c r="D183" s="213"/>
      <c r="E183" s="213"/>
      <c r="F183" s="213"/>
      <c r="G183" s="213"/>
      <c r="H183" s="213"/>
      <c r="I183" s="213"/>
      <c r="J183" s="210"/>
      <c r="K183" s="155"/>
      <c r="L183" s="155"/>
      <c r="M183" s="154"/>
      <c r="N183" s="155"/>
      <c r="O183" s="155"/>
      <c r="P183">
        <f t="shared" si="17"/>
        <v>0</v>
      </c>
      <c r="Q183" t="e">
        <f>VLOOKUP(B183,'C.P.'!$A$2:$B$164,2,FALSE)</f>
        <v>#N/A</v>
      </c>
      <c r="R183" t="e">
        <f>VLOOKUP(B183,'C.P.'!$C$2:$D$164,2,FALSE)</f>
        <v>#N/A</v>
      </c>
      <c r="S183" t="e">
        <f>VLOOKUP(B183,'C.P.'!$E$2:$F$164,2,FALSE)</f>
        <v>#N/A</v>
      </c>
      <c r="T183" t="e">
        <f>VLOOKUP(B183,'C.P.'!$G$2:$H$164,2,FALSE)</f>
        <v>#N/A</v>
      </c>
    </row>
    <row r="184" spans="1:21">
      <c r="B184" s="211"/>
      <c r="C184" s="212"/>
      <c r="D184" s="213"/>
      <c r="E184" s="213"/>
      <c r="F184" s="213"/>
      <c r="G184" s="213"/>
      <c r="H184" s="213"/>
      <c r="I184" s="213"/>
      <c r="J184" s="210"/>
      <c r="K184" s="155"/>
      <c r="L184" s="155"/>
      <c r="M184" s="154"/>
      <c r="N184" s="155"/>
      <c r="O184" s="155"/>
      <c r="P184">
        <f t="shared" si="17"/>
        <v>0</v>
      </c>
      <c r="Q184" t="e">
        <f>VLOOKUP(B184,'C.P.'!$A$2:$B$164,2,FALSE)</f>
        <v>#N/A</v>
      </c>
      <c r="R184" t="e">
        <f>VLOOKUP(B184,'C.P.'!$C$2:$D$164,2,FALSE)</f>
        <v>#N/A</v>
      </c>
      <c r="S184" t="e">
        <f>VLOOKUP(B184,'C.P.'!$E$2:$F$164,2,FALSE)</f>
        <v>#N/A</v>
      </c>
      <c r="T184" t="e">
        <f>VLOOKUP(B184,'C.P.'!$G$2:$H$164,2,FALSE)</f>
        <v>#N/A</v>
      </c>
    </row>
    <row r="185" spans="1:21">
      <c r="A185">
        <f ca="1">COUNTIF('I.A. + Fasce'!B$1:'I.A. + Fasce'!B$538,B183)</f>
        <v>0</v>
      </c>
      <c r="B185" s="211"/>
      <c r="C185" s="212"/>
      <c r="D185" s="213"/>
      <c r="E185" s="213"/>
      <c r="F185" s="213"/>
      <c r="G185" s="213"/>
      <c r="H185" s="213"/>
      <c r="I185" s="213"/>
      <c r="J185" s="210"/>
      <c r="K185" s="155"/>
      <c r="L185" s="155"/>
      <c r="M185" s="154"/>
      <c r="N185" s="155"/>
      <c r="O185" s="155"/>
      <c r="P185">
        <f t="shared" si="17"/>
        <v>0</v>
      </c>
      <c r="Q185" t="e">
        <f>VLOOKUP(B185,'C.P.'!$A$2:$B$164,2,FALSE)</f>
        <v>#N/A</v>
      </c>
      <c r="R185" t="e">
        <f>VLOOKUP(B185,'C.P.'!$C$2:$D$164,2,FALSE)</f>
        <v>#N/A</v>
      </c>
      <c r="S185" t="e">
        <f>VLOOKUP(B185,'C.P.'!$E$2:$F$164,2,FALSE)</f>
        <v>#N/A</v>
      </c>
      <c r="T185" t="e">
        <f>VLOOKUP(B185,'C.P.'!$G$2:$H$164,2,FALSE)</f>
        <v>#N/A</v>
      </c>
    </row>
    <row r="186" spans="1:21">
      <c r="B186" s="211"/>
      <c r="C186" s="212"/>
      <c r="D186" s="213"/>
      <c r="E186" s="213"/>
      <c r="F186" s="213"/>
      <c r="G186" s="213"/>
      <c r="H186" s="213"/>
      <c r="I186" s="213"/>
      <c r="J186" s="210"/>
      <c r="K186" s="155"/>
      <c r="L186" s="155"/>
      <c r="M186" s="154"/>
      <c r="N186" s="155"/>
      <c r="O186" s="155"/>
      <c r="P186">
        <f t="shared" si="17"/>
        <v>0</v>
      </c>
      <c r="Q186" t="e">
        <f>VLOOKUP(B186,'C.P.'!$A$2:$B$164,2,FALSE)</f>
        <v>#N/A</v>
      </c>
      <c r="R186" t="e">
        <f>VLOOKUP(B186,'C.P.'!$C$2:$D$164,2,FALSE)</f>
        <v>#N/A</v>
      </c>
      <c r="S186" t="e">
        <f>VLOOKUP(B186,'C.P.'!$E$2:$F$164,2,FALSE)</f>
        <v>#N/A</v>
      </c>
      <c r="T186" t="e">
        <f>VLOOKUP(B186,'C.P.'!$G$2:$H$164,2,FALSE)</f>
        <v>#N/A</v>
      </c>
      <c r="U186" s="420"/>
    </row>
    <row r="187" spans="1:21">
      <c r="B187" s="211"/>
      <c r="C187" s="212"/>
      <c r="D187" s="213"/>
      <c r="E187" s="213"/>
      <c r="F187" s="213"/>
      <c r="G187" s="213"/>
      <c r="H187" s="213"/>
      <c r="I187" s="213"/>
      <c r="J187" s="210"/>
      <c r="K187" s="155"/>
      <c r="L187" s="155"/>
      <c r="M187" s="154"/>
      <c r="N187" s="155"/>
      <c r="O187" s="155"/>
      <c r="P187">
        <f t="shared" si="17"/>
        <v>0</v>
      </c>
      <c r="Q187" t="e">
        <f>VLOOKUP(B187,'C.P.'!$A$2:$B$164,2,FALSE)</f>
        <v>#N/A</v>
      </c>
      <c r="R187" t="e">
        <f>VLOOKUP(B187,'C.P.'!$C$2:$D$164,2,FALSE)</f>
        <v>#N/A</v>
      </c>
      <c r="S187" t="e">
        <f>VLOOKUP(B187,'C.P.'!$E$2:$F$164,2,FALSE)</f>
        <v>#N/A</v>
      </c>
      <c r="T187" t="e">
        <f>VLOOKUP(B187,'C.P.'!$G$2:$H$164,2,FALSE)</f>
        <v>#N/A</v>
      </c>
      <c r="U187" s="420"/>
    </row>
    <row r="188" spans="1:21">
      <c r="B188" s="211"/>
      <c r="C188" s="212"/>
      <c r="D188" s="213"/>
      <c r="E188" s="213"/>
      <c r="F188" s="213"/>
      <c r="G188" s="213"/>
      <c r="H188" s="213"/>
      <c r="I188" s="213"/>
      <c r="J188" s="210"/>
      <c r="K188" s="155"/>
      <c r="L188" s="155"/>
      <c r="M188" s="154"/>
      <c r="N188" s="155"/>
      <c r="O188" s="155"/>
      <c r="P188">
        <f t="shared" si="17"/>
        <v>0</v>
      </c>
      <c r="Q188" t="e">
        <f>VLOOKUP(B188,'C.P.'!$A$2:$B$164,2,FALSE)</f>
        <v>#N/A</v>
      </c>
      <c r="R188" t="e">
        <f>VLOOKUP(B188,'C.P.'!$C$2:$D$164,2,FALSE)</f>
        <v>#N/A</v>
      </c>
      <c r="S188" t="e">
        <f>VLOOKUP(B188,'C.P.'!$E$2:$F$164,2,FALSE)</f>
        <v>#N/A</v>
      </c>
      <c r="T188" t="e">
        <f>VLOOKUP(B188,'C.P.'!$G$2:$H$164,2,FALSE)</f>
        <v>#N/A</v>
      </c>
      <c r="U188" s="420"/>
    </row>
    <row r="189" spans="1:21">
      <c r="B189" s="209"/>
      <c r="C189" s="212"/>
      <c r="D189" s="207"/>
      <c r="E189" s="207"/>
      <c r="F189" s="207"/>
      <c r="G189" s="207"/>
      <c r="H189" s="207"/>
      <c r="I189" s="207"/>
      <c r="J189" s="210"/>
      <c r="K189" s="155"/>
      <c r="L189" s="155"/>
      <c r="M189" s="154"/>
      <c r="N189" s="155"/>
      <c r="O189" s="155"/>
      <c r="Q189" t="s">
        <v>1915</v>
      </c>
      <c r="R189" t="e">
        <f>VLOOKUP(B189,'C.P.'!$C$2:$D$164,2,FALSE)</f>
        <v>#N/A</v>
      </c>
      <c r="S189" t="e">
        <f>VLOOKUP(B189,'C.P.'!$E$2:$F$164,2,FALSE)</f>
        <v>#N/A</v>
      </c>
      <c r="T189" t="e">
        <f>VLOOKUP(B189,'C.P.'!$G$2:$H$164,2,FALSE)</f>
        <v>#N/A</v>
      </c>
    </row>
    <row r="190" spans="1:21">
      <c r="B190" s="209"/>
      <c r="C190" s="212"/>
      <c r="D190" s="207"/>
      <c r="E190" s="207"/>
      <c r="F190" s="207"/>
      <c r="G190" s="207"/>
      <c r="H190" s="207"/>
      <c r="I190" s="207"/>
      <c r="J190" s="210"/>
      <c r="K190" s="155"/>
      <c r="L190" s="155"/>
      <c r="M190" s="154"/>
      <c r="N190" s="155"/>
      <c r="O190" s="155"/>
      <c r="Q190" t="s">
        <v>1915</v>
      </c>
      <c r="R190" t="e">
        <f>VLOOKUP(B190,'C.P.'!$C$2:$D$164,2,FALSE)</f>
        <v>#N/A</v>
      </c>
      <c r="S190" t="e">
        <f>VLOOKUP(B190,'C.P.'!$E$2:$F$164,2,FALSE)</f>
        <v>#N/A</v>
      </c>
      <c r="T190" t="e">
        <f>VLOOKUP(B190,'C.P.'!$G$2:$H$164,2,FALSE)</f>
        <v>#N/A</v>
      </c>
    </row>
    <row r="191" spans="1:21">
      <c r="C191" s="212"/>
      <c r="Q191" t="s">
        <v>1915</v>
      </c>
      <c r="R191" t="e">
        <f>VLOOKUP(B191,'C.P.'!$C$2:$D$164,2,FALSE)</f>
        <v>#N/A</v>
      </c>
      <c r="S191" t="e">
        <f>VLOOKUP(B191,'C.P.'!$E$2:$F$164,2,FALSE)</f>
        <v>#N/A</v>
      </c>
      <c r="T191" t="e">
        <f>VLOOKUP(B191,'C.P.'!$G$2:$H$164,2,FALSE)</f>
        <v>#N/A</v>
      </c>
    </row>
    <row r="192" spans="1:21">
      <c r="C192" s="212"/>
      <c r="Q192" t="s">
        <v>1915</v>
      </c>
      <c r="R192" t="e">
        <f>VLOOKUP(B192,'C.P.'!$C$2:$D$164,2,FALSE)</f>
        <v>#N/A</v>
      </c>
      <c r="S192" t="e">
        <f>VLOOKUP(B192,'C.P.'!$E$2:$F$164,2,FALSE)</f>
        <v>#N/A</v>
      </c>
      <c r="T192" t="e">
        <f>VLOOKUP(B192,'C.P.'!$G$2:$H$164,2,FALSE)</f>
        <v>#N/A</v>
      </c>
    </row>
    <row r="193" spans="3:20">
      <c r="C193" s="212"/>
      <c r="Q193" t="s">
        <v>1915</v>
      </c>
      <c r="R193" t="e">
        <f>VLOOKUP(B193,'C.P.'!$C$2:$D$164,2,FALSE)</f>
        <v>#N/A</v>
      </c>
      <c r="S193" t="e">
        <f>VLOOKUP(B193,'C.P.'!$E$2:$F$164,2,FALSE)</f>
        <v>#N/A</v>
      </c>
      <c r="T193" t="e">
        <f>VLOOKUP(B193,'C.P.'!$G$2:$H$164,2,FALSE)</f>
        <v>#N/A</v>
      </c>
    </row>
    <row r="194" spans="3:20">
      <c r="C194" s="212"/>
      <c r="Q194" t="s">
        <v>1915</v>
      </c>
      <c r="R194" t="e">
        <f>VLOOKUP(B194,'C.P.'!$C$2:$D$164,2,FALSE)</f>
        <v>#N/A</v>
      </c>
      <c r="S194" t="e">
        <f>VLOOKUP(B194,'C.P.'!$E$2:$F$164,2,FALSE)</f>
        <v>#N/A</v>
      </c>
      <c r="T194" t="e">
        <f>VLOOKUP(B194,'C.P.'!$G$2:$H$164,2,FALSE)</f>
        <v>#N/A</v>
      </c>
    </row>
    <row r="195" spans="3:20">
      <c r="C195" s="212"/>
      <c r="Q195" t="s">
        <v>1915</v>
      </c>
      <c r="R195" t="e">
        <f>VLOOKUP(B195,'C.P.'!$C$2:$D$164,2,FALSE)</f>
        <v>#N/A</v>
      </c>
      <c r="S195" t="e">
        <f>VLOOKUP(B195,'C.P.'!$E$2:$F$164,2,FALSE)</f>
        <v>#N/A</v>
      </c>
      <c r="T195" t="e">
        <f>VLOOKUP(B195,'C.P.'!$G$2:$H$164,2,FALSE)</f>
        <v>#N/A</v>
      </c>
    </row>
    <row r="196" spans="3:20">
      <c r="C196" s="212"/>
      <c r="Q196" t="s">
        <v>1915</v>
      </c>
      <c r="R196" t="e">
        <f>VLOOKUP(B196,'C.P.'!$C$2:$D$164,2,FALSE)</f>
        <v>#N/A</v>
      </c>
      <c r="S196" t="e">
        <f>VLOOKUP(B196,'C.P.'!$E$2:$F$164,2,FALSE)</f>
        <v>#N/A</v>
      </c>
      <c r="T196" t="e">
        <f>VLOOKUP(B196,'C.P.'!$G$2:$H$164,2,FALSE)</f>
        <v>#N/A</v>
      </c>
    </row>
    <row r="197" spans="3:20">
      <c r="C197" s="212"/>
      <c r="Q197" t="s">
        <v>1915</v>
      </c>
      <c r="R197" t="e">
        <f>VLOOKUP(B197,'C.P.'!$C$2:$D$164,2,FALSE)</f>
        <v>#N/A</v>
      </c>
      <c r="S197" t="e">
        <f>VLOOKUP(B197,'C.P.'!$E$2:$F$164,2,FALSE)</f>
        <v>#N/A</v>
      </c>
      <c r="T197" t="e">
        <f>VLOOKUP(B197,'C.P.'!$G$2:$H$164,2,FALSE)</f>
        <v>#N/A</v>
      </c>
    </row>
    <row r="198" spans="3:20">
      <c r="C198" s="212"/>
      <c r="Q198" t="s">
        <v>1915</v>
      </c>
      <c r="R198" t="e">
        <f>VLOOKUP(B198,'C.P.'!$C$2:$D$164,2,FALSE)</f>
        <v>#N/A</v>
      </c>
      <c r="S198" t="e">
        <f>VLOOKUP(B198,'C.P.'!$E$2:$F$164,2,FALSE)</f>
        <v>#N/A</v>
      </c>
      <c r="T198" t="e">
        <f>VLOOKUP(B198,'C.P.'!$G$2:$H$164,2,FALSE)</f>
        <v>#N/A</v>
      </c>
    </row>
    <row r="199" spans="3:20">
      <c r="C199" s="212"/>
      <c r="Q199" t="s">
        <v>1915</v>
      </c>
      <c r="R199" t="e">
        <f>VLOOKUP(B199,'C.P.'!$C$2:$D$164,2,FALSE)</f>
        <v>#N/A</v>
      </c>
      <c r="S199" t="e">
        <f>VLOOKUP(B199,'C.P.'!$E$2:$F$164,2,FALSE)</f>
        <v>#N/A</v>
      </c>
      <c r="T199" t="e">
        <f>VLOOKUP(B199,'C.P.'!$G$2:$H$164,2,FALSE)</f>
        <v>#N/A</v>
      </c>
    </row>
    <row r="200" spans="3:20">
      <c r="C200" s="212"/>
      <c r="Q200" t="s">
        <v>1915</v>
      </c>
      <c r="R200" t="e">
        <f>VLOOKUP(B200,'C.P.'!$C$2:$D$164,2,FALSE)</f>
        <v>#N/A</v>
      </c>
      <c r="S200" t="e">
        <f>VLOOKUP(B200,'C.P.'!$E$2:$F$164,2,FALSE)</f>
        <v>#N/A</v>
      </c>
      <c r="T200" t="e">
        <f>VLOOKUP(B200,'C.P.'!$G$2:$H$164,2,FALSE)</f>
        <v>#N/A</v>
      </c>
    </row>
    <row r="201" spans="3:20">
      <c r="C201" s="212"/>
      <c r="Q201" t="s">
        <v>1915</v>
      </c>
      <c r="R201" t="e">
        <f>VLOOKUP(B201,'C.P.'!$C$2:$D$164,2,FALSE)</f>
        <v>#N/A</v>
      </c>
      <c r="S201" t="e">
        <f>VLOOKUP(B201,'C.P.'!$E$2:$F$164,2,FALSE)</f>
        <v>#N/A</v>
      </c>
      <c r="T201" t="e">
        <f>VLOOKUP(B201,'C.P.'!$G$2:$H$164,2,FALSE)</f>
        <v>#N/A</v>
      </c>
    </row>
    <row r="202" spans="3:20">
      <c r="C202" s="212"/>
      <c r="Q202" t="s">
        <v>1915</v>
      </c>
      <c r="R202" t="e">
        <f>VLOOKUP(B202,'C.P.'!$C$2:$D$164,2,FALSE)</f>
        <v>#N/A</v>
      </c>
      <c r="S202" t="e">
        <f>VLOOKUP(B202,'C.P.'!$E$2:$F$164,2,FALSE)</f>
        <v>#N/A</v>
      </c>
      <c r="T202" t="e">
        <f>VLOOKUP(B202,'C.P.'!$G$2:$H$164,2,FALSE)</f>
        <v>#N/A</v>
      </c>
    </row>
    <row r="203" spans="3:20">
      <c r="C203" s="212"/>
      <c r="Q203" t="s">
        <v>1915</v>
      </c>
      <c r="R203" t="e">
        <f>VLOOKUP(B203,'C.P.'!$C$2:$D$164,2,FALSE)</f>
        <v>#N/A</v>
      </c>
      <c r="S203" t="e">
        <f>VLOOKUP(B203,'C.P.'!$E$2:$F$164,2,FALSE)</f>
        <v>#N/A</v>
      </c>
      <c r="T203" t="e">
        <f>VLOOKUP(B203,'C.P.'!$G$2:$H$164,2,FALSE)</f>
        <v>#N/A</v>
      </c>
    </row>
    <row r="204" spans="3:20">
      <c r="C204" s="212"/>
      <c r="Q204" t="s">
        <v>1915</v>
      </c>
      <c r="R204" t="e">
        <f>VLOOKUP(B204,'C.P.'!$C$2:$D$164,2,FALSE)</f>
        <v>#N/A</v>
      </c>
      <c r="S204" t="e">
        <f>VLOOKUP(B204,'C.P.'!$E$2:$F$164,2,FALSE)</f>
        <v>#N/A</v>
      </c>
      <c r="T204" t="e">
        <f>VLOOKUP(B204,'C.P.'!$G$2:$H$164,2,FALSE)</f>
        <v>#N/A</v>
      </c>
    </row>
    <row r="205" spans="3:20">
      <c r="C205" s="212"/>
      <c r="Q205" t="s">
        <v>1915</v>
      </c>
      <c r="R205" t="e">
        <f>VLOOKUP(B205,'C.P.'!$C$2:$D$164,2,FALSE)</f>
        <v>#N/A</v>
      </c>
      <c r="S205" t="e">
        <f>VLOOKUP(B205,'C.P.'!$E$2:$F$164,2,FALSE)</f>
        <v>#N/A</v>
      </c>
      <c r="T205" t="e">
        <f>VLOOKUP(B205,'C.P.'!$G$2:$H$164,2,FALSE)</f>
        <v>#N/A</v>
      </c>
    </row>
    <row r="206" spans="3:20">
      <c r="C206" s="212"/>
      <c r="Q206" t="s">
        <v>1915</v>
      </c>
      <c r="R206" t="e">
        <f>VLOOKUP(B206,'C.P.'!$C$2:$D$164,2,FALSE)</f>
        <v>#N/A</v>
      </c>
      <c r="S206" t="e">
        <f>VLOOKUP(B206,'C.P.'!$E$2:$F$164,2,FALSE)</f>
        <v>#N/A</v>
      </c>
      <c r="T206" t="e">
        <f>VLOOKUP(B206,'C.P.'!$G$2:$H$164,2,FALSE)</f>
        <v>#N/A</v>
      </c>
    </row>
    <row r="207" spans="3:20">
      <c r="C207" s="212"/>
      <c r="Q207" t="s">
        <v>1915</v>
      </c>
      <c r="R207" t="e">
        <f>VLOOKUP(B207,'C.P.'!$C$2:$D$164,2,FALSE)</f>
        <v>#N/A</v>
      </c>
      <c r="S207" t="e">
        <f>VLOOKUP(B207,'C.P.'!$E$2:$F$164,2,FALSE)</f>
        <v>#N/A</v>
      </c>
      <c r="T207" t="e">
        <f>VLOOKUP(B207,'C.P.'!$G$2:$H$164,2,FALSE)</f>
        <v>#N/A</v>
      </c>
    </row>
    <row r="208" spans="3:20">
      <c r="C208" s="212"/>
      <c r="Q208" t="s">
        <v>1915</v>
      </c>
      <c r="R208" t="e">
        <f>VLOOKUP(B208,'C.P.'!$C$2:$D$164,2,FALSE)</f>
        <v>#N/A</v>
      </c>
      <c r="S208" t="e">
        <f>VLOOKUP(B208,'C.P.'!$E$2:$F$164,2,FALSE)</f>
        <v>#N/A</v>
      </c>
      <c r="T208" t="e">
        <f>VLOOKUP(B208,'C.P.'!$G$2:$H$164,2,FALSE)</f>
        <v>#N/A</v>
      </c>
    </row>
    <row r="209" spans="3:20">
      <c r="C209" s="212"/>
      <c r="Q209" t="s">
        <v>1915</v>
      </c>
      <c r="R209" t="e">
        <f>VLOOKUP(B209,'C.P.'!$C$2:$D$164,2,FALSE)</f>
        <v>#N/A</v>
      </c>
      <c r="S209" t="e">
        <f>VLOOKUP(B209,'C.P.'!$E$2:$F$164,2,FALSE)</f>
        <v>#N/A</v>
      </c>
      <c r="T209" t="e">
        <f>VLOOKUP(B209,'C.P.'!$G$2:$H$164,2,FALSE)</f>
        <v>#N/A</v>
      </c>
    </row>
    <row r="210" spans="3:20">
      <c r="C210" s="212"/>
      <c r="Q210" t="s">
        <v>1915</v>
      </c>
      <c r="R210" t="e">
        <f>VLOOKUP(B210,'C.P.'!$C$2:$D$164,2,FALSE)</f>
        <v>#N/A</v>
      </c>
      <c r="S210" t="e">
        <f>VLOOKUP(B210,'C.P.'!$E$2:$F$164,2,FALSE)</f>
        <v>#N/A</v>
      </c>
      <c r="T210" t="e">
        <f>VLOOKUP(B210,'C.P.'!$G$2:$H$164,2,FALSE)</f>
        <v>#N/A</v>
      </c>
    </row>
    <row r="211" spans="3:20">
      <c r="C211" s="212"/>
      <c r="Q211" t="s">
        <v>1915</v>
      </c>
      <c r="R211" t="e">
        <f>VLOOKUP(B211,'C.P.'!$C$2:$D$164,2,FALSE)</f>
        <v>#N/A</v>
      </c>
      <c r="S211" t="e">
        <f>VLOOKUP(B211,'C.P.'!$E$2:$F$164,2,FALSE)</f>
        <v>#N/A</v>
      </c>
      <c r="T211" t="e">
        <f>VLOOKUP(B211,'C.P.'!$G$2:$H$164,2,FALSE)</f>
        <v>#N/A</v>
      </c>
    </row>
    <row r="212" spans="3:20">
      <c r="C212" s="212"/>
      <c r="Q212" t="s">
        <v>1915</v>
      </c>
      <c r="R212" t="e">
        <f>VLOOKUP(B212,'C.P.'!$C$2:$D$164,2,FALSE)</f>
        <v>#N/A</v>
      </c>
      <c r="S212" t="e">
        <f>VLOOKUP(B212,'C.P.'!$E$2:$F$164,2,FALSE)</f>
        <v>#N/A</v>
      </c>
      <c r="T212" t="e">
        <f>VLOOKUP(B212,'C.P.'!$G$2:$H$164,2,FALSE)</f>
        <v>#N/A</v>
      </c>
    </row>
    <row r="213" spans="3:20">
      <c r="C213" s="212"/>
      <c r="Q213" t="s">
        <v>1915</v>
      </c>
      <c r="R213" t="e">
        <f>VLOOKUP(B213,'C.P.'!$C$2:$D$164,2,FALSE)</f>
        <v>#N/A</v>
      </c>
      <c r="S213" t="e">
        <f>VLOOKUP(B213,'C.P.'!$E$2:$F$164,2,FALSE)</f>
        <v>#N/A</v>
      </c>
      <c r="T213" t="e">
        <f>VLOOKUP(B213,'C.P.'!$G$2:$H$164,2,FALSE)</f>
        <v>#N/A</v>
      </c>
    </row>
    <row r="214" spans="3:20">
      <c r="C214" s="212"/>
      <c r="Q214" t="s">
        <v>1915</v>
      </c>
      <c r="R214" t="e">
        <f>VLOOKUP(B214,'C.P.'!$C$2:$D$164,2,FALSE)</f>
        <v>#N/A</v>
      </c>
      <c r="S214" t="e">
        <f>VLOOKUP(B214,'C.P.'!$E$2:$F$164,2,FALSE)</f>
        <v>#N/A</v>
      </c>
      <c r="T214" t="e">
        <f>VLOOKUP(B214,'C.P.'!$G$2:$H$164,2,FALSE)</f>
        <v>#N/A</v>
      </c>
    </row>
    <row r="215" spans="3:20">
      <c r="C215" s="212"/>
      <c r="Q215" t="s">
        <v>1915</v>
      </c>
      <c r="R215" t="e">
        <f>VLOOKUP(B215,'C.P.'!$C$2:$D$164,2,FALSE)</f>
        <v>#N/A</v>
      </c>
      <c r="S215" t="e">
        <f>VLOOKUP(B215,'C.P.'!$E$2:$F$164,2,FALSE)</f>
        <v>#N/A</v>
      </c>
      <c r="T215" t="e">
        <f>VLOOKUP(B215,'C.P.'!$G$2:$H$164,2,FALSE)</f>
        <v>#N/A</v>
      </c>
    </row>
    <row r="216" spans="3:20">
      <c r="C216" s="212"/>
      <c r="Q216" t="s">
        <v>1915</v>
      </c>
      <c r="R216" t="e">
        <f>VLOOKUP(B216,'C.P.'!$C$2:$D$164,2,FALSE)</f>
        <v>#N/A</v>
      </c>
      <c r="S216" t="e">
        <f>VLOOKUP(B216,'C.P.'!$E$2:$F$164,2,FALSE)</f>
        <v>#N/A</v>
      </c>
      <c r="T216" t="e">
        <f>VLOOKUP(B216,'C.P.'!$G$2:$H$164,2,FALSE)</f>
        <v>#N/A</v>
      </c>
    </row>
    <row r="217" spans="3:20">
      <c r="C217" s="212"/>
      <c r="Q217" t="s">
        <v>1915</v>
      </c>
      <c r="R217" t="e">
        <f>VLOOKUP(B217,'C.P.'!$C$2:$D$164,2,FALSE)</f>
        <v>#N/A</v>
      </c>
      <c r="S217" t="e">
        <f>VLOOKUP(B217,'C.P.'!$E$2:$F$164,2,FALSE)</f>
        <v>#N/A</v>
      </c>
      <c r="T217" t="e">
        <f>VLOOKUP(B217,'C.P.'!$G$2:$H$164,2,FALSE)</f>
        <v>#N/A</v>
      </c>
    </row>
    <row r="218" spans="3:20">
      <c r="C218" s="212"/>
      <c r="Q218" t="s">
        <v>1915</v>
      </c>
      <c r="R218" t="e">
        <f>VLOOKUP(B218,'C.P.'!$C$2:$D$164,2,FALSE)</f>
        <v>#N/A</v>
      </c>
      <c r="S218" t="e">
        <f>VLOOKUP(B218,'C.P.'!$E$2:$F$164,2,FALSE)</f>
        <v>#N/A</v>
      </c>
      <c r="T218" t="e">
        <f>VLOOKUP(B218,'C.P.'!$G$2:$H$164,2,FALSE)</f>
        <v>#N/A</v>
      </c>
    </row>
    <row r="219" spans="3:20">
      <c r="C219" s="212"/>
      <c r="Q219" t="s">
        <v>1915</v>
      </c>
      <c r="R219" t="e">
        <f>VLOOKUP(B219,'C.P.'!$C$2:$D$164,2,FALSE)</f>
        <v>#N/A</v>
      </c>
      <c r="S219" t="e">
        <f>VLOOKUP(B219,'C.P.'!$E$2:$F$164,2,FALSE)</f>
        <v>#N/A</v>
      </c>
      <c r="T219" t="e">
        <f>VLOOKUP(B219,'C.P.'!$G$2:$H$164,2,FALSE)</f>
        <v>#N/A</v>
      </c>
    </row>
    <row r="220" spans="3:20">
      <c r="C220" s="212"/>
      <c r="Q220" t="s">
        <v>1915</v>
      </c>
      <c r="R220" t="e">
        <f>VLOOKUP(B220,'C.P.'!$C$2:$D$164,2,FALSE)</f>
        <v>#N/A</v>
      </c>
      <c r="S220" t="e">
        <f>VLOOKUP(B220,'C.P.'!$E$2:$F$164,2,FALSE)</f>
        <v>#N/A</v>
      </c>
      <c r="T220" t="e">
        <f>VLOOKUP(B220,'C.P.'!$G$2:$H$164,2,FALSE)</f>
        <v>#N/A</v>
      </c>
    </row>
    <row r="221" spans="3:20">
      <c r="C221" s="212"/>
      <c r="Q221" t="s">
        <v>1915</v>
      </c>
      <c r="R221" t="e">
        <f>VLOOKUP(B221,'C.P.'!$C$2:$D$164,2,FALSE)</f>
        <v>#N/A</v>
      </c>
      <c r="S221" t="e">
        <f>VLOOKUP(B221,'C.P.'!$E$2:$F$164,2,FALSE)</f>
        <v>#N/A</v>
      </c>
      <c r="T221" t="e">
        <f>VLOOKUP(B221,'C.P.'!$G$2:$H$164,2,FALSE)</f>
        <v>#N/A</v>
      </c>
    </row>
    <row r="222" spans="3:20">
      <c r="C222" s="212"/>
      <c r="Q222" t="s">
        <v>1915</v>
      </c>
      <c r="R222" t="e">
        <f>VLOOKUP(B222,'C.P.'!$C$2:$D$164,2,FALSE)</f>
        <v>#N/A</v>
      </c>
      <c r="S222" t="e">
        <f>VLOOKUP(B222,'C.P.'!$E$2:$F$164,2,FALSE)</f>
        <v>#N/A</v>
      </c>
      <c r="T222" t="e">
        <f>VLOOKUP(B222,'C.P.'!$G$2:$H$164,2,FALSE)</f>
        <v>#N/A</v>
      </c>
    </row>
    <row r="223" spans="3:20">
      <c r="C223" s="212"/>
      <c r="Q223" t="s">
        <v>1915</v>
      </c>
      <c r="R223" t="e">
        <f>VLOOKUP(B223,'C.P.'!$C$2:$D$164,2,FALSE)</f>
        <v>#N/A</v>
      </c>
      <c r="S223" t="e">
        <f>VLOOKUP(B223,'C.P.'!$E$2:$F$164,2,FALSE)</f>
        <v>#N/A</v>
      </c>
      <c r="T223" t="e">
        <f>VLOOKUP(B223,'C.P.'!$G$2:$H$164,2,FALSE)</f>
        <v>#N/A</v>
      </c>
    </row>
    <row r="224" spans="3:20">
      <c r="C224" s="212"/>
      <c r="Q224" t="s">
        <v>1915</v>
      </c>
      <c r="R224" t="e">
        <f>VLOOKUP(B224,'C.P.'!$C$2:$D$164,2,FALSE)</f>
        <v>#N/A</v>
      </c>
      <c r="S224" t="e">
        <f>VLOOKUP(B224,'C.P.'!$E$2:$F$164,2,FALSE)</f>
        <v>#N/A</v>
      </c>
      <c r="T224" t="e">
        <f>VLOOKUP(B224,'C.P.'!$G$2:$H$164,2,FALSE)</f>
        <v>#N/A</v>
      </c>
    </row>
    <row r="225" spans="3:20">
      <c r="C225" s="212"/>
      <c r="Q225" t="s">
        <v>1915</v>
      </c>
      <c r="R225" t="e">
        <f>VLOOKUP(B225,'C.P.'!$C$2:$D$164,2,FALSE)</f>
        <v>#N/A</v>
      </c>
      <c r="S225" t="e">
        <f>VLOOKUP(B225,'C.P.'!$E$2:$F$164,2,FALSE)</f>
        <v>#N/A</v>
      </c>
      <c r="T225" t="e">
        <f>VLOOKUP(B225,'C.P.'!$G$2:$H$164,2,FALSE)</f>
        <v>#N/A</v>
      </c>
    </row>
    <row r="226" spans="3:20">
      <c r="C226" s="212"/>
      <c r="Q226" t="s">
        <v>1915</v>
      </c>
      <c r="R226" t="e">
        <f>VLOOKUP(B226,'C.P.'!$C$2:$D$164,2,FALSE)</f>
        <v>#N/A</v>
      </c>
      <c r="S226" t="e">
        <f>VLOOKUP(B226,'C.P.'!$E$2:$F$164,2,FALSE)</f>
        <v>#N/A</v>
      </c>
      <c r="T226" t="e">
        <f>VLOOKUP(B226,'C.P.'!$G$2:$H$164,2,FALSE)</f>
        <v>#N/A</v>
      </c>
    </row>
    <row r="227" spans="3:20">
      <c r="C227" s="212"/>
      <c r="Q227" t="s">
        <v>1915</v>
      </c>
      <c r="R227" t="e">
        <f>VLOOKUP(B227,'C.P.'!$C$2:$D$164,2,FALSE)</f>
        <v>#N/A</v>
      </c>
      <c r="S227" t="e">
        <f>VLOOKUP(B227,'C.P.'!$E$2:$F$164,2,FALSE)</f>
        <v>#N/A</v>
      </c>
      <c r="T227" t="e">
        <f>VLOOKUP(B227,'C.P.'!$G$2:$H$164,2,FALSE)</f>
        <v>#N/A</v>
      </c>
    </row>
    <row r="228" spans="3:20">
      <c r="C228" s="212"/>
      <c r="Q228" t="s">
        <v>1915</v>
      </c>
      <c r="R228" t="e">
        <f>VLOOKUP(B228,'C.P.'!$C$2:$D$164,2,FALSE)</f>
        <v>#N/A</v>
      </c>
      <c r="S228" t="e">
        <f>VLOOKUP(B228,'C.P.'!$E$2:$F$164,2,FALSE)</f>
        <v>#N/A</v>
      </c>
      <c r="T228" t="e">
        <f>VLOOKUP(B228,'C.P.'!$G$2:$H$164,2,FALSE)</f>
        <v>#N/A</v>
      </c>
    </row>
    <row r="229" spans="3:20">
      <c r="C229" s="212"/>
      <c r="Q229" t="s">
        <v>1915</v>
      </c>
      <c r="R229" t="e">
        <f>VLOOKUP(B229,'C.P.'!$C$2:$D$164,2,FALSE)</f>
        <v>#N/A</v>
      </c>
      <c r="S229" t="e">
        <f>VLOOKUP(B229,'C.P.'!$E$2:$F$164,2,FALSE)</f>
        <v>#N/A</v>
      </c>
      <c r="T229" t="e">
        <f>VLOOKUP(B229,'C.P.'!$G$2:$H$164,2,FALSE)</f>
        <v>#N/A</v>
      </c>
    </row>
    <row r="230" spans="3:20">
      <c r="C230" s="212"/>
      <c r="Q230" t="s">
        <v>1915</v>
      </c>
      <c r="R230" t="e">
        <f>VLOOKUP(B230,'C.P.'!$C$2:$D$164,2,FALSE)</f>
        <v>#N/A</v>
      </c>
      <c r="S230" t="e">
        <f>VLOOKUP(B230,'C.P.'!$E$2:$F$164,2,FALSE)</f>
        <v>#N/A</v>
      </c>
      <c r="T230" t="e">
        <f>VLOOKUP(B230,'C.P.'!$G$2:$H$164,2,FALSE)</f>
        <v>#N/A</v>
      </c>
    </row>
    <row r="231" spans="3:20">
      <c r="C231" s="212"/>
      <c r="Q231" t="s">
        <v>1915</v>
      </c>
      <c r="R231" t="e">
        <f>VLOOKUP(B231,'C.P.'!$C$2:$D$164,2,FALSE)</f>
        <v>#N/A</v>
      </c>
      <c r="S231" t="e">
        <f>VLOOKUP(B231,'C.P.'!$E$2:$F$164,2,FALSE)</f>
        <v>#N/A</v>
      </c>
      <c r="T231" t="e">
        <f>VLOOKUP(B231,'C.P.'!$G$2:$H$164,2,FALSE)</f>
        <v>#N/A</v>
      </c>
    </row>
    <row r="232" spans="3:20">
      <c r="C232" s="212"/>
      <c r="Q232" t="s">
        <v>1915</v>
      </c>
      <c r="R232" t="e">
        <f>VLOOKUP(B232,'C.P.'!$C$2:$D$164,2,FALSE)</f>
        <v>#N/A</v>
      </c>
      <c r="S232" t="e">
        <f>VLOOKUP(B232,'C.P.'!$E$2:$F$164,2,FALSE)</f>
        <v>#N/A</v>
      </c>
      <c r="T232" t="e">
        <f>VLOOKUP(B232,'C.P.'!$G$2:$H$164,2,FALSE)</f>
        <v>#N/A</v>
      </c>
    </row>
    <row r="233" spans="3:20">
      <c r="C233" s="212"/>
      <c r="Q233" t="s">
        <v>1915</v>
      </c>
      <c r="R233" t="e">
        <f>VLOOKUP(B233,'C.P.'!$C$2:$D$164,2,FALSE)</f>
        <v>#N/A</v>
      </c>
      <c r="S233" t="e">
        <f>VLOOKUP(B233,'C.P.'!$E$2:$F$164,2,FALSE)</f>
        <v>#N/A</v>
      </c>
      <c r="T233" t="e">
        <f>VLOOKUP(B233,'C.P.'!$G$2:$H$164,2,FALSE)</f>
        <v>#N/A</v>
      </c>
    </row>
    <row r="234" spans="3:20">
      <c r="C234" s="212"/>
      <c r="Q234" t="s">
        <v>1915</v>
      </c>
      <c r="R234" t="e">
        <f>VLOOKUP(B234,'C.P.'!$C$2:$D$164,2,FALSE)</f>
        <v>#N/A</v>
      </c>
      <c r="S234" t="e">
        <f>VLOOKUP(B234,'C.P.'!$E$2:$F$164,2,FALSE)</f>
        <v>#N/A</v>
      </c>
      <c r="T234" t="e">
        <f>VLOOKUP(B234,'C.P.'!$G$2:$H$164,2,FALSE)</f>
        <v>#N/A</v>
      </c>
    </row>
    <row r="235" spans="3:20">
      <c r="C235" s="212"/>
      <c r="Q235" t="s">
        <v>1915</v>
      </c>
      <c r="R235" t="e">
        <f>VLOOKUP(B235,'C.P.'!$C$2:$D$164,2,FALSE)</f>
        <v>#N/A</v>
      </c>
      <c r="S235" t="e">
        <f>VLOOKUP(B235,'C.P.'!$E$2:$F$164,2,FALSE)</f>
        <v>#N/A</v>
      </c>
      <c r="T235" t="e">
        <f>VLOOKUP(B235,'C.P.'!$G$2:$H$164,2,FALSE)</f>
        <v>#N/A</v>
      </c>
    </row>
    <row r="236" spans="3:20">
      <c r="C236" s="212"/>
      <c r="Q236" t="s">
        <v>1915</v>
      </c>
      <c r="R236" t="e">
        <f>VLOOKUP(B236,'C.P.'!$C$2:$D$164,2,FALSE)</f>
        <v>#N/A</v>
      </c>
      <c r="S236" t="e">
        <f>VLOOKUP(B236,'C.P.'!$E$2:$F$164,2,FALSE)</f>
        <v>#N/A</v>
      </c>
      <c r="T236" t="e">
        <f>VLOOKUP(B236,'C.P.'!$G$2:$H$164,2,FALSE)</f>
        <v>#N/A</v>
      </c>
    </row>
    <row r="237" spans="3:20">
      <c r="C237" s="212"/>
      <c r="Q237" t="s">
        <v>1915</v>
      </c>
      <c r="R237" t="e">
        <f>VLOOKUP(B237,'C.P.'!$C$2:$D$164,2,FALSE)</f>
        <v>#N/A</v>
      </c>
      <c r="S237" t="e">
        <f>VLOOKUP(B237,'C.P.'!$E$2:$F$164,2,FALSE)</f>
        <v>#N/A</v>
      </c>
      <c r="T237" t="e">
        <f>VLOOKUP(B237,'C.P.'!$G$2:$H$164,2,FALSE)</f>
        <v>#N/A</v>
      </c>
    </row>
    <row r="238" spans="3:20">
      <c r="C238" s="212"/>
      <c r="Q238" t="s">
        <v>1915</v>
      </c>
      <c r="R238" t="e">
        <f>VLOOKUP(B238,'C.P.'!$C$2:$D$164,2,FALSE)</f>
        <v>#N/A</v>
      </c>
      <c r="S238" t="e">
        <f>VLOOKUP(B238,'C.P.'!$E$2:$F$164,2,FALSE)</f>
        <v>#N/A</v>
      </c>
      <c r="T238" t="e">
        <f>VLOOKUP(B238,'C.P.'!$G$2:$H$164,2,FALSE)</f>
        <v>#N/A</v>
      </c>
    </row>
    <row r="239" spans="3:20">
      <c r="C239" s="212"/>
      <c r="Q239" t="s">
        <v>1915</v>
      </c>
      <c r="R239" t="e">
        <f>VLOOKUP(B239,'C.P.'!$C$2:$D$164,2,FALSE)</f>
        <v>#N/A</v>
      </c>
      <c r="S239" t="e">
        <f>VLOOKUP(B239,'C.P.'!$E$2:$F$164,2,FALSE)</f>
        <v>#N/A</v>
      </c>
      <c r="T239" t="e">
        <f>VLOOKUP(B239,'C.P.'!$G$2:$H$164,2,FALSE)</f>
        <v>#N/A</v>
      </c>
    </row>
    <row r="240" spans="3:20">
      <c r="C240" s="212"/>
      <c r="Q240" t="s">
        <v>1915</v>
      </c>
      <c r="R240" t="e">
        <f>VLOOKUP(B240,'C.P.'!$C$2:$D$164,2,FALSE)</f>
        <v>#N/A</v>
      </c>
      <c r="S240" t="e">
        <f>VLOOKUP(B240,'C.P.'!$E$2:$F$164,2,FALSE)</f>
        <v>#N/A</v>
      </c>
      <c r="T240" t="e">
        <f>VLOOKUP(B240,'C.P.'!$G$2:$H$164,2,FALSE)</f>
        <v>#N/A</v>
      </c>
    </row>
    <row r="241" spans="3:20">
      <c r="C241" s="212"/>
      <c r="Q241" t="s">
        <v>1915</v>
      </c>
      <c r="R241" t="e">
        <f>VLOOKUP(B241,'C.P.'!$C$2:$D$164,2,FALSE)</f>
        <v>#N/A</v>
      </c>
      <c r="S241" t="e">
        <f>VLOOKUP(B241,'C.P.'!$E$2:$F$164,2,FALSE)</f>
        <v>#N/A</v>
      </c>
      <c r="T241" t="e">
        <f>VLOOKUP(B241,'C.P.'!$G$2:$H$164,2,FALSE)</f>
        <v>#N/A</v>
      </c>
    </row>
    <row r="242" spans="3:20">
      <c r="C242" s="212"/>
      <c r="Q242" t="s">
        <v>1915</v>
      </c>
      <c r="R242" t="e">
        <f>VLOOKUP(B242,'C.P.'!$C$2:$D$164,2,FALSE)</f>
        <v>#N/A</v>
      </c>
      <c r="S242" t="e">
        <f>VLOOKUP(B242,'C.P.'!$E$2:$F$164,2,FALSE)</f>
        <v>#N/A</v>
      </c>
      <c r="T242" t="e">
        <f>VLOOKUP(B242,'C.P.'!$G$2:$H$164,2,FALSE)</f>
        <v>#N/A</v>
      </c>
    </row>
    <row r="243" spans="3:20">
      <c r="C243" s="212"/>
      <c r="Q243" t="s">
        <v>1915</v>
      </c>
      <c r="R243" t="e">
        <f>VLOOKUP(B243,'C.P.'!$C$2:$D$164,2,FALSE)</f>
        <v>#N/A</v>
      </c>
      <c r="S243" t="e">
        <f>VLOOKUP(B243,'C.P.'!$E$2:$F$164,2,FALSE)</f>
        <v>#N/A</v>
      </c>
      <c r="T243" t="e">
        <f>VLOOKUP(B243,'C.P.'!$G$2:$H$164,2,FALSE)</f>
        <v>#N/A</v>
      </c>
    </row>
    <row r="244" spans="3:20">
      <c r="C244" s="212"/>
      <c r="Q244" t="s">
        <v>1915</v>
      </c>
      <c r="R244" t="e">
        <f>VLOOKUP(B244,'C.P.'!$C$2:$D$164,2,FALSE)</f>
        <v>#N/A</v>
      </c>
      <c r="S244" t="e">
        <f>VLOOKUP(B244,'C.P.'!$E$2:$F$164,2,FALSE)</f>
        <v>#N/A</v>
      </c>
      <c r="T244" t="e">
        <f>VLOOKUP(B244,'C.P.'!$G$2:$H$164,2,FALSE)</f>
        <v>#N/A</v>
      </c>
    </row>
    <row r="245" spans="3:20">
      <c r="C245" s="212"/>
      <c r="Q245" t="s">
        <v>1915</v>
      </c>
      <c r="R245" t="e">
        <f>VLOOKUP(B245,'C.P.'!$C$2:$D$164,2,FALSE)</f>
        <v>#N/A</v>
      </c>
      <c r="S245" t="e">
        <f>VLOOKUP(B245,'C.P.'!$E$2:$F$164,2,FALSE)</f>
        <v>#N/A</v>
      </c>
      <c r="T245" t="e">
        <f>VLOOKUP(B245,'C.P.'!$G$2:$H$164,2,FALSE)</f>
        <v>#N/A</v>
      </c>
    </row>
    <row r="246" spans="3:20">
      <c r="C246" s="212"/>
      <c r="Q246" t="s">
        <v>1915</v>
      </c>
      <c r="R246" t="e">
        <f>VLOOKUP(B246,'C.P.'!$C$2:$D$164,2,FALSE)</f>
        <v>#N/A</v>
      </c>
      <c r="S246" t="e">
        <f>VLOOKUP(B246,'C.P.'!$E$2:$F$164,2,FALSE)</f>
        <v>#N/A</v>
      </c>
      <c r="T246" t="e">
        <f>VLOOKUP(B246,'C.P.'!$G$2:$H$164,2,FALSE)</f>
        <v>#N/A</v>
      </c>
    </row>
    <row r="247" spans="3:20">
      <c r="C247" s="212"/>
      <c r="Q247" t="s">
        <v>1915</v>
      </c>
      <c r="R247" t="e">
        <f>VLOOKUP(B247,'C.P.'!$C$2:$D$164,2,FALSE)</f>
        <v>#N/A</v>
      </c>
      <c r="S247" t="e">
        <f>VLOOKUP(B247,'C.P.'!$E$2:$F$164,2,FALSE)</f>
        <v>#N/A</v>
      </c>
      <c r="T247" t="e">
        <f>VLOOKUP(B247,'C.P.'!$G$2:$H$164,2,FALSE)</f>
        <v>#N/A</v>
      </c>
    </row>
    <row r="248" spans="3:20">
      <c r="C248" s="212"/>
      <c r="Q248" t="s">
        <v>1915</v>
      </c>
      <c r="R248" t="e">
        <f>VLOOKUP(B248,'C.P.'!$C$2:$D$164,2,FALSE)</f>
        <v>#N/A</v>
      </c>
      <c r="S248" t="e">
        <f>VLOOKUP(B248,'C.P.'!$E$2:$F$164,2,FALSE)</f>
        <v>#N/A</v>
      </c>
      <c r="T248" t="e">
        <f>VLOOKUP(B248,'C.P.'!$G$2:$H$164,2,FALSE)</f>
        <v>#N/A</v>
      </c>
    </row>
    <row r="249" spans="3:20">
      <c r="C249" s="212"/>
      <c r="Q249" t="s">
        <v>1915</v>
      </c>
      <c r="R249" t="e">
        <f>VLOOKUP(B249,'C.P.'!$C$2:$D$164,2,FALSE)</f>
        <v>#N/A</v>
      </c>
      <c r="S249" t="e">
        <f>VLOOKUP(B249,'C.P.'!$E$2:$F$164,2,FALSE)</f>
        <v>#N/A</v>
      </c>
      <c r="T249" t="e">
        <f>VLOOKUP(B249,'C.P.'!$G$2:$H$164,2,FALSE)</f>
        <v>#N/A</v>
      </c>
    </row>
    <row r="250" spans="3:20">
      <c r="C250" s="212"/>
      <c r="Q250" t="s">
        <v>1915</v>
      </c>
      <c r="R250" t="e">
        <f>VLOOKUP(B250,'C.P.'!$C$2:$D$164,2,FALSE)</f>
        <v>#N/A</v>
      </c>
      <c r="S250" t="e">
        <f>VLOOKUP(B250,'C.P.'!$E$2:$F$164,2,FALSE)</f>
        <v>#N/A</v>
      </c>
      <c r="T250" t="e">
        <f>VLOOKUP(B250,'C.P.'!$G$2:$H$164,2,FALSE)</f>
        <v>#N/A</v>
      </c>
    </row>
    <row r="251" spans="3:20">
      <c r="C251" s="212"/>
      <c r="Q251" t="s">
        <v>1915</v>
      </c>
      <c r="R251" t="e">
        <f>VLOOKUP(B251,'C.P.'!$C$2:$D$164,2,FALSE)</f>
        <v>#N/A</v>
      </c>
      <c r="S251" t="e">
        <f>VLOOKUP(B251,'C.P.'!$E$2:$F$164,2,FALSE)</f>
        <v>#N/A</v>
      </c>
      <c r="T251" t="e">
        <f>VLOOKUP(B251,'C.P.'!$G$2:$H$164,2,FALSE)</f>
        <v>#N/A</v>
      </c>
    </row>
    <row r="252" spans="3:20">
      <c r="C252" s="212"/>
      <c r="Q252" t="s">
        <v>1915</v>
      </c>
      <c r="R252" t="e">
        <f>VLOOKUP(B252,'C.P.'!$C$2:$D$164,2,FALSE)</f>
        <v>#N/A</v>
      </c>
      <c r="S252" t="e">
        <f>VLOOKUP(B252,'C.P.'!$E$2:$F$164,2,FALSE)</f>
        <v>#N/A</v>
      </c>
      <c r="T252" t="e">
        <f>VLOOKUP(B252,'C.P.'!$G$2:$H$164,2,FALSE)</f>
        <v>#N/A</v>
      </c>
    </row>
    <row r="253" spans="3:20">
      <c r="C253" s="212"/>
      <c r="Q253" t="s">
        <v>1915</v>
      </c>
      <c r="R253" t="e">
        <f>VLOOKUP(B253,'C.P.'!$C$2:$D$164,2,FALSE)</f>
        <v>#N/A</v>
      </c>
      <c r="S253" t="e">
        <f>VLOOKUP(B253,'C.P.'!$E$2:$F$164,2,FALSE)</f>
        <v>#N/A</v>
      </c>
      <c r="T253" t="e">
        <f>VLOOKUP(B253,'C.P.'!$G$2:$H$164,2,FALSE)</f>
        <v>#N/A</v>
      </c>
    </row>
    <row r="254" spans="3:20">
      <c r="C254" s="212"/>
      <c r="Q254" t="s">
        <v>1915</v>
      </c>
      <c r="R254" t="e">
        <f>VLOOKUP(B254,'C.P.'!$C$2:$D$164,2,FALSE)</f>
        <v>#N/A</v>
      </c>
      <c r="S254" t="e">
        <f>VLOOKUP(B254,'C.P.'!$E$2:$F$164,2,FALSE)</f>
        <v>#N/A</v>
      </c>
      <c r="T254" t="e">
        <f>VLOOKUP(B254,'C.P.'!$G$2:$H$164,2,FALSE)</f>
        <v>#N/A</v>
      </c>
    </row>
    <row r="255" spans="3:20">
      <c r="C255" s="212"/>
      <c r="Q255" t="s">
        <v>1915</v>
      </c>
      <c r="R255" t="e">
        <f>VLOOKUP(B255,'C.P.'!$C$2:$D$164,2,FALSE)</f>
        <v>#N/A</v>
      </c>
      <c r="S255" t="e">
        <f>VLOOKUP(B255,'C.P.'!$E$2:$F$164,2,FALSE)</f>
        <v>#N/A</v>
      </c>
      <c r="T255" t="e">
        <f>VLOOKUP(B255,'C.P.'!$G$2:$H$164,2,FALSE)</f>
        <v>#N/A</v>
      </c>
    </row>
    <row r="256" spans="3:20">
      <c r="C256" s="212"/>
      <c r="Q256" t="s">
        <v>1915</v>
      </c>
      <c r="R256" t="e">
        <f>VLOOKUP(B256,'C.P.'!$C$2:$D$164,2,FALSE)</f>
        <v>#N/A</v>
      </c>
      <c r="S256" t="e">
        <f>VLOOKUP(B256,'C.P.'!$E$2:$F$164,2,FALSE)</f>
        <v>#N/A</v>
      </c>
      <c r="T256" t="e">
        <f>VLOOKUP(B256,'C.P.'!$G$2:$H$164,2,FALSE)</f>
        <v>#N/A</v>
      </c>
    </row>
    <row r="257" spans="3:20">
      <c r="C257" s="212"/>
      <c r="Q257" t="s">
        <v>1915</v>
      </c>
      <c r="R257" t="e">
        <f>VLOOKUP(B257,'C.P.'!$C$2:$D$164,2,FALSE)</f>
        <v>#N/A</v>
      </c>
      <c r="S257" t="e">
        <f>VLOOKUP(B257,'C.P.'!$E$2:$F$164,2,FALSE)</f>
        <v>#N/A</v>
      </c>
      <c r="T257" t="e">
        <f>VLOOKUP(B257,'C.P.'!$G$2:$H$164,2,FALSE)</f>
        <v>#N/A</v>
      </c>
    </row>
    <row r="258" spans="3:20">
      <c r="C258" s="212"/>
      <c r="Q258" t="s">
        <v>1915</v>
      </c>
      <c r="R258" t="e">
        <f>VLOOKUP(B258,'C.P.'!$C$2:$D$164,2,FALSE)</f>
        <v>#N/A</v>
      </c>
      <c r="S258" t="e">
        <f>VLOOKUP(B258,'C.P.'!$E$2:$F$164,2,FALSE)</f>
        <v>#N/A</v>
      </c>
      <c r="T258" t="e">
        <f>VLOOKUP(B258,'C.P.'!$G$2:$H$164,2,FALSE)</f>
        <v>#N/A</v>
      </c>
    </row>
    <row r="259" spans="3:20">
      <c r="C259" s="212"/>
      <c r="Q259" t="s">
        <v>1915</v>
      </c>
      <c r="R259" t="e">
        <f>VLOOKUP(B259,'C.P.'!$C$2:$D$164,2,FALSE)</f>
        <v>#N/A</v>
      </c>
      <c r="S259" t="e">
        <f>VLOOKUP(B259,'C.P.'!$E$2:$F$164,2,FALSE)</f>
        <v>#N/A</v>
      </c>
      <c r="T259" t="e">
        <f>VLOOKUP(B259,'C.P.'!$G$2:$H$164,2,FALSE)</f>
        <v>#N/A</v>
      </c>
    </row>
    <row r="260" spans="3:20">
      <c r="C260" s="212"/>
      <c r="Q260" t="s">
        <v>1915</v>
      </c>
      <c r="R260" t="e">
        <f>VLOOKUP(B260,'C.P.'!$C$2:$D$164,2,FALSE)</f>
        <v>#N/A</v>
      </c>
      <c r="S260" t="e">
        <f>VLOOKUP(B260,'C.P.'!$E$2:$F$164,2,FALSE)</f>
        <v>#N/A</v>
      </c>
      <c r="T260" t="e">
        <f>VLOOKUP(B260,'C.P.'!$G$2:$H$164,2,FALSE)</f>
        <v>#N/A</v>
      </c>
    </row>
    <row r="261" spans="3:20">
      <c r="C261" s="212"/>
      <c r="Q261" t="s">
        <v>1915</v>
      </c>
      <c r="R261" t="e">
        <f>VLOOKUP(B261,'C.P.'!$C$2:$D$164,2,FALSE)</f>
        <v>#N/A</v>
      </c>
      <c r="S261" t="e">
        <f>VLOOKUP(B261,'C.P.'!$E$2:$F$164,2,FALSE)</f>
        <v>#N/A</v>
      </c>
      <c r="T261" t="e">
        <f>VLOOKUP(B261,'C.P.'!$G$2:$H$164,2,FALSE)</f>
        <v>#N/A</v>
      </c>
    </row>
    <row r="262" spans="3:20">
      <c r="C262" s="212"/>
      <c r="Q262" t="s">
        <v>1915</v>
      </c>
      <c r="R262" t="e">
        <f>VLOOKUP(B262,'C.P.'!$C$2:$D$164,2,FALSE)</f>
        <v>#N/A</v>
      </c>
      <c r="S262" t="e">
        <f>VLOOKUP(B262,'C.P.'!$E$2:$F$164,2,FALSE)</f>
        <v>#N/A</v>
      </c>
      <c r="T262" t="e">
        <f>VLOOKUP(B262,'C.P.'!$G$2:$H$164,2,FALSE)</f>
        <v>#N/A</v>
      </c>
    </row>
    <row r="263" spans="3:20">
      <c r="C263" s="212"/>
      <c r="Q263" t="s">
        <v>1915</v>
      </c>
      <c r="R263" t="e">
        <f>VLOOKUP(B263,'C.P.'!$C$2:$D$164,2,FALSE)</f>
        <v>#N/A</v>
      </c>
      <c r="S263" t="e">
        <f>VLOOKUP(B263,'C.P.'!$E$2:$F$164,2,FALSE)</f>
        <v>#N/A</v>
      </c>
      <c r="T263" t="e">
        <f>VLOOKUP(B263,'C.P.'!$G$2:$H$164,2,FALSE)</f>
        <v>#N/A</v>
      </c>
    </row>
    <row r="264" spans="3:20">
      <c r="C264" s="212"/>
      <c r="Q264" t="s">
        <v>1915</v>
      </c>
      <c r="R264" t="e">
        <f>VLOOKUP(B264,'C.P.'!$C$2:$D$164,2,FALSE)</f>
        <v>#N/A</v>
      </c>
      <c r="S264" t="e">
        <f>VLOOKUP(B264,'C.P.'!$E$2:$F$164,2,FALSE)</f>
        <v>#N/A</v>
      </c>
      <c r="T264" t="e">
        <f>VLOOKUP(B264,'C.P.'!$G$2:$H$164,2,FALSE)</f>
        <v>#N/A</v>
      </c>
    </row>
    <row r="265" spans="3:20">
      <c r="C265" s="212"/>
      <c r="Q265" t="s">
        <v>1915</v>
      </c>
      <c r="R265" t="e">
        <f>VLOOKUP(B265,'C.P.'!$C$2:$D$164,2,FALSE)</f>
        <v>#N/A</v>
      </c>
      <c r="S265" t="e">
        <f>VLOOKUP(B265,'C.P.'!$E$2:$F$164,2,FALSE)</f>
        <v>#N/A</v>
      </c>
      <c r="T265" t="e">
        <f>VLOOKUP(B265,'C.P.'!$G$2:$H$164,2,FALSE)</f>
        <v>#N/A</v>
      </c>
    </row>
    <row r="266" spans="3:20">
      <c r="C266" s="212"/>
      <c r="Q266" t="s">
        <v>1915</v>
      </c>
      <c r="R266" t="e">
        <f>VLOOKUP(B266,'C.P.'!$C$2:$D$164,2,FALSE)</f>
        <v>#N/A</v>
      </c>
      <c r="S266" t="e">
        <f>VLOOKUP(B266,'C.P.'!$E$2:$F$164,2,FALSE)</f>
        <v>#N/A</v>
      </c>
      <c r="T266" t="e">
        <f>VLOOKUP(B266,'C.P.'!$G$2:$H$164,2,FALSE)</f>
        <v>#N/A</v>
      </c>
    </row>
    <row r="267" spans="3:20">
      <c r="C267" s="212"/>
      <c r="Q267" t="s">
        <v>1915</v>
      </c>
      <c r="R267" t="e">
        <f>VLOOKUP(B267,'C.P.'!$C$2:$D$164,2,FALSE)</f>
        <v>#N/A</v>
      </c>
      <c r="S267" t="e">
        <f>VLOOKUP(B267,'C.P.'!$E$2:$F$164,2,FALSE)</f>
        <v>#N/A</v>
      </c>
      <c r="T267" t="e">
        <f>VLOOKUP(B267,'C.P.'!$G$2:$H$164,2,FALSE)</f>
        <v>#N/A</v>
      </c>
    </row>
    <row r="268" spans="3:20">
      <c r="C268" s="212"/>
      <c r="Q268" t="s">
        <v>1915</v>
      </c>
      <c r="R268" t="e">
        <f>VLOOKUP(B268,'C.P.'!$C$2:$D$164,2,FALSE)</f>
        <v>#N/A</v>
      </c>
      <c r="S268" t="e">
        <f>VLOOKUP(B268,'C.P.'!$E$2:$F$164,2,FALSE)</f>
        <v>#N/A</v>
      </c>
      <c r="T268" t="e">
        <f>VLOOKUP(B268,'C.P.'!$G$2:$H$164,2,FALSE)</f>
        <v>#N/A</v>
      </c>
    </row>
    <row r="269" spans="3:20">
      <c r="C269" s="212"/>
      <c r="Q269" t="s">
        <v>1915</v>
      </c>
      <c r="R269" t="e">
        <f>VLOOKUP(B269,'C.P.'!$C$2:$D$164,2,FALSE)</f>
        <v>#N/A</v>
      </c>
      <c r="S269" t="e">
        <f>VLOOKUP(B269,'C.P.'!$E$2:$F$164,2,FALSE)</f>
        <v>#N/A</v>
      </c>
      <c r="T269" t="e">
        <f>VLOOKUP(B269,'C.P.'!$G$2:$H$164,2,FALSE)</f>
        <v>#N/A</v>
      </c>
    </row>
    <row r="270" spans="3:20">
      <c r="C270" s="212"/>
      <c r="Q270" t="s">
        <v>1915</v>
      </c>
      <c r="R270" t="e">
        <f>VLOOKUP(B270,'C.P.'!$C$2:$D$164,2,FALSE)</f>
        <v>#N/A</v>
      </c>
      <c r="S270" t="e">
        <f>VLOOKUP(B270,'C.P.'!$E$2:$F$164,2,FALSE)</f>
        <v>#N/A</v>
      </c>
      <c r="T270" t="e">
        <f>VLOOKUP(B270,'C.P.'!$G$2:$H$164,2,FALSE)</f>
        <v>#N/A</v>
      </c>
    </row>
    <row r="271" spans="3:20">
      <c r="C271" s="212"/>
      <c r="Q271" t="s">
        <v>1915</v>
      </c>
      <c r="R271" t="e">
        <f>VLOOKUP(B271,'C.P.'!$C$2:$D$164,2,FALSE)</f>
        <v>#N/A</v>
      </c>
      <c r="S271" t="e">
        <f>VLOOKUP(B271,'C.P.'!$E$2:$F$164,2,FALSE)</f>
        <v>#N/A</v>
      </c>
      <c r="T271" t="e">
        <f>VLOOKUP(B271,'C.P.'!$G$2:$H$164,2,FALSE)</f>
        <v>#N/A</v>
      </c>
    </row>
    <row r="272" spans="3:20">
      <c r="C272" s="212"/>
      <c r="Q272" t="s">
        <v>1915</v>
      </c>
      <c r="R272" t="e">
        <f>VLOOKUP(B272,'C.P.'!$C$2:$D$164,2,FALSE)</f>
        <v>#N/A</v>
      </c>
      <c r="S272" t="e">
        <f>VLOOKUP(B272,'C.P.'!$E$2:$F$164,2,FALSE)</f>
        <v>#N/A</v>
      </c>
      <c r="T272" t="e">
        <f>VLOOKUP(B272,'C.P.'!$G$2:$H$164,2,FALSE)</f>
        <v>#N/A</v>
      </c>
    </row>
    <row r="273" spans="3:20">
      <c r="C273" s="212"/>
      <c r="Q273" t="s">
        <v>1915</v>
      </c>
      <c r="R273" t="e">
        <f>VLOOKUP(B273,'C.P.'!$C$2:$D$164,2,FALSE)</f>
        <v>#N/A</v>
      </c>
      <c r="S273" t="e">
        <f>VLOOKUP(B273,'C.P.'!$E$2:$F$164,2,FALSE)</f>
        <v>#N/A</v>
      </c>
      <c r="T273" t="e">
        <f>VLOOKUP(B273,'C.P.'!$G$2:$H$164,2,FALSE)</f>
        <v>#N/A</v>
      </c>
    </row>
    <row r="274" spans="3:20">
      <c r="C274" s="212"/>
      <c r="Q274" t="s">
        <v>1915</v>
      </c>
      <c r="R274" t="e">
        <f>VLOOKUP(B274,'C.P.'!$C$2:$D$164,2,FALSE)</f>
        <v>#N/A</v>
      </c>
      <c r="S274" t="e">
        <f>VLOOKUP(B274,'C.P.'!$E$2:$F$164,2,FALSE)</f>
        <v>#N/A</v>
      </c>
      <c r="T274" t="e">
        <f>VLOOKUP(B274,'C.P.'!$G$2:$H$164,2,FALSE)</f>
        <v>#N/A</v>
      </c>
    </row>
    <row r="275" spans="3:20">
      <c r="C275" s="212"/>
      <c r="Q275" t="str">
        <f>""</f>
        <v/>
      </c>
    </row>
    <row r="276" spans="3:20">
      <c r="C276" s="212"/>
      <c r="Q276" t="str">
        <f>""</f>
        <v/>
      </c>
    </row>
    <row r="277" spans="3:20">
      <c r="C277" s="212"/>
      <c r="Q277" t="str">
        <f>""</f>
        <v/>
      </c>
    </row>
    <row r="278" spans="3:20">
      <c r="C278" s="212"/>
      <c r="Q278" t="str">
        <f>""</f>
        <v/>
      </c>
    </row>
    <row r="279" spans="3:20">
      <c r="C279" s="212"/>
      <c r="Q279" t="str">
        <f>""</f>
        <v/>
      </c>
    </row>
    <row r="280" spans="3:20">
      <c r="C280" s="212"/>
      <c r="Q280" t="str">
        <f>""</f>
        <v/>
      </c>
    </row>
    <row r="281" spans="3:20">
      <c r="C281" s="212"/>
      <c r="Q281" t="str">
        <f>""</f>
        <v/>
      </c>
    </row>
    <row r="282" spans="3:20">
      <c r="C282" s="212"/>
      <c r="Q282" t="str">
        <f>""</f>
        <v/>
      </c>
    </row>
    <row r="283" spans="3:20">
      <c r="C283" s="212"/>
      <c r="Q283" t="str">
        <f>""</f>
        <v/>
      </c>
    </row>
    <row r="284" spans="3:20">
      <c r="C284" s="212"/>
      <c r="Q284" t="str">
        <f>""</f>
        <v/>
      </c>
      <c r="S284">
        <v>1</v>
      </c>
      <c r="T284">
        <v>2</v>
      </c>
    </row>
    <row r="285" spans="3:20">
      <c r="C285" s="212"/>
      <c r="Q285" t="str">
        <f>""</f>
        <v/>
      </c>
    </row>
    <row r="286" spans="3:20">
      <c r="C286" s="212"/>
      <c r="Q286" t="str">
        <f>""</f>
        <v/>
      </c>
    </row>
    <row r="287" spans="3:20">
      <c r="C287" s="212"/>
      <c r="Q287" t="str">
        <f>""</f>
        <v/>
      </c>
    </row>
    <row r="288" spans="3:20">
      <c r="C288" s="212"/>
      <c r="Q288" t="str">
        <f>""</f>
        <v/>
      </c>
      <c r="S288">
        <v>2</v>
      </c>
      <c r="T288">
        <v>1</v>
      </c>
    </row>
    <row r="289" spans="3:20">
      <c r="C289" s="212"/>
      <c r="Q289" t="str">
        <f>""</f>
        <v/>
      </c>
      <c r="T289">
        <v>3</v>
      </c>
    </row>
    <row r="290" spans="3:20">
      <c r="C290" s="212"/>
      <c r="Q290" t="str">
        <f>""</f>
        <v/>
      </c>
    </row>
    <row r="291" spans="3:20">
      <c r="C291" s="212"/>
      <c r="Q291" t="str">
        <f>""</f>
        <v/>
      </c>
    </row>
    <row r="292" spans="3:20">
      <c r="C292" s="212"/>
      <c r="Q292" t="str">
        <f>""</f>
        <v/>
      </c>
    </row>
    <row r="293" spans="3:20">
      <c r="C293" s="212"/>
      <c r="Q293" t="str">
        <f>""</f>
        <v/>
      </c>
      <c r="R293">
        <v>3</v>
      </c>
    </row>
    <row r="294" spans="3:20">
      <c r="C294" s="212"/>
      <c r="Q294" t="str">
        <f>""</f>
        <v/>
      </c>
      <c r="S294">
        <v>3</v>
      </c>
    </row>
    <row r="295" spans="3:20">
      <c r="C295" s="212"/>
      <c r="Q295" t="str">
        <f>""</f>
        <v/>
      </c>
    </row>
    <row r="296" spans="3:20">
      <c r="C296" s="212"/>
      <c r="Q296" t="str">
        <f>""</f>
        <v/>
      </c>
    </row>
    <row r="297" spans="3:20">
      <c r="C297" s="212"/>
      <c r="Q297" t="str">
        <f>""</f>
        <v/>
      </c>
    </row>
    <row r="298" spans="3:20">
      <c r="C298" s="212"/>
      <c r="Q298" t="str">
        <f>""</f>
        <v/>
      </c>
      <c r="S298">
        <v>1</v>
      </c>
      <c r="T298">
        <v>1</v>
      </c>
    </row>
    <row r="299" spans="3:20">
      <c r="C299" s="212"/>
      <c r="Q299" t="str">
        <f>""</f>
        <v/>
      </c>
      <c r="S299">
        <v>2</v>
      </c>
    </row>
    <row r="300" spans="3:20">
      <c r="C300" s="212"/>
      <c r="Q300" t="str">
        <f>""</f>
        <v/>
      </c>
      <c r="R300">
        <v>1</v>
      </c>
    </row>
    <row r="301" spans="3:20">
      <c r="C301" s="212"/>
      <c r="Q301" t="str">
        <f>""</f>
        <v/>
      </c>
    </row>
    <row r="302" spans="3:20">
      <c r="C302" s="212"/>
      <c r="Q302" t="str">
        <f>""</f>
        <v/>
      </c>
    </row>
    <row r="303" spans="3:20">
      <c r="C303" s="212"/>
      <c r="Q303" t="str">
        <f>""</f>
        <v/>
      </c>
      <c r="S303">
        <v>3</v>
      </c>
      <c r="T303">
        <v>2</v>
      </c>
    </row>
    <row r="304" spans="3:20">
      <c r="C304" s="212"/>
      <c r="Q304" t="str">
        <f>""</f>
        <v/>
      </c>
      <c r="R304">
        <v>1</v>
      </c>
      <c r="S304">
        <v>1</v>
      </c>
      <c r="T304">
        <v>1</v>
      </c>
    </row>
    <row r="305" spans="3:19">
      <c r="C305" s="212"/>
      <c r="Q305" t="str">
        <f>""</f>
        <v/>
      </c>
    </row>
    <row r="306" spans="3:19">
      <c r="C306" s="212"/>
      <c r="Q306" t="str">
        <f>""</f>
        <v/>
      </c>
    </row>
    <row r="307" spans="3:19">
      <c r="C307" s="212"/>
      <c r="Q307" t="str">
        <f>""</f>
        <v/>
      </c>
    </row>
    <row r="308" spans="3:19">
      <c r="C308" s="212"/>
      <c r="Q308" t="str">
        <f>""</f>
        <v/>
      </c>
    </row>
    <row r="309" spans="3:19">
      <c r="C309" s="212"/>
      <c r="Q309" t="str">
        <f>""</f>
        <v/>
      </c>
    </row>
    <row r="310" spans="3:19">
      <c r="C310" s="212"/>
      <c r="Q310" t="str">
        <f>""</f>
        <v/>
      </c>
    </row>
    <row r="311" spans="3:19">
      <c r="C311" s="212"/>
      <c r="Q311" t="str">
        <f>""</f>
        <v/>
      </c>
    </row>
    <row r="312" spans="3:19">
      <c r="C312" s="212"/>
      <c r="Q312" t="str">
        <f>""</f>
        <v/>
      </c>
      <c r="R312">
        <v>3</v>
      </c>
      <c r="S312">
        <v>1</v>
      </c>
    </row>
    <row r="313" spans="3:19">
      <c r="C313" s="212"/>
      <c r="Q313" t="str">
        <f>""</f>
        <v/>
      </c>
    </row>
    <row r="314" spans="3:19">
      <c r="C314" s="212"/>
      <c r="Q314" t="str">
        <f>""</f>
        <v/>
      </c>
    </row>
    <row r="315" spans="3:19">
      <c r="C315" s="212"/>
      <c r="Q315" t="str">
        <f>""</f>
        <v/>
      </c>
      <c r="S315">
        <v>2</v>
      </c>
    </row>
    <row r="316" spans="3:19">
      <c r="C316" s="212"/>
      <c r="Q316" t="str">
        <f>""</f>
        <v/>
      </c>
    </row>
    <row r="317" spans="3:19">
      <c r="C317" s="212"/>
      <c r="Q317" t="str">
        <f>""</f>
        <v/>
      </c>
    </row>
    <row r="318" spans="3:19">
      <c r="C318" s="212"/>
      <c r="Q318" t="str">
        <f>""</f>
        <v/>
      </c>
    </row>
    <row r="319" spans="3:19">
      <c r="C319" s="212"/>
      <c r="Q319" t="str">
        <f>""</f>
        <v/>
      </c>
    </row>
    <row r="320" spans="3:19">
      <c r="C320" s="212"/>
      <c r="Q320" t="str">
        <f>""</f>
        <v/>
      </c>
    </row>
    <row r="321" spans="3:20">
      <c r="C321" s="212"/>
      <c r="Q321" t="str">
        <f>""</f>
        <v/>
      </c>
    </row>
    <row r="322" spans="3:20">
      <c r="C322" s="212"/>
      <c r="Q322" t="str">
        <f>""</f>
        <v/>
      </c>
    </row>
    <row r="323" spans="3:20">
      <c r="C323" s="212"/>
      <c r="Q323" t="str">
        <f>""</f>
        <v/>
      </c>
      <c r="T323">
        <v>3</v>
      </c>
    </row>
    <row r="324" spans="3:20">
      <c r="C324" s="212"/>
      <c r="Q324" t="str">
        <f>""</f>
        <v/>
      </c>
    </row>
    <row r="325" spans="3:20">
      <c r="C325" s="212"/>
      <c r="Q325" t="str">
        <f>""</f>
        <v/>
      </c>
    </row>
    <row r="326" spans="3:20">
      <c r="C326" s="212"/>
      <c r="Q326" t="str">
        <f>""</f>
        <v/>
      </c>
      <c r="R326">
        <v>3</v>
      </c>
      <c r="S326">
        <v>1</v>
      </c>
    </row>
    <row r="327" spans="3:20">
      <c r="C327" s="212"/>
      <c r="Q327" t="str">
        <f>""</f>
        <v/>
      </c>
    </row>
    <row r="328" spans="3:20">
      <c r="C328" s="212"/>
      <c r="Q328" t="str">
        <f>""</f>
        <v/>
      </c>
      <c r="T328">
        <v>2</v>
      </c>
    </row>
    <row r="329" spans="3:20">
      <c r="C329" s="212"/>
      <c r="Q329" t="str">
        <f>""</f>
        <v/>
      </c>
    </row>
    <row r="330" spans="3:20">
      <c r="C330" s="212"/>
      <c r="Q330" t="str">
        <f>""</f>
        <v/>
      </c>
      <c r="T330">
        <v>3</v>
      </c>
    </row>
    <row r="331" spans="3:20">
      <c r="C331" s="212"/>
      <c r="Q331" t="str">
        <f>""</f>
        <v/>
      </c>
      <c r="T331">
        <v>1</v>
      </c>
    </row>
    <row r="332" spans="3:20">
      <c r="C332" s="212"/>
      <c r="Q332" t="str">
        <f>""</f>
        <v/>
      </c>
    </row>
    <row r="333" spans="3:20">
      <c r="C333" s="212"/>
      <c r="Q333" t="str">
        <f>""</f>
        <v/>
      </c>
    </row>
    <row r="334" spans="3:20">
      <c r="C334" s="212"/>
      <c r="Q334" t="str">
        <f>""</f>
        <v/>
      </c>
    </row>
    <row r="335" spans="3:20">
      <c r="C335" s="212"/>
      <c r="Q335" t="str">
        <f>""</f>
        <v/>
      </c>
    </row>
    <row r="336" spans="3:20">
      <c r="C336" s="212"/>
      <c r="Q336" t="str">
        <f>""</f>
        <v/>
      </c>
    </row>
    <row r="337" spans="3:20">
      <c r="C337" s="212"/>
      <c r="Q337" t="str">
        <f>""</f>
        <v/>
      </c>
    </row>
    <row r="338" spans="3:20">
      <c r="C338" s="212"/>
      <c r="Q338" t="str">
        <f>""</f>
        <v/>
      </c>
    </row>
    <row r="339" spans="3:20">
      <c r="C339" s="212"/>
      <c r="Q339" t="str">
        <f>""</f>
        <v/>
      </c>
    </row>
    <row r="340" spans="3:20">
      <c r="C340" s="212"/>
      <c r="Q340" t="str">
        <f>""</f>
        <v/>
      </c>
      <c r="T340">
        <v>3</v>
      </c>
    </row>
    <row r="341" spans="3:20">
      <c r="C341" s="212"/>
      <c r="Q341" t="str">
        <f>""</f>
        <v/>
      </c>
      <c r="R341">
        <v>2</v>
      </c>
      <c r="S341">
        <v>2</v>
      </c>
      <c r="T341">
        <v>2</v>
      </c>
    </row>
    <row r="342" spans="3:20">
      <c r="C342" s="212"/>
      <c r="Q342" t="str">
        <f>""</f>
        <v/>
      </c>
    </row>
    <row r="343" spans="3:20">
      <c r="C343" s="212"/>
      <c r="Q343" t="str">
        <f>""</f>
        <v/>
      </c>
    </row>
    <row r="344" spans="3:20">
      <c r="C344" s="212"/>
      <c r="Q344" t="str">
        <f>""</f>
        <v/>
      </c>
    </row>
    <row r="345" spans="3:20">
      <c r="C345" s="212"/>
      <c r="Q345" t="str">
        <f>""</f>
        <v/>
      </c>
      <c r="R345">
        <v>3</v>
      </c>
      <c r="S345">
        <v>1</v>
      </c>
      <c r="T345">
        <v>1</v>
      </c>
    </row>
    <row r="346" spans="3:20">
      <c r="C346" s="212"/>
      <c r="Q346" t="str">
        <f>""</f>
        <v/>
      </c>
    </row>
    <row r="347" spans="3:20">
      <c r="C347" s="212"/>
      <c r="Q347" t="str">
        <f>""</f>
        <v/>
      </c>
    </row>
    <row r="348" spans="3:20">
      <c r="C348" s="212"/>
      <c r="Q348" t="str">
        <f>""</f>
        <v/>
      </c>
    </row>
    <row r="349" spans="3:20">
      <c r="C349" s="212"/>
      <c r="Q349" t="str">
        <f>""</f>
        <v/>
      </c>
      <c r="R349">
        <v>2</v>
      </c>
      <c r="S349">
        <v>1</v>
      </c>
      <c r="T349">
        <v>1</v>
      </c>
    </row>
    <row r="350" spans="3:20">
      <c r="C350" s="212"/>
      <c r="Q350" t="str">
        <f>""</f>
        <v/>
      </c>
    </row>
    <row r="351" spans="3:20">
      <c r="C351" s="212"/>
      <c r="Q351" t="str">
        <f>""</f>
        <v/>
      </c>
    </row>
    <row r="352" spans="3:20">
      <c r="C352" s="212"/>
      <c r="Q352" t="str">
        <f>""</f>
        <v/>
      </c>
    </row>
    <row r="353" spans="3:20">
      <c r="C353" s="212"/>
      <c r="Q353" t="str">
        <f>""</f>
        <v/>
      </c>
    </row>
    <row r="354" spans="3:20">
      <c r="C354" s="212"/>
      <c r="Q354" t="str">
        <f>""</f>
        <v/>
      </c>
      <c r="S354">
        <v>3</v>
      </c>
      <c r="T354">
        <v>3</v>
      </c>
    </row>
    <row r="355" spans="3:20">
      <c r="C355" s="212"/>
      <c r="Q355" t="str">
        <f>""</f>
        <v/>
      </c>
    </row>
    <row r="356" spans="3:20">
      <c r="C356" s="212"/>
      <c r="Q356" t="str">
        <f>""</f>
        <v/>
      </c>
    </row>
    <row r="357" spans="3:20">
      <c r="C357" s="212"/>
      <c r="Q357" t="str">
        <f>""</f>
        <v/>
      </c>
    </row>
    <row r="358" spans="3:20">
      <c r="C358" s="212"/>
      <c r="Q358" t="str">
        <f>""</f>
        <v/>
      </c>
    </row>
    <row r="359" spans="3:20">
      <c r="C359" s="212"/>
      <c r="Q359" t="str">
        <f>""</f>
        <v/>
      </c>
    </row>
    <row r="360" spans="3:20">
      <c r="C360" s="212"/>
      <c r="Q360" t="str">
        <f>""</f>
        <v/>
      </c>
      <c r="T360">
        <v>3</v>
      </c>
    </row>
    <row r="361" spans="3:20">
      <c r="C361" s="212"/>
      <c r="Q361" t="str">
        <f>""</f>
        <v/>
      </c>
    </row>
    <row r="362" spans="3:20">
      <c r="C362" s="212"/>
      <c r="Q362" t="str">
        <f>""</f>
        <v/>
      </c>
    </row>
    <row r="363" spans="3:20">
      <c r="C363" s="212"/>
      <c r="Q363" t="str">
        <f>""</f>
        <v/>
      </c>
      <c r="R363">
        <v>3</v>
      </c>
      <c r="S363">
        <v>1</v>
      </c>
      <c r="T363">
        <v>1</v>
      </c>
    </row>
    <row r="364" spans="3:20">
      <c r="C364" s="212"/>
      <c r="Q364" t="str">
        <f>""</f>
        <v/>
      </c>
    </row>
    <row r="365" spans="3:20">
      <c r="C365" s="212"/>
      <c r="Q365" t="str">
        <f>""</f>
        <v/>
      </c>
      <c r="S365">
        <v>2</v>
      </c>
      <c r="T365">
        <v>2</v>
      </c>
    </row>
    <row r="366" spans="3:20">
      <c r="C366" s="212"/>
      <c r="Q366" t="str">
        <f>""</f>
        <v/>
      </c>
      <c r="R366">
        <v>1</v>
      </c>
      <c r="S366">
        <v>1</v>
      </c>
      <c r="T366">
        <v>1</v>
      </c>
    </row>
    <row r="367" spans="3:20">
      <c r="C367" s="212"/>
      <c r="Q367" t="str">
        <f>""</f>
        <v/>
      </c>
      <c r="S367">
        <v>3</v>
      </c>
      <c r="T367">
        <v>3</v>
      </c>
    </row>
    <row r="368" spans="3:20">
      <c r="C368" s="212"/>
      <c r="Q368" t="str">
        <f>""</f>
        <v/>
      </c>
    </row>
    <row r="369" spans="3:20">
      <c r="C369" s="212"/>
      <c r="Q369" t="str">
        <f>""</f>
        <v/>
      </c>
    </row>
    <row r="370" spans="3:20">
      <c r="C370" s="212"/>
      <c r="Q370" t="str">
        <f>""</f>
        <v/>
      </c>
    </row>
    <row r="371" spans="3:20">
      <c r="C371" s="212"/>
      <c r="Q371" t="str">
        <f>""</f>
        <v/>
      </c>
    </row>
    <row r="372" spans="3:20">
      <c r="C372" s="212"/>
      <c r="Q372" t="str">
        <f>""</f>
        <v/>
      </c>
    </row>
    <row r="373" spans="3:20">
      <c r="C373" s="212"/>
      <c r="Q373" t="str">
        <f>""</f>
        <v/>
      </c>
    </row>
    <row r="374" spans="3:20">
      <c r="C374" s="212"/>
      <c r="Q374" t="str">
        <f>""</f>
        <v/>
      </c>
    </row>
    <row r="375" spans="3:20">
      <c r="C375" s="212"/>
      <c r="Q375" t="str">
        <f>""</f>
        <v/>
      </c>
    </row>
    <row r="376" spans="3:20">
      <c r="C376" s="212"/>
      <c r="Q376" t="str">
        <f>""</f>
        <v/>
      </c>
      <c r="R376">
        <v>2</v>
      </c>
      <c r="S376">
        <v>1</v>
      </c>
      <c r="T376">
        <v>1</v>
      </c>
    </row>
    <row r="377" spans="3:20">
      <c r="C377" s="212"/>
      <c r="Q377" t="str">
        <f>""</f>
        <v/>
      </c>
      <c r="S377">
        <v>2</v>
      </c>
      <c r="T377">
        <v>2</v>
      </c>
    </row>
    <row r="378" spans="3:20">
      <c r="C378" s="212"/>
      <c r="Q378" t="str">
        <f>""</f>
        <v/>
      </c>
    </row>
    <row r="379" spans="3:20">
      <c r="C379" s="212"/>
      <c r="Q379" t="str">
        <f>""</f>
        <v/>
      </c>
    </row>
    <row r="380" spans="3:20">
      <c r="C380" s="212"/>
      <c r="Q380" t="str">
        <f>""</f>
        <v/>
      </c>
    </row>
    <row r="381" spans="3:20">
      <c r="C381" s="212"/>
      <c r="Q381" t="str">
        <f>""</f>
        <v/>
      </c>
    </row>
    <row r="382" spans="3:20">
      <c r="C382" s="212"/>
      <c r="Q382" t="str">
        <f>""</f>
        <v/>
      </c>
    </row>
    <row r="383" spans="3:20">
      <c r="C383" s="212"/>
      <c r="Q383" t="str">
        <f>""</f>
        <v/>
      </c>
      <c r="S383">
        <v>3</v>
      </c>
      <c r="T383">
        <v>3</v>
      </c>
    </row>
    <row r="384" spans="3:20">
      <c r="C384" s="212"/>
      <c r="Q384" t="str">
        <f>""</f>
        <v/>
      </c>
    </row>
    <row r="385" spans="3:20">
      <c r="C385" s="212"/>
      <c r="Q385" t="str">
        <f>""</f>
        <v/>
      </c>
    </row>
    <row r="386" spans="3:20">
      <c r="C386" s="212"/>
      <c r="Q386" t="str">
        <f>""</f>
        <v/>
      </c>
    </row>
    <row r="387" spans="3:20">
      <c r="C387" s="212"/>
      <c r="Q387" t="str">
        <f>""</f>
        <v/>
      </c>
    </row>
    <row r="388" spans="3:20">
      <c r="C388" s="212"/>
      <c r="Q388" t="str">
        <f>""</f>
        <v/>
      </c>
    </row>
    <row r="389" spans="3:20">
      <c r="C389" s="212"/>
      <c r="Q389" t="str">
        <f>""</f>
        <v/>
      </c>
      <c r="R389">
        <v>2</v>
      </c>
    </row>
    <row r="390" spans="3:20">
      <c r="C390" s="212"/>
      <c r="Q390" t="str">
        <f>""</f>
        <v/>
      </c>
      <c r="R390">
        <v>3</v>
      </c>
      <c r="S390">
        <v>1</v>
      </c>
      <c r="T390">
        <v>2</v>
      </c>
    </row>
    <row r="391" spans="3:20">
      <c r="C391" s="212"/>
      <c r="Q391" t="str">
        <f>""</f>
        <v/>
      </c>
      <c r="S391">
        <v>3</v>
      </c>
    </row>
    <row r="392" spans="3:20">
      <c r="C392" s="212"/>
      <c r="Q392" t="str">
        <f>""</f>
        <v/>
      </c>
    </row>
    <row r="393" spans="3:20">
      <c r="C393" s="212"/>
      <c r="Q393" t="str">
        <f>""</f>
        <v/>
      </c>
    </row>
    <row r="394" spans="3:20">
      <c r="C394" s="212"/>
      <c r="Q394" t="str">
        <f>""</f>
        <v/>
      </c>
    </row>
    <row r="395" spans="3:20">
      <c r="C395" s="212"/>
      <c r="Q395" t="str">
        <f>""</f>
        <v/>
      </c>
      <c r="R395">
        <v>3</v>
      </c>
    </row>
    <row r="396" spans="3:20">
      <c r="C396" s="212"/>
      <c r="Q396" t="str">
        <f>""</f>
        <v/>
      </c>
    </row>
    <row r="397" spans="3:20">
      <c r="C397" s="212"/>
      <c r="Q397" t="str">
        <f>""</f>
        <v/>
      </c>
      <c r="T397">
        <v>1</v>
      </c>
    </row>
    <row r="398" spans="3:20">
      <c r="C398" s="212"/>
      <c r="Q398" t="str">
        <f>""</f>
        <v/>
      </c>
    </row>
    <row r="399" spans="3:20">
      <c r="C399" s="212"/>
      <c r="Q399" t="str">
        <f>""</f>
        <v/>
      </c>
    </row>
    <row r="400" spans="3:20">
      <c r="C400" s="212"/>
      <c r="Q400" t="str">
        <f>""</f>
        <v/>
      </c>
    </row>
    <row r="401" spans="3:20">
      <c r="C401" s="212"/>
      <c r="Q401" t="str">
        <f>""</f>
        <v/>
      </c>
      <c r="S401">
        <v>2</v>
      </c>
      <c r="T401">
        <v>2</v>
      </c>
    </row>
    <row r="402" spans="3:20">
      <c r="C402" s="212"/>
      <c r="Q402" t="str">
        <f>""</f>
        <v/>
      </c>
    </row>
    <row r="403" spans="3:20">
      <c r="C403" s="212"/>
      <c r="Q403" t="str">
        <f>""</f>
        <v/>
      </c>
    </row>
    <row r="404" spans="3:20">
      <c r="C404" s="212"/>
      <c r="Q404" t="str">
        <f>""</f>
        <v/>
      </c>
    </row>
    <row r="405" spans="3:20">
      <c r="C405" s="212"/>
      <c r="Q405" t="str">
        <f>""</f>
        <v/>
      </c>
    </row>
    <row r="406" spans="3:20">
      <c r="C406" s="212"/>
      <c r="Q406" t="str">
        <f>""</f>
        <v/>
      </c>
      <c r="R406">
        <v>1</v>
      </c>
    </row>
    <row r="407" spans="3:20">
      <c r="C407" s="212"/>
      <c r="Q407" t="str">
        <f>""</f>
        <v/>
      </c>
    </row>
    <row r="408" spans="3:20">
      <c r="C408" s="212"/>
      <c r="Q408" t="str">
        <f>""</f>
        <v/>
      </c>
    </row>
    <row r="409" spans="3:20">
      <c r="C409" s="212"/>
      <c r="Q409" t="str">
        <f>""</f>
        <v/>
      </c>
    </row>
    <row r="410" spans="3:20">
      <c r="C410" s="212"/>
      <c r="Q410" t="str">
        <f>""</f>
        <v/>
      </c>
    </row>
    <row r="411" spans="3:20">
      <c r="C411" s="212"/>
      <c r="Q411" t="str">
        <f>""</f>
        <v/>
      </c>
    </row>
    <row r="412" spans="3:20">
      <c r="C412" s="212"/>
      <c r="Q412" t="str">
        <f>""</f>
        <v/>
      </c>
    </row>
    <row r="413" spans="3:20">
      <c r="C413" s="212"/>
      <c r="Q413" t="str">
        <f>""</f>
        <v/>
      </c>
    </row>
    <row r="414" spans="3:20">
      <c r="C414" s="212"/>
      <c r="Q414" t="str">
        <f>""</f>
        <v/>
      </c>
      <c r="T414">
        <v>1</v>
      </c>
    </row>
    <row r="415" spans="3:20">
      <c r="C415" s="212"/>
      <c r="Q415" t="str">
        <f>""</f>
        <v/>
      </c>
      <c r="T415">
        <v>3</v>
      </c>
    </row>
    <row r="416" spans="3:20">
      <c r="C416" s="212"/>
      <c r="Q416" t="str">
        <f>""</f>
        <v/>
      </c>
      <c r="R416">
        <v>2</v>
      </c>
      <c r="S416">
        <v>3</v>
      </c>
    </row>
    <row r="417" spans="3:20">
      <c r="C417" s="212"/>
      <c r="Q417" t="str">
        <f>""</f>
        <v/>
      </c>
    </row>
    <row r="418" spans="3:20">
      <c r="C418" s="212"/>
      <c r="Q418" t="str">
        <f>""</f>
        <v/>
      </c>
    </row>
    <row r="419" spans="3:20">
      <c r="C419" s="212"/>
      <c r="Q419" t="str">
        <f>""</f>
        <v/>
      </c>
      <c r="S419">
        <v>3</v>
      </c>
      <c r="T419">
        <v>3</v>
      </c>
    </row>
    <row r="420" spans="3:20">
      <c r="C420" s="212"/>
      <c r="Q420" t="str">
        <f>""</f>
        <v/>
      </c>
      <c r="S420">
        <v>2</v>
      </c>
      <c r="T420">
        <v>2</v>
      </c>
    </row>
    <row r="421" spans="3:20">
      <c r="C421" s="212"/>
      <c r="Q421" t="str">
        <f>""</f>
        <v/>
      </c>
    </row>
    <row r="422" spans="3:20">
      <c r="C422" s="212"/>
      <c r="Q422" t="str">
        <f>""</f>
        <v/>
      </c>
    </row>
    <row r="423" spans="3:20">
      <c r="C423" s="212"/>
      <c r="Q423" t="str">
        <f>""</f>
        <v/>
      </c>
    </row>
    <row r="424" spans="3:20">
      <c r="C424" s="212"/>
      <c r="Q424" t="str">
        <f>""</f>
        <v/>
      </c>
    </row>
    <row r="425" spans="3:20">
      <c r="C425" s="212"/>
      <c r="Q425" t="str">
        <f>""</f>
        <v/>
      </c>
    </row>
    <row r="426" spans="3:20">
      <c r="C426" s="212"/>
      <c r="Q426" t="str">
        <f>""</f>
        <v/>
      </c>
    </row>
    <row r="427" spans="3:20">
      <c r="C427" s="212"/>
      <c r="Q427" t="str">
        <f>""</f>
        <v/>
      </c>
    </row>
    <row r="428" spans="3:20">
      <c r="C428" s="212"/>
      <c r="Q428" t="str">
        <f>""</f>
        <v/>
      </c>
    </row>
    <row r="429" spans="3:20">
      <c r="C429" s="212"/>
      <c r="Q429" t="str">
        <f>""</f>
        <v/>
      </c>
    </row>
    <row r="430" spans="3:20">
      <c r="C430" s="212"/>
      <c r="Q430" t="str">
        <f>""</f>
        <v/>
      </c>
    </row>
    <row r="431" spans="3:20">
      <c r="C431" s="212"/>
      <c r="Q431" t="str">
        <f>""</f>
        <v/>
      </c>
    </row>
    <row r="432" spans="3:20">
      <c r="C432" s="212"/>
      <c r="Q432" t="str">
        <f>""</f>
        <v/>
      </c>
    </row>
    <row r="433" spans="3:20">
      <c r="C433" s="212"/>
      <c r="Q433" t="str">
        <f>""</f>
        <v/>
      </c>
    </row>
    <row r="434" spans="3:20">
      <c r="C434" s="212"/>
      <c r="Q434" t="str">
        <f>""</f>
        <v/>
      </c>
      <c r="S434">
        <v>3</v>
      </c>
      <c r="T434">
        <v>3</v>
      </c>
    </row>
    <row r="435" spans="3:20">
      <c r="C435" s="212"/>
      <c r="Q435" t="str">
        <f>""</f>
        <v/>
      </c>
    </row>
    <row r="436" spans="3:20">
      <c r="C436" s="212"/>
      <c r="Q436" t="str">
        <f>""</f>
        <v/>
      </c>
      <c r="S436">
        <v>2</v>
      </c>
      <c r="T436">
        <v>2</v>
      </c>
    </row>
    <row r="437" spans="3:20">
      <c r="C437" s="212"/>
      <c r="Q437" t="str">
        <f>""</f>
        <v/>
      </c>
    </row>
    <row r="438" spans="3:20">
      <c r="C438" s="212"/>
      <c r="Q438" t="str">
        <f>""</f>
        <v/>
      </c>
    </row>
    <row r="439" spans="3:20">
      <c r="C439" s="212"/>
      <c r="Q439" t="str">
        <f>""</f>
        <v/>
      </c>
      <c r="S439">
        <v>2</v>
      </c>
      <c r="T439">
        <v>2</v>
      </c>
    </row>
    <row r="440" spans="3:20">
      <c r="C440" s="212"/>
      <c r="Q440" t="str">
        <f>""</f>
        <v/>
      </c>
    </row>
    <row r="441" spans="3:20">
      <c r="C441" s="212"/>
      <c r="Q441" t="str">
        <f>""</f>
        <v/>
      </c>
      <c r="R441">
        <v>3</v>
      </c>
    </row>
    <row r="442" spans="3:20">
      <c r="C442" s="212"/>
      <c r="Q442" t="str">
        <f>""</f>
        <v/>
      </c>
      <c r="R442">
        <v>2</v>
      </c>
      <c r="S442">
        <v>1</v>
      </c>
      <c r="T442">
        <v>1</v>
      </c>
    </row>
    <row r="443" spans="3:20">
      <c r="C443" s="212"/>
      <c r="Q443" t="str">
        <f>""</f>
        <v/>
      </c>
    </row>
    <row r="444" spans="3:20">
      <c r="C444" s="212"/>
      <c r="Q444" t="str">
        <f>""</f>
        <v/>
      </c>
    </row>
    <row r="445" spans="3:20">
      <c r="C445" s="212"/>
      <c r="Q445" t="str">
        <f>""</f>
        <v/>
      </c>
    </row>
    <row r="446" spans="3:20">
      <c r="C446" s="212"/>
      <c r="Q446" t="str">
        <f>""</f>
        <v/>
      </c>
    </row>
    <row r="447" spans="3:20">
      <c r="C447" s="212"/>
      <c r="Q447" t="str">
        <f>""</f>
        <v/>
      </c>
    </row>
    <row r="448" spans="3:20">
      <c r="C448" s="212"/>
      <c r="Q448" t="str">
        <f>""</f>
        <v/>
      </c>
    </row>
    <row r="449" spans="3:20">
      <c r="C449" s="212"/>
      <c r="Q449" t="str">
        <f>""</f>
        <v/>
      </c>
    </row>
    <row r="450" spans="3:20">
      <c r="C450" s="212"/>
      <c r="Q450" t="str">
        <f>""</f>
        <v/>
      </c>
      <c r="S450">
        <v>1</v>
      </c>
      <c r="T450">
        <v>1</v>
      </c>
    </row>
    <row r="451" spans="3:20">
      <c r="C451" s="212"/>
      <c r="Q451" t="str">
        <f>""</f>
        <v/>
      </c>
    </row>
    <row r="452" spans="3:20">
      <c r="C452" s="212"/>
      <c r="Q452" t="str">
        <f>""</f>
        <v/>
      </c>
    </row>
    <row r="453" spans="3:20">
      <c r="C453" s="212"/>
      <c r="Q453" t="str">
        <f>""</f>
        <v/>
      </c>
    </row>
    <row r="454" spans="3:20">
      <c r="C454" s="212"/>
      <c r="Q454" t="str">
        <f>""</f>
        <v/>
      </c>
    </row>
    <row r="455" spans="3:20">
      <c r="C455" s="212"/>
      <c r="Q455" t="str">
        <f>""</f>
        <v/>
      </c>
    </row>
    <row r="456" spans="3:20">
      <c r="C456" s="212"/>
      <c r="Q456" t="str">
        <f>""</f>
        <v/>
      </c>
      <c r="S456">
        <v>3</v>
      </c>
      <c r="T456">
        <v>3</v>
      </c>
    </row>
    <row r="457" spans="3:20">
      <c r="C457" s="212"/>
      <c r="Q457" t="str">
        <f>""</f>
        <v/>
      </c>
      <c r="R457">
        <v>2</v>
      </c>
      <c r="S457">
        <v>2</v>
      </c>
      <c r="T457">
        <v>2</v>
      </c>
    </row>
    <row r="458" spans="3:20">
      <c r="C458" s="212"/>
      <c r="Q458" t="str">
        <f>""</f>
        <v/>
      </c>
    </row>
    <row r="459" spans="3:20">
      <c r="C459" s="212"/>
      <c r="Q459" t="str">
        <f>""</f>
        <v/>
      </c>
    </row>
    <row r="460" spans="3:20">
      <c r="C460" s="212"/>
      <c r="Q460" t="str">
        <f>""</f>
        <v/>
      </c>
    </row>
    <row r="461" spans="3:20">
      <c r="C461" s="212"/>
      <c r="Q461" t="str">
        <f>""</f>
        <v/>
      </c>
    </row>
    <row r="462" spans="3:20">
      <c r="C462" s="212"/>
      <c r="Q462" t="str">
        <f>""</f>
        <v/>
      </c>
    </row>
    <row r="463" spans="3:20">
      <c r="C463" s="212"/>
      <c r="Q463" t="str">
        <f>""</f>
        <v/>
      </c>
    </row>
    <row r="485" spans="17:20">
      <c r="Q485" t="str">
        <f>""</f>
        <v/>
      </c>
      <c r="R485">
        <v>1</v>
      </c>
    </row>
    <row r="486" spans="17:20">
      <c r="Q486" t="str">
        <f>""</f>
        <v/>
      </c>
    </row>
    <row r="487" spans="17:20">
      <c r="Q487" t="str">
        <f>""</f>
        <v/>
      </c>
    </row>
    <row r="488" spans="17:20">
      <c r="Q488" t="str">
        <f>""</f>
        <v/>
      </c>
    </row>
    <row r="489" spans="17:20">
      <c r="Q489" t="str">
        <f>""</f>
        <v/>
      </c>
      <c r="R489">
        <v>1</v>
      </c>
    </row>
    <row r="490" spans="17:20">
      <c r="Q490" t="str">
        <f>""</f>
        <v/>
      </c>
      <c r="R490">
        <v>3</v>
      </c>
    </row>
    <row r="491" spans="17:20">
      <c r="Q491" t="str">
        <f>""</f>
        <v/>
      </c>
      <c r="R491">
        <v>2</v>
      </c>
    </row>
    <row r="492" spans="17:20">
      <c r="Q492" t="str">
        <f>""</f>
        <v/>
      </c>
      <c r="R492">
        <v>3</v>
      </c>
    </row>
    <row r="493" spans="17:20">
      <c r="Q493" t="str">
        <f>""</f>
        <v/>
      </c>
    </row>
    <row r="494" spans="17:20">
      <c r="Q494" t="str">
        <f>""</f>
        <v/>
      </c>
    </row>
    <row r="495" spans="17:20">
      <c r="Q495" t="str">
        <f>""</f>
        <v/>
      </c>
    </row>
    <row r="496" spans="17:20">
      <c r="Q496" t="str">
        <f>""</f>
        <v/>
      </c>
      <c r="R496">
        <v>2</v>
      </c>
      <c r="S496">
        <v>2</v>
      </c>
      <c r="T496">
        <v>2</v>
      </c>
    </row>
    <row r="497" spans="17:19">
      <c r="Q497" t="str">
        <f>""</f>
        <v/>
      </c>
    </row>
    <row r="498" spans="17:19">
      <c r="Q498" t="str">
        <f>""</f>
        <v/>
      </c>
    </row>
    <row r="499" spans="17:19">
      <c r="Q499" t="str">
        <f>""</f>
        <v/>
      </c>
      <c r="R499">
        <v>3</v>
      </c>
      <c r="S499">
        <v>3</v>
      </c>
    </row>
    <row r="500" spans="17:19">
      <c r="Q500" t="str">
        <f>""</f>
        <v/>
      </c>
    </row>
    <row r="501" spans="17:19">
      <c r="Q501" t="str">
        <f>""</f>
        <v/>
      </c>
    </row>
    <row r="502" spans="17:19">
      <c r="Q502" t="str">
        <f>""</f>
        <v/>
      </c>
    </row>
    <row r="503" spans="17:19">
      <c r="Q503" t="str">
        <f>""</f>
        <v/>
      </c>
    </row>
    <row r="504" spans="17:19">
      <c r="Q504" t="str">
        <f>""</f>
        <v/>
      </c>
      <c r="R504">
        <v>1</v>
      </c>
    </row>
    <row r="505" spans="17:19">
      <c r="Q505" t="str">
        <f>""</f>
        <v/>
      </c>
    </row>
    <row r="506" spans="17:19">
      <c r="Q506" t="str">
        <f>""</f>
        <v/>
      </c>
      <c r="R506">
        <v>2</v>
      </c>
    </row>
    <row r="507" spans="17:19">
      <c r="Q507" t="str">
        <f>""</f>
        <v/>
      </c>
    </row>
    <row r="508" spans="17:19">
      <c r="Q508" t="str">
        <f>""</f>
        <v/>
      </c>
      <c r="R508">
        <v>2</v>
      </c>
    </row>
    <row r="509" spans="17:19">
      <c r="Q509" t="str">
        <f>""</f>
        <v/>
      </c>
      <c r="R509">
        <v>1</v>
      </c>
      <c r="S509">
        <v>3</v>
      </c>
    </row>
    <row r="510" spans="17:19">
      <c r="Q510" t="str">
        <f>""</f>
        <v/>
      </c>
    </row>
    <row r="511" spans="17:19">
      <c r="Q511" t="str">
        <f>""</f>
        <v/>
      </c>
    </row>
    <row r="512" spans="17:19">
      <c r="Q512" t="str">
        <f>""</f>
        <v/>
      </c>
    </row>
    <row r="513" spans="17:20">
      <c r="Q513" t="str">
        <f>""</f>
        <v/>
      </c>
    </row>
    <row r="514" spans="17:20">
      <c r="Q514" t="str">
        <f>""</f>
        <v/>
      </c>
    </row>
    <row r="515" spans="17:20">
      <c r="Q515" t="str">
        <f>""</f>
        <v/>
      </c>
    </row>
    <row r="516" spans="17:20">
      <c r="Q516" t="str">
        <f>""</f>
        <v/>
      </c>
    </row>
    <row r="517" spans="17:20">
      <c r="Q517" t="str">
        <f>""</f>
        <v/>
      </c>
      <c r="R517">
        <v>2</v>
      </c>
      <c r="S517">
        <v>1</v>
      </c>
      <c r="T517">
        <v>2</v>
      </c>
    </row>
    <row r="518" spans="17:20">
      <c r="Q518" t="str">
        <f>""</f>
        <v/>
      </c>
    </row>
    <row r="519" spans="17:20">
      <c r="Q519" t="str">
        <f>""</f>
        <v/>
      </c>
      <c r="R519">
        <v>1</v>
      </c>
    </row>
    <row r="520" spans="17:20">
      <c r="Q520" t="str">
        <f>""</f>
        <v/>
      </c>
      <c r="S520">
        <v>3</v>
      </c>
    </row>
    <row r="521" spans="17:20">
      <c r="Q521" t="str">
        <f>""</f>
        <v/>
      </c>
      <c r="S521">
        <v>3</v>
      </c>
    </row>
    <row r="522" spans="17:20">
      <c r="Q522" t="str">
        <f>""</f>
        <v/>
      </c>
    </row>
    <row r="523" spans="17:20">
      <c r="Q523" t="str">
        <f>""</f>
        <v/>
      </c>
      <c r="R523">
        <v>1</v>
      </c>
    </row>
    <row r="524" spans="17:20">
      <c r="Q524" t="str">
        <f>""</f>
        <v/>
      </c>
    </row>
    <row r="525" spans="17:20">
      <c r="Q525" t="str">
        <f>""</f>
        <v/>
      </c>
      <c r="R525">
        <v>1</v>
      </c>
    </row>
    <row r="526" spans="17:20">
      <c r="Q526" t="str">
        <f>""</f>
        <v/>
      </c>
      <c r="R526">
        <v>3</v>
      </c>
      <c r="S526">
        <v>2</v>
      </c>
      <c r="T526">
        <v>2</v>
      </c>
    </row>
    <row r="527" spans="17:20">
      <c r="Q527" t="str">
        <f>""</f>
        <v/>
      </c>
    </row>
    <row r="528" spans="17:20">
      <c r="Q528" t="str">
        <f>""</f>
        <v/>
      </c>
      <c r="R528">
        <v>1</v>
      </c>
      <c r="S528">
        <v>2</v>
      </c>
      <c r="T528">
        <v>2</v>
      </c>
    </row>
    <row r="529" spans="17:20">
      <c r="Q529" t="str">
        <f>""</f>
        <v/>
      </c>
      <c r="R529">
        <v>2</v>
      </c>
    </row>
    <row r="530" spans="17:20">
      <c r="Q530" t="str">
        <f>""</f>
        <v/>
      </c>
    </row>
    <row r="531" spans="17:20">
      <c r="Q531" t="str">
        <f>""</f>
        <v/>
      </c>
    </row>
    <row r="532" spans="17:20">
      <c r="Q532" t="str">
        <f>""</f>
        <v/>
      </c>
    </row>
    <row r="533" spans="17:20">
      <c r="Q533" t="str">
        <f>""</f>
        <v/>
      </c>
    </row>
    <row r="534" spans="17:20">
      <c r="Q534" t="str">
        <f>""</f>
        <v/>
      </c>
      <c r="R534">
        <v>2</v>
      </c>
    </row>
    <row r="535" spans="17:20">
      <c r="Q535" t="str">
        <f>""</f>
        <v/>
      </c>
    </row>
    <row r="536" spans="17:20">
      <c r="Q536" t="str">
        <f>""</f>
        <v/>
      </c>
    </row>
    <row r="537" spans="17:20">
      <c r="Q537" t="str">
        <f>""</f>
        <v/>
      </c>
      <c r="R537">
        <v>1</v>
      </c>
    </row>
    <row r="538" spans="17:20">
      <c r="Q538" t="str">
        <f>""</f>
        <v/>
      </c>
    </row>
    <row r="539" spans="17:20">
      <c r="Q539" t="str">
        <f>""</f>
        <v/>
      </c>
    </row>
    <row r="540" spans="17:20">
      <c r="Q540" t="str">
        <f>""</f>
        <v/>
      </c>
    </row>
    <row r="541" spans="17:20">
      <c r="Q541" t="str">
        <f>""</f>
        <v/>
      </c>
      <c r="R541">
        <v>3</v>
      </c>
    </row>
    <row r="542" spans="17:20">
      <c r="Q542" t="str">
        <f>""</f>
        <v/>
      </c>
    </row>
    <row r="543" spans="17:20">
      <c r="Q543" t="str">
        <f>""</f>
        <v/>
      </c>
    </row>
    <row r="544" spans="17:20">
      <c r="Q544" t="str">
        <f>""</f>
        <v/>
      </c>
      <c r="R544">
        <v>1</v>
      </c>
      <c r="S544">
        <v>2</v>
      </c>
      <c r="T544">
        <v>3</v>
      </c>
    </row>
    <row r="545" spans="17:20">
      <c r="Q545" t="str">
        <f>""</f>
        <v/>
      </c>
    </row>
    <row r="546" spans="17:20">
      <c r="Q546" t="str">
        <f>""</f>
        <v/>
      </c>
      <c r="R546">
        <v>2</v>
      </c>
    </row>
    <row r="547" spans="17:20">
      <c r="Q547" t="str">
        <f>""</f>
        <v/>
      </c>
    </row>
    <row r="548" spans="17:20">
      <c r="Q548" t="str">
        <f>""</f>
        <v/>
      </c>
    </row>
    <row r="549" spans="17:20">
      <c r="Q549" t="str">
        <f>""</f>
        <v/>
      </c>
      <c r="R549">
        <v>1</v>
      </c>
    </row>
    <row r="550" spans="17:20">
      <c r="Q550" t="str">
        <f>""</f>
        <v/>
      </c>
    </row>
    <row r="551" spans="17:20">
      <c r="Q551" t="str">
        <f>""</f>
        <v/>
      </c>
      <c r="S551">
        <v>1</v>
      </c>
      <c r="T551">
        <v>2</v>
      </c>
    </row>
    <row r="552" spans="17:20">
      <c r="Q552" t="str">
        <f>""</f>
        <v/>
      </c>
      <c r="R552">
        <v>2</v>
      </c>
      <c r="S552">
        <v>1</v>
      </c>
      <c r="T552">
        <v>1</v>
      </c>
    </row>
    <row r="553" spans="17:20">
      <c r="Q553" t="str">
        <f>""</f>
        <v/>
      </c>
      <c r="R553">
        <v>3</v>
      </c>
      <c r="S553">
        <v>3</v>
      </c>
      <c r="T553">
        <v>3</v>
      </c>
    </row>
    <row r="554" spans="17:20">
      <c r="Q554" t="str">
        <f>""</f>
        <v/>
      </c>
    </row>
    <row r="555" spans="17:20">
      <c r="Q555" t="str">
        <f>""</f>
        <v/>
      </c>
    </row>
    <row r="556" spans="17:20">
      <c r="Q556" t="str">
        <f>""</f>
        <v/>
      </c>
    </row>
    <row r="557" spans="17:20">
      <c r="Q557" t="str">
        <f>""</f>
        <v/>
      </c>
    </row>
    <row r="558" spans="17:20">
      <c r="Q558" t="str">
        <f>""</f>
        <v/>
      </c>
    </row>
    <row r="559" spans="17:20">
      <c r="Q559" t="str">
        <f>""</f>
        <v/>
      </c>
    </row>
    <row r="560" spans="17:20">
      <c r="Q560" t="str">
        <f>""</f>
        <v/>
      </c>
    </row>
    <row r="561" spans="17:20">
      <c r="Q561" t="str">
        <f>""</f>
        <v/>
      </c>
    </row>
    <row r="562" spans="17:20">
      <c r="Q562" t="str">
        <f>""</f>
        <v/>
      </c>
      <c r="R562">
        <v>1</v>
      </c>
      <c r="S562">
        <v>1</v>
      </c>
    </row>
    <row r="563" spans="17:20">
      <c r="Q563" t="str">
        <f>""</f>
        <v/>
      </c>
    </row>
    <row r="564" spans="17:20">
      <c r="Q564" t="str">
        <f>""</f>
        <v/>
      </c>
      <c r="R564">
        <v>1</v>
      </c>
    </row>
    <row r="565" spans="17:20">
      <c r="Q565" t="str">
        <f>""</f>
        <v/>
      </c>
    </row>
    <row r="566" spans="17:20">
      <c r="Q566" t="str">
        <f>""</f>
        <v/>
      </c>
      <c r="R566">
        <v>3</v>
      </c>
    </row>
    <row r="567" spans="17:20">
      <c r="Q567" t="str">
        <f>""</f>
        <v/>
      </c>
      <c r="R567">
        <v>2</v>
      </c>
    </row>
    <row r="568" spans="17:20">
      <c r="Q568" t="str">
        <f>""</f>
        <v/>
      </c>
    </row>
    <row r="569" spans="17:20">
      <c r="Q569" t="str">
        <f>""</f>
        <v/>
      </c>
      <c r="R569">
        <v>1</v>
      </c>
      <c r="S569">
        <v>1</v>
      </c>
      <c r="T569">
        <v>1</v>
      </c>
    </row>
    <row r="570" spans="17:20">
      <c r="Q570" t="str">
        <f>""</f>
        <v/>
      </c>
    </row>
    <row r="571" spans="17:20">
      <c r="Q571" t="str">
        <f>""</f>
        <v/>
      </c>
      <c r="R571">
        <v>2</v>
      </c>
    </row>
    <row r="572" spans="17:20">
      <c r="Q572" t="str">
        <f>""</f>
        <v/>
      </c>
    </row>
    <row r="573" spans="17:20">
      <c r="Q573" t="str">
        <f>""</f>
        <v/>
      </c>
    </row>
    <row r="574" spans="17:20">
      <c r="Q574" t="str">
        <f>""</f>
        <v/>
      </c>
    </row>
    <row r="575" spans="17:20">
      <c r="Q575" t="str">
        <f>""</f>
        <v/>
      </c>
      <c r="R575">
        <v>1</v>
      </c>
    </row>
    <row r="576" spans="17:20">
      <c r="Q576" t="str">
        <f>""</f>
        <v/>
      </c>
    </row>
    <row r="577" spans="17:18">
      <c r="Q577" t="str">
        <f>""</f>
        <v/>
      </c>
    </row>
    <row r="578" spans="17:18">
      <c r="Q578" t="str">
        <f>""</f>
        <v/>
      </c>
    </row>
    <row r="579" spans="17:18">
      <c r="Q579" t="str">
        <f>""</f>
        <v/>
      </c>
    </row>
    <row r="580" spans="17:18">
      <c r="Q580" t="str">
        <f>""</f>
        <v/>
      </c>
    </row>
    <row r="581" spans="17:18">
      <c r="Q581" t="str">
        <f>""</f>
        <v/>
      </c>
    </row>
    <row r="582" spans="17:18">
      <c r="Q582" t="str">
        <f>""</f>
        <v/>
      </c>
    </row>
    <row r="583" spans="17:18">
      <c r="Q583" t="str">
        <f>""</f>
        <v/>
      </c>
    </row>
    <row r="584" spans="17:18">
      <c r="Q584" t="str">
        <f>""</f>
        <v/>
      </c>
      <c r="R584">
        <v>1</v>
      </c>
    </row>
    <row r="585" spans="17:18">
      <c r="R585">
        <v>3</v>
      </c>
    </row>
  </sheetData>
  <sheetProtection formatColumns="0" formatRows="0"/>
  <autoFilter ref="B1:T1" xr:uid="{F407E9EC-483D-4662-8D4F-CE4545E924B2}">
    <sortState ref="B2:T463">
      <sortCondition descending="1" ref="J1"/>
    </sortState>
  </autoFilter>
  <conditionalFormatting sqref="C2:C463 B2:B168">
    <cfRule type="expression" dxfId="81" priority="5" stopIfTrue="1">
      <formula>VLOOKUP($B2,TabTuttiGioc,1,FALSE)=$B2</formula>
    </cfRule>
  </conditionalFormatting>
  <conditionalFormatting sqref="L2:L190 O2:O190">
    <cfRule type="cellIs" priority="6" stopIfTrue="1" operator="lessThanOrEqual">
      <formula>0</formula>
    </cfRule>
  </conditionalFormatting>
  <conditionalFormatting sqref="A2:A101 A103:A159">
    <cfRule type="cellIs" dxfId="80" priority="11" stopIfTrue="1" operator="lessThan">
      <formula>1</formula>
    </cfRule>
  </conditionalFormatting>
  <conditionalFormatting sqref="A102">
    <cfRule type="cellIs" dxfId="79" priority="12" stopIfTrue="1" operator="lessThan">
      <formula>1</formula>
    </cfRule>
  </conditionalFormatting>
  <conditionalFormatting sqref="B181:B186">
    <cfRule type="expression" dxfId="78" priority="7" stopIfTrue="1">
      <formula>VLOOKUP($B181,TabTuttiGioc,1,FALSE)=$B181</formula>
    </cfRule>
  </conditionalFormatting>
  <conditionalFormatting sqref="B168:B179">
    <cfRule type="expression" dxfId="77" priority="3" stopIfTrue="1">
      <formula>VLOOKUP($B168,TabTuttiGioc,1,FALSE)=$B168</formula>
    </cfRule>
  </conditionalFormatting>
  <conditionalFormatting sqref="B180">
    <cfRule type="expression" dxfId="76" priority="2" stopIfTrue="1">
      <formula>VLOOKUP($B180,TabTuttiGioc,1,FALSE)=$B180</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2">
    <tabColor indexed="47"/>
  </sheetPr>
  <dimension ref="A1:R582"/>
  <sheetViews>
    <sheetView topLeftCell="B1" zoomScaleNormal="100" workbookViewId="0">
      <pane xSplit="2" ySplit="1" topLeftCell="D2" activePane="bottomRight" state="frozen"/>
      <selection activeCell="B1" sqref="B1"/>
      <selection pane="topRight" activeCell="D1" sqref="D1"/>
      <selection pane="bottomLeft" activeCell="B2" sqref="B2"/>
      <selection pane="bottomRight" activeCell="D11" sqref="D11"/>
    </sheetView>
  </sheetViews>
  <sheetFormatPr defaultRowHeight="12.75"/>
  <cols>
    <col min="1" max="1" width="0" hidden="1" customWidth="1"/>
    <col min="2" max="2" width="17.28515625" bestFit="1" customWidth="1"/>
    <col min="3" max="3" width="12.28515625" customWidth="1"/>
    <col min="4" max="4" width="6.85546875" customWidth="1"/>
    <col min="6" max="6" width="4.5703125" customWidth="1"/>
    <col min="10" max="10" width="17.28515625" customWidth="1"/>
    <col min="11" max="11" width="18.85546875" style="148" hidden="1" customWidth="1"/>
    <col min="12" max="12" width="15" style="148" customWidth="1"/>
    <col min="13" max="13" width="7.5703125" customWidth="1"/>
    <col min="18" max="18" width="17.5703125" customWidth="1"/>
  </cols>
  <sheetData>
    <row r="1" spans="1:18">
      <c r="A1" t="s">
        <v>863</v>
      </c>
      <c r="B1" s="157" t="s">
        <v>44</v>
      </c>
      <c r="C1" s="157" t="s">
        <v>637</v>
      </c>
      <c r="D1" s="157" t="s">
        <v>864</v>
      </c>
      <c r="E1" s="157" t="s">
        <v>865</v>
      </c>
      <c r="F1" s="157" t="s">
        <v>866</v>
      </c>
      <c r="G1" s="157" t="s">
        <v>887</v>
      </c>
      <c r="H1" s="157" t="s">
        <v>888</v>
      </c>
      <c r="I1" s="157" t="s">
        <v>869</v>
      </c>
      <c r="J1" s="157" t="s">
        <v>892</v>
      </c>
      <c r="K1" s="157" t="s">
        <v>893</v>
      </c>
      <c r="L1" s="157" t="s">
        <v>893</v>
      </c>
      <c r="M1" s="218" t="s">
        <v>874</v>
      </c>
      <c r="N1" s="218" t="s">
        <v>671</v>
      </c>
      <c r="O1" s="218" t="s">
        <v>897</v>
      </c>
      <c r="P1" s="218" t="s">
        <v>898</v>
      </c>
      <c r="Q1" s="218" t="s">
        <v>899</v>
      </c>
      <c r="R1" s="152" t="s">
        <v>875</v>
      </c>
    </row>
    <row r="2" spans="1:18">
      <c r="A2">
        <f ca="1">COUNTIF('I.A. + Fasce'!B$1:'I.A. + Fasce'!B$538,#REF!)</f>
        <v>0</v>
      </c>
      <c r="B2" s="419" t="s">
        <v>393</v>
      </c>
      <c r="C2" s="212" t="str">
        <f>VLOOKUP(B2,'IA FG'!$B$2:$G$600,6,FALSE)</f>
        <v>JUV</v>
      </c>
      <c r="D2" s="421">
        <v>9</v>
      </c>
      <c r="E2" s="422">
        <v>9</v>
      </c>
      <c r="F2" s="422">
        <v>9</v>
      </c>
      <c r="G2" s="422">
        <v>9</v>
      </c>
      <c r="H2" s="422">
        <v>9</v>
      </c>
      <c r="I2" s="422">
        <v>9</v>
      </c>
      <c r="J2" s="162">
        <f>$D2*Pesi!$F$16+Pesi!$F$17*$E2+$F2*Pesi!$F$18+Pesi!$F$19*$G2+$H2*Pesi!$F$20+Pesi!$F$21*$I2+VLOOKUP($C2,TabAlgSqu,2,FALSE)*Pesi!$F$22+Pesi!$F$23*VLOOKUP($C2,TabAlgFC,2,FALSE)+VLOOKUP($C2,TabAlgAll,2,FALSE)*Pesi!$F$24</f>
        <v>113.4084</v>
      </c>
      <c r="K2" s="155">
        <f>IF(ISNA(MATCH($B2,Pesi!$B$31:$B$34,0)),VLOOKUP(Pesi!$B$31,TabAlgAtt,10,FALSE)-((VLOOKUP(Pesi!$B$31,TabAlgAtt,9,FALSE)-$J2)/(VLOOKUP(Pesi!$B$31,TabAlgAtt,9,FALSE)-Pesi!$D$41))*VLOOKUP(Pesi!$B$31,TabAlgAtt,10,FALSE),Pesi!$F$31*Pesi!$C$28)</f>
        <v>165</v>
      </c>
      <c r="L2" s="163">
        <f>IF(K2&lt;=1,1,K2)</f>
        <v>165</v>
      </c>
      <c r="M2">
        <f>SUM(D2:I2)</f>
        <v>54</v>
      </c>
      <c r="N2">
        <f>VLOOKUP(B2,'C.P.'!$A$2:$B$164,2,FALSE)</f>
        <v>1</v>
      </c>
      <c r="O2" t="e">
        <f>VLOOKUP(B2,'C.P.'!$C$2:$D$164,2,FALSE)</f>
        <v>#N/A</v>
      </c>
      <c r="P2" t="e">
        <f>VLOOKUP(B2,'C.P.'!$E$2:$F$164,2,FALSE)</f>
        <v>#N/A</v>
      </c>
      <c r="Q2" t="e">
        <f>VLOOKUP(B2,'C.P.'!$G$2:$H$164,2,FALSE)</f>
        <v>#N/A</v>
      </c>
      <c r="R2" s="210" t="s">
        <v>876</v>
      </c>
    </row>
    <row r="3" spans="1:18">
      <c r="A3">
        <f ca="1">COUNTIF('I.A. + Fasce'!B$1:'I.A. + Fasce'!B$538,B3)</f>
        <v>0</v>
      </c>
      <c r="B3" s="202" t="s">
        <v>355</v>
      </c>
      <c r="C3" s="212" t="str">
        <f>VLOOKUP(B3,'IA FG'!$B$2:$G$600,6,FALSE)</f>
        <v>JUV</v>
      </c>
      <c r="D3" s="214">
        <v>9</v>
      </c>
      <c r="E3" s="215">
        <v>9</v>
      </c>
      <c r="F3" s="215">
        <v>9</v>
      </c>
      <c r="G3" s="215">
        <v>8</v>
      </c>
      <c r="H3" s="215">
        <v>9</v>
      </c>
      <c r="I3" s="215">
        <v>9</v>
      </c>
      <c r="J3" s="162">
        <f>$D3*Pesi!$F$16+Pesi!$F$17*$E3+$F3*Pesi!$F$18+Pesi!$F$19*$G3+$H3*Pesi!$F$20+Pesi!$F$21*$I3+VLOOKUP($C3,TabAlgSqu,2,FALSE)*Pesi!$F$22+Pesi!$F$23*VLOOKUP($C3,TabAlgFC,2,FALSE)+VLOOKUP($C3,TabAlgAll,2,FALSE)*Pesi!$F$24</f>
        <v>111.64590000000001</v>
      </c>
      <c r="K3" s="155">
        <f>IF(ISNA(MATCH($B3,Pesi!$B$31:$B$34,0)),VLOOKUP(Pesi!$B$31,TabAlgAtt,10,FALSE)-((VLOOKUP(Pesi!$B$31,TabAlgAtt,9,FALSE)-$J3)/(VLOOKUP(Pesi!$B$31,TabAlgAtt,9,FALSE)-Pesi!$D$41))*VLOOKUP(Pesi!$B$31,TabAlgAtt,10,FALSE),Pesi!$F$31*Pesi!$C$28)</f>
        <v>156.78690649676352</v>
      </c>
      <c r="L3" s="163">
        <f>IF(K3&lt;=1,1,K3)</f>
        <v>156.78690649676352</v>
      </c>
      <c r="M3">
        <f>SUM(D3:I3)</f>
        <v>53</v>
      </c>
      <c r="N3">
        <f>VLOOKUP(B3,'C.P.'!$A$2:$B$164,2,FALSE)</f>
        <v>0</v>
      </c>
      <c r="O3">
        <f>VLOOKUP(B3,'C.P.'!$C$2:$D$164,2,FALSE)</f>
        <v>1</v>
      </c>
      <c r="P3">
        <f>VLOOKUP(B3,'C.P.'!$E$2:$F$164,2,FALSE)</f>
        <v>1</v>
      </c>
      <c r="Q3">
        <f>VLOOKUP(B3,'C.P.'!$G$2:$H$164,2,FALSE)</f>
        <v>1</v>
      </c>
      <c r="R3" s="210" t="s">
        <v>877</v>
      </c>
    </row>
    <row r="4" spans="1:18">
      <c r="A4">
        <f ca="1">COUNTIF('I.A. + Fasce'!B$1:'I.A. + Fasce'!B$538,B3)</f>
        <v>0</v>
      </c>
      <c r="B4" s="202" t="s">
        <v>552</v>
      </c>
      <c r="C4" s="212" t="str">
        <f>VLOOKUP(B4,'IA FG'!$B$2:$G$600,6,FALSE)</f>
        <v>NAP</v>
      </c>
      <c r="D4" s="214">
        <v>9</v>
      </c>
      <c r="E4" s="215">
        <v>8</v>
      </c>
      <c r="F4" s="215">
        <v>9</v>
      </c>
      <c r="G4" s="215">
        <v>9</v>
      </c>
      <c r="H4" s="215">
        <v>7</v>
      </c>
      <c r="I4" s="215">
        <v>9</v>
      </c>
      <c r="J4" s="162">
        <f>$D4*Pesi!$F$16+Pesi!$F$17*$E4+$F4*Pesi!$F$18+Pesi!$F$19*$G4+$H4*Pesi!$F$20+Pesi!$F$21*$I4+VLOOKUP($C4,TabAlgSqu,2,FALSE)*Pesi!$F$22+Pesi!$F$23*VLOOKUP($C4,TabAlgFC,2,FALSE)+VLOOKUP($C4,TabAlgAll,2,FALSE)*Pesi!$F$24</f>
        <v>110.20480000000002</v>
      </c>
      <c r="K4" s="155">
        <f>IF(ISNA(MATCH($B4,Pesi!$B$31:$B$34,0)),VLOOKUP(Pesi!$B$31,TabAlgAtt,10,FALSE)-((VLOOKUP(Pesi!$B$31,TabAlgAtt,9,FALSE)-$J4)/(VLOOKUP(Pesi!$B$31,TabAlgAtt,9,FALSE)-Pesi!$D$41))*VLOOKUP(Pesi!$B$31,TabAlgAtt,10,FALSE),Pesi!$F$31*Pesi!$C$28)</f>
        <v>150.0715084556208</v>
      </c>
      <c r="L4" s="163">
        <f>IF(K4&lt;=1,1,K4)</f>
        <v>150.0715084556208</v>
      </c>
      <c r="M4">
        <f>SUM(D4:I4)</f>
        <v>51</v>
      </c>
      <c r="N4" t="e">
        <f>VLOOKUP(B4,'C.P.'!$A$2:$B$164,2,FALSE)</f>
        <v>#N/A</v>
      </c>
      <c r="O4">
        <f>VLOOKUP(B4,'C.P.'!$C$2:$D$164,2,FALSE)</f>
        <v>1</v>
      </c>
      <c r="P4">
        <f>VLOOKUP(B4,'C.P.'!$E$2:$F$164,2,FALSE)</f>
        <v>2</v>
      </c>
      <c r="Q4" t="e">
        <f>VLOOKUP(B4,'C.P.'!$G$2:$H$164,2,FALSE)</f>
        <v>#N/A</v>
      </c>
      <c r="R4" s="210" t="s">
        <v>880</v>
      </c>
    </row>
    <row r="5" spans="1:18">
      <c r="A5">
        <f ca="1">COUNTIF('I.A. + Fasce'!B$1:'I.A. + Fasce'!B$538,B5)</f>
        <v>0</v>
      </c>
      <c r="B5" s="202" t="s">
        <v>358</v>
      </c>
      <c r="C5" s="212" t="str">
        <f>VLOOKUP(B5,'IA FG'!$B$2:$G$600,6,FALSE)</f>
        <v>ROM</v>
      </c>
      <c r="D5" s="214">
        <v>9</v>
      </c>
      <c r="E5" s="215">
        <v>8</v>
      </c>
      <c r="F5" s="215">
        <v>8</v>
      </c>
      <c r="G5" s="215">
        <v>9</v>
      </c>
      <c r="H5" s="215">
        <v>8</v>
      </c>
      <c r="I5" s="215">
        <v>9</v>
      </c>
      <c r="J5" s="162">
        <f>$D5*Pesi!$F$16+Pesi!$F$17*$E5+$F5*Pesi!$F$18+Pesi!$F$19*$G5+$H5*Pesi!$F$20+Pesi!$F$21*$I5+VLOOKUP($C5,TabAlgSqu,2,FALSE)*Pesi!$F$22+Pesi!$F$23*VLOOKUP($C5,TabAlgFC,2,FALSE)+VLOOKUP($C5,TabAlgAll,2,FALSE)*Pesi!$F$24</f>
        <v>108.6091</v>
      </c>
      <c r="K5" s="155">
        <f>IF(ISNA(MATCH($B5,Pesi!$B$31:$B$34,0)),VLOOKUP(Pesi!$B$31,TabAlgAtt,10,FALSE)-((VLOOKUP(Pesi!$B$31,TabAlgAtt,9,FALSE)-$J5)/(VLOOKUP(Pesi!$B$31,TabAlgAtt,9,FALSE)-Pesi!$D$41))*VLOOKUP(Pesi!$B$31,TabAlgAtt,10,FALSE),Pesi!$F$31*Pesi!$C$28)</f>
        <v>142.63568814179686</v>
      </c>
      <c r="L5" s="163">
        <f>IF(K5&lt;=1,1,K5)</f>
        <v>142.63568814179686</v>
      </c>
      <c r="M5">
        <f>SUM(D5:I5)</f>
        <v>51</v>
      </c>
      <c r="N5">
        <f>VLOOKUP(B5,'C.P.'!$A$2:$B$164,2,FALSE)</f>
        <v>1</v>
      </c>
      <c r="O5" t="e">
        <f>VLOOKUP(B5,'C.P.'!$C$2:$D$164,2,FALSE)</f>
        <v>#N/A</v>
      </c>
      <c r="P5" t="e">
        <f>VLOOKUP(B5,'C.P.'!$E$2:$F$164,2,FALSE)</f>
        <v>#N/A</v>
      </c>
      <c r="Q5" t="e">
        <f>VLOOKUP(B5,'C.P.'!$G$2:$H$164,2,FALSE)</f>
        <v>#N/A</v>
      </c>
      <c r="R5" s="210" t="s">
        <v>878</v>
      </c>
    </row>
    <row r="6" spans="1:18">
      <c r="A6">
        <f ca="1">COUNTIF('I.A. + Fasce'!B$1:'I.A. + Fasce'!B$538,B2)</f>
        <v>0</v>
      </c>
      <c r="B6" s="202" t="s">
        <v>408</v>
      </c>
      <c r="C6" s="212" t="str">
        <f>VLOOKUP(B6,'IA FG'!$B$2:$G$600,6,FALSE)</f>
        <v>NAP</v>
      </c>
      <c r="D6" s="214">
        <v>8</v>
      </c>
      <c r="E6" s="215">
        <v>9</v>
      </c>
      <c r="F6" s="215">
        <v>9</v>
      </c>
      <c r="G6" s="215">
        <v>8</v>
      </c>
      <c r="H6" s="215">
        <v>8</v>
      </c>
      <c r="I6" s="215">
        <v>8</v>
      </c>
      <c r="J6" s="162">
        <f>$D6*Pesi!$F$16+Pesi!$F$17*$E6+$F6*Pesi!$F$18+Pesi!$F$19*$G6+$H6*Pesi!$F$20+Pesi!$F$21*$I6+VLOOKUP($C6,TabAlgSqu,2,FALSE)*Pesi!$F$22+Pesi!$F$23*VLOOKUP($C6,TabAlgFC,2,FALSE)+VLOOKUP($C6,TabAlgAll,2,FALSE)*Pesi!$F$24</f>
        <v>108.27980000000002</v>
      </c>
      <c r="K6" s="155">
        <f>IF(ISNA(MATCH($B6,Pesi!$B$31:$B$34,0)),VLOOKUP(Pesi!$B$31,TabAlgAtt,10,FALSE)-((VLOOKUP(Pesi!$B$31,TabAlgAtt,9,FALSE)-$J6)/(VLOOKUP(Pesi!$B$31,TabAlgAtt,9,FALSE)-Pesi!$D$41))*VLOOKUP(Pesi!$B$31,TabAlgAtt,10,FALSE),Pesi!$F$31*Pesi!$C$28)</f>
        <v>141.10117938116389</v>
      </c>
      <c r="L6" s="163">
        <f>IF(K6&lt;=1,1,K6)</f>
        <v>141.10117938116389</v>
      </c>
      <c r="M6">
        <f>SUM(D6:I6)</f>
        <v>50</v>
      </c>
      <c r="N6">
        <f>VLOOKUP(B6,'C.P.'!$A$2:$B$164,2,FALSE)</f>
        <v>1</v>
      </c>
      <c r="O6">
        <f>VLOOKUP(B6,'C.P.'!$C$2:$D$164,2,FALSE)</f>
        <v>2</v>
      </c>
      <c r="P6">
        <f>VLOOKUP(B6,'C.P.'!$E$2:$F$164,2,FALSE)</f>
        <v>1</v>
      </c>
      <c r="Q6" t="e">
        <f>VLOOKUP(B6,'C.P.'!$G$2:$H$164,2,FALSE)</f>
        <v>#N/A</v>
      </c>
      <c r="R6" s="210" t="s">
        <v>882</v>
      </c>
    </row>
    <row r="7" spans="1:18">
      <c r="A7">
        <f ca="1">COUNTIF('I.A. + Fasce'!B$1:'I.A. + Fasce'!B$538,B7)</f>
        <v>0</v>
      </c>
      <c r="B7" s="202" t="s">
        <v>328</v>
      </c>
      <c r="C7" s="212" t="str">
        <f>VLOOKUP(B7,'IA FG'!$B$2:$G$600,6,FALSE)</f>
        <v>NAP</v>
      </c>
      <c r="D7" s="214">
        <v>9</v>
      </c>
      <c r="E7" s="215">
        <v>9</v>
      </c>
      <c r="F7" s="215">
        <v>8</v>
      </c>
      <c r="G7" s="215">
        <v>7</v>
      </c>
      <c r="H7" s="215">
        <v>8</v>
      </c>
      <c r="I7" s="215">
        <v>8</v>
      </c>
      <c r="J7" s="162">
        <f>$D7*Pesi!$F$16+Pesi!$F$17*$E7+$F7*Pesi!$F$18+Pesi!$F$19*$G7+$H7*Pesi!$F$20+Pesi!$F$21*$I7+VLOOKUP($C7,TabAlgSqu,2,FALSE)*Pesi!$F$22+Pesi!$F$23*VLOOKUP($C7,TabAlgFC,2,FALSE)+VLOOKUP($C7,TabAlgAll,2,FALSE)*Pesi!$F$24</f>
        <v>106.85060000000001</v>
      </c>
      <c r="K7" s="155">
        <f>IF(ISNA(MATCH($B7,Pesi!$B$31:$B$34,0)),VLOOKUP(Pesi!$B$31,TabAlgAtt,10,FALSE)-((VLOOKUP(Pesi!$B$31,TabAlgAtt,9,FALSE)-$J7)/(VLOOKUP(Pesi!$B$31,TabAlgAtt,9,FALSE)-Pesi!$D$41))*VLOOKUP(Pesi!$B$31,TabAlgAtt,10,FALSE),Pesi!$F$31*Pesi!$C$28)</f>
        <v>134.44123428339046</v>
      </c>
      <c r="L7" s="163">
        <f>IF(K7&lt;=1,1,K7)</f>
        <v>134.44123428339046</v>
      </c>
      <c r="M7">
        <f>SUM(D7:I7)</f>
        <v>49</v>
      </c>
      <c r="N7" t="e">
        <f>VLOOKUP(B7,'C.P.'!$A$2:$B$164,2,FALSE)</f>
        <v>#N/A</v>
      </c>
      <c r="O7" t="e">
        <f>VLOOKUP(B7,'C.P.'!$C$2:$D$164,2,FALSE)</f>
        <v>#N/A</v>
      </c>
      <c r="P7" t="e">
        <f>VLOOKUP(B7,'C.P.'!$E$2:$F$164,2,FALSE)</f>
        <v>#N/A</v>
      </c>
      <c r="Q7">
        <f>VLOOKUP(B7,'C.P.'!$G$2:$H$164,2,FALSE)</f>
        <v>2</v>
      </c>
      <c r="R7" s="210" t="s">
        <v>879</v>
      </c>
    </row>
    <row r="8" spans="1:18">
      <c r="A8">
        <f ca="1">COUNTIF('I.A. + Fasce'!B$1:'I.A. + Fasce'!B$538,#REF!)</f>
        <v>0</v>
      </c>
      <c r="B8" s="202" t="s">
        <v>401</v>
      </c>
      <c r="C8" s="212" t="str">
        <f>VLOOKUP(B8,'IA FG'!$B$2:$G$600,6,FALSE)</f>
        <v>LAZ</v>
      </c>
      <c r="D8" s="214">
        <v>9</v>
      </c>
      <c r="E8" s="215">
        <v>10</v>
      </c>
      <c r="F8" s="215">
        <v>8</v>
      </c>
      <c r="G8" s="215">
        <v>9</v>
      </c>
      <c r="H8" s="215">
        <v>7</v>
      </c>
      <c r="I8" s="215">
        <v>9</v>
      </c>
      <c r="J8" s="162">
        <f>$D8*Pesi!$F$16+Pesi!$F$17*$E8+$F8*Pesi!$F$18+Pesi!$F$19*$G8+$H8*Pesi!$F$20+Pesi!$F$21*$I8+VLOOKUP($C8,TabAlgSqu,2,FALSE)*Pesi!$F$22+Pesi!$F$23*VLOOKUP($C8,TabAlgFC,2,FALSE)+VLOOKUP($C8,TabAlgAll,2,FALSE)*Pesi!$F$24</f>
        <v>106.72329999999999</v>
      </c>
      <c r="K8" s="155">
        <f>IF(ISNA(MATCH($B8,Pesi!$B$31:$B$34,0)),VLOOKUP(Pesi!$B$31,TabAlgAtt,10,FALSE)-((VLOOKUP(Pesi!$B$31,TabAlgAtt,9,FALSE)-$J8)/(VLOOKUP(Pesi!$B$31,TabAlgAtt,9,FALSE)-Pesi!$D$41))*VLOOKUP(Pesi!$B$31,TabAlgAtt,10,FALSE),Pesi!$F$31*Pesi!$C$28)</f>
        <v>133.84802758667433</v>
      </c>
      <c r="L8" s="163">
        <f>IF(K8&lt;=1,1,K8)</f>
        <v>133.84802758667433</v>
      </c>
      <c r="M8">
        <f>SUM(D8:I8)</f>
        <v>52</v>
      </c>
      <c r="N8">
        <f>VLOOKUP(B8,'C.P.'!$A$2:$B$164,2,FALSE)</f>
        <v>1</v>
      </c>
      <c r="O8">
        <f>VLOOKUP(B8,'C.P.'!$C$2:$D$164,2,FALSE)</f>
        <v>1</v>
      </c>
      <c r="P8" t="e">
        <f>VLOOKUP(B8,'C.P.'!$E$2:$F$164,2,FALSE)</f>
        <v>#N/A</v>
      </c>
      <c r="Q8" t="e">
        <f>VLOOKUP(B8,'C.P.'!$G$2:$H$164,2,FALSE)</f>
        <v>#N/A</v>
      </c>
      <c r="R8" s="210" t="s">
        <v>881</v>
      </c>
    </row>
    <row r="9" spans="1:18">
      <c r="B9" s="202" t="s">
        <v>310</v>
      </c>
      <c r="C9" s="212" t="str">
        <f>VLOOKUP(B9,'IA FG'!$B$2:$G$600,6,FALSE)</f>
        <v>TOR</v>
      </c>
      <c r="D9" s="214">
        <v>9</v>
      </c>
      <c r="E9" s="215">
        <v>9</v>
      </c>
      <c r="F9" s="215">
        <v>9</v>
      </c>
      <c r="G9" s="215">
        <v>10</v>
      </c>
      <c r="H9" s="215">
        <v>7</v>
      </c>
      <c r="I9" s="215">
        <v>9</v>
      </c>
      <c r="J9" s="162">
        <f>$D9*Pesi!$F$16+Pesi!$F$17*$E9+$F9*Pesi!$F$18+Pesi!$F$19*$G9+$H9*Pesi!$F$20+Pesi!$F$21*$I9+VLOOKUP($C9,TabAlgSqu,2,FALSE)*Pesi!$F$22+Pesi!$F$23*VLOOKUP($C9,TabAlgFC,2,FALSE)+VLOOKUP($C9,TabAlgAll,2,FALSE)*Pesi!$F$24</f>
        <v>106.5663</v>
      </c>
      <c r="K9" s="155">
        <f>IF(ISNA(MATCH($B9,Pesi!$B$31:$B$34,0)),VLOOKUP(Pesi!$B$31,TabAlgAtt,10,FALSE)-((VLOOKUP(Pesi!$B$31,TabAlgAtt,9,FALSE)-$J9)/(VLOOKUP(Pesi!$B$31,TabAlgAtt,9,FALSE)-Pesi!$D$41))*VLOOKUP(Pesi!$B$31,TabAlgAtt,10,FALSE),Pesi!$F$31*Pesi!$C$28)</f>
        <v>133.11642152709527</v>
      </c>
      <c r="L9" s="163">
        <f>IF(K9&lt;=1,1,K9)</f>
        <v>133.11642152709527</v>
      </c>
      <c r="M9">
        <f>SUM(D9:I9)</f>
        <v>53</v>
      </c>
      <c r="N9">
        <f>VLOOKUP(B9,'C.P.'!$A$2:$B$164,2,FALSE)</f>
        <v>1</v>
      </c>
      <c r="O9">
        <f>VLOOKUP(B9,'C.P.'!$C$2:$D$164,2,FALSE)</f>
        <v>1</v>
      </c>
      <c r="P9" t="e">
        <f>VLOOKUP(B9,'C.P.'!$E$2:$F$164,2,FALSE)</f>
        <v>#N/A</v>
      </c>
      <c r="Q9" t="e">
        <f>VLOOKUP(B9,'C.P.'!$G$2:$H$164,2,FALSE)</f>
        <v>#N/A</v>
      </c>
      <c r="R9" s="210" t="s">
        <v>884</v>
      </c>
    </row>
    <row r="10" spans="1:18">
      <c r="A10">
        <f ca="1">COUNTIF('I.A. + Fasce'!B$1:'I.A. + Fasce'!B$538,B6)</f>
        <v>0</v>
      </c>
      <c r="B10" s="202" t="s">
        <v>433</v>
      </c>
      <c r="C10" s="212" t="str">
        <f>VLOOKUP(B10,'IA FG'!$B$2:$G$600,6,FALSE)</f>
        <v>JUV</v>
      </c>
      <c r="D10" s="214">
        <v>9</v>
      </c>
      <c r="E10" s="215">
        <v>7</v>
      </c>
      <c r="F10" s="215">
        <v>9</v>
      </c>
      <c r="G10" s="215">
        <v>8</v>
      </c>
      <c r="H10" s="215">
        <v>8</v>
      </c>
      <c r="I10" s="215">
        <v>8</v>
      </c>
      <c r="J10" s="162">
        <f>$D10*Pesi!$F$16+Pesi!$F$17*$E10+$F10*Pesi!$F$18+Pesi!$F$19*$G10+$H10*Pesi!$F$20+Pesi!$F$21*$I10+VLOOKUP($C10,TabAlgSqu,2,FALSE)*Pesi!$F$22+Pesi!$F$23*VLOOKUP($C10,TabAlgFC,2,FALSE)+VLOOKUP($C10,TabAlgAll,2,FALSE)*Pesi!$F$24</f>
        <v>104.83760000000001</v>
      </c>
      <c r="K10" s="155">
        <f>IF(ISNA(MATCH($B10,Pesi!$B$31:$B$34,0)),VLOOKUP(Pesi!$B$31,TabAlgAtt,10,FALSE)-((VLOOKUP(Pesi!$B$31,TabAlgAtt,9,FALSE)-$J10)/(VLOOKUP(Pesi!$B$31,TabAlgAtt,9,FALSE)-Pesi!$D$41))*VLOOKUP(Pesi!$B$31,TabAlgAtt,10,FALSE),Pesi!$F$31*Pesi!$C$28)</f>
        <v>125.06083302267263</v>
      </c>
      <c r="L10" s="163">
        <f>IF(K10&lt;=1,1,K10)</f>
        <v>125.06083302267263</v>
      </c>
      <c r="M10">
        <f>SUM(D10:I10)</f>
        <v>49</v>
      </c>
      <c r="N10" t="e">
        <f>VLOOKUP(B10,'C.P.'!$A$2:$B$164,2,FALSE)</f>
        <v>#N/A</v>
      </c>
      <c r="O10" t="e">
        <f>VLOOKUP(B10,'C.P.'!$C$2:$D$164,2,FALSE)</f>
        <v>#N/A</v>
      </c>
      <c r="P10" t="e">
        <f>VLOOKUP(B10,'C.P.'!$E$2:$F$164,2,FALSE)</f>
        <v>#N/A</v>
      </c>
      <c r="Q10" t="e">
        <f>VLOOKUP(B10,'C.P.'!$G$2:$H$164,2,FALSE)</f>
        <v>#N/A</v>
      </c>
      <c r="R10" s="180" t="s">
        <v>883</v>
      </c>
    </row>
    <row r="11" spans="1:18">
      <c r="A11">
        <f ca="1">COUNTIF('I.A. + Fasce'!B$1:'I.A. + Fasce'!B$538,B11)</f>
        <v>0</v>
      </c>
      <c r="B11" s="202" t="s">
        <v>396</v>
      </c>
      <c r="C11" s="212" t="str">
        <f>VLOOKUP(B11,'IA FG'!$B$2:$G$600,6,FALSE)</f>
        <v>INT</v>
      </c>
      <c r="D11" s="214">
        <v>8</v>
      </c>
      <c r="E11" s="215">
        <v>9</v>
      </c>
      <c r="F11" s="215">
        <v>7</v>
      </c>
      <c r="G11" s="215">
        <v>9</v>
      </c>
      <c r="H11" s="215">
        <v>7</v>
      </c>
      <c r="I11" s="215">
        <v>9</v>
      </c>
      <c r="J11" s="162">
        <f>$D11*Pesi!$F$16+Pesi!$F$17*$E11+$F11*Pesi!$F$18+Pesi!$F$19*$G11+$H11*Pesi!$F$20+Pesi!$F$21*$I11+VLOOKUP($C11,TabAlgSqu,2,FALSE)*Pesi!$F$22+Pesi!$F$23*VLOOKUP($C11,TabAlgFC,2,FALSE)+VLOOKUP($C11,TabAlgAll,2,FALSE)*Pesi!$F$24</f>
        <v>102.81449999999998</v>
      </c>
      <c r="K11" s="155">
        <f>IF(ISNA(MATCH($B11,Pesi!$B$31:$B$34,0)),VLOOKUP(Pesi!$B$31,TabAlgAtt,10,FALSE)-((VLOOKUP(Pesi!$B$31,TabAlgAtt,9,FALSE)-$J11)/(VLOOKUP(Pesi!$B$31,TabAlgAtt,9,FALSE)-Pesi!$D$41))*VLOOKUP(Pesi!$B$31,TabAlgAtt,10,FALSE),Pesi!$F$31*Pesi!$C$28)</f>
        <v>115.63336665875886</v>
      </c>
      <c r="L11" s="163">
        <f>IF(K11&lt;=1,1,K11)</f>
        <v>115.63336665875886</v>
      </c>
      <c r="M11">
        <f>SUM(D11:I11)</f>
        <v>49</v>
      </c>
      <c r="N11">
        <f>VLOOKUP(B11,'C.P.'!$A$2:$B$164,2,FALSE)</f>
        <v>1</v>
      </c>
      <c r="O11">
        <f>VLOOKUP(B11,'C.P.'!$C$2:$D$164,2,FALSE)</f>
        <v>1</v>
      </c>
      <c r="P11" t="e">
        <f>VLOOKUP(B11,'C.P.'!$E$2:$F$164,2,FALSE)</f>
        <v>#N/A</v>
      </c>
      <c r="Q11" t="e">
        <f>VLOOKUP(B11,'C.P.'!$G$2:$H$164,2,FALSE)</f>
        <v>#N/A</v>
      </c>
    </row>
    <row r="12" spans="1:18">
      <c r="A12">
        <f ca="1">COUNTIF('I.A. + Fasce'!B$1:'I.A. + Fasce'!B$538,B11)</f>
        <v>0</v>
      </c>
      <c r="B12" s="202" t="s">
        <v>476</v>
      </c>
      <c r="C12" s="212" t="str">
        <f>VLOOKUP(B12,'IA FG'!$B$2:$G$600,6,FALSE)</f>
        <v>ATA</v>
      </c>
      <c r="D12" s="214">
        <v>8</v>
      </c>
      <c r="E12" s="215">
        <v>10</v>
      </c>
      <c r="F12" s="215">
        <v>8</v>
      </c>
      <c r="G12" s="215">
        <v>7</v>
      </c>
      <c r="H12" s="215">
        <v>7</v>
      </c>
      <c r="I12" s="215">
        <v>9</v>
      </c>
      <c r="J12" s="162">
        <f>$D12*Pesi!$F$16+Pesi!$F$17*$E12+$F12*Pesi!$F$18+Pesi!$F$19*$G12+$H12*Pesi!$F$20+Pesi!$F$21*$I12+VLOOKUP($C12,TabAlgSqu,2,FALSE)*Pesi!$F$22+Pesi!$F$23*VLOOKUP($C12,TabAlgFC,2,FALSE)+VLOOKUP($C12,TabAlgAll,2,FALSE)*Pesi!$F$24</f>
        <v>100.858</v>
      </c>
      <c r="K12" s="155">
        <f>IF(ISNA(MATCH($B12,Pesi!$B$31:$B$34,0)),VLOOKUP(Pesi!$B$31,TabAlgAtt,10,FALSE)-((VLOOKUP(Pesi!$B$31,TabAlgAtt,9,FALSE)-$J12)/(VLOOKUP(Pesi!$B$31,TabAlgAtt,9,FALSE)-Pesi!$D$41))*VLOOKUP(Pesi!$B$31,TabAlgAtt,10,FALSE),Pesi!$F$31*Pesi!$C$28)</f>
        <v>106.51625038126548</v>
      </c>
      <c r="L12" s="163">
        <f>IF(K12&lt;=1,1,K12)</f>
        <v>106.51625038126548</v>
      </c>
      <c r="M12">
        <f>SUM(D12:I12)</f>
        <v>49</v>
      </c>
      <c r="N12">
        <f>VLOOKUP(B12,'C.P.'!$A$2:$B$164,2,FALSE)</f>
        <v>1</v>
      </c>
      <c r="O12">
        <f>VLOOKUP(B12,'C.P.'!$C$2:$D$164,2,FALSE)</f>
        <v>2</v>
      </c>
      <c r="P12">
        <f>VLOOKUP(B12,'C.P.'!$E$2:$F$164,2,FALSE)</f>
        <v>2</v>
      </c>
      <c r="Q12">
        <f>VLOOKUP(B12,'C.P.'!$G$2:$H$164,2,FALSE)</f>
        <v>1</v>
      </c>
    </row>
    <row r="13" spans="1:18">
      <c r="A13">
        <f ca="1">COUNTIF('I.A. + Fasce'!B$1:'I.A. + Fasce'!B$538,B11)</f>
        <v>0</v>
      </c>
      <c r="B13" s="202" t="s">
        <v>509</v>
      </c>
      <c r="C13" s="212" t="str">
        <f>VLOOKUP(B13,'IA FG'!$B$2:$G$600,6,FALSE)</f>
        <v>ROM</v>
      </c>
      <c r="D13" s="214">
        <v>7</v>
      </c>
      <c r="E13" s="215">
        <v>8</v>
      </c>
      <c r="F13" s="215">
        <v>7</v>
      </c>
      <c r="G13" s="215">
        <v>8</v>
      </c>
      <c r="H13" s="215">
        <v>8</v>
      </c>
      <c r="I13" s="215">
        <v>8</v>
      </c>
      <c r="J13" s="162">
        <f>$D13*Pesi!$F$16+Pesi!$F$17*$E13+$F13*Pesi!$F$18+Pesi!$F$19*$G13+$H13*Pesi!$F$20+Pesi!$F$21*$I13+VLOOKUP($C13,TabAlgSqu,2,FALSE)*Pesi!$F$22+Pesi!$F$23*VLOOKUP($C13,TabAlgFC,2,FALSE)+VLOOKUP($C13,TabAlgAll,2,FALSE)*Pesi!$F$24</f>
        <v>100.78000000000002</v>
      </c>
      <c r="K13" s="155">
        <f>IF(ISNA(MATCH($B13,Pesi!$B$31:$B$34,0)),VLOOKUP(Pesi!$B$31,TabAlgAtt,10,FALSE)-((VLOOKUP(Pesi!$B$31,TabAlgAtt,9,FALSE)-$J13)/(VLOOKUP(Pesi!$B$31,TabAlgAtt,9,FALSE)-Pesi!$D$41))*VLOOKUP(Pesi!$B$31,TabAlgAtt,10,FALSE),Pesi!$F$31*Pesi!$C$28)</f>
        <v>106.15277730707975</v>
      </c>
      <c r="L13" s="163">
        <f>IF(K13&lt;=1,1,K13)</f>
        <v>106.15277730707975</v>
      </c>
      <c r="M13">
        <f>SUM(D13:I13)</f>
        <v>46</v>
      </c>
      <c r="N13">
        <f>VLOOKUP(B13,'C.P.'!$A$2:$B$164,2,FALSE)</f>
        <v>1</v>
      </c>
      <c r="O13" t="e">
        <f>VLOOKUP(B13,'C.P.'!$C$2:$D$164,2,FALSE)</f>
        <v>#N/A</v>
      </c>
      <c r="P13" t="e">
        <f>VLOOKUP(B13,'C.P.'!$E$2:$F$164,2,FALSE)</f>
        <v>#N/A</v>
      </c>
      <c r="Q13" t="e">
        <f>VLOOKUP(B13,'C.P.'!$G$2:$H$164,2,FALSE)</f>
        <v>#N/A</v>
      </c>
    </row>
    <row r="14" spans="1:18">
      <c r="B14" s="202" t="s">
        <v>454</v>
      </c>
      <c r="C14" s="212" t="str">
        <f>VLOOKUP(B14,'IA FG'!$B$2:$G$600,6,FALSE)</f>
        <v>NAP</v>
      </c>
      <c r="D14" s="214">
        <v>7</v>
      </c>
      <c r="E14" s="215">
        <v>7</v>
      </c>
      <c r="F14" s="215">
        <v>8</v>
      </c>
      <c r="G14" s="215">
        <v>7</v>
      </c>
      <c r="H14" s="215">
        <v>8</v>
      </c>
      <c r="I14" s="215">
        <v>7</v>
      </c>
      <c r="J14" s="162">
        <f>$D14*Pesi!$F$16+Pesi!$F$17*$E14+$F14*Pesi!$F$18+Pesi!$F$19*$G14+$H14*Pesi!$F$20+Pesi!$F$21*$I14+VLOOKUP($C14,TabAlgSqu,2,FALSE)*Pesi!$F$22+Pesi!$F$23*VLOOKUP($C14,TabAlgFC,2,FALSE)+VLOOKUP($C14,TabAlgAll,2,FALSE)*Pesi!$F$24</f>
        <v>98.309000000000012</v>
      </c>
      <c r="K14" s="155">
        <f>IF(ISNA(MATCH($B14,Pesi!$B$31:$B$34,0)),VLOOKUP(Pesi!$B$31,TabAlgAtt,10,FALSE)-((VLOOKUP(Pesi!$B$31,TabAlgAtt,9,FALSE)-$J14)/(VLOOKUP(Pesi!$B$31,TabAlgAtt,9,FALSE)-Pesi!$D$41))*VLOOKUP(Pesi!$B$31,TabAlgAtt,10,FALSE),Pesi!$F$31*Pesi!$C$28)</f>
        <v>94.638136713322311</v>
      </c>
      <c r="L14" s="163">
        <f>IF(K14&lt;=1,1,K14)</f>
        <v>94.638136713322311</v>
      </c>
      <c r="M14">
        <f>SUM(D14:I14)</f>
        <v>44</v>
      </c>
      <c r="N14">
        <f>VLOOKUP(B14,'C.P.'!$A$2:$B$164,2,FALSE)</f>
        <v>0</v>
      </c>
      <c r="O14" t="e">
        <f>VLOOKUP(B14,'C.P.'!$C$2:$D$164,2,FALSE)</f>
        <v>#N/A</v>
      </c>
      <c r="P14" t="e">
        <f>VLOOKUP(B14,'C.P.'!$E$2:$F$164,2,FALSE)</f>
        <v>#N/A</v>
      </c>
      <c r="Q14" t="e">
        <f>VLOOKUP(B14,'C.P.'!$G$2:$H$164,2,FALSE)</f>
        <v>#N/A</v>
      </c>
    </row>
    <row r="15" spans="1:18">
      <c r="A15">
        <f ca="1">COUNTIF('I.A. + Fasce'!B$1:'I.A. + Fasce'!B$538,B15)</f>
        <v>0</v>
      </c>
      <c r="B15" s="202" t="s">
        <v>1291</v>
      </c>
      <c r="C15" s="212" t="str">
        <f>VLOOKUP(B15,'IA FG'!$B$2:$G$600,6,FALSE)</f>
        <v>FIO</v>
      </c>
      <c r="D15" s="214">
        <v>9</v>
      </c>
      <c r="E15" s="215">
        <v>8</v>
      </c>
      <c r="F15" s="215">
        <v>8</v>
      </c>
      <c r="G15" s="215">
        <v>8</v>
      </c>
      <c r="H15" s="215">
        <v>8</v>
      </c>
      <c r="I15" s="215">
        <v>9</v>
      </c>
      <c r="J15" s="162">
        <f>$D15*Pesi!$F$16+Pesi!$F$17*$E15+$F15*Pesi!$F$18+Pesi!$F$19*$G15+$H15*Pesi!$F$20+Pesi!$F$21*$I15+VLOOKUP($C15,TabAlgSqu,2,FALSE)*Pesi!$F$22+Pesi!$F$23*VLOOKUP($C15,TabAlgFC,2,FALSE)+VLOOKUP($C15,TabAlgAll,2,FALSE)*Pesi!$F$24</f>
        <v>98.198600000000013</v>
      </c>
      <c r="K15" s="155">
        <f>IF(ISNA(MATCH($B15,Pesi!$B$31:$B$34,0)),VLOOKUP(Pesi!$B$31,TabAlgAtt,10,FALSE)-((VLOOKUP(Pesi!$B$31,TabAlgAtt,9,FALSE)-$J15)/(VLOOKUP(Pesi!$B$31,TabAlgAtt,9,FALSE)-Pesi!$D$41))*VLOOKUP(Pesi!$B$31,TabAlgAtt,10,FALSE),Pesi!$F$31*Pesi!$C$28)</f>
        <v>94.123682516013204</v>
      </c>
      <c r="L15" s="163">
        <f>IF(K15&lt;=1,1,K15)</f>
        <v>94.123682516013204</v>
      </c>
      <c r="M15">
        <f>SUM(D15:I15)</f>
        <v>50</v>
      </c>
      <c r="N15">
        <f>VLOOKUP(B15,'C.P.'!$A$2:$B$164,2,FALSE)</f>
        <v>1</v>
      </c>
      <c r="O15">
        <f>VLOOKUP(B15,'C.P.'!$C$2:$D$164,2,FALSE)</f>
        <v>1</v>
      </c>
      <c r="P15" t="e">
        <f>VLOOKUP(B15,'C.P.'!$E$2:$F$164,2,FALSE)</f>
        <v>#N/A</v>
      </c>
      <c r="Q15" t="e">
        <f>VLOOKUP(B15,'C.P.'!$G$2:$H$164,2,FALSE)</f>
        <v>#N/A</v>
      </c>
      <c r="R15" s="420"/>
    </row>
    <row r="16" spans="1:18">
      <c r="A16">
        <f ca="1">COUNTIF('I.A. + Fasce'!B$1:'I.A. + Fasce'!B$538,B12)</f>
        <v>0</v>
      </c>
      <c r="B16" s="202" t="s">
        <v>365</v>
      </c>
      <c r="C16" s="212" t="str">
        <f>VLOOKUP(B16,'IA FG'!$B$2:$G$600,6,FALSE)</f>
        <v>ROM</v>
      </c>
      <c r="D16" s="214">
        <v>8</v>
      </c>
      <c r="E16" s="215">
        <v>7</v>
      </c>
      <c r="F16" s="215">
        <v>7</v>
      </c>
      <c r="G16" s="215">
        <v>7</v>
      </c>
      <c r="H16" s="215">
        <v>8</v>
      </c>
      <c r="I16" s="215">
        <v>7</v>
      </c>
      <c r="J16" s="162">
        <f>$D16*Pesi!$F$16+Pesi!$F$17*$E16+$F16*Pesi!$F$18+Pesi!$F$19*$G16+$H16*Pesi!$F$20+Pesi!$F$21*$I16+VLOOKUP($C16,TabAlgSqu,2,FALSE)*Pesi!$F$22+Pesi!$F$23*VLOOKUP($C16,TabAlgFC,2,FALSE)+VLOOKUP($C16,TabAlgAll,2,FALSE)*Pesi!$F$24</f>
        <v>96.913299999999992</v>
      </c>
      <c r="K16" s="155">
        <f>IF(ISNA(MATCH($B16,Pesi!$B$31:$B$34,0)),VLOOKUP(Pesi!$B$31,TabAlgAtt,10,FALSE)-((VLOOKUP(Pesi!$B$31,TabAlgAtt,9,FALSE)-$J16)/(VLOOKUP(Pesi!$B$31,TabAlgAtt,9,FALSE)-Pesi!$D$41))*VLOOKUP(Pesi!$B$31,TabAlgAtt,10,FALSE),Pesi!$F$31*Pesi!$C$28)</f>
        <v>88.134298641000399</v>
      </c>
      <c r="L16" s="163">
        <f>IF(K16&lt;=1,1,K16)</f>
        <v>88.134298641000399</v>
      </c>
      <c r="M16">
        <f>SUM(D16:I16)</f>
        <v>44</v>
      </c>
      <c r="N16">
        <f>VLOOKUP(B16,'C.P.'!$A$2:$B$164,2,FALSE)</f>
        <v>0</v>
      </c>
      <c r="O16" t="e">
        <f>VLOOKUP(B16,'C.P.'!$C$2:$D$164,2,FALSE)</f>
        <v>#N/A</v>
      </c>
      <c r="P16">
        <f>VLOOKUP(B16,'C.P.'!$E$2:$F$164,2,FALSE)</f>
        <v>3</v>
      </c>
      <c r="Q16" t="e">
        <f>VLOOKUP(B16,'C.P.'!$G$2:$H$164,2,FALSE)</f>
        <v>#N/A</v>
      </c>
    </row>
    <row r="17" spans="1:18">
      <c r="A17">
        <f ca="1">COUNTIF('I.A. + Fasce'!B$1:'I.A. + Fasce'!B$538,B12)</f>
        <v>0</v>
      </c>
      <c r="B17" s="202" t="s">
        <v>1778</v>
      </c>
      <c r="C17" s="212" t="str">
        <f>VLOOKUP(B17,'IA FG'!$B$2:$G$600,6,FALSE)</f>
        <v>MIL</v>
      </c>
      <c r="D17" s="214">
        <v>9</v>
      </c>
      <c r="E17" s="215">
        <v>7</v>
      </c>
      <c r="F17" s="215">
        <v>6</v>
      </c>
      <c r="G17" s="215">
        <v>8</v>
      </c>
      <c r="H17" s="215">
        <v>7</v>
      </c>
      <c r="I17" s="215">
        <v>8</v>
      </c>
      <c r="J17" s="162">
        <f>$D17*Pesi!$F$16+Pesi!$F$17*$E17+$F17*Pesi!$F$18+Pesi!$F$19*$G17+$H17*Pesi!$F$20+Pesi!$F$21*$I17+VLOOKUP($C17,TabAlgSqu,2,FALSE)*Pesi!$F$22+Pesi!$F$23*VLOOKUP($C17,TabAlgFC,2,FALSE)+VLOOKUP($C17,TabAlgAll,2,FALSE)*Pesi!$F$24</f>
        <v>96.573300000000017</v>
      </c>
      <c r="K17" s="155">
        <f>IF(ISNA(MATCH($B17,Pesi!$B$31:$B$34,0)),VLOOKUP(Pesi!$B$31,TabAlgAtt,10,FALSE)-((VLOOKUP(Pesi!$B$31,TabAlgAtt,9,FALSE)-$J17)/(VLOOKUP(Pesi!$B$31,TabAlgAtt,9,FALSE)-Pesi!$D$41))*VLOOKUP(Pesi!$B$31,TabAlgAtt,10,FALSE),Pesi!$F$31*Pesi!$C$28)</f>
        <v>86.549928830447101</v>
      </c>
      <c r="L17" s="163">
        <f>IF(K17&lt;=1,1,K17)</f>
        <v>86.549928830447101</v>
      </c>
      <c r="M17">
        <f>SUM(D17:I17)</f>
        <v>45</v>
      </c>
      <c r="N17">
        <f>VLOOKUP(B17,'C.P.'!$A$2:$B$164,2,FALSE)</f>
        <v>0</v>
      </c>
      <c r="O17" t="e">
        <f>VLOOKUP(B17,'C.P.'!$C$2:$D$164,2,FALSE)</f>
        <v>#N/A</v>
      </c>
      <c r="P17" t="e">
        <f>VLOOKUP(B17,'C.P.'!$E$2:$F$164,2,FALSE)</f>
        <v>#N/A</v>
      </c>
      <c r="Q17" t="e">
        <f>VLOOKUP(B17,'C.P.'!$G$2:$H$164,2,FALSE)</f>
        <v>#N/A</v>
      </c>
      <c r="R17" s="420"/>
    </row>
    <row r="18" spans="1:18">
      <c r="A18">
        <f ca="1">COUNTIF('I.A. + Fasce'!B$1:'I.A. + Fasce'!B$538,B14)</f>
        <v>0</v>
      </c>
      <c r="B18" s="202" t="s">
        <v>418</v>
      </c>
      <c r="C18" s="212" t="str">
        <f>VLOOKUP(B18,'IA FG'!$B$2:$G$600,6,FALSE)</f>
        <v>MIL</v>
      </c>
      <c r="D18" s="214">
        <v>8</v>
      </c>
      <c r="E18" s="215">
        <v>7</v>
      </c>
      <c r="F18" s="215">
        <v>7</v>
      </c>
      <c r="G18" s="215">
        <v>8</v>
      </c>
      <c r="H18" s="215">
        <v>7</v>
      </c>
      <c r="I18" s="215">
        <v>7</v>
      </c>
      <c r="J18" s="162">
        <f>$D18*Pesi!$F$16+Pesi!$F$17*$E18+$F18*Pesi!$F$18+Pesi!$F$19*$G18+$H18*Pesi!$F$20+Pesi!$F$21*$I18+VLOOKUP($C18,TabAlgSqu,2,FALSE)*Pesi!$F$22+Pesi!$F$23*VLOOKUP($C18,TabAlgFC,2,FALSE)+VLOOKUP($C18,TabAlgAll,2,FALSE)*Pesi!$F$24</f>
        <v>94.440000000000012</v>
      </c>
      <c r="K18" s="155">
        <f>IF(ISNA(MATCH($B18,Pesi!$B$31:$B$34,0)),VLOOKUP(Pesi!$B$31,TabAlgAtt,10,FALSE)-((VLOOKUP(Pesi!$B$31,TabAlgAtt,9,FALSE)-$J18)/(VLOOKUP(Pesi!$B$31,TabAlgAtt,9,FALSE)-Pesi!$D$41))*VLOOKUP(Pesi!$B$31,TabAlgAtt,10,FALSE),Pesi!$F$31*Pesi!$C$28)</f>
        <v>76.60894025146581</v>
      </c>
      <c r="L18" s="163">
        <f>IF(K18&lt;=1,1,K18)</f>
        <v>76.60894025146581</v>
      </c>
      <c r="M18">
        <f>SUM(D18:I18)</f>
        <v>44</v>
      </c>
      <c r="N18" t="e">
        <f>VLOOKUP(B18,'C.P.'!$A$2:$B$164,2,FALSE)</f>
        <v>#N/A</v>
      </c>
      <c r="O18">
        <f>VLOOKUP(B18,'C.P.'!$C$2:$D$164,2,FALSE)</f>
        <v>2</v>
      </c>
      <c r="P18" t="e">
        <f>VLOOKUP(B18,'C.P.'!$E$2:$F$164,2,FALSE)</f>
        <v>#N/A</v>
      </c>
      <c r="Q18" t="e">
        <f>VLOOKUP(B18,'C.P.'!$G$2:$H$164,2,FALSE)</f>
        <v>#N/A</v>
      </c>
    </row>
    <row r="19" spans="1:18">
      <c r="A19">
        <f ca="1">COUNTIF('I.A. + Fasce'!B$1:'I.A. + Fasce'!B$538,B13)</f>
        <v>0</v>
      </c>
      <c r="B19" s="202" t="s">
        <v>610</v>
      </c>
      <c r="C19" s="212" t="str">
        <f>VLOOKUP(B19,'IA FG'!$B$2:$G$600,6,FALSE)</f>
        <v>MIL</v>
      </c>
      <c r="D19" s="214">
        <v>8</v>
      </c>
      <c r="E19" s="215">
        <v>8</v>
      </c>
      <c r="F19" s="215">
        <v>7</v>
      </c>
      <c r="G19" s="215">
        <v>7</v>
      </c>
      <c r="H19" s="215">
        <v>7</v>
      </c>
      <c r="I19" s="215">
        <v>6</v>
      </c>
      <c r="J19" s="162">
        <f>$D19*Pesi!$F$16+Pesi!$F$17*$E19+$F19*Pesi!$F$18+Pesi!$F$19*$G19+$H19*Pesi!$F$20+Pesi!$F$21*$I19+VLOOKUP($C19,TabAlgSqu,2,FALSE)*Pesi!$F$22+Pesi!$F$23*VLOOKUP($C19,TabAlgFC,2,FALSE)+VLOOKUP($C19,TabAlgAll,2,FALSE)*Pesi!$F$24</f>
        <v>92.715000000000018</v>
      </c>
      <c r="K19" s="155">
        <f>IF(ISNA(MATCH($B19,Pesi!$B$31:$B$34,0)),VLOOKUP(Pesi!$B$31,TabAlgAtt,10,FALSE)-((VLOOKUP(Pesi!$B$31,TabAlgAtt,9,FALSE)-$J19)/(VLOOKUP(Pesi!$B$31,TabAlgAtt,9,FALSE)-Pesi!$D$41))*VLOOKUP(Pesi!$B$31,TabAlgAtt,10,FALSE),Pesi!$F$31*Pesi!$C$28)</f>
        <v>68.570593418510953</v>
      </c>
      <c r="L19" s="163">
        <f>IF(K19&lt;=1,1,K19)</f>
        <v>68.570593418510953</v>
      </c>
      <c r="M19">
        <f>SUM(D19:I19)</f>
        <v>43</v>
      </c>
      <c r="N19" t="e">
        <f>VLOOKUP(B19,'C.P.'!$A$2:$B$164,2,FALSE)</f>
        <v>#N/A</v>
      </c>
      <c r="O19" t="e">
        <f>VLOOKUP(B19,'C.P.'!$C$2:$D$164,2,FALSE)</f>
        <v>#N/A</v>
      </c>
      <c r="P19">
        <f>VLOOKUP(B19,'C.P.'!$E$2:$F$164,2,FALSE)</f>
        <v>3</v>
      </c>
      <c r="Q19" t="e">
        <f>VLOOKUP(B19,'C.P.'!$G$2:$H$164,2,FALSE)</f>
        <v>#N/A</v>
      </c>
    </row>
    <row r="20" spans="1:18">
      <c r="B20" s="202" t="s">
        <v>1982</v>
      </c>
      <c r="C20" s="212" t="str">
        <f>VLOOKUP(B20,'IA FG'!$B$2:$G$600,6,FALSE)</f>
        <v>LAZ</v>
      </c>
      <c r="D20" s="214">
        <v>6</v>
      </c>
      <c r="E20" s="215">
        <v>7</v>
      </c>
      <c r="F20" s="215">
        <v>8</v>
      </c>
      <c r="G20" s="215">
        <v>7</v>
      </c>
      <c r="H20" s="215">
        <v>8</v>
      </c>
      <c r="I20" s="215">
        <v>7</v>
      </c>
      <c r="J20" s="162">
        <f>$D20*Pesi!$F$16+Pesi!$F$17*$E20+$F20*Pesi!$F$18+Pesi!$F$19*$G20+$H20*Pesi!$F$20+Pesi!$F$21*$I20+VLOOKUP($C20,TabAlgSqu,2,FALSE)*Pesi!$F$22+Pesi!$F$23*VLOOKUP($C20,TabAlgFC,2,FALSE)+VLOOKUP($C20,TabAlgAll,2,FALSE)*Pesi!$F$24</f>
        <v>90.819199999999995</v>
      </c>
      <c r="K20" s="155">
        <f>IF(ISNA(MATCH($B20,Pesi!$B$31:$B$34,0)),VLOOKUP(Pesi!$B$31,TabAlgAtt,10,FALSE)-((VLOOKUP(Pesi!$B$31,TabAlgAtt,9,FALSE)-$J20)/(VLOOKUP(Pesi!$B$31,TabAlgAtt,9,FALSE)-Pesi!$D$41))*VLOOKUP(Pesi!$B$31,TabAlgAtt,10,FALSE),Pesi!$F$31*Pesi!$C$28)</f>
        <v>59.736333751313211</v>
      </c>
      <c r="L20" s="163">
        <f>IF(K20&lt;=1,1,K20)</f>
        <v>59.736333751313211</v>
      </c>
      <c r="M20">
        <f>SUM(D20:I20)</f>
        <v>43</v>
      </c>
      <c r="N20" t="e">
        <f>VLOOKUP(B20,'C.P.'!$A$2:$B$164,2,FALSE)</f>
        <v>#N/A</v>
      </c>
      <c r="O20" t="e">
        <f>VLOOKUP(B20,'C.P.'!$C$2:$D$164,2,FALSE)</f>
        <v>#N/A</v>
      </c>
      <c r="P20" t="e">
        <f>VLOOKUP(B20,'C.P.'!$E$2:$F$164,2,FALSE)</f>
        <v>#N/A</v>
      </c>
      <c r="Q20" t="e">
        <f>VLOOKUP(B20,'C.P.'!$G$2:$H$164,2,FALSE)</f>
        <v>#N/A</v>
      </c>
    </row>
    <row r="21" spans="1:18">
      <c r="A21">
        <f ca="1">COUNTIF('I.A. + Fasce'!B$1:'I.A. + Fasce'!B$538,B17)</f>
        <v>0</v>
      </c>
      <c r="B21" s="202" t="s">
        <v>369</v>
      </c>
      <c r="C21" s="212" t="str">
        <f>VLOOKUP(B21,'IA FG'!$B$2:$G$600,6,FALSE)</f>
        <v>SAS</v>
      </c>
      <c r="D21" s="214">
        <v>9</v>
      </c>
      <c r="E21" s="215">
        <v>8</v>
      </c>
      <c r="F21" s="215">
        <v>7</v>
      </c>
      <c r="G21" s="215">
        <v>8</v>
      </c>
      <c r="H21" s="215">
        <v>6</v>
      </c>
      <c r="I21" s="215">
        <v>8</v>
      </c>
      <c r="J21" s="162">
        <f>$D21*Pesi!$F$16+Pesi!$F$17*$E21+$F21*Pesi!$F$18+Pesi!$F$19*$G21+$H21*Pesi!$F$20+Pesi!$F$21*$I21+VLOOKUP($C21,TabAlgSqu,2,FALSE)*Pesi!$F$22+Pesi!$F$23*VLOOKUP($C21,TabAlgFC,2,FALSE)+VLOOKUP($C21,TabAlgAll,2,FALSE)*Pesi!$F$24</f>
        <v>90.771500000000003</v>
      </c>
      <c r="K21" s="155">
        <f>IF(ISNA(MATCH($B21,Pesi!$B$31:$B$34,0)),VLOOKUP(Pesi!$B$31,TabAlgAtt,10,FALSE)-((VLOOKUP(Pesi!$B$31,TabAlgAtt,9,FALSE)-$J21)/(VLOOKUP(Pesi!$B$31,TabAlgAtt,9,FALSE)-Pesi!$D$41))*VLOOKUP(Pesi!$B$31,TabAlgAtt,10,FALSE),Pesi!$F$31*Pesi!$C$28)</f>
        <v>59.514055986715036</v>
      </c>
      <c r="L21" s="163">
        <f>IF(K21&lt;=1,1,K21)</f>
        <v>59.514055986715036</v>
      </c>
      <c r="M21">
        <f>SUM(D21:I21)</f>
        <v>46</v>
      </c>
      <c r="N21">
        <f>VLOOKUP(B21,'C.P.'!$A$2:$B$164,2,FALSE)</f>
        <v>1</v>
      </c>
      <c r="O21">
        <f>VLOOKUP(B21,'C.P.'!$C$2:$D$164,2,FALSE)</f>
        <v>2</v>
      </c>
      <c r="P21" t="e">
        <f>VLOOKUP(B21,'C.P.'!$E$2:$F$164,2,FALSE)</f>
        <v>#N/A</v>
      </c>
      <c r="Q21" t="e">
        <f>VLOOKUP(B21,'C.P.'!$G$2:$H$164,2,FALSE)</f>
        <v>#N/A</v>
      </c>
    </row>
    <row r="22" spans="1:18">
      <c r="B22" s="202" t="s">
        <v>486</v>
      </c>
      <c r="C22" s="212" t="str">
        <f>VLOOKUP(B22,'IA FG'!$B$2:$G$600,6,FALSE)</f>
        <v>ATA</v>
      </c>
      <c r="D22" s="214">
        <v>9</v>
      </c>
      <c r="E22" s="215">
        <v>8</v>
      </c>
      <c r="F22" s="215">
        <v>8</v>
      </c>
      <c r="G22" s="215">
        <v>5</v>
      </c>
      <c r="H22" s="215">
        <v>6</v>
      </c>
      <c r="I22" s="215">
        <v>7</v>
      </c>
      <c r="J22" s="162">
        <f>$D22*Pesi!$F$16+Pesi!$F$17*$E22+$F22*Pesi!$F$18+Pesi!$F$19*$G22+$H22*Pesi!$F$20+Pesi!$F$21*$I22+VLOOKUP($C22,TabAlgSqu,2,FALSE)*Pesi!$F$22+Pesi!$F$23*VLOOKUP($C22,TabAlgFC,2,FALSE)+VLOOKUP($C22,TabAlgAll,2,FALSE)*Pesi!$F$24</f>
        <v>90.25800000000001</v>
      </c>
      <c r="K22" s="155">
        <f>IF(ISNA(MATCH($B22,Pesi!$B$31:$B$34,0)),VLOOKUP(Pesi!$B$31,TabAlgAtt,10,FALSE)-((VLOOKUP(Pesi!$B$31,TabAlgAtt,9,FALSE)-$J22)/(VLOOKUP(Pesi!$B$31,TabAlgAtt,9,FALSE)-Pesi!$D$41))*VLOOKUP(Pesi!$B$31,TabAlgAtt,10,FALSE),Pesi!$F$31*Pesi!$C$28)</f>
        <v>57.121191581658636</v>
      </c>
      <c r="L22" s="163">
        <f>IF(K22&lt;=1,1,K22)</f>
        <v>57.121191581658636</v>
      </c>
      <c r="M22">
        <f>SUM(D22:I22)</f>
        <v>43</v>
      </c>
      <c r="N22" t="e">
        <f>VLOOKUP(B22,'C.P.'!$A$2:$B$164,2,FALSE)</f>
        <v>#N/A</v>
      </c>
      <c r="O22" t="e">
        <f>VLOOKUP(B22,'C.P.'!$C$2:$D$164,2,FALSE)</f>
        <v>#N/A</v>
      </c>
      <c r="P22" t="e">
        <f>VLOOKUP(B22,'C.P.'!$E$2:$F$164,2,FALSE)</f>
        <v>#N/A</v>
      </c>
      <c r="Q22" t="e">
        <f>VLOOKUP(B22,'C.P.'!$G$2:$H$164,2,FALSE)</f>
        <v>#N/A</v>
      </c>
    </row>
    <row r="23" spans="1:18">
      <c r="A23">
        <f ca="1">COUNTIF('I.A. + Fasce'!B$1:'I.A. + Fasce'!B$538,B22)</f>
        <v>0</v>
      </c>
      <c r="B23" s="202" t="s">
        <v>477</v>
      </c>
      <c r="C23" s="212" t="str">
        <f>VLOOKUP(B23,'IA FG'!$B$2:$G$600,6,FALSE)</f>
        <v>CAG</v>
      </c>
      <c r="D23" s="214">
        <v>6</v>
      </c>
      <c r="E23" s="215">
        <v>8</v>
      </c>
      <c r="F23" s="215">
        <v>8</v>
      </c>
      <c r="G23" s="215">
        <v>8</v>
      </c>
      <c r="H23" s="215">
        <v>7</v>
      </c>
      <c r="I23" s="215">
        <v>8</v>
      </c>
      <c r="J23" s="162">
        <f>$D23*Pesi!$F$16+Pesi!$F$17*$E23+$F23*Pesi!$F$18+Pesi!$F$19*$G23+$H23*Pesi!$F$20+Pesi!$F$21*$I23+VLOOKUP($C23,TabAlgSqu,2,FALSE)*Pesi!$F$22+Pesi!$F$23*VLOOKUP($C23,TabAlgFC,2,FALSE)+VLOOKUP($C23,TabAlgAll,2,FALSE)*Pesi!$F$24</f>
        <v>89.857400000000013</v>
      </c>
      <c r="K23" s="155">
        <f>IF(ISNA(MATCH($B23,Pesi!$B$31:$B$34,0)),VLOOKUP(Pesi!$B$31,TabAlgAtt,10,FALSE)-((VLOOKUP(Pesi!$B$31,TabAlgAtt,9,FALSE)-$J23)/(VLOOKUP(Pesi!$B$31,TabAlgAtt,9,FALSE)-Pesi!$D$41))*VLOOKUP(Pesi!$B$31,TabAlgAtt,10,FALSE),Pesi!$F$31*Pesi!$C$28)</f>
        <v>55.254431151930106</v>
      </c>
      <c r="L23" s="163">
        <f>IF(K23&lt;=1,1,K23)</f>
        <v>55.254431151930106</v>
      </c>
      <c r="M23">
        <f>SUM(D23:I23)</f>
        <v>45</v>
      </c>
      <c r="N23">
        <f>VLOOKUP(B23,'C.P.'!$A$2:$B$164,2,FALSE)</f>
        <v>1</v>
      </c>
      <c r="O23">
        <f>VLOOKUP(B23,'C.P.'!$C$2:$D$164,2,FALSE)</f>
        <v>2</v>
      </c>
      <c r="P23" t="e">
        <f>VLOOKUP(B23,'C.P.'!$E$2:$F$164,2,FALSE)</f>
        <v>#N/A</v>
      </c>
      <c r="Q23" t="e">
        <f>VLOOKUP(B23,'C.P.'!$G$2:$H$164,2,FALSE)</f>
        <v>#N/A</v>
      </c>
    </row>
    <row r="24" spans="1:18">
      <c r="A24">
        <f ca="1">COUNTIF('I.A. + Fasce'!B$1:'I.A. + Fasce'!B$538,#REF!)</f>
        <v>0</v>
      </c>
      <c r="B24" s="202" t="s">
        <v>1782</v>
      </c>
      <c r="C24" s="212" t="str">
        <f>VLOOKUP(B24,'IA FG'!$B$2:$G$600,6,FALSE)</f>
        <v>MIL</v>
      </c>
      <c r="D24" s="214">
        <v>9</v>
      </c>
      <c r="E24" s="215">
        <v>6</v>
      </c>
      <c r="F24" s="215">
        <v>6</v>
      </c>
      <c r="G24" s="215">
        <v>7</v>
      </c>
      <c r="H24" s="215">
        <v>6</v>
      </c>
      <c r="I24" s="215">
        <v>7</v>
      </c>
      <c r="J24" s="162">
        <f>$D24*Pesi!$F$16+Pesi!$F$17*$E24+$F24*Pesi!$F$18+Pesi!$F$19*$G24+$H24*Pesi!$F$20+Pesi!$F$21*$I24+VLOOKUP($C24,TabAlgSqu,2,FALSE)*Pesi!$F$22+Pesi!$F$23*VLOOKUP($C24,TabAlgFC,2,FALSE)+VLOOKUP($C24,TabAlgAll,2,FALSE)*Pesi!$F$24</f>
        <v>89.84</v>
      </c>
      <c r="K24" s="155">
        <f>IF(ISNA(MATCH($B24,Pesi!$B$31:$B$34,0)),VLOOKUP(Pesi!$B$31,TabAlgAtt,10,FALSE)-((VLOOKUP(Pesi!$B$31,TabAlgAtt,9,FALSE)-$J24)/(VLOOKUP(Pesi!$B$31,TabAlgAtt,9,FALSE)-Pesi!$D$41))*VLOOKUP(Pesi!$B$31,TabAlgAtt,10,FALSE),Pesi!$F$31*Pesi!$C$28)</f>
        <v>55.17334869691939</v>
      </c>
      <c r="L24" s="163">
        <f>IF(K24&lt;=1,1,K24)</f>
        <v>55.17334869691939</v>
      </c>
      <c r="M24">
        <f>SUM(D24:I24)</f>
        <v>41</v>
      </c>
      <c r="N24" t="e">
        <f>VLOOKUP(B24,'C.P.'!$A$2:$B$164,2,FALSE)</f>
        <v>#N/A</v>
      </c>
      <c r="O24" t="e">
        <f>VLOOKUP(B24,'C.P.'!$C$2:$D$164,2,FALSE)</f>
        <v>#N/A</v>
      </c>
      <c r="P24" t="e">
        <f>VLOOKUP(B24,'C.P.'!$E$2:$F$164,2,FALSE)</f>
        <v>#N/A</v>
      </c>
      <c r="Q24" t="e">
        <f>VLOOKUP(B24,'C.P.'!$G$2:$H$164,2,FALSE)</f>
        <v>#N/A</v>
      </c>
    </row>
    <row r="25" spans="1:18">
      <c r="A25">
        <f ca="1">COUNTIF('I.A. + Fasce'!B$1:'I.A. + Fasce'!B$538,B20)</f>
        <v>0</v>
      </c>
      <c r="B25" s="202" t="s">
        <v>462</v>
      </c>
      <c r="C25" s="212" t="str">
        <f>VLOOKUP(B25,'IA FG'!$B$2:$G$600,6,FALSE)</f>
        <v>TOR</v>
      </c>
      <c r="D25" s="214">
        <v>8</v>
      </c>
      <c r="E25" s="215">
        <v>8</v>
      </c>
      <c r="F25" s="215">
        <v>6</v>
      </c>
      <c r="G25" s="215">
        <v>7</v>
      </c>
      <c r="H25" s="215">
        <v>6</v>
      </c>
      <c r="I25" s="215">
        <v>7</v>
      </c>
      <c r="J25" s="162">
        <f>$D25*Pesi!$F$16+Pesi!$F$17*$E25+$F25*Pesi!$F$18+Pesi!$F$19*$G25+$H25*Pesi!$F$20+Pesi!$F$21*$I25+VLOOKUP($C25,TabAlgSqu,2,FALSE)*Pesi!$F$22+Pesi!$F$23*VLOOKUP($C25,TabAlgFC,2,FALSE)+VLOOKUP($C25,TabAlgAll,2,FALSE)*Pesi!$F$24</f>
        <v>89.374700000000004</v>
      </c>
      <c r="K25" s="155">
        <f>IF(ISNA(MATCH($B25,Pesi!$B$31:$B$34,0)),VLOOKUP(Pesi!$B$31,TabAlgAtt,10,FALSE)-((VLOOKUP(Pesi!$B$31,TabAlgAtt,9,FALSE)-$J25)/(VLOOKUP(Pesi!$B$31,TabAlgAtt,9,FALSE)-Pesi!$D$41))*VLOOKUP(Pesi!$B$31,TabAlgAtt,10,FALSE),Pesi!$F$31*Pesi!$C$28)</f>
        <v>53.005092012064949</v>
      </c>
      <c r="L25" s="163">
        <f>IF(K25&lt;=1,1,K25)</f>
        <v>53.005092012064949</v>
      </c>
      <c r="M25">
        <f>SUM(D25:I25)</f>
        <v>42</v>
      </c>
      <c r="N25">
        <f>VLOOKUP(B25,'C.P.'!$A$2:$B$164,2,FALSE)</f>
        <v>0</v>
      </c>
      <c r="O25" t="e">
        <f>VLOOKUP(B25,'C.P.'!$C$2:$D$164,2,FALSE)</f>
        <v>#N/A</v>
      </c>
      <c r="P25" t="e">
        <f>VLOOKUP(B25,'C.P.'!$E$2:$F$164,2,FALSE)</f>
        <v>#N/A</v>
      </c>
      <c r="Q25" t="e">
        <f>VLOOKUP(B25,'C.P.'!$G$2:$H$164,2,FALSE)</f>
        <v>#N/A</v>
      </c>
    </row>
    <row r="26" spans="1:18">
      <c r="A26">
        <f ca="1">COUNTIF('I.A. + Fasce'!B$1:'I.A. + Fasce'!B$538,B22)</f>
        <v>0</v>
      </c>
      <c r="B26" s="202" t="s">
        <v>362</v>
      </c>
      <c r="C26" s="212" t="str">
        <f>VLOOKUP(B26,'IA FG'!$B$2:$G$600,6,FALSE)</f>
        <v>INT</v>
      </c>
      <c r="D26" s="214">
        <v>8</v>
      </c>
      <c r="E26" s="215">
        <v>7</v>
      </c>
      <c r="F26" s="215">
        <v>6</v>
      </c>
      <c r="G26" s="215">
        <v>7</v>
      </c>
      <c r="H26" s="215">
        <v>7</v>
      </c>
      <c r="I26" s="215">
        <v>6</v>
      </c>
      <c r="J26" s="162">
        <f>$D26*Pesi!$F$16+Pesi!$F$17*$E26+$F26*Pesi!$F$18+Pesi!$F$19*$G26+$H26*Pesi!$F$20+Pesi!$F$21*$I26+VLOOKUP($C26,TabAlgSqu,2,FALSE)*Pesi!$F$22+Pesi!$F$23*VLOOKUP($C26,TabAlgFC,2,FALSE)+VLOOKUP($C26,TabAlgAll,2,FALSE)*Pesi!$F$24</f>
        <v>89.014499999999998</v>
      </c>
      <c r="K26" s="155">
        <f>IF(ISNA(MATCH($B26,Pesi!$B$31:$B$34,0)),VLOOKUP(Pesi!$B$31,TabAlgAtt,10,FALSE)-((VLOOKUP(Pesi!$B$31,TabAlgAtt,9,FALSE)-$J26)/(VLOOKUP(Pesi!$B$31,TabAlgAtt,9,FALSE)-Pesi!$D$41))*VLOOKUP(Pesi!$B$31,TabAlgAtt,10,FALSE),Pesi!$F$31*Pesi!$C$28)</f>
        <v>51.326591995119799</v>
      </c>
      <c r="L26" s="163">
        <f>IF(K26&lt;=1,1,K26)</f>
        <v>51.326591995119799</v>
      </c>
      <c r="M26">
        <f>SUM(D26:I26)</f>
        <v>41</v>
      </c>
      <c r="N26" t="e">
        <f>VLOOKUP(B26,'C.P.'!$A$2:$B$164,2,FALSE)</f>
        <v>#N/A</v>
      </c>
      <c r="O26">
        <f>VLOOKUP(B26,'C.P.'!$C$2:$D$164,2,FALSE)</f>
        <v>3</v>
      </c>
      <c r="P26" t="e">
        <f>VLOOKUP(B26,'C.P.'!$E$2:$F$164,2,FALSE)</f>
        <v>#N/A</v>
      </c>
      <c r="Q26" t="e">
        <f>VLOOKUP(B26,'C.P.'!$G$2:$H$164,2,FALSE)</f>
        <v>#N/A</v>
      </c>
    </row>
    <row r="27" spans="1:18">
      <c r="A27">
        <f ca="1">COUNTIF('I.A. + Fasce'!B$1:'I.A. + Fasce'!B$538,B23)</f>
        <v>0</v>
      </c>
      <c r="B27" s="202" t="s">
        <v>489</v>
      </c>
      <c r="C27" s="212" t="str">
        <f>VLOOKUP(B27,'IA FG'!$B$2:$G$600,6,FALSE)</f>
        <v>JUV</v>
      </c>
      <c r="D27" s="214">
        <v>6</v>
      </c>
      <c r="E27" s="215">
        <v>5</v>
      </c>
      <c r="F27" s="215">
        <v>7</v>
      </c>
      <c r="G27" s="215">
        <v>7</v>
      </c>
      <c r="H27" s="215">
        <v>8</v>
      </c>
      <c r="I27" s="215">
        <v>6</v>
      </c>
      <c r="J27" s="162">
        <f>$D27*Pesi!$F$16+Pesi!$F$17*$E27+$F27*Pesi!$F$18+Pesi!$F$19*$G27+$H27*Pesi!$F$20+Pesi!$F$21*$I27+VLOOKUP($C27,TabAlgSqu,2,FALSE)*Pesi!$F$22+Pesi!$F$23*VLOOKUP($C27,TabAlgFC,2,FALSE)+VLOOKUP($C27,TabAlgAll,2,FALSE)*Pesi!$F$24</f>
        <v>88.800200000000004</v>
      </c>
      <c r="K27" s="155">
        <f>IF(ISNA(MATCH($B27,Pesi!$B$31:$B$34,0)),VLOOKUP(Pesi!$B$31,TabAlgAtt,10,FALSE)-((VLOOKUP(Pesi!$B$31,TabAlgAtt,9,FALSE)-$J27)/(VLOOKUP(Pesi!$B$31,TabAlgAtt,9,FALSE)-Pesi!$D$41))*VLOOKUP(Pesi!$B$31,TabAlgAtt,10,FALSE),Pesi!$F$31*Pesi!$C$28)</f>
        <v>50.327973023350424</v>
      </c>
      <c r="L27" s="163">
        <f>IF(K27&lt;=1,1,K27)</f>
        <v>50.327973023350424</v>
      </c>
      <c r="M27">
        <f>SUM(D27:I27)</f>
        <v>39</v>
      </c>
      <c r="N27" t="e">
        <f>VLOOKUP(B27,'C.P.'!$A$2:$B$164,2,FALSE)</f>
        <v>#N/A</v>
      </c>
      <c r="O27" t="e">
        <f>VLOOKUP(B27,'C.P.'!$C$2:$D$164,2,FALSE)</f>
        <v>#N/A</v>
      </c>
      <c r="P27" t="e">
        <f>VLOOKUP(B27,'C.P.'!$E$2:$F$164,2,FALSE)</f>
        <v>#N/A</v>
      </c>
      <c r="Q27" t="e">
        <f>VLOOKUP(B27,'C.P.'!$G$2:$H$164,2,FALSE)</f>
        <v>#N/A</v>
      </c>
    </row>
    <row r="28" spans="1:18">
      <c r="A28">
        <f ca="1">COUNTIF('I.A. + Fasce'!B$1:'I.A. + Fasce'!B$538,B22)</f>
        <v>0</v>
      </c>
      <c r="B28" s="202" t="s">
        <v>494</v>
      </c>
      <c r="C28" s="212" t="str">
        <f>VLOOKUP(B28,'IA FG'!$B$2:$G$600,6,FALSE)</f>
        <v>SAM</v>
      </c>
      <c r="D28" s="214">
        <v>8</v>
      </c>
      <c r="E28" s="215">
        <v>8</v>
      </c>
      <c r="F28" s="215">
        <v>7</v>
      </c>
      <c r="G28" s="215">
        <v>7</v>
      </c>
      <c r="H28" s="215">
        <v>7</v>
      </c>
      <c r="I28" s="215">
        <v>7</v>
      </c>
      <c r="J28" s="162">
        <f>$D28*Pesi!$F$16+Pesi!$F$17*$E28+$F28*Pesi!$F$18+Pesi!$F$19*$G28+$H28*Pesi!$F$20+Pesi!$F$21*$I28+VLOOKUP($C28,TabAlgSqu,2,FALSE)*Pesi!$F$22+Pesi!$F$23*VLOOKUP($C28,TabAlgFC,2,FALSE)+VLOOKUP($C28,TabAlgAll,2,FALSE)*Pesi!$F$24</f>
        <v>88.512</v>
      </c>
      <c r="K28" s="155">
        <f>IF(ISNA(MATCH($B28,Pesi!$B$31:$B$34,0)),VLOOKUP(Pesi!$B$31,TabAlgAtt,10,FALSE)-((VLOOKUP(Pesi!$B$31,TabAlgAtt,9,FALSE)-$J28)/(VLOOKUP(Pesi!$B$31,TabAlgAtt,9,FALSE)-Pesi!$D$41))*VLOOKUP(Pesi!$B$31,TabAlgAtt,10,FALSE),Pesi!$F$31*Pesi!$C$28)</f>
        <v>48.984986613345995</v>
      </c>
      <c r="L28" s="163">
        <f>IF(K28&lt;=1,1,K28)</f>
        <v>48.984986613345995</v>
      </c>
      <c r="M28">
        <f>SUM(D28:I28)</f>
        <v>44</v>
      </c>
      <c r="N28">
        <f>VLOOKUP(B28,'C.P.'!$A$2:$B$164,2,FALSE)</f>
        <v>1</v>
      </c>
      <c r="O28" t="e">
        <f>VLOOKUP(B28,'C.P.'!$C$2:$D$164,2,FALSE)</f>
        <v>#N/A</v>
      </c>
      <c r="P28" t="e">
        <f>VLOOKUP(B28,'C.P.'!$E$2:$F$164,2,FALSE)</f>
        <v>#N/A</v>
      </c>
      <c r="Q28" t="e">
        <f>VLOOKUP(B28,'C.P.'!$G$2:$H$164,2,FALSE)</f>
        <v>#N/A</v>
      </c>
    </row>
    <row r="29" spans="1:18">
      <c r="A29">
        <f ca="1">COUNTIF('I.A. + Fasce'!B$1:'I.A. + Fasce'!B$538,B29)</f>
        <v>0</v>
      </c>
      <c r="B29" s="202" t="s">
        <v>315</v>
      </c>
      <c r="C29" s="212" t="str">
        <f>VLOOKUP(B29,'IA FG'!$B$2:$G$600,6,FALSE)</f>
        <v>SAS</v>
      </c>
      <c r="D29" s="214">
        <v>6</v>
      </c>
      <c r="E29" s="215">
        <v>9</v>
      </c>
      <c r="F29" s="215">
        <v>8</v>
      </c>
      <c r="G29" s="215">
        <v>8</v>
      </c>
      <c r="H29" s="215">
        <v>5</v>
      </c>
      <c r="I29" s="215">
        <v>8</v>
      </c>
      <c r="J29" s="162">
        <f>$D29*Pesi!$F$16+Pesi!$F$17*$E29+$F29*Pesi!$F$18+Pesi!$F$19*$G29+$H29*Pesi!$F$20+Pesi!$F$21*$I29+VLOOKUP($C29,TabAlgSqu,2,FALSE)*Pesi!$F$22+Pesi!$F$23*VLOOKUP($C29,TabAlgFC,2,FALSE)+VLOOKUP($C29,TabAlgAll,2,FALSE)*Pesi!$F$24</f>
        <v>87.875799999999998</v>
      </c>
      <c r="K29" s="155">
        <f>IF(ISNA(MATCH($B29,Pesi!$B$31:$B$34,0)),VLOOKUP(Pesi!$B$31,TabAlgAtt,10,FALSE)-((VLOOKUP(Pesi!$B$31,TabAlgAtt,9,FALSE)-$J29)/(VLOOKUP(Pesi!$B$31,TabAlgAtt,9,FALSE)-Pesi!$D$41))*VLOOKUP(Pesi!$B$31,TabAlgAtt,10,FALSE),Pesi!$F$31*Pesi!$C$28)</f>
        <v>46.020351103128064</v>
      </c>
      <c r="L29" s="163">
        <f>IF(K29&lt;=1,1,K29)</f>
        <v>46.020351103128064</v>
      </c>
      <c r="M29">
        <f>SUM(D29:I29)</f>
        <v>44</v>
      </c>
      <c r="N29" t="e">
        <f>VLOOKUP(B29,'C.P.'!$A$2:$B$164,2,FALSE)</f>
        <v>#N/A</v>
      </c>
      <c r="O29">
        <f>VLOOKUP(B29,'C.P.'!$C$2:$D$164,2,FALSE)</f>
        <v>1</v>
      </c>
      <c r="P29">
        <f>VLOOKUP(B29,'C.P.'!$E$2:$F$164,2,FALSE)</f>
        <v>1</v>
      </c>
      <c r="Q29">
        <f>VLOOKUP(B29,'C.P.'!$G$2:$H$164,2,FALSE)</f>
        <v>1</v>
      </c>
      <c r="R29" s="180"/>
    </row>
    <row r="30" spans="1:18">
      <c r="A30">
        <f ca="1">COUNTIF('I.A. + Fasce'!B$1:'I.A. + Fasce'!B$538,B30)</f>
        <v>0</v>
      </c>
      <c r="B30" s="202" t="s">
        <v>1783</v>
      </c>
      <c r="C30" s="212" t="str">
        <f>VLOOKUP(B30,'IA FG'!$B$2:$G$600,6,FALSE)</f>
        <v>MIL</v>
      </c>
      <c r="D30" s="214">
        <v>9</v>
      </c>
      <c r="E30" s="215">
        <v>6</v>
      </c>
      <c r="F30" s="215">
        <v>7</v>
      </c>
      <c r="G30" s="215">
        <v>6</v>
      </c>
      <c r="H30" s="215">
        <v>7</v>
      </c>
      <c r="I30" s="215">
        <v>5</v>
      </c>
      <c r="J30" s="162">
        <f>$D30*Pesi!$F$16+Pesi!$F$17*$E30+$F30*Pesi!$F$18+Pesi!$F$19*$G30+$H30*Pesi!$F$20+Pesi!$F$21*$I30+VLOOKUP($C30,TabAlgSqu,2,FALSE)*Pesi!$F$22+Pesi!$F$23*VLOOKUP($C30,TabAlgFC,2,FALSE)+VLOOKUP($C30,TabAlgAll,2,FALSE)*Pesi!$F$24</f>
        <v>87.010800000000017</v>
      </c>
      <c r="K30" s="155">
        <f>IF(ISNA(MATCH($B30,Pesi!$B$31:$B$34,0)),VLOOKUP(Pesi!$B$31,TabAlgAtt,10,FALSE)-((VLOOKUP(Pesi!$B$31,TabAlgAtt,9,FALSE)-$J30)/(VLOOKUP(Pesi!$B$31,TabAlgAtt,9,FALSE)-Pesi!$D$41))*VLOOKUP(Pesi!$B$31,TabAlgAtt,10,FALSE),Pesi!$F$31*Pesi!$C$28)</f>
        <v>41.989527908631928</v>
      </c>
      <c r="L30" s="163">
        <f>IF(K30&lt;=1,1,K30)</f>
        <v>41.989527908631928</v>
      </c>
      <c r="M30">
        <f>SUM(D30:I30)</f>
        <v>40</v>
      </c>
      <c r="N30">
        <f>VLOOKUP(B30,'C.P.'!$A$2:$B$164,2,FALSE)</f>
        <v>-1</v>
      </c>
      <c r="O30" t="e">
        <f>VLOOKUP(B30,'C.P.'!$C$2:$D$164,2,FALSE)</f>
        <v>#N/A</v>
      </c>
      <c r="P30" t="e">
        <f>VLOOKUP(B30,'C.P.'!$E$2:$F$164,2,FALSE)</f>
        <v>#N/A</v>
      </c>
      <c r="Q30" t="e">
        <f>VLOOKUP(B30,'C.P.'!$G$2:$H$164,2,FALSE)</f>
        <v>#N/A</v>
      </c>
      <c r="R30" s="180"/>
    </row>
    <row r="31" spans="1:18">
      <c r="A31">
        <f ca="1">COUNTIF('I.A. + Fasce'!B$1:'I.A. + Fasce'!B$538,B30)</f>
        <v>0</v>
      </c>
      <c r="B31" s="202" t="s">
        <v>341</v>
      </c>
      <c r="C31" s="212" t="str">
        <f>VLOOKUP(B31,'IA FG'!$B$2:$G$600,6,FALSE)</f>
        <v>ROM</v>
      </c>
      <c r="D31" s="214">
        <v>8</v>
      </c>
      <c r="E31" s="215">
        <v>5</v>
      </c>
      <c r="F31" s="215">
        <v>7</v>
      </c>
      <c r="G31" s="215">
        <v>6</v>
      </c>
      <c r="H31" s="215">
        <v>7</v>
      </c>
      <c r="I31" s="215">
        <v>5</v>
      </c>
      <c r="J31" s="162">
        <f>$D31*Pesi!$F$16+Pesi!$F$17*$E31+$F31*Pesi!$F$18+Pesi!$F$19*$G31+$H31*Pesi!$F$20+Pesi!$F$21*$I31+VLOOKUP($C31,TabAlgSqu,2,FALSE)*Pesi!$F$22+Pesi!$F$23*VLOOKUP($C31,TabAlgFC,2,FALSE)+VLOOKUP($C31,TabAlgAll,2,FALSE)*Pesi!$F$24</f>
        <v>86.542500000000004</v>
      </c>
      <c r="K31" s="155">
        <f>IF(ISNA(MATCH($B31,Pesi!$B$31:$B$34,0)),VLOOKUP(Pesi!$B$31,TabAlgAtt,10,FALSE)-((VLOOKUP(Pesi!$B$31,TabAlgAtt,9,FALSE)-$J31)/(VLOOKUP(Pesi!$B$31,TabAlgAtt,9,FALSE)-Pesi!$D$41))*VLOOKUP(Pesi!$B$31,TabAlgAtt,10,FALSE),Pesi!$F$31*Pesi!$C$28)</f>
        <v>39.807291490154896</v>
      </c>
      <c r="L31" s="163">
        <f>IF(K31&lt;=1,1,K31)</f>
        <v>39.807291490154896</v>
      </c>
      <c r="M31">
        <f>SUM(D31:I31)</f>
        <v>38</v>
      </c>
      <c r="N31" t="e">
        <f>VLOOKUP(B31,'C.P.'!$A$2:$B$164,2,FALSE)</f>
        <v>#N/A</v>
      </c>
      <c r="O31" t="e">
        <f>VLOOKUP(B31,'C.P.'!$C$2:$D$164,2,FALSE)</f>
        <v>#N/A</v>
      </c>
      <c r="P31" t="e">
        <f>VLOOKUP(B31,'C.P.'!$E$2:$F$164,2,FALSE)</f>
        <v>#N/A</v>
      </c>
      <c r="Q31" t="e">
        <f>VLOOKUP(B31,'C.P.'!$G$2:$H$164,2,FALSE)</f>
        <v>#N/A</v>
      </c>
    </row>
    <row r="32" spans="1:18">
      <c r="A32">
        <f ca="1">COUNTIF('I.A. + Fasce'!B$1:'I.A. + Fasce'!B$538,B31)</f>
        <v>0</v>
      </c>
      <c r="B32" s="202" t="s">
        <v>425</v>
      </c>
      <c r="C32" s="212" t="str">
        <f>VLOOKUP(B32,'IA FG'!$B$2:$G$600,6,FALSE)</f>
        <v>GEN</v>
      </c>
      <c r="D32" s="214">
        <v>7</v>
      </c>
      <c r="E32" s="215">
        <v>8</v>
      </c>
      <c r="F32" s="215">
        <v>7</v>
      </c>
      <c r="G32" s="215">
        <v>8</v>
      </c>
      <c r="H32" s="215">
        <v>5</v>
      </c>
      <c r="I32" s="215">
        <v>8</v>
      </c>
      <c r="J32" s="162">
        <f>$D32*Pesi!$F$16+Pesi!$F$17*$E32+$F32*Pesi!$F$18+Pesi!$F$19*$G32+$H32*Pesi!$F$20+Pesi!$F$21*$I32+VLOOKUP($C32,TabAlgSqu,2,FALSE)*Pesi!$F$22+Pesi!$F$23*VLOOKUP($C32,TabAlgFC,2,FALSE)+VLOOKUP($C32,TabAlgAll,2,FALSE)*Pesi!$F$24</f>
        <v>86.405100000000004</v>
      </c>
      <c r="K32" s="155">
        <f>IF(ISNA(MATCH($B32,Pesi!$B$31:$B$34,0)),VLOOKUP(Pesi!$B$31,TabAlgAtt,10,FALSE)-((VLOOKUP(Pesi!$B$31,TabAlgAtt,9,FALSE)-$J32)/(VLOOKUP(Pesi!$B$31,TabAlgAtt,9,FALSE)-Pesi!$D$41))*VLOOKUP(Pesi!$B$31,TabAlgAtt,10,FALSE),Pesi!$F$31*Pesi!$C$28)</f>
        <v>39.167019690243009</v>
      </c>
      <c r="L32" s="163">
        <f>IF(K32&lt;=1,1,K32)</f>
        <v>39.167019690243009</v>
      </c>
      <c r="M32">
        <f>SUM(D32:I32)</f>
        <v>43</v>
      </c>
      <c r="N32">
        <f>VLOOKUP(B32,'C.P.'!$A$2:$B$164,2,FALSE)</f>
        <v>1</v>
      </c>
      <c r="O32" t="e">
        <f>VLOOKUP(B32,'C.P.'!$C$2:$D$164,2,FALSE)</f>
        <v>#N/A</v>
      </c>
      <c r="P32" t="e">
        <f>VLOOKUP(B32,'C.P.'!$E$2:$F$164,2,FALSE)</f>
        <v>#N/A</v>
      </c>
      <c r="Q32" t="e">
        <f>VLOOKUP(B32,'C.P.'!$G$2:$H$164,2,FALSE)</f>
        <v>#N/A</v>
      </c>
    </row>
    <row r="33" spans="1:18">
      <c r="A33">
        <f ca="1">COUNTIF('I.A. + Fasce'!B$1:'I.A. + Fasce'!B$538,B32)</f>
        <v>0</v>
      </c>
      <c r="B33" s="202" t="s">
        <v>1792</v>
      </c>
      <c r="C33" s="212" t="str">
        <f>VLOOKUP(B33,'IA FG'!$B$2:$G$600,6,FALSE)</f>
        <v>NAP</v>
      </c>
      <c r="D33" s="214">
        <v>7</v>
      </c>
      <c r="E33" s="215">
        <v>5</v>
      </c>
      <c r="F33" s="215">
        <v>6</v>
      </c>
      <c r="G33" s="215">
        <v>6</v>
      </c>
      <c r="H33" s="215">
        <v>6</v>
      </c>
      <c r="I33" s="215">
        <v>6</v>
      </c>
      <c r="J33" s="162">
        <f>$D33*Pesi!$F$16+Pesi!$F$17*$E33+$F33*Pesi!$F$18+Pesi!$F$19*$G33+$H33*Pesi!$F$20+Pesi!$F$21*$I33+VLOOKUP($C33,TabAlgSqu,2,FALSE)*Pesi!$F$22+Pesi!$F$23*VLOOKUP($C33,TabAlgFC,2,FALSE)+VLOOKUP($C33,TabAlgAll,2,FALSE)*Pesi!$F$24</f>
        <v>86.004900000000021</v>
      </c>
      <c r="K33" s="155">
        <f>IF(ISNA(MATCH($B33,Pesi!$B$31:$B$34,0)),VLOOKUP(Pesi!$B$31,TabAlgAtt,10,FALSE)-((VLOOKUP(Pesi!$B$31,TabAlgAtt,9,FALSE)-$J33)/(VLOOKUP(Pesi!$B$31,TabAlgAtt,9,FALSE)-Pesi!$D$41))*VLOOKUP(Pesi!$B$31,TabAlgAtt,10,FALSE),Pesi!$F$31*Pesi!$C$28)</f>
        <v>37.302123224997558</v>
      </c>
      <c r="L33" s="163">
        <f>IF(K33&lt;=1,1,K33)</f>
        <v>37.302123224997558</v>
      </c>
      <c r="M33">
        <f>SUM(D33:I33)</f>
        <v>36</v>
      </c>
      <c r="N33">
        <f>VLOOKUP(B33,'C.P.'!$A$2:$B$164,2,FALSE)</f>
        <v>0</v>
      </c>
      <c r="O33" t="e">
        <f>VLOOKUP(B33,'C.P.'!$C$2:$D$164,2,FALSE)</f>
        <v>#N/A</v>
      </c>
      <c r="P33" t="e">
        <f>VLOOKUP(B33,'C.P.'!$E$2:$F$164,2,FALSE)</f>
        <v>#N/A</v>
      </c>
      <c r="Q33" t="e">
        <f>VLOOKUP(B33,'C.P.'!$G$2:$H$164,2,FALSE)</f>
        <v>#N/A</v>
      </c>
    </row>
    <row r="34" spans="1:18">
      <c r="B34" s="202" t="s">
        <v>1983</v>
      </c>
      <c r="C34" s="212" t="str">
        <f>VLOOKUP(B34,'IA FG'!$B$2:$G$600,6,FALSE)</f>
        <v>INT</v>
      </c>
      <c r="D34" s="214">
        <v>8</v>
      </c>
      <c r="E34" s="215">
        <v>6</v>
      </c>
      <c r="F34" s="215">
        <v>6</v>
      </c>
      <c r="G34" s="215">
        <v>7</v>
      </c>
      <c r="H34" s="215">
        <v>6</v>
      </c>
      <c r="I34" s="215">
        <v>6</v>
      </c>
      <c r="J34" s="162">
        <f>$D34*Pesi!$F$16+Pesi!$F$17*$E34+$F34*Pesi!$F$18+Pesi!$F$19*$G34+$H34*Pesi!$F$20+Pesi!$F$21*$I34+VLOOKUP($C34,TabAlgSqu,2,FALSE)*Pesi!$F$22+Pesi!$F$23*VLOOKUP($C34,TabAlgFC,2,FALSE)+VLOOKUP($C34,TabAlgAll,2,FALSE)*Pesi!$F$24</f>
        <v>85.843699999999984</v>
      </c>
      <c r="K34" s="155">
        <f>IF(ISNA(MATCH($B34,Pesi!$B$31:$B$34,0)),VLOOKUP(Pesi!$B$31,TabAlgAtt,10,FALSE)-((VLOOKUP(Pesi!$B$31,TabAlgAtt,9,FALSE)-$J34)/(VLOOKUP(Pesi!$B$31,TabAlgAtt,9,FALSE)-Pesi!$D$41))*VLOOKUP(Pesi!$B$31,TabAlgAtt,10,FALSE),Pesi!$F$31*Pesi!$C$28)</f>
        <v>36.550945538346753</v>
      </c>
      <c r="L34" s="163">
        <f>IF(K34&lt;=1,1,K34)</f>
        <v>36.550945538346753</v>
      </c>
      <c r="M34">
        <f>SUM(D34:I34)</f>
        <v>39</v>
      </c>
      <c r="N34" t="e">
        <f>VLOOKUP(B34,'C.P.'!$A$2:$B$164,2,FALSE)</f>
        <v>#N/A</v>
      </c>
      <c r="O34" t="e">
        <f>VLOOKUP(B34,'C.P.'!$C$2:$D$164,2,FALSE)</f>
        <v>#N/A</v>
      </c>
      <c r="P34" t="e">
        <f>VLOOKUP(B34,'C.P.'!$E$2:$F$164,2,FALSE)</f>
        <v>#N/A</v>
      </c>
      <c r="Q34" t="e">
        <f>VLOOKUP(B34,'C.P.'!$G$2:$H$164,2,FALSE)</f>
        <v>#N/A</v>
      </c>
      <c r="R34" s="420"/>
    </row>
    <row r="35" spans="1:18">
      <c r="A35">
        <f ca="1">COUNTIF('I.A. + Fasce'!B$1:'I.A. + Fasce'!B$538,B34)</f>
        <v>0</v>
      </c>
      <c r="B35" s="202" t="s">
        <v>514</v>
      </c>
      <c r="C35" s="212" t="str">
        <f>VLOOKUP(B35,'IA FG'!$B$2:$G$600,6,FALSE)</f>
        <v>FIO</v>
      </c>
      <c r="D35" s="214">
        <v>7</v>
      </c>
      <c r="E35" s="215">
        <v>7</v>
      </c>
      <c r="F35" s="215">
        <v>7</v>
      </c>
      <c r="G35" s="215">
        <v>7</v>
      </c>
      <c r="H35" s="215">
        <v>7</v>
      </c>
      <c r="I35" s="215">
        <v>7</v>
      </c>
      <c r="J35" s="162">
        <f>$D35*Pesi!$F$16+Pesi!$F$17*$E35+$F35*Pesi!$F$18+Pesi!$F$19*$G35+$H35*Pesi!$F$20+Pesi!$F$21*$I35+VLOOKUP($C35,TabAlgSqu,2,FALSE)*Pesi!$F$22+Pesi!$F$23*VLOOKUP($C35,TabAlgFC,2,FALSE)+VLOOKUP($C35,TabAlgAll,2,FALSE)*Pesi!$F$24</f>
        <v>85.398700000000005</v>
      </c>
      <c r="K35" s="155">
        <f>IF(ISNA(MATCH($B35,Pesi!$B$31:$B$34,0)),VLOOKUP(Pesi!$B$31,TabAlgAtt,10,FALSE)-((VLOOKUP(Pesi!$B$31,TabAlgAtt,9,FALSE)-$J35)/(VLOOKUP(Pesi!$B$31,TabAlgAtt,9,FALSE)-Pesi!$D$41))*VLOOKUP(Pesi!$B$31,TabAlgAtt,10,FALSE),Pesi!$F$31*Pesi!$C$28)</f>
        <v>34.477285051004856</v>
      </c>
      <c r="L35" s="163">
        <f>IF(K35&lt;=1,1,K35)</f>
        <v>34.477285051004856</v>
      </c>
      <c r="M35">
        <f>SUM(D35:I35)</f>
        <v>42</v>
      </c>
      <c r="N35" t="e">
        <f>VLOOKUP(B35,'C.P.'!$A$2:$B$164,2,FALSE)</f>
        <v>#N/A</v>
      </c>
      <c r="O35" t="e">
        <f>VLOOKUP(B35,'C.P.'!$C$2:$D$164,2,FALSE)</f>
        <v>#N/A</v>
      </c>
      <c r="P35" t="e">
        <f>VLOOKUP(B35,'C.P.'!$E$2:$F$164,2,FALSE)</f>
        <v>#N/A</v>
      </c>
      <c r="Q35" t="e">
        <f>VLOOKUP(B35,'C.P.'!$G$2:$H$164,2,FALSE)</f>
        <v>#N/A</v>
      </c>
    </row>
    <row r="36" spans="1:18">
      <c r="A36">
        <f ca="1">COUNTIF('I.A. + Fasce'!B$1:'I.A. + Fasce'!B$538,B30)</f>
        <v>0</v>
      </c>
      <c r="B36" s="202" t="s">
        <v>1781</v>
      </c>
      <c r="C36" s="212" t="str">
        <f>VLOOKUP(B36,'IA FG'!$B$2:$G$600,6,FALSE)</f>
        <v>ATA</v>
      </c>
      <c r="D36" s="214">
        <v>9</v>
      </c>
      <c r="E36" s="215">
        <v>5</v>
      </c>
      <c r="F36" s="215">
        <v>7</v>
      </c>
      <c r="G36" s="215">
        <v>7</v>
      </c>
      <c r="H36" s="215">
        <v>6</v>
      </c>
      <c r="I36" s="215">
        <v>6</v>
      </c>
      <c r="J36" s="162">
        <f>$D36*Pesi!$F$16+Pesi!$F$17*$E36+$F36*Pesi!$F$18+Pesi!$F$19*$G36+$H36*Pesi!$F$20+Pesi!$F$21*$I36+VLOOKUP($C36,TabAlgSqu,2,FALSE)*Pesi!$F$22+Pesi!$F$23*VLOOKUP($C36,TabAlgFC,2,FALSE)+VLOOKUP($C36,TabAlgAll,2,FALSE)*Pesi!$F$24</f>
        <v>85.270500000000013</v>
      </c>
      <c r="K36" s="155">
        <f>IF(ISNA(MATCH($B36,Pesi!$B$31:$B$34,0)),VLOOKUP(Pesi!$B$31,TabAlgAtt,10,FALSE)-((VLOOKUP(Pesi!$B$31,TabAlgAtt,9,FALSE)-$J36)/(VLOOKUP(Pesi!$B$31,TabAlgAtt,9,FALSE)-Pesi!$D$41))*VLOOKUP(Pesi!$B$31,TabAlgAtt,10,FALSE),Pesi!$F$31*Pesi!$C$28)</f>
        <v>33.879884434202125</v>
      </c>
      <c r="L36" s="163">
        <f>IF(K36&lt;=1,1,K36)</f>
        <v>33.879884434202125</v>
      </c>
      <c r="M36">
        <f>SUM(D36:I36)</f>
        <v>40</v>
      </c>
      <c r="N36">
        <f>VLOOKUP(B36,'C.P.'!$A$2:$B$164,2,FALSE)</f>
        <v>0</v>
      </c>
      <c r="O36" t="e">
        <f>VLOOKUP(B36,'C.P.'!$C$2:$D$164,2,FALSE)</f>
        <v>#N/A</v>
      </c>
      <c r="P36" t="e">
        <f>VLOOKUP(B36,'C.P.'!$E$2:$F$164,2,FALSE)</f>
        <v>#N/A</v>
      </c>
      <c r="Q36" t="e">
        <f>VLOOKUP(B36,'C.P.'!$G$2:$H$164,2,FALSE)</f>
        <v>#N/A</v>
      </c>
    </row>
    <row r="37" spans="1:18">
      <c r="A37">
        <f ca="1">COUNTIF('I.A. + Fasce'!B$1:'I.A. + Fasce'!B$538,B32)</f>
        <v>0</v>
      </c>
      <c r="B37" s="202" t="s">
        <v>303</v>
      </c>
      <c r="C37" s="212" t="str">
        <f>VLOOKUP(B37,'IA FG'!$B$2:$G$600,6,FALSE)</f>
        <v>FIO</v>
      </c>
      <c r="D37" s="214">
        <v>9</v>
      </c>
      <c r="E37" s="215">
        <v>6</v>
      </c>
      <c r="F37" s="215">
        <v>7</v>
      </c>
      <c r="G37" s="215">
        <v>8</v>
      </c>
      <c r="H37" s="215">
        <v>6</v>
      </c>
      <c r="I37" s="215">
        <v>6</v>
      </c>
      <c r="J37" s="162">
        <f>$D37*Pesi!$F$16+Pesi!$F$17*$E37+$F37*Pesi!$F$18+Pesi!$F$19*$G37+$H37*Pesi!$F$20+Pesi!$F$21*$I37+VLOOKUP($C37,TabAlgSqu,2,FALSE)*Pesi!$F$22+Pesi!$F$23*VLOOKUP($C37,TabAlgFC,2,FALSE)+VLOOKUP($C37,TabAlgAll,2,FALSE)*Pesi!$F$24</f>
        <v>85.257000000000005</v>
      </c>
      <c r="K37" s="155">
        <f>IF(ISNA(MATCH($B37,Pesi!$B$31:$B$34,0)),VLOOKUP(Pesi!$B$31,TabAlgAtt,10,FALSE)-((VLOOKUP(Pesi!$B$31,TabAlgAtt,9,FALSE)-$J37)/(VLOOKUP(Pesi!$B$31,TabAlgAtt,9,FALSE)-Pesi!$D$41))*VLOOKUP(Pesi!$B$31,TabAlgAtt,10,FALSE),Pesi!$F$31*Pesi!$C$28)</f>
        <v>33.816975632900693</v>
      </c>
      <c r="L37" s="163">
        <f>IF(K37&lt;=1,1,K37)</f>
        <v>33.816975632900693</v>
      </c>
      <c r="M37">
        <f>SUM(D37:I37)</f>
        <v>42</v>
      </c>
      <c r="N37">
        <f>VLOOKUP(B37,'C.P.'!$A$2:$B$164,2,FALSE)</f>
        <v>-1</v>
      </c>
      <c r="O37">
        <f>VLOOKUP(B37,'C.P.'!$C$2:$D$164,2,FALSE)</f>
        <v>1</v>
      </c>
      <c r="P37" t="e">
        <f>VLOOKUP(B37,'C.P.'!$E$2:$F$164,2,FALSE)</f>
        <v>#N/A</v>
      </c>
      <c r="Q37" t="e">
        <f>VLOOKUP(B37,'C.P.'!$G$2:$H$164,2,FALSE)</f>
        <v>#N/A</v>
      </c>
    </row>
    <row r="38" spans="1:18">
      <c r="B38" s="202" t="s">
        <v>405</v>
      </c>
      <c r="C38" s="212" t="str">
        <f>VLOOKUP(B38,'IA FG'!$B$2:$G$600,6,FALSE)</f>
        <v>CHI</v>
      </c>
      <c r="D38" s="214">
        <v>8</v>
      </c>
      <c r="E38" s="215">
        <v>8</v>
      </c>
      <c r="F38" s="215">
        <v>6</v>
      </c>
      <c r="G38" s="215">
        <v>7</v>
      </c>
      <c r="H38" s="215">
        <v>7</v>
      </c>
      <c r="I38" s="215">
        <v>7</v>
      </c>
      <c r="J38" s="162">
        <f>$D38*Pesi!$F$16+Pesi!$F$17*$E38+$F38*Pesi!$F$18+Pesi!$F$19*$G38+$H38*Pesi!$F$20+Pesi!$F$21*$I38+VLOOKUP($C38,TabAlgSqu,2,FALSE)*Pesi!$F$22+Pesi!$F$23*VLOOKUP($C38,TabAlgFC,2,FALSE)+VLOOKUP($C38,TabAlgAll,2,FALSE)*Pesi!$F$24</f>
        <v>84.665499999999994</v>
      </c>
      <c r="K38" s="155">
        <f>IF(ISNA(MATCH($B38,Pesi!$B$31:$B$34,0)),VLOOKUP(Pesi!$B$31,TabAlgAtt,10,FALSE)-((VLOOKUP(Pesi!$B$31,TabAlgAtt,9,FALSE)-$J38)/(VLOOKUP(Pesi!$B$31,TabAlgAtt,9,FALSE)-Pesi!$D$41))*VLOOKUP(Pesi!$B$31,TabAlgAtt,10,FALSE),Pesi!$F$31*Pesi!$C$28)</f>
        <v>31.060638153658431</v>
      </c>
      <c r="L38" s="163">
        <f>IF(K38&lt;=1,1,K38)</f>
        <v>31.060638153658431</v>
      </c>
      <c r="M38">
        <f>SUM(D38:I38)</f>
        <v>43</v>
      </c>
      <c r="N38">
        <f>VLOOKUP(B38,'C.P.'!$A$2:$B$164,2,FALSE)</f>
        <v>1</v>
      </c>
      <c r="O38" t="e">
        <f>VLOOKUP(B38,'C.P.'!$C$2:$D$164,2,FALSE)</f>
        <v>#N/A</v>
      </c>
      <c r="P38" t="e">
        <f>VLOOKUP(B38,'C.P.'!$E$2:$F$164,2,FALSE)</f>
        <v>#N/A</v>
      </c>
      <c r="Q38" t="e">
        <f>VLOOKUP(B38,'C.P.'!$G$2:$H$164,2,FALSE)</f>
        <v>#N/A</v>
      </c>
    </row>
    <row r="39" spans="1:18">
      <c r="A39">
        <f ca="1">COUNTIF('I.A. + Fasce'!B$1:'I.A. + Fasce'!B$538,B35)</f>
        <v>0</v>
      </c>
      <c r="B39" s="202" t="s">
        <v>621</v>
      </c>
      <c r="C39" s="212" t="str">
        <f>VLOOKUP(B39,'IA FG'!$B$2:$G$600,6,FALSE)</f>
        <v>BOL</v>
      </c>
      <c r="D39" s="214">
        <v>7</v>
      </c>
      <c r="E39" s="215">
        <v>9</v>
      </c>
      <c r="F39" s="215">
        <v>7</v>
      </c>
      <c r="G39" s="215">
        <v>7</v>
      </c>
      <c r="H39" s="215">
        <v>6</v>
      </c>
      <c r="I39" s="215">
        <v>7</v>
      </c>
      <c r="J39" s="162">
        <f>$D39*Pesi!$F$16+Pesi!$F$17*$E39+$F39*Pesi!$F$18+Pesi!$F$19*$G39+$H39*Pesi!$F$20+Pesi!$F$21*$I39+VLOOKUP($C39,TabAlgSqu,2,FALSE)*Pesi!$F$22+Pesi!$F$23*VLOOKUP($C39,TabAlgFC,2,FALSE)+VLOOKUP($C39,TabAlgAll,2,FALSE)*Pesi!$F$24</f>
        <v>83.925900000000013</v>
      </c>
      <c r="K39" s="155">
        <f>IF(ISNA(MATCH($B39,Pesi!$B$31:$B$34,0)),VLOOKUP(Pesi!$B$31,TabAlgAtt,10,FALSE)-((VLOOKUP(Pesi!$B$31,TabAlgAtt,9,FALSE)-$J39)/(VLOOKUP(Pesi!$B$31,TabAlgAtt,9,FALSE)-Pesi!$D$41))*VLOOKUP(Pesi!$B$31,TabAlgAtt,10,FALSE),Pesi!$F$31*Pesi!$C$28)</f>
        <v>27.614167824584058</v>
      </c>
      <c r="L39" s="163">
        <f>IF(K39&lt;=1,1,K39)</f>
        <v>27.614167824584058</v>
      </c>
      <c r="M39">
        <f>SUM(D39:I39)</f>
        <v>43</v>
      </c>
      <c r="N39">
        <f>VLOOKUP(B39,'C.P.'!$A$2:$B$164,2,FALSE)</f>
        <v>1</v>
      </c>
      <c r="O39">
        <f>VLOOKUP(B39,'C.P.'!$C$2:$D$164,2,FALSE)</f>
        <v>2</v>
      </c>
      <c r="P39">
        <f>VLOOKUP(B39,'C.P.'!$E$2:$F$164,2,FALSE)</f>
        <v>1</v>
      </c>
      <c r="Q39">
        <f>VLOOKUP(B39,'C.P.'!$G$2:$H$164,2,FALSE)</f>
        <v>1</v>
      </c>
    </row>
    <row r="40" spans="1:18">
      <c r="B40" s="202" t="s">
        <v>522</v>
      </c>
      <c r="C40" s="212" t="str">
        <f>VLOOKUP(B40,'IA FG'!$B$2:$G$600,6,FALSE)</f>
        <v>SAM</v>
      </c>
      <c r="D40" s="214">
        <v>9</v>
      </c>
      <c r="E40" s="215">
        <v>7</v>
      </c>
      <c r="F40" s="215">
        <v>6</v>
      </c>
      <c r="G40" s="215">
        <v>7</v>
      </c>
      <c r="H40" s="215">
        <v>6</v>
      </c>
      <c r="I40" s="215">
        <v>6</v>
      </c>
      <c r="J40" s="162">
        <f>$D40*Pesi!$F$16+Pesi!$F$17*$E40+$F40*Pesi!$F$18+Pesi!$F$19*$G40+$H40*Pesi!$F$20+Pesi!$F$21*$I40+VLOOKUP($C40,TabAlgSqu,2,FALSE)*Pesi!$F$22+Pesi!$F$23*VLOOKUP($C40,TabAlgFC,2,FALSE)+VLOOKUP($C40,TabAlgAll,2,FALSE)*Pesi!$F$24</f>
        <v>83.874499999999998</v>
      </c>
      <c r="K40" s="155">
        <f>IF(ISNA(MATCH($B40,Pesi!$B$31:$B$34,0)),VLOOKUP(Pesi!$B$31,TabAlgAtt,10,FALSE)-((VLOOKUP(Pesi!$B$31,TabAlgAtt,9,FALSE)-$J40)/(VLOOKUP(Pesi!$B$31,TabAlgAtt,9,FALSE)-Pesi!$D$41))*VLOOKUP(Pesi!$B$31,TabAlgAtt,10,FALSE),Pesi!$F$31*Pesi!$C$28)</f>
        <v>27.374648388517983</v>
      </c>
      <c r="L40" s="163">
        <f>IF(K40&lt;=1,1,K40)</f>
        <v>27.374648388517983</v>
      </c>
      <c r="M40">
        <f>SUM(D40:I40)</f>
        <v>41</v>
      </c>
      <c r="N40">
        <f>VLOOKUP(B40,'C.P.'!$A$2:$B$164,2,FALSE)</f>
        <v>0</v>
      </c>
      <c r="O40">
        <f>VLOOKUP(B40,'C.P.'!$C$2:$D$164,2,FALSE)</f>
        <v>2</v>
      </c>
      <c r="P40" t="e">
        <f>VLOOKUP(B40,'C.P.'!$E$2:$F$164,2,FALSE)</f>
        <v>#N/A</v>
      </c>
      <c r="Q40" t="e">
        <f>VLOOKUP(B40,'C.P.'!$G$2:$H$164,2,FALSE)</f>
        <v>#N/A</v>
      </c>
    </row>
    <row r="41" spans="1:18">
      <c r="A41">
        <f ca="1">COUNTIF('I.A. + Fasce'!B$1:'I.A. + Fasce'!B$538,B40)</f>
        <v>0</v>
      </c>
      <c r="B41" s="202" t="s">
        <v>344</v>
      </c>
      <c r="C41" s="212" t="str">
        <f>VLOOKUP(B41,'IA FG'!$B$2:$G$600,6,FALSE)</f>
        <v>BOL</v>
      </c>
      <c r="D41" s="214">
        <v>7</v>
      </c>
      <c r="E41" s="215">
        <v>9</v>
      </c>
      <c r="F41" s="215">
        <v>5</v>
      </c>
      <c r="G41" s="215">
        <v>8</v>
      </c>
      <c r="H41" s="215">
        <v>5</v>
      </c>
      <c r="I41" s="215">
        <v>8</v>
      </c>
      <c r="J41" s="162">
        <f>$D41*Pesi!$F$16+Pesi!$F$17*$E41+$F41*Pesi!$F$18+Pesi!$F$19*$G41+$H41*Pesi!$F$20+Pesi!$F$21*$I41+VLOOKUP($C41,TabAlgSqu,2,FALSE)*Pesi!$F$22+Pesi!$F$23*VLOOKUP($C41,TabAlgFC,2,FALSE)+VLOOKUP($C41,TabAlgAll,2,FALSE)*Pesi!$F$24</f>
        <v>83.755099999999999</v>
      </c>
      <c r="K41" s="155">
        <f>IF(ISNA(MATCH($B41,Pesi!$B$31:$B$34,0)),VLOOKUP(Pesi!$B$31,TabAlgAtt,10,FALSE)-((VLOOKUP(Pesi!$B$31,TabAlgAtt,9,FALSE)-$J41)/(VLOOKUP(Pesi!$B$31,TabAlgAtt,9,FALSE)-Pesi!$D$41))*VLOOKUP(Pesi!$B$31,TabAlgAtt,10,FALSE),Pesi!$F$31*Pesi!$C$28)</f>
        <v>26.818254990341273</v>
      </c>
      <c r="L41" s="163">
        <f>IF(K41&lt;=1,1,K41)</f>
        <v>26.818254990341273</v>
      </c>
      <c r="M41">
        <f>SUM(D41:I41)</f>
        <v>42</v>
      </c>
      <c r="N41">
        <f>VLOOKUP(B41,'C.P.'!$A$2:$B$164,2,FALSE)</f>
        <v>0</v>
      </c>
      <c r="O41">
        <f>VLOOKUP(B41,'C.P.'!$C$2:$D$164,2,FALSE)</f>
        <v>1</v>
      </c>
      <c r="P41" t="e">
        <f>VLOOKUP(B41,'C.P.'!$E$2:$F$164,2,FALSE)</f>
        <v>#N/A</v>
      </c>
      <c r="Q41" t="e">
        <f>VLOOKUP(B41,'C.P.'!$G$2:$H$164,2,FALSE)</f>
        <v>#N/A</v>
      </c>
      <c r="R41" s="180"/>
    </row>
    <row r="42" spans="1:18">
      <c r="A42">
        <f ca="1">COUNTIF('I.A. + Fasce'!B$1:'I.A. + Fasce'!B$538,B42)</f>
        <v>0</v>
      </c>
      <c r="B42" s="202" t="s">
        <v>372</v>
      </c>
      <c r="C42" s="212" t="str">
        <f>VLOOKUP(B42,'IA FG'!$B$2:$G$600,6,FALSE)</f>
        <v>CAG</v>
      </c>
      <c r="D42" s="214">
        <v>7</v>
      </c>
      <c r="E42" s="215">
        <v>7</v>
      </c>
      <c r="F42" s="215">
        <v>7</v>
      </c>
      <c r="G42" s="215">
        <v>7</v>
      </c>
      <c r="H42" s="215">
        <v>6</v>
      </c>
      <c r="I42" s="215">
        <v>7</v>
      </c>
      <c r="J42" s="162">
        <f>$D42*Pesi!$F$16+Pesi!$F$17*$E42+$F42*Pesi!$F$18+Pesi!$F$19*$G42+$H42*Pesi!$F$20+Pesi!$F$21*$I42+VLOOKUP($C42,TabAlgSqu,2,FALSE)*Pesi!$F$22+Pesi!$F$23*VLOOKUP($C42,TabAlgFC,2,FALSE)+VLOOKUP($C42,TabAlgAll,2,FALSE)*Pesi!$F$24</f>
        <v>83.457399999999978</v>
      </c>
      <c r="K42" s="155">
        <f>IF(ISNA(MATCH($B42,Pesi!$B$31:$B$34,0)),VLOOKUP(Pesi!$B$31,TabAlgAtt,10,FALSE)-((VLOOKUP(Pesi!$B$31,TabAlgAtt,9,FALSE)-$J42)/(VLOOKUP(Pesi!$B$31,TabAlgAtt,9,FALSE)-Pesi!$D$41))*VLOOKUP(Pesi!$B$31,TabAlgAtt,10,FALSE),Pesi!$F$31*Pesi!$C$28)</f>
        <v>25.430999423865416</v>
      </c>
      <c r="L42" s="163">
        <f>IF(K42&lt;=1,1,K42)</f>
        <v>25.430999423865416</v>
      </c>
      <c r="M42">
        <f>SUM(D42:I42)</f>
        <v>41</v>
      </c>
      <c r="N42">
        <f>VLOOKUP(B42,'C.P.'!$A$2:$B$164,2,FALSE)</f>
        <v>0</v>
      </c>
      <c r="O42">
        <f>VLOOKUP(B42,'C.P.'!$C$2:$D$164,2,FALSE)</f>
        <v>3</v>
      </c>
      <c r="P42" t="e">
        <f>VLOOKUP(B42,'C.P.'!$E$2:$F$164,2,FALSE)</f>
        <v>#N/A</v>
      </c>
      <c r="Q42" t="e">
        <f>VLOOKUP(B42,'C.P.'!$G$2:$H$164,2,FALSE)</f>
        <v>#N/A</v>
      </c>
      <c r="R42" s="180"/>
    </row>
    <row r="43" spans="1:18">
      <c r="A43">
        <f ca="1">COUNTIF('I.A. + Fasce'!B$1:'I.A. + Fasce'!B$538,#REF!)</f>
        <v>0</v>
      </c>
      <c r="B43" s="202" t="s">
        <v>324</v>
      </c>
      <c r="C43" s="212" t="str">
        <f>VLOOKUP(B43,'IA FG'!$B$2:$G$600,6,FALSE)</f>
        <v>CRO</v>
      </c>
      <c r="D43" s="214">
        <v>7</v>
      </c>
      <c r="E43" s="215">
        <v>9</v>
      </c>
      <c r="F43" s="215">
        <v>7</v>
      </c>
      <c r="G43" s="215">
        <v>7</v>
      </c>
      <c r="H43" s="215">
        <v>7</v>
      </c>
      <c r="I43" s="215">
        <v>7</v>
      </c>
      <c r="J43" s="162">
        <f>$D43*Pesi!$F$16+Pesi!$F$17*$E43+$F43*Pesi!$F$18+Pesi!$F$19*$G43+$H43*Pesi!$F$20+Pesi!$F$21*$I43+VLOOKUP($C43,TabAlgSqu,2,FALSE)*Pesi!$F$22+Pesi!$F$23*VLOOKUP($C43,TabAlgFC,2,FALSE)+VLOOKUP($C43,TabAlgAll,2,FALSE)*Pesi!$F$24</f>
        <v>83.42619999999998</v>
      </c>
      <c r="K43" s="155">
        <f>IF(ISNA(MATCH($B43,Pesi!$B$31:$B$34,0)),VLOOKUP(Pesi!$B$31,TabAlgAtt,10,FALSE)-((VLOOKUP(Pesi!$B$31,TabAlgAtt,9,FALSE)-$J43)/(VLOOKUP(Pesi!$B$31,TabAlgAtt,9,FALSE)-Pesi!$D$41))*VLOOKUP(Pesi!$B$31,TabAlgAtt,10,FALSE),Pesi!$F$31*Pesi!$C$28)</f>
        <v>25.285610194191122</v>
      </c>
      <c r="L43" s="163">
        <f>IF(K43&lt;=1,1,K43)</f>
        <v>25.285610194191122</v>
      </c>
      <c r="M43">
        <f>SUM(D43:I43)</f>
        <v>44</v>
      </c>
      <c r="N43">
        <f>VLOOKUP(B43,'C.P.'!$A$2:$B$164,2,FALSE)</f>
        <v>1</v>
      </c>
      <c r="O43">
        <f>VLOOKUP(B43,'C.P.'!$C$2:$D$164,2,FALSE)</f>
        <v>1</v>
      </c>
      <c r="P43" t="e">
        <f>VLOOKUP(B43,'C.P.'!$E$2:$F$164,2,FALSE)</f>
        <v>#N/A</v>
      </c>
      <c r="Q43" t="e">
        <f>VLOOKUP(B43,'C.P.'!$G$2:$H$164,2,FALSE)</f>
        <v>#N/A</v>
      </c>
      <c r="R43" s="180"/>
    </row>
    <row r="44" spans="1:18">
      <c r="A44">
        <f ca="1">COUNTIF('I.A. + Fasce'!B$1:'I.A. + Fasce'!B$538,B40)</f>
        <v>0</v>
      </c>
      <c r="B44" s="202" t="s">
        <v>1292</v>
      </c>
      <c r="C44" s="212" t="str">
        <f>VLOOKUP(B44,'IA FG'!$B$2:$G$600,6,FALSE)</f>
        <v>TOR</v>
      </c>
      <c r="D44" s="214">
        <v>9</v>
      </c>
      <c r="E44" s="215">
        <v>6</v>
      </c>
      <c r="F44" s="215">
        <v>6</v>
      </c>
      <c r="G44" s="215">
        <v>6</v>
      </c>
      <c r="H44" s="215">
        <v>7</v>
      </c>
      <c r="I44" s="215">
        <v>5</v>
      </c>
      <c r="J44" s="162">
        <f>$D44*Pesi!$F$16+Pesi!$F$17*$E44+$F44*Pesi!$F$18+Pesi!$F$19*$G44+$H44*Pesi!$F$20+Pesi!$F$21*$I44+VLOOKUP($C44,TabAlgSqu,2,FALSE)*Pesi!$F$22+Pesi!$F$23*VLOOKUP($C44,TabAlgFC,2,FALSE)+VLOOKUP($C44,TabAlgAll,2,FALSE)*Pesi!$F$24</f>
        <v>83.203800000000015</v>
      </c>
      <c r="K44" s="155">
        <f>IF(ISNA(MATCH($B44,Pesi!$B$31:$B$34,0)),VLOOKUP(Pesi!$B$31,TabAlgAtt,10,FALSE)-((VLOOKUP(Pesi!$B$31,TabAlgAtt,9,FALSE)-$J44)/(VLOOKUP(Pesi!$B$31,TabAlgAtt,9,FALSE)-Pesi!$D$41))*VLOOKUP(Pesi!$B$31,TabAlgAtt,10,FALSE),Pesi!$F$31*Pesi!$C$28)</f>
        <v>24.24924594164105</v>
      </c>
      <c r="L44" s="163">
        <f>IF(K44&lt;=1,1,K44)</f>
        <v>24.24924594164105</v>
      </c>
      <c r="M44">
        <f>SUM(D44:I44)</f>
        <v>39</v>
      </c>
      <c r="N44">
        <f>VLOOKUP(B44,'C.P.'!$A$2:$B$164,2,FALSE)</f>
        <v>-1</v>
      </c>
      <c r="O44" t="e">
        <f>VLOOKUP(B44,'C.P.'!$C$2:$D$164,2,FALSE)</f>
        <v>#N/A</v>
      </c>
      <c r="P44" t="e">
        <f>VLOOKUP(B44,'C.P.'!$E$2:$F$164,2,FALSE)</f>
        <v>#N/A</v>
      </c>
      <c r="Q44" t="e">
        <f>VLOOKUP(B44,'C.P.'!$G$2:$H$164,2,FALSE)</f>
        <v>#N/A</v>
      </c>
    </row>
    <row r="45" spans="1:18">
      <c r="A45">
        <f ca="1">COUNTIF('I.A. + Fasce'!B$1:'I.A. + Fasce'!B$538,B45)</f>
        <v>0</v>
      </c>
      <c r="B45" s="202" t="s">
        <v>484</v>
      </c>
      <c r="C45" s="212" t="str">
        <f>VLOOKUP(B45,'IA FG'!$B$2:$G$600,6,FALSE)</f>
        <v>UDI</v>
      </c>
      <c r="D45" s="214">
        <v>9</v>
      </c>
      <c r="E45" s="215">
        <v>7</v>
      </c>
      <c r="F45" s="215">
        <v>6</v>
      </c>
      <c r="G45" s="215">
        <v>7</v>
      </c>
      <c r="H45" s="215">
        <v>5</v>
      </c>
      <c r="I45" s="215">
        <v>7</v>
      </c>
      <c r="J45" s="162">
        <f>$D45*Pesi!$F$16+Pesi!$F$17*$E45+$F45*Pesi!$F$18+Pesi!$F$19*$G45+$H45*Pesi!$F$20+Pesi!$F$21*$I45+VLOOKUP($C45,TabAlgSqu,2,FALSE)*Pesi!$F$22+Pesi!$F$23*VLOOKUP($C45,TabAlgFC,2,FALSE)+VLOOKUP($C45,TabAlgAll,2,FALSE)*Pesi!$F$24</f>
        <v>83.055700000000002</v>
      </c>
      <c r="K45" s="155">
        <f>IF(ISNA(MATCH($B45,Pesi!$B$31:$B$34,0)),VLOOKUP(Pesi!$B$31,TabAlgAtt,10,FALSE)-((VLOOKUP(Pesi!$B$31,TabAlgAtt,9,FALSE)-$J45)/(VLOOKUP(Pesi!$B$31,TabAlgAtt,9,FALSE)-Pesi!$D$41))*VLOOKUP(Pesi!$B$31,TabAlgAtt,10,FALSE),Pesi!$F$31*Pesi!$C$28)</f>
        <v>23.55911309180874</v>
      </c>
      <c r="L45" s="163">
        <f>IF(K45&lt;=1,1,K45)</f>
        <v>23.55911309180874</v>
      </c>
      <c r="M45">
        <f>SUM(D45:I45)</f>
        <v>41</v>
      </c>
      <c r="N45" t="e">
        <f>VLOOKUP(B45,'C.P.'!$A$2:$B$164,2,FALSE)</f>
        <v>#N/A</v>
      </c>
      <c r="O45">
        <f>VLOOKUP(B45,'C.P.'!$C$2:$D$164,2,FALSE)</f>
        <v>1</v>
      </c>
      <c r="P45" t="e">
        <f>VLOOKUP(B45,'C.P.'!$E$2:$F$164,2,FALSE)</f>
        <v>#N/A</v>
      </c>
      <c r="Q45" t="e">
        <f>VLOOKUP(B45,'C.P.'!$G$2:$H$164,2,FALSE)</f>
        <v>#N/A</v>
      </c>
      <c r="R45" s="180"/>
    </row>
    <row r="46" spans="1:18">
      <c r="A46">
        <f ca="1">COUNTIF('I.A. + Fasce'!B$1:'I.A. + Fasce'!B$538,B45)</f>
        <v>0</v>
      </c>
      <c r="B46" s="202" t="s">
        <v>586</v>
      </c>
      <c r="C46" s="212" t="str">
        <f>VLOOKUP(B46,'IA FG'!$B$2:$G$600,6,FALSE)</f>
        <v>SAS</v>
      </c>
      <c r="D46" s="214">
        <v>7</v>
      </c>
      <c r="E46" s="215">
        <v>8</v>
      </c>
      <c r="F46" s="215">
        <v>7</v>
      </c>
      <c r="G46" s="215">
        <v>6</v>
      </c>
      <c r="H46" s="215">
        <v>6</v>
      </c>
      <c r="I46" s="215">
        <v>7</v>
      </c>
      <c r="J46" s="162">
        <f>$D46*Pesi!$F$16+Pesi!$F$17*$E46+$F46*Pesi!$F$18+Pesi!$F$19*$G46+$H46*Pesi!$F$20+Pesi!$F$21*$I46+VLOOKUP($C46,TabAlgSqu,2,FALSE)*Pesi!$F$22+Pesi!$F$23*VLOOKUP($C46,TabAlgFC,2,FALSE)+VLOOKUP($C46,TabAlgAll,2,FALSE)*Pesi!$F$24</f>
        <v>82.379900000000006</v>
      </c>
      <c r="K46" s="155">
        <f>IF(ISNA(MATCH($B46,Pesi!$B$31:$B$34,0)),VLOOKUP(Pesi!$B$31,TabAlgAtt,10,FALSE)-((VLOOKUP(Pesi!$B$31,TabAlgAtt,9,FALSE)-$J46)/(VLOOKUP(Pesi!$B$31,TabAlgAtt,9,FALSE)-Pesi!$D$41))*VLOOKUP(Pesi!$B$31,TabAlgAtt,10,FALSE),Pesi!$F$31*Pesi!$C$28)</f>
        <v>20.409945097773459</v>
      </c>
      <c r="L46" s="163">
        <f>IF(K46&lt;=1,1,K46)</f>
        <v>20.409945097773459</v>
      </c>
      <c r="M46">
        <f>SUM(D46:I46)</f>
        <v>41</v>
      </c>
      <c r="N46" t="e">
        <f>VLOOKUP(B46,'C.P.'!$A$2:$B$164,2,FALSE)</f>
        <v>#N/A</v>
      </c>
      <c r="O46">
        <f>VLOOKUP(B46,'C.P.'!$C$2:$D$164,2,FALSE)</f>
        <v>3</v>
      </c>
      <c r="P46">
        <f>VLOOKUP(B46,'C.P.'!$E$2:$F$164,2,FALSE)</f>
        <v>2</v>
      </c>
      <c r="Q46">
        <f>VLOOKUP(B46,'C.P.'!$G$2:$H$164,2,FALSE)</f>
        <v>2</v>
      </c>
    </row>
    <row r="47" spans="1:18">
      <c r="A47">
        <f ca="1">COUNTIF('I.A. + Fasce'!B$1:'I.A. + Fasce'!B$538,B47)</f>
        <v>0</v>
      </c>
      <c r="B47" s="202" t="s">
        <v>1780</v>
      </c>
      <c r="C47" s="212" t="str">
        <f>VLOOKUP(B47,'IA FG'!$B$2:$G$600,6,FALSE)</f>
        <v>VER</v>
      </c>
      <c r="D47" s="214">
        <v>6</v>
      </c>
      <c r="E47" s="215">
        <v>8</v>
      </c>
      <c r="F47" s="215">
        <v>7</v>
      </c>
      <c r="G47" s="215">
        <v>7</v>
      </c>
      <c r="H47" s="215">
        <v>7</v>
      </c>
      <c r="I47" s="215">
        <v>8</v>
      </c>
      <c r="J47" s="162">
        <f>$D47*Pesi!$F$16+Pesi!$F$17*$E47+$F47*Pesi!$F$18+Pesi!$F$19*$G47+$H47*Pesi!$F$20+Pesi!$F$21*$I47+VLOOKUP($C47,TabAlgSqu,2,FALSE)*Pesi!$F$22+Pesi!$F$23*VLOOKUP($C47,TabAlgFC,2,FALSE)+VLOOKUP($C47,TabAlgAll,2,FALSE)*Pesi!$F$24</f>
        <v>82.356400000000008</v>
      </c>
      <c r="K47" s="155">
        <f>IF(ISNA(MATCH($B47,Pesi!$B$31:$B$34,0)),VLOOKUP(Pesi!$B$31,TabAlgAtt,10,FALSE)-((VLOOKUP(Pesi!$B$31,TabAlgAtt,9,FALSE)-$J47)/(VLOOKUP(Pesi!$B$31,TabAlgAtt,9,FALSE)-Pesi!$D$41))*VLOOKUP(Pesi!$B$31,TabAlgAtt,10,FALSE),Pesi!$F$31*Pesi!$C$28)</f>
        <v>20.300437184396969</v>
      </c>
      <c r="L47" s="163">
        <f>IF(K47&lt;=1,1,K47)</f>
        <v>20.300437184396969</v>
      </c>
      <c r="M47">
        <f>SUM(D47:I47)</f>
        <v>43</v>
      </c>
      <c r="N47">
        <f>VLOOKUP(B47,'C.P.'!$A$2:$B$164,2,FALSE)</f>
        <v>1</v>
      </c>
      <c r="O47">
        <f>VLOOKUP(B47,'C.P.'!$C$2:$D$164,2,FALSE)</f>
        <v>1</v>
      </c>
      <c r="P47" t="e">
        <f>VLOOKUP(B47,'C.P.'!$E$2:$F$164,2,FALSE)</f>
        <v>#N/A</v>
      </c>
      <c r="Q47" t="e">
        <f>VLOOKUP(B47,'C.P.'!$G$2:$H$164,2,FALSE)</f>
        <v>#N/A</v>
      </c>
      <c r="R47" s="180"/>
    </row>
    <row r="48" spans="1:18">
      <c r="A48">
        <f ca="1">COUNTIF('I.A. + Fasce'!B$1:'I.A. + Fasce'!B$538,B43)</f>
        <v>0</v>
      </c>
      <c r="B48" s="202" t="s">
        <v>1779</v>
      </c>
      <c r="C48" s="212" t="str">
        <f>VLOOKUP(B48,'IA FG'!$B$2:$G$600,6,FALSE)</f>
        <v>UDI</v>
      </c>
      <c r="D48" s="214">
        <v>9</v>
      </c>
      <c r="E48" s="215">
        <v>7</v>
      </c>
      <c r="F48" s="215">
        <v>6</v>
      </c>
      <c r="G48" s="215">
        <v>6</v>
      </c>
      <c r="H48" s="215">
        <v>7</v>
      </c>
      <c r="I48" s="215">
        <v>6</v>
      </c>
      <c r="J48" s="162">
        <f>$D48*Pesi!$F$16+Pesi!$F$17*$E48+$F48*Pesi!$F$18+Pesi!$F$19*$G48+$H48*Pesi!$F$20+Pesi!$F$21*$I48+VLOOKUP($C48,TabAlgSqu,2,FALSE)*Pesi!$F$22+Pesi!$F$23*VLOOKUP($C48,TabAlgFC,2,FALSE)+VLOOKUP($C48,TabAlgAll,2,FALSE)*Pesi!$F$24</f>
        <v>82.159800000000004</v>
      </c>
      <c r="K48" s="155">
        <f>IF(ISNA(MATCH($B48,Pesi!$B$31:$B$34,0)),VLOOKUP(Pesi!$B$31,TabAlgAtt,10,FALSE)-((VLOOKUP(Pesi!$B$31,TabAlgAtt,9,FALSE)-$J48)/(VLOOKUP(Pesi!$B$31,TabAlgAtt,9,FALSE)-Pesi!$D$41))*VLOOKUP(Pesi!$B$31,TabAlgAtt,10,FALSE),Pesi!$F$31*Pesi!$C$28)</f>
        <v>19.38429864100047</v>
      </c>
      <c r="L48" s="163">
        <f>IF(K48&lt;=1,1,K48)</f>
        <v>19.38429864100047</v>
      </c>
      <c r="M48">
        <f>SUM(D48:I48)</f>
        <v>41</v>
      </c>
      <c r="N48">
        <f>VLOOKUP(B48,'C.P.'!$A$2:$B$164,2,FALSE)</f>
        <v>0</v>
      </c>
      <c r="O48" t="e">
        <f>VLOOKUP(B48,'C.P.'!$C$2:$D$164,2,FALSE)</f>
        <v>#N/A</v>
      </c>
      <c r="P48" t="e">
        <f>VLOOKUP(B48,'C.P.'!$E$2:$F$164,2,FALSE)</f>
        <v>#N/A</v>
      </c>
      <c r="Q48" t="e">
        <f>VLOOKUP(B48,'C.P.'!$G$2:$H$164,2,FALSE)</f>
        <v>#N/A</v>
      </c>
    </row>
    <row r="49" spans="1:18">
      <c r="A49">
        <f ca="1">COUNTIF('I.A. + Fasce'!B$1:'I.A. + Fasce'!B$538,B48)</f>
        <v>0</v>
      </c>
      <c r="B49" s="202" t="s">
        <v>1789</v>
      </c>
      <c r="C49" s="212" t="str">
        <f>VLOOKUP(B49,'IA FG'!$B$2:$G$600,6,FALSE)</f>
        <v>ATA</v>
      </c>
      <c r="D49" s="214">
        <v>9</v>
      </c>
      <c r="E49" s="215">
        <v>4</v>
      </c>
      <c r="F49" s="215">
        <v>7</v>
      </c>
      <c r="G49" s="215">
        <v>7</v>
      </c>
      <c r="H49" s="215">
        <v>5</v>
      </c>
      <c r="I49" s="215">
        <v>6</v>
      </c>
      <c r="J49" s="162">
        <f>$D49*Pesi!$F$16+Pesi!$F$17*$E49+$F49*Pesi!$F$18+Pesi!$F$19*$G49+$H49*Pesi!$F$20+Pesi!$F$21*$I49+VLOOKUP($C49,TabAlgSqu,2,FALSE)*Pesi!$F$22+Pesi!$F$23*VLOOKUP($C49,TabAlgFC,2,FALSE)+VLOOKUP($C49,TabAlgAll,2,FALSE)*Pesi!$F$24</f>
        <v>82.099700000000013</v>
      </c>
      <c r="K49" s="155">
        <f>IF(ISNA(MATCH($B49,Pesi!$B$31:$B$34,0)),VLOOKUP(Pesi!$B$31,TabAlgAtt,10,FALSE)-((VLOOKUP(Pesi!$B$31,TabAlgAtt,9,FALSE)-$J49)/(VLOOKUP(Pesi!$B$31,TabAlgAtt,9,FALSE)-Pesi!$D$41))*VLOOKUP(Pesi!$B$31,TabAlgAtt,10,FALSE),Pesi!$F$31*Pesi!$C$28)</f>
        <v>19.104237977429136</v>
      </c>
      <c r="L49" s="163">
        <f>IF(K49&lt;=1,1,K49)</f>
        <v>19.104237977429136</v>
      </c>
      <c r="M49">
        <f>SUM(D49:I49)</f>
        <v>38</v>
      </c>
      <c r="N49">
        <f>VLOOKUP(B49,'C.P.'!$A$2:$B$164,2,FALSE)</f>
        <v>0</v>
      </c>
      <c r="O49">
        <f>VLOOKUP(B49,'C.P.'!$C$2:$D$164,2,FALSE)</f>
        <v>3</v>
      </c>
      <c r="P49">
        <f>VLOOKUP(B49,'C.P.'!$E$2:$F$164,2,FALSE)</f>
        <v>4</v>
      </c>
      <c r="Q49" t="e">
        <f>VLOOKUP(B49,'C.P.'!$G$2:$H$164,2,FALSE)</f>
        <v>#N/A</v>
      </c>
    </row>
    <row r="50" spans="1:18">
      <c r="A50">
        <f ca="1">COUNTIF('I.A. + Fasce'!B$1:'I.A. + Fasce'!B$538,B44)</f>
        <v>0</v>
      </c>
      <c r="B50" s="202" t="s">
        <v>1790</v>
      </c>
      <c r="C50" s="212" t="str">
        <f>VLOOKUP(B50,'IA FG'!$B$2:$G$600,6,FALSE)</f>
        <v>ATA</v>
      </c>
      <c r="D50" s="214">
        <v>9</v>
      </c>
      <c r="E50" s="215">
        <v>4</v>
      </c>
      <c r="F50" s="215">
        <v>7</v>
      </c>
      <c r="G50" s="215">
        <v>7</v>
      </c>
      <c r="H50" s="215">
        <v>6</v>
      </c>
      <c r="I50" s="215">
        <v>5</v>
      </c>
      <c r="J50" s="162">
        <f>$D50*Pesi!$F$16+Pesi!$F$17*$E50+$F50*Pesi!$F$18+Pesi!$F$19*$G50+$H50*Pesi!$F$20+Pesi!$F$21*$I50+VLOOKUP($C50,TabAlgSqu,2,FALSE)*Pesi!$F$22+Pesi!$F$23*VLOOKUP($C50,TabAlgFC,2,FALSE)+VLOOKUP($C50,TabAlgAll,2,FALSE)*Pesi!$F$24</f>
        <v>81.63300000000001</v>
      </c>
      <c r="K50" s="155">
        <f>IF(ISNA(MATCH($B50,Pesi!$B$31:$B$34,0)),VLOOKUP(Pesi!$B$31,TabAlgAtt,10,FALSE)-((VLOOKUP(Pesi!$B$31,TabAlgAtt,9,FALSE)-$J50)/(VLOOKUP(Pesi!$B$31,TabAlgAtt,9,FALSE)-Pesi!$D$41))*VLOOKUP(Pesi!$B$31,TabAlgAtt,10,FALSE),Pesi!$F$31*Pesi!$C$28)</f>
        <v>16.929457416884162</v>
      </c>
      <c r="L50" s="163">
        <f>IF(K50&lt;=1,1,K50)</f>
        <v>16.929457416884162</v>
      </c>
      <c r="M50">
        <f>SUM(D50:I50)</f>
        <v>38</v>
      </c>
      <c r="N50">
        <f>VLOOKUP(B50,'C.P.'!$A$2:$B$164,2,FALSE)</f>
        <v>0</v>
      </c>
      <c r="O50" t="e">
        <f>VLOOKUP(B50,'C.P.'!$C$2:$D$164,2,FALSE)</f>
        <v>#N/A</v>
      </c>
      <c r="P50">
        <f>VLOOKUP(B50,'C.P.'!$E$2:$F$164,2,FALSE)</f>
        <v>3</v>
      </c>
      <c r="Q50" t="e">
        <f>VLOOKUP(B50,'C.P.'!$G$2:$H$164,2,FALSE)</f>
        <v>#N/A</v>
      </c>
    </row>
    <row r="51" spans="1:18">
      <c r="A51">
        <f ca="1">COUNTIF('I.A. + Fasce'!B$1:'I.A. + Fasce'!B$538,B50)</f>
        <v>0</v>
      </c>
      <c r="B51" s="202" t="s">
        <v>495</v>
      </c>
      <c r="C51" s="212" t="str">
        <f>VLOOKUP(B51,'IA FG'!$B$2:$G$600,6,FALSE)</f>
        <v>GEN</v>
      </c>
      <c r="D51" s="214">
        <v>8</v>
      </c>
      <c r="E51" s="215">
        <v>7</v>
      </c>
      <c r="F51" s="215">
        <v>6</v>
      </c>
      <c r="G51" s="215">
        <v>6</v>
      </c>
      <c r="H51" s="215">
        <v>6</v>
      </c>
      <c r="I51" s="215">
        <v>7</v>
      </c>
      <c r="J51" s="162">
        <f>$D51*Pesi!$F$16+Pesi!$F$17*$E51+$F51*Pesi!$F$18+Pesi!$F$19*$G51+$H51*Pesi!$F$20+Pesi!$F$21*$I51+VLOOKUP($C51,TabAlgSqu,2,FALSE)*Pesi!$F$22+Pesi!$F$23*VLOOKUP($C51,TabAlgFC,2,FALSE)+VLOOKUP($C51,TabAlgAll,2,FALSE)*Pesi!$F$24</f>
        <v>80.909200000000013</v>
      </c>
      <c r="K51" s="155">
        <f>IF(ISNA(MATCH($B51,Pesi!$B$31:$B$34,0)),VLOOKUP(Pesi!$B$31,TabAlgAtt,10,FALSE)-((VLOOKUP(Pesi!$B$31,TabAlgAtt,9,FALSE)-$J51)/(VLOOKUP(Pesi!$B$31,TabAlgAtt,9,FALSE)-Pesi!$D$41))*VLOOKUP(Pesi!$B$31,TabAlgAtt,10,FALSE),Pesi!$F$31*Pesi!$C$28)</f>
        <v>13.55661368488839</v>
      </c>
      <c r="L51" s="163">
        <f>IF(K51&lt;=1,1,K51)</f>
        <v>13.55661368488839</v>
      </c>
      <c r="M51">
        <f>SUM(D51:I51)</f>
        <v>40</v>
      </c>
      <c r="N51">
        <f>VLOOKUP(B51,'C.P.'!$A$2:$B$164,2,FALSE)</f>
        <v>0</v>
      </c>
      <c r="O51" t="e">
        <f>VLOOKUP(B51,'C.P.'!$C$2:$D$164,2,FALSE)</f>
        <v>#N/A</v>
      </c>
      <c r="P51" t="e">
        <f>VLOOKUP(B51,'C.P.'!$E$2:$F$164,2,FALSE)</f>
        <v>#N/A</v>
      </c>
      <c r="Q51" t="e">
        <f>VLOOKUP(B51,'C.P.'!$G$2:$H$164,2,FALSE)</f>
        <v>#N/A</v>
      </c>
      <c r="R51" s="420"/>
    </row>
    <row r="52" spans="1:18">
      <c r="B52" s="202" t="s">
        <v>1843</v>
      </c>
      <c r="C52" s="212" t="str">
        <f>VLOOKUP(B52,'IA FG'!$B$2:$G$600,6,FALSE)</f>
        <v>GEN</v>
      </c>
      <c r="D52" s="214">
        <v>8</v>
      </c>
      <c r="E52" s="215">
        <v>7</v>
      </c>
      <c r="F52" s="215">
        <v>6</v>
      </c>
      <c r="G52" s="215">
        <v>6</v>
      </c>
      <c r="H52" s="215">
        <v>6</v>
      </c>
      <c r="I52" s="215">
        <v>7</v>
      </c>
      <c r="J52" s="162">
        <f>$D52*Pesi!$F$16+Pesi!$F$17*$E52+$F52*Pesi!$F$18+Pesi!$F$19*$G52+$H52*Pesi!$F$20+Pesi!$F$21*$I52+VLOOKUP($C52,TabAlgSqu,2,FALSE)*Pesi!$F$22+Pesi!$F$23*VLOOKUP($C52,TabAlgFC,2,FALSE)+VLOOKUP($C52,TabAlgAll,2,FALSE)*Pesi!$F$24</f>
        <v>80.909200000000013</v>
      </c>
      <c r="K52" s="155">
        <f>IF(ISNA(MATCH($B52,Pesi!$B$31:$B$34,0)),VLOOKUP(Pesi!$B$31,TabAlgAtt,10,FALSE)-((VLOOKUP(Pesi!$B$31,TabAlgAtt,9,FALSE)-$J52)/(VLOOKUP(Pesi!$B$31,TabAlgAtt,9,FALSE)-Pesi!$D$41))*VLOOKUP(Pesi!$B$31,TabAlgAtt,10,FALSE),Pesi!$F$31*Pesi!$C$28)</f>
        <v>13.55661368488839</v>
      </c>
      <c r="L52" s="163">
        <f>IF(K52&lt;=1,1,K52)</f>
        <v>13.55661368488839</v>
      </c>
      <c r="M52">
        <f>SUM(D52:I52)</f>
        <v>40</v>
      </c>
      <c r="N52">
        <f>VLOOKUP(B52,'C.P.'!$A$2:$B$164,2,FALSE)</f>
        <v>0</v>
      </c>
      <c r="O52" t="e">
        <f>VLOOKUP(B52,'C.P.'!$C$2:$D$164,2,FALSE)</f>
        <v>#N/A</v>
      </c>
      <c r="P52" t="e">
        <f>VLOOKUP(B52,'C.P.'!$E$2:$F$164,2,FALSE)</f>
        <v>#N/A</v>
      </c>
      <c r="Q52" t="e">
        <f>VLOOKUP(B52,'C.P.'!$G$2:$H$164,2,FALSE)</f>
        <v>#N/A</v>
      </c>
    </row>
    <row r="53" spans="1:18">
      <c r="A53">
        <f ca="1">COUNTIF('I.A. + Fasce'!B$1:'I.A. + Fasce'!B$538,B48)</f>
        <v>0</v>
      </c>
      <c r="B53" s="202" t="s">
        <v>1810</v>
      </c>
      <c r="C53" s="212" t="str">
        <f>VLOOKUP(B53,'IA FG'!$B$2:$G$600,6,FALSE)</f>
        <v>UDI</v>
      </c>
      <c r="D53" s="214">
        <v>9</v>
      </c>
      <c r="E53" s="215">
        <v>6</v>
      </c>
      <c r="F53" s="215">
        <v>6</v>
      </c>
      <c r="G53" s="215">
        <v>7</v>
      </c>
      <c r="H53" s="215">
        <v>6</v>
      </c>
      <c r="I53" s="215">
        <v>6</v>
      </c>
      <c r="J53" s="162">
        <f>$D53*Pesi!$F$16+Pesi!$F$17*$E53+$F53*Pesi!$F$18+Pesi!$F$19*$G53+$H53*Pesi!$F$20+Pesi!$F$21*$I53+VLOOKUP($C53,TabAlgSqu,2,FALSE)*Pesi!$F$22+Pesi!$F$23*VLOOKUP($C53,TabAlgFC,2,FALSE)+VLOOKUP($C53,TabAlgAll,2,FALSE)*Pesi!$F$24</f>
        <v>80.751499999999993</v>
      </c>
      <c r="K53" s="155">
        <f>IF(ISNA(MATCH($B53,Pesi!$B$31:$B$34,0)),VLOOKUP(Pesi!$B$31,TabAlgAtt,10,FALSE)-((VLOOKUP(Pesi!$B$31,TabAlgAtt,9,FALSE)-$J53)/(VLOOKUP(Pesi!$B$31,TabAlgAtt,9,FALSE)-Pesi!$D$41))*VLOOKUP(Pesi!$B$31,TabAlgAtt,10,FALSE),Pesi!$F$31*Pesi!$C$28)</f>
        <v>12.821745687463959</v>
      </c>
      <c r="L53" s="163">
        <f>IF(K53&lt;=1,1,K53)</f>
        <v>12.821745687463959</v>
      </c>
      <c r="M53">
        <f>SUM(D53:I53)</f>
        <v>40</v>
      </c>
      <c r="N53" t="e">
        <f>VLOOKUP(B53,'C.P.'!$A$2:$B$164,2,FALSE)</f>
        <v>#N/A</v>
      </c>
      <c r="O53" t="e">
        <f>VLOOKUP(B53,'C.P.'!$C$2:$D$164,2,FALSE)</f>
        <v>#N/A</v>
      </c>
      <c r="P53" t="e">
        <f>VLOOKUP(B53,'C.P.'!$E$2:$F$164,2,FALSE)</f>
        <v>#N/A</v>
      </c>
      <c r="Q53" t="e">
        <f>VLOOKUP(B53,'C.P.'!$G$2:$H$164,2,FALSE)</f>
        <v>#N/A</v>
      </c>
    </row>
    <row r="54" spans="1:18">
      <c r="A54">
        <f ca="1">COUNTIF('I.A. + Fasce'!B$1:'I.A. + Fasce'!B$538,B50)</f>
        <v>0</v>
      </c>
      <c r="B54" s="445" t="s">
        <v>507</v>
      </c>
      <c r="C54" s="212" t="str">
        <f>VLOOKUP(B54,'IA FG'!$B$2:$G$600,6,FALSE)</f>
        <v>CAG</v>
      </c>
      <c r="D54" s="214">
        <v>7</v>
      </c>
      <c r="E54" s="215">
        <v>7</v>
      </c>
      <c r="F54" s="215">
        <v>6</v>
      </c>
      <c r="G54" s="215">
        <v>7</v>
      </c>
      <c r="H54" s="215">
        <v>6</v>
      </c>
      <c r="I54" s="215">
        <v>6</v>
      </c>
      <c r="J54" s="162">
        <f>$D54*Pesi!$F$16+Pesi!$F$17*$E54+$F54*Pesi!$F$18+Pesi!$F$19*$G54+$H54*Pesi!$F$20+Pesi!$F$21*$I54+VLOOKUP($C54,TabAlgSqu,2,FALSE)*Pesi!$F$22+Pesi!$F$23*VLOOKUP($C54,TabAlgFC,2,FALSE)+VLOOKUP($C54,TabAlgAll,2,FALSE)*Pesi!$F$24</f>
        <v>80.457400000000007</v>
      </c>
      <c r="K54" s="155">
        <f>IF(ISNA(MATCH($B54,Pesi!$B$31:$B$34,0)),VLOOKUP(Pesi!$B$31,TabAlgAtt,10,FALSE)-((VLOOKUP(Pesi!$B$31,TabAlgAtt,9,FALSE)-$J54)/(VLOOKUP(Pesi!$B$31,TabAlgAtt,9,FALSE)-Pesi!$D$41))*VLOOKUP(Pesi!$B$31,TabAlgAtt,10,FALSE),Pesi!$F$31*Pesi!$C$28)</f>
        <v>11.451265801335296</v>
      </c>
      <c r="L54" s="163">
        <f>IF(K54&lt;=1,1,K54)</f>
        <v>11.451265801335296</v>
      </c>
      <c r="M54">
        <f>SUM(D54:I54)</f>
        <v>39</v>
      </c>
      <c r="N54" t="e">
        <f>VLOOKUP(B54,'C.P.'!$A$2:$B$164,2,FALSE)</f>
        <v>#N/A</v>
      </c>
      <c r="O54" t="e">
        <f>VLOOKUP(B54,'C.P.'!$C$2:$D$164,2,FALSE)</f>
        <v>#N/A</v>
      </c>
      <c r="P54" t="e">
        <f>VLOOKUP(B54,'C.P.'!$E$2:$F$164,2,FALSE)</f>
        <v>#N/A</v>
      </c>
      <c r="Q54" t="e">
        <f>VLOOKUP(B54,'C.P.'!$G$2:$H$164,2,FALSE)</f>
        <v>#N/A</v>
      </c>
    </row>
    <row r="55" spans="1:18">
      <c r="A55">
        <f ca="1">COUNTIF('I.A. + Fasce'!B$1:'I.A. + Fasce'!B$538,B51)</f>
        <v>0</v>
      </c>
      <c r="B55" s="202" t="s">
        <v>331</v>
      </c>
      <c r="C55" s="212" t="str">
        <f>VLOOKUP(B55,'IA FG'!$B$2:$G$600,6,FALSE)</f>
        <v>SAM</v>
      </c>
      <c r="D55" s="214">
        <v>8</v>
      </c>
      <c r="E55" s="215">
        <v>6</v>
      </c>
      <c r="F55" s="215">
        <v>7</v>
      </c>
      <c r="G55" s="215">
        <v>7</v>
      </c>
      <c r="H55" s="215">
        <v>5</v>
      </c>
      <c r="I55" s="215">
        <v>6</v>
      </c>
      <c r="J55" s="162">
        <f>$D55*Pesi!$F$16+Pesi!$F$17*$E55+$F55*Pesi!$F$18+Pesi!$F$19*$G55+$H55*Pesi!$F$20+Pesi!$F$21*$I55+VLOOKUP($C55,TabAlgSqu,2,FALSE)*Pesi!$F$22+Pesi!$F$23*VLOOKUP($C55,TabAlgFC,2,FALSE)+VLOOKUP($C55,TabAlgAll,2,FALSE)*Pesi!$F$24</f>
        <v>80.370400000000004</v>
      </c>
      <c r="K55" s="155">
        <f>IF(ISNA(MATCH($B55,Pesi!$B$31:$B$34,0)),VLOOKUP(Pesi!$B$31,TabAlgAtt,10,FALSE)-((VLOOKUP(Pesi!$B$31,TabAlgAtt,9,FALSE)-$J55)/(VLOOKUP(Pesi!$B$31,TabAlgAtt,9,FALSE)-Pesi!$D$41))*VLOOKUP(Pesi!$B$31,TabAlgAtt,10,FALSE),Pesi!$F$31*Pesi!$C$28)</f>
        <v>11.045853526281917</v>
      </c>
      <c r="L55" s="163">
        <f>IF(K55&lt;=1,1,K55)</f>
        <v>11.045853526281917</v>
      </c>
      <c r="M55">
        <f>SUM(D55:I55)</f>
        <v>39</v>
      </c>
      <c r="N55">
        <f>VLOOKUP(B55,'C.P.'!$A$2:$B$164,2,FALSE)</f>
        <v>0</v>
      </c>
      <c r="O55" t="e">
        <f>VLOOKUP(B55,'C.P.'!$C$2:$D$164,2,FALSE)</f>
        <v>#N/A</v>
      </c>
      <c r="P55">
        <f>VLOOKUP(B55,'C.P.'!$E$2:$F$164,2,FALSE)</f>
        <v>1</v>
      </c>
      <c r="Q55">
        <f>VLOOKUP(B55,'C.P.'!$G$2:$H$164,2,FALSE)</f>
        <v>1</v>
      </c>
    </row>
    <row r="56" spans="1:18">
      <c r="B56" s="202" t="s">
        <v>452</v>
      </c>
      <c r="C56" s="212" t="str">
        <f>VLOOKUP(B56,'IA FG'!$B$2:$G$600,6,FALSE)</f>
        <v>CAG</v>
      </c>
      <c r="D56" s="214">
        <v>6</v>
      </c>
      <c r="E56" s="215">
        <v>6</v>
      </c>
      <c r="F56" s="215">
        <v>7</v>
      </c>
      <c r="G56" s="215">
        <v>7</v>
      </c>
      <c r="H56" s="215">
        <v>7</v>
      </c>
      <c r="I56" s="215">
        <v>6</v>
      </c>
      <c r="J56" s="162">
        <f>$D56*Pesi!$F$16+Pesi!$F$17*$E56+$F56*Pesi!$F$18+Pesi!$F$19*$G56+$H56*Pesi!$F$20+Pesi!$F$21*$I56+VLOOKUP($C56,TabAlgSqu,2,FALSE)*Pesi!$F$22+Pesi!$F$23*VLOOKUP($C56,TabAlgFC,2,FALSE)+VLOOKUP($C56,TabAlgAll,2,FALSE)*Pesi!$F$24</f>
        <v>79.619900000000001</v>
      </c>
      <c r="K56" s="155">
        <f>IF(ISNA(MATCH($B56,Pesi!$B$31:$B$34,0)),VLOOKUP(Pesi!$B$31,TabAlgAtt,10,FALSE)-((VLOOKUP(Pesi!$B$31,TabAlgAtt,9,FALSE)-$J56)/(VLOOKUP(Pesi!$B$31,TabAlgAtt,9,FALSE)-Pesi!$D$41))*VLOOKUP(Pesi!$B$31,TabAlgAtt,10,FALSE),Pesi!$F$31*Pesi!$C$28)</f>
        <v>7.5485901650455673</v>
      </c>
      <c r="L56" s="163">
        <f>IF(K56&lt;=1,1,K56)</f>
        <v>7.5485901650455673</v>
      </c>
      <c r="M56">
        <f>SUM(D56:I56)</f>
        <v>39</v>
      </c>
      <c r="N56" t="e">
        <f>VLOOKUP(B56,'C.P.'!$A$2:$B$164,2,FALSE)</f>
        <v>#N/A</v>
      </c>
      <c r="O56" t="e">
        <f>VLOOKUP(B56,'C.P.'!$C$2:$D$164,2,FALSE)</f>
        <v>#N/A</v>
      </c>
      <c r="P56" t="e">
        <f>VLOOKUP(B56,'C.P.'!$E$2:$F$164,2,FALSE)</f>
        <v>#N/A</v>
      </c>
      <c r="Q56" t="e">
        <f>VLOOKUP(B56,'C.P.'!$G$2:$H$164,2,FALSE)</f>
        <v>#N/A</v>
      </c>
    </row>
    <row r="57" spans="1:18">
      <c r="A57">
        <f ca="1">COUNTIF('I.A. + Fasce'!B$1:'I.A. + Fasce'!B$538,B56)</f>
        <v>0</v>
      </c>
      <c r="B57" s="202" t="s">
        <v>1786</v>
      </c>
      <c r="C57" s="212" t="str">
        <f>VLOOKUP(B57,'IA FG'!$B$2:$G$600,6,FALSE)</f>
        <v>GEN</v>
      </c>
      <c r="D57" s="214">
        <v>8</v>
      </c>
      <c r="E57" s="215">
        <v>6</v>
      </c>
      <c r="F57" s="215">
        <v>6</v>
      </c>
      <c r="G57" s="215">
        <v>6</v>
      </c>
      <c r="H57" s="215">
        <v>6</v>
      </c>
      <c r="I57" s="215">
        <v>7</v>
      </c>
      <c r="J57" s="162">
        <f>$D57*Pesi!$F$16+Pesi!$F$17*$E57+$F57*Pesi!$F$18+Pesi!$F$19*$G57+$H57*Pesi!$F$20+Pesi!$F$21*$I57+VLOOKUP($C57,TabAlgSqu,2,FALSE)*Pesi!$F$22+Pesi!$F$23*VLOOKUP($C57,TabAlgFC,2,FALSE)+VLOOKUP($C57,TabAlgAll,2,FALSE)*Pesi!$F$24</f>
        <v>79.071700000000007</v>
      </c>
      <c r="K57" s="155">
        <f>IF(ISNA(MATCH($B57,Pesi!$B$31:$B$34,0)),VLOOKUP(Pesi!$B$31,TabAlgAtt,10,FALSE)-((VLOOKUP(Pesi!$B$31,TabAlgAtt,9,FALSE)-$J57)/(VLOOKUP(Pesi!$B$31,TabAlgAtt,9,FALSE)-Pesi!$D$41))*VLOOKUP(Pesi!$B$31,TabAlgAtt,10,FALSE),Pesi!$F$31*Pesi!$C$28)</f>
        <v>4.9940268410885835</v>
      </c>
      <c r="L57" s="163">
        <f>IF(K57&lt;=1,1,K57)</f>
        <v>4.9940268410885835</v>
      </c>
      <c r="M57">
        <f>SUM(D57:I57)</f>
        <v>39</v>
      </c>
      <c r="N57">
        <f>VLOOKUP(B57,'C.P.'!$A$2:$B$164,2,FALSE)</f>
        <v>0</v>
      </c>
      <c r="O57" t="e">
        <f>VLOOKUP(B57,'C.P.'!$C$2:$D$164,2,FALSE)</f>
        <v>#N/A</v>
      </c>
      <c r="P57" t="e">
        <f>VLOOKUP(B57,'C.P.'!$E$2:$F$164,2,FALSE)</f>
        <v>#N/A</v>
      </c>
      <c r="Q57" t="e">
        <f>VLOOKUP(B57,'C.P.'!$G$2:$H$164,2,FALSE)</f>
        <v>#N/A</v>
      </c>
      <c r="R57" s="180"/>
    </row>
    <row r="58" spans="1:18">
      <c r="A58">
        <f ca="1">COUNTIF('I.A. + Fasce'!B$1:'I.A. + Fasce'!B$538,#REF!)</f>
        <v>0</v>
      </c>
      <c r="B58" s="202" t="s">
        <v>1754</v>
      </c>
      <c r="C58" s="212" t="str">
        <f>VLOOKUP(B58,'IA FG'!$B$2:$G$600,6,FALSE)</f>
        <v>GEN</v>
      </c>
      <c r="D58" s="214">
        <v>7</v>
      </c>
      <c r="E58" s="215">
        <v>7</v>
      </c>
      <c r="F58" s="215">
        <v>6</v>
      </c>
      <c r="G58" s="215">
        <v>6</v>
      </c>
      <c r="H58" s="215">
        <v>7</v>
      </c>
      <c r="I58" s="215">
        <v>6</v>
      </c>
      <c r="J58" s="162">
        <f>$D58*Pesi!$F$16+Pesi!$F$17*$E58+$F58*Pesi!$F$18+Pesi!$F$19*$G58+$H58*Pesi!$F$20+Pesi!$F$21*$I58+VLOOKUP($C58,TabAlgSqu,2,FALSE)*Pesi!$F$22+Pesi!$F$23*VLOOKUP($C58,TabAlgFC,2,FALSE)+VLOOKUP($C58,TabAlgAll,2,FALSE)*Pesi!$F$24</f>
        <v>78.909199999999998</v>
      </c>
      <c r="K58" s="155">
        <f>IF(ISNA(MATCH($B58,Pesi!$B$31:$B$34,0)),VLOOKUP(Pesi!$B$31,TabAlgAtt,10,FALSE)-((VLOOKUP(Pesi!$B$31,TabAlgAtt,9,FALSE)-$J58)/(VLOOKUP(Pesi!$B$31,TabAlgAtt,9,FALSE)-Pesi!$D$41))*VLOOKUP(Pesi!$B$31,TabAlgAtt,10,FALSE),Pesi!$F$31*Pesi!$C$28)</f>
        <v>4.2367912698681494</v>
      </c>
      <c r="L58" s="163">
        <f>IF(K58&lt;=1,1,K58)</f>
        <v>4.2367912698681494</v>
      </c>
      <c r="M58">
        <f>SUM(D58:I58)</f>
        <v>39</v>
      </c>
      <c r="N58" t="e">
        <f>VLOOKUP(B58,'C.P.'!$A$2:$B$164,2,FALSE)</f>
        <v>#N/A</v>
      </c>
      <c r="O58" t="e">
        <f>VLOOKUP(B58,'C.P.'!$C$2:$D$164,2,FALSE)</f>
        <v>#N/A</v>
      </c>
      <c r="P58" t="e">
        <f>VLOOKUP(B58,'C.P.'!$E$2:$F$164,2,FALSE)</f>
        <v>#N/A</v>
      </c>
      <c r="Q58" t="e">
        <f>VLOOKUP(B58,'C.P.'!$G$2:$H$164,2,FALSE)</f>
        <v>#N/A</v>
      </c>
    </row>
    <row r="59" spans="1:18">
      <c r="B59" s="202" t="s">
        <v>441</v>
      </c>
      <c r="C59" s="212" t="str">
        <f>VLOOKUP(B59,'IA FG'!$B$2:$G$600,6,FALSE)</f>
        <v>SAS</v>
      </c>
      <c r="D59" s="214">
        <v>7</v>
      </c>
      <c r="E59" s="215">
        <v>6</v>
      </c>
      <c r="F59" s="215">
        <v>6</v>
      </c>
      <c r="G59" s="215">
        <v>7</v>
      </c>
      <c r="H59" s="215">
        <v>7</v>
      </c>
      <c r="I59" s="215">
        <v>6</v>
      </c>
      <c r="J59" s="162">
        <f>$D59*Pesi!$F$16+Pesi!$F$17*$E59+$F59*Pesi!$F$18+Pesi!$F$19*$G59+$H59*Pesi!$F$20+Pesi!$F$21*$I59+VLOOKUP($C59,TabAlgSqu,2,FALSE)*Pesi!$F$22+Pesi!$F$23*VLOOKUP($C59,TabAlgFC,2,FALSE)+VLOOKUP($C59,TabAlgAll,2,FALSE)*Pesi!$F$24</f>
        <v>78.800700000000006</v>
      </c>
      <c r="K59" s="155">
        <f>IF(ISNA(MATCH($B59,Pesi!$B$31:$B$34,0)),VLOOKUP(Pesi!$B$31,TabAlgAtt,10,FALSE)-((VLOOKUP(Pesi!$B$31,TabAlgAtt,9,FALSE)-$J59)/(VLOOKUP(Pesi!$B$31,TabAlgAtt,9,FALSE)-Pesi!$D$41))*VLOOKUP(Pesi!$B$31,TabAlgAtt,10,FALSE),Pesi!$F$31*Pesi!$C$28)</f>
        <v>3.7311909038533315</v>
      </c>
      <c r="L59" s="163">
        <f>IF(K59&lt;=1,1,K59)</f>
        <v>3.7311909038533315</v>
      </c>
      <c r="M59">
        <f>SUM(D59:I59)</f>
        <v>39</v>
      </c>
      <c r="N59" t="e">
        <f>VLOOKUP(B59,'C.P.'!$A$2:$B$164,2,FALSE)</f>
        <v>#N/A</v>
      </c>
      <c r="O59" t="e">
        <f>VLOOKUP(B59,'C.P.'!$C$2:$D$164,2,FALSE)</f>
        <v>#N/A</v>
      </c>
      <c r="P59" t="e">
        <f>VLOOKUP(B59,'C.P.'!$E$2:$F$164,2,FALSE)</f>
        <v>#N/A</v>
      </c>
      <c r="Q59" t="e">
        <f>VLOOKUP(B59,'C.P.'!$G$2:$H$164,2,FALSE)</f>
        <v>#N/A</v>
      </c>
    </row>
    <row r="60" spans="1:18">
      <c r="B60" s="202" t="s">
        <v>1299</v>
      </c>
      <c r="C60" s="212" t="str">
        <f>VLOOKUP(B60,'IA FG'!$B$2:$G$600,6,FALSE)</f>
        <v>BOL</v>
      </c>
      <c r="D60" s="214">
        <v>7</v>
      </c>
      <c r="E60" s="215">
        <v>7</v>
      </c>
      <c r="F60" s="215">
        <v>7</v>
      </c>
      <c r="G60" s="215">
        <v>7</v>
      </c>
      <c r="H60" s="215">
        <v>6</v>
      </c>
      <c r="I60" s="215">
        <v>6</v>
      </c>
      <c r="J60" s="162">
        <f>$D60*Pesi!$F$16+Pesi!$F$17*$E60+$F60*Pesi!$F$18+Pesi!$F$19*$G60+$H60*Pesi!$F$20+Pesi!$F$21*$I60+VLOOKUP($C60,TabAlgSqu,2,FALSE)*Pesi!$F$22+Pesi!$F$23*VLOOKUP($C60,TabAlgFC,2,FALSE)+VLOOKUP($C60,TabAlgAll,2,FALSE)*Pesi!$F$24</f>
        <v>78.45089999999999</v>
      </c>
      <c r="K60" s="155">
        <f>IF(ISNA(MATCH($B60,Pesi!$B$31:$B$34,0)),VLOOKUP(Pesi!$B$31,TabAlgAtt,10,FALSE)-((VLOOKUP(Pesi!$B$31,TabAlgAtt,9,FALSE)-$J60)/(VLOOKUP(Pesi!$B$31,TabAlgAtt,9,FALSE)-Pesi!$D$41))*VLOOKUP(Pesi!$B$31,TabAlgAtt,10,FALSE),Pesi!$F$31*Pesi!$C$28)</f>
        <v>2.1011539634662597</v>
      </c>
      <c r="L60" s="163">
        <f>IF(K60&lt;=1,1,K60)</f>
        <v>2.1011539634662597</v>
      </c>
      <c r="M60">
        <f>SUM(D60:I60)</f>
        <v>40</v>
      </c>
      <c r="N60" t="e">
        <f>VLOOKUP(B60,'C.P.'!$A$2:$B$164,2,FALSE)</f>
        <v>#N/A</v>
      </c>
      <c r="O60" t="e">
        <f>VLOOKUP(B60,'C.P.'!$C$2:$D$164,2,FALSE)</f>
        <v>#N/A</v>
      </c>
      <c r="P60" t="e">
        <f>VLOOKUP(B60,'C.P.'!$E$2:$F$164,2,FALSE)</f>
        <v>#N/A</v>
      </c>
      <c r="Q60" t="e">
        <f>VLOOKUP(B60,'C.P.'!$G$2:$H$164,2,FALSE)</f>
        <v>#N/A</v>
      </c>
    </row>
    <row r="61" spans="1:18">
      <c r="A61">
        <f ca="1">COUNTIF('I.A. + Fasce'!B$1:'I.A. + Fasce'!B$538,B57)</f>
        <v>0</v>
      </c>
      <c r="B61" s="202" t="s">
        <v>1796</v>
      </c>
      <c r="C61" s="212" t="str">
        <f>VLOOKUP(B61,'IA FG'!$B$2:$G$600,6,FALSE)</f>
        <v>LAZ</v>
      </c>
      <c r="D61" s="214">
        <v>7</v>
      </c>
      <c r="E61" s="215">
        <v>5</v>
      </c>
      <c r="F61" s="215">
        <v>6</v>
      </c>
      <c r="G61" s="215">
        <v>5</v>
      </c>
      <c r="H61" s="215">
        <v>7</v>
      </c>
      <c r="I61" s="215">
        <v>5</v>
      </c>
      <c r="J61" s="162">
        <f>$D61*Pesi!$F$16+Pesi!$F$17*$E61+$F61*Pesi!$F$18+Pesi!$F$19*$G61+$H61*Pesi!$F$20+Pesi!$F$21*$I61+VLOOKUP($C61,TabAlgSqu,2,FALSE)*Pesi!$F$22+Pesi!$F$23*VLOOKUP($C61,TabAlgFC,2,FALSE)+VLOOKUP($C61,TabAlgAll,2,FALSE)*Pesi!$F$24</f>
        <v>77.819199999999995</v>
      </c>
      <c r="K61" s="155">
        <f>IF(ISNA(MATCH($B61,Pesi!$B$31:$B$34,0)),VLOOKUP(Pesi!$B$31,TabAlgAtt,10,FALSE)-((VLOOKUP(Pesi!$B$31,TabAlgAtt,9,FALSE)-$J61)/(VLOOKUP(Pesi!$B$31,TabAlgAtt,9,FALSE)-Pesi!$D$41))*VLOOKUP(Pesi!$B$31,TabAlgAtt,10,FALSE),Pesi!$F$31*Pesi!$C$28)</f>
        <v>-0.84251194631784188</v>
      </c>
      <c r="L61" s="163">
        <f>IF(K61&lt;=1,1,K61)</f>
        <v>1</v>
      </c>
      <c r="M61">
        <f>SUM(D61:I61)</f>
        <v>35</v>
      </c>
      <c r="N61">
        <f>VLOOKUP(B61,'C.P.'!$A$2:$B$164,2,FALSE)</f>
        <v>-1</v>
      </c>
      <c r="O61" t="e">
        <f>VLOOKUP(B61,'C.P.'!$C$2:$D$164,2,FALSE)</f>
        <v>#N/A</v>
      </c>
      <c r="P61" t="e">
        <f>VLOOKUP(B61,'C.P.'!$E$2:$F$164,2,FALSE)</f>
        <v>#N/A</v>
      </c>
      <c r="Q61" t="e">
        <f>VLOOKUP(B61,'C.P.'!$G$2:$H$164,2,FALSE)</f>
        <v>#N/A</v>
      </c>
    </row>
    <row r="62" spans="1:18">
      <c r="A62">
        <f ca="1">COUNTIF('I.A. + Fasce'!B$1:'I.A. + Fasce'!B$538,B58)</f>
        <v>0</v>
      </c>
      <c r="B62" s="202" t="s">
        <v>480</v>
      </c>
      <c r="C62" s="212" t="str">
        <f>VLOOKUP(B62,'IA FG'!$B$2:$G$600,6,FALSE)</f>
        <v>CHI</v>
      </c>
      <c r="D62" s="214">
        <v>7</v>
      </c>
      <c r="E62" s="215">
        <v>6</v>
      </c>
      <c r="F62" s="215">
        <v>6</v>
      </c>
      <c r="G62" s="215">
        <v>7</v>
      </c>
      <c r="H62" s="215">
        <v>7</v>
      </c>
      <c r="I62" s="215">
        <v>6</v>
      </c>
      <c r="J62" s="162">
        <f>$D62*Pesi!$F$16+Pesi!$F$17*$E62+$F62*Pesi!$F$18+Pesi!$F$19*$G62+$H62*Pesi!$F$20+Pesi!$F$21*$I62+VLOOKUP($C62,TabAlgSqu,2,FALSE)*Pesi!$F$22+Pesi!$F$23*VLOOKUP($C62,TabAlgFC,2,FALSE)+VLOOKUP($C62,TabAlgAll,2,FALSE)*Pesi!$F$24</f>
        <v>77.657200000000003</v>
      </c>
      <c r="K62" s="155">
        <f>IF(ISNA(MATCH($B62,Pesi!$B$31:$B$34,0)),VLOOKUP(Pesi!$B$31,TabAlgAtt,10,FALSE)-((VLOOKUP(Pesi!$B$31,TabAlgAtt,9,FALSE)-$J62)/(VLOOKUP(Pesi!$B$31,TabAlgAtt,9,FALSE)-Pesi!$D$41))*VLOOKUP(Pesi!$B$31,TabAlgAtt,10,FALSE),Pesi!$F$31*Pesi!$C$28)</f>
        <v>-1.5974175619344351</v>
      </c>
      <c r="L62" s="163">
        <f>IF(K62&lt;=1,1,K62)</f>
        <v>1</v>
      </c>
      <c r="M62">
        <f>SUM(D62:I62)</f>
        <v>39</v>
      </c>
      <c r="N62">
        <f>VLOOKUP(B62,'C.P.'!$A$2:$B$164,2,FALSE)</f>
        <v>0</v>
      </c>
      <c r="O62">
        <f>VLOOKUP(B62,'C.P.'!$C$2:$D$164,2,FALSE)</f>
        <v>1</v>
      </c>
      <c r="P62" t="e">
        <f>VLOOKUP(B62,'C.P.'!$E$2:$F$164,2,FALSE)</f>
        <v>#N/A</v>
      </c>
      <c r="Q62" t="e">
        <f>VLOOKUP(B62,'C.P.'!$G$2:$H$164,2,FALSE)</f>
        <v>#N/A</v>
      </c>
    </row>
    <row r="63" spans="1:18">
      <c r="A63">
        <f ca="1">COUNTIF('I.A. + Fasce'!B$1:'I.A. + Fasce'!B$538,B63)</f>
        <v>0</v>
      </c>
      <c r="B63" s="202" t="s">
        <v>1944</v>
      </c>
      <c r="C63" s="212" t="str">
        <f>VLOOKUP(B63,'IA FG'!$B$2:$G$600,6,FALSE)</f>
        <v>GEN</v>
      </c>
      <c r="D63" s="214">
        <v>8</v>
      </c>
      <c r="E63" s="215">
        <v>6</v>
      </c>
      <c r="F63" s="215">
        <v>6</v>
      </c>
      <c r="G63" s="215">
        <v>6</v>
      </c>
      <c r="H63" s="215">
        <v>6</v>
      </c>
      <c r="I63" s="215">
        <v>6</v>
      </c>
      <c r="J63" s="162">
        <f>$D63*Pesi!$F$16+Pesi!$F$17*$E63+$F63*Pesi!$F$18+Pesi!$F$19*$G63+$H63*Pesi!$F$20+Pesi!$F$21*$I63+VLOOKUP($C63,TabAlgSqu,2,FALSE)*Pesi!$F$22+Pesi!$F$23*VLOOKUP($C63,TabAlgFC,2,FALSE)+VLOOKUP($C63,TabAlgAll,2,FALSE)*Pesi!$F$24</f>
        <v>77.27170000000001</v>
      </c>
      <c r="K63" s="155">
        <f>IF(ISNA(MATCH($B63,Pesi!$B$31:$B$34,0)),VLOOKUP(Pesi!$B$31,TabAlgAtt,10,FALSE)-((VLOOKUP(Pesi!$B$31,TabAlgAtt,9,FALSE)-$J63)/(VLOOKUP(Pesi!$B$31,TabAlgAtt,9,FALSE)-Pesi!$D$41))*VLOOKUP(Pesi!$B$31,TabAlgAtt,10,FALSE),Pesi!$F$31*Pesi!$C$28)</f>
        <v>-3.393813332429545</v>
      </c>
      <c r="L63" s="163">
        <f>IF(K63&lt;=1,1,K63)</f>
        <v>1</v>
      </c>
      <c r="M63">
        <f>SUM(D63:I63)</f>
        <v>38</v>
      </c>
      <c r="N63" t="e">
        <f>VLOOKUP(B63,'C.P.'!$A$2:$B$164,2,FALSE)</f>
        <v>#N/A</v>
      </c>
      <c r="O63" t="e">
        <f>VLOOKUP(B63,'C.P.'!$C$2:$D$164,2,FALSE)</f>
        <v>#N/A</v>
      </c>
      <c r="P63" t="e">
        <f>VLOOKUP(B63,'C.P.'!$E$2:$F$164,2,FALSE)</f>
        <v>#N/A</v>
      </c>
      <c r="Q63" t="e">
        <f>VLOOKUP(B63,'C.P.'!$G$2:$H$164,2,FALSE)</f>
        <v>#N/A</v>
      </c>
      <c r="R63" s="420"/>
    </row>
    <row r="64" spans="1:18">
      <c r="A64">
        <f ca="1">COUNTIF('I.A. + Fasce'!B$1:'I.A. + Fasce'!B$538,B61)</f>
        <v>0</v>
      </c>
      <c r="B64" s="202" t="s">
        <v>1788</v>
      </c>
      <c r="C64" s="212" t="str">
        <f>VLOOKUP(B64,'IA FG'!$B$2:$G$600,6,FALSE)</f>
        <v>GEN</v>
      </c>
      <c r="D64" s="214">
        <v>8</v>
      </c>
      <c r="E64" s="215">
        <v>6</v>
      </c>
      <c r="F64" s="215">
        <v>6</v>
      </c>
      <c r="G64" s="215">
        <v>6</v>
      </c>
      <c r="H64" s="215">
        <v>6</v>
      </c>
      <c r="I64" s="215">
        <v>6</v>
      </c>
      <c r="J64" s="162">
        <f>$D64*Pesi!$F$16+Pesi!$F$17*$E64+$F64*Pesi!$F$18+Pesi!$F$19*$G64+$H64*Pesi!$F$20+Pesi!$F$21*$I64+VLOOKUP($C64,TabAlgSqu,2,FALSE)*Pesi!$F$22+Pesi!$F$23*VLOOKUP($C64,TabAlgFC,2,FALSE)+VLOOKUP($C64,TabAlgAll,2,FALSE)*Pesi!$F$24</f>
        <v>77.27170000000001</v>
      </c>
      <c r="K64" s="155">
        <f>IF(ISNA(MATCH($B64,Pesi!$B$31:$B$34,0)),VLOOKUP(Pesi!$B$31,TabAlgAtt,10,FALSE)-((VLOOKUP(Pesi!$B$31,TabAlgAtt,9,FALSE)-$J64)/(VLOOKUP(Pesi!$B$31,TabAlgAtt,9,FALSE)-Pesi!$D$41))*VLOOKUP(Pesi!$B$31,TabAlgAtt,10,FALSE),Pesi!$F$31*Pesi!$C$28)</f>
        <v>-3.393813332429545</v>
      </c>
      <c r="L64" s="163">
        <f>IF(K64&lt;=1,1,K64)</f>
        <v>1</v>
      </c>
      <c r="M64">
        <f>SUM(D64:I64)</f>
        <v>38</v>
      </c>
      <c r="N64" t="e">
        <f>VLOOKUP(B64,'C.P.'!$A$2:$B$164,2,FALSE)</f>
        <v>#N/A</v>
      </c>
      <c r="O64" t="e">
        <f>VLOOKUP(B64,'C.P.'!$C$2:$D$164,2,FALSE)</f>
        <v>#N/A</v>
      </c>
      <c r="P64" t="e">
        <f>VLOOKUP(B64,'C.P.'!$E$2:$F$164,2,FALSE)</f>
        <v>#N/A</v>
      </c>
      <c r="Q64" t="e">
        <f>VLOOKUP(B64,'C.P.'!$G$2:$H$164,2,FALSE)</f>
        <v>#N/A</v>
      </c>
    </row>
    <row r="65" spans="1:18" ht="12.75" customHeight="1">
      <c r="B65" s="442" t="s">
        <v>1332</v>
      </c>
      <c r="C65" s="212" t="str">
        <f>VLOOKUP(B65,'IA FG'!$B$2:$G$600,6,FALSE)</f>
        <v>SAS</v>
      </c>
      <c r="D65" s="214">
        <v>8</v>
      </c>
      <c r="E65" s="215">
        <v>6</v>
      </c>
      <c r="F65" s="215">
        <v>6</v>
      </c>
      <c r="G65" s="215">
        <v>6</v>
      </c>
      <c r="H65" s="215">
        <v>6</v>
      </c>
      <c r="I65" s="215">
        <v>6</v>
      </c>
      <c r="J65" s="162">
        <f>$D65*Pesi!$F$16+Pesi!$F$17*$E65+$F65*Pesi!$F$18+Pesi!$F$19*$G65+$H65*Pesi!$F$20+Pesi!$F$21*$I65+VLOOKUP($C65,TabAlgSqu,2,FALSE)*Pesi!$F$22+Pesi!$F$23*VLOOKUP($C65,TabAlgFC,2,FALSE)+VLOOKUP($C65,TabAlgAll,2,FALSE)*Pesi!$F$24</f>
        <v>77.238200000000006</v>
      </c>
      <c r="K65" s="155">
        <f>IF(ISNA(MATCH($B65,Pesi!$B$31:$B$34,0)),VLOOKUP(Pesi!$B$31,TabAlgAtt,10,FALSE)-((VLOOKUP(Pesi!$B$31,TabAlgAtt,9,FALSE)-$J65)/(VLOOKUP(Pesi!$B$31,TabAlgAtt,9,FALSE)-Pesi!$D$41))*VLOOKUP(Pesi!$B$31,TabAlgAtt,10,FALSE),Pesi!$F$31*Pesi!$C$28)</f>
        <v>-3.5499203578811489</v>
      </c>
      <c r="L65" s="163">
        <f>IF(K65&lt;=1,1,K65)</f>
        <v>1</v>
      </c>
      <c r="M65">
        <f>SUM(D65:I65)</f>
        <v>38</v>
      </c>
      <c r="N65" t="e">
        <f>VLOOKUP(B65,'C.P.'!$A$2:$B$164,2,FALSE)</f>
        <v>#N/A</v>
      </c>
      <c r="O65" t="e">
        <f>VLOOKUP(B65,'C.P.'!$C$2:$D$164,2,FALSE)</f>
        <v>#N/A</v>
      </c>
      <c r="P65" t="e">
        <f>VLOOKUP(B65,'C.P.'!$E$2:$F$164,2,FALSE)</f>
        <v>#N/A</v>
      </c>
      <c r="Q65" t="e">
        <f>VLOOKUP(B65,'C.P.'!$G$2:$H$164,2,FALSE)</f>
        <v>#N/A</v>
      </c>
    </row>
    <row r="66" spans="1:18" ht="12.75" customHeight="1">
      <c r="A66">
        <f ca="1">COUNTIF('I.A. + Fasce'!B$1:'I.A. + Fasce'!B$538,B63)</f>
        <v>0</v>
      </c>
      <c r="B66" s="202" t="s">
        <v>1285</v>
      </c>
      <c r="C66" s="212" t="str">
        <f>VLOOKUP(B66,'IA FG'!$B$2:$G$600,6,FALSE)</f>
        <v>INT</v>
      </c>
      <c r="D66" s="214">
        <v>8</v>
      </c>
      <c r="E66" s="215">
        <v>4</v>
      </c>
      <c r="F66" s="215">
        <v>6</v>
      </c>
      <c r="G66" s="215">
        <v>6</v>
      </c>
      <c r="H66" s="215">
        <v>6</v>
      </c>
      <c r="I66" s="215">
        <v>4</v>
      </c>
      <c r="J66" s="162">
        <f>$D66*Pesi!$F$16+Pesi!$F$17*$E66+$F66*Pesi!$F$18+Pesi!$F$19*$G66+$H66*Pesi!$F$20+Pesi!$F$21*$I66+VLOOKUP($C66,TabAlgSqu,2,FALSE)*Pesi!$F$22+Pesi!$F$23*VLOOKUP($C66,TabAlgFC,2,FALSE)+VLOOKUP($C66,TabAlgAll,2,FALSE)*Pesi!$F$24</f>
        <v>76.80619999999999</v>
      </c>
      <c r="K66" s="155">
        <f>IF(ISNA(MATCH($B66,Pesi!$B$31:$B$34,0)),VLOOKUP(Pesi!$B$31,TabAlgAtt,10,FALSE)-((VLOOKUP(Pesi!$B$31,TabAlgAtt,9,FALSE)-$J66)/(VLOOKUP(Pesi!$B$31,TabAlgAtt,9,FALSE)-Pesi!$D$41))*VLOOKUP(Pesi!$B$31,TabAlgAtt,10,FALSE),Pesi!$F$31*Pesi!$C$28)</f>
        <v>-5.5630019995255964</v>
      </c>
      <c r="L66" s="163">
        <f>IF(K66&lt;=1,1,K66)</f>
        <v>1</v>
      </c>
      <c r="M66">
        <f>SUM(D66:I66)</f>
        <v>34</v>
      </c>
      <c r="N66" t="e">
        <f>VLOOKUP(B66,'C.P.'!$A$2:$B$164,2,FALSE)</f>
        <v>#N/A</v>
      </c>
      <c r="O66" t="e">
        <f>VLOOKUP(B66,'C.P.'!$C$2:$D$164,2,FALSE)</f>
        <v>#N/A</v>
      </c>
      <c r="P66" t="e">
        <f>VLOOKUP(B66,'C.P.'!$E$2:$F$164,2,FALSE)</f>
        <v>#N/A</v>
      </c>
      <c r="Q66" t="e">
        <f>VLOOKUP(B66,'C.P.'!$G$2:$H$164,2,FALSE)</f>
        <v>#N/A</v>
      </c>
    </row>
    <row r="67" spans="1:18" ht="12.75" customHeight="1">
      <c r="A67">
        <f ca="1">COUNTIF('I.A. + Fasce'!B$1:'I.A. + Fasce'!B$538,B63)</f>
        <v>0</v>
      </c>
      <c r="B67" s="202" t="s">
        <v>1287</v>
      </c>
      <c r="C67" s="212" t="str">
        <f>VLOOKUP(B67,'IA FG'!$B$2:$G$600,6,FALSE)</f>
        <v>LAZ</v>
      </c>
      <c r="D67" s="214">
        <v>8</v>
      </c>
      <c r="E67" s="215">
        <v>4</v>
      </c>
      <c r="F67" s="215">
        <v>6</v>
      </c>
      <c r="G67" s="215">
        <v>6</v>
      </c>
      <c r="H67" s="215">
        <v>6</v>
      </c>
      <c r="I67" s="215">
        <v>4</v>
      </c>
      <c r="J67" s="162">
        <f>$D67*Pesi!$F$16+Pesi!$F$17*$E67+$F67*Pesi!$F$18+Pesi!$F$19*$G67+$H67*Pesi!$F$20+Pesi!$F$21*$I67+VLOOKUP($C67,TabAlgSqu,2,FALSE)*Pesi!$F$22+Pesi!$F$23*VLOOKUP($C67,TabAlgFC,2,FALSE)+VLOOKUP($C67,TabAlgAll,2,FALSE)*Pesi!$F$24</f>
        <v>76.144199999999998</v>
      </c>
      <c r="K67" s="155">
        <f>IF(ISNA(MATCH($B67,Pesi!$B$31:$B$34,0)),VLOOKUP(Pesi!$B$31,TabAlgAtt,10,FALSE)-((VLOOKUP(Pesi!$B$31,TabAlgAtt,9,FALSE)-$J67)/(VLOOKUP(Pesi!$B$31,TabAlgAtt,9,FALSE)-Pesi!$D$41))*VLOOKUP(Pesi!$B$31,TabAlgAtt,10,FALSE),Pesi!$F$31*Pesi!$C$28)</f>
        <v>-8.6478632188972142</v>
      </c>
      <c r="L67" s="163">
        <f>IF(K67&lt;=1,1,K67)</f>
        <v>1</v>
      </c>
      <c r="M67">
        <f>SUM(D67:I67)</f>
        <v>34</v>
      </c>
      <c r="N67" t="e">
        <f>VLOOKUP(B67,'C.P.'!$A$2:$B$164,2,FALSE)</f>
        <v>#N/A</v>
      </c>
      <c r="O67" t="e">
        <f>VLOOKUP(B67,'C.P.'!$C$2:$D$164,2,FALSE)</f>
        <v>#N/A</v>
      </c>
      <c r="P67" t="e">
        <f>VLOOKUP(B67,'C.P.'!$E$2:$F$164,2,FALSE)</f>
        <v>#N/A</v>
      </c>
      <c r="Q67" t="e">
        <f>VLOOKUP(B67,'C.P.'!$G$2:$H$164,2,FALSE)</f>
        <v>#N/A</v>
      </c>
    </row>
    <row r="68" spans="1:18">
      <c r="A68">
        <f ca="1">COUNTIF('I.A. + Fasce'!B$1:'I.A. + Fasce'!B$538,B63)</f>
        <v>0</v>
      </c>
      <c r="B68" s="202" t="s">
        <v>1799</v>
      </c>
      <c r="C68" s="212" t="str">
        <f>VLOOKUP(B68,'IA FG'!$B$2:$G$600,6,FALSE)</f>
        <v>LAZ</v>
      </c>
      <c r="D68" s="214">
        <v>8</v>
      </c>
      <c r="E68" s="215">
        <v>4</v>
      </c>
      <c r="F68" s="215">
        <v>6</v>
      </c>
      <c r="G68" s="215">
        <v>5</v>
      </c>
      <c r="H68" s="215">
        <v>7</v>
      </c>
      <c r="I68" s="215">
        <v>4</v>
      </c>
      <c r="J68" s="162">
        <f>$D68*Pesi!$F$16+Pesi!$F$17*$E68+$F68*Pesi!$F$18+Pesi!$F$19*$G68+$H68*Pesi!$F$20+Pesi!$F$21*$I68+VLOOKUP($C68,TabAlgSqu,2,FALSE)*Pesi!$F$22+Pesi!$F$23*VLOOKUP($C68,TabAlgFC,2,FALSE)+VLOOKUP($C68,TabAlgAll,2,FALSE)*Pesi!$F$24</f>
        <v>75.715000000000003</v>
      </c>
      <c r="K68" s="155">
        <f>IF(ISNA(MATCH($B68,Pesi!$B$31:$B$34,0)),VLOOKUP(Pesi!$B$31,TabAlgAtt,10,FALSE)-((VLOOKUP(Pesi!$B$31,TabAlgAtt,9,FALSE)-$J68)/(VLOOKUP(Pesi!$B$31,TabAlgAtt,9,FALSE)-Pesi!$D$41))*VLOOKUP(Pesi!$B$31,TabAlgAtt,10,FALSE),Pesi!$F$31*Pesi!$C$28)</f>
        <v>-10.64789710916051</v>
      </c>
      <c r="L68" s="163">
        <f>IF(K68&lt;=1,1,K68)</f>
        <v>1</v>
      </c>
      <c r="M68">
        <f>SUM(D68:I68)</f>
        <v>34</v>
      </c>
      <c r="N68" t="e">
        <f>VLOOKUP(B68,'C.P.'!$A$2:$B$164,2,FALSE)</f>
        <v>#N/A</v>
      </c>
      <c r="O68" t="e">
        <f>VLOOKUP(B68,'C.P.'!$C$2:$D$164,2,FALSE)</f>
        <v>#N/A</v>
      </c>
      <c r="P68" t="e">
        <f>VLOOKUP(B68,'C.P.'!$E$2:$F$164,2,FALSE)</f>
        <v>#N/A</v>
      </c>
      <c r="Q68" t="e">
        <f>VLOOKUP(B68,'C.P.'!$G$2:$H$164,2,FALSE)</f>
        <v>#N/A</v>
      </c>
    </row>
    <row r="69" spans="1:18">
      <c r="A69">
        <f ca="1">COUNTIF('I.A. + Fasce'!B$1:'I.A. + Fasce'!B$538,B64)</f>
        <v>0</v>
      </c>
      <c r="B69" s="202" t="s">
        <v>1785</v>
      </c>
      <c r="C69" s="212" t="str">
        <f>VLOOKUP(B69,'IA FG'!$B$2:$G$600,6,FALSE)</f>
        <v>VER</v>
      </c>
      <c r="D69" s="214">
        <v>6</v>
      </c>
      <c r="E69" s="215">
        <v>7</v>
      </c>
      <c r="F69" s="215">
        <v>7</v>
      </c>
      <c r="G69" s="215">
        <v>6</v>
      </c>
      <c r="H69" s="215">
        <v>6</v>
      </c>
      <c r="I69" s="215">
        <v>7</v>
      </c>
      <c r="J69" s="162">
        <f>$D69*Pesi!$F$16+Pesi!$F$17*$E69+$F69*Pesi!$F$18+Pesi!$F$19*$G69+$H69*Pesi!$F$20+Pesi!$F$21*$I69+VLOOKUP($C69,TabAlgSqu,2,FALSE)*Pesi!$F$22+Pesi!$F$23*VLOOKUP($C69,TabAlgFC,2,FALSE)+VLOOKUP($C69,TabAlgAll,2,FALSE)*Pesi!$F$24</f>
        <v>75.623100000000008</v>
      </c>
      <c r="K69" s="155">
        <f>IF(ISNA(MATCH($B69,Pesi!$B$31:$B$34,0)),VLOOKUP(Pesi!$B$31,TabAlgAtt,10,FALSE)-((VLOOKUP(Pesi!$B$31,TabAlgAtt,9,FALSE)-$J69)/(VLOOKUP(Pesi!$B$31,TabAlgAtt,9,FALSE)-Pesi!$D$41))*VLOOKUP(Pesi!$B$31,TabAlgAtt,10,FALSE),Pesi!$F$31*Pesi!$C$28)</f>
        <v>-11.076142949130656</v>
      </c>
      <c r="L69" s="163">
        <f>IF(K69&lt;=1,1,K69)</f>
        <v>1</v>
      </c>
      <c r="M69">
        <f>SUM(D69:I69)</f>
        <v>39</v>
      </c>
      <c r="N69">
        <f>VLOOKUP(B69,'C.P.'!$A$2:$B$164,2,FALSE)</f>
        <v>0</v>
      </c>
      <c r="O69">
        <f>VLOOKUP(B69,'C.P.'!$C$2:$D$164,2,FALSE)</f>
        <v>2</v>
      </c>
      <c r="P69" t="e">
        <f>VLOOKUP(B69,'C.P.'!$E$2:$F$164,2,FALSE)</f>
        <v>#N/A</v>
      </c>
      <c r="Q69" t="e">
        <f>VLOOKUP(B69,'C.P.'!$G$2:$H$164,2,FALSE)</f>
        <v>#N/A</v>
      </c>
    </row>
    <row r="70" spans="1:18">
      <c r="A70">
        <f ca="1">COUNTIF('I.A. + Fasce'!B$1:'I.A. + Fasce'!B$538,B66)</f>
        <v>0</v>
      </c>
      <c r="B70" s="202" t="s">
        <v>520</v>
      </c>
      <c r="C70" s="212" t="str">
        <f>VLOOKUP(B70,'IA FG'!$B$2:$G$600,6,FALSE)</f>
        <v>CRO</v>
      </c>
      <c r="D70" s="214">
        <v>7</v>
      </c>
      <c r="E70" s="215">
        <v>8</v>
      </c>
      <c r="F70" s="215">
        <v>6</v>
      </c>
      <c r="G70" s="215">
        <v>6</v>
      </c>
      <c r="H70" s="215">
        <v>6</v>
      </c>
      <c r="I70" s="215">
        <v>6</v>
      </c>
      <c r="J70" s="162">
        <f>$D70*Pesi!$F$16+Pesi!$F$17*$E70+$F70*Pesi!$F$18+Pesi!$F$19*$G70+$H70*Pesi!$F$20+Pesi!$F$21*$I70+VLOOKUP($C70,TabAlgSqu,2,FALSE)*Pesi!$F$22+Pesi!$F$23*VLOOKUP($C70,TabAlgFC,2,FALSE)+VLOOKUP($C70,TabAlgAll,2,FALSE)*Pesi!$F$24</f>
        <v>75.492900000000006</v>
      </c>
      <c r="K70" s="155">
        <f>IF(ISNA(MATCH($B70,Pesi!$B$31:$B$34,0)),VLOOKUP(Pesi!$B$31,TabAlgAtt,10,FALSE)-((VLOOKUP(Pesi!$B$31,TabAlgAtt,9,FALSE)-$J70)/(VLOOKUP(Pesi!$B$31,TabAlgAtt,9,FALSE)-Pesi!$D$41))*VLOOKUP(Pesi!$B$31,TabAlgAtt,10,FALSE),Pesi!$F$31*Pesi!$C$28)</f>
        <v>-11.682863388348494</v>
      </c>
      <c r="L70" s="163">
        <f>IF(K70&lt;=1,1,K70)</f>
        <v>1</v>
      </c>
      <c r="M70">
        <f>SUM(D70:I70)</f>
        <v>39</v>
      </c>
      <c r="N70" t="e">
        <f>VLOOKUP(B70,'C.P.'!$A$2:$B$164,2,FALSE)</f>
        <v>#N/A</v>
      </c>
      <c r="O70">
        <f>VLOOKUP(B70,'C.P.'!$C$2:$D$164,2,FALSE)</f>
        <v>2</v>
      </c>
      <c r="P70" t="e">
        <f>VLOOKUP(B70,'C.P.'!$E$2:$F$164,2,FALSE)</f>
        <v>#N/A</v>
      </c>
      <c r="Q70" t="e">
        <f>VLOOKUP(B70,'C.P.'!$G$2:$H$164,2,FALSE)</f>
        <v>#N/A</v>
      </c>
    </row>
    <row r="71" spans="1:18">
      <c r="A71">
        <f ca="1">COUNTIF('I.A. + Fasce'!B$1:'I.A. + Fasce'!B$538,B66)</f>
        <v>0</v>
      </c>
      <c r="B71" s="202" t="s">
        <v>1794</v>
      </c>
      <c r="C71" s="212" t="str">
        <f>VLOOKUP(B71,'IA FG'!$B$2:$G$600,6,FALSE)</f>
        <v>SAM</v>
      </c>
      <c r="D71" s="214">
        <v>8</v>
      </c>
      <c r="E71" s="215">
        <v>5</v>
      </c>
      <c r="F71" s="215">
        <v>6</v>
      </c>
      <c r="G71" s="215">
        <v>6</v>
      </c>
      <c r="H71" s="215">
        <v>6</v>
      </c>
      <c r="I71" s="215">
        <v>5</v>
      </c>
      <c r="J71" s="162">
        <f>$D71*Pesi!$F$16+Pesi!$F$17*$E71+$F71*Pesi!$F$18+Pesi!$F$19*$G71+$H71*Pesi!$F$20+Pesi!$F$21*$I71+VLOOKUP($C71,TabAlgSqu,2,FALSE)*Pesi!$F$22+Pesi!$F$23*VLOOKUP($C71,TabAlgFC,2,FALSE)+VLOOKUP($C71,TabAlgAll,2,FALSE)*Pesi!$F$24</f>
        <v>75.103700000000003</v>
      </c>
      <c r="K71" s="155">
        <f>IF(ISNA(MATCH($B71,Pesi!$B$31:$B$34,0)),VLOOKUP(Pesi!$B$31,TabAlgAtt,10,FALSE)-((VLOOKUP(Pesi!$B$31,TabAlgAtt,9,FALSE)-$J71)/(VLOOKUP(Pesi!$B$31,TabAlgAtt,9,FALSE)-Pesi!$D$41))*VLOOKUP(Pesi!$B$31,TabAlgAtt,10,FALSE),Pesi!$F$31*Pesi!$C$28)</f>
        <v>-13.496500830311447</v>
      </c>
      <c r="L71" s="163">
        <f>IF(K71&lt;=1,1,K71)</f>
        <v>1</v>
      </c>
      <c r="M71">
        <f>SUM(D71:I71)</f>
        <v>36</v>
      </c>
      <c r="N71" t="e">
        <f>VLOOKUP(B71,'C.P.'!$A$2:$B$164,2,FALSE)</f>
        <v>#N/A</v>
      </c>
      <c r="O71" t="e">
        <f>VLOOKUP(B71,'C.P.'!$C$2:$D$164,2,FALSE)</f>
        <v>#N/A</v>
      </c>
      <c r="P71" t="e">
        <f>VLOOKUP(B71,'C.P.'!$E$2:$F$164,2,FALSE)</f>
        <v>#N/A</v>
      </c>
      <c r="Q71" t="e">
        <f>VLOOKUP(B71,'C.P.'!$G$2:$H$164,2,FALSE)</f>
        <v>#N/A</v>
      </c>
    </row>
    <row r="72" spans="1:18">
      <c r="A72">
        <f ca="1">COUNTIF('I.A. + Fasce'!B$1:'I.A. + Fasce'!B$538,B69)</f>
        <v>0</v>
      </c>
      <c r="B72" s="202" t="s">
        <v>499</v>
      </c>
      <c r="C72" s="212" t="str">
        <f>VLOOKUP(B72,'IA FG'!$B$2:$G$600,6,FALSE)</f>
        <v>TOR</v>
      </c>
      <c r="D72" s="214">
        <v>8</v>
      </c>
      <c r="E72" s="215">
        <v>4</v>
      </c>
      <c r="F72" s="215">
        <v>6</v>
      </c>
      <c r="G72" s="215">
        <v>6</v>
      </c>
      <c r="H72" s="215">
        <v>6</v>
      </c>
      <c r="I72" s="215">
        <v>4</v>
      </c>
      <c r="J72" s="162">
        <f>$D72*Pesi!$F$16+Pesi!$F$17*$E72+$F72*Pesi!$F$18+Pesi!$F$19*$G72+$H72*Pesi!$F$20+Pesi!$F$21*$I72+VLOOKUP($C72,TabAlgSqu,2,FALSE)*Pesi!$F$22+Pesi!$F$23*VLOOKUP($C72,TabAlgFC,2,FALSE)+VLOOKUP($C72,TabAlgAll,2,FALSE)*Pesi!$F$24</f>
        <v>74.862200000000016</v>
      </c>
      <c r="K72" s="155">
        <f>IF(ISNA(MATCH($B72,Pesi!$B$31:$B$34,0)),VLOOKUP(Pesi!$B$31,TabAlgAtt,10,FALSE)-((VLOOKUP(Pesi!$B$31,TabAlgAtt,9,FALSE)-$J72)/(VLOOKUP(Pesi!$B$31,TabAlgAtt,9,FALSE)-Pesi!$D$41))*VLOOKUP(Pesi!$B$31,TabAlgAtt,10,FALSE),Pesi!$F$31*Pesi!$C$28)</f>
        <v>-14.621869386925084</v>
      </c>
      <c r="L72" s="163">
        <f>IF(K72&lt;=1,1,K72)</f>
        <v>1</v>
      </c>
      <c r="M72">
        <f>SUM(D72:I72)</f>
        <v>34</v>
      </c>
      <c r="N72" t="e">
        <f>VLOOKUP(B72,'C.P.'!$A$2:$B$164,2,FALSE)</f>
        <v>#N/A</v>
      </c>
      <c r="O72" t="e">
        <f>VLOOKUP(B72,'C.P.'!$C$2:$D$164,2,FALSE)</f>
        <v>#N/A</v>
      </c>
      <c r="P72" t="e">
        <f>VLOOKUP(B72,'C.P.'!$E$2:$F$164,2,FALSE)</f>
        <v>#N/A</v>
      </c>
      <c r="Q72" t="e">
        <f>VLOOKUP(B72,'C.P.'!$G$2:$H$164,2,FALSE)</f>
        <v>#N/A</v>
      </c>
    </row>
    <row r="73" spans="1:18">
      <c r="A73">
        <f ca="1">COUNTIF('I.A. + Fasce'!B$1:'I.A. + Fasce'!B$538,#REF!)</f>
        <v>0</v>
      </c>
      <c r="B73" s="202" t="s">
        <v>445</v>
      </c>
      <c r="C73" s="212" t="str">
        <f>VLOOKUP(B73,'IA FG'!$B$2:$G$600,6,FALSE)</f>
        <v>UDI</v>
      </c>
      <c r="D73" s="214">
        <v>7</v>
      </c>
      <c r="E73" s="215">
        <v>5</v>
      </c>
      <c r="F73" s="215">
        <v>5</v>
      </c>
      <c r="G73" s="215">
        <v>6</v>
      </c>
      <c r="H73" s="215">
        <v>7</v>
      </c>
      <c r="I73" s="215">
        <v>6</v>
      </c>
      <c r="J73" s="162">
        <f>$D73*Pesi!$F$16+Pesi!$F$17*$E73+$F73*Pesi!$F$18+Pesi!$F$19*$G73+$H73*Pesi!$F$20+Pesi!$F$21*$I73+VLOOKUP($C73,TabAlgSqu,2,FALSE)*Pesi!$F$22+Pesi!$F$23*VLOOKUP($C73,TabAlgFC,2,FALSE)+VLOOKUP($C73,TabAlgAll,2,FALSE)*Pesi!$F$24</f>
        <v>74.218199999999996</v>
      </c>
      <c r="K73" s="155">
        <f>IF(ISNA(MATCH($B73,Pesi!$B$31:$B$34,0)),VLOOKUP(Pesi!$B$31,TabAlgAtt,10,FALSE)-((VLOOKUP(Pesi!$B$31,TabAlgAtt,9,FALSE)-$J73)/(VLOOKUP(Pesi!$B$31,TabAlgAtt,9,FALSE)-Pesi!$D$41))*VLOOKUP(Pesi!$B$31,TabAlgAtt,10,FALSE),Pesi!$F$31*Pesi!$C$28)</f>
        <v>-17.622852204561667</v>
      </c>
      <c r="L73" s="163">
        <f>IF(K73&lt;=1,1,K73)</f>
        <v>1</v>
      </c>
      <c r="M73">
        <f>SUM(D73:I73)</f>
        <v>36</v>
      </c>
      <c r="N73" t="e">
        <f>VLOOKUP(B73,'C.P.'!$A$2:$B$164,2,FALSE)</f>
        <v>#N/A</v>
      </c>
      <c r="O73">
        <f>VLOOKUP(B73,'C.P.'!$C$2:$D$164,2,FALSE)</f>
        <v>2</v>
      </c>
      <c r="P73" t="e">
        <f>VLOOKUP(B73,'C.P.'!$E$2:$F$164,2,FALSE)</f>
        <v>#N/A</v>
      </c>
      <c r="Q73" t="e">
        <f>VLOOKUP(B73,'C.P.'!$G$2:$H$164,2,FALSE)</f>
        <v>#N/A</v>
      </c>
    </row>
    <row r="74" spans="1:18">
      <c r="A74">
        <f ca="1">COUNTIF('I.A. + Fasce'!B$1:'I.A. + Fasce'!B$538,#REF!)</f>
        <v>0</v>
      </c>
      <c r="B74" s="202" t="s">
        <v>347</v>
      </c>
      <c r="C74" s="212" t="str">
        <f>VLOOKUP(B74,'IA FG'!$B$2:$G$600,6,FALSE)</f>
        <v>LAZ</v>
      </c>
      <c r="D74" s="214">
        <v>7</v>
      </c>
      <c r="E74" s="215">
        <v>4</v>
      </c>
      <c r="F74" s="215">
        <v>6</v>
      </c>
      <c r="G74" s="215">
        <v>5</v>
      </c>
      <c r="H74" s="215">
        <v>7</v>
      </c>
      <c r="I74" s="215">
        <v>4</v>
      </c>
      <c r="J74" s="162">
        <f>$D74*Pesi!$F$16+Pesi!$F$17*$E74+$F74*Pesi!$F$18+Pesi!$F$19*$G74+$H74*Pesi!$F$20+Pesi!$F$21*$I74+VLOOKUP($C74,TabAlgSqu,2,FALSE)*Pesi!$F$22+Pesi!$F$23*VLOOKUP($C74,TabAlgFC,2,FALSE)+VLOOKUP($C74,TabAlgAll,2,FALSE)*Pesi!$F$24</f>
        <v>74.181700000000006</v>
      </c>
      <c r="K74" s="155">
        <f>IF(ISNA(MATCH($B74,Pesi!$B$31:$B$34,0)),VLOOKUP(Pesi!$B$31,TabAlgAtt,10,FALSE)-((VLOOKUP(Pesi!$B$31,TabAlgAtt,9,FALSE)-$J74)/(VLOOKUP(Pesi!$B$31,TabAlgAtt,9,FALSE)-Pesi!$D$41))*VLOOKUP(Pesi!$B$31,TabAlgAtt,10,FALSE),Pesi!$F$31*Pesi!$C$28)</f>
        <v>-17.79293896363572</v>
      </c>
      <c r="L74" s="163">
        <f>IF(K74&lt;=1,1,K74)</f>
        <v>1</v>
      </c>
      <c r="M74">
        <f>SUM(D74:I74)</f>
        <v>33</v>
      </c>
      <c r="N74" t="e">
        <f>VLOOKUP(B74,'C.P.'!$A$2:$B$164,2,FALSE)</f>
        <v>#N/A</v>
      </c>
      <c r="O74" t="e">
        <f>VLOOKUP(B74,'C.P.'!$C$2:$D$164,2,FALSE)</f>
        <v>#N/A</v>
      </c>
      <c r="P74" t="e">
        <f>VLOOKUP(B74,'C.P.'!$E$2:$F$164,2,FALSE)</f>
        <v>#N/A</v>
      </c>
      <c r="Q74" t="e">
        <f>VLOOKUP(B74,'C.P.'!$G$2:$H$164,2,FALSE)</f>
        <v>#N/A</v>
      </c>
    </row>
    <row r="75" spans="1:18">
      <c r="A75">
        <f ca="1">COUNTIF('I.A. + Fasce'!B$1:'I.A. + Fasce'!B$538,B71)</f>
        <v>0</v>
      </c>
      <c r="B75" s="202" t="s">
        <v>1791</v>
      </c>
      <c r="C75" s="212" t="str">
        <f>VLOOKUP(B75,'IA FG'!$B$2:$G$600,6,FALSE)</f>
        <v>VER</v>
      </c>
      <c r="D75" s="214">
        <v>8</v>
      </c>
      <c r="E75" s="215">
        <v>6</v>
      </c>
      <c r="F75" s="215">
        <v>6</v>
      </c>
      <c r="G75" s="215">
        <v>7</v>
      </c>
      <c r="H75" s="215">
        <v>6</v>
      </c>
      <c r="I75" s="215">
        <v>5</v>
      </c>
      <c r="J75" s="162">
        <f>$D75*Pesi!$F$16+Pesi!$F$17*$E75+$F75*Pesi!$F$18+Pesi!$F$19*$G75+$H75*Pesi!$F$20+Pesi!$F$21*$I75+VLOOKUP($C75,TabAlgSqu,2,FALSE)*Pesi!$F$22+Pesi!$F$23*VLOOKUP($C75,TabAlgFC,2,FALSE)+VLOOKUP($C75,TabAlgAll,2,FALSE)*Pesi!$F$24</f>
        <v>73.814700000000002</v>
      </c>
      <c r="K75" s="155">
        <f>IF(ISNA(MATCH($B75,Pesi!$B$31:$B$34,0)),VLOOKUP(Pesi!$B$31,TabAlgAtt,10,FALSE)-((VLOOKUP(Pesi!$B$31,TabAlgAtt,9,FALSE)-$J75)/(VLOOKUP(Pesi!$B$31,TabAlgAtt,9,FALSE)-Pesi!$D$41))*VLOOKUP(Pesi!$B$31,TabAlgAtt,10,FALSE),Pesi!$F$31*Pesi!$C$28)</f>
        <v>-19.503126376791926</v>
      </c>
      <c r="L75" s="163">
        <f>IF(K75&lt;=1,1,K75)</f>
        <v>1</v>
      </c>
      <c r="M75">
        <f>SUM(D75:I75)</f>
        <v>38</v>
      </c>
      <c r="N75" t="e">
        <f>VLOOKUP(B75,'C.P.'!$A$2:$B$164,2,FALSE)</f>
        <v>#N/A</v>
      </c>
      <c r="O75" t="e">
        <f>VLOOKUP(B75,'C.P.'!$C$2:$D$164,2,FALSE)</f>
        <v>#N/A</v>
      </c>
      <c r="P75" t="e">
        <f>VLOOKUP(B75,'C.P.'!$E$2:$F$164,2,FALSE)</f>
        <v>#N/A</v>
      </c>
      <c r="Q75" t="e">
        <f>VLOOKUP(B75,'C.P.'!$G$2:$H$164,2,FALSE)</f>
        <v>#N/A</v>
      </c>
    </row>
    <row r="76" spans="1:18" ht="12.75" customHeight="1">
      <c r="A76">
        <f ca="1">COUNTIF('I.A. + Fasce'!B$1:'I.A. + Fasce'!B$538,B73)</f>
        <v>0</v>
      </c>
      <c r="B76" s="202" t="s">
        <v>1341</v>
      </c>
      <c r="C76" s="212" t="str">
        <f>VLOOKUP(B76,'IA FG'!$B$2:$G$600,6,FALSE)</f>
        <v>BEN</v>
      </c>
      <c r="D76" s="214">
        <v>8</v>
      </c>
      <c r="E76" s="215">
        <v>8</v>
      </c>
      <c r="F76" s="215">
        <v>7</v>
      </c>
      <c r="G76" s="215">
        <v>7</v>
      </c>
      <c r="H76" s="215">
        <v>6</v>
      </c>
      <c r="I76" s="215">
        <v>7</v>
      </c>
      <c r="J76" s="162">
        <f>$D76*Pesi!$F$16+Pesi!$F$17*$E76+$F76*Pesi!$F$18+Pesi!$F$19*$G76+$H76*Pesi!$F$20+Pesi!$F$21*$I76+VLOOKUP($C76,TabAlgSqu,2,FALSE)*Pesi!$F$22+Pesi!$F$23*VLOOKUP($C76,TabAlgFC,2,FALSE)+VLOOKUP($C76,TabAlgAll,2,FALSE)*Pesi!$F$24</f>
        <v>73.109699999999989</v>
      </c>
      <c r="K76" s="155">
        <f>IF(ISNA(MATCH($B76,Pesi!$B$31:$B$34,0)),VLOOKUP(Pesi!$B$31,TabAlgAtt,10,FALSE)-((VLOOKUP(Pesi!$B$31,TabAlgAtt,9,FALSE)-$J76)/(VLOOKUP(Pesi!$B$31,TabAlgAtt,9,FALSE)-Pesi!$D$41))*VLOOKUP(Pesi!$B$31,TabAlgAtt,10,FALSE),Pesi!$F$31*Pesi!$C$28)</f>
        <v>-22.788363778086591</v>
      </c>
      <c r="L76" s="163">
        <f>IF(K76&lt;=1,1,K76)</f>
        <v>1</v>
      </c>
      <c r="M76">
        <f>SUM(D76:I76)</f>
        <v>43</v>
      </c>
      <c r="N76">
        <f>VLOOKUP(B76,'C.P.'!$A$2:$B$164,2,FALSE)</f>
        <v>1</v>
      </c>
      <c r="O76">
        <f>VLOOKUP(B76,'C.P.'!$C$2:$D$164,2,FALSE)</f>
        <v>1</v>
      </c>
      <c r="P76" t="e">
        <f>VLOOKUP(B76,'C.P.'!$E$2:$F$164,2,FALSE)</f>
        <v>#N/A</v>
      </c>
      <c r="Q76" t="e">
        <f>VLOOKUP(B76,'C.P.'!$G$2:$H$164,2,FALSE)</f>
        <v>#N/A</v>
      </c>
    </row>
    <row r="77" spans="1:18">
      <c r="B77" s="202" t="s">
        <v>1929</v>
      </c>
      <c r="C77" s="212" t="str">
        <f>VLOOKUP(B77,'IA FG'!$B$2:$G$600,6,FALSE)</f>
        <v>TOR</v>
      </c>
      <c r="D77" s="214">
        <v>8</v>
      </c>
      <c r="E77" s="215">
        <v>4</v>
      </c>
      <c r="F77" s="215">
        <v>6</v>
      </c>
      <c r="G77" s="215">
        <v>5</v>
      </c>
      <c r="H77" s="215">
        <v>6</v>
      </c>
      <c r="I77" s="215">
        <v>4</v>
      </c>
      <c r="J77" s="162">
        <f>$D77*Pesi!$F$16+Pesi!$F$17*$E77+$F77*Pesi!$F$18+Pesi!$F$19*$G77+$H77*Pesi!$F$20+Pesi!$F$21*$I77+VLOOKUP($C77,TabAlgSqu,2,FALSE)*Pesi!$F$22+Pesi!$F$23*VLOOKUP($C77,TabAlgFC,2,FALSE)+VLOOKUP($C77,TabAlgAll,2,FALSE)*Pesi!$F$24</f>
        <v>73.099700000000013</v>
      </c>
      <c r="K77" s="155">
        <f>IF(ISNA(MATCH($B77,Pesi!$B$31:$B$34,0)),VLOOKUP(Pesi!$B$31,TabAlgAtt,10,FALSE)-((VLOOKUP(Pesi!$B$31,TabAlgAtt,9,FALSE)-$J77)/(VLOOKUP(Pesi!$B$31,TabAlgAtt,9,FALSE)-Pesi!$D$41))*VLOOKUP(Pesi!$B$31,TabAlgAtt,10,FALSE),Pesi!$F$31*Pesi!$C$28)</f>
        <v>-22.834962890161592</v>
      </c>
      <c r="L77" s="163">
        <f>IF(K77&lt;=1,1,K77)</f>
        <v>1</v>
      </c>
      <c r="M77">
        <f>SUM(D77:I77)</f>
        <v>33</v>
      </c>
      <c r="N77" t="e">
        <f>VLOOKUP(B77,'C.P.'!$A$2:$B$164,2,FALSE)</f>
        <v>#N/A</v>
      </c>
      <c r="O77" t="e">
        <f>VLOOKUP(B77,'C.P.'!$C$2:$D$164,2,FALSE)</f>
        <v>#N/A</v>
      </c>
      <c r="P77" t="e">
        <f>VLOOKUP(B77,'C.P.'!$E$2:$F$164,2,FALSE)</f>
        <v>#N/A</v>
      </c>
      <c r="Q77" t="e">
        <f>VLOOKUP(B77,'C.P.'!$G$2:$H$164,2,FALSE)</f>
        <v>#N/A</v>
      </c>
    </row>
    <row r="78" spans="1:18">
      <c r="B78" s="202" t="s">
        <v>471</v>
      </c>
      <c r="C78" s="212" t="str">
        <f>VLOOKUP(B78,'IA FG'!$B$2:$G$600,6,FALSE)</f>
        <v>GEN</v>
      </c>
      <c r="D78" s="214">
        <v>7</v>
      </c>
      <c r="E78" s="215">
        <v>6</v>
      </c>
      <c r="F78" s="215">
        <v>6</v>
      </c>
      <c r="G78" s="215">
        <v>5</v>
      </c>
      <c r="H78" s="215">
        <v>6</v>
      </c>
      <c r="I78" s="215">
        <v>5</v>
      </c>
      <c r="J78" s="162">
        <f>$D78*Pesi!$F$16+Pesi!$F$17*$E78+$F78*Pesi!$F$18+Pesi!$F$19*$G78+$H78*Pesi!$F$20+Pesi!$F$21*$I78+VLOOKUP($C78,TabAlgSqu,2,FALSE)*Pesi!$F$22+Pesi!$F$23*VLOOKUP($C78,TabAlgFC,2,FALSE)+VLOOKUP($C78,TabAlgAll,2,FALSE)*Pesi!$F$24</f>
        <v>72.175900000000013</v>
      </c>
      <c r="K78" s="155">
        <f>IF(ISNA(MATCH($B78,Pesi!$B$31:$B$34,0)),VLOOKUP(Pesi!$B$31,TabAlgAtt,10,FALSE)-((VLOOKUP(Pesi!$B$31,TabAlgAtt,9,FALSE)-$J78)/(VLOOKUP(Pesi!$B$31,TabAlgAtt,9,FALSE)-Pesi!$D$41))*VLOOKUP(Pesi!$B$31,TabAlgAtt,10,FALSE),Pesi!$F$31*Pesi!$C$28)</f>
        <v>-27.139788863659419</v>
      </c>
      <c r="L78" s="163">
        <f>IF(K78&lt;=1,1,K78)</f>
        <v>1</v>
      </c>
      <c r="M78">
        <f>SUM(D78:I78)</f>
        <v>35</v>
      </c>
      <c r="N78">
        <f>VLOOKUP(B78,'C.P.'!$A$2:$B$164,2,FALSE)</f>
        <v>-1</v>
      </c>
      <c r="O78" t="e">
        <f>VLOOKUP(B78,'C.P.'!$C$2:$D$164,2,FALSE)</f>
        <v>#N/A</v>
      </c>
      <c r="P78" t="e">
        <f>VLOOKUP(B78,'C.P.'!$E$2:$F$164,2,FALSE)</f>
        <v>#N/A</v>
      </c>
      <c r="Q78" t="e">
        <f>VLOOKUP(B78,'C.P.'!$G$2:$H$164,2,FALSE)</f>
        <v>#N/A</v>
      </c>
    </row>
    <row r="79" spans="1:18">
      <c r="A79">
        <f ca="1">COUNTIF('I.A. + Fasce'!B$1:'I.A. + Fasce'!B$538,B79)</f>
        <v>0</v>
      </c>
      <c r="B79" s="202" t="s">
        <v>1989</v>
      </c>
      <c r="C79" s="212" t="str">
        <f>VLOOKUP(B79,'IA FG'!$B$2:$G$600,6,FALSE)</f>
        <v>FIO</v>
      </c>
      <c r="D79" s="214">
        <v>8</v>
      </c>
      <c r="E79" s="215">
        <v>4</v>
      </c>
      <c r="F79" s="215">
        <v>6</v>
      </c>
      <c r="G79" s="215">
        <v>6</v>
      </c>
      <c r="H79" s="215">
        <v>6</v>
      </c>
      <c r="I79" s="215">
        <v>4</v>
      </c>
      <c r="J79" s="162">
        <f>$D79*Pesi!$F$16+Pesi!$F$17*$E79+$F79*Pesi!$F$18+Pesi!$F$19*$G79+$H79*Pesi!$F$20+Pesi!$F$21*$I79+VLOOKUP($C79,TabAlgSqu,2,FALSE)*Pesi!$F$22+Pesi!$F$23*VLOOKUP($C79,TabAlgFC,2,FALSE)+VLOOKUP($C79,TabAlgAll,2,FALSE)*Pesi!$F$24</f>
        <v>71.723700000000008</v>
      </c>
      <c r="K79" s="155">
        <f>IF(ISNA(MATCH($B79,Pesi!$B$31:$B$34,0)),VLOOKUP(Pesi!$B$31,TabAlgAtt,10,FALSE)-((VLOOKUP(Pesi!$B$31,TabAlgAtt,9,FALSE)-$J79)/(VLOOKUP(Pesi!$B$31,TabAlgAtt,9,FALSE)-Pesi!$D$41))*VLOOKUP(Pesi!$B$31,TabAlgAtt,10,FALSE),Pesi!$F$31*Pesi!$C$28)</f>
        <v>-29.247000711695506</v>
      </c>
      <c r="L79" s="163">
        <f>IF(K79&lt;=1,1,K79)</f>
        <v>1</v>
      </c>
      <c r="M79">
        <f>SUM(D79:I79)</f>
        <v>34</v>
      </c>
      <c r="N79" t="e">
        <f>VLOOKUP(B79,'C.P.'!$A$2:$B$164,2,FALSE)</f>
        <v>#N/A</v>
      </c>
      <c r="O79" t="e">
        <f>VLOOKUP(B79,'C.P.'!$C$2:$D$164,2,FALSE)</f>
        <v>#N/A</v>
      </c>
      <c r="P79" t="e">
        <f>VLOOKUP(B79,'C.P.'!$E$2:$F$164,2,FALSE)</f>
        <v>#N/A</v>
      </c>
      <c r="Q79" t="e">
        <f>VLOOKUP(B79,'C.P.'!$G$2:$H$164,2,FALSE)</f>
        <v>#N/A</v>
      </c>
      <c r="R79" s="420"/>
    </row>
    <row r="80" spans="1:18">
      <c r="A80">
        <f ca="1">COUNTIF('I.A. + Fasce'!B$1:'I.A. + Fasce'!B$538,B79)</f>
        <v>0</v>
      </c>
      <c r="B80" s="202" t="s">
        <v>319</v>
      </c>
      <c r="C80" s="212" t="str">
        <f>VLOOKUP(B80,'IA FG'!$B$2:$G$600,6,FALSE)</f>
        <v>SPA</v>
      </c>
      <c r="D80" s="214">
        <v>7</v>
      </c>
      <c r="E80" s="215">
        <v>7</v>
      </c>
      <c r="F80" s="215">
        <v>6</v>
      </c>
      <c r="G80" s="215">
        <v>7</v>
      </c>
      <c r="H80" s="215">
        <v>6</v>
      </c>
      <c r="I80" s="215">
        <v>8</v>
      </c>
      <c r="J80" s="162">
        <f>$D80*Pesi!$F$16+Pesi!$F$17*$E80+$F80*Pesi!$F$18+Pesi!$F$19*$G80+$H80*Pesi!$F$20+Pesi!$F$21*$I80+VLOOKUP($C80,TabAlgSqu,2,FALSE)*Pesi!$F$22+Pesi!$F$23*VLOOKUP($C80,TabAlgFC,2,FALSE)+VLOOKUP($C80,TabAlgAll,2,FALSE)*Pesi!$F$24</f>
        <v>71.222399999999993</v>
      </c>
      <c r="K80" s="155">
        <f>IF(ISNA(MATCH($B80,Pesi!$B$31:$B$34,0)),VLOOKUP(Pesi!$B$31,TabAlgAtt,10,FALSE)-((VLOOKUP(Pesi!$B$31,TabAlgAtt,9,FALSE)-$J80)/(VLOOKUP(Pesi!$B$31,TabAlgAtt,9,FALSE)-Pesi!$D$41))*VLOOKUP(Pesi!$B$31,TabAlgAtt,10,FALSE),Pesi!$F$31*Pesi!$C$28)</f>
        <v>-31.583014200020386</v>
      </c>
      <c r="L80" s="163">
        <f>IF(K80&lt;=1,1,K80)</f>
        <v>1</v>
      </c>
      <c r="M80">
        <f>SUM(D80:I80)</f>
        <v>41</v>
      </c>
      <c r="N80">
        <f>VLOOKUP(B80,'C.P.'!$A$2:$B$164,2,FALSE)</f>
        <v>1</v>
      </c>
      <c r="O80">
        <f>VLOOKUP(B80,'C.P.'!$C$2:$D$164,2,FALSE)</f>
        <v>1</v>
      </c>
      <c r="P80">
        <f>VLOOKUP(B80,'C.P.'!$E$2:$F$164,2,FALSE)</f>
        <v>2</v>
      </c>
      <c r="Q80" t="e">
        <f>VLOOKUP(B80,'C.P.'!$G$2:$H$164,2,FALSE)</f>
        <v>#N/A</v>
      </c>
    </row>
    <row r="81" spans="1:18">
      <c r="A81">
        <f ca="1">COUNTIF('I.A. + Fasce'!B$1:'I.A. + Fasce'!B$538,#REF!)</f>
        <v>0</v>
      </c>
      <c r="B81" s="202" t="s">
        <v>1793</v>
      </c>
      <c r="C81" s="212" t="str">
        <f>VLOOKUP(B81,'IA FG'!$B$2:$G$600,6,FALSE)</f>
        <v>VER</v>
      </c>
      <c r="D81" s="214">
        <v>7</v>
      </c>
      <c r="E81" s="215">
        <v>6</v>
      </c>
      <c r="F81" s="215">
        <v>5</v>
      </c>
      <c r="G81" s="215">
        <v>6</v>
      </c>
      <c r="H81" s="215">
        <v>6</v>
      </c>
      <c r="I81" s="215">
        <v>6</v>
      </c>
      <c r="J81" s="162">
        <f>$D81*Pesi!$F$16+Pesi!$F$17*$E81+$F81*Pesi!$F$18+Pesi!$F$19*$G81+$H81*Pesi!$F$20+Pesi!$F$21*$I81+VLOOKUP($C81,TabAlgSqu,2,FALSE)*Pesi!$F$22+Pesi!$F$23*VLOOKUP($C81,TabAlgFC,2,FALSE)+VLOOKUP($C81,TabAlgAll,2,FALSE)*Pesi!$F$24</f>
        <v>71.118900000000011</v>
      </c>
      <c r="K81" s="155">
        <f>IF(ISNA(MATCH($B81,Pesi!$B$31:$B$34,0)),VLOOKUP(Pesi!$B$31,TabAlgAtt,10,FALSE)-((VLOOKUP(Pesi!$B$31,TabAlgAtt,9,FALSE)-$J81)/(VLOOKUP(Pesi!$B$31,TabAlgAtt,9,FALSE)-Pesi!$D$41))*VLOOKUP(Pesi!$B$31,TabAlgAtt,10,FALSE),Pesi!$F$31*Pesi!$C$28)</f>
        <v>-32.06531500999759</v>
      </c>
      <c r="L81" s="163">
        <f>IF(K81&lt;=1,1,K81)</f>
        <v>1</v>
      </c>
      <c r="M81">
        <f>SUM(D81:I81)</f>
        <v>36</v>
      </c>
      <c r="N81">
        <f>VLOOKUP(B81,'C.P.'!$A$2:$B$164,2,FALSE)</f>
        <v>0</v>
      </c>
      <c r="O81" t="e">
        <f>VLOOKUP(B81,'C.P.'!$C$2:$D$164,2,FALSE)</f>
        <v>#N/A</v>
      </c>
      <c r="P81">
        <f>VLOOKUP(B81,'C.P.'!$E$2:$F$164,2,FALSE)</f>
        <v>2</v>
      </c>
      <c r="Q81" t="e">
        <f>VLOOKUP(B81,'C.P.'!$G$2:$H$164,2,FALSE)</f>
        <v>#N/A</v>
      </c>
      <c r="R81" s="420"/>
    </row>
    <row r="82" spans="1:18">
      <c r="A82">
        <f ca="1">COUNTIF('I.A. + Fasce'!B$1:'I.A. + Fasce'!B$538,B80)</f>
        <v>0</v>
      </c>
      <c r="B82" s="202" t="s">
        <v>438</v>
      </c>
      <c r="C82" s="212" t="str">
        <f>VLOOKUP(B82,'IA FG'!$B$2:$G$600,6,FALSE)</f>
        <v>UDI</v>
      </c>
      <c r="D82" s="214">
        <v>8</v>
      </c>
      <c r="E82" s="215">
        <v>5</v>
      </c>
      <c r="F82" s="215">
        <v>5</v>
      </c>
      <c r="G82" s="215">
        <v>4</v>
      </c>
      <c r="H82" s="215">
        <v>7</v>
      </c>
      <c r="I82" s="215">
        <v>5</v>
      </c>
      <c r="J82" s="162">
        <f>$D82*Pesi!$F$16+Pesi!$F$17*$E82+$F82*Pesi!$F$18+Pesi!$F$19*$G82+$H82*Pesi!$F$20+Pesi!$F$21*$I82+VLOOKUP($C82,TabAlgSqu,2,FALSE)*Pesi!$F$22+Pesi!$F$23*VLOOKUP($C82,TabAlgFC,2,FALSE)+VLOOKUP($C82,TabAlgAll,2,FALSE)*Pesi!$F$24</f>
        <v>70.426500000000004</v>
      </c>
      <c r="K82" s="155">
        <f>IF(ISNA(MATCH($B82,Pesi!$B$31:$B$34,0)),VLOOKUP(Pesi!$B$31,TabAlgAtt,10,FALSE)-((VLOOKUP(Pesi!$B$31,TabAlgAtt,9,FALSE)-$J82)/(VLOOKUP(Pesi!$B$31,TabAlgAtt,9,FALSE)-Pesi!$D$41))*VLOOKUP(Pesi!$B$31,TabAlgAtt,10,FALSE),Pesi!$F$31*Pesi!$C$28)</f>
        <v>-35.291837530077572</v>
      </c>
      <c r="L82" s="163">
        <f>IF(K82&lt;=1,1,K82)</f>
        <v>1</v>
      </c>
      <c r="M82">
        <f>SUM(D82:I82)</f>
        <v>34</v>
      </c>
      <c r="N82" t="e">
        <f>VLOOKUP(B82,'C.P.'!$A$2:$B$164,2,FALSE)</f>
        <v>#N/A</v>
      </c>
      <c r="O82" t="e">
        <f>VLOOKUP(B82,'C.P.'!$C$2:$D$164,2,FALSE)</f>
        <v>#N/A</v>
      </c>
      <c r="P82" t="e">
        <f>VLOOKUP(B82,'C.P.'!$E$2:$F$164,2,FALSE)</f>
        <v>#N/A</v>
      </c>
      <c r="Q82" t="e">
        <f>VLOOKUP(B82,'C.P.'!$G$2:$H$164,2,FALSE)</f>
        <v>#N/A</v>
      </c>
    </row>
    <row r="83" spans="1:18">
      <c r="B83" s="202" t="s">
        <v>1798</v>
      </c>
      <c r="C83" s="212" t="str">
        <f>VLOOKUP(B83,'IA FG'!$B$2:$G$600,6,FALSE)</f>
        <v>BOL</v>
      </c>
      <c r="D83" s="214">
        <v>8</v>
      </c>
      <c r="E83" s="215">
        <v>5</v>
      </c>
      <c r="F83" s="215">
        <v>6</v>
      </c>
      <c r="G83" s="215">
        <v>6</v>
      </c>
      <c r="H83" s="215">
        <v>5</v>
      </c>
      <c r="I83" s="215">
        <v>5</v>
      </c>
      <c r="J83" s="162">
        <f>$D83*Pesi!$F$16+Pesi!$F$17*$E83+$F83*Pesi!$F$18+Pesi!$F$19*$G83+$H83*Pesi!$F$20+Pesi!$F$21*$I83+VLOOKUP($C83,TabAlgSqu,2,FALSE)*Pesi!$F$22+Pesi!$F$23*VLOOKUP($C83,TabAlgFC,2,FALSE)+VLOOKUP($C83,TabAlgAll,2,FALSE)*Pesi!$F$24</f>
        <v>70.213400000000007</v>
      </c>
      <c r="K83" s="155">
        <f>IF(ISNA(MATCH($B83,Pesi!$B$31:$B$34,0)),VLOOKUP(Pesi!$B$31,TabAlgAtt,10,FALSE)-((VLOOKUP(Pesi!$B$31,TabAlgAtt,9,FALSE)-$J83)/(VLOOKUP(Pesi!$B$31,TabAlgAtt,9,FALSE)-Pesi!$D$41))*VLOOKUP(Pesi!$B$31,TabAlgAtt,10,FALSE),Pesi!$F$31*Pesi!$C$28)</f>
        <v>-36.284864608397953</v>
      </c>
      <c r="L83" s="163">
        <f>IF(K83&lt;=1,1,K83)</f>
        <v>1</v>
      </c>
      <c r="M83">
        <f>SUM(D83:I83)</f>
        <v>35</v>
      </c>
      <c r="N83">
        <f>VLOOKUP(B83,'C.P.'!$A$2:$B$164,2,FALSE)</f>
        <v>-1</v>
      </c>
      <c r="O83" t="e">
        <f>VLOOKUP(B83,'C.P.'!$C$2:$D$164,2,FALSE)</f>
        <v>#N/A</v>
      </c>
      <c r="P83" t="e">
        <f>VLOOKUP(B83,'C.P.'!$E$2:$F$164,2,FALSE)</f>
        <v>#N/A</v>
      </c>
      <c r="Q83" t="e">
        <f>VLOOKUP(B83,'C.P.'!$G$2:$H$164,2,FALSE)</f>
        <v>#N/A</v>
      </c>
    </row>
    <row r="84" spans="1:18" ht="12.75" customHeight="1">
      <c r="A84">
        <f ca="1">COUNTIF('I.A. + Fasce'!B$1:'I.A. + Fasce'!B$538,B80)</f>
        <v>0</v>
      </c>
      <c r="B84" s="202" t="s">
        <v>466</v>
      </c>
      <c r="C84" s="212" t="str">
        <f>VLOOKUP(B84,'IA FG'!$B$2:$G$600,6,FALSE)</f>
        <v>BOL</v>
      </c>
      <c r="D84" s="214">
        <v>7</v>
      </c>
      <c r="E84" s="215">
        <v>5</v>
      </c>
      <c r="F84" s="215">
        <v>6</v>
      </c>
      <c r="G84" s="215">
        <v>6</v>
      </c>
      <c r="H84" s="215">
        <v>6</v>
      </c>
      <c r="I84" s="215">
        <v>5</v>
      </c>
      <c r="J84" s="162">
        <f>$D84*Pesi!$F$16+Pesi!$F$17*$E84+$F84*Pesi!$F$18+Pesi!$F$19*$G84+$H84*Pesi!$F$20+Pesi!$F$21*$I84+VLOOKUP($C84,TabAlgSqu,2,FALSE)*Pesi!$F$22+Pesi!$F$23*VLOOKUP($C84,TabAlgFC,2,FALSE)+VLOOKUP($C84,TabAlgAll,2,FALSE)*Pesi!$F$24</f>
        <v>70.013400000000004</v>
      </c>
      <c r="K84" s="155">
        <f>IF(ISNA(MATCH($B84,Pesi!$B$31:$B$34,0)),VLOOKUP(Pesi!$B$31,TabAlgAtt,10,FALSE)-((VLOOKUP(Pesi!$B$31,TabAlgAtt,9,FALSE)-$J84)/(VLOOKUP(Pesi!$B$31,TabAlgAtt,9,FALSE)-Pesi!$D$41))*VLOOKUP(Pesi!$B$31,TabAlgAtt,10,FALSE),Pesi!$F$31*Pesi!$C$28)</f>
        <v>-37.216846849900008</v>
      </c>
      <c r="L84" s="163">
        <f>IF(K84&lt;=1,1,K84)</f>
        <v>1</v>
      </c>
      <c r="M84">
        <f>SUM(D84:I84)</f>
        <v>35</v>
      </c>
      <c r="N84" t="e">
        <f>VLOOKUP(B84,'C.P.'!$A$2:$B$164,2,FALSE)</f>
        <v>#N/A</v>
      </c>
      <c r="O84" t="e">
        <f>VLOOKUP(B84,'C.P.'!$C$2:$D$164,2,FALSE)</f>
        <v>#N/A</v>
      </c>
      <c r="P84" t="e">
        <f>VLOOKUP(B84,'C.P.'!$E$2:$F$164,2,FALSE)</f>
        <v>#N/A</v>
      </c>
      <c r="Q84" t="e">
        <f>VLOOKUP(B84,'C.P.'!$G$2:$H$164,2,FALSE)</f>
        <v>#N/A</v>
      </c>
    </row>
    <row r="85" spans="1:18">
      <c r="B85" s="202" t="s">
        <v>469</v>
      </c>
      <c r="C85" s="212" t="str">
        <f>VLOOKUP(B85,'IA FG'!$B$2:$G$600,6,FALSE)</f>
        <v>GEN</v>
      </c>
      <c r="D85" s="214">
        <v>7</v>
      </c>
      <c r="E85" s="215">
        <v>5</v>
      </c>
      <c r="F85" s="215">
        <v>5</v>
      </c>
      <c r="G85" s="215">
        <v>5</v>
      </c>
      <c r="H85" s="215">
        <v>6</v>
      </c>
      <c r="I85" s="215">
        <v>5</v>
      </c>
      <c r="J85" s="162">
        <f>$D85*Pesi!$F$16+Pesi!$F$17*$E85+$F85*Pesi!$F$18+Pesi!$F$19*$G85+$H85*Pesi!$F$20+Pesi!$F$21*$I85+VLOOKUP($C85,TabAlgSqu,2,FALSE)*Pesi!$F$22+Pesi!$F$23*VLOOKUP($C85,TabAlgFC,2,FALSE)+VLOOKUP($C85,TabAlgAll,2,FALSE)*Pesi!$F$24</f>
        <v>69.138400000000004</v>
      </c>
      <c r="K85" s="155">
        <f>IF(ISNA(MATCH($B85,Pesi!$B$31:$B$34,0)),VLOOKUP(Pesi!$B$31,TabAlgAtt,10,FALSE)-((VLOOKUP(Pesi!$B$31,TabAlgAtt,9,FALSE)-$J85)/(VLOOKUP(Pesi!$B$31,TabAlgAtt,9,FALSE)-Pesi!$D$41))*VLOOKUP(Pesi!$B$31,TabAlgAtt,10,FALSE),Pesi!$F$31*Pesi!$C$28)</f>
        <v>-41.29426915647133</v>
      </c>
      <c r="L85" s="163">
        <f>IF(K85&lt;=1,1,K85)</f>
        <v>1</v>
      </c>
      <c r="M85">
        <f>SUM(D85:I85)</f>
        <v>33</v>
      </c>
      <c r="N85" t="e">
        <f>VLOOKUP(B85,'C.P.'!$A$2:$B$164,2,FALSE)</f>
        <v>#N/A</v>
      </c>
      <c r="O85" t="e">
        <f>VLOOKUP(B85,'C.P.'!$C$2:$D$164,2,FALSE)</f>
        <v>#N/A</v>
      </c>
      <c r="P85" t="e">
        <f>VLOOKUP(B85,'C.P.'!$E$2:$F$164,2,FALSE)</f>
        <v>#N/A</v>
      </c>
      <c r="Q85" t="e">
        <f>VLOOKUP(B85,'C.P.'!$G$2:$H$164,2,FALSE)</f>
        <v>#N/A</v>
      </c>
    </row>
    <row r="86" spans="1:18">
      <c r="A86">
        <f ca="1">COUNTIF('I.A. + Fasce'!B$1:'I.A. + Fasce'!B$538,B82)</f>
        <v>0</v>
      </c>
      <c r="B86" s="202" t="s">
        <v>614</v>
      </c>
      <c r="C86" s="212" t="str">
        <f>VLOOKUP(B86,'IA FG'!$B$2:$G$600,6,FALSE)</f>
        <v>CRO</v>
      </c>
      <c r="D86" s="214">
        <v>6</v>
      </c>
      <c r="E86" s="215">
        <v>6</v>
      </c>
      <c r="F86" s="215">
        <v>6</v>
      </c>
      <c r="G86" s="215">
        <v>6</v>
      </c>
      <c r="H86" s="215">
        <v>6</v>
      </c>
      <c r="I86" s="215">
        <v>5</v>
      </c>
      <c r="J86" s="162">
        <f>$D86*Pesi!$F$16+Pesi!$F$17*$E86+$F86*Pesi!$F$18+Pesi!$F$19*$G86+$H86*Pesi!$F$20+Pesi!$F$21*$I86+VLOOKUP($C86,TabAlgSqu,2,FALSE)*Pesi!$F$22+Pesi!$F$23*VLOOKUP($C86,TabAlgFC,2,FALSE)+VLOOKUP($C86,TabAlgAll,2,FALSE)*Pesi!$F$24</f>
        <v>68.484599999999986</v>
      </c>
      <c r="K86" s="155">
        <f>IF(ISNA(MATCH($B86,Pesi!$B$31:$B$34,0)),VLOOKUP(Pesi!$B$31,TabAlgAtt,10,FALSE)-((VLOOKUP(Pesi!$B$31,TabAlgAtt,9,FALSE)-$J86)/(VLOOKUP(Pesi!$B$31,TabAlgAtt,9,FALSE)-Pesi!$D$41))*VLOOKUP(Pesi!$B$31,TabAlgAtt,10,FALSE),Pesi!$F$31*Pesi!$C$28)</f>
        <v>-44.340919103941502</v>
      </c>
      <c r="L86" s="163">
        <f>IF(K86&lt;=1,1,K86)</f>
        <v>1</v>
      </c>
      <c r="M86">
        <f>SUM(D86:I86)</f>
        <v>35</v>
      </c>
      <c r="N86" t="e">
        <f>VLOOKUP(B86,'C.P.'!$A$2:$B$164,2,FALSE)</f>
        <v>#N/A</v>
      </c>
      <c r="O86" t="e">
        <f>VLOOKUP(B86,'C.P.'!$C$2:$D$164,2,FALSE)</f>
        <v>#N/A</v>
      </c>
      <c r="P86">
        <f>VLOOKUP(B86,'C.P.'!$E$2:$F$164,2,FALSE)</f>
        <v>4</v>
      </c>
      <c r="Q86" t="e">
        <f>VLOOKUP(B86,'C.P.'!$G$2:$H$164,2,FALSE)</f>
        <v>#N/A</v>
      </c>
    </row>
    <row r="87" spans="1:18">
      <c r="B87" s="202" t="s">
        <v>1980</v>
      </c>
      <c r="C87" s="212" t="str">
        <f>VLOOKUP(B87,'IA FG'!$B$2:$G$600,6,FALSE)</f>
        <v>BEN</v>
      </c>
      <c r="D87" s="214">
        <v>8</v>
      </c>
      <c r="E87" s="215">
        <v>7</v>
      </c>
      <c r="F87" s="215">
        <v>6</v>
      </c>
      <c r="G87" s="215">
        <v>7</v>
      </c>
      <c r="H87" s="215">
        <v>6</v>
      </c>
      <c r="I87" s="215">
        <v>6</v>
      </c>
      <c r="J87" s="162">
        <f>$D87*Pesi!$F$16+Pesi!$F$17*$E87+$F87*Pesi!$F$18+Pesi!$F$19*$G87+$H87*Pesi!$F$20+Pesi!$F$21*$I87+VLOOKUP($C87,TabAlgSqu,2,FALSE)*Pesi!$F$22+Pesi!$F$23*VLOOKUP($C87,TabAlgFC,2,FALSE)+VLOOKUP($C87,TabAlgAll,2,FALSE)*Pesi!$F$24</f>
        <v>68.272199999999998</v>
      </c>
      <c r="K87" s="155">
        <f>IF(ISNA(MATCH($B87,Pesi!$B$31:$B$34,0)),VLOOKUP(Pesi!$B$31,TabAlgAtt,10,FALSE)-((VLOOKUP(Pesi!$B$31,TabAlgAtt,9,FALSE)-$J87)/(VLOOKUP(Pesi!$B$31,TabAlgAtt,9,FALSE)-Pesi!$D$41))*VLOOKUP(Pesi!$B$31,TabAlgAtt,10,FALSE),Pesi!$F$31*Pesi!$C$28)</f>
        <v>-45.330684244416574</v>
      </c>
      <c r="L87" s="163">
        <f>IF(K87&lt;=1,1,K87)</f>
        <v>1</v>
      </c>
      <c r="M87">
        <f>SUM(D87:I87)</f>
        <v>40</v>
      </c>
      <c r="N87" t="e">
        <f>VLOOKUP(B87,'C.P.'!$A$2:$B$164,2,FALSE)</f>
        <v>#N/A</v>
      </c>
      <c r="O87">
        <f>VLOOKUP(B87,'C.P.'!$C$2:$D$164,2,FALSE)</f>
        <v>3</v>
      </c>
      <c r="P87" t="e">
        <f>VLOOKUP(B87,'C.P.'!$E$2:$F$164,2,FALSE)</f>
        <v>#N/A</v>
      </c>
      <c r="Q87" t="e">
        <f>VLOOKUP(B87,'C.P.'!$G$2:$H$164,2,FALSE)</f>
        <v>#N/A</v>
      </c>
    </row>
    <row r="88" spans="1:18">
      <c r="A88">
        <f ca="1">COUNTIF('I.A. + Fasce'!B$1:'I.A. + Fasce'!B$538,B87)</f>
        <v>0</v>
      </c>
      <c r="B88" s="202" t="s">
        <v>1797</v>
      </c>
      <c r="C88" s="212" t="str">
        <f>VLOOKUP(B88,'IA FG'!$B$2:$G$600,6,FALSE)</f>
        <v>CRO</v>
      </c>
      <c r="D88" s="214">
        <v>7</v>
      </c>
      <c r="E88" s="215">
        <v>5</v>
      </c>
      <c r="F88" s="215">
        <v>6</v>
      </c>
      <c r="G88" s="215">
        <v>6</v>
      </c>
      <c r="H88" s="215">
        <v>6</v>
      </c>
      <c r="I88" s="215">
        <v>5</v>
      </c>
      <c r="J88" s="162">
        <f>$D88*Pesi!$F$16+Pesi!$F$17*$E88+$F88*Pesi!$F$18+Pesi!$F$19*$G88+$H88*Pesi!$F$20+Pesi!$F$21*$I88+VLOOKUP($C88,TabAlgSqu,2,FALSE)*Pesi!$F$22+Pesi!$F$23*VLOOKUP($C88,TabAlgFC,2,FALSE)+VLOOKUP($C88,TabAlgAll,2,FALSE)*Pesi!$F$24</f>
        <v>68.180400000000006</v>
      </c>
      <c r="K88" s="155">
        <f>IF(ISNA(MATCH($B88,Pesi!$B$31:$B$34,0)),VLOOKUP(Pesi!$B$31,TabAlgAtt,10,FALSE)-((VLOOKUP(Pesi!$B$31,TabAlgAtt,9,FALSE)-$J88)/(VLOOKUP(Pesi!$B$31,TabAlgAtt,9,FALSE)-Pesi!$D$41))*VLOOKUP(Pesi!$B$31,TabAlgAtt,10,FALSE),Pesi!$F$31*Pesi!$C$28)</f>
        <v>-45.758464093265957</v>
      </c>
      <c r="L88" s="163">
        <f>IF(K88&lt;=1,1,K88)</f>
        <v>1</v>
      </c>
      <c r="M88">
        <f>SUM(D88:I88)</f>
        <v>35</v>
      </c>
      <c r="N88" t="e">
        <f>VLOOKUP(B88,'C.P.'!$A$2:$B$164,2,FALSE)</f>
        <v>#N/A</v>
      </c>
      <c r="O88" t="e">
        <f>VLOOKUP(B88,'C.P.'!$C$2:$D$164,2,FALSE)</f>
        <v>#N/A</v>
      </c>
      <c r="P88" t="e">
        <f>VLOOKUP(B88,'C.P.'!$E$2:$F$164,2,FALSE)</f>
        <v>#N/A</v>
      </c>
      <c r="Q88" t="e">
        <f>VLOOKUP(B88,'C.P.'!$G$2:$H$164,2,FALSE)</f>
        <v>#N/A</v>
      </c>
    </row>
    <row r="89" spans="1:18">
      <c r="A89">
        <f ca="1">COUNTIF('I.A. + Fasce'!B$1:'I.A. + Fasce'!B$538,B88)</f>
        <v>0</v>
      </c>
      <c r="B89" s="202" t="s">
        <v>491</v>
      </c>
      <c r="C89" s="212" t="str">
        <f>VLOOKUP(B89,'IA FG'!$B$2:$G$600,6,FALSE)</f>
        <v>CHI</v>
      </c>
      <c r="D89" s="214">
        <v>6</v>
      </c>
      <c r="E89" s="215">
        <v>6</v>
      </c>
      <c r="F89" s="215">
        <v>5</v>
      </c>
      <c r="G89" s="215">
        <v>4</v>
      </c>
      <c r="H89" s="215">
        <v>7</v>
      </c>
      <c r="I89" s="215">
        <v>5</v>
      </c>
      <c r="J89" s="162">
        <f>$D89*Pesi!$F$16+Pesi!$F$17*$E89+$F89*Pesi!$F$18+Pesi!$F$19*$G89+$H89*Pesi!$F$20+Pesi!$F$21*$I89+VLOOKUP($C89,TabAlgSqu,2,FALSE)*Pesi!$F$22+Pesi!$F$23*VLOOKUP($C89,TabAlgFC,2,FALSE)+VLOOKUP($C89,TabAlgAll,2,FALSE)*Pesi!$F$24</f>
        <v>67.836399999999998</v>
      </c>
      <c r="K89" s="155">
        <f>IF(ISNA(MATCH($B89,Pesi!$B$31:$B$34,0)),VLOOKUP(Pesi!$B$31,TabAlgAtt,10,FALSE)-((VLOOKUP(Pesi!$B$31,TabAlgAtt,9,FALSE)-$J89)/(VLOOKUP(Pesi!$B$31,TabAlgAtt,9,FALSE)-Pesi!$D$41))*VLOOKUP(Pesi!$B$31,TabAlgAtt,10,FALSE),Pesi!$F$31*Pesi!$C$28)</f>
        <v>-47.361473548649485</v>
      </c>
      <c r="L89" s="163">
        <f>IF(K89&lt;=1,1,K89)</f>
        <v>1</v>
      </c>
      <c r="M89">
        <f>SUM(D89:I89)</f>
        <v>33</v>
      </c>
      <c r="N89" t="e">
        <f>VLOOKUP(B89,'C.P.'!$A$2:$B$164,2,FALSE)</f>
        <v>#N/A</v>
      </c>
      <c r="O89" t="e">
        <f>VLOOKUP(B89,'C.P.'!$C$2:$D$164,2,FALSE)</f>
        <v>#N/A</v>
      </c>
      <c r="P89" t="e">
        <f>VLOOKUP(B89,'C.P.'!$E$2:$F$164,2,FALSE)</f>
        <v>#N/A</v>
      </c>
      <c r="Q89" t="e">
        <f>VLOOKUP(B89,'C.P.'!$G$2:$H$164,2,FALSE)</f>
        <v>#N/A</v>
      </c>
    </row>
    <row r="90" spans="1:18">
      <c r="A90">
        <f ca="1">COUNTIF('I.A. + Fasce'!B$1:'I.A. + Fasce'!B$538,B89)</f>
        <v>0</v>
      </c>
      <c r="B90" s="202" t="s">
        <v>1802</v>
      </c>
      <c r="C90" s="212" t="str">
        <f>VLOOKUP(B90,'IA FG'!$B$2:$G$600,6,FALSE)</f>
        <v>BOL</v>
      </c>
      <c r="D90" s="214">
        <v>8</v>
      </c>
      <c r="E90" s="215">
        <v>5</v>
      </c>
      <c r="F90" s="215">
        <v>5</v>
      </c>
      <c r="G90" s="215">
        <v>5</v>
      </c>
      <c r="H90" s="215">
        <v>5</v>
      </c>
      <c r="I90" s="215">
        <v>5</v>
      </c>
      <c r="J90" s="162">
        <f>$D90*Pesi!$F$16+Pesi!$F$17*$E90+$F90*Pesi!$F$18+Pesi!$F$19*$G90+$H90*Pesi!$F$20+Pesi!$F$21*$I90+VLOOKUP($C90,TabAlgSqu,2,FALSE)*Pesi!$F$22+Pesi!$F$23*VLOOKUP($C90,TabAlgFC,2,FALSE)+VLOOKUP($C90,TabAlgAll,2,FALSE)*Pesi!$F$24</f>
        <v>67.250900000000016</v>
      </c>
      <c r="K90" s="155">
        <f>IF(ISNA(MATCH($B90,Pesi!$B$31:$B$34,0)),VLOOKUP(Pesi!$B$31,TabAlgAtt,10,FALSE)-((VLOOKUP(Pesi!$B$31,TabAlgAtt,9,FALSE)-$J90)/(VLOOKUP(Pesi!$B$31,TabAlgAtt,9,FALSE)-Pesi!$D$41))*VLOOKUP(Pesi!$B$31,TabAlgAtt,10,FALSE),Pesi!$F$31*Pesi!$C$28)</f>
        <v>-50.089851560646537</v>
      </c>
      <c r="L90" s="163">
        <f>IF(K90&lt;=1,1,K90)</f>
        <v>1</v>
      </c>
      <c r="M90">
        <f>SUM(D90:I90)</f>
        <v>33</v>
      </c>
      <c r="N90" t="e">
        <f>VLOOKUP(B90,'C.P.'!$A$2:$B$164,2,FALSE)</f>
        <v>#N/A</v>
      </c>
      <c r="O90" t="e">
        <f>VLOOKUP(B90,'C.P.'!$C$2:$D$164,2,FALSE)</f>
        <v>#N/A</v>
      </c>
      <c r="P90" t="e">
        <f>VLOOKUP(B90,'C.P.'!$E$2:$F$164,2,FALSE)</f>
        <v>#N/A</v>
      </c>
      <c r="Q90" t="e">
        <f>VLOOKUP(B90,'C.P.'!$G$2:$H$164,2,FALSE)</f>
        <v>#N/A</v>
      </c>
    </row>
    <row r="91" spans="1:18">
      <c r="B91" s="202" t="s">
        <v>1777</v>
      </c>
      <c r="C91" s="212" t="str">
        <f>VLOOKUP(B91,'IA FG'!$B$2:$G$600,6,FALSE)</f>
        <v>SPA</v>
      </c>
      <c r="D91" s="214">
        <v>7</v>
      </c>
      <c r="E91" s="215">
        <v>6</v>
      </c>
      <c r="F91" s="215">
        <v>6</v>
      </c>
      <c r="G91" s="215">
        <v>7</v>
      </c>
      <c r="H91" s="215">
        <v>7</v>
      </c>
      <c r="I91" s="215">
        <v>6</v>
      </c>
      <c r="J91" s="162">
        <f>$D91*Pesi!$F$16+Pesi!$F$17*$E91+$F91*Pesi!$F$18+Pesi!$F$19*$G91+$H91*Pesi!$F$20+Pesi!$F$21*$I91+VLOOKUP($C91,TabAlgSqu,2,FALSE)*Pesi!$F$22+Pesi!$F$23*VLOOKUP($C91,TabAlgFC,2,FALSE)+VLOOKUP($C91,TabAlgAll,2,FALSE)*Pesi!$F$24</f>
        <v>67.118200000000002</v>
      </c>
      <c r="K91" s="155">
        <f>IF(ISNA(MATCH($B91,Pesi!$B$31:$B$34,0)),VLOOKUP(Pesi!$B$31,TabAlgAtt,10,FALSE)-((VLOOKUP(Pesi!$B$31,TabAlgAtt,9,FALSE)-$J91)/(VLOOKUP(Pesi!$B$31,TabAlgAtt,9,FALSE)-Pesi!$D$41))*VLOOKUP(Pesi!$B$31,TabAlgAtt,10,FALSE),Pesi!$F$31*Pesi!$C$28)</f>
        <v>-50.70822177788321</v>
      </c>
      <c r="L91" s="163">
        <f>IF(K91&lt;=1,1,K91)</f>
        <v>1</v>
      </c>
      <c r="M91">
        <f>SUM(D91:I91)</f>
        <v>39</v>
      </c>
      <c r="N91" t="e">
        <f>VLOOKUP(B91,'C.P.'!$A$2:$B$164,2,FALSE)</f>
        <v>#N/A</v>
      </c>
      <c r="O91">
        <f>VLOOKUP(B91,'C.P.'!$C$2:$D$164,2,FALSE)</f>
        <v>2</v>
      </c>
      <c r="P91">
        <f>VLOOKUP(B91,'C.P.'!$E$2:$F$164,2,FALSE)</f>
        <v>3</v>
      </c>
      <c r="Q91" t="e">
        <f>VLOOKUP(B91,'C.P.'!$G$2:$H$164,2,FALSE)</f>
        <v>#N/A</v>
      </c>
    </row>
    <row r="92" spans="1:18">
      <c r="A92">
        <f ca="1">COUNTIF('I.A. + Fasce'!B$1:'I.A. + Fasce'!B$538,B92)</f>
        <v>0</v>
      </c>
      <c r="B92" s="202" t="s">
        <v>511</v>
      </c>
      <c r="C92" s="212" t="str">
        <f>VLOOKUP(B92,'IA FG'!$B$2:$G$600,6,FALSE)</f>
        <v>CRO</v>
      </c>
      <c r="D92" s="214">
        <v>6</v>
      </c>
      <c r="E92" s="215">
        <v>5</v>
      </c>
      <c r="F92" s="215">
        <v>6</v>
      </c>
      <c r="G92" s="215">
        <v>6</v>
      </c>
      <c r="H92" s="215">
        <v>6</v>
      </c>
      <c r="I92" s="215">
        <v>5</v>
      </c>
      <c r="J92" s="162">
        <f>$D92*Pesi!$F$16+Pesi!$F$17*$E92+$F92*Pesi!$F$18+Pesi!$F$19*$G92+$H92*Pesi!$F$20+Pesi!$F$21*$I92+VLOOKUP($C92,TabAlgSqu,2,FALSE)*Pesi!$F$22+Pesi!$F$23*VLOOKUP($C92,TabAlgFC,2,FALSE)+VLOOKUP($C92,TabAlgAll,2,FALSE)*Pesi!$F$24</f>
        <v>66.647100000000009</v>
      </c>
      <c r="K92" s="155">
        <f>IF(ISNA(MATCH($B92,Pesi!$B$31:$B$34,0)),VLOOKUP(Pesi!$B$31,TabAlgAtt,10,FALSE)-((VLOOKUP(Pesi!$B$31,TabAlgAtt,9,FALSE)-$J92)/(VLOOKUP(Pesi!$B$31,TabAlgAtt,9,FALSE)-Pesi!$D$41))*VLOOKUP(Pesi!$B$31,TabAlgAtt,10,FALSE),Pesi!$F$31*Pesi!$C$28)</f>
        <v>-52.903505947741166</v>
      </c>
      <c r="L92" s="163">
        <f>IF(K92&lt;=1,1,K92)</f>
        <v>1</v>
      </c>
      <c r="M92">
        <f>SUM(D92:I92)</f>
        <v>34</v>
      </c>
      <c r="N92" t="e">
        <f>VLOOKUP(B92,'C.P.'!$A$2:$B$164,2,FALSE)</f>
        <v>#N/A</v>
      </c>
      <c r="O92" t="e">
        <f>VLOOKUP(B92,'C.P.'!$C$2:$D$164,2,FALSE)</f>
        <v>#N/A</v>
      </c>
      <c r="P92" t="e">
        <f>VLOOKUP(B92,'C.P.'!$E$2:$F$164,2,FALSE)</f>
        <v>#N/A</v>
      </c>
      <c r="Q92" t="e">
        <f>VLOOKUP(B92,'C.P.'!$G$2:$H$164,2,FALSE)</f>
        <v>#N/A</v>
      </c>
    </row>
    <row r="93" spans="1:18">
      <c r="A93">
        <f ca="1">COUNTIF('I.A. + Fasce'!B$1:'I.A. + Fasce'!B$538,B89)</f>
        <v>0</v>
      </c>
      <c r="B93" s="202" t="s">
        <v>384</v>
      </c>
      <c r="C93" s="212" t="str">
        <f>VLOOKUP(B93,'IA FG'!$B$2:$G$600,6,FALSE)</f>
        <v>CAG</v>
      </c>
      <c r="D93" s="214">
        <v>8</v>
      </c>
      <c r="E93" s="215">
        <v>4</v>
      </c>
      <c r="F93" s="215">
        <v>5</v>
      </c>
      <c r="G93" s="215">
        <v>5</v>
      </c>
      <c r="H93" s="215">
        <v>6</v>
      </c>
      <c r="I93" s="215">
        <v>3</v>
      </c>
      <c r="J93" s="162">
        <f>$D93*Pesi!$F$16+Pesi!$F$17*$E93+$F93*Pesi!$F$18+Pesi!$F$19*$G93+$H93*Pesi!$F$20+Pesi!$F$21*$I93+VLOOKUP($C93,TabAlgSqu,2,FALSE)*Pesi!$F$22+Pesi!$F$23*VLOOKUP($C93,TabAlgFC,2,FALSE)+VLOOKUP($C93,TabAlgAll,2,FALSE)*Pesi!$F$24</f>
        <v>66.353199999999987</v>
      </c>
      <c r="K93" s="155">
        <f>IF(ISNA(MATCH($B93,Pesi!$B$31:$B$34,0)),VLOOKUP(Pesi!$B$31,TabAlgAtt,10,FALSE)-((VLOOKUP(Pesi!$B$31,TabAlgAtt,9,FALSE)-$J93)/(VLOOKUP(Pesi!$B$31,TabAlgAtt,9,FALSE)-Pesi!$D$41))*VLOOKUP(Pesi!$B$31,TabAlgAtt,10,FALSE),Pesi!$F$31*Pesi!$C$28)</f>
        <v>-54.273053851628504</v>
      </c>
      <c r="L93" s="163">
        <f>IF(K93&lt;=1,1,K93)</f>
        <v>1</v>
      </c>
      <c r="M93">
        <f>SUM(D93:I93)</f>
        <v>31</v>
      </c>
      <c r="N93" t="e">
        <f>VLOOKUP(B93,'C.P.'!$A$2:$B$164,2,FALSE)</f>
        <v>#N/A</v>
      </c>
      <c r="O93" t="e">
        <f>VLOOKUP(B93,'C.P.'!$C$2:$D$164,2,FALSE)</f>
        <v>#N/A</v>
      </c>
      <c r="P93" t="e">
        <f>VLOOKUP(B93,'C.P.'!$E$2:$F$164,2,FALSE)</f>
        <v>#N/A</v>
      </c>
      <c r="Q93" t="e">
        <f>VLOOKUP(B93,'C.P.'!$G$2:$H$164,2,FALSE)</f>
        <v>#N/A</v>
      </c>
    </row>
    <row r="94" spans="1:18">
      <c r="A94">
        <f ca="1">COUNTIF('I.A. + Fasce'!B$1:'I.A. + Fasce'!B$538,B89)</f>
        <v>0</v>
      </c>
      <c r="B94" s="202" t="s">
        <v>1784</v>
      </c>
      <c r="C94" s="212" t="str">
        <f>VLOOKUP(B94,'IA FG'!$B$2:$G$600,6,FALSE)</f>
        <v>BEN</v>
      </c>
      <c r="D94" s="214">
        <v>7</v>
      </c>
      <c r="E94" s="215">
        <v>7</v>
      </c>
      <c r="F94" s="215">
        <v>7</v>
      </c>
      <c r="G94" s="215">
        <v>6</v>
      </c>
      <c r="H94" s="215">
        <v>6</v>
      </c>
      <c r="I94" s="215">
        <v>6</v>
      </c>
      <c r="J94" s="162">
        <f>$D94*Pesi!$F$16+Pesi!$F$17*$E94+$F94*Pesi!$F$18+Pesi!$F$19*$G94+$H94*Pesi!$F$20+Pesi!$F$21*$I94+VLOOKUP($C94,TabAlgSqu,2,FALSE)*Pesi!$F$22+Pesi!$F$23*VLOOKUP($C94,TabAlgFC,2,FALSE)+VLOOKUP($C94,TabAlgAll,2,FALSE)*Pesi!$F$24</f>
        <v>66.176400000000001</v>
      </c>
      <c r="K94" s="155">
        <f>IF(ISNA(MATCH($B94,Pesi!$B$31:$B$34,0)),VLOOKUP(Pesi!$B$31,TabAlgAtt,10,FALSE)-((VLOOKUP(Pesi!$B$31,TabAlgAtt,9,FALSE)-$J94)/(VLOOKUP(Pesi!$B$31,TabAlgAtt,9,FALSE)-Pesi!$D$41))*VLOOKUP(Pesi!$B$31,TabAlgAtt,10,FALSE),Pesi!$F$31*Pesi!$C$28)</f>
        <v>-55.096926153116215</v>
      </c>
      <c r="L94" s="163">
        <f>IF(K94&lt;=1,1,K94)</f>
        <v>1</v>
      </c>
      <c r="M94">
        <f>SUM(D94:I94)</f>
        <v>39</v>
      </c>
      <c r="N94">
        <f>VLOOKUP(B94,'C.P.'!$A$2:$B$164,2,FALSE)</f>
        <v>0</v>
      </c>
      <c r="O94" t="e">
        <f>VLOOKUP(B94,'C.P.'!$C$2:$D$164,2,FALSE)</f>
        <v>#N/A</v>
      </c>
      <c r="P94" t="e">
        <f>VLOOKUP(B94,'C.P.'!$E$2:$F$164,2,FALSE)</f>
        <v>#N/A</v>
      </c>
      <c r="Q94" t="e">
        <f>VLOOKUP(B94,'C.P.'!$G$2:$H$164,2,FALSE)</f>
        <v>#N/A</v>
      </c>
    </row>
    <row r="95" spans="1:18">
      <c r="A95">
        <f ca="1">COUNTIF('I.A. + Fasce'!B$1:'I.A. + Fasce'!B$538,B91)</f>
        <v>0</v>
      </c>
      <c r="B95" s="202" t="s">
        <v>1847</v>
      </c>
      <c r="C95" s="212" t="str">
        <f>VLOOKUP(B95,'IA FG'!$B$2:$G$600,6,FALSE)</f>
        <v>CRO</v>
      </c>
      <c r="D95" s="214">
        <v>8</v>
      </c>
      <c r="E95" s="215">
        <v>4</v>
      </c>
      <c r="F95" s="215">
        <v>6</v>
      </c>
      <c r="G95" s="215">
        <v>5</v>
      </c>
      <c r="H95" s="215">
        <v>6</v>
      </c>
      <c r="I95" s="215">
        <v>5</v>
      </c>
      <c r="J95" s="162">
        <f>$D95*Pesi!$F$16+Pesi!$F$17*$E95+$F95*Pesi!$F$18+Pesi!$F$19*$G95+$H95*Pesi!$F$20+Pesi!$F$21*$I95+VLOOKUP($C95,TabAlgSqu,2,FALSE)*Pesi!$F$22+Pesi!$F$23*VLOOKUP($C95,TabAlgFC,2,FALSE)+VLOOKUP($C95,TabAlgAll,2,FALSE)*Pesi!$F$24</f>
        <v>66.113700000000009</v>
      </c>
      <c r="K95" s="155">
        <f>IF(ISNA(MATCH($B95,Pesi!$B$31:$B$34,0)),VLOOKUP(Pesi!$B$31,TabAlgAtt,10,FALSE)-((VLOOKUP(Pesi!$B$31,TabAlgAtt,9,FALSE)-$J95)/(VLOOKUP(Pesi!$B$31,TabAlgAtt,9,FALSE)-Pesi!$D$41))*VLOOKUP(Pesi!$B$31,TabAlgAtt,10,FALSE),Pesi!$F$31*Pesi!$C$28)</f>
        <v>-55.389102585827061</v>
      </c>
      <c r="L95" s="163">
        <f>IF(K95&lt;=1,1,K95)</f>
        <v>1</v>
      </c>
      <c r="M95">
        <f>SUM(D95:I95)</f>
        <v>34</v>
      </c>
      <c r="N95" t="e">
        <f>VLOOKUP(B95,'C.P.'!$A$2:$B$164,2,FALSE)</f>
        <v>#N/A</v>
      </c>
      <c r="O95" t="e">
        <f>VLOOKUP(B95,'C.P.'!$C$2:$D$164,2,FALSE)</f>
        <v>#N/A</v>
      </c>
      <c r="P95" t="e">
        <f>VLOOKUP(B95,'C.P.'!$E$2:$F$164,2,FALSE)</f>
        <v>#N/A</v>
      </c>
      <c r="Q95" t="e">
        <f>VLOOKUP(B95,'C.P.'!$G$2:$H$164,2,FALSE)</f>
        <v>#N/A</v>
      </c>
    </row>
    <row r="96" spans="1:18">
      <c r="A96">
        <f ca="1">COUNTIF('I.A. + Fasce'!B$1:'I.A. + Fasce'!B$538,#REF!)</f>
        <v>0</v>
      </c>
      <c r="B96" s="202" t="s">
        <v>1803</v>
      </c>
      <c r="C96" s="212" t="str">
        <f>VLOOKUP(B96,'IA FG'!$B$2:$G$600,6,FALSE)</f>
        <v>CAG</v>
      </c>
      <c r="D96" s="214">
        <v>7</v>
      </c>
      <c r="E96" s="215">
        <v>4</v>
      </c>
      <c r="F96" s="215">
        <v>6</v>
      </c>
      <c r="G96" s="215">
        <v>5</v>
      </c>
      <c r="H96" s="215">
        <v>6</v>
      </c>
      <c r="I96" s="215">
        <v>3</v>
      </c>
      <c r="J96" s="162">
        <f>$D96*Pesi!$F$16+Pesi!$F$17*$E96+$F96*Pesi!$F$18+Pesi!$F$19*$G96+$H96*Pesi!$F$20+Pesi!$F$21*$I96+VLOOKUP($C96,TabAlgSqu,2,FALSE)*Pesi!$F$22+Pesi!$F$23*VLOOKUP($C96,TabAlgFC,2,FALSE)+VLOOKUP($C96,TabAlgAll,2,FALSE)*Pesi!$F$24</f>
        <v>66.019900000000007</v>
      </c>
      <c r="K96" s="155">
        <f>IF(ISNA(MATCH($B96,Pesi!$B$31:$B$34,0)),VLOOKUP(Pesi!$B$31,TabAlgAtt,10,FALSE)-((VLOOKUP(Pesi!$B$31,TabAlgAtt,9,FALSE)-$J96)/(VLOOKUP(Pesi!$B$31,TabAlgAtt,9,FALSE)-Pesi!$D$41))*VLOOKUP(Pesi!$B$31,TabAlgAtt,10,FALSE),Pesi!$F$31*Pesi!$C$28)</f>
        <v>-55.826202257091524</v>
      </c>
      <c r="L96" s="163">
        <f>IF(K96&lt;=1,1,K96)</f>
        <v>1</v>
      </c>
      <c r="M96">
        <f>SUM(D96:I96)</f>
        <v>31</v>
      </c>
      <c r="N96" t="e">
        <f>VLOOKUP(B96,'C.P.'!$A$2:$B$164,2,FALSE)</f>
        <v>#N/A</v>
      </c>
      <c r="O96" t="e">
        <f>VLOOKUP(B96,'C.P.'!$C$2:$D$164,2,FALSE)</f>
        <v>#N/A</v>
      </c>
      <c r="P96" t="e">
        <f>VLOOKUP(B96,'C.P.'!$E$2:$F$164,2,FALSE)</f>
        <v>#N/A</v>
      </c>
      <c r="Q96" t="e">
        <f>VLOOKUP(B96,'C.P.'!$G$2:$H$164,2,FALSE)</f>
        <v>#N/A</v>
      </c>
    </row>
    <row r="97" spans="1:18">
      <c r="A97">
        <f ca="1">COUNTIF('I.A. + Fasce'!B$1:'I.A. + Fasce'!B$538,B94)</f>
        <v>0</v>
      </c>
      <c r="B97" s="202" t="s">
        <v>1985</v>
      </c>
      <c r="C97" s="212" t="str">
        <f>VLOOKUP(B97,'IA FG'!$B$2:$G$600,6,FALSE)</f>
        <v>CHI</v>
      </c>
      <c r="D97" s="214">
        <v>7</v>
      </c>
      <c r="E97" s="215">
        <v>5</v>
      </c>
      <c r="F97" s="215">
        <v>5</v>
      </c>
      <c r="G97" s="215">
        <v>5</v>
      </c>
      <c r="H97" s="215">
        <v>5</v>
      </c>
      <c r="I97" s="215">
        <v>4</v>
      </c>
      <c r="J97" s="162">
        <f>$D97*Pesi!$F$16+Pesi!$F$17*$E97+$F97*Pesi!$F$18+Pesi!$F$19*$G97+$H97*Pesi!$F$20+Pesi!$F$21*$I97+VLOOKUP($C97,TabAlgSqu,2,FALSE)*Pesi!$F$22+Pesi!$F$23*VLOOKUP($C97,TabAlgFC,2,FALSE)+VLOOKUP($C97,TabAlgAll,2,FALSE)*Pesi!$F$24</f>
        <v>64.828099999999992</v>
      </c>
      <c r="K97" s="155">
        <f>IF(ISNA(MATCH($B97,Pesi!$B$31:$B$34,0)),VLOOKUP(Pesi!$B$31,TabAlgAtt,10,FALSE)-((VLOOKUP(Pesi!$B$31,TabAlgAtt,9,FALSE)-$J97)/(VLOOKUP(Pesi!$B$31,TabAlgAtt,9,FALSE)-Pesi!$D$41))*VLOOKUP(Pesi!$B$31,TabAlgAtt,10,FALSE),Pesi!$F$31*Pesi!$C$28)</f>
        <v>-61.379884434202069</v>
      </c>
      <c r="L97" s="163">
        <f>IF(K97&lt;=1,1,K97)</f>
        <v>1</v>
      </c>
      <c r="M97">
        <f>SUM(D97:I97)</f>
        <v>31</v>
      </c>
      <c r="N97" t="e">
        <f>VLOOKUP(B97,'C.P.'!$A$2:$B$164,2,FALSE)</f>
        <v>#N/A</v>
      </c>
      <c r="O97" t="e">
        <f>VLOOKUP(B97,'C.P.'!$C$2:$D$164,2,FALSE)</f>
        <v>#N/A</v>
      </c>
      <c r="P97" t="e">
        <f>VLOOKUP(B97,'C.P.'!$E$2:$F$164,2,FALSE)</f>
        <v>#N/A</v>
      </c>
      <c r="Q97" t="e">
        <f>VLOOKUP(B97,'C.P.'!$G$2:$H$164,2,FALSE)</f>
        <v>#N/A</v>
      </c>
    </row>
    <row r="98" spans="1:18" ht="15" customHeight="1">
      <c r="A98">
        <f ca="1">COUNTIF('I.A. + Fasce'!B$1:'I.A. + Fasce'!B$538,#REF!)</f>
        <v>0</v>
      </c>
      <c r="B98" s="202" t="s">
        <v>450</v>
      </c>
      <c r="C98" s="212" t="str">
        <f>VLOOKUP(B98,'IA FG'!$B$2:$G$600,6,FALSE)</f>
        <v>CHI</v>
      </c>
      <c r="D98" s="214">
        <v>5</v>
      </c>
      <c r="E98" s="215">
        <v>5</v>
      </c>
      <c r="F98" s="215">
        <v>6</v>
      </c>
      <c r="G98" s="215">
        <v>5</v>
      </c>
      <c r="H98" s="215">
        <v>6</v>
      </c>
      <c r="I98" s="215">
        <v>4</v>
      </c>
      <c r="J98" s="162">
        <f>$D98*Pesi!$F$16+Pesi!$F$17*$E98+$F98*Pesi!$F$18+Pesi!$F$19*$G98+$H98*Pesi!$F$20+Pesi!$F$21*$I98+VLOOKUP($C98,TabAlgSqu,2,FALSE)*Pesi!$F$22+Pesi!$F$23*VLOOKUP($C98,TabAlgFC,2,FALSE)+VLOOKUP($C98,TabAlgAll,2,FALSE)*Pesi!$F$24</f>
        <v>64.294799999999995</v>
      </c>
      <c r="K98" s="155">
        <f>IF(ISNA(MATCH($B98,Pesi!$B$31:$B$34,0)),VLOOKUP(Pesi!$B$31,TabAlgAtt,10,FALSE)-((VLOOKUP(Pesi!$B$31,TabAlgAtt,9,FALSE)-$J98)/(VLOOKUP(Pesi!$B$31,TabAlgAtt,9,FALSE)-Pesi!$D$41))*VLOOKUP(Pesi!$B$31,TabAlgAtt,10,FALSE),Pesi!$F$31*Pesi!$C$28)</f>
        <v>-63.865015081167172</v>
      </c>
      <c r="L98" s="163">
        <f>IF(K98&lt;=1,1,K98)</f>
        <v>1</v>
      </c>
      <c r="M98">
        <f>SUM(D98:I98)</f>
        <v>31</v>
      </c>
      <c r="N98">
        <f>VLOOKUP(B98,'C.P.'!$A$2:$B$164,2,FALSE)</f>
        <v>-1</v>
      </c>
      <c r="O98" t="e">
        <f>VLOOKUP(B98,'C.P.'!$C$2:$D$164,2,FALSE)</f>
        <v>#N/A</v>
      </c>
      <c r="P98" t="e">
        <f>VLOOKUP(B98,'C.P.'!$E$2:$F$164,2,FALSE)</f>
        <v>#N/A</v>
      </c>
      <c r="Q98" t="e">
        <f>VLOOKUP(B98,'C.P.'!$G$2:$H$164,2,FALSE)</f>
        <v>#N/A</v>
      </c>
      <c r="R98" s="420"/>
    </row>
    <row r="99" spans="1:18" ht="15" customHeight="1">
      <c r="B99" s="202" t="s">
        <v>1853</v>
      </c>
      <c r="C99" s="212" t="str">
        <f>VLOOKUP(B99,'IA FG'!$B$2:$G$600,6,FALSE)</f>
        <v>BEN</v>
      </c>
      <c r="D99" s="214">
        <v>8</v>
      </c>
      <c r="E99" s="215">
        <v>6</v>
      </c>
      <c r="F99" s="215">
        <v>6</v>
      </c>
      <c r="G99" s="215">
        <v>6</v>
      </c>
      <c r="H99" s="215">
        <v>7</v>
      </c>
      <c r="I99" s="215">
        <v>5</v>
      </c>
      <c r="J99" s="162">
        <f>$D99*Pesi!$F$16+Pesi!$F$17*$E99+$F99*Pesi!$F$18+Pesi!$F$19*$G99+$H99*Pesi!$F$20+Pesi!$F$21*$I99+VLOOKUP($C99,TabAlgSqu,2,FALSE)*Pesi!$F$22+Pesi!$F$23*VLOOKUP($C99,TabAlgFC,2,FALSE)+VLOOKUP($C99,TabAlgAll,2,FALSE)*Pesi!$F$24</f>
        <v>64.205500000000001</v>
      </c>
      <c r="K99" s="155">
        <f>IF(ISNA(MATCH($B99,Pesi!$B$31:$B$34,0)),VLOOKUP(Pesi!$B$31,TabAlgAtt,10,FALSE)-((VLOOKUP(Pesi!$B$31,TabAlgAtt,9,FALSE)-$J99)/(VLOOKUP(Pesi!$B$31,TabAlgAtt,9,FALSE)-Pesi!$D$41))*VLOOKUP(Pesi!$B$31,TabAlgAtt,10,FALSE),Pesi!$F$31*Pesi!$C$28)</f>
        <v>-64.281145151997805</v>
      </c>
      <c r="L99" s="163">
        <f>IF(K99&lt;=1,1,K99)</f>
        <v>1</v>
      </c>
      <c r="M99">
        <f>SUM(D99:I99)</f>
        <v>38</v>
      </c>
      <c r="N99" t="e">
        <f>VLOOKUP(B99,'C.P.'!$A$2:$B$164,2,FALSE)</f>
        <v>#N/A</v>
      </c>
      <c r="O99">
        <f>VLOOKUP(B99,'C.P.'!$C$2:$D$164,2,FALSE)</f>
        <v>2</v>
      </c>
      <c r="P99" t="e">
        <f>VLOOKUP(B99,'C.P.'!$E$2:$F$164,2,FALSE)</f>
        <v>#N/A</v>
      </c>
      <c r="Q99" t="e">
        <f>VLOOKUP(B99,'C.P.'!$G$2:$H$164,2,FALSE)</f>
        <v>#N/A</v>
      </c>
      <c r="R99" s="420"/>
    </row>
    <row r="100" spans="1:18" ht="15" customHeight="1">
      <c r="A100">
        <f ca="1">COUNTIF('I.A. + Fasce'!B$1:'I.A. + Fasce'!B$538,B95)</f>
        <v>0</v>
      </c>
      <c r="B100" s="202" t="s">
        <v>470</v>
      </c>
      <c r="C100" s="212" t="str">
        <f>VLOOKUP(B100,'IA FG'!$B$2:$G$600,6,FALSE)</f>
        <v>SPA</v>
      </c>
      <c r="D100" s="214">
        <v>7</v>
      </c>
      <c r="E100" s="215">
        <v>6</v>
      </c>
      <c r="F100" s="215">
        <v>5</v>
      </c>
      <c r="G100" s="215">
        <v>6</v>
      </c>
      <c r="H100" s="215">
        <v>7</v>
      </c>
      <c r="I100" s="215">
        <v>6</v>
      </c>
      <c r="J100" s="162">
        <f>$D100*Pesi!$F$16+Pesi!$F$17*$E100+$F100*Pesi!$F$18+Pesi!$F$19*$G100+$H100*Pesi!$F$20+Pesi!$F$21*$I100+VLOOKUP($C100,TabAlgSqu,2,FALSE)*Pesi!$F$22+Pesi!$F$23*VLOOKUP($C100,TabAlgFC,2,FALSE)+VLOOKUP($C100,TabAlgAll,2,FALSE)*Pesi!$F$24</f>
        <v>64.155699999999996</v>
      </c>
      <c r="K100" s="155">
        <f>IF(ISNA(MATCH($B100,Pesi!$B$31:$B$34,0)),VLOOKUP(Pesi!$B$31,TabAlgAtt,10,FALSE)-((VLOOKUP(Pesi!$B$31,TabAlgAtt,9,FALSE)-$J100)/(VLOOKUP(Pesi!$B$31,TabAlgAtt,9,FALSE)-Pesi!$D$41))*VLOOKUP(Pesi!$B$31,TabAlgAtt,10,FALSE),Pesi!$F$31*Pesi!$C$28)</f>
        <v>-64.513208730131851</v>
      </c>
      <c r="L100" s="163">
        <f>IF(K100&lt;=1,1,K100)</f>
        <v>1</v>
      </c>
      <c r="M100">
        <f>SUM(D100:I100)</f>
        <v>37</v>
      </c>
      <c r="N100" t="e">
        <f>VLOOKUP(B100,'C.P.'!$A$2:$B$164,2,FALSE)</f>
        <v>#N/A</v>
      </c>
      <c r="O100" t="e">
        <f>VLOOKUP(B100,'C.P.'!$C$2:$D$164,2,FALSE)</f>
        <v>#N/A</v>
      </c>
      <c r="P100" t="e">
        <f>VLOOKUP(B100,'C.P.'!$E$2:$F$164,2,FALSE)</f>
        <v>#N/A</v>
      </c>
      <c r="Q100" t="e">
        <f>VLOOKUP(B100,'C.P.'!$G$2:$H$164,2,FALSE)</f>
        <v>#N/A</v>
      </c>
      <c r="R100" s="420"/>
    </row>
    <row r="101" spans="1:18" ht="15" customHeight="1">
      <c r="A101">
        <f ca="1">COUNTIF('I.A. + Fasce'!B$1:'I.A. + Fasce'!B$538,B100)</f>
        <v>0</v>
      </c>
      <c r="B101" s="202" t="s">
        <v>1807</v>
      </c>
      <c r="C101" s="212" t="str">
        <f>VLOOKUP(B101,'IA FG'!$B$2:$G$600,6,FALSE)</f>
        <v>SAS</v>
      </c>
      <c r="D101" s="214">
        <v>6</v>
      </c>
      <c r="E101" s="215">
        <v>3</v>
      </c>
      <c r="F101" s="215">
        <v>6</v>
      </c>
      <c r="G101" s="215">
        <v>6</v>
      </c>
      <c r="H101" s="215">
        <v>6</v>
      </c>
      <c r="I101" s="215">
        <v>3</v>
      </c>
      <c r="J101" s="162">
        <f>$D101*Pesi!$F$16+Pesi!$F$17*$E101+$F101*Pesi!$F$18+Pesi!$F$19*$G101+$H101*Pesi!$F$20+Pesi!$F$21*$I101+VLOOKUP($C101,TabAlgSqu,2,FALSE)*Pesi!$F$22+Pesi!$F$23*VLOOKUP($C101,TabAlgFC,2,FALSE)+VLOOKUP($C101,TabAlgAll,2,FALSE)*Pesi!$F$24</f>
        <v>63.259099999999997</v>
      </c>
      <c r="K101" s="155">
        <f>IF(ISNA(MATCH($B101,Pesi!$B$31:$B$34,0)),VLOOKUP(Pesi!$B$31,TabAlgAtt,10,FALSE)-((VLOOKUP(Pesi!$B$31,TabAlgAtt,9,FALSE)-$J101)/(VLOOKUP(Pesi!$B$31,TabAlgAtt,9,FALSE)-Pesi!$D$41))*VLOOKUP(Pesi!$B$31,TabAlgAtt,10,FALSE),Pesi!$F$31*Pesi!$C$28)</f>
        <v>-68.691285118785402</v>
      </c>
      <c r="L101" s="163">
        <f>IF(K101&lt;=1,1,K101)</f>
        <v>1</v>
      </c>
      <c r="M101">
        <f>SUM(D101:I101)</f>
        <v>30</v>
      </c>
      <c r="N101" t="e">
        <f>VLOOKUP(B101,'C.P.'!$A$2:$B$164,2,FALSE)</f>
        <v>#N/A</v>
      </c>
      <c r="O101" t="e">
        <f>VLOOKUP(B101,'C.P.'!$C$2:$D$164,2,FALSE)</f>
        <v>#N/A</v>
      </c>
      <c r="P101" t="e">
        <f>VLOOKUP(B101,'C.P.'!$E$2:$F$164,2,FALSE)</f>
        <v>#N/A</v>
      </c>
      <c r="Q101" t="e">
        <f>VLOOKUP(B101,'C.P.'!$G$2:$H$164,2,FALSE)</f>
        <v>#N/A</v>
      </c>
    </row>
    <row r="102" spans="1:18" ht="15" customHeight="1">
      <c r="A102">
        <f ca="1">COUNTIF('I.A. + Fasce'!B$1:'I.A. + Fasce'!B$538,B98)</f>
        <v>0</v>
      </c>
      <c r="B102" s="442" t="s">
        <v>474</v>
      </c>
      <c r="C102" s="212" t="str">
        <f>VLOOKUP(B102,'IA FG'!$B$2:$G$600,6,FALSE)</f>
        <v>BEN</v>
      </c>
      <c r="D102" s="214">
        <v>7</v>
      </c>
      <c r="E102" s="215">
        <v>6</v>
      </c>
      <c r="F102" s="215">
        <v>6</v>
      </c>
      <c r="G102" s="215">
        <v>6</v>
      </c>
      <c r="H102" s="215">
        <v>6</v>
      </c>
      <c r="I102" s="215">
        <v>5</v>
      </c>
      <c r="J102" s="162">
        <f>$D102*Pesi!$F$16+Pesi!$F$17*$E102+$F102*Pesi!$F$18+Pesi!$F$19*$G102+$H102*Pesi!$F$20+Pesi!$F$21*$I102+VLOOKUP($C102,TabAlgSqu,2,FALSE)*Pesi!$F$22+Pesi!$F$23*VLOOKUP($C102,TabAlgFC,2,FALSE)+VLOOKUP($C102,TabAlgAll,2,FALSE)*Pesi!$F$24</f>
        <v>61.338900000000002</v>
      </c>
      <c r="K102" s="155">
        <f>IF(ISNA(MATCH($B102,Pesi!$B$31:$B$34,0)),VLOOKUP(Pesi!$B$31,TabAlgAtt,10,FALSE)-((VLOOKUP(Pesi!$B$31,TabAlgAtt,9,FALSE)-$J102)/(VLOOKUP(Pesi!$B$31,TabAlgAtt,9,FALSE)-Pesi!$D$41))*VLOOKUP(Pesi!$B$31,TabAlgAtt,10,FALSE),Pesi!$F$31*Pesi!$C$28)</f>
        <v>-77.639246619446197</v>
      </c>
      <c r="L102" s="163">
        <f>IF(K102&lt;=1,1,K102)</f>
        <v>1</v>
      </c>
      <c r="M102">
        <f>SUM(D102:I102)</f>
        <v>36</v>
      </c>
      <c r="N102" t="e">
        <f>VLOOKUP(B102,'C.P.'!$A$2:$B$164,2,FALSE)</f>
        <v>#N/A</v>
      </c>
      <c r="O102" t="e">
        <f>VLOOKUP(B102,'C.P.'!$C$2:$D$164,2,FALSE)</f>
        <v>#N/A</v>
      </c>
      <c r="P102" t="e">
        <f>VLOOKUP(B102,'C.P.'!$E$2:$F$164,2,FALSE)</f>
        <v>#N/A</v>
      </c>
      <c r="Q102" t="e">
        <f>VLOOKUP(B102,'C.P.'!$G$2:$H$164,2,FALSE)</f>
        <v>#N/A</v>
      </c>
    </row>
    <row r="103" spans="1:18">
      <c r="A103">
        <f ca="1">COUNTIF('I.A. + Fasce'!B$1:'I.A. + Fasce'!B$538,B98)</f>
        <v>0</v>
      </c>
      <c r="B103" s="202" t="s">
        <v>1804</v>
      </c>
      <c r="C103" s="212" t="str">
        <f>VLOOKUP(B103,'IA FG'!$B$2:$G$600,6,FALSE)</f>
        <v>CRO</v>
      </c>
      <c r="D103" s="214">
        <v>6</v>
      </c>
      <c r="E103" s="215">
        <v>4</v>
      </c>
      <c r="F103" s="215">
        <v>6</v>
      </c>
      <c r="G103" s="215">
        <v>5</v>
      </c>
      <c r="H103" s="215">
        <v>6</v>
      </c>
      <c r="I103" s="215">
        <v>4</v>
      </c>
      <c r="J103" s="162">
        <f>$D103*Pesi!$F$16+Pesi!$F$17*$E103+$F103*Pesi!$F$18+Pesi!$F$19*$G103+$H103*Pesi!$F$20+Pesi!$F$21*$I103+VLOOKUP($C103,TabAlgSqu,2,FALSE)*Pesi!$F$22+Pesi!$F$23*VLOOKUP($C103,TabAlgFC,2,FALSE)+VLOOKUP($C103,TabAlgAll,2,FALSE)*Pesi!$F$24</f>
        <v>61.247100000000003</v>
      </c>
      <c r="K103" s="155">
        <f>IF(ISNA(MATCH($B103,Pesi!$B$31:$B$34,0)),VLOOKUP(Pesi!$B$31,TabAlgAtt,10,FALSE)-((VLOOKUP(Pesi!$B$31,TabAlgAtt,9,FALSE)-$J103)/(VLOOKUP(Pesi!$B$31,TabAlgAtt,9,FALSE)-Pesi!$D$41))*VLOOKUP(Pesi!$B$31,TabAlgAtt,10,FALSE),Pesi!$F$31*Pesi!$C$28)</f>
        <v>-78.067026468295637</v>
      </c>
      <c r="L103" s="163">
        <f>IF(K103&lt;=1,1,K103)</f>
        <v>1</v>
      </c>
      <c r="M103">
        <f>SUM(D103:I103)</f>
        <v>31</v>
      </c>
      <c r="N103" t="e">
        <f>VLOOKUP(B103,'C.P.'!$A$2:$B$164,2,FALSE)</f>
        <v>#N/A</v>
      </c>
      <c r="O103" t="e">
        <f>VLOOKUP(B103,'C.P.'!$C$2:$D$164,2,FALSE)</f>
        <v>#N/A</v>
      </c>
      <c r="P103" t="e">
        <f>VLOOKUP(B103,'C.P.'!$E$2:$F$164,2,FALSE)</f>
        <v>#N/A</v>
      </c>
      <c r="Q103" t="e">
        <f>VLOOKUP(B103,'C.P.'!$G$2:$H$164,2,FALSE)</f>
        <v>#N/A</v>
      </c>
    </row>
    <row r="104" spans="1:18" ht="12.75" customHeight="1">
      <c r="B104" s="202" t="s">
        <v>1801</v>
      </c>
      <c r="C104" s="212" t="str">
        <f>VLOOKUP(B104,'IA FG'!$B$2:$G$600,6,FALSE)</f>
        <v>SAM</v>
      </c>
      <c r="D104" s="214">
        <v>7</v>
      </c>
      <c r="E104" s="215">
        <v>3</v>
      </c>
      <c r="F104" s="215">
        <v>5</v>
      </c>
      <c r="G104" s="215">
        <v>4</v>
      </c>
      <c r="H104" s="215">
        <v>5</v>
      </c>
      <c r="I104" s="215">
        <v>3</v>
      </c>
      <c r="J104" s="162">
        <f>$D104*Pesi!$F$16+Pesi!$F$17*$E104+$F104*Pesi!$F$18+Pesi!$F$19*$G104+$H104*Pesi!$F$20+Pesi!$F$21*$I104+VLOOKUP($C104,TabAlgSqu,2,FALSE)*Pesi!$F$22+Pesi!$F$23*VLOOKUP($C104,TabAlgFC,2,FALSE)+VLOOKUP($C104,TabAlgAll,2,FALSE)*Pesi!$F$24</f>
        <v>60.237099999999998</v>
      </c>
      <c r="K104" s="155">
        <f>IF(ISNA(MATCH($B104,Pesi!$B$31:$B$34,0)),VLOOKUP(Pesi!$B$31,TabAlgAtt,10,FALSE)-((VLOOKUP(Pesi!$B$31,TabAlgAtt,9,FALSE)-$J104)/(VLOOKUP(Pesi!$B$31,TabAlgAtt,9,FALSE)-Pesi!$D$41))*VLOOKUP(Pesi!$B$31,TabAlgAtt,10,FALSE),Pesi!$F$31*Pesi!$C$28)</f>
        <v>-82.773536787880857</v>
      </c>
      <c r="L104" s="163">
        <f>IF(K104&lt;=1,1,K104)</f>
        <v>1</v>
      </c>
      <c r="M104">
        <f>SUM(D104:I104)</f>
        <v>27</v>
      </c>
      <c r="N104" t="e">
        <f>VLOOKUP(B104,'C.P.'!$A$2:$B$164,2,FALSE)</f>
        <v>#N/A</v>
      </c>
      <c r="O104" t="e">
        <f>VLOOKUP(B104,'C.P.'!$C$2:$D$164,2,FALSE)</f>
        <v>#N/A</v>
      </c>
      <c r="P104" t="e">
        <f>VLOOKUP(B104,'C.P.'!$E$2:$F$164,2,FALSE)</f>
        <v>#N/A</v>
      </c>
      <c r="Q104" t="e">
        <f>VLOOKUP(B104,'C.P.'!$G$2:$H$164,2,FALSE)</f>
        <v>#N/A</v>
      </c>
    </row>
    <row r="105" spans="1:18">
      <c r="B105" s="202" t="s">
        <v>374</v>
      </c>
      <c r="C105" s="212" t="str">
        <f>VLOOKUP(B105,'IA FG'!$B$2:$G$600,6,FALSE)</f>
        <v>SPA</v>
      </c>
      <c r="D105" s="214">
        <v>6</v>
      </c>
      <c r="E105" s="215">
        <v>5</v>
      </c>
      <c r="F105" s="215">
        <v>6</v>
      </c>
      <c r="G105" s="215">
        <v>5</v>
      </c>
      <c r="H105" s="215">
        <v>7</v>
      </c>
      <c r="I105" s="215">
        <v>6</v>
      </c>
      <c r="J105" s="162">
        <f>$D105*Pesi!$F$16+Pesi!$F$17*$E105+$F105*Pesi!$F$18+Pesi!$F$19*$G105+$H105*Pesi!$F$20+Pesi!$F$21*$I105+VLOOKUP($C105,TabAlgSqu,2,FALSE)*Pesi!$F$22+Pesi!$F$23*VLOOKUP($C105,TabAlgFC,2,FALSE)+VLOOKUP($C105,TabAlgAll,2,FALSE)*Pesi!$F$24</f>
        <v>60.2224</v>
      </c>
      <c r="K105" s="155">
        <f>IF(ISNA(MATCH($B105,Pesi!$B$31:$B$34,0)),VLOOKUP(Pesi!$B$31,TabAlgAtt,10,FALSE)-((VLOOKUP(Pesi!$B$31,TabAlgAtt,9,FALSE)-$J105)/(VLOOKUP(Pesi!$B$31,TabAlgAtt,9,FALSE)-Pesi!$D$41))*VLOOKUP(Pesi!$B$31,TabAlgAtt,10,FALSE),Pesi!$F$31*Pesi!$C$28)</f>
        <v>-82.842037482631241</v>
      </c>
      <c r="L105" s="163">
        <f>IF(K105&lt;=1,1,K105)</f>
        <v>1</v>
      </c>
      <c r="M105">
        <f>SUM(D105:I105)</f>
        <v>35</v>
      </c>
      <c r="N105" t="e">
        <f>VLOOKUP(B105,'C.P.'!$A$2:$B$164,2,FALSE)</f>
        <v>#N/A</v>
      </c>
      <c r="O105" t="e">
        <f>VLOOKUP(B105,'C.P.'!$C$2:$D$164,2,FALSE)</f>
        <v>#N/A</v>
      </c>
      <c r="P105" t="e">
        <f>VLOOKUP(B105,'C.P.'!$E$2:$F$164,2,FALSE)</f>
        <v>#N/A</v>
      </c>
      <c r="Q105" t="e">
        <f>VLOOKUP(B105,'C.P.'!$G$2:$H$164,2,FALSE)</f>
        <v>#N/A</v>
      </c>
    </row>
    <row r="106" spans="1:18">
      <c r="A106">
        <f ca="1">COUNTIF('I.A. + Fasce'!B$1:'I.A. + Fasce'!B$538,#REF!)</f>
        <v>0</v>
      </c>
      <c r="B106" s="202" t="s">
        <v>1809</v>
      </c>
      <c r="C106" s="212" t="str">
        <f>VLOOKUP(B106,'IA FG'!$B$2:$G$600,6,FALSE)</f>
        <v>VER</v>
      </c>
      <c r="D106" s="214">
        <v>6</v>
      </c>
      <c r="E106" s="215">
        <v>4</v>
      </c>
      <c r="F106" s="215">
        <v>4</v>
      </c>
      <c r="G106" s="215">
        <v>3</v>
      </c>
      <c r="H106" s="215">
        <v>6</v>
      </c>
      <c r="I106" s="215">
        <v>2</v>
      </c>
      <c r="J106" s="162">
        <f>$D106*Pesi!$F$16+Pesi!$F$17*$E106+$F106*Pesi!$F$18+Pesi!$F$19*$G106+$H106*Pesi!$F$20+Pesi!$F$21*$I106+VLOOKUP($C106,TabAlgSqu,2,FALSE)*Pesi!$F$22+Pesi!$F$23*VLOOKUP($C106,TabAlgFC,2,FALSE)+VLOOKUP($C106,TabAlgAll,2,FALSE)*Pesi!$F$24</f>
        <v>52.223100000000002</v>
      </c>
      <c r="K106" s="155">
        <f>IF(ISNA(MATCH($B106,Pesi!$B$31:$B$34,0)),VLOOKUP(Pesi!$B$31,TabAlgAtt,10,FALSE)-((VLOOKUP(Pesi!$B$31,TabAlgAtt,9,FALSE)-$J106)/(VLOOKUP(Pesi!$B$31,TabAlgAtt,9,FALSE)-Pesi!$D$41))*VLOOKUP(Pesi!$B$31,TabAlgAtt,10,FALSE),Pesi!$F$31*Pesi!$C$28)</f>
        <v>-120.11806520486664</v>
      </c>
      <c r="L106" s="163">
        <f>IF(K106&lt;=1,1,K106)</f>
        <v>1</v>
      </c>
      <c r="M106">
        <f>SUM(D106:I106)</f>
        <v>25</v>
      </c>
      <c r="N106" t="e">
        <f>VLOOKUP(B106,'C.P.'!$A$2:$B$164,2,FALSE)</f>
        <v>#N/A</v>
      </c>
      <c r="O106" t="e">
        <f>VLOOKUP(B106,'C.P.'!$C$2:$D$164,2,FALSE)</f>
        <v>#N/A</v>
      </c>
      <c r="P106" t="e">
        <f>VLOOKUP(B106,'C.P.'!$E$2:$F$164,2,FALSE)</f>
        <v>#N/A</v>
      </c>
      <c r="Q106" t="e">
        <f>VLOOKUP(B106,'C.P.'!$G$2:$H$164,2,FALSE)</f>
        <v>#N/A</v>
      </c>
      <c r="R106" s="420"/>
    </row>
    <row r="107" spans="1:18">
      <c r="B107" s="202" t="s">
        <v>1959</v>
      </c>
      <c r="C107" s="212" t="str">
        <f>VLOOKUP(B107,'IA FG'!$B$2:$G$600,6,FALSE)</f>
        <v>BEN</v>
      </c>
      <c r="D107" s="214">
        <v>7</v>
      </c>
      <c r="E107" s="215">
        <v>3</v>
      </c>
      <c r="F107" s="215">
        <v>6</v>
      </c>
      <c r="G107" s="215">
        <v>5</v>
      </c>
      <c r="H107" s="215">
        <v>6</v>
      </c>
      <c r="I107" s="215">
        <v>2</v>
      </c>
      <c r="J107" s="162">
        <f>$D107*Pesi!$F$16+Pesi!$F$17*$E107+$F107*Pesi!$F$18+Pesi!$F$19*$G107+$H107*Pesi!$F$20+Pesi!$F$21*$I107+VLOOKUP($C107,TabAlgSqu,2,FALSE)*Pesi!$F$22+Pesi!$F$23*VLOOKUP($C107,TabAlgFC,2,FALSE)+VLOOKUP($C107,TabAlgAll,2,FALSE)*Pesi!$F$24</f>
        <v>48.663900000000005</v>
      </c>
      <c r="K107" s="155">
        <f>IF(ISNA(MATCH($B107,Pesi!$B$31:$B$34,0)),VLOOKUP(Pesi!$B$31,TabAlgAtt,10,FALSE)-((VLOOKUP(Pesi!$B$31,TabAlgAtt,9,FALSE)-$J107)/(VLOOKUP(Pesi!$B$31,TabAlgAtt,9,FALSE)-Pesi!$D$41))*VLOOKUP(Pesi!$B$31,TabAlgAtt,10,FALSE),Pesi!$F$31*Pesi!$C$28)</f>
        <v>-136.70362117463645</v>
      </c>
      <c r="L107" s="163">
        <f>IF(K107&lt;=1,1,K107)</f>
        <v>1</v>
      </c>
      <c r="M107">
        <f>SUM(D107:I107)</f>
        <v>29</v>
      </c>
      <c r="N107" t="e">
        <f>VLOOKUP(B107,'C.P.'!$A$2:$B$164,2,FALSE)</f>
        <v>#N/A</v>
      </c>
      <c r="O107" t="e">
        <f>VLOOKUP(B107,'C.P.'!$C$2:$D$164,2,FALSE)</f>
        <v>#N/A</v>
      </c>
      <c r="P107" t="e">
        <f>VLOOKUP(B107,'C.P.'!$E$2:$F$164,2,FALSE)</f>
        <v>#N/A</v>
      </c>
      <c r="Q107" t="e">
        <f>VLOOKUP(B107,'C.P.'!$G$2:$H$164,2,FALSE)</f>
        <v>#N/A</v>
      </c>
    </row>
    <row r="108" spans="1:18">
      <c r="B108" s="202" t="s">
        <v>1986</v>
      </c>
      <c r="C108" s="212" t="str">
        <f>VLOOKUP(B108,'IA FG'!$B$2:$G$600,6,FALSE)</f>
        <v>VER</v>
      </c>
      <c r="D108" s="214"/>
      <c r="E108" s="215"/>
      <c r="F108" s="215"/>
      <c r="G108" s="215"/>
      <c r="H108" s="215"/>
      <c r="I108" s="215"/>
      <c r="J108" s="162">
        <f>$D108*Pesi!$F$16+Pesi!$F$17*$E108+$F108*Pesi!$F$18+Pesi!$F$19*$G108+$H108*Pesi!$F$20+Pesi!$F$21*$I108+VLOOKUP($C108,TabAlgSqu,2,FALSE)*Pesi!$F$22+Pesi!$F$23*VLOOKUP($C108,TabAlgFC,2,FALSE)+VLOOKUP($C108,TabAlgAll,2,FALSE)*Pesi!$F$24</f>
        <v>13.986000000000001</v>
      </c>
      <c r="K108" s="155">
        <f>IF(ISNA(MATCH($B108,Pesi!$B$31:$B$34,0)),VLOOKUP(Pesi!$B$31,TabAlgAtt,10,FALSE)-((VLOOKUP(Pesi!$B$31,TabAlgAtt,9,FALSE)-$J108)/(VLOOKUP(Pesi!$B$31,TabAlgAtt,9,FALSE)-Pesi!$D$41))*VLOOKUP(Pesi!$B$31,TabAlgAtt,10,FALSE),Pesi!$F$31*Pesi!$C$28)</f>
        <v>-298.29955603755036</v>
      </c>
      <c r="L108" s="163">
        <f>IF(K108&lt;=1,1,K108)</f>
        <v>1</v>
      </c>
      <c r="M108">
        <f>SUM(D108:I108)</f>
        <v>0</v>
      </c>
      <c r="N108" t="e">
        <f>VLOOKUP(B108,'C.P.'!$A$2:$B$164,2,FALSE)</f>
        <v>#N/A</v>
      </c>
      <c r="O108" t="e">
        <f>VLOOKUP(B108,'C.P.'!$C$2:$D$164,2,FALSE)</f>
        <v>#N/A</v>
      </c>
      <c r="P108" t="e">
        <f>VLOOKUP(B108,'C.P.'!$E$2:$F$164,2,FALSE)</f>
        <v>#N/A</v>
      </c>
      <c r="Q108" t="e">
        <f>VLOOKUP(B108,'C.P.'!$G$2:$H$164,2,FALSE)</f>
        <v>#N/A</v>
      </c>
    </row>
    <row r="109" spans="1:18">
      <c r="B109" s="202" t="s">
        <v>1855</v>
      </c>
      <c r="C109" s="212" t="str">
        <f>VLOOKUP(B109,'IA FG'!$B$2:$G$600,6,FALSE)</f>
        <v>BEN</v>
      </c>
      <c r="D109" s="214"/>
      <c r="E109" s="215"/>
      <c r="F109" s="215"/>
      <c r="G109" s="215"/>
      <c r="H109" s="215"/>
      <c r="I109" s="215"/>
      <c r="J109" s="162">
        <f>$D109*Pesi!$F$16+Pesi!$F$17*$E109+$F109*Pesi!$F$18+Pesi!$F$19*$G109+$H109*Pesi!$F$20+Pesi!$F$21*$I109+VLOOKUP($C109,TabAlgSqu,2,FALSE)*Pesi!$F$22+Pesi!$F$23*VLOOKUP($C109,TabAlgFC,2,FALSE)+VLOOKUP($C109,TabAlgAll,2,FALSE)*Pesi!$F$24</f>
        <v>4.8060000000000009</v>
      </c>
      <c r="K109" s="155">
        <f>IF(ISNA(MATCH($B109,Pesi!$B$31:$B$34,0)),VLOOKUP(Pesi!$B$31,TabAlgAtt,10,FALSE)-((VLOOKUP(Pesi!$B$31,TabAlgAtt,9,FALSE)-$J109)/(VLOOKUP(Pesi!$B$31,TabAlgAtt,9,FALSE)-Pesi!$D$41))*VLOOKUP(Pesi!$B$31,TabAlgAtt,10,FALSE),Pesi!$F$31*Pesi!$C$28)</f>
        <v>-341.07754092249297</v>
      </c>
      <c r="L109" s="163">
        <f>IF(K109&lt;=1,1,K109)</f>
        <v>1</v>
      </c>
      <c r="M109">
        <f>SUM(D109:I109)</f>
        <v>0</v>
      </c>
      <c r="N109" t="e">
        <f>VLOOKUP(B109,'C.P.'!$A$2:$B$164,2,FALSE)</f>
        <v>#N/A</v>
      </c>
      <c r="O109" t="e">
        <f>VLOOKUP(B109,'C.P.'!$C$2:$D$164,2,FALSE)</f>
        <v>#N/A</v>
      </c>
      <c r="P109" t="e">
        <f>VLOOKUP(B109,'C.P.'!$E$2:$F$164,2,FALSE)</f>
        <v>#N/A</v>
      </c>
      <c r="Q109" t="e">
        <f>VLOOKUP(B109,'C.P.'!$G$2:$H$164,2,FALSE)</f>
        <v>#N/A</v>
      </c>
    </row>
    <row r="110" spans="1:18" ht="15">
      <c r="A110">
        <f ca="1">COUNTIF('I.A. + Fasce'!B$1:'I.A. + Fasce'!B$538,B106)</f>
        <v>1</v>
      </c>
      <c r="B110" s="217"/>
      <c r="C110" s="212"/>
      <c r="D110" s="214"/>
      <c r="E110" s="215"/>
      <c r="F110" s="215"/>
      <c r="G110" s="215"/>
      <c r="H110" s="215"/>
      <c r="I110" s="215"/>
      <c r="J110" s="162"/>
      <c r="K110" s="155"/>
      <c r="L110" s="163"/>
      <c r="M110">
        <f>SUM(D110:I110)</f>
        <v>0</v>
      </c>
      <c r="N110" t="e">
        <f>VLOOKUP(B110,'C.P.'!$A$2:$B$164,2,FALSE)</f>
        <v>#N/A</v>
      </c>
      <c r="O110" t="e">
        <f>VLOOKUP(B110,'C.P.'!$C$2:$D$164,2,FALSE)</f>
        <v>#N/A</v>
      </c>
      <c r="P110" t="e">
        <f>VLOOKUP(B110,'C.P.'!$E$2:$F$164,2,FALSE)</f>
        <v>#N/A</v>
      </c>
      <c r="Q110" t="e">
        <f>VLOOKUP(B110,'C.P.'!$G$2:$H$164,2,FALSE)</f>
        <v>#N/A</v>
      </c>
    </row>
    <row r="111" spans="1:18" ht="15">
      <c r="B111" s="217"/>
      <c r="C111" s="212"/>
      <c r="D111" s="214"/>
      <c r="E111" s="215"/>
      <c r="F111" s="215"/>
      <c r="G111" s="215"/>
      <c r="H111" s="215"/>
      <c r="I111" s="215"/>
      <c r="J111" s="162"/>
      <c r="K111" s="155"/>
      <c r="L111" s="163"/>
      <c r="N111" t="e">
        <f>VLOOKUP(B111,'C.P.'!$A$2:$B$164,2,FALSE)</f>
        <v>#N/A</v>
      </c>
      <c r="O111" t="e">
        <f>VLOOKUP(B111,'C.P.'!$C$2:$D$164,2,FALSE)</f>
        <v>#N/A</v>
      </c>
      <c r="P111" t="e">
        <f>VLOOKUP(B111,'C.P.'!$E$2:$F$164,2,FALSE)</f>
        <v>#N/A</v>
      </c>
      <c r="Q111" t="e">
        <f>VLOOKUP(B111,'C.P.'!$G$2:$H$164,2,FALSE)</f>
        <v>#N/A</v>
      </c>
    </row>
    <row r="112" spans="1:18">
      <c r="C112" s="212"/>
      <c r="N112" t="e">
        <f>VLOOKUP(B112,'C.P.'!$A$2:$B$164,2,FALSE)</f>
        <v>#N/A</v>
      </c>
      <c r="O112" t="e">
        <f>VLOOKUP(B112,'C.P.'!$C$2:$D$164,2,FALSE)</f>
        <v>#N/A</v>
      </c>
      <c r="P112" t="e">
        <f>VLOOKUP(B112,'C.P.'!$E$2:$F$164,2,FALSE)</f>
        <v>#N/A</v>
      </c>
      <c r="Q112" t="e">
        <f>VLOOKUP(B112,'C.P.'!$G$2:$H$164,2,FALSE)</f>
        <v>#N/A</v>
      </c>
    </row>
    <row r="113" spans="3:17">
      <c r="C113" s="212"/>
      <c r="N113" t="e">
        <f>VLOOKUP(B113,'C.P.'!$A$2:$B$164,2,FALSE)</f>
        <v>#N/A</v>
      </c>
      <c r="O113" t="e">
        <f>VLOOKUP(B113,'C.P.'!$C$2:$D$164,2,FALSE)</f>
        <v>#N/A</v>
      </c>
      <c r="P113" t="e">
        <f>VLOOKUP(B113,'C.P.'!$E$2:$F$164,2,FALSE)</f>
        <v>#N/A</v>
      </c>
      <c r="Q113" t="e">
        <f>VLOOKUP(B113,'C.P.'!$G$2:$H$164,2,FALSE)</f>
        <v>#N/A</v>
      </c>
    </row>
    <row r="114" spans="3:17">
      <c r="C114" s="212"/>
      <c r="N114" t="e">
        <f>VLOOKUP(B114,'C.P.'!$A$2:$B$164,2,FALSE)</f>
        <v>#N/A</v>
      </c>
      <c r="O114" t="e">
        <f>VLOOKUP(B114,'C.P.'!$C$2:$D$164,2,FALSE)</f>
        <v>#N/A</v>
      </c>
      <c r="P114" t="e">
        <f>VLOOKUP(B114,'C.P.'!$E$2:$F$164,2,FALSE)</f>
        <v>#N/A</v>
      </c>
      <c r="Q114" t="e">
        <f>VLOOKUP(B114,'C.P.'!$G$2:$H$164,2,FALSE)</f>
        <v>#N/A</v>
      </c>
    </row>
    <row r="115" spans="3:17">
      <c r="C115" s="212"/>
      <c r="N115" t="e">
        <f>VLOOKUP(B115,'C.P.'!$A$2:$B$164,2,FALSE)</f>
        <v>#N/A</v>
      </c>
      <c r="O115" t="e">
        <f>VLOOKUP(B115,'C.P.'!$C$2:$D$164,2,FALSE)</f>
        <v>#N/A</v>
      </c>
      <c r="P115" t="e">
        <f>VLOOKUP(B115,'C.P.'!$E$2:$F$164,2,FALSE)</f>
        <v>#N/A</v>
      </c>
      <c r="Q115" t="e">
        <f>VLOOKUP(B115,'C.P.'!$G$2:$H$164,2,FALSE)</f>
        <v>#N/A</v>
      </c>
    </row>
    <row r="116" spans="3:17">
      <c r="C116" s="212"/>
      <c r="N116" t="e">
        <f>VLOOKUP(B116,'C.P.'!$A$2:$B$164,2,FALSE)</f>
        <v>#N/A</v>
      </c>
      <c r="O116" t="e">
        <f>VLOOKUP(B116,'C.P.'!$C$2:$D$164,2,FALSE)</f>
        <v>#N/A</v>
      </c>
      <c r="P116" t="e">
        <f>VLOOKUP(B116,'C.P.'!$E$2:$F$164,2,FALSE)</f>
        <v>#N/A</v>
      </c>
      <c r="Q116" t="e">
        <f>VLOOKUP(B116,'C.P.'!$G$2:$H$164,2,FALSE)</f>
        <v>#N/A</v>
      </c>
    </row>
    <row r="117" spans="3:17">
      <c r="C117" s="212"/>
      <c r="N117" t="e">
        <f>VLOOKUP(B117,'C.P.'!$A$2:$B$164,2,FALSE)</f>
        <v>#N/A</v>
      </c>
      <c r="O117" t="e">
        <f>VLOOKUP(B117,'C.P.'!$C$2:$D$164,2,FALSE)</f>
        <v>#N/A</v>
      </c>
      <c r="P117" t="e">
        <f>VLOOKUP(B117,'C.P.'!$E$2:$F$164,2,FALSE)</f>
        <v>#N/A</v>
      </c>
      <c r="Q117" t="e">
        <f>VLOOKUP(B117,'C.P.'!$G$2:$H$164,2,FALSE)</f>
        <v>#N/A</v>
      </c>
    </row>
    <row r="118" spans="3:17">
      <c r="C118" s="212"/>
      <c r="N118" t="e">
        <f>VLOOKUP(B118,'C.P.'!$A$2:$B$164,2,FALSE)</f>
        <v>#N/A</v>
      </c>
      <c r="O118" t="e">
        <f>VLOOKUP(B118,'C.P.'!$C$2:$D$164,2,FALSE)</f>
        <v>#N/A</v>
      </c>
      <c r="P118" t="e">
        <f>VLOOKUP(B118,'C.P.'!$E$2:$F$164,2,FALSE)</f>
        <v>#N/A</v>
      </c>
      <c r="Q118" t="e">
        <f>VLOOKUP(B118,'C.P.'!$G$2:$H$164,2,FALSE)</f>
        <v>#N/A</v>
      </c>
    </row>
    <row r="119" spans="3:17">
      <c r="C119" s="212"/>
      <c r="N119" t="e">
        <f>VLOOKUP(B119,'C.P.'!$A$2:$B$164,2,FALSE)</f>
        <v>#N/A</v>
      </c>
      <c r="O119" t="e">
        <f>VLOOKUP(B119,'C.P.'!$C$2:$D$164,2,FALSE)</f>
        <v>#N/A</v>
      </c>
      <c r="P119" t="e">
        <f>VLOOKUP(B119,'C.P.'!$E$2:$F$164,2,FALSE)</f>
        <v>#N/A</v>
      </c>
      <c r="Q119" t="e">
        <f>VLOOKUP(B119,'C.P.'!$G$2:$H$164,2,FALSE)</f>
        <v>#N/A</v>
      </c>
    </row>
    <row r="120" spans="3:17">
      <c r="C120" s="212"/>
      <c r="N120" t="e">
        <f>VLOOKUP(B120,'C.P.'!$A$2:$B$164,2,FALSE)</f>
        <v>#N/A</v>
      </c>
      <c r="O120" t="e">
        <f>VLOOKUP(B120,'C.P.'!$C$2:$D$164,2,FALSE)</f>
        <v>#N/A</v>
      </c>
      <c r="P120" t="e">
        <f>VLOOKUP(B120,'C.P.'!$E$2:$F$164,2,FALSE)</f>
        <v>#N/A</v>
      </c>
      <c r="Q120" t="e">
        <f>VLOOKUP(B120,'C.P.'!$G$2:$H$164,2,FALSE)</f>
        <v>#N/A</v>
      </c>
    </row>
    <row r="121" spans="3:17">
      <c r="C121" s="212"/>
      <c r="N121" t="e">
        <f>VLOOKUP(B121,'C.P.'!$A$2:$B$164,2,FALSE)</f>
        <v>#N/A</v>
      </c>
      <c r="O121" t="e">
        <f>VLOOKUP(B121,'C.P.'!$C$2:$D$164,2,FALSE)</f>
        <v>#N/A</v>
      </c>
      <c r="P121" t="e">
        <f>VLOOKUP(B121,'C.P.'!$E$2:$F$164,2,FALSE)</f>
        <v>#N/A</v>
      </c>
      <c r="Q121" t="e">
        <f>VLOOKUP(B121,'C.P.'!$G$2:$H$164,2,FALSE)</f>
        <v>#N/A</v>
      </c>
    </row>
    <row r="122" spans="3:17">
      <c r="C122" s="212"/>
      <c r="N122" t="e">
        <f>VLOOKUP(B122,'C.P.'!$A$2:$B$164,2,FALSE)</f>
        <v>#N/A</v>
      </c>
      <c r="O122" t="e">
        <f>VLOOKUP(B122,'C.P.'!$C$2:$D$164,2,FALSE)</f>
        <v>#N/A</v>
      </c>
      <c r="P122" t="e">
        <f>VLOOKUP(B122,'C.P.'!$E$2:$F$164,2,FALSE)</f>
        <v>#N/A</v>
      </c>
      <c r="Q122" t="e">
        <f>VLOOKUP(B122,'C.P.'!$G$2:$H$164,2,FALSE)</f>
        <v>#N/A</v>
      </c>
    </row>
    <row r="123" spans="3:17">
      <c r="C123" s="212"/>
      <c r="N123" t="e">
        <f>VLOOKUP(B123,'C.P.'!$A$2:$B$164,2,FALSE)</f>
        <v>#N/A</v>
      </c>
      <c r="O123" t="e">
        <f>VLOOKUP(B123,'C.P.'!$C$2:$D$164,2,FALSE)</f>
        <v>#N/A</v>
      </c>
      <c r="P123" t="e">
        <f>VLOOKUP(B123,'C.P.'!$E$2:$F$164,2,FALSE)</f>
        <v>#N/A</v>
      </c>
      <c r="Q123" t="e">
        <f>VLOOKUP(B123,'C.P.'!$G$2:$H$164,2,FALSE)</f>
        <v>#N/A</v>
      </c>
    </row>
    <row r="124" spans="3:17">
      <c r="C124" s="212"/>
      <c r="N124" t="e">
        <f>VLOOKUP(B124,'C.P.'!$A$2:$B$164,2,FALSE)</f>
        <v>#N/A</v>
      </c>
      <c r="O124" t="e">
        <f>VLOOKUP(B124,'C.P.'!$C$2:$D$164,2,FALSE)</f>
        <v>#N/A</v>
      </c>
      <c r="P124" t="e">
        <f>VLOOKUP(B124,'C.P.'!$E$2:$F$164,2,FALSE)</f>
        <v>#N/A</v>
      </c>
      <c r="Q124" t="e">
        <f>VLOOKUP(B124,'C.P.'!$G$2:$H$164,2,FALSE)</f>
        <v>#N/A</v>
      </c>
    </row>
    <row r="125" spans="3:17">
      <c r="C125" s="212"/>
      <c r="N125" t="e">
        <f>VLOOKUP(B125,'C.P.'!$A$2:$B$164,2,FALSE)</f>
        <v>#N/A</v>
      </c>
      <c r="O125" t="e">
        <f>VLOOKUP(B125,'C.P.'!$C$2:$D$164,2,FALSE)</f>
        <v>#N/A</v>
      </c>
      <c r="P125" t="e">
        <f>VLOOKUP(B125,'C.P.'!$E$2:$F$164,2,FALSE)</f>
        <v>#N/A</v>
      </c>
      <c r="Q125" t="e">
        <f>VLOOKUP(B125,'C.P.'!$G$2:$H$164,2,FALSE)</f>
        <v>#N/A</v>
      </c>
    </row>
    <row r="126" spans="3:17">
      <c r="C126" s="212"/>
      <c r="N126" t="e">
        <f>VLOOKUP(B126,'C.P.'!$A$2:$B$164,2,FALSE)</f>
        <v>#N/A</v>
      </c>
      <c r="O126" t="e">
        <f>VLOOKUP(B126,'C.P.'!$C$2:$D$164,2,FALSE)</f>
        <v>#N/A</v>
      </c>
      <c r="P126" t="e">
        <f>VLOOKUP(B126,'C.P.'!$E$2:$F$164,2,FALSE)</f>
        <v>#N/A</v>
      </c>
      <c r="Q126" t="e">
        <f>VLOOKUP(B126,'C.P.'!$G$2:$H$164,2,FALSE)</f>
        <v>#N/A</v>
      </c>
    </row>
    <row r="127" spans="3:17">
      <c r="C127" s="212"/>
      <c r="N127" t="e">
        <f>VLOOKUP(B127,'C.P.'!$A$2:$B$164,2,FALSE)</f>
        <v>#N/A</v>
      </c>
      <c r="O127" t="e">
        <f>VLOOKUP(B127,'C.P.'!$C$2:$D$164,2,FALSE)</f>
        <v>#N/A</v>
      </c>
      <c r="P127" t="e">
        <f>VLOOKUP(B127,'C.P.'!$E$2:$F$164,2,FALSE)</f>
        <v>#N/A</v>
      </c>
      <c r="Q127" t="e">
        <f>VLOOKUP(B127,'C.P.'!$G$2:$H$164,2,FALSE)</f>
        <v>#N/A</v>
      </c>
    </row>
    <row r="128" spans="3:17">
      <c r="C128" s="212"/>
      <c r="N128" t="e">
        <f>VLOOKUP(B128,'C.P.'!$A$2:$B$164,2,FALSE)</f>
        <v>#N/A</v>
      </c>
      <c r="O128" t="e">
        <f>VLOOKUP(B128,'C.P.'!$C$2:$D$164,2,FALSE)</f>
        <v>#N/A</v>
      </c>
      <c r="P128" t="e">
        <f>VLOOKUP(B128,'C.P.'!$E$2:$F$164,2,FALSE)</f>
        <v>#N/A</v>
      </c>
      <c r="Q128" t="e">
        <f>VLOOKUP(B128,'C.P.'!$G$2:$H$164,2,FALSE)</f>
        <v>#N/A</v>
      </c>
    </row>
    <row r="129" spans="3:17">
      <c r="C129" s="212"/>
      <c r="N129" t="e">
        <f>VLOOKUP(B129,'C.P.'!$A$2:$B$164,2,FALSE)</f>
        <v>#N/A</v>
      </c>
      <c r="O129" t="e">
        <f>VLOOKUP(B129,'C.P.'!$C$2:$D$164,2,FALSE)</f>
        <v>#N/A</v>
      </c>
      <c r="P129" t="e">
        <f>VLOOKUP(B129,'C.P.'!$E$2:$F$164,2,FALSE)</f>
        <v>#N/A</v>
      </c>
      <c r="Q129" t="e">
        <f>VLOOKUP(B129,'C.P.'!$G$2:$H$164,2,FALSE)</f>
        <v>#N/A</v>
      </c>
    </row>
    <row r="130" spans="3:17">
      <c r="C130" s="212"/>
      <c r="N130" t="e">
        <f>VLOOKUP(B130,'C.P.'!$A$2:$B$164,2,FALSE)</f>
        <v>#N/A</v>
      </c>
      <c r="O130" t="e">
        <f>VLOOKUP(B130,'C.P.'!$C$2:$D$164,2,FALSE)</f>
        <v>#N/A</v>
      </c>
      <c r="P130" t="e">
        <f>VLOOKUP(B130,'C.P.'!$E$2:$F$164,2,FALSE)</f>
        <v>#N/A</v>
      </c>
      <c r="Q130" t="e">
        <f>VLOOKUP(B130,'C.P.'!$G$2:$H$164,2,FALSE)</f>
        <v>#N/A</v>
      </c>
    </row>
    <row r="131" spans="3:17">
      <c r="C131" s="212"/>
      <c r="N131" t="e">
        <f>VLOOKUP(B131,'C.P.'!$A$2:$B$164,2,FALSE)</f>
        <v>#N/A</v>
      </c>
      <c r="O131" t="e">
        <f>VLOOKUP(B131,'C.P.'!$C$2:$D$164,2,FALSE)</f>
        <v>#N/A</v>
      </c>
      <c r="P131" t="e">
        <f>VLOOKUP(B131,'C.P.'!$E$2:$F$164,2,FALSE)</f>
        <v>#N/A</v>
      </c>
      <c r="Q131" t="e">
        <f>VLOOKUP(B131,'C.P.'!$G$2:$H$164,2,FALSE)</f>
        <v>#N/A</v>
      </c>
    </row>
    <row r="132" spans="3:17">
      <c r="C132" s="212"/>
      <c r="N132" t="e">
        <f>VLOOKUP(B132,'C.P.'!$A$2:$B$164,2,FALSE)</f>
        <v>#N/A</v>
      </c>
      <c r="O132" t="e">
        <f>VLOOKUP(B132,'C.P.'!$C$2:$D$164,2,FALSE)</f>
        <v>#N/A</v>
      </c>
      <c r="P132" t="e">
        <f>VLOOKUP(B132,'C.P.'!$E$2:$F$164,2,FALSE)</f>
        <v>#N/A</v>
      </c>
      <c r="Q132" t="e">
        <f>VLOOKUP(B132,'C.P.'!$G$2:$H$164,2,FALSE)</f>
        <v>#N/A</v>
      </c>
    </row>
    <row r="133" spans="3:17">
      <c r="C133" s="212"/>
      <c r="N133" t="e">
        <f>VLOOKUP(B133,'C.P.'!$A$2:$B$164,2,FALSE)</f>
        <v>#N/A</v>
      </c>
      <c r="O133" t="e">
        <f>VLOOKUP(B133,'C.P.'!$C$2:$D$164,2,FALSE)</f>
        <v>#N/A</v>
      </c>
      <c r="P133" t="e">
        <f>VLOOKUP(B133,'C.P.'!$E$2:$F$164,2,FALSE)</f>
        <v>#N/A</v>
      </c>
      <c r="Q133" t="e">
        <f>VLOOKUP(B133,'C.P.'!$G$2:$H$164,2,FALSE)</f>
        <v>#N/A</v>
      </c>
    </row>
    <row r="134" spans="3:17">
      <c r="C134" s="212"/>
      <c r="N134" t="e">
        <f>VLOOKUP(B134,'C.P.'!$A$2:$B$164,2,FALSE)</f>
        <v>#N/A</v>
      </c>
      <c r="O134" t="e">
        <f>VLOOKUP(B134,'C.P.'!$C$2:$D$164,2,FALSE)</f>
        <v>#N/A</v>
      </c>
      <c r="P134" t="e">
        <f>VLOOKUP(B134,'C.P.'!$E$2:$F$164,2,FALSE)</f>
        <v>#N/A</v>
      </c>
      <c r="Q134" t="e">
        <f>VLOOKUP(B134,'C.P.'!$G$2:$H$164,2,FALSE)</f>
        <v>#N/A</v>
      </c>
    </row>
    <row r="135" spans="3:17">
      <c r="C135" s="212"/>
      <c r="N135" t="e">
        <f>VLOOKUP(B135,'C.P.'!$A$2:$B$164,2,FALSE)</f>
        <v>#N/A</v>
      </c>
      <c r="O135" t="e">
        <f>VLOOKUP(B135,'C.P.'!$C$2:$D$164,2,FALSE)</f>
        <v>#N/A</v>
      </c>
      <c r="P135" t="e">
        <f>VLOOKUP(B135,'C.P.'!$E$2:$F$164,2,FALSE)</f>
        <v>#N/A</v>
      </c>
      <c r="Q135" t="e">
        <f>VLOOKUP(B135,'C.P.'!$G$2:$H$164,2,FALSE)</f>
        <v>#N/A</v>
      </c>
    </row>
    <row r="136" spans="3:17">
      <c r="C136" s="212"/>
      <c r="N136" t="e">
        <f>VLOOKUP(B136,'C.P.'!$A$2:$B$164,2,FALSE)</f>
        <v>#N/A</v>
      </c>
      <c r="O136" t="e">
        <f>VLOOKUP(B136,'C.P.'!$C$2:$D$164,2,FALSE)</f>
        <v>#N/A</v>
      </c>
      <c r="P136" t="e">
        <f>VLOOKUP(B136,'C.P.'!$E$2:$F$164,2,FALSE)</f>
        <v>#N/A</v>
      </c>
      <c r="Q136" t="e">
        <f>VLOOKUP(B136,'C.P.'!$G$2:$H$164,2,FALSE)</f>
        <v>#N/A</v>
      </c>
    </row>
    <row r="137" spans="3:17">
      <c r="C137" s="212"/>
      <c r="N137" t="e">
        <f>VLOOKUP(B137,'C.P.'!$A$2:$B$164,2,FALSE)</f>
        <v>#N/A</v>
      </c>
      <c r="O137" t="e">
        <f>VLOOKUP(B137,'C.P.'!$C$2:$D$164,2,FALSE)</f>
        <v>#N/A</v>
      </c>
      <c r="P137" t="e">
        <f>VLOOKUP(B137,'C.P.'!$E$2:$F$164,2,FALSE)</f>
        <v>#N/A</v>
      </c>
      <c r="Q137" t="e">
        <f>VLOOKUP(B137,'C.P.'!$G$2:$H$164,2,FALSE)</f>
        <v>#N/A</v>
      </c>
    </row>
    <row r="138" spans="3:17">
      <c r="C138" s="212"/>
      <c r="N138" t="e">
        <f>VLOOKUP(B138,'C.P.'!$A$2:$B$164,2,FALSE)</f>
        <v>#N/A</v>
      </c>
      <c r="O138" t="e">
        <f>VLOOKUP(B138,'C.P.'!$C$2:$D$164,2,FALSE)</f>
        <v>#N/A</v>
      </c>
      <c r="P138" t="e">
        <f>VLOOKUP(B138,'C.P.'!$E$2:$F$164,2,FALSE)</f>
        <v>#N/A</v>
      </c>
      <c r="Q138" t="e">
        <f>VLOOKUP(B138,'C.P.'!$G$2:$H$164,2,FALSE)</f>
        <v>#N/A</v>
      </c>
    </row>
    <row r="139" spans="3:17">
      <c r="C139" s="212"/>
      <c r="N139" t="e">
        <f>VLOOKUP(B139,'C.P.'!$A$2:$B$164,2,FALSE)</f>
        <v>#N/A</v>
      </c>
      <c r="O139" t="e">
        <f>VLOOKUP(B139,'C.P.'!$C$2:$D$164,2,FALSE)</f>
        <v>#N/A</v>
      </c>
      <c r="P139" t="e">
        <f>VLOOKUP(B139,'C.P.'!$E$2:$F$164,2,FALSE)</f>
        <v>#N/A</v>
      </c>
      <c r="Q139" t="e">
        <f>VLOOKUP(B139,'C.P.'!$G$2:$H$164,2,FALSE)</f>
        <v>#N/A</v>
      </c>
    </row>
    <row r="140" spans="3:17">
      <c r="C140" s="212"/>
      <c r="N140" t="e">
        <f>VLOOKUP(B140,'C.P.'!$A$2:$B$164,2,FALSE)</f>
        <v>#N/A</v>
      </c>
      <c r="O140" t="e">
        <f>VLOOKUP(B140,'C.P.'!$C$2:$D$164,2,FALSE)</f>
        <v>#N/A</v>
      </c>
      <c r="P140" t="e">
        <f>VLOOKUP(B140,'C.P.'!$E$2:$F$164,2,FALSE)</f>
        <v>#N/A</v>
      </c>
      <c r="Q140" t="e">
        <f>VLOOKUP(B140,'C.P.'!$G$2:$H$164,2,FALSE)</f>
        <v>#N/A</v>
      </c>
    </row>
    <row r="141" spans="3:17">
      <c r="C141" s="212"/>
      <c r="N141" t="e">
        <f>VLOOKUP(B141,'C.P.'!$A$2:$B$164,2,FALSE)</f>
        <v>#N/A</v>
      </c>
      <c r="O141" t="e">
        <f>VLOOKUP(B141,'C.P.'!$C$2:$D$164,2,FALSE)</f>
        <v>#N/A</v>
      </c>
      <c r="P141" t="e">
        <f>VLOOKUP(B141,'C.P.'!$E$2:$F$164,2,FALSE)</f>
        <v>#N/A</v>
      </c>
      <c r="Q141" t="e">
        <f>VLOOKUP(B141,'C.P.'!$G$2:$H$164,2,FALSE)</f>
        <v>#N/A</v>
      </c>
    </row>
    <row r="142" spans="3:17">
      <c r="C142" s="212"/>
      <c r="N142" t="e">
        <f>VLOOKUP(B142,'C.P.'!$A$2:$B$164,2,FALSE)</f>
        <v>#N/A</v>
      </c>
      <c r="O142" t="e">
        <f>VLOOKUP(B142,'C.P.'!$C$2:$D$164,2,FALSE)</f>
        <v>#N/A</v>
      </c>
      <c r="P142" t="e">
        <f>VLOOKUP(B142,'C.P.'!$E$2:$F$164,2,FALSE)</f>
        <v>#N/A</v>
      </c>
      <c r="Q142" t="e">
        <f>VLOOKUP(B142,'C.P.'!$G$2:$H$164,2,FALSE)</f>
        <v>#N/A</v>
      </c>
    </row>
    <row r="143" spans="3:17">
      <c r="C143" s="212"/>
      <c r="N143" t="e">
        <f>VLOOKUP(B143,'C.P.'!$A$2:$B$164,2,FALSE)</f>
        <v>#N/A</v>
      </c>
      <c r="O143" t="e">
        <f>VLOOKUP(B143,'C.P.'!$C$2:$D$164,2,FALSE)</f>
        <v>#N/A</v>
      </c>
      <c r="P143" t="e">
        <f>VLOOKUP(B143,'C.P.'!$E$2:$F$164,2,FALSE)</f>
        <v>#N/A</v>
      </c>
      <c r="Q143" t="e">
        <f>VLOOKUP(B143,'C.P.'!$G$2:$H$164,2,FALSE)</f>
        <v>#N/A</v>
      </c>
    </row>
    <row r="144" spans="3:17">
      <c r="C144" s="212"/>
      <c r="N144" t="e">
        <f>VLOOKUP(B144,'C.P.'!$A$2:$B$164,2,FALSE)</f>
        <v>#N/A</v>
      </c>
      <c r="O144" t="e">
        <f>VLOOKUP(B144,'C.P.'!$C$2:$D$164,2,FALSE)</f>
        <v>#N/A</v>
      </c>
      <c r="P144" t="e">
        <f>VLOOKUP(B144,'C.P.'!$E$2:$F$164,2,FALSE)</f>
        <v>#N/A</v>
      </c>
      <c r="Q144" t="e">
        <f>VLOOKUP(B144,'C.P.'!$G$2:$H$164,2,FALSE)</f>
        <v>#N/A</v>
      </c>
    </row>
    <row r="145" spans="3:17">
      <c r="C145" s="212"/>
      <c r="N145" t="e">
        <f>VLOOKUP(B145,'C.P.'!$A$2:$B$164,2,FALSE)</f>
        <v>#N/A</v>
      </c>
      <c r="O145" t="e">
        <f>VLOOKUP(B145,'C.P.'!$C$2:$D$164,2,FALSE)</f>
        <v>#N/A</v>
      </c>
      <c r="P145" t="e">
        <f>VLOOKUP(B145,'C.P.'!$E$2:$F$164,2,FALSE)</f>
        <v>#N/A</v>
      </c>
      <c r="Q145" t="e">
        <f>VLOOKUP(B145,'C.P.'!$G$2:$H$164,2,FALSE)</f>
        <v>#N/A</v>
      </c>
    </row>
    <row r="146" spans="3:17">
      <c r="C146" s="212"/>
      <c r="N146" t="e">
        <f>VLOOKUP(B146,'C.P.'!$A$2:$B$164,2,FALSE)</f>
        <v>#N/A</v>
      </c>
      <c r="O146" t="e">
        <f>VLOOKUP(B146,'C.P.'!$C$2:$D$164,2,FALSE)</f>
        <v>#N/A</v>
      </c>
      <c r="P146" t="e">
        <f>VLOOKUP(B146,'C.P.'!$E$2:$F$164,2,FALSE)</f>
        <v>#N/A</v>
      </c>
      <c r="Q146" t="e">
        <f>VLOOKUP(B146,'C.P.'!$G$2:$H$164,2,FALSE)</f>
        <v>#N/A</v>
      </c>
    </row>
    <row r="147" spans="3:17">
      <c r="C147" s="212"/>
      <c r="N147" t="e">
        <f>VLOOKUP(B147,'C.P.'!$A$2:$B$164,2,FALSE)</f>
        <v>#N/A</v>
      </c>
      <c r="O147" t="e">
        <f>VLOOKUP(B147,'C.P.'!$C$2:$D$164,2,FALSE)</f>
        <v>#N/A</v>
      </c>
      <c r="P147" t="e">
        <f>VLOOKUP(B147,'C.P.'!$E$2:$F$164,2,FALSE)</f>
        <v>#N/A</v>
      </c>
      <c r="Q147" t="e">
        <f>VLOOKUP(B147,'C.P.'!$G$2:$H$164,2,FALSE)</f>
        <v>#N/A</v>
      </c>
    </row>
    <row r="148" spans="3:17">
      <c r="C148" s="212"/>
      <c r="N148" t="e">
        <f>VLOOKUP(B148,'C.P.'!$A$2:$B$164,2,FALSE)</f>
        <v>#N/A</v>
      </c>
      <c r="O148" t="e">
        <f>VLOOKUP(B148,'C.P.'!$C$2:$D$164,2,FALSE)</f>
        <v>#N/A</v>
      </c>
      <c r="P148" t="e">
        <f>VLOOKUP(B148,'C.P.'!$E$2:$F$164,2,FALSE)</f>
        <v>#N/A</v>
      </c>
      <c r="Q148" t="e">
        <f>VLOOKUP(B148,'C.P.'!$G$2:$H$164,2,FALSE)</f>
        <v>#N/A</v>
      </c>
    </row>
    <row r="149" spans="3:17">
      <c r="C149" s="212"/>
      <c r="N149" t="e">
        <f>VLOOKUP(B149,'C.P.'!$A$2:$B$164,2,FALSE)</f>
        <v>#N/A</v>
      </c>
      <c r="O149" t="e">
        <f>VLOOKUP(B149,'C.P.'!$C$2:$D$164,2,FALSE)</f>
        <v>#N/A</v>
      </c>
      <c r="P149" t="e">
        <f>VLOOKUP(B149,'C.P.'!$E$2:$F$164,2,FALSE)</f>
        <v>#N/A</v>
      </c>
      <c r="Q149" t="e">
        <f>VLOOKUP(B149,'C.P.'!$G$2:$H$164,2,FALSE)</f>
        <v>#N/A</v>
      </c>
    </row>
    <row r="150" spans="3:17">
      <c r="C150" s="212"/>
      <c r="N150" t="e">
        <f>VLOOKUP(B150,'C.P.'!$A$2:$B$164,2,FALSE)</f>
        <v>#N/A</v>
      </c>
      <c r="O150" t="e">
        <f>VLOOKUP(B150,'C.P.'!$C$2:$D$164,2,FALSE)</f>
        <v>#N/A</v>
      </c>
      <c r="P150" t="e">
        <f>VLOOKUP(B150,'C.P.'!$E$2:$F$164,2,FALSE)</f>
        <v>#N/A</v>
      </c>
      <c r="Q150" t="e">
        <f>VLOOKUP(B150,'C.P.'!$G$2:$H$164,2,FALSE)</f>
        <v>#N/A</v>
      </c>
    </row>
    <row r="151" spans="3:17">
      <c r="C151" s="212"/>
      <c r="N151" t="e">
        <f>VLOOKUP(B151,'C.P.'!$A$2:$B$164,2,FALSE)</f>
        <v>#N/A</v>
      </c>
      <c r="O151" t="e">
        <f>VLOOKUP(B151,'C.P.'!$C$2:$D$164,2,FALSE)</f>
        <v>#N/A</v>
      </c>
      <c r="P151" t="e">
        <f>VLOOKUP(B151,'C.P.'!$E$2:$F$164,2,FALSE)</f>
        <v>#N/A</v>
      </c>
      <c r="Q151" t="e">
        <f>VLOOKUP(B151,'C.P.'!$G$2:$H$164,2,FALSE)</f>
        <v>#N/A</v>
      </c>
    </row>
    <row r="152" spans="3:17">
      <c r="C152" s="212"/>
      <c r="N152" t="e">
        <f>VLOOKUP(B152,'C.P.'!$A$2:$B$164,2,FALSE)</f>
        <v>#N/A</v>
      </c>
      <c r="O152" t="e">
        <f>VLOOKUP(B152,'C.P.'!$C$2:$D$164,2,FALSE)</f>
        <v>#N/A</v>
      </c>
      <c r="P152" t="e">
        <f>VLOOKUP(B152,'C.P.'!$E$2:$F$164,2,FALSE)</f>
        <v>#N/A</v>
      </c>
      <c r="Q152" t="e">
        <f>VLOOKUP(B152,'C.P.'!$G$2:$H$164,2,FALSE)</f>
        <v>#N/A</v>
      </c>
    </row>
    <row r="153" spans="3:17">
      <c r="C153" s="212"/>
      <c r="N153" t="e">
        <f>VLOOKUP(B153,'C.P.'!$A$2:$B$164,2,FALSE)</f>
        <v>#N/A</v>
      </c>
      <c r="O153" t="e">
        <f>VLOOKUP(B153,'C.P.'!$C$2:$D$164,2,FALSE)</f>
        <v>#N/A</v>
      </c>
      <c r="P153" t="e">
        <f>VLOOKUP(B153,'C.P.'!$E$2:$F$164,2,FALSE)</f>
        <v>#N/A</v>
      </c>
      <c r="Q153" t="e">
        <f>VLOOKUP(B153,'C.P.'!$G$2:$H$164,2,FALSE)</f>
        <v>#N/A</v>
      </c>
    </row>
    <row r="154" spans="3:17">
      <c r="C154" s="212"/>
      <c r="N154" t="e">
        <f>VLOOKUP(B154,'C.P.'!$A$2:$B$164,2,FALSE)</f>
        <v>#N/A</v>
      </c>
      <c r="O154" t="e">
        <f>VLOOKUP(B154,'C.P.'!$C$2:$D$164,2,FALSE)</f>
        <v>#N/A</v>
      </c>
      <c r="P154" t="e">
        <f>VLOOKUP(B154,'C.P.'!$E$2:$F$164,2,FALSE)</f>
        <v>#N/A</v>
      </c>
      <c r="Q154" t="e">
        <f>VLOOKUP(B154,'C.P.'!$G$2:$H$164,2,FALSE)</f>
        <v>#N/A</v>
      </c>
    </row>
    <row r="155" spans="3:17">
      <c r="C155" s="212"/>
      <c r="N155" t="e">
        <f>VLOOKUP(B155,'C.P.'!$A$2:$B$164,2,FALSE)</f>
        <v>#N/A</v>
      </c>
      <c r="O155" t="e">
        <f>VLOOKUP(B155,'C.P.'!$C$2:$D$164,2,FALSE)</f>
        <v>#N/A</v>
      </c>
      <c r="P155" t="e">
        <f>VLOOKUP(B155,'C.P.'!$E$2:$F$164,2,FALSE)</f>
        <v>#N/A</v>
      </c>
      <c r="Q155" t="e">
        <f>VLOOKUP(B155,'C.P.'!$G$2:$H$164,2,FALSE)</f>
        <v>#N/A</v>
      </c>
    </row>
    <row r="156" spans="3:17">
      <c r="C156" s="212"/>
      <c r="N156" t="e">
        <f>VLOOKUP(B156,'C.P.'!$A$2:$B$164,2,FALSE)</f>
        <v>#N/A</v>
      </c>
      <c r="O156" t="e">
        <f>VLOOKUP(B156,'C.P.'!$C$2:$D$164,2,FALSE)</f>
        <v>#N/A</v>
      </c>
      <c r="P156" t="e">
        <f>VLOOKUP(B156,'C.P.'!$E$2:$F$164,2,FALSE)</f>
        <v>#N/A</v>
      </c>
      <c r="Q156" t="e">
        <f>VLOOKUP(B156,'C.P.'!$G$2:$H$164,2,FALSE)</f>
        <v>#N/A</v>
      </c>
    </row>
    <row r="157" spans="3:17">
      <c r="C157" s="212"/>
      <c r="N157" t="e">
        <f>VLOOKUP(B157,'C.P.'!$A$2:$B$164,2,FALSE)</f>
        <v>#N/A</v>
      </c>
      <c r="O157" t="e">
        <f>VLOOKUP(B157,'C.P.'!$C$2:$D$164,2,FALSE)</f>
        <v>#N/A</v>
      </c>
      <c r="P157" t="e">
        <f>VLOOKUP(B157,'C.P.'!$E$2:$F$164,2,FALSE)</f>
        <v>#N/A</v>
      </c>
      <c r="Q157" t="e">
        <f>VLOOKUP(B157,'C.P.'!$G$2:$H$164,2,FALSE)</f>
        <v>#N/A</v>
      </c>
    </row>
    <row r="158" spans="3:17">
      <c r="C158" s="212"/>
      <c r="N158" t="e">
        <f>VLOOKUP(B158,'C.P.'!$A$2:$B$164,2,FALSE)</f>
        <v>#N/A</v>
      </c>
      <c r="O158" t="e">
        <f>VLOOKUP(B158,'C.P.'!$C$2:$D$164,2,FALSE)</f>
        <v>#N/A</v>
      </c>
      <c r="P158" t="e">
        <f>VLOOKUP(B158,'C.P.'!$E$2:$F$164,2,FALSE)</f>
        <v>#N/A</v>
      </c>
      <c r="Q158" t="e">
        <f>VLOOKUP(B158,'C.P.'!$G$2:$H$164,2,FALSE)</f>
        <v>#N/A</v>
      </c>
    </row>
    <row r="159" spans="3:17">
      <c r="C159" s="212"/>
      <c r="N159" t="e">
        <f>VLOOKUP(B159,'C.P.'!$A$2:$B$164,2,FALSE)</f>
        <v>#N/A</v>
      </c>
      <c r="O159" t="e">
        <f>VLOOKUP(B159,'C.P.'!$C$2:$D$164,2,FALSE)</f>
        <v>#N/A</v>
      </c>
      <c r="P159" t="e">
        <f>VLOOKUP(B159,'C.P.'!$E$2:$F$164,2,FALSE)</f>
        <v>#N/A</v>
      </c>
      <c r="Q159" t="e">
        <f>VLOOKUP(B159,'C.P.'!$G$2:$H$164,2,FALSE)</f>
        <v>#N/A</v>
      </c>
    </row>
    <row r="160" spans="3:17">
      <c r="C160" s="212"/>
      <c r="N160" t="e">
        <f>VLOOKUP(B160,'C.P.'!$A$2:$B$164,2,FALSE)</f>
        <v>#N/A</v>
      </c>
      <c r="O160" t="e">
        <f>VLOOKUP(B160,'C.P.'!$C$2:$D$164,2,FALSE)</f>
        <v>#N/A</v>
      </c>
      <c r="P160" t="e">
        <f>VLOOKUP(B160,'C.P.'!$E$2:$F$164,2,FALSE)</f>
        <v>#N/A</v>
      </c>
      <c r="Q160" t="e">
        <f>VLOOKUP(B160,'C.P.'!$G$2:$H$164,2,FALSE)</f>
        <v>#N/A</v>
      </c>
    </row>
    <row r="161" spans="3:17">
      <c r="C161" s="212"/>
      <c r="N161" t="e">
        <f>VLOOKUP(B161,'C.P.'!$A$2:$B$164,2,FALSE)</f>
        <v>#N/A</v>
      </c>
      <c r="O161" t="e">
        <f>VLOOKUP(B161,'C.P.'!$C$2:$D$164,2,FALSE)</f>
        <v>#N/A</v>
      </c>
      <c r="P161" t="e">
        <f>VLOOKUP(B161,'C.P.'!$E$2:$F$164,2,FALSE)</f>
        <v>#N/A</v>
      </c>
      <c r="Q161" t="e">
        <f>VLOOKUP(B161,'C.P.'!$G$2:$H$164,2,FALSE)</f>
        <v>#N/A</v>
      </c>
    </row>
    <row r="162" spans="3:17">
      <c r="C162" s="212"/>
      <c r="N162" t="e">
        <f>VLOOKUP(B162,'C.P.'!$A$2:$B$164,2,FALSE)</f>
        <v>#N/A</v>
      </c>
      <c r="O162" t="e">
        <f>VLOOKUP(B162,'C.P.'!$C$2:$D$164,2,FALSE)</f>
        <v>#N/A</v>
      </c>
      <c r="P162" t="e">
        <f>VLOOKUP(B162,'C.P.'!$E$2:$F$164,2,FALSE)</f>
        <v>#N/A</v>
      </c>
      <c r="Q162" t="e">
        <f>VLOOKUP(B162,'C.P.'!$G$2:$H$164,2,FALSE)</f>
        <v>#N/A</v>
      </c>
    </row>
    <row r="163" spans="3:17">
      <c r="C163" s="212"/>
      <c r="N163" t="e">
        <f>VLOOKUP(B163,'C.P.'!$A$2:$B$164,2,FALSE)</f>
        <v>#N/A</v>
      </c>
      <c r="O163" t="e">
        <f>VLOOKUP(B163,'C.P.'!$C$2:$D$164,2,FALSE)</f>
        <v>#N/A</v>
      </c>
      <c r="P163" t="e">
        <f>VLOOKUP(B163,'C.P.'!$E$2:$F$164,2,FALSE)</f>
        <v>#N/A</v>
      </c>
      <c r="Q163" t="e">
        <f>VLOOKUP(B163,'C.P.'!$G$2:$H$164,2,FALSE)</f>
        <v>#N/A</v>
      </c>
    </row>
    <row r="164" spans="3:17">
      <c r="C164" s="212"/>
      <c r="N164" t="e">
        <f>VLOOKUP(B164,'C.P.'!$A$2:$B$164,2,FALSE)</f>
        <v>#N/A</v>
      </c>
      <c r="O164" t="e">
        <f>VLOOKUP(B164,'C.P.'!$C$2:$D$164,2,FALSE)</f>
        <v>#N/A</v>
      </c>
      <c r="P164" t="e">
        <f>VLOOKUP(B164,'C.P.'!$E$2:$F$164,2,FALSE)</f>
        <v>#N/A</v>
      </c>
      <c r="Q164" t="e">
        <f>VLOOKUP(B164,'C.P.'!$G$2:$H$164,2,FALSE)</f>
        <v>#N/A</v>
      </c>
    </row>
    <row r="165" spans="3:17">
      <c r="C165" s="212"/>
      <c r="N165" t="e">
        <f>VLOOKUP(B165,'C.P.'!$A$2:$B$164,2,FALSE)</f>
        <v>#N/A</v>
      </c>
      <c r="O165" t="e">
        <f>VLOOKUP(B165,'C.P.'!$C$2:$D$164,2,FALSE)</f>
        <v>#N/A</v>
      </c>
      <c r="P165" t="e">
        <f>VLOOKUP(B165,'C.P.'!$E$2:$F$164,2,FALSE)</f>
        <v>#N/A</v>
      </c>
      <c r="Q165" t="e">
        <f>VLOOKUP(B165,'C.P.'!$G$2:$H$164,2,FALSE)</f>
        <v>#N/A</v>
      </c>
    </row>
    <row r="166" spans="3:17">
      <c r="C166" s="212"/>
      <c r="N166" t="e">
        <f>VLOOKUP(B166,'C.P.'!$A$2:$B$164,2,FALSE)</f>
        <v>#N/A</v>
      </c>
      <c r="O166" t="e">
        <f>VLOOKUP(B166,'C.P.'!$C$2:$D$164,2,FALSE)</f>
        <v>#N/A</v>
      </c>
      <c r="P166" t="e">
        <f>VLOOKUP(B166,'C.P.'!$E$2:$F$164,2,FALSE)</f>
        <v>#N/A</v>
      </c>
      <c r="Q166" t="e">
        <f>VLOOKUP(B166,'C.P.'!$G$2:$H$164,2,FALSE)</f>
        <v>#N/A</v>
      </c>
    </row>
    <row r="167" spans="3:17">
      <c r="C167" s="212"/>
      <c r="N167" t="e">
        <f>VLOOKUP(B167,'C.P.'!$A$2:$B$164,2,FALSE)</f>
        <v>#N/A</v>
      </c>
      <c r="O167" t="e">
        <f>VLOOKUP(B167,'C.P.'!$C$2:$D$164,2,FALSE)</f>
        <v>#N/A</v>
      </c>
      <c r="P167" t="e">
        <f>VLOOKUP(B167,'C.P.'!$E$2:$F$164,2,FALSE)</f>
        <v>#N/A</v>
      </c>
      <c r="Q167" t="e">
        <f>VLOOKUP(B167,'C.P.'!$G$2:$H$164,2,FALSE)</f>
        <v>#N/A</v>
      </c>
    </row>
    <row r="168" spans="3:17">
      <c r="C168" s="212"/>
      <c r="N168" t="e">
        <f>VLOOKUP(B168,'C.P.'!$A$2:$B$164,2,FALSE)</f>
        <v>#N/A</v>
      </c>
      <c r="O168" t="e">
        <f>VLOOKUP(B168,'C.P.'!$C$2:$D$164,2,FALSE)</f>
        <v>#N/A</v>
      </c>
      <c r="P168" t="e">
        <f>VLOOKUP(B168,'C.P.'!$E$2:$F$164,2,FALSE)</f>
        <v>#N/A</v>
      </c>
      <c r="Q168" t="e">
        <f>VLOOKUP(B168,'C.P.'!$G$2:$H$164,2,FALSE)</f>
        <v>#N/A</v>
      </c>
    </row>
    <row r="169" spans="3:17">
      <c r="C169" s="212"/>
      <c r="N169" t="e">
        <f>VLOOKUP(B169,'C.P.'!$A$2:$B$164,2,FALSE)</f>
        <v>#N/A</v>
      </c>
      <c r="O169" t="e">
        <f>VLOOKUP(B169,'C.P.'!$C$2:$D$164,2,FALSE)</f>
        <v>#N/A</v>
      </c>
      <c r="P169" t="e">
        <f>VLOOKUP(B169,'C.P.'!$E$2:$F$164,2,FALSE)</f>
        <v>#N/A</v>
      </c>
      <c r="Q169" t="e">
        <f>VLOOKUP(B169,'C.P.'!$G$2:$H$164,2,FALSE)</f>
        <v>#N/A</v>
      </c>
    </row>
    <row r="170" spans="3:17">
      <c r="C170" s="212"/>
      <c r="N170" t="e">
        <f>VLOOKUP(B170,'C.P.'!$A$2:$B$164,2,FALSE)</f>
        <v>#N/A</v>
      </c>
      <c r="O170" t="e">
        <f>VLOOKUP(B170,'C.P.'!$C$2:$D$164,2,FALSE)</f>
        <v>#N/A</v>
      </c>
      <c r="P170" t="e">
        <f>VLOOKUP(B170,'C.P.'!$E$2:$F$164,2,FALSE)</f>
        <v>#N/A</v>
      </c>
      <c r="Q170" t="e">
        <f>VLOOKUP(B170,'C.P.'!$G$2:$H$164,2,FALSE)</f>
        <v>#N/A</v>
      </c>
    </row>
    <row r="171" spans="3:17">
      <c r="C171" s="212"/>
      <c r="N171" t="e">
        <f>VLOOKUP(B171,'C.P.'!$A$2:$B$164,2,FALSE)</f>
        <v>#N/A</v>
      </c>
      <c r="O171" t="e">
        <f>VLOOKUP(B171,'C.P.'!$C$2:$D$164,2,FALSE)</f>
        <v>#N/A</v>
      </c>
      <c r="P171" t="e">
        <f>VLOOKUP(B171,'C.P.'!$E$2:$F$164,2,FALSE)</f>
        <v>#N/A</v>
      </c>
      <c r="Q171" t="e">
        <f>VLOOKUP(B171,'C.P.'!$G$2:$H$164,2,FALSE)</f>
        <v>#N/A</v>
      </c>
    </row>
    <row r="172" spans="3:17">
      <c r="C172" s="212"/>
      <c r="N172" t="e">
        <f>VLOOKUP(B172,'C.P.'!$A$2:$B$164,2,FALSE)</f>
        <v>#N/A</v>
      </c>
      <c r="O172" t="e">
        <f>VLOOKUP(B172,'C.P.'!$C$2:$D$164,2,FALSE)</f>
        <v>#N/A</v>
      </c>
      <c r="P172" t="e">
        <f>VLOOKUP(B172,'C.P.'!$E$2:$F$164,2,FALSE)</f>
        <v>#N/A</v>
      </c>
      <c r="Q172" t="e">
        <f>VLOOKUP(B172,'C.P.'!$G$2:$H$164,2,FALSE)</f>
        <v>#N/A</v>
      </c>
    </row>
    <row r="173" spans="3:17">
      <c r="C173" s="212"/>
      <c r="N173" t="e">
        <f>VLOOKUP(B173,'C.P.'!$A$2:$B$164,2,FALSE)</f>
        <v>#N/A</v>
      </c>
      <c r="O173" t="e">
        <f>VLOOKUP(B173,'C.P.'!$C$2:$D$164,2,FALSE)</f>
        <v>#N/A</v>
      </c>
      <c r="P173" t="e">
        <f>VLOOKUP(B173,'C.P.'!$E$2:$F$164,2,FALSE)</f>
        <v>#N/A</v>
      </c>
      <c r="Q173" t="e">
        <f>VLOOKUP(B173,'C.P.'!$G$2:$H$164,2,FALSE)</f>
        <v>#N/A</v>
      </c>
    </row>
    <row r="174" spans="3:17">
      <c r="C174" s="212"/>
      <c r="N174" t="e">
        <f>VLOOKUP(B174,'C.P.'!$A$2:$B$164,2,FALSE)</f>
        <v>#N/A</v>
      </c>
      <c r="O174" t="e">
        <f>VLOOKUP(B174,'C.P.'!$C$2:$D$164,2,FALSE)</f>
        <v>#N/A</v>
      </c>
      <c r="P174" t="e">
        <f>VLOOKUP(B174,'C.P.'!$E$2:$F$164,2,FALSE)</f>
        <v>#N/A</v>
      </c>
      <c r="Q174" t="e">
        <f>VLOOKUP(B174,'C.P.'!$G$2:$H$164,2,FALSE)</f>
        <v>#N/A</v>
      </c>
    </row>
    <row r="175" spans="3:17">
      <c r="C175" s="212"/>
      <c r="N175" t="e">
        <f>VLOOKUP(B175,'C.P.'!$A$2:$B$164,2,FALSE)</f>
        <v>#N/A</v>
      </c>
      <c r="O175" t="e">
        <f>VLOOKUP(B175,'C.P.'!$C$2:$D$164,2,FALSE)</f>
        <v>#N/A</v>
      </c>
      <c r="P175" t="e">
        <f>VLOOKUP(B175,'C.P.'!$E$2:$F$164,2,FALSE)</f>
        <v>#N/A</v>
      </c>
      <c r="Q175" t="e">
        <f>VLOOKUP(B175,'C.P.'!$G$2:$H$164,2,FALSE)</f>
        <v>#N/A</v>
      </c>
    </row>
    <row r="176" spans="3:17">
      <c r="C176" s="212"/>
      <c r="N176" t="e">
        <f>VLOOKUP(B176,'C.P.'!$A$2:$B$164,2,FALSE)</f>
        <v>#N/A</v>
      </c>
      <c r="O176" t="e">
        <f>VLOOKUP(B176,'C.P.'!$C$2:$D$164,2,FALSE)</f>
        <v>#N/A</v>
      </c>
      <c r="P176" t="e">
        <f>VLOOKUP(B176,'C.P.'!$E$2:$F$164,2,FALSE)</f>
        <v>#N/A</v>
      </c>
      <c r="Q176" t="e">
        <f>VLOOKUP(B176,'C.P.'!$G$2:$H$164,2,FALSE)</f>
        <v>#N/A</v>
      </c>
    </row>
    <row r="177" spans="3:17">
      <c r="C177" s="212"/>
      <c r="N177" t="e">
        <f>VLOOKUP(B177,'C.P.'!$A$2:$B$164,2,FALSE)</f>
        <v>#N/A</v>
      </c>
      <c r="O177" t="e">
        <f>VLOOKUP(B177,'C.P.'!$C$2:$D$164,2,FALSE)</f>
        <v>#N/A</v>
      </c>
      <c r="P177" t="e">
        <f>VLOOKUP(B177,'C.P.'!$E$2:$F$164,2,FALSE)</f>
        <v>#N/A</v>
      </c>
      <c r="Q177" t="e">
        <f>VLOOKUP(B177,'C.P.'!$G$2:$H$164,2,FALSE)</f>
        <v>#N/A</v>
      </c>
    </row>
    <row r="178" spans="3:17">
      <c r="C178" s="212"/>
      <c r="N178" t="e">
        <f>VLOOKUP(B178,'C.P.'!$A$2:$B$164,2,FALSE)</f>
        <v>#N/A</v>
      </c>
      <c r="O178" t="e">
        <f>VLOOKUP(B178,'C.P.'!$C$2:$D$164,2,FALSE)</f>
        <v>#N/A</v>
      </c>
      <c r="P178" t="e">
        <f>VLOOKUP(B178,'C.P.'!$E$2:$F$164,2,FALSE)</f>
        <v>#N/A</v>
      </c>
      <c r="Q178" t="e">
        <f>VLOOKUP(B178,'C.P.'!$G$2:$H$164,2,FALSE)</f>
        <v>#N/A</v>
      </c>
    </row>
    <row r="179" spans="3:17">
      <c r="C179" s="212"/>
      <c r="N179" t="e">
        <f>VLOOKUP(B179,'C.P.'!$A$2:$B$164,2,FALSE)</f>
        <v>#N/A</v>
      </c>
      <c r="O179" t="e">
        <f>VLOOKUP(B179,'C.P.'!$C$2:$D$164,2,FALSE)</f>
        <v>#N/A</v>
      </c>
      <c r="P179" t="e">
        <f>VLOOKUP(B179,'C.P.'!$E$2:$F$164,2,FALSE)</f>
        <v>#N/A</v>
      </c>
      <c r="Q179" t="e">
        <f>VLOOKUP(B179,'C.P.'!$G$2:$H$164,2,FALSE)</f>
        <v>#N/A</v>
      </c>
    </row>
    <row r="180" spans="3:17">
      <c r="C180" s="212"/>
      <c r="N180" t="e">
        <f>VLOOKUP(B180,'C.P.'!$A$2:$B$164,2,FALSE)</f>
        <v>#N/A</v>
      </c>
      <c r="O180" t="e">
        <f>VLOOKUP(B180,'C.P.'!$C$2:$D$164,2,FALSE)</f>
        <v>#N/A</v>
      </c>
      <c r="P180" t="e">
        <f>VLOOKUP(B180,'C.P.'!$E$2:$F$164,2,FALSE)</f>
        <v>#N/A</v>
      </c>
      <c r="Q180" t="e">
        <f>VLOOKUP(B180,'C.P.'!$G$2:$H$164,2,FALSE)</f>
        <v>#N/A</v>
      </c>
    </row>
    <row r="181" spans="3:17">
      <c r="C181" s="212"/>
      <c r="N181" t="e">
        <f>VLOOKUP(B181,'C.P.'!$A$2:$B$164,2,FALSE)</f>
        <v>#N/A</v>
      </c>
      <c r="O181" t="e">
        <f>VLOOKUP(B181,'C.P.'!$C$2:$D$164,2,FALSE)</f>
        <v>#N/A</v>
      </c>
      <c r="P181" t="e">
        <f>VLOOKUP(B181,'C.P.'!$E$2:$F$164,2,FALSE)</f>
        <v>#N/A</v>
      </c>
      <c r="Q181" t="e">
        <f>VLOOKUP(B181,'C.P.'!$G$2:$H$164,2,FALSE)</f>
        <v>#N/A</v>
      </c>
    </row>
    <row r="182" spans="3:17">
      <c r="C182" s="212"/>
      <c r="N182" t="e">
        <f>VLOOKUP(B182,'C.P.'!$A$2:$B$164,2,FALSE)</f>
        <v>#N/A</v>
      </c>
      <c r="O182" t="e">
        <f>VLOOKUP(B182,'C.P.'!$C$2:$D$164,2,FALSE)</f>
        <v>#N/A</v>
      </c>
      <c r="P182" t="e">
        <f>VLOOKUP(B182,'C.P.'!$E$2:$F$164,2,FALSE)</f>
        <v>#N/A</v>
      </c>
      <c r="Q182" t="e">
        <f>VLOOKUP(B182,'C.P.'!$G$2:$H$164,2,FALSE)</f>
        <v>#N/A</v>
      </c>
    </row>
    <row r="183" spans="3:17">
      <c r="C183" s="212"/>
      <c r="N183" t="e">
        <f>VLOOKUP(B183,'C.P.'!$A$2:$B$164,2,FALSE)</f>
        <v>#N/A</v>
      </c>
      <c r="O183" t="e">
        <f>VLOOKUP(B183,'C.P.'!$C$2:$D$164,2,FALSE)</f>
        <v>#N/A</v>
      </c>
      <c r="P183" t="e">
        <f>VLOOKUP(B183,'C.P.'!$E$2:$F$164,2,FALSE)</f>
        <v>#N/A</v>
      </c>
      <c r="Q183" t="e">
        <f>VLOOKUP(B183,'C.P.'!$G$2:$H$164,2,FALSE)</f>
        <v>#N/A</v>
      </c>
    </row>
    <row r="184" spans="3:17">
      <c r="C184" s="212"/>
      <c r="N184" t="e">
        <f>VLOOKUP(B184,'C.P.'!$A$2:$B$164,2,FALSE)</f>
        <v>#N/A</v>
      </c>
      <c r="O184" t="e">
        <f>VLOOKUP(B184,'C.P.'!$C$2:$D$164,2,FALSE)</f>
        <v>#N/A</v>
      </c>
      <c r="P184" t="e">
        <f>VLOOKUP(B184,'C.P.'!$E$2:$F$164,2,FALSE)</f>
        <v>#N/A</v>
      </c>
      <c r="Q184" t="e">
        <f>VLOOKUP(B184,'C.P.'!$G$2:$H$164,2,FALSE)</f>
        <v>#N/A</v>
      </c>
    </row>
    <row r="185" spans="3:17">
      <c r="C185" s="212"/>
      <c r="N185" t="e">
        <f>VLOOKUP(B185,'C.P.'!$A$2:$B$164,2,FALSE)</f>
        <v>#N/A</v>
      </c>
      <c r="O185" t="e">
        <f>VLOOKUP(B185,'C.P.'!$C$2:$D$164,2,FALSE)</f>
        <v>#N/A</v>
      </c>
      <c r="P185" t="e">
        <f>VLOOKUP(B185,'C.P.'!$E$2:$F$164,2,FALSE)</f>
        <v>#N/A</v>
      </c>
      <c r="Q185" t="e">
        <f>VLOOKUP(B185,'C.P.'!$G$2:$H$164,2,FALSE)</f>
        <v>#N/A</v>
      </c>
    </row>
    <row r="186" spans="3:17">
      <c r="C186" s="212"/>
      <c r="N186" t="e">
        <f>VLOOKUP(B186,'C.P.'!$A$2:$B$164,2,FALSE)</f>
        <v>#N/A</v>
      </c>
      <c r="O186" t="e">
        <f>VLOOKUP(B186,'C.P.'!$C$2:$D$164,2,FALSE)</f>
        <v>#N/A</v>
      </c>
      <c r="P186" t="e">
        <f>VLOOKUP(B186,'C.P.'!$E$2:$F$164,2,FALSE)</f>
        <v>#N/A</v>
      </c>
      <c r="Q186" t="e">
        <f>VLOOKUP(B186,'C.P.'!$G$2:$H$164,2,FALSE)</f>
        <v>#N/A</v>
      </c>
    </row>
    <row r="187" spans="3:17">
      <c r="C187" s="212"/>
      <c r="N187" t="e">
        <f>VLOOKUP(B187,'C.P.'!$A$2:$B$164,2,FALSE)</f>
        <v>#N/A</v>
      </c>
      <c r="O187" t="e">
        <f>VLOOKUP(B187,'C.P.'!$C$2:$D$164,2,FALSE)</f>
        <v>#N/A</v>
      </c>
      <c r="P187" t="e">
        <f>VLOOKUP(B187,'C.P.'!$E$2:$F$164,2,FALSE)</f>
        <v>#N/A</v>
      </c>
      <c r="Q187" t="e">
        <f>VLOOKUP(B187,'C.P.'!$G$2:$H$164,2,FALSE)</f>
        <v>#N/A</v>
      </c>
    </row>
    <row r="188" spans="3:17">
      <c r="C188" s="212"/>
      <c r="N188" t="e">
        <f>VLOOKUP(B188,'C.P.'!$A$2:$B$164,2,FALSE)</f>
        <v>#N/A</v>
      </c>
      <c r="O188" t="e">
        <f>VLOOKUP(B188,'C.P.'!$C$2:$D$164,2,FALSE)</f>
        <v>#N/A</v>
      </c>
      <c r="P188" t="e">
        <f>VLOOKUP(B188,'C.P.'!$E$2:$F$164,2,FALSE)</f>
        <v>#N/A</v>
      </c>
      <c r="Q188" t="e">
        <f>VLOOKUP(B188,'C.P.'!$G$2:$H$164,2,FALSE)</f>
        <v>#N/A</v>
      </c>
    </row>
    <row r="189" spans="3:17">
      <c r="C189" s="212"/>
      <c r="N189" t="e">
        <f>VLOOKUP(B189,'C.P.'!$A$2:$B$164,2,FALSE)</f>
        <v>#N/A</v>
      </c>
      <c r="O189" t="e">
        <f>VLOOKUP(B189,'C.P.'!$C$2:$D$164,2,FALSE)</f>
        <v>#N/A</v>
      </c>
      <c r="P189" t="e">
        <f>VLOOKUP(B189,'C.P.'!$E$2:$F$164,2,FALSE)</f>
        <v>#N/A</v>
      </c>
      <c r="Q189" t="e">
        <f>VLOOKUP(B189,'C.P.'!$G$2:$H$164,2,FALSE)</f>
        <v>#N/A</v>
      </c>
    </row>
    <row r="190" spans="3:17">
      <c r="C190" s="212"/>
      <c r="N190" t="e">
        <f>VLOOKUP(B190,'C.P.'!$A$2:$B$164,2,FALSE)</f>
        <v>#N/A</v>
      </c>
      <c r="O190" t="e">
        <f>VLOOKUP(B190,'C.P.'!$C$2:$D$164,2,FALSE)</f>
        <v>#N/A</v>
      </c>
      <c r="P190" t="e">
        <f>VLOOKUP(B190,'C.P.'!$E$2:$F$164,2,FALSE)</f>
        <v>#N/A</v>
      </c>
      <c r="Q190" t="e">
        <f>VLOOKUP(B190,'C.P.'!$G$2:$H$164,2,FALSE)</f>
        <v>#N/A</v>
      </c>
    </row>
    <row r="191" spans="3:17">
      <c r="C191" s="212"/>
      <c r="N191" t="e">
        <f>VLOOKUP(B191,'C.P.'!$A$2:$B$164,2,FALSE)</f>
        <v>#N/A</v>
      </c>
      <c r="O191" t="e">
        <f>VLOOKUP(B191,'C.P.'!$C$2:$D$164,2,FALSE)</f>
        <v>#N/A</v>
      </c>
      <c r="P191" t="e">
        <f>VLOOKUP(B191,'C.P.'!$E$2:$F$164,2,FALSE)</f>
        <v>#N/A</v>
      </c>
      <c r="Q191" t="e">
        <f>VLOOKUP(B191,'C.P.'!$G$2:$H$164,2,FALSE)</f>
        <v>#N/A</v>
      </c>
    </row>
    <row r="192" spans="3:17">
      <c r="C192" s="212"/>
      <c r="N192" t="e">
        <f>VLOOKUP(B192,'C.P.'!$A$2:$B$164,2,FALSE)</f>
        <v>#N/A</v>
      </c>
      <c r="O192" t="e">
        <f>VLOOKUP(B192,'C.P.'!$C$2:$D$164,2,FALSE)</f>
        <v>#N/A</v>
      </c>
      <c r="P192" t="e">
        <f>VLOOKUP(B192,'C.P.'!$E$2:$F$164,2,FALSE)</f>
        <v>#N/A</v>
      </c>
      <c r="Q192" t="e">
        <f>VLOOKUP(B192,'C.P.'!$G$2:$H$164,2,FALSE)</f>
        <v>#N/A</v>
      </c>
    </row>
    <row r="193" spans="3:17">
      <c r="C193" s="212"/>
      <c r="N193" t="e">
        <f>VLOOKUP(B193,'C.P.'!$A$2:$B$164,2,FALSE)</f>
        <v>#N/A</v>
      </c>
      <c r="O193" t="e">
        <f>VLOOKUP(B193,'C.P.'!$C$2:$D$164,2,FALSE)</f>
        <v>#N/A</v>
      </c>
      <c r="P193" t="e">
        <f>VLOOKUP(B193,'C.P.'!$E$2:$F$164,2,FALSE)</f>
        <v>#N/A</v>
      </c>
      <c r="Q193" t="e">
        <f>VLOOKUP(B193,'C.P.'!$G$2:$H$164,2,FALSE)</f>
        <v>#N/A</v>
      </c>
    </row>
    <row r="194" spans="3:17">
      <c r="C194" s="212"/>
      <c r="N194" t="e">
        <f>VLOOKUP(B194,'C.P.'!$A$2:$B$164,2,FALSE)</f>
        <v>#N/A</v>
      </c>
      <c r="O194" t="e">
        <f>VLOOKUP(B194,'C.P.'!$C$2:$D$164,2,FALSE)</f>
        <v>#N/A</v>
      </c>
      <c r="P194" t="e">
        <f>VLOOKUP(B194,'C.P.'!$E$2:$F$164,2,FALSE)</f>
        <v>#N/A</v>
      </c>
      <c r="Q194" t="e">
        <f>VLOOKUP(B194,'C.P.'!$G$2:$H$164,2,FALSE)</f>
        <v>#N/A</v>
      </c>
    </row>
    <row r="195" spans="3:17">
      <c r="C195" s="212"/>
      <c r="N195" t="e">
        <f>VLOOKUP(B195,'C.P.'!$A$2:$B$164,2,FALSE)</f>
        <v>#N/A</v>
      </c>
      <c r="O195" t="e">
        <f>VLOOKUP(B195,'C.P.'!$C$2:$D$164,2,FALSE)</f>
        <v>#N/A</v>
      </c>
      <c r="P195" t="e">
        <f>VLOOKUP(B195,'C.P.'!$E$2:$F$164,2,FALSE)</f>
        <v>#N/A</v>
      </c>
      <c r="Q195" t="e">
        <f>VLOOKUP(B195,'C.P.'!$G$2:$H$164,2,FALSE)</f>
        <v>#N/A</v>
      </c>
    </row>
    <row r="196" spans="3:17">
      <c r="C196" s="212"/>
      <c r="N196" t="e">
        <f>VLOOKUP(B196,'C.P.'!$A$2:$B$164,2,FALSE)</f>
        <v>#N/A</v>
      </c>
      <c r="O196" t="e">
        <f>VLOOKUP(B196,'C.P.'!$C$2:$D$164,2,FALSE)</f>
        <v>#N/A</v>
      </c>
      <c r="P196" t="e">
        <f>VLOOKUP(B196,'C.P.'!$E$2:$F$164,2,FALSE)</f>
        <v>#N/A</v>
      </c>
      <c r="Q196" t="e">
        <f>VLOOKUP(B196,'C.P.'!$G$2:$H$164,2,FALSE)</f>
        <v>#N/A</v>
      </c>
    </row>
    <row r="197" spans="3:17">
      <c r="C197" s="212"/>
      <c r="N197" t="e">
        <f>VLOOKUP(B197,'C.P.'!$A$2:$B$164,2,FALSE)</f>
        <v>#N/A</v>
      </c>
      <c r="O197" t="e">
        <f>VLOOKUP(B197,'C.P.'!$C$2:$D$164,2,FALSE)</f>
        <v>#N/A</v>
      </c>
      <c r="P197" t="e">
        <f>VLOOKUP(B197,'C.P.'!$E$2:$F$164,2,FALSE)</f>
        <v>#N/A</v>
      </c>
      <c r="Q197" t="e">
        <f>VLOOKUP(B197,'C.P.'!$G$2:$H$164,2,FALSE)</f>
        <v>#N/A</v>
      </c>
    </row>
    <row r="198" spans="3:17">
      <c r="C198" s="212"/>
      <c r="N198" t="e">
        <f>VLOOKUP(B198,'C.P.'!$A$2:$B$164,2,FALSE)</f>
        <v>#N/A</v>
      </c>
      <c r="O198" t="e">
        <f>VLOOKUP(B198,'C.P.'!$C$2:$D$164,2,FALSE)</f>
        <v>#N/A</v>
      </c>
      <c r="P198" t="e">
        <f>VLOOKUP(B198,'C.P.'!$E$2:$F$164,2,FALSE)</f>
        <v>#N/A</v>
      </c>
      <c r="Q198" t="e">
        <f>VLOOKUP(B198,'C.P.'!$G$2:$H$164,2,FALSE)</f>
        <v>#N/A</v>
      </c>
    </row>
    <row r="199" spans="3:17">
      <c r="C199" s="212"/>
      <c r="N199" t="e">
        <f>VLOOKUP(B199,'C.P.'!$A$2:$B$164,2,FALSE)</f>
        <v>#N/A</v>
      </c>
      <c r="O199" t="e">
        <f>VLOOKUP(B199,'C.P.'!$C$2:$D$164,2,FALSE)</f>
        <v>#N/A</v>
      </c>
      <c r="P199" t="e">
        <f>VLOOKUP(B199,'C.P.'!$E$2:$F$164,2,FALSE)</f>
        <v>#N/A</v>
      </c>
      <c r="Q199" t="e">
        <f>VLOOKUP(B199,'C.P.'!$G$2:$H$164,2,FALSE)</f>
        <v>#N/A</v>
      </c>
    </row>
    <row r="200" spans="3:17">
      <c r="C200" s="212"/>
      <c r="N200" t="e">
        <f>VLOOKUP(B200,'C.P.'!$A$2:$B$164,2,FALSE)</f>
        <v>#N/A</v>
      </c>
      <c r="O200" t="e">
        <f>VLOOKUP(B200,'C.P.'!$C$2:$D$164,2,FALSE)</f>
        <v>#N/A</v>
      </c>
      <c r="P200" t="e">
        <f>VLOOKUP(B200,'C.P.'!$E$2:$F$164,2,FALSE)</f>
        <v>#N/A</v>
      </c>
      <c r="Q200" t="e">
        <f>VLOOKUP(B200,'C.P.'!$G$2:$H$164,2,FALSE)</f>
        <v>#N/A</v>
      </c>
    </row>
    <row r="201" spans="3:17">
      <c r="C201" s="212"/>
      <c r="N201" t="e">
        <f>VLOOKUP(B201,'C.P.'!$A$2:$B$164,2,FALSE)</f>
        <v>#N/A</v>
      </c>
      <c r="O201" t="e">
        <f>VLOOKUP(B201,'C.P.'!$C$2:$D$164,2,FALSE)</f>
        <v>#N/A</v>
      </c>
      <c r="P201" t="e">
        <f>VLOOKUP(B201,'C.P.'!$E$2:$F$164,2,FALSE)</f>
        <v>#N/A</v>
      </c>
      <c r="Q201" t="e">
        <f>VLOOKUP(B201,'C.P.'!$G$2:$H$164,2,FALSE)</f>
        <v>#N/A</v>
      </c>
    </row>
    <row r="202" spans="3:17">
      <c r="C202" s="212"/>
      <c r="N202" t="e">
        <f>VLOOKUP(B202,'C.P.'!$A$2:$B$164,2,FALSE)</f>
        <v>#N/A</v>
      </c>
      <c r="O202" t="e">
        <f>VLOOKUP(B202,'C.P.'!$C$2:$D$164,2,FALSE)</f>
        <v>#N/A</v>
      </c>
      <c r="P202" t="e">
        <f>VLOOKUP(B202,'C.P.'!$E$2:$F$164,2,FALSE)</f>
        <v>#N/A</v>
      </c>
      <c r="Q202" t="e">
        <f>VLOOKUP(B202,'C.P.'!$G$2:$H$164,2,FALSE)</f>
        <v>#N/A</v>
      </c>
    </row>
    <row r="203" spans="3:17">
      <c r="C203" s="212"/>
      <c r="N203" t="e">
        <f>VLOOKUP(B203,'C.P.'!$A$2:$B$164,2,FALSE)</f>
        <v>#N/A</v>
      </c>
      <c r="O203" t="e">
        <f>VLOOKUP(B203,'C.P.'!$C$2:$D$164,2,FALSE)</f>
        <v>#N/A</v>
      </c>
      <c r="P203" t="e">
        <f>VLOOKUP(B203,'C.P.'!$E$2:$F$164,2,FALSE)</f>
        <v>#N/A</v>
      </c>
      <c r="Q203" t="e">
        <f>VLOOKUP(B203,'C.P.'!$G$2:$H$164,2,FALSE)</f>
        <v>#N/A</v>
      </c>
    </row>
    <row r="204" spans="3:17">
      <c r="C204" s="212"/>
      <c r="N204" t="e">
        <f>VLOOKUP(B204,'C.P.'!$A$2:$B$164,2,FALSE)</f>
        <v>#N/A</v>
      </c>
      <c r="O204" t="e">
        <f>VLOOKUP(B204,'C.P.'!$C$2:$D$164,2,FALSE)</f>
        <v>#N/A</v>
      </c>
      <c r="P204" t="e">
        <f>VLOOKUP(B204,'C.P.'!$E$2:$F$164,2,FALSE)</f>
        <v>#N/A</v>
      </c>
      <c r="Q204" t="e">
        <f>VLOOKUP(B204,'C.P.'!$G$2:$H$164,2,FALSE)</f>
        <v>#N/A</v>
      </c>
    </row>
    <row r="205" spans="3:17">
      <c r="C205" s="212"/>
      <c r="N205" t="e">
        <f>VLOOKUP(B205,'C.P.'!$A$2:$B$164,2,FALSE)</f>
        <v>#N/A</v>
      </c>
      <c r="O205" t="e">
        <f>VLOOKUP(B205,'C.P.'!$C$2:$D$164,2,FALSE)</f>
        <v>#N/A</v>
      </c>
      <c r="P205" t="e">
        <f>VLOOKUP(B205,'C.P.'!$E$2:$F$164,2,FALSE)</f>
        <v>#N/A</v>
      </c>
      <c r="Q205" t="e">
        <f>VLOOKUP(B205,'C.P.'!$G$2:$H$164,2,FALSE)</f>
        <v>#N/A</v>
      </c>
    </row>
    <row r="206" spans="3:17">
      <c r="C206" s="212"/>
      <c r="N206" t="e">
        <f>VLOOKUP(B206,'C.P.'!$A$2:$B$164,2,FALSE)</f>
        <v>#N/A</v>
      </c>
      <c r="O206" t="e">
        <f>VLOOKUP(B206,'C.P.'!$C$2:$D$164,2,FALSE)</f>
        <v>#N/A</v>
      </c>
      <c r="P206" t="e">
        <f>VLOOKUP(B206,'C.P.'!$E$2:$F$164,2,FALSE)</f>
        <v>#N/A</v>
      </c>
      <c r="Q206" t="e">
        <f>VLOOKUP(B206,'C.P.'!$G$2:$H$164,2,FALSE)</f>
        <v>#N/A</v>
      </c>
    </row>
    <row r="207" spans="3:17">
      <c r="C207" s="212"/>
      <c r="N207" t="e">
        <f>VLOOKUP(B207,'C.P.'!$A$2:$B$164,2,FALSE)</f>
        <v>#N/A</v>
      </c>
      <c r="O207" t="e">
        <f>VLOOKUP(B207,'C.P.'!$C$2:$D$164,2,FALSE)</f>
        <v>#N/A</v>
      </c>
      <c r="P207" t="e">
        <f>VLOOKUP(B207,'C.P.'!$E$2:$F$164,2,FALSE)</f>
        <v>#N/A</v>
      </c>
      <c r="Q207" t="e">
        <f>VLOOKUP(B207,'C.P.'!$G$2:$H$164,2,FALSE)</f>
        <v>#N/A</v>
      </c>
    </row>
    <row r="208" spans="3:17">
      <c r="C208" s="212"/>
      <c r="N208" t="e">
        <f>VLOOKUP(B208,'C.P.'!$A$2:$B$164,2,FALSE)</f>
        <v>#N/A</v>
      </c>
      <c r="O208" t="e">
        <f>VLOOKUP(B208,'C.P.'!$C$2:$D$164,2,FALSE)</f>
        <v>#N/A</v>
      </c>
      <c r="P208" t="e">
        <f>VLOOKUP(B208,'C.P.'!$E$2:$F$164,2,FALSE)</f>
        <v>#N/A</v>
      </c>
      <c r="Q208" t="e">
        <f>VLOOKUP(B208,'C.P.'!$G$2:$H$164,2,FALSE)</f>
        <v>#N/A</v>
      </c>
    </row>
    <row r="209" spans="3:17">
      <c r="C209" s="212"/>
      <c r="N209" t="e">
        <f>VLOOKUP(B209,'C.P.'!$A$2:$B$164,2,FALSE)</f>
        <v>#N/A</v>
      </c>
      <c r="O209" t="e">
        <f>VLOOKUP(B209,'C.P.'!$C$2:$D$164,2,FALSE)</f>
        <v>#N/A</v>
      </c>
      <c r="P209" t="e">
        <f>VLOOKUP(B209,'C.P.'!$E$2:$F$164,2,FALSE)</f>
        <v>#N/A</v>
      </c>
      <c r="Q209" t="e">
        <f>VLOOKUP(B209,'C.P.'!$G$2:$H$164,2,FALSE)</f>
        <v>#N/A</v>
      </c>
    </row>
    <row r="210" spans="3:17">
      <c r="C210" s="212"/>
      <c r="N210" t="e">
        <f>VLOOKUP(B210,'C.P.'!$A$2:$B$164,2,FALSE)</f>
        <v>#N/A</v>
      </c>
      <c r="O210" t="e">
        <f>VLOOKUP(B210,'C.P.'!$C$2:$D$164,2,FALSE)</f>
        <v>#N/A</v>
      </c>
      <c r="P210" t="e">
        <f>VLOOKUP(B210,'C.P.'!$E$2:$F$164,2,FALSE)</f>
        <v>#N/A</v>
      </c>
      <c r="Q210" t="e">
        <f>VLOOKUP(B210,'C.P.'!$G$2:$H$164,2,FALSE)</f>
        <v>#N/A</v>
      </c>
    </row>
    <row r="211" spans="3:17">
      <c r="C211" s="212"/>
      <c r="N211" t="e">
        <f>VLOOKUP(B211,'C.P.'!$A$2:$B$164,2,FALSE)</f>
        <v>#N/A</v>
      </c>
      <c r="O211" t="e">
        <f>VLOOKUP(B211,'C.P.'!$C$2:$D$164,2,FALSE)</f>
        <v>#N/A</v>
      </c>
      <c r="P211" t="e">
        <f>VLOOKUP(B211,'C.P.'!$E$2:$F$164,2,FALSE)</f>
        <v>#N/A</v>
      </c>
      <c r="Q211" t="e">
        <f>VLOOKUP(B211,'C.P.'!$G$2:$H$164,2,FALSE)</f>
        <v>#N/A</v>
      </c>
    </row>
    <row r="212" spans="3:17">
      <c r="C212" s="212"/>
      <c r="N212" t="e">
        <f>VLOOKUP(B212,'C.P.'!$A$2:$B$164,2,FALSE)</f>
        <v>#N/A</v>
      </c>
      <c r="O212" t="e">
        <f>VLOOKUP(B212,'C.P.'!$C$2:$D$164,2,FALSE)</f>
        <v>#N/A</v>
      </c>
      <c r="P212" t="e">
        <f>VLOOKUP(B212,'C.P.'!$E$2:$F$164,2,FALSE)</f>
        <v>#N/A</v>
      </c>
      <c r="Q212" t="e">
        <f>VLOOKUP(B212,'C.P.'!$G$2:$H$164,2,FALSE)</f>
        <v>#N/A</v>
      </c>
    </row>
    <row r="213" spans="3:17">
      <c r="C213" s="212"/>
      <c r="N213" t="e">
        <f>VLOOKUP(B213,'C.P.'!$A$2:$B$164,2,FALSE)</f>
        <v>#N/A</v>
      </c>
      <c r="O213" t="e">
        <f>VLOOKUP(B213,'C.P.'!$C$2:$D$164,2,FALSE)</f>
        <v>#N/A</v>
      </c>
      <c r="P213" t="e">
        <f>VLOOKUP(B213,'C.P.'!$E$2:$F$164,2,FALSE)</f>
        <v>#N/A</v>
      </c>
      <c r="Q213" t="e">
        <f>VLOOKUP(B213,'C.P.'!$G$2:$H$164,2,FALSE)</f>
        <v>#N/A</v>
      </c>
    </row>
    <row r="214" spans="3:17">
      <c r="C214" s="212"/>
      <c r="N214" t="e">
        <f>VLOOKUP(B214,'C.P.'!$A$2:$B$164,2,FALSE)</f>
        <v>#N/A</v>
      </c>
      <c r="O214" t="e">
        <f>VLOOKUP(B214,'C.P.'!$C$2:$D$164,2,FALSE)</f>
        <v>#N/A</v>
      </c>
      <c r="P214" t="e">
        <f>VLOOKUP(B214,'C.P.'!$E$2:$F$164,2,FALSE)</f>
        <v>#N/A</v>
      </c>
      <c r="Q214" t="e">
        <f>VLOOKUP(B214,'C.P.'!$G$2:$H$164,2,FALSE)</f>
        <v>#N/A</v>
      </c>
    </row>
    <row r="215" spans="3:17">
      <c r="C215" s="212"/>
      <c r="N215" t="e">
        <f>VLOOKUP(B215,'C.P.'!$A$2:$B$164,2,FALSE)</f>
        <v>#N/A</v>
      </c>
      <c r="O215" t="e">
        <f>VLOOKUP(B215,'C.P.'!$C$2:$D$164,2,FALSE)</f>
        <v>#N/A</v>
      </c>
      <c r="P215" t="e">
        <f>VLOOKUP(B215,'C.P.'!$E$2:$F$164,2,FALSE)</f>
        <v>#N/A</v>
      </c>
      <c r="Q215" t="e">
        <f>VLOOKUP(B215,'C.P.'!$G$2:$H$164,2,FALSE)</f>
        <v>#N/A</v>
      </c>
    </row>
    <row r="216" spans="3:17">
      <c r="C216" s="212"/>
      <c r="N216" t="e">
        <f>VLOOKUP(B216,'C.P.'!$A$2:$B$164,2,FALSE)</f>
        <v>#N/A</v>
      </c>
      <c r="O216" t="e">
        <f>VLOOKUP(B216,'C.P.'!$C$2:$D$164,2,FALSE)</f>
        <v>#N/A</v>
      </c>
      <c r="P216" t="e">
        <f>VLOOKUP(B216,'C.P.'!$E$2:$F$164,2,FALSE)</f>
        <v>#N/A</v>
      </c>
      <c r="Q216" t="e">
        <f>VLOOKUP(B216,'C.P.'!$G$2:$H$164,2,FALSE)</f>
        <v>#N/A</v>
      </c>
    </row>
    <row r="217" spans="3:17">
      <c r="C217" s="212"/>
      <c r="N217" t="e">
        <f>VLOOKUP(B217,'C.P.'!$A$2:$B$164,2,FALSE)</f>
        <v>#N/A</v>
      </c>
      <c r="O217" t="e">
        <f>VLOOKUP(B217,'C.P.'!$C$2:$D$164,2,FALSE)</f>
        <v>#N/A</v>
      </c>
      <c r="P217" t="e">
        <f>VLOOKUP(B217,'C.P.'!$E$2:$F$164,2,FALSE)</f>
        <v>#N/A</v>
      </c>
      <c r="Q217" t="e">
        <f>VLOOKUP(B217,'C.P.'!$G$2:$H$164,2,FALSE)</f>
        <v>#N/A</v>
      </c>
    </row>
    <row r="218" spans="3:17">
      <c r="C218" s="212"/>
      <c r="N218" t="e">
        <f>VLOOKUP(B218,'C.P.'!$A$2:$B$164,2,FALSE)</f>
        <v>#N/A</v>
      </c>
      <c r="O218" t="e">
        <f>VLOOKUP(B218,'C.P.'!$C$2:$D$164,2,FALSE)</f>
        <v>#N/A</v>
      </c>
      <c r="P218" t="e">
        <f>VLOOKUP(B218,'C.P.'!$E$2:$F$164,2,FALSE)</f>
        <v>#N/A</v>
      </c>
      <c r="Q218" t="e">
        <f>VLOOKUP(B218,'C.P.'!$G$2:$H$164,2,FALSE)</f>
        <v>#N/A</v>
      </c>
    </row>
    <row r="219" spans="3:17">
      <c r="C219" s="212"/>
      <c r="N219" t="e">
        <f>VLOOKUP(B219,'C.P.'!$A$2:$B$164,2,FALSE)</f>
        <v>#N/A</v>
      </c>
      <c r="O219" t="e">
        <f>VLOOKUP(B219,'C.P.'!$C$2:$D$164,2,FALSE)</f>
        <v>#N/A</v>
      </c>
      <c r="P219" t="e">
        <f>VLOOKUP(B219,'C.P.'!$E$2:$F$164,2,FALSE)</f>
        <v>#N/A</v>
      </c>
      <c r="Q219" t="e">
        <f>VLOOKUP(B219,'C.P.'!$G$2:$H$164,2,FALSE)</f>
        <v>#N/A</v>
      </c>
    </row>
    <row r="220" spans="3:17">
      <c r="C220" s="212"/>
      <c r="N220" t="e">
        <f>VLOOKUP(B220,'C.P.'!$A$2:$B$164,2,FALSE)</f>
        <v>#N/A</v>
      </c>
      <c r="O220" t="e">
        <f>VLOOKUP(B220,'C.P.'!$C$2:$D$164,2,FALSE)</f>
        <v>#N/A</v>
      </c>
      <c r="P220" t="e">
        <f>VLOOKUP(B220,'C.P.'!$E$2:$F$164,2,FALSE)</f>
        <v>#N/A</v>
      </c>
      <c r="Q220" t="e">
        <f>VLOOKUP(B220,'C.P.'!$G$2:$H$164,2,FALSE)</f>
        <v>#N/A</v>
      </c>
    </row>
    <row r="221" spans="3:17">
      <c r="C221" s="212"/>
      <c r="N221" t="e">
        <f>VLOOKUP(B221,'C.P.'!$A$2:$B$164,2,FALSE)</f>
        <v>#N/A</v>
      </c>
      <c r="O221" t="e">
        <f>VLOOKUP(B221,'C.P.'!$C$2:$D$164,2,FALSE)</f>
        <v>#N/A</v>
      </c>
      <c r="P221" t="e">
        <f>VLOOKUP(B221,'C.P.'!$E$2:$F$164,2,FALSE)</f>
        <v>#N/A</v>
      </c>
      <c r="Q221" t="e">
        <f>VLOOKUP(B221,'C.P.'!$G$2:$H$164,2,FALSE)</f>
        <v>#N/A</v>
      </c>
    </row>
    <row r="222" spans="3:17">
      <c r="C222" s="212"/>
      <c r="N222" t="e">
        <f>VLOOKUP(B222,'C.P.'!$A$2:$B$164,2,FALSE)</f>
        <v>#N/A</v>
      </c>
      <c r="O222" t="e">
        <f>VLOOKUP(B222,'C.P.'!$C$2:$D$164,2,FALSE)</f>
        <v>#N/A</v>
      </c>
      <c r="P222" t="e">
        <f>VLOOKUP(B222,'C.P.'!$E$2:$F$164,2,FALSE)</f>
        <v>#N/A</v>
      </c>
      <c r="Q222" t="e">
        <f>VLOOKUP(B222,'C.P.'!$G$2:$H$164,2,FALSE)</f>
        <v>#N/A</v>
      </c>
    </row>
    <row r="223" spans="3:17">
      <c r="C223" s="212"/>
      <c r="N223" t="e">
        <f>VLOOKUP(B223,'C.P.'!$A$2:$B$164,2,FALSE)</f>
        <v>#N/A</v>
      </c>
      <c r="O223" t="e">
        <f>VLOOKUP(B223,'C.P.'!$C$2:$D$164,2,FALSE)</f>
        <v>#N/A</v>
      </c>
      <c r="P223" t="e">
        <f>VLOOKUP(B223,'C.P.'!$E$2:$F$164,2,FALSE)</f>
        <v>#N/A</v>
      </c>
      <c r="Q223" t="e">
        <f>VLOOKUP(B223,'C.P.'!$G$2:$H$164,2,FALSE)</f>
        <v>#N/A</v>
      </c>
    </row>
    <row r="224" spans="3:17">
      <c r="C224" s="212"/>
      <c r="N224" t="e">
        <f>VLOOKUP(B224,'C.P.'!$A$2:$B$164,2,FALSE)</f>
        <v>#N/A</v>
      </c>
      <c r="O224" t="e">
        <f>VLOOKUP(B224,'C.P.'!$C$2:$D$164,2,FALSE)</f>
        <v>#N/A</v>
      </c>
      <c r="P224" t="e">
        <f>VLOOKUP(B224,'C.P.'!$E$2:$F$164,2,FALSE)</f>
        <v>#N/A</v>
      </c>
      <c r="Q224" t="e">
        <f>VLOOKUP(B224,'C.P.'!$G$2:$H$164,2,FALSE)</f>
        <v>#N/A</v>
      </c>
    </row>
    <row r="225" spans="3:17">
      <c r="C225" s="212"/>
      <c r="N225" t="e">
        <f>VLOOKUP(B225,'C.P.'!$A$2:$B$164,2,FALSE)</f>
        <v>#N/A</v>
      </c>
      <c r="O225" t="e">
        <f>VLOOKUP(B225,'C.P.'!$C$2:$D$164,2,FALSE)</f>
        <v>#N/A</v>
      </c>
      <c r="P225" t="e">
        <f>VLOOKUP(B225,'C.P.'!$E$2:$F$164,2,FALSE)</f>
        <v>#N/A</v>
      </c>
      <c r="Q225" t="e">
        <f>VLOOKUP(B225,'C.P.'!$G$2:$H$164,2,FALSE)</f>
        <v>#N/A</v>
      </c>
    </row>
    <row r="226" spans="3:17">
      <c r="C226" s="212"/>
      <c r="N226" t="e">
        <f>VLOOKUP(B226,'C.P.'!$A$2:$B$164,2,FALSE)</f>
        <v>#N/A</v>
      </c>
      <c r="O226" t="e">
        <f>VLOOKUP(B226,'C.P.'!$C$2:$D$164,2,FALSE)</f>
        <v>#N/A</v>
      </c>
      <c r="P226" t="e">
        <f>VLOOKUP(B226,'C.P.'!$E$2:$F$164,2,FALSE)</f>
        <v>#N/A</v>
      </c>
      <c r="Q226" t="e">
        <f>VLOOKUP(B226,'C.P.'!$G$2:$H$164,2,FALSE)</f>
        <v>#N/A</v>
      </c>
    </row>
    <row r="227" spans="3:17">
      <c r="C227" s="212"/>
      <c r="N227" t="e">
        <f>VLOOKUP(B227,'C.P.'!$A$2:$B$164,2,FALSE)</f>
        <v>#N/A</v>
      </c>
      <c r="O227" t="e">
        <f>VLOOKUP(B227,'C.P.'!$C$2:$D$164,2,FALSE)</f>
        <v>#N/A</v>
      </c>
      <c r="P227" t="e">
        <f>VLOOKUP(B227,'C.P.'!$E$2:$F$164,2,FALSE)</f>
        <v>#N/A</v>
      </c>
      <c r="Q227" t="e">
        <f>VLOOKUP(B227,'C.P.'!$G$2:$H$164,2,FALSE)</f>
        <v>#N/A</v>
      </c>
    </row>
    <row r="228" spans="3:17">
      <c r="C228" s="212"/>
      <c r="N228" t="e">
        <f>VLOOKUP(B228,'C.P.'!$A$2:$B$164,2,FALSE)</f>
        <v>#N/A</v>
      </c>
      <c r="O228" t="e">
        <f>VLOOKUP(B228,'C.P.'!$C$2:$D$164,2,FALSE)</f>
        <v>#N/A</v>
      </c>
      <c r="P228" t="e">
        <f>VLOOKUP(B228,'C.P.'!$E$2:$F$164,2,FALSE)</f>
        <v>#N/A</v>
      </c>
      <c r="Q228" t="e">
        <f>VLOOKUP(B228,'C.P.'!$G$2:$H$164,2,FALSE)</f>
        <v>#N/A</v>
      </c>
    </row>
    <row r="229" spans="3:17">
      <c r="C229" s="212"/>
      <c r="N229" t="e">
        <f>VLOOKUP(B229,'C.P.'!$A$2:$B$164,2,FALSE)</f>
        <v>#N/A</v>
      </c>
      <c r="O229" t="e">
        <f>VLOOKUP(B229,'C.P.'!$C$2:$D$164,2,FALSE)</f>
        <v>#N/A</v>
      </c>
      <c r="P229" t="e">
        <f>VLOOKUP(B229,'C.P.'!$E$2:$F$164,2,FALSE)</f>
        <v>#N/A</v>
      </c>
      <c r="Q229" t="e">
        <f>VLOOKUP(B229,'C.P.'!$G$2:$H$164,2,FALSE)</f>
        <v>#N/A</v>
      </c>
    </row>
    <row r="230" spans="3:17">
      <c r="C230" s="212"/>
      <c r="N230" t="e">
        <f>VLOOKUP(B230,'C.P.'!$A$2:$B$164,2,FALSE)</f>
        <v>#N/A</v>
      </c>
      <c r="O230" t="e">
        <f>VLOOKUP(B230,'C.P.'!$C$2:$D$164,2,FALSE)</f>
        <v>#N/A</v>
      </c>
      <c r="P230" t="e">
        <f>VLOOKUP(B230,'C.P.'!$E$2:$F$164,2,FALSE)</f>
        <v>#N/A</v>
      </c>
      <c r="Q230" t="e">
        <f>VLOOKUP(B230,'C.P.'!$G$2:$H$164,2,FALSE)</f>
        <v>#N/A</v>
      </c>
    </row>
    <row r="231" spans="3:17">
      <c r="C231" s="212"/>
      <c r="N231" t="e">
        <f>VLOOKUP(B231,'C.P.'!$A$2:$B$164,2,FALSE)</f>
        <v>#N/A</v>
      </c>
      <c r="O231" t="e">
        <f>VLOOKUP(B231,'C.P.'!$C$2:$D$164,2,FALSE)</f>
        <v>#N/A</v>
      </c>
      <c r="P231" t="e">
        <f>VLOOKUP(B231,'C.P.'!$E$2:$F$164,2,FALSE)</f>
        <v>#N/A</v>
      </c>
      <c r="Q231" t="e">
        <f>VLOOKUP(B231,'C.P.'!$G$2:$H$164,2,FALSE)</f>
        <v>#N/A</v>
      </c>
    </row>
    <row r="232" spans="3:17">
      <c r="C232" s="212"/>
      <c r="N232" t="e">
        <f>VLOOKUP(B232,'C.P.'!$A$2:$B$164,2,FALSE)</f>
        <v>#N/A</v>
      </c>
      <c r="O232" t="e">
        <f>VLOOKUP(B232,'C.P.'!$C$2:$D$164,2,FALSE)</f>
        <v>#N/A</v>
      </c>
      <c r="P232" t="e">
        <f>VLOOKUP(B232,'C.P.'!$E$2:$F$164,2,FALSE)</f>
        <v>#N/A</v>
      </c>
      <c r="Q232" t="e">
        <f>VLOOKUP(B232,'C.P.'!$G$2:$H$164,2,FALSE)</f>
        <v>#N/A</v>
      </c>
    </row>
    <row r="233" spans="3:17">
      <c r="C233" s="212"/>
      <c r="N233" t="e">
        <f>VLOOKUP(B233,'C.P.'!$A$2:$B$164,2,FALSE)</f>
        <v>#N/A</v>
      </c>
      <c r="O233" t="e">
        <f>VLOOKUP(B233,'C.P.'!$C$2:$D$164,2,FALSE)</f>
        <v>#N/A</v>
      </c>
      <c r="P233" t="e">
        <f>VLOOKUP(B233,'C.P.'!$E$2:$F$164,2,FALSE)</f>
        <v>#N/A</v>
      </c>
      <c r="Q233" t="e">
        <f>VLOOKUP(B233,'C.P.'!$G$2:$H$164,2,FALSE)</f>
        <v>#N/A</v>
      </c>
    </row>
    <row r="234" spans="3:17">
      <c r="C234" s="212"/>
      <c r="N234" t="e">
        <f>VLOOKUP(B234,'C.P.'!$A$2:$B$164,2,FALSE)</f>
        <v>#N/A</v>
      </c>
      <c r="O234" t="e">
        <f>VLOOKUP(B234,'C.P.'!$C$2:$D$164,2,FALSE)</f>
        <v>#N/A</v>
      </c>
      <c r="P234" t="e">
        <f>VLOOKUP(B234,'C.P.'!$E$2:$F$164,2,FALSE)</f>
        <v>#N/A</v>
      </c>
      <c r="Q234" t="e">
        <f>VLOOKUP(B234,'C.P.'!$G$2:$H$164,2,FALSE)</f>
        <v>#N/A</v>
      </c>
    </row>
    <row r="235" spans="3:17">
      <c r="C235" s="212"/>
      <c r="N235" t="e">
        <f>VLOOKUP(B235,'C.P.'!$A$2:$B$164,2,FALSE)</f>
        <v>#N/A</v>
      </c>
      <c r="O235" t="e">
        <f>VLOOKUP(B235,'C.P.'!$C$2:$D$164,2,FALSE)</f>
        <v>#N/A</v>
      </c>
      <c r="P235" t="e">
        <f>VLOOKUP(B235,'C.P.'!$E$2:$F$164,2,FALSE)</f>
        <v>#N/A</v>
      </c>
      <c r="Q235" t="e">
        <f>VLOOKUP(B235,'C.P.'!$G$2:$H$164,2,FALSE)</f>
        <v>#N/A</v>
      </c>
    </row>
    <row r="236" spans="3:17">
      <c r="C236" s="212"/>
      <c r="N236" t="e">
        <f>VLOOKUP(B236,'C.P.'!$A$2:$B$164,2,FALSE)</f>
        <v>#N/A</v>
      </c>
      <c r="O236" t="e">
        <f>VLOOKUP(B236,'C.P.'!$C$2:$D$164,2,FALSE)</f>
        <v>#N/A</v>
      </c>
      <c r="P236" t="e">
        <f>VLOOKUP(B236,'C.P.'!$E$2:$F$164,2,FALSE)</f>
        <v>#N/A</v>
      </c>
      <c r="Q236" t="e">
        <f>VLOOKUP(B236,'C.P.'!$G$2:$H$164,2,FALSE)</f>
        <v>#N/A</v>
      </c>
    </row>
    <row r="237" spans="3:17">
      <c r="C237" s="212"/>
      <c r="N237" t="e">
        <f>VLOOKUP(B237,'C.P.'!$A$2:$B$164,2,FALSE)</f>
        <v>#N/A</v>
      </c>
      <c r="O237" t="e">
        <f>VLOOKUP(B237,'C.P.'!$C$2:$D$164,2,FALSE)</f>
        <v>#N/A</v>
      </c>
      <c r="P237" t="e">
        <f>VLOOKUP(B237,'C.P.'!$E$2:$F$164,2,FALSE)</f>
        <v>#N/A</v>
      </c>
      <c r="Q237" t="e">
        <f>VLOOKUP(B237,'C.P.'!$G$2:$H$164,2,FALSE)</f>
        <v>#N/A</v>
      </c>
    </row>
    <row r="238" spans="3:17">
      <c r="C238" s="212"/>
      <c r="N238" t="e">
        <f>VLOOKUP(B238,'C.P.'!$A$2:$B$164,2,FALSE)</f>
        <v>#N/A</v>
      </c>
      <c r="O238" t="e">
        <f>VLOOKUP(B238,'C.P.'!$C$2:$D$164,2,FALSE)</f>
        <v>#N/A</v>
      </c>
      <c r="P238" t="e">
        <f>VLOOKUP(B238,'C.P.'!$E$2:$F$164,2,FALSE)</f>
        <v>#N/A</v>
      </c>
      <c r="Q238" t="e">
        <f>VLOOKUP(B238,'C.P.'!$G$2:$H$164,2,FALSE)</f>
        <v>#N/A</v>
      </c>
    </row>
    <row r="239" spans="3:17">
      <c r="C239" s="212"/>
      <c r="N239" t="e">
        <f>VLOOKUP(B239,'C.P.'!$A$2:$B$164,2,FALSE)</f>
        <v>#N/A</v>
      </c>
      <c r="O239" t="e">
        <f>VLOOKUP(B239,'C.P.'!$C$2:$D$164,2,FALSE)</f>
        <v>#N/A</v>
      </c>
      <c r="P239" t="e">
        <f>VLOOKUP(B239,'C.P.'!$E$2:$F$164,2,FALSE)</f>
        <v>#N/A</v>
      </c>
      <c r="Q239" t="e">
        <f>VLOOKUP(B239,'C.P.'!$G$2:$H$164,2,FALSE)</f>
        <v>#N/A</v>
      </c>
    </row>
    <row r="240" spans="3:17">
      <c r="C240" s="212"/>
      <c r="N240" t="e">
        <f>VLOOKUP(B240,'C.P.'!$A$2:$B$164,2,FALSE)</f>
        <v>#N/A</v>
      </c>
      <c r="O240" t="e">
        <f>VLOOKUP(B240,'C.P.'!$C$2:$D$164,2,FALSE)</f>
        <v>#N/A</v>
      </c>
      <c r="P240" t="e">
        <f>VLOOKUP(B240,'C.P.'!$E$2:$F$164,2,FALSE)</f>
        <v>#N/A</v>
      </c>
      <c r="Q240" t="e">
        <f>VLOOKUP(B240,'C.P.'!$G$2:$H$164,2,FALSE)</f>
        <v>#N/A</v>
      </c>
    </row>
    <row r="241" spans="3:17">
      <c r="C241" s="212"/>
      <c r="N241" t="e">
        <f>VLOOKUP(B241,'C.P.'!$A$2:$B$164,2,FALSE)</f>
        <v>#N/A</v>
      </c>
      <c r="O241" t="e">
        <f>VLOOKUP(B241,'C.P.'!$C$2:$D$164,2,FALSE)</f>
        <v>#N/A</v>
      </c>
      <c r="P241" t="e">
        <f>VLOOKUP(B241,'C.P.'!$E$2:$F$164,2,FALSE)</f>
        <v>#N/A</v>
      </c>
      <c r="Q241" t="e">
        <f>VLOOKUP(B241,'C.P.'!$G$2:$H$164,2,FALSE)</f>
        <v>#N/A</v>
      </c>
    </row>
    <row r="242" spans="3:17">
      <c r="C242" s="212"/>
      <c r="N242" t="e">
        <f>VLOOKUP(B242,'C.P.'!$A$2:$B$164,2,FALSE)</f>
        <v>#N/A</v>
      </c>
      <c r="O242" t="e">
        <f>VLOOKUP(B242,'C.P.'!$C$2:$D$164,2,FALSE)</f>
        <v>#N/A</v>
      </c>
      <c r="P242" t="e">
        <f>VLOOKUP(B242,'C.P.'!$E$2:$F$164,2,FALSE)</f>
        <v>#N/A</v>
      </c>
      <c r="Q242" t="e">
        <f>VLOOKUP(B242,'C.P.'!$G$2:$H$164,2,FALSE)</f>
        <v>#N/A</v>
      </c>
    </row>
    <row r="243" spans="3:17">
      <c r="C243" s="212"/>
      <c r="N243" t="e">
        <f>VLOOKUP(B243,'C.P.'!$A$2:$B$164,2,FALSE)</f>
        <v>#N/A</v>
      </c>
      <c r="O243" t="e">
        <f>VLOOKUP(B243,'C.P.'!$C$2:$D$164,2,FALSE)</f>
        <v>#N/A</v>
      </c>
      <c r="P243" t="e">
        <f>VLOOKUP(B243,'C.P.'!$E$2:$F$164,2,FALSE)</f>
        <v>#N/A</v>
      </c>
      <c r="Q243" t="e">
        <f>VLOOKUP(B243,'C.P.'!$G$2:$H$164,2,FALSE)</f>
        <v>#N/A</v>
      </c>
    </row>
    <row r="244" spans="3:17">
      <c r="C244" s="212"/>
      <c r="N244" t="e">
        <f>VLOOKUP(B244,'C.P.'!$A$2:$B$164,2,FALSE)</f>
        <v>#N/A</v>
      </c>
      <c r="O244" t="e">
        <f>VLOOKUP(B244,'C.P.'!$C$2:$D$164,2,FALSE)</f>
        <v>#N/A</v>
      </c>
      <c r="P244" t="e">
        <f>VLOOKUP(B244,'C.P.'!$E$2:$F$164,2,FALSE)</f>
        <v>#N/A</v>
      </c>
      <c r="Q244" t="e">
        <f>VLOOKUP(B244,'C.P.'!$G$2:$H$164,2,FALSE)</f>
        <v>#N/A</v>
      </c>
    </row>
    <row r="245" spans="3:17">
      <c r="C245" s="212"/>
      <c r="N245" t="e">
        <f>VLOOKUP(B245,'C.P.'!$A$2:$B$164,2,FALSE)</f>
        <v>#N/A</v>
      </c>
      <c r="O245" t="e">
        <f>VLOOKUP(B245,'C.P.'!$C$2:$D$164,2,FALSE)</f>
        <v>#N/A</v>
      </c>
      <c r="P245" t="e">
        <f>VLOOKUP(B245,'C.P.'!$E$2:$F$164,2,FALSE)</f>
        <v>#N/A</v>
      </c>
      <c r="Q245" t="e">
        <f>VLOOKUP(B245,'C.P.'!$G$2:$H$164,2,FALSE)</f>
        <v>#N/A</v>
      </c>
    </row>
    <row r="246" spans="3:17">
      <c r="C246" s="212"/>
      <c r="N246" t="e">
        <f>VLOOKUP(B246,'C.P.'!$A$2:$B$164,2,FALSE)</f>
        <v>#N/A</v>
      </c>
      <c r="O246" t="e">
        <f>VLOOKUP(B246,'C.P.'!$C$2:$D$164,2,FALSE)</f>
        <v>#N/A</v>
      </c>
      <c r="P246" t="e">
        <f>VLOOKUP(B246,'C.P.'!$E$2:$F$164,2,FALSE)</f>
        <v>#N/A</v>
      </c>
      <c r="Q246" t="e">
        <f>VLOOKUP(B246,'C.P.'!$G$2:$H$164,2,FALSE)</f>
        <v>#N/A</v>
      </c>
    </row>
    <row r="247" spans="3:17">
      <c r="C247" s="212"/>
      <c r="N247" t="e">
        <f>VLOOKUP(B247,'C.P.'!$A$2:$B$164,2,FALSE)</f>
        <v>#N/A</v>
      </c>
      <c r="O247" t="e">
        <f>VLOOKUP(B247,'C.P.'!$C$2:$D$164,2,FALSE)</f>
        <v>#N/A</v>
      </c>
      <c r="P247" t="e">
        <f>VLOOKUP(B247,'C.P.'!$E$2:$F$164,2,FALSE)</f>
        <v>#N/A</v>
      </c>
      <c r="Q247" t="e">
        <f>VLOOKUP(B247,'C.P.'!$G$2:$H$164,2,FALSE)</f>
        <v>#N/A</v>
      </c>
    </row>
    <row r="248" spans="3:17">
      <c r="C248" s="212"/>
      <c r="N248" t="e">
        <f>VLOOKUP(B248,'C.P.'!$A$2:$B$164,2,FALSE)</f>
        <v>#N/A</v>
      </c>
      <c r="O248" t="e">
        <f>VLOOKUP(B248,'C.P.'!$C$2:$D$164,2,FALSE)</f>
        <v>#N/A</v>
      </c>
      <c r="P248" t="e">
        <f>VLOOKUP(B248,'C.P.'!$E$2:$F$164,2,FALSE)</f>
        <v>#N/A</v>
      </c>
      <c r="Q248" t="e">
        <f>VLOOKUP(B248,'C.P.'!$G$2:$H$164,2,FALSE)</f>
        <v>#N/A</v>
      </c>
    </row>
    <row r="249" spans="3:17">
      <c r="C249" s="212"/>
      <c r="N249" t="e">
        <f>VLOOKUP(B249,'C.P.'!$A$2:$B$164,2,FALSE)</f>
        <v>#N/A</v>
      </c>
      <c r="O249" t="e">
        <f>VLOOKUP(B249,'C.P.'!$C$2:$D$164,2,FALSE)</f>
        <v>#N/A</v>
      </c>
      <c r="P249" t="e">
        <f>VLOOKUP(B249,'C.P.'!$E$2:$F$164,2,FALSE)</f>
        <v>#N/A</v>
      </c>
      <c r="Q249" t="e">
        <f>VLOOKUP(B249,'C.P.'!$G$2:$H$164,2,FALSE)</f>
        <v>#N/A</v>
      </c>
    </row>
    <row r="250" spans="3:17">
      <c r="C250" s="212"/>
      <c r="N250" t="e">
        <f>VLOOKUP(B250,'C.P.'!$A$2:$B$164,2,FALSE)</f>
        <v>#N/A</v>
      </c>
      <c r="O250" t="e">
        <f>VLOOKUP(B250,'C.P.'!$C$2:$D$164,2,FALSE)</f>
        <v>#N/A</v>
      </c>
      <c r="P250" t="e">
        <f>VLOOKUP(B250,'C.P.'!$E$2:$F$164,2,FALSE)</f>
        <v>#N/A</v>
      </c>
      <c r="Q250" t="e">
        <f>VLOOKUP(B250,'C.P.'!$G$2:$H$164,2,FALSE)</f>
        <v>#N/A</v>
      </c>
    </row>
    <row r="251" spans="3:17">
      <c r="C251" s="212"/>
      <c r="N251" t="e">
        <f>VLOOKUP(B251,'C.P.'!$A$2:$B$164,2,FALSE)</f>
        <v>#N/A</v>
      </c>
      <c r="O251" t="e">
        <f>VLOOKUP(B251,'C.P.'!$C$2:$D$164,2,FALSE)</f>
        <v>#N/A</v>
      </c>
      <c r="P251" t="e">
        <f>VLOOKUP(B251,'C.P.'!$E$2:$F$164,2,FALSE)</f>
        <v>#N/A</v>
      </c>
      <c r="Q251" t="e">
        <f>VLOOKUP(B251,'C.P.'!$G$2:$H$164,2,FALSE)</f>
        <v>#N/A</v>
      </c>
    </row>
    <row r="252" spans="3:17">
      <c r="C252" s="212"/>
      <c r="N252" t="e">
        <f>VLOOKUP(B252,'C.P.'!$A$2:$B$164,2,FALSE)</f>
        <v>#N/A</v>
      </c>
      <c r="O252" t="e">
        <f>VLOOKUP(B252,'C.P.'!$C$2:$D$164,2,FALSE)</f>
        <v>#N/A</v>
      </c>
      <c r="P252" t="e">
        <f>VLOOKUP(B252,'C.P.'!$E$2:$F$164,2,FALSE)</f>
        <v>#N/A</v>
      </c>
      <c r="Q252" t="e">
        <f>VLOOKUP(B252,'C.P.'!$G$2:$H$164,2,FALSE)</f>
        <v>#N/A</v>
      </c>
    </row>
    <row r="253" spans="3:17">
      <c r="C253" s="212"/>
      <c r="N253" t="e">
        <f>VLOOKUP(B253,'C.P.'!$A$2:$B$164,2,FALSE)</f>
        <v>#N/A</v>
      </c>
      <c r="O253" t="e">
        <f>VLOOKUP(B253,'C.P.'!$C$2:$D$164,2,FALSE)</f>
        <v>#N/A</v>
      </c>
      <c r="P253" t="e">
        <f>VLOOKUP(B253,'C.P.'!$E$2:$F$164,2,FALSE)</f>
        <v>#N/A</v>
      </c>
      <c r="Q253" t="e">
        <f>VLOOKUP(B253,'C.P.'!$G$2:$H$164,2,FALSE)</f>
        <v>#N/A</v>
      </c>
    </row>
    <row r="254" spans="3:17">
      <c r="C254" s="212"/>
      <c r="N254" t="e">
        <f>VLOOKUP(B254,'C.P.'!$A$2:$B$164,2,FALSE)</f>
        <v>#N/A</v>
      </c>
      <c r="O254" t="e">
        <f>VLOOKUP(B254,'C.P.'!$C$2:$D$164,2,FALSE)</f>
        <v>#N/A</v>
      </c>
      <c r="P254" t="e">
        <f>VLOOKUP(B254,'C.P.'!$E$2:$F$164,2,FALSE)</f>
        <v>#N/A</v>
      </c>
      <c r="Q254" t="e">
        <f>VLOOKUP(B254,'C.P.'!$G$2:$H$164,2,FALSE)</f>
        <v>#N/A</v>
      </c>
    </row>
    <row r="255" spans="3:17">
      <c r="C255" s="212"/>
      <c r="N255" t="e">
        <f>VLOOKUP(B255,'C.P.'!$A$2:$B$164,2,FALSE)</f>
        <v>#N/A</v>
      </c>
      <c r="O255" t="e">
        <f>VLOOKUP(B255,'C.P.'!$C$2:$D$164,2,FALSE)</f>
        <v>#N/A</v>
      </c>
      <c r="P255" t="e">
        <f>VLOOKUP(B255,'C.P.'!$E$2:$F$164,2,FALSE)</f>
        <v>#N/A</v>
      </c>
      <c r="Q255" t="e">
        <f>VLOOKUP(B255,'C.P.'!$G$2:$H$164,2,FALSE)</f>
        <v>#N/A</v>
      </c>
    </row>
    <row r="256" spans="3:17">
      <c r="C256" s="212"/>
      <c r="N256" t="e">
        <f>VLOOKUP(B256,'C.P.'!$A$2:$B$164,2,FALSE)</f>
        <v>#N/A</v>
      </c>
      <c r="O256" t="e">
        <f>VLOOKUP(B256,'C.P.'!$C$2:$D$164,2,FALSE)</f>
        <v>#N/A</v>
      </c>
      <c r="P256" t="e">
        <f>VLOOKUP(B256,'C.P.'!$E$2:$F$164,2,FALSE)</f>
        <v>#N/A</v>
      </c>
      <c r="Q256" t="e">
        <f>VLOOKUP(B256,'C.P.'!$G$2:$H$164,2,FALSE)</f>
        <v>#N/A</v>
      </c>
    </row>
    <row r="257" spans="3:17">
      <c r="C257" s="212"/>
      <c r="N257" t="e">
        <f>VLOOKUP(B257,'C.P.'!$A$2:$B$164,2,FALSE)</f>
        <v>#N/A</v>
      </c>
      <c r="O257" t="e">
        <f>VLOOKUP(B257,'C.P.'!$C$2:$D$164,2,FALSE)</f>
        <v>#N/A</v>
      </c>
      <c r="P257" t="e">
        <f>VLOOKUP(B257,'C.P.'!$E$2:$F$164,2,FALSE)</f>
        <v>#N/A</v>
      </c>
      <c r="Q257" t="e">
        <f>VLOOKUP(B257,'C.P.'!$G$2:$H$164,2,FALSE)</f>
        <v>#N/A</v>
      </c>
    </row>
    <row r="258" spans="3:17">
      <c r="C258" s="212"/>
      <c r="N258" t="e">
        <f>VLOOKUP(B258,'C.P.'!$A$2:$B$164,2,FALSE)</f>
        <v>#N/A</v>
      </c>
      <c r="O258" t="e">
        <f>VLOOKUP(B258,'C.P.'!$C$2:$D$164,2,FALSE)</f>
        <v>#N/A</v>
      </c>
      <c r="P258" t="e">
        <f>VLOOKUP(B258,'C.P.'!$E$2:$F$164,2,FALSE)</f>
        <v>#N/A</v>
      </c>
      <c r="Q258" t="e">
        <f>VLOOKUP(B258,'C.P.'!$G$2:$H$164,2,FALSE)</f>
        <v>#N/A</v>
      </c>
    </row>
    <row r="259" spans="3:17">
      <c r="C259" s="212"/>
      <c r="N259" t="e">
        <f>VLOOKUP(B259,'C.P.'!$A$2:$B$164,2,FALSE)</f>
        <v>#N/A</v>
      </c>
      <c r="O259" t="e">
        <f>VLOOKUP(B259,'C.P.'!$C$2:$D$164,2,FALSE)</f>
        <v>#N/A</v>
      </c>
      <c r="P259" t="e">
        <f>VLOOKUP(B259,'C.P.'!$E$2:$F$164,2,FALSE)</f>
        <v>#N/A</v>
      </c>
      <c r="Q259" t="e">
        <f>VLOOKUP(B259,'C.P.'!$G$2:$H$164,2,FALSE)</f>
        <v>#N/A</v>
      </c>
    </row>
    <row r="260" spans="3:17">
      <c r="C260" s="212"/>
      <c r="N260" t="e">
        <f>VLOOKUP(B260,'C.P.'!$A$2:$B$164,2,FALSE)</f>
        <v>#N/A</v>
      </c>
      <c r="O260" t="e">
        <f>VLOOKUP(B260,'C.P.'!$C$2:$D$164,2,FALSE)</f>
        <v>#N/A</v>
      </c>
      <c r="P260" t="e">
        <f>VLOOKUP(B260,'C.P.'!$E$2:$F$164,2,FALSE)</f>
        <v>#N/A</v>
      </c>
      <c r="Q260" t="e">
        <f>VLOOKUP(B260,'C.P.'!$G$2:$H$164,2,FALSE)</f>
        <v>#N/A</v>
      </c>
    </row>
    <row r="261" spans="3:17">
      <c r="C261" s="212"/>
      <c r="N261" t="e">
        <f>VLOOKUP(B261,'C.P.'!$A$2:$B$164,2,FALSE)</f>
        <v>#N/A</v>
      </c>
      <c r="O261" t="e">
        <f>VLOOKUP(B261,'C.P.'!$C$2:$D$164,2,FALSE)</f>
        <v>#N/A</v>
      </c>
      <c r="P261" t="e">
        <f>VLOOKUP(B261,'C.P.'!$E$2:$F$164,2,FALSE)</f>
        <v>#N/A</v>
      </c>
      <c r="Q261" t="e">
        <f>VLOOKUP(B261,'C.P.'!$G$2:$H$164,2,FALSE)</f>
        <v>#N/A</v>
      </c>
    </row>
    <row r="262" spans="3:17">
      <c r="C262" s="212"/>
      <c r="N262" t="e">
        <f>VLOOKUP(B262,'C.P.'!$A$2:$B$164,2,FALSE)</f>
        <v>#N/A</v>
      </c>
      <c r="O262" t="e">
        <f>VLOOKUP(B262,'C.P.'!$C$2:$D$164,2,FALSE)</f>
        <v>#N/A</v>
      </c>
      <c r="P262" t="e">
        <f>VLOOKUP(B262,'C.P.'!$E$2:$F$164,2,FALSE)</f>
        <v>#N/A</v>
      </c>
      <c r="Q262" t="e">
        <f>VLOOKUP(B262,'C.P.'!$G$2:$H$164,2,FALSE)</f>
        <v>#N/A</v>
      </c>
    </row>
    <row r="263" spans="3:17">
      <c r="C263" s="212"/>
      <c r="N263" t="e">
        <f>VLOOKUP(B263,'C.P.'!$A$2:$B$164,2,FALSE)</f>
        <v>#N/A</v>
      </c>
      <c r="O263" t="e">
        <f>VLOOKUP(B263,'C.P.'!$C$2:$D$164,2,FALSE)</f>
        <v>#N/A</v>
      </c>
      <c r="P263" t="e">
        <f>VLOOKUP(B263,'C.P.'!$E$2:$F$164,2,FALSE)</f>
        <v>#N/A</v>
      </c>
      <c r="Q263" t="e">
        <f>VLOOKUP(B263,'C.P.'!$G$2:$H$164,2,FALSE)</f>
        <v>#N/A</v>
      </c>
    </row>
    <row r="264" spans="3:17">
      <c r="C264" s="212"/>
      <c r="N264" t="e">
        <f>VLOOKUP(B264,'C.P.'!$A$2:$B$164,2,FALSE)</f>
        <v>#N/A</v>
      </c>
      <c r="O264" t="e">
        <f>VLOOKUP(B264,'C.P.'!$C$2:$D$164,2,FALSE)</f>
        <v>#N/A</v>
      </c>
      <c r="P264" t="e">
        <f>VLOOKUP(B264,'C.P.'!$E$2:$F$164,2,FALSE)</f>
        <v>#N/A</v>
      </c>
      <c r="Q264" t="e">
        <f>VLOOKUP(B264,'C.P.'!$G$2:$H$164,2,FALSE)</f>
        <v>#N/A</v>
      </c>
    </row>
    <row r="265" spans="3:17">
      <c r="C265" s="212"/>
      <c r="N265" t="e">
        <f>VLOOKUP(B265,'C.P.'!$A$2:$B$164,2,FALSE)</f>
        <v>#N/A</v>
      </c>
      <c r="O265" t="e">
        <f>VLOOKUP(B265,'C.P.'!$C$2:$D$164,2,FALSE)</f>
        <v>#N/A</v>
      </c>
      <c r="P265" t="e">
        <f>VLOOKUP(B265,'C.P.'!$E$2:$F$164,2,FALSE)</f>
        <v>#N/A</v>
      </c>
      <c r="Q265" t="e">
        <f>VLOOKUP(B265,'C.P.'!$G$2:$H$164,2,FALSE)</f>
        <v>#N/A</v>
      </c>
    </row>
    <row r="266" spans="3:17">
      <c r="C266" s="212"/>
      <c r="N266" t="e">
        <f>VLOOKUP(B266,'C.P.'!$A$2:$B$164,2,FALSE)</f>
        <v>#N/A</v>
      </c>
      <c r="O266" t="e">
        <f>VLOOKUP(B266,'C.P.'!$C$2:$D$164,2,FALSE)</f>
        <v>#N/A</v>
      </c>
      <c r="P266" t="e">
        <f>VLOOKUP(B266,'C.P.'!$E$2:$F$164,2,FALSE)</f>
        <v>#N/A</v>
      </c>
      <c r="Q266" t="e">
        <f>VLOOKUP(B266,'C.P.'!$G$2:$H$164,2,FALSE)</f>
        <v>#N/A</v>
      </c>
    </row>
    <row r="267" spans="3:17">
      <c r="C267" s="212"/>
      <c r="N267" t="e">
        <f>VLOOKUP(B267,'C.P.'!$A$2:$B$164,2,FALSE)</f>
        <v>#N/A</v>
      </c>
      <c r="O267" t="e">
        <f>VLOOKUP(B267,'C.P.'!$C$2:$D$164,2,FALSE)</f>
        <v>#N/A</v>
      </c>
      <c r="P267" t="e">
        <f>VLOOKUP(B267,'C.P.'!$E$2:$F$164,2,FALSE)</f>
        <v>#N/A</v>
      </c>
      <c r="Q267" t="e">
        <f>VLOOKUP(B267,'C.P.'!$G$2:$H$164,2,FALSE)</f>
        <v>#N/A</v>
      </c>
    </row>
    <row r="268" spans="3:17">
      <c r="C268" s="212"/>
      <c r="N268" t="e">
        <f>VLOOKUP(B268,'C.P.'!$A$2:$B$164,2,FALSE)</f>
        <v>#N/A</v>
      </c>
      <c r="O268" t="e">
        <f>VLOOKUP(B268,'C.P.'!$C$2:$D$164,2,FALSE)</f>
        <v>#N/A</v>
      </c>
      <c r="P268" t="e">
        <f>VLOOKUP(B268,'C.P.'!$E$2:$F$164,2,FALSE)</f>
        <v>#N/A</v>
      </c>
      <c r="Q268" t="e">
        <f>VLOOKUP(B268,'C.P.'!$G$2:$H$164,2,FALSE)</f>
        <v>#N/A</v>
      </c>
    </row>
    <row r="269" spans="3:17">
      <c r="C269" s="212"/>
      <c r="N269" t="e">
        <f>VLOOKUP(B269,'C.P.'!$A$2:$B$164,2,FALSE)</f>
        <v>#N/A</v>
      </c>
      <c r="O269" t="e">
        <f>VLOOKUP(B269,'C.P.'!$C$2:$D$164,2,FALSE)</f>
        <v>#N/A</v>
      </c>
      <c r="P269" t="e">
        <f>VLOOKUP(B269,'C.P.'!$E$2:$F$164,2,FALSE)</f>
        <v>#N/A</v>
      </c>
      <c r="Q269" t="e">
        <f>VLOOKUP(B269,'C.P.'!$G$2:$H$164,2,FALSE)</f>
        <v>#N/A</v>
      </c>
    </row>
    <row r="270" spans="3:17">
      <c r="C270" s="212"/>
      <c r="N270" t="e">
        <f>VLOOKUP(B270,'C.P.'!$A$2:$B$164,2,FALSE)</f>
        <v>#N/A</v>
      </c>
      <c r="O270" t="e">
        <f>VLOOKUP(B270,'C.P.'!$C$2:$D$164,2,FALSE)</f>
        <v>#N/A</v>
      </c>
      <c r="P270" t="e">
        <f>VLOOKUP(B270,'C.P.'!$E$2:$F$164,2,FALSE)</f>
        <v>#N/A</v>
      </c>
      <c r="Q270" t="e">
        <f>VLOOKUP(B270,'C.P.'!$G$2:$H$164,2,FALSE)</f>
        <v>#N/A</v>
      </c>
    </row>
    <row r="271" spans="3:17">
      <c r="C271" s="212"/>
      <c r="N271" t="e">
        <f>VLOOKUP(B271,'C.P.'!$A$2:$B$164,2,FALSE)</f>
        <v>#N/A</v>
      </c>
      <c r="O271" t="e">
        <f>VLOOKUP(B271,'C.P.'!$C$2:$D$164,2,FALSE)</f>
        <v>#N/A</v>
      </c>
      <c r="P271" t="e">
        <f>VLOOKUP(B271,'C.P.'!$E$2:$F$164,2,FALSE)</f>
        <v>#N/A</v>
      </c>
      <c r="Q271" t="e">
        <f>VLOOKUP(B271,'C.P.'!$G$2:$H$164,2,FALSE)</f>
        <v>#N/A</v>
      </c>
    </row>
    <row r="272" spans="3:17">
      <c r="C272" s="212"/>
      <c r="N272" t="e">
        <f>VLOOKUP(B272,'C.P.'!$A$2:$B$164,2,FALSE)</f>
        <v>#N/A</v>
      </c>
      <c r="O272" t="e">
        <f>VLOOKUP(B272,'C.P.'!$C$2:$D$164,2,FALSE)</f>
        <v>#N/A</v>
      </c>
      <c r="P272" t="e">
        <f>VLOOKUP(B272,'C.P.'!$E$2:$F$164,2,FALSE)</f>
        <v>#N/A</v>
      </c>
      <c r="Q272" t="e">
        <f>VLOOKUP(B272,'C.P.'!$G$2:$H$164,2,FALSE)</f>
        <v>#N/A</v>
      </c>
    </row>
    <row r="273" spans="3:17">
      <c r="C273" s="212"/>
      <c r="N273" t="e">
        <f>VLOOKUP(B273,'C.P.'!$A$2:$B$164,2,FALSE)</f>
        <v>#N/A</v>
      </c>
      <c r="O273" t="e">
        <f>VLOOKUP(B273,'C.P.'!$C$2:$D$164,2,FALSE)</f>
        <v>#N/A</v>
      </c>
      <c r="P273" t="e">
        <f>VLOOKUP(B273,'C.P.'!$E$2:$F$164,2,FALSE)</f>
        <v>#N/A</v>
      </c>
      <c r="Q273" t="e">
        <f>VLOOKUP(B273,'C.P.'!$G$2:$H$164,2,FALSE)</f>
        <v>#N/A</v>
      </c>
    </row>
    <row r="274" spans="3:17">
      <c r="C274" s="212"/>
      <c r="N274" t="e">
        <f>VLOOKUP(B274,'C.P.'!$A$2:$B$164,2,FALSE)</f>
        <v>#N/A</v>
      </c>
      <c r="O274" t="e">
        <f>VLOOKUP(B274,'C.P.'!$C$2:$D$164,2,FALSE)</f>
        <v>#N/A</v>
      </c>
      <c r="P274" t="e">
        <f>VLOOKUP(B274,'C.P.'!$E$2:$F$164,2,FALSE)</f>
        <v>#N/A</v>
      </c>
      <c r="Q274" t="e">
        <f>VLOOKUP(B274,'C.P.'!$G$2:$H$164,2,FALSE)</f>
        <v>#N/A</v>
      </c>
    </row>
    <row r="275" spans="3:17">
      <c r="C275" s="212"/>
      <c r="N275" t="e">
        <f>VLOOKUP(B275,'C.P.'!$A$2:$B$164,2,FALSE)</f>
        <v>#N/A</v>
      </c>
      <c r="O275" t="e">
        <f>VLOOKUP(B275,'C.P.'!$C$2:$D$164,2,FALSE)</f>
        <v>#N/A</v>
      </c>
      <c r="P275" t="e">
        <f>VLOOKUP(B275,'C.P.'!$E$2:$F$164,2,FALSE)</f>
        <v>#N/A</v>
      </c>
      <c r="Q275" t="e">
        <f>VLOOKUP(B275,'C.P.'!$G$2:$H$164,2,FALSE)</f>
        <v>#N/A</v>
      </c>
    </row>
    <row r="276" spans="3:17">
      <c r="C276" s="212"/>
      <c r="N276" t="e">
        <f>VLOOKUP(B276,'C.P.'!$A$2:$B$164,2,FALSE)</f>
        <v>#N/A</v>
      </c>
      <c r="O276" t="e">
        <f>VLOOKUP(B276,'C.P.'!$C$2:$D$164,2,FALSE)</f>
        <v>#N/A</v>
      </c>
      <c r="P276" t="e">
        <f>VLOOKUP(B276,'C.P.'!$E$2:$F$164,2,FALSE)</f>
        <v>#N/A</v>
      </c>
      <c r="Q276" t="e">
        <f>VLOOKUP(B276,'C.P.'!$G$2:$H$164,2,FALSE)</f>
        <v>#N/A</v>
      </c>
    </row>
    <row r="277" spans="3:17">
      <c r="C277" s="212"/>
      <c r="N277" t="e">
        <f>VLOOKUP(B277,'C.P.'!$A$2:$B$164,2,FALSE)</f>
        <v>#N/A</v>
      </c>
      <c r="O277" t="e">
        <f>VLOOKUP(B277,'C.P.'!$C$2:$D$164,2,FALSE)</f>
        <v>#N/A</v>
      </c>
      <c r="P277" t="e">
        <f>VLOOKUP(B277,'C.P.'!$E$2:$F$164,2,FALSE)</f>
        <v>#N/A</v>
      </c>
      <c r="Q277" t="e">
        <f>VLOOKUP(B277,'C.P.'!$G$2:$H$164,2,FALSE)</f>
        <v>#N/A</v>
      </c>
    </row>
    <row r="278" spans="3:17">
      <c r="C278" s="212"/>
      <c r="N278" t="e">
        <f>VLOOKUP(B278,'C.P.'!$A$2:$B$164,2,FALSE)</f>
        <v>#N/A</v>
      </c>
      <c r="O278" t="e">
        <f>VLOOKUP(B278,'C.P.'!$C$2:$D$164,2,FALSE)</f>
        <v>#N/A</v>
      </c>
      <c r="P278" t="e">
        <f>VLOOKUP(B278,'C.P.'!$E$2:$F$164,2,FALSE)</f>
        <v>#N/A</v>
      </c>
      <c r="Q278" t="e">
        <f>VLOOKUP(B278,'C.P.'!$G$2:$H$164,2,FALSE)</f>
        <v>#N/A</v>
      </c>
    </row>
    <row r="279" spans="3:17">
      <c r="C279" s="212"/>
      <c r="N279" t="e">
        <f>VLOOKUP(B279,'C.P.'!$A$2:$B$164,2,FALSE)</f>
        <v>#N/A</v>
      </c>
      <c r="O279" t="e">
        <f>VLOOKUP(B279,'C.P.'!$C$2:$D$164,2,FALSE)</f>
        <v>#N/A</v>
      </c>
      <c r="P279" t="e">
        <f>VLOOKUP(B279,'C.P.'!$E$2:$F$164,2,FALSE)</f>
        <v>#N/A</v>
      </c>
      <c r="Q279" t="e">
        <f>VLOOKUP(B279,'C.P.'!$G$2:$H$164,2,FALSE)</f>
        <v>#N/A</v>
      </c>
    </row>
    <row r="280" spans="3:17">
      <c r="C280" s="212"/>
      <c r="N280" t="e">
        <f>VLOOKUP(B280,'C.P.'!$A$2:$B$164,2,FALSE)</f>
        <v>#N/A</v>
      </c>
      <c r="O280" t="e">
        <f>VLOOKUP(B280,'C.P.'!$C$2:$D$164,2,FALSE)</f>
        <v>#N/A</v>
      </c>
      <c r="P280" t="e">
        <f>VLOOKUP(B280,'C.P.'!$E$2:$F$164,2,FALSE)</f>
        <v>#N/A</v>
      </c>
      <c r="Q280" t="e">
        <f>VLOOKUP(B280,'C.P.'!$G$2:$H$164,2,FALSE)</f>
        <v>#N/A</v>
      </c>
    </row>
    <row r="281" spans="3:17">
      <c r="C281" s="212"/>
      <c r="N281" t="e">
        <f>VLOOKUP(B281,'C.P.'!$A$2:$B$164,2,FALSE)</f>
        <v>#N/A</v>
      </c>
      <c r="O281" t="e">
        <f>VLOOKUP(B281,'C.P.'!$C$2:$D$164,2,FALSE)</f>
        <v>#N/A</v>
      </c>
      <c r="P281" t="e">
        <f>VLOOKUP(B281,'C.P.'!$E$2:$F$164,2,FALSE)</f>
        <v>#N/A</v>
      </c>
      <c r="Q281" t="e">
        <f>VLOOKUP(B281,'C.P.'!$G$2:$H$164,2,FALSE)</f>
        <v>#N/A</v>
      </c>
    </row>
    <row r="282" spans="3:17">
      <c r="C282" s="212"/>
      <c r="N282" t="e">
        <f>VLOOKUP(B282,'C.P.'!$A$2:$B$164,2,FALSE)</f>
        <v>#N/A</v>
      </c>
      <c r="O282" t="e">
        <f>VLOOKUP(B282,'C.P.'!$C$2:$D$164,2,FALSE)</f>
        <v>#N/A</v>
      </c>
      <c r="P282" t="e">
        <f>VLOOKUP(B282,'C.P.'!$E$2:$F$164,2,FALSE)</f>
        <v>#N/A</v>
      </c>
      <c r="Q282" t="e">
        <f>VLOOKUP(B282,'C.P.'!$G$2:$H$164,2,FALSE)</f>
        <v>#N/A</v>
      </c>
    </row>
    <row r="283" spans="3:17">
      <c r="C283" s="212"/>
      <c r="N283" t="e">
        <f>VLOOKUP(B283,'C.P.'!$A$2:$B$164,2,FALSE)</f>
        <v>#N/A</v>
      </c>
      <c r="O283" t="e">
        <f>VLOOKUP(B283,'C.P.'!$C$2:$D$164,2,FALSE)</f>
        <v>#N/A</v>
      </c>
      <c r="P283" t="e">
        <f>VLOOKUP(B283,'C.P.'!$E$2:$F$164,2,FALSE)</f>
        <v>#N/A</v>
      </c>
      <c r="Q283" t="e">
        <f>VLOOKUP(B283,'C.P.'!$G$2:$H$164,2,FALSE)</f>
        <v>#N/A</v>
      </c>
    </row>
    <row r="284" spans="3:17">
      <c r="C284" s="212"/>
      <c r="N284" t="e">
        <f>VLOOKUP(B284,'C.P.'!$A$2:$B$164,2,FALSE)</f>
        <v>#N/A</v>
      </c>
      <c r="O284" t="e">
        <f>VLOOKUP(B284,'C.P.'!$C$2:$D$164,2,FALSE)</f>
        <v>#N/A</v>
      </c>
      <c r="P284" t="e">
        <f>VLOOKUP(B284,'C.P.'!$E$2:$F$164,2,FALSE)</f>
        <v>#N/A</v>
      </c>
      <c r="Q284" t="e">
        <f>VLOOKUP(B284,'C.P.'!$G$2:$H$164,2,FALSE)</f>
        <v>#N/A</v>
      </c>
    </row>
    <row r="285" spans="3:17">
      <c r="C285" s="212"/>
      <c r="N285" t="e">
        <f>VLOOKUP(B285,'C.P.'!$A$2:$B$164,2,FALSE)</f>
        <v>#N/A</v>
      </c>
      <c r="O285" t="e">
        <f>VLOOKUP(B285,'C.P.'!$C$2:$D$164,2,FALSE)</f>
        <v>#N/A</v>
      </c>
      <c r="P285" t="e">
        <f>VLOOKUP(B285,'C.P.'!$E$2:$F$164,2,FALSE)</f>
        <v>#N/A</v>
      </c>
      <c r="Q285" t="e">
        <f>VLOOKUP(B285,'C.P.'!$G$2:$H$164,2,FALSE)</f>
        <v>#N/A</v>
      </c>
    </row>
    <row r="286" spans="3:17">
      <c r="C286" s="212"/>
      <c r="N286" t="e">
        <f>VLOOKUP(B286,'C.P.'!$A$2:$B$164,2,FALSE)</f>
        <v>#N/A</v>
      </c>
      <c r="O286" t="e">
        <f>VLOOKUP(B286,'C.P.'!$C$2:$D$164,2,FALSE)</f>
        <v>#N/A</v>
      </c>
      <c r="P286" t="e">
        <f>VLOOKUP(B286,'C.P.'!$E$2:$F$164,2,FALSE)</f>
        <v>#N/A</v>
      </c>
      <c r="Q286" t="e">
        <f>VLOOKUP(B286,'C.P.'!$G$2:$H$164,2,FALSE)</f>
        <v>#N/A</v>
      </c>
    </row>
    <row r="287" spans="3:17">
      <c r="C287" s="212"/>
      <c r="N287" t="e">
        <f>VLOOKUP(B287,'C.P.'!$A$2:$B$164,2,FALSE)</f>
        <v>#N/A</v>
      </c>
      <c r="O287" t="e">
        <f>VLOOKUP(B287,'C.P.'!$C$2:$D$164,2,FALSE)</f>
        <v>#N/A</v>
      </c>
      <c r="P287" t="e">
        <f>VLOOKUP(B287,'C.P.'!$E$2:$F$164,2,FALSE)</f>
        <v>#N/A</v>
      </c>
      <c r="Q287" t="e">
        <f>VLOOKUP(B287,'C.P.'!$G$2:$H$164,2,FALSE)</f>
        <v>#N/A</v>
      </c>
    </row>
    <row r="288" spans="3:17">
      <c r="C288" s="212"/>
      <c r="N288" t="e">
        <f>VLOOKUP(B288,'C.P.'!$A$2:$B$164,2,FALSE)</f>
        <v>#N/A</v>
      </c>
      <c r="O288" t="e">
        <f>VLOOKUP(B288,'C.P.'!$C$2:$D$164,2,FALSE)</f>
        <v>#N/A</v>
      </c>
      <c r="P288" t="e">
        <f>VLOOKUP(B288,'C.P.'!$E$2:$F$164,2,FALSE)</f>
        <v>#N/A</v>
      </c>
      <c r="Q288" t="e">
        <f>VLOOKUP(B288,'C.P.'!$G$2:$H$164,2,FALSE)</f>
        <v>#N/A</v>
      </c>
    </row>
    <row r="289" spans="3:17">
      <c r="C289" s="212"/>
      <c r="N289" t="e">
        <f>VLOOKUP(B289,'C.P.'!$A$2:$B$164,2,FALSE)</f>
        <v>#N/A</v>
      </c>
      <c r="O289" t="e">
        <f>VLOOKUP(B289,'C.P.'!$C$2:$D$164,2,FALSE)</f>
        <v>#N/A</v>
      </c>
      <c r="P289" t="e">
        <f>VLOOKUP(B289,'C.P.'!$E$2:$F$164,2,FALSE)</f>
        <v>#N/A</v>
      </c>
      <c r="Q289" t="e">
        <f>VLOOKUP(B289,'C.P.'!$G$2:$H$164,2,FALSE)</f>
        <v>#N/A</v>
      </c>
    </row>
    <row r="290" spans="3:17">
      <c r="C290" s="212"/>
      <c r="N290" t="e">
        <f>VLOOKUP(B290,'C.P.'!$A$2:$B$164,2,FALSE)</f>
        <v>#N/A</v>
      </c>
      <c r="O290" t="e">
        <f>VLOOKUP(B290,'C.P.'!$C$2:$D$164,2,FALSE)</f>
        <v>#N/A</v>
      </c>
      <c r="P290" t="e">
        <f>VLOOKUP(B290,'C.P.'!$E$2:$F$164,2,FALSE)</f>
        <v>#N/A</v>
      </c>
      <c r="Q290" t="e">
        <f>VLOOKUP(B290,'C.P.'!$G$2:$H$164,2,FALSE)</f>
        <v>#N/A</v>
      </c>
    </row>
    <row r="291" spans="3:17">
      <c r="C291" s="212"/>
      <c r="N291" t="e">
        <f>VLOOKUP(B291,'C.P.'!$A$2:$B$164,2,FALSE)</f>
        <v>#N/A</v>
      </c>
      <c r="O291" t="e">
        <f>VLOOKUP(B291,'C.P.'!$C$2:$D$164,2,FALSE)</f>
        <v>#N/A</v>
      </c>
      <c r="P291" t="e">
        <f>VLOOKUP(B291,'C.P.'!$E$2:$F$164,2,FALSE)</f>
        <v>#N/A</v>
      </c>
      <c r="Q291" t="e">
        <f>VLOOKUP(B291,'C.P.'!$G$2:$H$164,2,FALSE)</f>
        <v>#N/A</v>
      </c>
    </row>
    <row r="292" spans="3:17">
      <c r="C292" s="212"/>
      <c r="N292" t="e">
        <f>VLOOKUP(B292,'C.P.'!$A$2:$B$164,2,FALSE)</f>
        <v>#N/A</v>
      </c>
      <c r="O292" t="e">
        <f>VLOOKUP(B292,'C.P.'!$C$2:$D$164,2,FALSE)</f>
        <v>#N/A</v>
      </c>
      <c r="P292" t="e">
        <f>VLOOKUP(B292,'C.P.'!$E$2:$F$164,2,FALSE)</f>
        <v>#N/A</v>
      </c>
      <c r="Q292" t="e">
        <f>VLOOKUP(B292,'C.P.'!$G$2:$H$164,2,FALSE)</f>
        <v>#N/A</v>
      </c>
    </row>
    <row r="293" spans="3:17">
      <c r="C293" s="212"/>
      <c r="N293" t="e">
        <f>VLOOKUP(B293,'C.P.'!$A$2:$B$164,2,FALSE)</f>
        <v>#N/A</v>
      </c>
      <c r="O293" t="e">
        <f>VLOOKUP(B293,'C.P.'!$C$2:$D$164,2,FALSE)</f>
        <v>#N/A</v>
      </c>
      <c r="P293" t="e">
        <f>VLOOKUP(B293,'C.P.'!$E$2:$F$164,2,FALSE)</f>
        <v>#N/A</v>
      </c>
      <c r="Q293" t="e">
        <f>VLOOKUP(B293,'C.P.'!$G$2:$H$164,2,FALSE)</f>
        <v>#N/A</v>
      </c>
    </row>
    <row r="294" spans="3:17">
      <c r="C294" s="212"/>
      <c r="N294" t="e">
        <f>VLOOKUP(B294,'C.P.'!$A$2:$B$164,2,FALSE)</f>
        <v>#N/A</v>
      </c>
      <c r="O294" t="e">
        <f>VLOOKUP(B294,'C.P.'!$C$2:$D$164,2,FALSE)</f>
        <v>#N/A</v>
      </c>
      <c r="P294" t="e">
        <f>VLOOKUP(B294,'C.P.'!$E$2:$F$164,2,FALSE)</f>
        <v>#N/A</v>
      </c>
      <c r="Q294" t="e">
        <f>VLOOKUP(B294,'C.P.'!$G$2:$H$164,2,FALSE)</f>
        <v>#N/A</v>
      </c>
    </row>
    <row r="295" spans="3:17">
      <c r="C295" s="212"/>
      <c r="N295" t="e">
        <f>VLOOKUP(B295,'C.P.'!$A$2:$B$164,2,FALSE)</f>
        <v>#N/A</v>
      </c>
      <c r="O295" t="e">
        <f>VLOOKUP(B295,'C.P.'!$C$2:$D$164,2,FALSE)</f>
        <v>#N/A</v>
      </c>
      <c r="P295" t="e">
        <f>VLOOKUP(B295,'C.P.'!$E$2:$F$164,2,FALSE)</f>
        <v>#N/A</v>
      </c>
      <c r="Q295" t="e">
        <f>VLOOKUP(B295,'C.P.'!$G$2:$H$164,2,FALSE)</f>
        <v>#N/A</v>
      </c>
    </row>
    <row r="296" spans="3:17">
      <c r="C296" s="212"/>
      <c r="N296" t="e">
        <f>VLOOKUP(B296,'C.P.'!$A$2:$B$164,2,FALSE)</f>
        <v>#N/A</v>
      </c>
      <c r="O296" t="e">
        <f>VLOOKUP(B296,'C.P.'!$C$2:$D$164,2,FALSE)</f>
        <v>#N/A</v>
      </c>
      <c r="P296" t="e">
        <f>VLOOKUP(B296,'C.P.'!$E$2:$F$164,2,FALSE)</f>
        <v>#N/A</v>
      </c>
      <c r="Q296" t="e">
        <f>VLOOKUP(B296,'C.P.'!$G$2:$H$164,2,FALSE)</f>
        <v>#N/A</v>
      </c>
    </row>
    <row r="297" spans="3:17">
      <c r="C297" s="212"/>
      <c r="N297" t="e">
        <f>VLOOKUP(B297,'C.P.'!$A$2:$B$164,2,FALSE)</f>
        <v>#N/A</v>
      </c>
      <c r="O297" t="e">
        <f>VLOOKUP(B297,'C.P.'!$C$2:$D$164,2,FALSE)</f>
        <v>#N/A</v>
      </c>
      <c r="P297" t="e">
        <f>VLOOKUP(B297,'C.P.'!$E$2:$F$164,2,FALSE)</f>
        <v>#N/A</v>
      </c>
      <c r="Q297" t="e">
        <f>VLOOKUP(B297,'C.P.'!$G$2:$H$164,2,FALSE)</f>
        <v>#N/A</v>
      </c>
    </row>
    <row r="298" spans="3:17">
      <c r="C298" s="212"/>
      <c r="N298" t="e">
        <f>VLOOKUP(B298,'C.P.'!$A$2:$B$164,2,FALSE)</f>
        <v>#N/A</v>
      </c>
      <c r="O298" t="e">
        <f>VLOOKUP(B298,'C.P.'!$C$2:$D$164,2,FALSE)</f>
        <v>#N/A</v>
      </c>
      <c r="P298" t="e">
        <f>VLOOKUP(B298,'C.P.'!$E$2:$F$164,2,FALSE)</f>
        <v>#N/A</v>
      </c>
      <c r="Q298" t="e">
        <f>VLOOKUP(B298,'C.P.'!$G$2:$H$164,2,FALSE)</f>
        <v>#N/A</v>
      </c>
    </row>
    <row r="299" spans="3:17">
      <c r="C299" s="212"/>
      <c r="N299" t="e">
        <f>VLOOKUP(B299,'C.P.'!$A$2:$B$164,2,FALSE)</f>
        <v>#N/A</v>
      </c>
      <c r="O299" t="e">
        <f>VLOOKUP(B299,'C.P.'!$C$2:$D$164,2,FALSE)</f>
        <v>#N/A</v>
      </c>
      <c r="P299" t="e">
        <f>VLOOKUP(B299,'C.P.'!$E$2:$F$164,2,FALSE)</f>
        <v>#N/A</v>
      </c>
      <c r="Q299" t="e">
        <f>VLOOKUP(B299,'C.P.'!$G$2:$H$164,2,FALSE)</f>
        <v>#N/A</v>
      </c>
    </row>
    <row r="300" spans="3:17">
      <c r="C300" s="212"/>
      <c r="N300" t="e">
        <f>VLOOKUP(B300,'C.P.'!$A$2:$B$164,2,FALSE)</f>
        <v>#N/A</v>
      </c>
      <c r="O300" t="e">
        <f>VLOOKUP(B300,'C.P.'!$C$2:$D$164,2,FALSE)</f>
        <v>#N/A</v>
      </c>
      <c r="P300" t="e">
        <f>VLOOKUP(B300,'C.P.'!$E$2:$F$164,2,FALSE)</f>
        <v>#N/A</v>
      </c>
      <c r="Q300" t="e">
        <f>VLOOKUP(B300,'C.P.'!$G$2:$H$164,2,FALSE)</f>
        <v>#N/A</v>
      </c>
    </row>
    <row r="301" spans="3:17">
      <c r="C301" s="212"/>
      <c r="N301" t="e">
        <f>VLOOKUP(B301,'C.P.'!$A$2:$B$164,2,FALSE)</f>
        <v>#N/A</v>
      </c>
      <c r="O301" t="e">
        <f>VLOOKUP(B301,'C.P.'!$C$2:$D$164,2,FALSE)</f>
        <v>#N/A</v>
      </c>
      <c r="P301" t="e">
        <f>VLOOKUP(B301,'C.P.'!$E$2:$F$164,2,FALSE)</f>
        <v>#N/A</v>
      </c>
      <c r="Q301" t="e">
        <f>VLOOKUP(B301,'C.P.'!$G$2:$H$164,2,FALSE)</f>
        <v>#N/A</v>
      </c>
    </row>
    <row r="302" spans="3:17">
      <c r="C302" s="212"/>
      <c r="N302" t="e">
        <f>VLOOKUP(B302,'C.P.'!$A$2:$B$164,2,FALSE)</f>
        <v>#N/A</v>
      </c>
      <c r="O302" t="e">
        <f>VLOOKUP(B302,'C.P.'!$C$2:$D$164,2,FALSE)</f>
        <v>#N/A</v>
      </c>
      <c r="P302" t="e">
        <f>VLOOKUP(B302,'C.P.'!$E$2:$F$164,2,FALSE)</f>
        <v>#N/A</v>
      </c>
      <c r="Q302" t="e">
        <f>VLOOKUP(B302,'C.P.'!$G$2:$H$164,2,FALSE)</f>
        <v>#N/A</v>
      </c>
    </row>
    <row r="303" spans="3:17">
      <c r="C303" s="212"/>
      <c r="N303" t="e">
        <f>VLOOKUP(B303,'C.P.'!$A$2:$B$164,2,FALSE)</f>
        <v>#N/A</v>
      </c>
      <c r="O303" t="e">
        <f>VLOOKUP(B303,'C.P.'!$C$2:$D$164,2,FALSE)</f>
        <v>#N/A</v>
      </c>
      <c r="P303" t="e">
        <f>VLOOKUP(B303,'C.P.'!$E$2:$F$164,2,FALSE)</f>
        <v>#N/A</v>
      </c>
      <c r="Q303" t="e">
        <f>VLOOKUP(B303,'C.P.'!$G$2:$H$164,2,FALSE)</f>
        <v>#N/A</v>
      </c>
    </row>
    <row r="304" spans="3:17">
      <c r="C304" s="212"/>
      <c r="N304" t="e">
        <f>VLOOKUP(B304,'C.P.'!$A$2:$B$164,2,FALSE)</f>
        <v>#N/A</v>
      </c>
      <c r="O304" t="e">
        <f>VLOOKUP(B304,'C.P.'!$C$2:$D$164,2,FALSE)</f>
        <v>#N/A</v>
      </c>
      <c r="P304" t="e">
        <f>VLOOKUP(B304,'C.P.'!$E$2:$F$164,2,FALSE)</f>
        <v>#N/A</v>
      </c>
      <c r="Q304" t="e">
        <f>VLOOKUP(B304,'C.P.'!$G$2:$H$164,2,FALSE)</f>
        <v>#N/A</v>
      </c>
    </row>
    <row r="305" spans="3:17">
      <c r="C305" s="212"/>
      <c r="N305" t="e">
        <f>VLOOKUP(B305,'C.P.'!$A$2:$B$164,2,FALSE)</f>
        <v>#N/A</v>
      </c>
      <c r="O305" t="e">
        <f>VLOOKUP(B305,'C.P.'!$C$2:$D$164,2,FALSE)</f>
        <v>#N/A</v>
      </c>
      <c r="P305" t="e">
        <f>VLOOKUP(B305,'C.P.'!$E$2:$F$164,2,FALSE)</f>
        <v>#N/A</v>
      </c>
      <c r="Q305" t="e">
        <f>VLOOKUP(B305,'C.P.'!$G$2:$H$164,2,FALSE)</f>
        <v>#N/A</v>
      </c>
    </row>
    <row r="306" spans="3:17">
      <c r="C306" s="212"/>
      <c r="N306" t="e">
        <f>VLOOKUP(B306,'C.P.'!$A$2:$B$164,2,FALSE)</f>
        <v>#N/A</v>
      </c>
      <c r="O306" t="e">
        <f>VLOOKUP(B306,'C.P.'!$C$2:$D$164,2,FALSE)</f>
        <v>#N/A</v>
      </c>
      <c r="P306" t="e">
        <f>VLOOKUP(B306,'C.P.'!$E$2:$F$164,2,FALSE)</f>
        <v>#N/A</v>
      </c>
      <c r="Q306" t="e">
        <f>VLOOKUP(B306,'C.P.'!$G$2:$H$164,2,FALSE)</f>
        <v>#N/A</v>
      </c>
    </row>
    <row r="307" spans="3:17">
      <c r="C307" s="212"/>
      <c r="N307" t="e">
        <f>VLOOKUP(B307,'C.P.'!$A$2:$B$164,2,FALSE)</f>
        <v>#N/A</v>
      </c>
      <c r="O307" t="e">
        <f>VLOOKUP(B307,'C.P.'!$C$2:$D$164,2,FALSE)</f>
        <v>#N/A</v>
      </c>
      <c r="P307" t="e">
        <f>VLOOKUP(B307,'C.P.'!$E$2:$F$164,2,FALSE)</f>
        <v>#N/A</v>
      </c>
      <c r="Q307" t="e">
        <f>VLOOKUP(B307,'C.P.'!$G$2:$H$164,2,FALSE)</f>
        <v>#N/A</v>
      </c>
    </row>
    <row r="308" spans="3:17">
      <c r="C308" s="212"/>
      <c r="N308" t="e">
        <f>VLOOKUP(B308,'C.P.'!$A$2:$B$164,2,FALSE)</f>
        <v>#N/A</v>
      </c>
      <c r="O308" t="e">
        <f>VLOOKUP(B308,'C.P.'!$C$2:$D$164,2,FALSE)</f>
        <v>#N/A</v>
      </c>
      <c r="P308" t="e">
        <f>VLOOKUP(B308,'C.P.'!$E$2:$F$164,2,FALSE)</f>
        <v>#N/A</v>
      </c>
      <c r="Q308" t="e">
        <f>VLOOKUP(B308,'C.P.'!$G$2:$H$164,2,FALSE)</f>
        <v>#N/A</v>
      </c>
    </row>
    <row r="309" spans="3:17">
      <c r="C309" s="212"/>
      <c r="N309" t="e">
        <f>VLOOKUP(B309,'C.P.'!$A$2:$B$164,2,FALSE)</f>
        <v>#N/A</v>
      </c>
      <c r="O309" t="e">
        <f>VLOOKUP(B309,'C.P.'!$C$2:$D$164,2,FALSE)</f>
        <v>#N/A</v>
      </c>
      <c r="P309" t="e">
        <f>VLOOKUP(B309,'C.P.'!$E$2:$F$164,2,FALSE)</f>
        <v>#N/A</v>
      </c>
      <c r="Q309" t="e">
        <f>VLOOKUP(B309,'C.P.'!$G$2:$H$164,2,FALSE)</f>
        <v>#N/A</v>
      </c>
    </row>
    <row r="310" spans="3:17">
      <c r="C310" s="212"/>
      <c r="N310" t="e">
        <f>VLOOKUP(B310,'C.P.'!$A$2:$B$164,2,FALSE)</f>
        <v>#N/A</v>
      </c>
      <c r="O310" t="e">
        <f>VLOOKUP(B310,'C.P.'!$C$2:$D$164,2,FALSE)</f>
        <v>#N/A</v>
      </c>
      <c r="P310" t="e">
        <f>VLOOKUP(B310,'C.P.'!$E$2:$F$164,2,FALSE)</f>
        <v>#N/A</v>
      </c>
      <c r="Q310" t="e">
        <f>VLOOKUP(B310,'C.P.'!$G$2:$H$164,2,FALSE)</f>
        <v>#N/A</v>
      </c>
    </row>
    <row r="311" spans="3:17">
      <c r="C311" s="212"/>
      <c r="N311" t="e">
        <f>VLOOKUP(B311,'C.P.'!$A$2:$B$164,2,FALSE)</f>
        <v>#N/A</v>
      </c>
      <c r="O311" t="e">
        <f>VLOOKUP(B311,'C.P.'!$C$2:$D$164,2,FALSE)</f>
        <v>#N/A</v>
      </c>
      <c r="P311" t="e">
        <f>VLOOKUP(B311,'C.P.'!$E$2:$F$164,2,FALSE)</f>
        <v>#N/A</v>
      </c>
      <c r="Q311" t="e">
        <f>VLOOKUP(B311,'C.P.'!$G$2:$H$164,2,FALSE)</f>
        <v>#N/A</v>
      </c>
    </row>
    <row r="312" spans="3:17">
      <c r="C312" s="212"/>
      <c r="N312" t="e">
        <f>VLOOKUP(B312,'C.P.'!$A$2:$B$164,2,FALSE)</f>
        <v>#N/A</v>
      </c>
      <c r="O312" t="e">
        <f>VLOOKUP(B312,'C.P.'!$C$2:$D$164,2,FALSE)</f>
        <v>#N/A</v>
      </c>
      <c r="P312" t="e">
        <f>VLOOKUP(B312,'C.P.'!$E$2:$F$164,2,FALSE)</f>
        <v>#N/A</v>
      </c>
      <c r="Q312" t="e">
        <f>VLOOKUP(B312,'C.P.'!$G$2:$H$164,2,FALSE)</f>
        <v>#N/A</v>
      </c>
    </row>
    <row r="313" spans="3:17">
      <c r="C313" s="212"/>
      <c r="N313" t="e">
        <f>VLOOKUP(B313,'C.P.'!$A$2:$B$164,2,FALSE)</f>
        <v>#N/A</v>
      </c>
      <c r="O313" t="e">
        <f>VLOOKUP(B313,'C.P.'!$C$2:$D$164,2,FALSE)</f>
        <v>#N/A</v>
      </c>
      <c r="P313" t="e">
        <f>VLOOKUP(B313,'C.P.'!$E$2:$F$164,2,FALSE)</f>
        <v>#N/A</v>
      </c>
      <c r="Q313" t="e">
        <f>VLOOKUP(B313,'C.P.'!$G$2:$H$164,2,FALSE)</f>
        <v>#N/A</v>
      </c>
    </row>
    <row r="314" spans="3:17">
      <c r="C314" s="212"/>
      <c r="N314" t="e">
        <f>VLOOKUP(B314,'C.P.'!$A$2:$B$164,2,FALSE)</f>
        <v>#N/A</v>
      </c>
      <c r="O314" t="e">
        <f>VLOOKUP(B314,'C.P.'!$C$2:$D$164,2,FALSE)</f>
        <v>#N/A</v>
      </c>
      <c r="P314" t="e">
        <f>VLOOKUP(B314,'C.P.'!$E$2:$F$164,2,FALSE)</f>
        <v>#N/A</v>
      </c>
      <c r="Q314" t="e">
        <f>VLOOKUP(B314,'C.P.'!$G$2:$H$164,2,FALSE)</f>
        <v>#N/A</v>
      </c>
    </row>
    <row r="315" spans="3:17">
      <c r="C315" s="212"/>
      <c r="N315" t="e">
        <f>VLOOKUP(B315,'C.P.'!$A$2:$B$164,2,FALSE)</f>
        <v>#N/A</v>
      </c>
      <c r="O315" t="e">
        <f>VLOOKUP(B315,'C.P.'!$C$2:$D$164,2,FALSE)</f>
        <v>#N/A</v>
      </c>
      <c r="P315" t="e">
        <f>VLOOKUP(B315,'C.P.'!$E$2:$F$164,2,FALSE)</f>
        <v>#N/A</v>
      </c>
      <c r="Q315" t="e">
        <f>VLOOKUP(B315,'C.P.'!$G$2:$H$164,2,FALSE)</f>
        <v>#N/A</v>
      </c>
    </row>
    <row r="316" spans="3:17">
      <c r="C316" s="212"/>
      <c r="N316" t="e">
        <f>VLOOKUP(B316,'C.P.'!$A$2:$B$164,2,FALSE)</f>
        <v>#N/A</v>
      </c>
      <c r="O316" t="e">
        <f>VLOOKUP(B316,'C.P.'!$C$2:$D$164,2,FALSE)</f>
        <v>#N/A</v>
      </c>
      <c r="P316" t="e">
        <f>VLOOKUP(B316,'C.P.'!$E$2:$F$164,2,FALSE)</f>
        <v>#N/A</v>
      </c>
      <c r="Q316" t="e">
        <f>VLOOKUP(B316,'C.P.'!$G$2:$H$164,2,FALSE)</f>
        <v>#N/A</v>
      </c>
    </row>
    <row r="317" spans="3:17">
      <c r="C317" s="212"/>
      <c r="N317" t="e">
        <f>VLOOKUP(B317,'C.P.'!$A$2:$B$164,2,FALSE)</f>
        <v>#N/A</v>
      </c>
      <c r="O317" t="e">
        <f>VLOOKUP(B317,'C.P.'!$C$2:$D$164,2,FALSE)</f>
        <v>#N/A</v>
      </c>
      <c r="P317" t="e">
        <f>VLOOKUP(B317,'C.P.'!$E$2:$F$164,2,FALSE)</f>
        <v>#N/A</v>
      </c>
      <c r="Q317" t="e">
        <f>VLOOKUP(B317,'C.P.'!$G$2:$H$164,2,FALSE)</f>
        <v>#N/A</v>
      </c>
    </row>
    <row r="318" spans="3:17">
      <c r="C318" s="212"/>
      <c r="N318" t="e">
        <f>VLOOKUP(B318,'C.P.'!$A$2:$B$164,2,FALSE)</f>
        <v>#N/A</v>
      </c>
      <c r="O318" t="e">
        <f>VLOOKUP(B318,'C.P.'!$C$2:$D$164,2,FALSE)</f>
        <v>#N/A</v>
      </c>
      <c r="P318" t="e">
        <f>VLOOKUP(B318,'C.P.'!$E$2:$F$164,2,FALSE)</f>
        <v>#N/A</v>
      </c>
      <c r="Q318" t="e">
        <f>VLOOKUP(B318,'C.P.'!$G$2:$H$164,2,FALSE)</f>
        <v>#N/A</v>
      </c>
    </row>
    <row r="319" spans="3:17">
      <c r="C319" s="212"/>
      <c r="N319" t="e">
        <f>VLOOKUP(B319,'C.P.'!$A$2:$B$164,2,FALSE)</f>
        <v>#N/A</v>
      </c>
      <c r="O319" t="e">
        <f>VLOOKUP(B319,'C.P.'!$C$2:$D$164,2,FALSE)</f>
        <v>#N/A</v>
      </c>
      <c r="P319" t="e">
        <f>VLOOKUP(B319,'C.P.'!$E$2:$F$164,2,FALSE)</f>
        <v>#N/A</v>
      </c>
      <c r="Q319" t="e">
        <f>VLOOKUP(B319,'C.P.'!$G$2:$H$164,2,FALSE)</f>
        <v>#N/A</v>
      </c>
    </row>
    <row r="320" spans="3:17">
      <c r="C320" s="212"/>
      <c r="N320" t="e">
        <f>VLOOKUP(B320,'C.P.'!$A$2:$B$164,2,FALSE)</f>
        <v>#N/A</v>
      </c>
      <c r="O320" t="e">
        <f>VLOOKUP(B320,'C.P.'!$C$2:$D$164,2,FALSE)</f>
        <v>#N/A</v>
      </c>
      <c r="P320" t="e">
        <f>VLOOKUP(B320,'C.P.'!$E$2:$F$164,2,FALSE)</f>
        <v>#N/A</v>
      </c>
      <c r="Q320" t="e">
        <f>VLOOKUP(B320,'C.P.'!$G$2:$H$164,2,FALSE)</f>
        <v>#N/A</v>
      </c>
    </row>
    <row r="321" spans="3:17">
      <c r="C321" s="212"/>
      <c r="N321" t="e">
        <f>VLOOKUP(B321,'C.P.'!$A$2:$B$164,2,FALSE)</f>
        <v>#N/A</v>
      </c>
      <c r="O321" t="e">
        <f>VLOOKUP(B321,'C.P.'!$C$2:$D$164,2,FALSE)</f>
        <v>#N/A</v>
      </c>
      <c r="P321" t="e">
        <f>VLOOKUP(B321,'C.P.'!$E$2:$F$164,2,FALSE)</f>
        <v>#N/A</v>
      </c>
      <c r="Q321" t="e">
        <f>VLOOKUP(B321,'C.P.'!$G$2:$H$164,2,FALSE)</f>
        <v>#N/A</v>
      </c>
    </row>
    <row r="322" spans="3:17">
      <c r="C322" s="212"/>
      <c r="N322" t="e">
        <f>VLOOKUP(B322,'C.P.'!$A$2:$B$164,2,FALSE)</f>
        <v>#N/A</v>
      </c>
      <c r="O322" t="e">
        <f>VLOOKUP(B322,'C.P.'!$C$2:$D$164,2,FALSE)</f>
        <v>#N/A</v>
      </c>
      <c r="P322" t="e">
        <f>VLOOKUP(B322,'C.P.'!$E$2:$F$164,2,FALSE)</f>
        <v>#N/A</v>
      </c>
      <c r="Q322" t="e">
        <f>VLOOKUP(B322,'C.P.'!$G$2:$H$164,2,FALSE)</f>
        <v>#N/A</v>
      </c>
    </row>
    <row r="323" spans="3:17">
      <c r="C323" s="212"/>
      <c r="N323" t="e">
        <f>VLOOKUP(B323,'C.P.'!$A$2:$B$164,2,FALSE)</f>
        <v>#N/A</v>
      </c>
      <c r="O323" t="e">
        <f>VLOOKUP(B323,'C.P.'!$C$2:$D$164,2,FALSE)</f>
        <v>#N/A</v>
      </c>
      <c r="P323" t="e">
        <f>VLOOKUP(B323,'C.P.'!$E$2:$F$164,2,FALSE)</f>
        <v>#N/A</v>
      </c>
      <c r="Q323" t="e">
        <f>VLOOKUP(B323,'C.P.'!$G$2:$H$164,2,FALSE)</f>
        <v>#N/A</v>
      </c>
    </row>
    <row r="324" spans="3:17">
      <c r="C324" s="212"/>
      <c r="N324" t="e">
        <f>VLOOKUP(B324,'C.P.'!$A$2:$B$164,2,FALSE)</f>
        <v>#N/A</v>
      </c>
      <c r="O324" t="e">
        <f>VLOOKUP(B324,'C.P.'!$C$2:$D$164,2,FALSE)</f>
        <v>#N/A</v>
      </c>
      <c r="P324" t="e">
        <f>VLOOKUP(B324,'C.P.'!$E$2:$F$164,2,FALSE)</f>
        <v>#N/A</v>
      </c>
      <c r="Q324" t="e">
        <f>VLOOKUP(B324,'C.P.'!$G$2:$H$164,2,FALSE)</f>
        <v>#N/A</v>
      </c>
    </row>
    <row r="325" spans="3:17">
      <c r="C325" s="212"/>
      <c r="N325" t="e">
        <f>VLOOKUP(B325,'C.P.'!$A$2:$B$164,2,FALSE)</f>
        <v>#N/A</v>
      </c>
      <c r="O325" t="e">
        <f>VLOOKUP(B325,'C.P.'!$C$2:$D$164,2,FALSE)</f>
        <v>#N/A</v>
      </c>
      <c r="P325" t="e">
        <f>VLOOKUP(B325,'C.P.'!$E$2:$F$164,2,FALSE)</f>
        <v>#N/A</v>
      </c>
      <c r="Q325" t="e">
        <f>VLOOKUP(B325,'C.P.'!$G$2:$H$164,2,FALSE)</f>
        <v>#N/A</v>
      </c>
    </row>
    <row r="326" spans="3:17">
      <c r="C326" s="212"/>
      <c r="N326" t="e">
        <f>VLOOKUP(B326,'C.P.'!$A$2:$B$164,2,FALSE)</f>
        <v>#N/A</v>
      </c>
      <c r="O326" t="e">
        <f>VLOOKUP(B326,'C.P.'!$C$2:$D$164,2,FALSE)</f>
        <v>#N/A</v>
      </c>
      <c r="P326" t="e">
        <f>VLOOKUP(B326,'C.P.'!$E$2:$F$164,2,FALSE)</f>
        <v>#N/A</v>
      </c>
      <c r="Q326" t="e">
        <f>VLOOKUP(B326,'C.P.'!$G$2:$H$164,2,FALSE)</f>
        <v>#N/A</v>
      </c>
    </row>
    <row r="327" spans="3:17">
      <c r="C327" s="212"/>
      <c r="N327" t="e">
        <f>VLOOKUP(B327,'C.P.'!$A$2:$B$164,2,FALSE)</f>
        <v>#N/A</v>
      </c>
      <c r="O327" t="e">
        <f>VLOOKUP(B327,'C.P.'!$C$2:$D$164,2,FALSE)</f>
        <v>#N/A</v>
      </c>
      <c r="P327" t="e">
        <f>VLOOKUP(B327,'C.P.'!$E$2:$F$164,2,FALSE)</f>
        <v>#N/A</v>
      </c>
      <c r="Q327" t="e">
        <f>VLOOKUP(B327,'C.P.'!$G$2:$H$164,2,FALSE)</f>
        <v>#N/A</v>
      </c>
    </row>
    <row r="328" spans="3:17">
      <c r="C328" s="212"/>
      <c r="N328" t="e">
        <f>VLOOKUP(B328,'C.P.'!$A$2:$B$164,2,FALSE)</f>
        <v>#N/A</v>
      </c>
      <c r="O328" t="e">
        <f>VLOOKUP(B328,'C.P.'!$C$2:$D$164,2,FALSE)</f>
        <v>#N/A</v>
      </c>
      <c r="P328" t="e">
        <f>VLOOKUP(B328,'C.P.'!$E$2:$F$164,2,FALSE)</f>
        <v>#N/A</v>
      </c>
      <c r="Q328" t="e">
        <f>VLOOKUP(B328,'C.P.'!$G$2:$H$164,2,FALSE)</f>
        <v>#N/A</v>
      </c>
    </row>
    <row r="329" spans="3:17">
      <c r="C329" s="212"/>
      <c r="N329" t="e">
        <f>VLOOKUP(B329,'C.P.'!$A$2:$B$164,2,FALSE)</f>
        <v>#N/A</v>
      </c>
      <c r="O329" t="e">
        <f>VLOOKUP(B329,'C.P.'!$C$2:$D$164,2,FALSE)</f>
        <v>#N/A</v>
      </c>
      <c r="P329" t="e">
        <f>VLOOKUP(B329,'C.P.'!$E$2:$F$164,2,FALSE)</f>
        <v>#N/A</v>
      </c>
      <c r="Q329" t="e">
        <f>VLOOKUP(B329,'C.P.'!$G$2:$H$164,2,FALSE)</f>
        <v>#N/A</v>
      </c>
    </row>
    <row r="330" spans="3:17">
      <c r="C330" s="212"/>
      <c r="N330" t="e">
        <f>VLOOKUP(B330,'C.P.'!$A$2:$B$164,2,FALSE)</f>
        <v>#N/A</v>
      </c>
      <c r="O330" t="e">
        <f>VLOOKUP(B330,'C.P.'!$C$2:$D$164,2,FALSE)</f>
        <v>#N/A</v>
      </c>
      <c r="P330" t="e">
        <f>VLOOKUP(B330,'C.P.'!$E$2:$F$164,2,FALSE)</f>
        <v>#N/A</v>
      </c>
      <c r="Q330" t="e">
        <f>VLOOKUP(B330,'C.P.'!$G$2:$H$164,2,FALSE)</f>
        <v>#N/A</v>
      </c>
    </row>
    <row r="331" spans="3:17">
      <c r="C331" s="212"/>
      <c r="N331" t="e">
        <f>VLOOKUP(B331,'C.P.'!$A$2:$B$164,2,FALSE)</f>
        <v>#N/A</v>
      </c>
      <c r="O331" t="e">
        <f>VLOOKUP(B331,'C.P.'!$C$2:$D$164,2,FALSE)</f>
        <v>#N/A</v>
      </c>
      <c r="P331" t="e">
        <f>VLOOKUP(B331,'C.P.'!$E$2:$F$164,2,FALSE)</f>
        <v>#N/A</v>
      </c>
      <c r="Q331" t="e">
        <f>VLOOKUP(B331,'C.P.'!$G$2:$H$164,2,FALSE)</f>
        <v>#N/A</v>
      </c>
    </row>
    <row r="332" spans="3:17">
      <c r="C332" s="212"/>
      <c r="N332" t="e">
        <f>VLOOKUP(B332,'C.P.'!$A$2:$B$164,2,FALSE)</f>
        <v>#N/A</v>
      </c>
      <c r="O332" t="e">
        <f>VLOOKUP(B332,'C.P.'!$C$2:$D$164,2,FALSE)</f>
        <v>#N/A</v>
      </c>
      <c r="P332" t="e">
        <f>VLOOKUP(B332,'C.P.'!$E$2:$F$164,2,FALSE)</f>
        <v>#N/A</v>
      </c>
      <c r="Q332" t="e">
        <f>VLOOKUP(B332,'C.P.'!$G$2:$H$164,2,FALSE)</f>
        <v>#N/A</v>
      </c>
    </row>
    <row r="333" spans="3:17">
      <c r="C333" s="212"/>
      <c r="N333" t="e">
        <f>VLOOKUP(B333,'C.P.'!$A$2:$B$164,2,FALSE)</f>
        <v>#N/A</v>
      </c>
      <c r="O333" t="e">
        <f>VLOOKUP(B333,'C.P.'!$C$2:$D$164,2,FALSE)</f>
        <v>#N/A</v>
      </c>
      <c r="P333" t="e">
        <f>VLOOKUP(B333,'C.P.'!$E$2:$F$164,2,FALSE)</f>
        <v>#N/A</v>
      </c>
      <c r="Q333" t="e">
        <f>VLOOKUP(B333,'C.P.'!$G$2:$H$164,2,FALSE)</f>
        <v>#N/A</v>
      </c>
    </row>
    <row r="334" spans="3:17">
      <c r="C334" s="212"/>
      <c r="N334" t="e">
        <f>VLOOKUP(B334,'C.P.'!$A$2:$B$164,2,FALSE)</f>
        <v>#N/A</v>
      </c>
      <c r="O334" t="e">
        <f>VLOOKUP(B334,'C.P.'!$C$2:$D$164,2,FALSE)</f>
        <v>#N/A</v>
      </c>
      <c r="P334" t="e">
        <f>VLOOKUP(B334,'C.P.'!$E$2:$F$164,2,FALSE)</f>
        <v>#N/A</v>
      </c>
      <c r="Q334" t="e">
        <f>VLOOKUP(B334,'C.P.'!$G$2:$H$164,2,FALSE)</f>
        <v>#N/A</v>
      </c>
    </row>
    <row r="335" spans="3:17">
      <c r="C335" s="212"/>
      <c r="N335" t="e">
        <f>VLOOKUP(B335,'C.P.'!$A$2:$B$164,2,FALSE)</f>
        <v>#N/A</v>
      </c>
      <c r="O335" t="e">
        <f>VLOOKUP(B335,'C.P.'!$C$2:$D$164,2,FALSE)</f>
        <v>#N/A</v>
      </c>
      <c r="P335" t="e">
        <f>VLOOKUP(B335,'C.P.'!$E$2:$F$164,2,FALSE)</f>
        <v>#N/A</v>
      </c>
      <c r="Q335" t="e">
        <f>VLOOKUP(B335,'C.P.'!$G$2:$H$164,2,FALSE)</f>
        <v>#N/A</v>
      </c>
    </row>
    <row r="336" spans="3:17">
      <c r="C336" s="212"/>
      <c r="N336" t="e">
        <f>VLOOKUP(B336,'C.P.'!$A$2:$B$164,2,FALSE)</f>
        <v>#N/A</v>
      </c>
      <c r="O336" t="e">
        <f>VLOOKUP(B336,'C.P.'!$C$2:$D$164,2,FALSE)</f>
        <v>#N/A</v>
      </c>
      <c r="P336" t="e">
        <f>VLOOKUP(B336,'C.P.'!$E$2:$F$164,2,FALSE)</f>
        <v>#N/A</v>
      </c>
      <c r="Q336" t="e">
        <f>VLOOKUP(B336,'C.P.'!$G$2:$H$164,2,FALSE)</f>
        <v>#N/A</v>
      </c>
    </row>
    <row r="337" spans="3:17">
      <c r="C337" s="212"/>
      <c r="N337" t="e">
        <f>VLOOKUP(B337,'C.P.'!$A$2:$B$164,2,FALSE)</f>
        <v>#N/A</v>
      </c>
      <c r="O337" t="e">
        <f>VLOOKUP(B337,'C.P.'!$C$2:$D$164,2,FALSE)</f>
        <v>#N/A</v>
      </c>
      <c r="P337" t="e">
        <f>VLOOKUP(B337,'C.P.'!$E$2:$F$164,2,FALSE)</f>
        <v>#N/A</v>
      </c>
      <c r="Q337" t="e">
        <f>VLOOKUP(B337,'C.P.'!$G$2:$H$164,2,FALSE)</f>
        <v>#N/A</v>
      </c>
    </row>
    <row r="338" spans="3:17">
      <c r="C338" s="212"/>
      <c r="N338" t="e">
        <f>VLOOKUP(B338,'C.P.'!$A$2:$B$164,2,FALSE)</f>
        <v>#N/A</v>
      </c>
      <c r="O338" t="e">
        <f>VLOOKUP(B338,'C.P.'!$C$2:$D$164,2,FALSE)</f>
        <v>#N/A</v>
      </c>
      <c r="P338" t="e">
        <f>VLOOKUP(B338,'C.P.'!$E$2:$F$164,2,FALSE)</f>
        <v>#N/A</v>
      </c>
      <c r="Q338" t="e">
        <f>VLOOKUP(B338,'C.P.'!$G$2:$H$164,2,FALSE)</f>
        <v>#N/A</v>
      </c>
    </row>
    <row r="339" spans="3:17">
      <c r="C339" s="212"/>
      <c r="N339" t="e">
        <f>VLOOKUP(B339,'C.P.'!$A$2:$B$164,2,FALSE)</f>
        <v>#N/A</v>
      </c>
      <c r="O339" t="e">
        <f>VLOOKUP(B339,'C.P.'!$C$2:$D$164,2,FALSE)</f>
        <v>#N/A</v>
      </c>
      <c r="P339" t="e">
        <f>VLOOKUP(B339,'C.P.'!$E$2:$F$164,2,FALSE)</f>
        <v>#N/A</v>
      </c>
      <c r="Q339" t="e">
        <f>VLOOKUP(B339,'C.P.'!$G$2:$H$164,2,FALSE)</f>
        <v>#N/A</v>
      </c>
    </row>
    <row r="340" spans="3:17">
      <c r="C340" s="212"/>
      <c r="N340" t="e">
        <f>VLOOKUP(B340,'C.P.'!$A$2:$B$164,2,FALSE)</f>
        <v>#N/A</v>
      </c>
      <c r="O340" t="e">
        <f>VLOOKUP(B340,'C.P.'!$C$2:$D$164,2,FALSE)</f>
        <v>#N/A</v>
      </c>
      <c r="P340" t="e">
        <f>VLOOKUP(B340,'C.P.'!$E$2:$F$164,2,FALSE)</f>
        <v>#N/A</v>
      </c>
      <c r="Q340" t="e">
        <f>VLOOKUP(B340,'C.P.'!$G$2:$H$164,2,FALSE)</f>
        <v>#N/A</v>
      </c>
    </row>
    <row r="341" spans="3:17">
      <c r="C341" s="212"/>
      <c r="N341" t="e">
        <f>VLOOKUP(B341,'C.P.'!$A$2:$B$164,2,FALSE)</f>
        <v>#N/A</v>
      </c>
      <c r="O341" t="e">
        <f>VLOOKUP(B341,'C.P.'!$C$2:$D$164,2,FALSE)</f>
        <v>#N/A</v>
      </c>
      <c r="P341" t="e">
        <f>VLOOKUP(B341,'C.P.'!$E$2:$F$164,2,FALSE)</f>
        <v>#N/A</v>
      </c>
      <c r="Q341" t="e">
        <f>VLOOKUP(B341,'C.P.'!$G$2:$H$164,2,FALSE)</f>
        <v>#N/A</v>
      </c>
    </row>
    <row r="342" spans="3:17">
      <c r="C342" s="212"/>
      <c r="N342" t="e">
        <f>VLOOKUP(B342,'C.P.'!$A$2:$B$164,2,FALSE)</f>
        <v>#N/A</v>
      </c>
      <c r="O342" t="e">
        <f>VLOOKUP(B342,'C.P.'!$C$2:$D$164,2,FALSE)</f>
        <v>#N/A</v>
      </c>
      <c r="P342" t="e">
        <f>VLOOKUP(B342,'C.P.'!$E$2:$F$164,2,FALSE)</f>
        <v>#N/A</v>
      </c>
      <c r="Q342" t="e">
        <f>VLOOKUP(B342,'C.P.'!$G$2:$H$164,2,FALSE)</f>
        <v>#N/A</v>
      </c>
    </row>
    <row r="343" spans="3:17">
      <c r="C343" s="212"/>
      <c r="N343" t="e">
        <f>VLOOKUP(B343,'C.P.'!$A$2:$B$164,2,FALSE)</f>
        <v>#N/A</v>
      </c>
      <c r="O343" t="e">
        <f>VLOOKUP(B343,'C.P.'!$C$2:$D$164,2,FALSE)</f>
        <v>#N/A</v>
      </c>
      <c r="P343" t="e">
        <f>VLOOKUP(B343,'C.P.'!$E$2:$F$164,2,FALSE)</f>
        <v>#N/A</v>
      </c>
      <c r="Q343" t="e">
        <f>VLOOKUP(B343,'C.P.'!$G$2:$H$164,2,FALSE)</f>
        <v>#N/A</v>
      </c>
    </row>
    <row r="344" spans="3:17">
      <c r="C344" s="212"/>
      <c r="N344" t="e">
        <f>VLOOKUP(B344,'C.P.'!$A$2:$B$164,2,FALSE)</f>
        <v>#N/A</v>
      </c>
      <c r="O344" t="e">
        <f>VLOOKUP(B344,'C.P.'!$C$2:$D$164,2,FALSE)</f>
        <v>#N/A</v>
      </c>
      <c r="P344" t="e">
        <f>VLOOKUP(B344,'C.P.'!$E$2:$F$164,2,FALSE)</f>
        <v>#N/A</v>
      </c>
      <c r="Q344" t="e">
        <f>VLOOKUP(B344,'C.P.'!$G$2:$H$164,2,FALSE)</f>
        <v>#N/A</v>
      </c>
    </row>
    <row r="345" spans="3:17">
      <c r="C345" s="212"/>
      <c r="N345" t="e">
        <f>VLOOKUP(B345,'C.P.'!$A$2:$B$164,2,FALSE)</f>
        <v>#N/A</v>
      </c>
      <c r="O345" t="e">
        <f>VLOOKUP(B345,'C.P.'!$C$2:$D$164,2,FALSE)</f>
        <v>#N/A</v>
      </c>
      <c r="P345" t="e">
        <f>VLOOKUP(B345,'C.P.'!$E$2:$F$164,2,FALSE)</f>
        <v>#N/A</v>
      </c>
      <c r="Q345" t="e">
        <f>VLOOKUP(B345,'C.P.'!$G$2:$H$164,2,FALSE)</f>
        <v>#N/A</v>
      </c>
    </row>
    <row r="346" spans="3:17">
      <c r="C346" s="212"/>
      <c r="N346" t="e">
        <f>VLOOKUP(B346,'C.P.'!$A$2:$B$164,2,FALSE)</f>
        <v>#N/A</v>
      </c>
      <c r="O346" t="e">
        <f>VLOOKUP(B346,'C.P.'!$C$2:$D$164,2,FALSE)</f>
        <v>#N/A</v>
      </c>
      <c r="P346" t="e">
        <f>VLOOKUP(B346,'C.P.'!$E$2:$F$164,2,FALSE)</f>
        <v>#N/A</v>
      </c>
      <c r="Q346" t="e">
        <f>VLOOKUP(B346,'C.P.'!$G$2:$H$164,2,FALSE)</f>
        <v>#N/A</v>
      </c>
    </row>
    <row r="347" spans="3:17">
      <c r="C347" s="212"/>
      <c r="N347" t="e">
        <f>VLOOKUP(B347,'C.P.'!$A$2:$B$164,2,FALSE)</f>
        <v>#N/A</v>
      </c>
      <c r="O347" t="e">
        <f>VLOOKUP(B347,'C.P.'!$C$2:$D$164,2,FALSE)</f>
        <v>#N/A</v>
      </c>
      <c r="P347" t="e">
        <f>VLOOKUP(B347,'C.P.'!$E$2:$F$164,2,FALSE)</f>
        <v>#N/A</v>
      </c>
      <c r="Q347" t="e">
        <f>VLOOKUP(B347,'C.P.'!$G$2:$H$164,2,FALSE)</f>
        <v>#N/A</v>
      </c>
    </row>
    <row r="348" spans="3:17">
      <c r="C348" s="212"/>
      <c r="N348" t="e">
        <f>VLOOKUP(B348,'C.P.'!$A$2:$B$164,2,FALSE)</f>
        <v>#N/A</v>
      </c>
      <c r="O348" t="e">
        <f>VLOOKUP(B348,'C.P.'!$C$2:$D$164,2,FALSE)</f>
        <v>#N/A</v>
      </c>
      <c r="P348" t="e">
        <f>VLOOKUP(B348,'C.P.'!$E$2:$F$164,2,FALSE)</f>
        <v>#N/A</v>
      </c>
      <c r="Q348" t="e">
        <f>VLOOKUP(B348,'C.P.'!$G$2:$H$164,2,FALSE)</f>
        <v>#N/A</v>
      </c>
    </row>
    <row r="349" spans="3:17">
      <c r="C349" s="212"/>
      <c r="N349" t="e">
        <f>VLOOKUP(B349,'C.P.'!$A$2:$B$164,2,FALSE)</f>
        <v>#N/A</v>
      </c>
      <c r="O349" t="e">
        <f>VLOOKUP(B349,'C.P.'!$C$2:$D$164,2,FALSE)</f>
        <v>#N/A</v>
      </c>
      <c r="P349" t="e">
        <f>VLOOKUP(B349,'C.P.'!$E$2:$F$164,2,FALSE)</f>
        <v>#N/A</v>
      </c>
      <c r="Q349" t="e">
        <f>VLOOKUP(B349,'C.P.'!$G$2:$H$164,2,FALSE)</f>
        <v>#N/A</v>
      </c>
    </row>
    <row r="350" spans="3:17">
      <c r="C350" s="212"/>
      <c r="N350" t="e">
        <f>VLOOKUP(B350,'C.P.'!$A$2:$B$164,2,FALSE)</f>
        <v>#N/A</v>
      </c>
      <c r="O350" t="e">
        <f>VLOOKUP(B350,'C.P.'!$C$2:$D$164,2,FALSE)</f>
        <v>#N/A</v>
      </c>
      <c r="P350" t="e">
        <f>VLOOKUP(B350,'C.P.'!$E$2:$F$164,2,FALSE)</f>
        <v>#N/A</v>
      </c>
      <c r="Q350" t="e">
        <f>VLOOKUP(B350,'C.P.'!$G$2:$H$164,2,FALSE)</f>
        <v>#N/A</v>
      </c>
    </row>
    <row r="351" spans="3:17">
      <c r="C351" s="212"/>
      <c r="N351" t="e">
        <f>VLOOKUP(B351,'C.P.'!$A$2:$B$164,2,FALSE)</f>
        <v>#N/A</v>
      </c>
      <c r="O351" t="e">
        <f>VLOOKUP(B351,'C.P.'!$C$2:$D$164,2,FALSE)</f>
        <v>#N/A</v>
      </c>
      <c r="P351" t="e">
        <f>VLOOKUP(B351,'C.P.'!$E$2:$F$164,2,FALSE)</f>
        <v>#N/A</v>
      </c>
      <c r="Q351" t="e">
        <f>VLOOKUP(B351,'C.P.'!$G$2:$H$164,2,FALSE)</f>
        <v>#N/A</v>
      </c>
    </row>
    <row r="352" spans="3:17">
      <c r="C352" s="212"/>
      <c r="N352" t="e">
        <f>VLOOKUP(B352,'C.P.'!$A$2:$B$164,2,FALSE)</f>
        <v>#N/A</v>
      </c>
      <c r="O352" t="e">
        <f>VLOOKUP(B352,'C.P.'!$C$2:$D$164,2,FALSE)</f>
        <v>#N/A</v>
      </c>
      <c r="P352" t="e">
        <f>VLOOKUP(B352,'C.P.'!$E$2:$F$164,2,FALSE)</f>
        <v>#N/A</v>
      </c>
      <c r="Q352" t="e">
        <f>VLOOKUP(B352,'C.P.'!$G$2:$H$164,2,FALSE)</f>
        <v>#N/A</v>
      </c>
    </row>
    <row r="353" spans="3:17">
      <c r="C353" s="212"/>
      <c r="N353" t="e">
        <f>VLOOKUP(B353,'C.P.'!$A$2:$B$164,2,FALSE)</f>
        <v>#N/A</v>
      </c>
      <c r="O353" t="e">
        <f>VLOOKUP(B353,'C.P.'!$C$2:$D$164,2,FALSE)</f>
        <v>#N/A</v>
      </c>
      <c r="P353" t="e">
        <f>VLOOKUP(B353,'C.P.'!$E$2:$F$164,2,FALSE)</f>
        <v>#N/A</v>
      </c>
      <c r="Q353" t="e">
        <f>VLOOKUP(B353,'C.P.'!$G$2:$H$164,2,FALSE)</f>
        <v>#N/A</v>
      </c>
    </row>
    <row r="354" spans="3:17">
      <c r="C354" s="212"/>
      <c r="N354" t="e">
        <f>VLOOKUP(B354,'C.P.'!$A$2:$B$164,2,FALSE)</f>
        <v>#N/A</v>
      </c>
      <c r="O354" t="e">
        <f>VLOOKUP(B354,'C.P.'!$C$2:$D$164,2,FALSE)</f>
        <v>#N/A</v>
      </c>
      <c r="P354" t="e">
        <f>VLOOKUP(B354,'C.P.'!$E$2:$F$164,2,FALSE)</f>
        <v>#N/A</v>
      </c>
      <c r="Q354" t="e">
        <f>VLOOKUP(B354,'C.P.'!$G$2:$H$164,2,FALSE)</f>
        <v>#N/A</v>
      </c>
    </row>
    <row r="355" spans="3:17">
      <c r="C355" s="212"/>
      <c r="N355" t="e">
        <f>VLOOKUP(B355,'C.P.'!$A$2:$B$164,2,FALSE)</f>
        <v>#N/A</v>
      </c>
      <c r="O355" t="e">
        <f>VLOOKUP(B355,'C.P.'!$C$2:$D$164,2,FALSE)</f>
        <v>#N/A</v>
      </c>
      <c r="P355" t="e">
        <f>VLOOKUP(B355,'C.P.'!$E$2:$F$164,2,FALSE)</f>
        <v>#N/A</v>
      </c>
      <c r="Q355" t="e">
        <f>VLOOKUP(B355,'C.P.'!$G$2:$H$164,2,FALSE)</f>
        <v>#N/A</v>
      </c>
    </row>
    <row r="356" spans="3:17">
      <c r="C356" s="212"/>
      <c r="N356" t="e">
        <f>VLOOKUP(B356,'C.P.'!$A$2:$B$164,2,FALSE)</f>
        <v>#N/A</v>
      </c>
      <c r="O356" t="e">
        <f>VLOOKUP(B356,'C.P.'!$C$2:$D$164,2,FALSE)</f>
        <v>#N/A</v>
      </c>
      <c r="P356" t="e">
        <f>VLOOKUP(B356,'C.P.'!$E$2:$F$164,2,FALSE)</f>
        <v>#N/A</v>
      </c>
      <c r="Q356" t="e">
        <f>VLOOKUP(B356,'C.P.'!$G$2:$H$164,2,FALSE)</f>
        <v>#N/A</v>
      </c>
    </row>
    <row r="357" spans="3:17">
      <c r="C357" s="212"/>
      <c r="N357" t="e">
        <f>VLOOKUP(B357,'C.P.'!$A$2:$B$164,2,FALSE)</f>
        <v>#N/A</v>
      </c>
      <c r="O357" t="e">
        <f>VLOOKUP(B357,'C.P.'!$C$2:$D$164,2,FALSE)</f>
        <v>#N/A</v>
      </c>
      <c r="P357" t="e">
        <f>VLOOKUP(B357,'C.P.'!$E$2:$F$164,2,FALSE)</f>
        <v>#N/A</v>
      </c>
      <c r="Q357" t="e">
        <f>VLOOKUP(B357,'C.P.'!$G$2:$H$164,2,FALSE)</f>
        <v>#N/A</v>
      </c>
    </row>
    <row r="358" spans="3:17">
      <c r="C358" s="212"/>
      <c r="N358" t="e">
        <f>VLOOKUP(B358,'C.P.'!$A$2:$B$164,2,FALSE)</f>
        <v>#N/A</v>
      </c>
      <c r="O358" t="e">
        <f>VLOOKUP(B358,'C.P.'!$C$2:$D$164,2,FALSE)</f>
        <v>#N/A</v>
      </c>
      <c r="P358" t="e">
        <f>VLOOKUP(B358,'C.P.'!$E$2:$F$164,2,FALSE)</f>
        <v>#N/A</v>
      </c>
      <c r="Q358" t="e">
        <f>VLOOKUP(B358,'C.P.'!$G$2:$H$164,2,FALSE)</f>
        <v>#N/A</v>
      </c>
    </row>
    <row r="359" spans="3:17">
      <c r="C359" s="212"/>
      <c r="N359" t="e">
        <f>VLOOKUP(B359,'C.P.'!$A$2:$B$164,2,FALSE)</f>
        <v>#N/A</v>
      </c>
      <c r="O359" t="e">
        <f>VLOOKUP(B359,'C.P.'!$C$2:$D$164,2,FALSE)</f>
        <v>#N/A</v>
      </c>
      <c r="P359" t="e">
        <f>VLOOKUP(B359,'C.P.'!$E$2:$F$164,2,FALSE)</f>
        <v>#N/A</v>
      </c>
      <c r="Q359" t="e">
        <f>VLOOKUP(B359,'C.P.'!$G$2:$H$164,2,FALSE)</f>
        <v>#N/A</v>
      </c>
    </row>
    <row r="360" spans="3:17">
      <c r="C360" s="212"/>
      <c r="N360" t="e">
        <f>VLOOKUP(B360,'C.P.'!$A$2:$B$164,2,FALSE)</f>
        <v>#N/A</v>
      </c>
      <c r="O360" t="e">
        <f>VLOOKUP(B360,'C.P.'!$C$2:$D$164,2,FALSE)</f>
        <v>#N/A</v>
      </c>
      <c r="P360" t="e">
        <f>VLOOKUP(B360,'C.P.'!$E$2:$F$164,2,FALSE)</f>
        <v>#N/A</v>
      </c>
      <c r="Q360" t="e">
        <f>VLOOKUP(B360,'C.P.'!$G$2:$H$164,2,FALSE)</f>
        <v>#N/A</v>
      </c>
    </row>
    <row r="361" spans="3:17">
      <c r="C361" s="212"/>
      <c r="N361" t="e">
        <f>VLOOKUP(B361,'C.P.'!$A$2:$B$164,2,FALSE)</f>
        <v>#N/A</v>
      </c>
      <c r="O361" t="e">
        <f>VLOOKUP(B361,'C.P.'!$C$2:$D$164,2,FALSE)</f>
        <v>#N/A</v>
      </c>
      <c r="P361" t="e">
        <f>VLOOKUP(B361,'C.P.'!$E$2:$F$164,2,FALSE)</f>
        <v>#N/A</v>
      </c>
      <c r="Q361" t="e">
        <f>VLOOKUP(B361,'C.P.'!$G$2:$H$164,2,FALSE)</f>
        <v>#N/A</v>
      </c>
    </row>
    <row r="362" spans="3:17">
      <c r="C362" s="212"/>
      <c r="N362" t="e">
        <f>VLOOKUP(B362,'C.P.'!$A$2:$B$164,2,FALSE)</f>
        <v>#N/A</v>
      </c>
      <c r="O362" t="e">
        <f>VLOOKUP(B362,'C.P.'!$C$2:$D$164,2,FALSE)</f>
        <v>#N/A</v>
      </c>
      <c r="P362" t="e">
        <f>VLOOKUP(B362,'C.P.'!$E$2:$F$164,2,FALSE)</f>
        <v>#N/A</v>
      </c>
      <c r="Q362" t="e">
        <f>VLOOKUP(B362,'C.P.'!$G$2:$H$164,2,FALSE)</f>
        <v>#N/A</v>
      </c>
    </row>
    <row r="363" spans="3:17">
      <c r="C363" s="212"/>
      <c r="N363" t="e">
        <f>VLOOKUP(B363,'C.P.'!$A$2:$B$164,2,FALSE)</f>
        <v>#N/A</v>
      </c>
      <c r="O363" t="e">
        <f>VLOOKUP(B363,'C.P.'!$C$2:$D$164,2,FALSE)</f>
        <v>#N/A</v>
      </c>
      <c r="P363" t="e">
        <f>VLOOKUP(B363,'C.P.'!$E$2:$F$164,2,FALSE)</f>
        <v>#N/A</v>
      </c>
      <c r="Q363" t="e">
        <f>VLOOKUP(B363,'C.P.'!$G$2:$H$164,2,FALSE)</f>
        <v>#N/A</v>
      </c>
    </row>
    <row r="364" spans="3:17">
      <c r="C364" s="212"/>
      <c r="N364" t="e">
        <f>VLOOKUP(B364,'C.P.'!$A$2:$B$164,2,FALSE)</f>
        <v>#N/A</v>
      </c>
      <c r="O364" t="e">
        <f>VLOOKUP(B364,'C.P.'!$C$2:$D$164,2,FALSE)</f>
        <v>#N/A</v>
      </c>
      <c r="P364" t="e">
        <f>VLOOKUP(B364,'C.P.'!$E$2:$F$164,2,FALSE)</f>
        <v>#N/A</v>
      </c>
      <c r="Q364" t="e">
        <f>VLOOKUP(B364,'C.P.'!$G$2:$H$164,2,FALSE)</f>
        <v>#N/A</v>
      </c>
    </row>
    <row r="365" spans="3:17">
      <c r="C365" s="212"/>
      <c r="N365" t="e">
        <f>VLOOKUP(B365,'C.P.'!$A$2:$B$164,2,FALSE)</f>
        <v>#N/A</v>
      </c>
      <c r="O365" t="e">
        <f>VLOOKUP(B365,'C.P.'!$C$2:$D$164,2,FALSE)</f>
        <v>#N/A</v>
      </c>
      <c r="P365" t="e">
        <f>VLOOKUP(B365,'C.P.'!$E$2:$F$164,2,FALSE)</f>
        <v>#N/A</v>
      </c>
      <c r="Q365" t="e">
        <f>VLOOKUP(B365,'C.P.'!$G$2:$H$164,2,FALSE)</f>
        <v>#N/A</v>
      </c>
    </row>
    <row r="366" spans="3:17">
      <c r="C366" s="212"/>
      <c r="N366" t="e">
        <f>VLOOKUP(B366,'C.P.'!$A$2:$B$164,2,FALSE)</f>
        <v>#N/A</v>
      </c>
      <c r="O366" t="e">
        <f>VLOOKUP(B366,'C.P.'!$C$2:$D$164,2,FALSE)</f>
        <v>#N/A</v>
      </c>
      <c r="P366" t="e">
        <f>VLOOKUP(B366,'C.P.'!$E$2:$F$164,2,FALSE)</f>
        <v>#N/A</v>
      </c>
      <c r="Q366" t="e">
        <f>VLOOKUP(B366,'C.P.'!$G$2:$H$164,2,FALSE)</f>
        <v>#N/A</v>
      </c>
    </row>
    <row r="367" spans="3:17">
      <c r="C367" s="212"/>
      <c r="N367" t="e">
        <f>VLOOKUP(B367,'C.P.'!$A$2:$B$164,2,FALSE)</f>
        <v>#N/A</v>
      </c>
      <c r="O367" t="e">
        <f>VLOOKUP(B367,'C.P.'!$C$2:$D$164,2,FALSE)</f>
        <v>#N/A</v>
      </c>
      <c r="P367" t="e">
        <f>VLOOKUP(B367,'C.P.'!$E$2:$F$164,2,FALSE)</f>
        <v>#N/A</v>
      </c>
      <c r="Q367" t="e">
        <f>VLOOKUP(B367,'C.P.'!$G$2:$H$164,2,FALSE)</f>
        <v>#N/A</v>
      </c>
    </row>
    <row r="368" spans="3:17">
      <c r="C368" s="212"/>
      <c r="N368" t="e">
        <f>VLOOKUP(B368,'C.P.'!$A$2:$B$164,2,FALSE)</f>
        <v>#N/A</v>
      </c>
      <c r="O368" t="e">
        <f>VLOOKUP(B368,'C.P.'!$C$2:$D$164,2,FALSE)</f>
        <v>#N/A</v>
      </c>
      <c r="P368" t="e">
        <f>VLOOKUP(B368,'C.P.'!$E$2:$F$164,2,FALSE)</f>
        <v>#N/A</v>
      </c>
      <c r="Q368" t="e">
        <f>VLOOKUP(B368,'C.P.'!$G$2:$H$164,2,FALSE)</f>
        <v>#N/A</v>
      </c>
    </row>
    <row r="369" spans="3:17">
      <c r="C369" s="212"/>
      <c r="N369" t="e">
        <f>VLOOKUP(B369,'C.P.'!$A$2:$B$164,2,FALSE)</f>
        <v>#N/A</v>
      </c>
      <c r="O369" t="e">
        <f>VLOOKUP(B369,'C.P.'!$C$2:$D$164,2,FALSE)</f>
        <v>#N/A</v>
      </c>
      <c r="P369" t="e">
        <f>VLOOKUP(B369,'C.P.'!$E$2:$F$164,2,FALSE)</f>
        <v>#N/A</v>
      </c>
      <c r="Q369" t="e">
        <f>VLOOKUP(B369,'C.P.'!$G$2:$H$164,2,FALSE)</f>
        <v>#N/A</v>
      </c>
    </row>
    <row r="370" spans="3:17">
      <c r="C370" s="212"/>
      <c r="N370" t="e">
        <f>VLOOKUP(B370,'C.P.'!$A$2:$B$164,2,FALSE)</f>
        <v>#N/A</v>
      </c>
      <c r="O370" t="e">
        <f>VLOOKUP(B370,'C.P.'!$C$2:$D$164,2,FALSE)</f>
        <v>#N/A</v>
      </c>
      <c r="P370" t="e">
        <f>VLOOKUP(B370,'C.P.'!$E$2:$F$164,2,FALSE)</f>
        <v>#N/A</v>
      </c>
      <c r="Q370" t="e">
        <f>VLOOKUP(B370,'C.P.'!$G$2:$H$164,2,FALSE)</f>
        <v>#N/A</v>
      </c>
    </row>
    <row r="371" spans="3:17">
      <c r="C371" s="212"/>
      <c r="N371" t="e">
        <f>VLOOKUP(B371,'C.P.'!$A$2:$B$164,2,FALSE)</f>
        <v>#N/A</v>
      </c>
      <c r="O371" t="e">
        <f>VLOOKUP(B371,'C.P.'!$C$2:$D$164,2,FALSE)</f>
        <v>#N/A</v>
      </c>
      <c r="P371" t="e">
        <f>VLOOKUP(B371,'C.P.'!$E$2:$F$164,2,FALSE)</f>
        <v>#N/A</v>
      </c>
      <c r="Q371" t="e">
        <f>VLOOKUP(B371,'C.P.'!$G$2:$H$164,2,FALSE)</f>
        <v>#N/A</v>
      </c>
    </row>
    <row r="372" spans="3:17">
      <c r="C372" s="212"/>
      <c r="N372" t="e">
        <f>VLOOKUP(B372,'C.P.'!$A$2:$B$164,2,FALSE)</f>
        <v>#N/A</v>
      </c>
      <c r="O372" t="e">
        <f>VLOOKUP(B372,'C.P.'!$C$2:$D$164,2,FALSE)</f>
        <v>#N/A</v>
      </c>
      <c r="P372" t="e">
        <f>VLOOKUP(B372,'C.P.'!$E$2:$F$164,2,FALSE)</f>
        <v>#N/A</v>
      </c>
      <c r="Q372" t="e">
        <f>VLOOKUP(B372,'C.P.'!$G$2:$H$164,2,FALSE)</f>
        <v>#N/A</v>
      </c>
    </row>
    <row r="373" spans="3:17">
      <c r="C373" s="212"/>
      <c r="N373" t="e">
        <f>VLOOKUP(B373,'C.P.'!$A$2:$B$164,2,FALSE)</f>
        <v>#N/A</v>
      </c>
      <c r="O373" t="e">
        <f>VLOOKUP(B373,'C.P.'!$C$2:$D$164,2,FALSE)</f>
        <v>#N/A</v>
      </c>
      <c r="P373" t="e">
        <f>VLOOKUP(B373,'C.P.'!$E$2:$F$164,2,FALSE)</f>
        <v>#N/A</v>
      </c>
      <c r="Q373" t="e">
        <f>VLOOKUP(B373,'C.P.'!$G$2:$H$164,2,FALSE)</f>
        <v>#N/A</v>
      </c>
    </row>
    <row r="374" spans="3:17">
      <c r="C374" s="212"/>
      <c r="N374" t="e">
        <f>VLOOKUP(B374,'C.P.'!$A$2:$B$164,2,FALSE)</f>
        <v>#N/A</v>
      </c>
      <c r="O374" t="e">
        <f>VLOOKUP(B374,'C.P.'!$C$2:$D$164,2,FALSE)</f>
        <v>#N/A</v>
      </c>
      <c r="P374" t="e">
        <f>VLOOKUP(B374,'C.P.'!$E$2:$F$164,2,FALSE)</f>
        <v>#N/A</v>
      </c>
      <c r="Q374" t="e">
        <f>VLOOKUP(B374,'C.P.'!$G$2:$H$164,2,FALSE)</f>
        <v>#N/A</v>
      </c>
    </row>
    <row r="375" spans="3:17">
      <c r="C375" s="212"/>
      <c r="N375" t="e">
        <f>VLOOKUP(B375,'C.P.'!$A$2:$B$164,2,FALSE)</f>
        <v>#N/A</v>
      </c>
      <c r="O375" t="e">
        <f>VLOOKUP(B375,'C.P.'!$C$2:$D$164,2,FALSE)</f>
        <v>#N/A</v>
      </c>
      <c r="P375" t="e">
        <f>VLOOKUP(B375,'C.P.'!$E$2:$F$164,2,FALSE)</f>
        <v>#N/A</v>
      </c>
      <c r="Q375" t="e">
        <f>VLOOKUP(B375,'C.P.'!$G$2:$H$164,2,FALSE)</f>
        <v>#N/A</v>
      </c>
    </row>
    <row r="376" spans="3:17">
      <c r="C376" s="212"/>
      <c r="N376" t="e">
        <f>VLOOKUP(B376,'C.P.'!$A$2:$B$164,2,FALSE)</f>
        <v>#N/A</v>
      </c>
      <c r="O376" t="e">
        <f>VLOOKUP(B376,'C.P.'!$C$2:$D$164,2,FALSE)</f>
        <v>#N/A</v>
      </c>
      <c r="P376" t="e">
        <f>VLOOKUP(B376,'C.P.'!$E$2:$F$164,2,FALSE)</f>
        <v>#N/A</v>
      </c>
      <c r="Q376" t="e">
        <f>VLOOKUP(B376,'C.P.'!$G$2:$H$164,2,FALSE)</f>
        <v>#N/A</v>
      </c>
    </row>
    <row r="377" spans="3:17">
      <c r="C377" s="212"/>
      <c r="N377" t="e">
        <f>VLOOKUP(B377,'C.P.'!$A$2:$B$164,2,FALSE)</f>
        <v>#N/A</v>
      </c>
      <c r="O377" t="e">
        <f>VLOOKUP(B377,'C.P.'!$C$2:$D$164,2,FALSE)</f>
        <v>#N/A</v>
      </c>
      <c r="P377" t="e">
        <f>VLOOKUP(B377,'C.P.'!$E$2:$F$164,2,FALSE)</f>
        <v>#N/A</v>
      </c>
      <c r="Q377" t="e">
        <f>VLOOKUP(B377,'C.P.'!$G$2:$H$164,2,FALSE)</f>
        <v>#N/A</v>
      </c>
    </row>
    <row r="378" spans="3:17">
      <c r="C378" s="212"/>
      <c r="N378" t="e">
        <f>VLOOKUP(B378,'C.P.'!$A$2:$B$164,2,FALSE)</f>
        <v>#N/A</v>
      </c>
      <c r="O378" t="e">
        <f>VLOOKUP(B378,'C.P.'!$C$2:$D$164,2,FALSE)</f>
        <v>#N/A</v>
      </c>
      <c r="P378" t="e">
        <f>VLOOKUP(B378,'C.P.'!$E$2:$F$164,2,FALSE)</f>
        <v>#N/A</v>
      </c>
      <c r="Q378" t="e">
        <f>VLOOKUP(B378,'C.P.'!$G$2:$H$164,2,FALSE)</f>
        <v>#N/A</v>
      </c>
    </row>
    <row r="379" spans="3:17">
      <c r="C379" s="212"/>
      <c r="N379" t="e">
        <f>VLOOKUP(B379,'C.P.'!$A$2:$B$164,2,FALSE)</f>
        <v>#N/A</v>
      </c>
      <c r="O379" t="e">
        <f>VLOOKUP(B379,'C.P.'!$C$2:$D$164,2,FALSE)</f>
        <v>#N/A</v>
      </c>
      <c r="P379" t="e">
        <f>VLOOKUP(B379,'C.P.'!$E$2:$F$164,2,FALSE)</f>
        <v>#N/A</v>
      </c>
      <c r="Q379" t="e">
        <f>VLOOKUP(B379,'C.P.'!$G$2:$H$164,2,FALSE)</f>
        <v>#N/A</v>
      </c>
    </row>
    <row r="380" spans="3:17">
      <c r="C380" s="212"/>
      <c r="N380" t="e">
        <f>VLOOKUP(B380,'C.P.'!$A$2:$B$164,2,FALSE)</f>
        <v>#N/A</v>
      </c>
      <c r="O380" t="e">
        <f>VLOOKUP(B380,'C.P.'!$C$2:$D$164,2,FALSE)</f>
        <v>#N/A</v>
      </c>
      <c r="P380" t="e">
        <f>VLOOKUP(B380,'C.P.'!$E$2:$F$164,2,FALSE)</f>
        <v>#N/A</v>
      </c>
      <c r="Q380" t="e">
        <f>VLOOKUP(B380,'C.P.'!$G$2:$H$164,2,FALSE)</f>
        <v>#N/A</v>
      </c>
    </row>
    <row r="381" spans="3:17">
      <c r="C381" s="212"/>
      <c r="N381" t="e">
        <f>VLOOKUP(B381,'C.P.'!$A$2:$B$164,2,FALSE)</f>
        <v>#N/A</v>
      </c>
      <c r="O381" t="e">
        <f>VLOOKUP(B381,'C.P.'!$C$2:$D$164,2,FALSE)</f>
        <v>#N/A</v>
      </c>
      <c r="P381" t="e">
        <f>VLOOKUP(B381,'C.P.'!$E$2:$F$164,2,FALSE)</f>
        <v>#N/A</v>
      </c>
      <c r="Q381" t="e">
        <f>VLOOKUP(B381,'C.P.'!$G$2:$H$164,2,FALSE)</f>
        <v>#N/A</v>
      </c>
    </row>
    <row r="382" spans="3:17">
      <c r="C382" s="212"/>
      <c r="N382" t="e">
        <f>VLOOKUP(B382,'C.P.'!$A$2:$B$164,2,FALSE)</f>
        <v>#N/A</v>
      </c>
      <c r="O382" t="e">
        <f>VLOOKUP(B382,'C.P.'!$C$2:$D$164,2,FALSE)</f>
        <v>#N/A</v>
      </c>
      <c r="P382" t="e">
        <f>VLOOKUP(B382,'C.P.'!$E$2:$F$164,2,FALSE)</f>
        <v>#N/A</v>
      </c>
      <c r="Q382" t="e">
        <f>VLOOKUP(B382,'C.P.'!$G$2:$H$164,2,FALSE)</f>
        <v>#N/A</v>
      </c>
    </row>
    <row r="383" spans="3:17">
      <c r="C383" s="212"/>
      <c r="N383" t="e">
        <f>VLOOKUP(B383,'C.P.'!$A$2:$B$164,2,FALSE)</f>
        <v>#N/A</v>
      </c>
      <c r="O383" t="e">
        <f>VLOOKUP(B383,'C.P.'!$C$2:$D$164,2,FALSE)</f>
        <v>#N/A</v>
      </c>
      <c r="P383" t="e">
        <f>VLOOKUP(B383,'C.P.'!$E$2:$F$164,2,FALSE)</f>
        <v>#N/A</v>
      </c>
      <c r="Q383" t="e">
        <f>VLOOKUP(B383,'C.P.'!$G$2:$H$164,2,FALSE)</f>
        <v>#N/A</v>
      </c>
    </row>
    <row r="384" spans="3:17">
      <c r="C384" s="212"/>
      <c r="N384" t="e">
        <f>VLOOKUP(B384,'C.P.'!$A$2:$B$164,2,FALSE)</f>
        <v>#N/A</v>
      </c>
      <c r="O384" t="e">
        <f>VLOOKUP(B384,'C.P.'!$C$2:$D$164,2,FALSE)</f>
        <v>#N/A</v>
      </c>
      <c r="P384" t="e">
        <f>VLOOKUP(B384,'C.P.'!$E$2:$F$164,2,FALSE)</f>
        <v>#N/A</v>
      </c>
      <c r="Q384" t="e">
        <f>VLOOKUP(B384,'C.P.'!$G$2:$H$164,2,FALSE)</f>
        <v>#N/A</v>
      </c>
    </row>
    <row r="385" spans="3:17">
      <c r="C385" s="212"/>
      <c r="N385" t="e">
        <f>VLOOKUP(B385,'C.P.'!$A$2:$B$164,2,FALSE)</f>
        <v>#N/A</v>
      </c>
      <c r="O385" t="e">
        <f>VLOOKUP(B385,'C.P.'!$C$2:$D$164,2,FALSE)</f>
        <v>#N/A</v>
      </c>
      <c r="P385" t="e">
        <f>VLOOKUP(B385,'C.P.'!$E$2:$F$164,2,FALSE)</f>
        <v>#N/A</v>
      </c>
      <c r="Q385" t="e">
        <f>VLOOKUP(B385,'C.P.'!$G$2:$H$164,2,FALSE)</f>
        <v>#N/A</v>
      </c>
    </row>
    <row r="386" spans="3:17">
      <c r="C386" s="212"/>
      <c r="N386" t="e">
        <f>VLOOKUP(B386,'C.P.'!$A$2:$B$164,2,FALSE)</f>
        <v>#N/A</v>
      </c>
      <c r="O386" t="e">
        <f>VLOOKUP(B386,'C.P.'!$C$2:$D$164,2,FALSE)</f>
        <v>#N/A</v>
      </c>
      <c r="P386" t="e">
        <f>VLOOKUP(B386,'C.P.'!$E$2:$F$164,2,FALSE)</f>
        <v>#N/A</v>
      </c>
      <c r="Q386" t="e">
        <f>VLOOKUP(B386,'C.P.'!$G$2:$H$164,2,FALSE)</f>
        <v>#N/A</v>
      </c>
    </row>
    <row r="387" spans="3:17">
      <c r="C387" s="212"/>
      <c r="N387" t="e">
        <f>VLOOKUP(B387,'C.P.'!$A$2:$B$164,2,FALSE)</f>
        <v>#N/A</v>
      </c>
      <c r="O387" t="e">
        <f>VLOOKUP(B387,'C.P.'!$C$2:$D$164,2,FALSE)</f>
        <v>#N/A</v>
      </c>
      <c r="P387" t="e">
        <f>VLOOKUP(B387,'C.P.'!$E$2:$F$164,2,FALSE)</f>
        <v>#N/A</v>
      </c>
      <c r="Q387" t="e">
        <f>VLOOKUP(B387,'C.P.'!$G$2:$H$164,2,FALSE)</f>
        <v>#N/A</v>
      </c>
    </row>
    <row r="388" spans="3:17">
      <c r="C388" s="212"/>
      <c r="N388" t="e">
        <f>VLOOKUP(B388,'C.P.'!$A$2:$B$164,2,FALSE)</f>
        <v>#N/A</v>
      </c>
      <c r="O388" t="e">
        <f>VLOOKUP(B388,'C.P.'!$C$2:$D$164,2,FALSE)</f>
        <v>#N/A</v>
      </c>
      <c r="P388" t="e">
        <f>VLOOKUP(B388,'C.P.'!$E$2:$F$164,2,FALSE)</f>
        <v>#N/A</v>
      </c>
      <c r="Q388" t="e">
        <f>VLOOKUP(B388,'C.P.'!$G$2:$H$164,2,FALSE)</f>
        <v>#N/A</v>
      </c>
    </row>
    <row r="389" spans="3:17">
      <c r="C389" s="212"/>
      <c r="N389" t="e">
        <f>VLOOKUP(B389,'C.P.'!$A$2:$B$164,2,FALSE)</f>
        <v>#N/A</v>
      </c>
      <c r="O389" t="e">
        <f>VLOOKUP(B389,'C.P.'!$C$2:$D$164,2,FALSE)</f>
        <v>#N/A</v>
      </c>
      <c r="P389" t="e">
        <f>VLOOKUP(B389,'C.P.'!$E$2:$F$164,2,FALSE)</f>
        <v>#N/A</v>
      </c>
      <c r="Q389" t="e">
        <f>VLOOKUP(B389,'C.P.'!$G$2:$H$164,2,FALSE)</f>
        <v>#N/A</v>
      </c>
    </row>
    <row r="390" spans="3:17">
      <c r="C390" s="212"/>
      <c r="N390" t="e">
        <f>VLOOKUP(B390,'C.P.'!$A$2:$B$164,2,FALSE)</f>
        <v>#N/A</v>
      </c>
      <c r="O390" t="e">
        <f>VLOOKUP(B390,'C.P.'!$C$2:$D$164,2,FALSE)</f>
        <v>#N/A</v>
      </c>
      <c r="P390" t="e">
        <f>VLOOKUP(B390,'C.P.'!$E$2:$F$164,2,FALSE)</f>
        <v>#N/A</v>
      </c>
      <c r="Q390" t="e">
        <f>VLOOKUP(B390,'C.P.'!$G$2:$H$164,2,FALSE)</f>
        <v>#N/A</v>
      </c>
    </row>
    <row r="391" spans="3:17">
      <c r="C391" s="212"/>
      <c r="N391" t="e">
        <f>VLOOKUP(B391,'C.P.'!$A$2:$B$164,2,FALSE)</f>
        <v>#N/A</v>
      </c>
      <c r="O391" t="e">
        <f>VLOOKUP(B391,'C.P.'!$C$2:$D$164,2,FALSE)</f>
        <v>#N/A</v>
      </c>
      <c r="P391" t="e">
        <f>VLOOKUP(B391,'C.P.'!$E$2:$F$164,2,FALSE)</f>
        <v>#N/A</v>
      </c>
      <c r="Q391" t="e">
        <f>VLOOKUP(B391,'C.P.'!$G$2:$H$164,2,FALSE)</f>
        <v>#N/A</v>
      </c>
    </row>
    <row r="392" spans="3:17">
      <c r="C392" s="212"/>
      <c r="N392" t="e">
        <f>VLOOKUP(B392,'C.P.'!$A$2:$B$164,2,FALSE)</f>
        <v>#N/A</v>
      </c>
      <c r="O392" t="e">
        <f>VLOOKUP(B392,'C.P.'!$C$2:$D$164,2,FALSE)</f>
        <v>#N/A</v>
      </c>
      <c r="P392" t="e">
        <f>VLOOKUP(B392,'C.P.'!$E$2:$F$164,2,FALSE)</f>
        <v>#N/A</v>
      </c>
      <c r="Q392" t="e">
        <f>VLOOKUP(B392,'C.P.'!$G$2:$H$164,2,FALSE)</f>
        <v>#N/A</v>
      </c>
    </row>
    <row r="393" spans="3:17">
      <c r="C393" s="212"/>
      <c r="N393" t="e">
        <f>VLOOKUP(B393,'C.P.'!$A$2:$B$164,2,FALSE)</f>
        <v>#N/A</v>
      </c>
      <c r="O393" t="e">
        <f>VLOOKUP(B393,'C.P.'!$C$2:$D$164,2,FALSE)</f>
        <v>#N/A</v>
      </c>
      <c r="P393" t="e">
        <f>VLOOKUP(B393,'C.P.'!$E$2:$F$164,2,FALSE)</f>
        <v>#N/A</v>
      </c>
      <c r="Q393" t="e">
        <f>VLOOKUP(B393,'C.P.'!$G$2:$H$164,2,FALSE)</f>
        <v>#N/A</v>
      </c>
    </row>
    <row r="394" spans="3:17">
      <c r="C394" s="212"/>
      <c r="N394" t="e">
        <f>VLOOKUP(B394,'C.P.'!$A$2:$B$164,2,FALSE)</f>
        <v>#N/A</v>
      </c>
      <c r="O394" t="e">
        <f>VLOOKUP(B394,'C.P.'!$C$2:$D$164,2,FALSE)</f>
        <v>#N/A</v>
      </c>
      <c r="P394" t="e">
        <f>VLOOKUP(B394,'C.P.'!$E$2:$F$164,2,FALSE)</f>
        <v>#N/A</v>
      </c>
      <c r="Q394" t="e">
        <f>VLOOKUP(B394,'C.P.'!$G$2:$H$164,2,FALSE)</f>
        <v>#N/A</v>
      </c>
    </row>
    <row r="395" spans="3:17">
      <c r="C395" s="212"/>
      <c r="N395" t="e">
        <f>VLOOKUP(B395,'C.P.'!$A$2:$B$164,2,FALSE)</f>
        <v>#N/A</v>
      </c>
      <c r="O395" t="e">
        <f>VLOOKUP(B395,'C.P.'!$C$2:$D$164,2,FALSE)</f>
        <v>#N/A</v>
      </c>
      <c r="P395" t="e">
        <f>VLOOKUP(B395,'C.P.'!$E$2:$F$164,2,FALSE)</f>
        <v>#N/A</v>
      </c>
      <c r="Q395" t="e">
        <f>VLOOKUP(B395,'C.P.'!$G$2:$H$164,2,FALSE)</f>
        <v>#N/A</v>
      </c>
    </row>
    <row r="396" spans="3:17">
      <c r="C396" s="212"/>
      <c r="N396" t="e">
        <f>VLOOKUP(B396,'C.P.'!$A$2:$B$164,2,FALSE)</f>
        <v>#N/A</v>
      </c>
      <c r="O396" t="e">
        <f>VLOOKUP(B396,'C.P.'!$C$2:$D$164,2,FALSE)</f>
        <v>#N/A</v>
      </c>
      <c r="P396" t="e">
        <f>VLOOKUP(B396,'C.P.'!$E$2:$F$164,2,FALSE)</f>
        <v>#N/A</v>
      </c>
      <c r="Q396" t="e">
        <f>VLOOKUP(B396,'C.P.'!$G$2:$H$164,2,FALSE)</f>
        <v>#N/A</v>
      </c>
    </row>
    <row r="397" spans="3:17">
      <c r="C397" s="212"/>
      <c r="N397" t="e">
        <f>VLOOKUP(B397,'C.P.'!$A$2:$B$164,2,FALSE)</f>
        <v>#N/A</v>
      </c>
      <c r="O397" t="e">
        <f>VLOOKUP(B397,'C.P.'!$C$2:$D$164,2,FALSE)</f>
        <v>#N/A</v>
      </c>
      <c r="P397" t="e">
        <f>VLOOKUP(B397,'C.P.'!$E$2:$F$164,2,FALSE)</f>
        <v>#N/A</v>
      </c>
      <c r="Q397" t="e">
        <f>VLOOKUP(B397,'C.P.'!$G$2:$H$164,2,FALSE)</f>
        <v>#N/A</v>
      </c>
    </row>
    <row r="398" spans="3:17">
      <c r="C398" s="212"/>
      <c r="N398" t="e">
        <f>VLOOKUP(B398,'C.P.'!$A$2:$B$164,2,FALSE)</f>
        <v>#N/A</v>
      </c>
      <c r="O398" t="e">
        <f>VLOOKUP(B398,'C.P.'!$C$2:$D$164,2,FALSE)</f>
        <v>#N/A</v>
      </c>
      <c r="P398" t="e">
        <f>VLOOKUP(B398,'C.P.'!$E$2:$F$164,2,FALSE)</f>
        <v>#N/A</v>
      </c>
      <c r="Q398" t="e">
        <f>VLOOKUP(B398,'C.P.'!$G$2:$H$164,2,FALSE)</f>
        <v>#N/A</v>
      </c>
    </row>
    <row r="399" spans="3:17">
      <c r="C399" s="212"/>
      <c r="N399" t="e">
        <f>VLOOKUP(B399,'C.P.'!$A$2:$B$164,2,FALSE)</f>
        <v>#N/A</v>
      </c>
      <c r="O399" t="e">
        <f>VLOOKUP(B399,'C.P.'!$C$2:$D$164,2,FALSE)</f>
        <v>#N/A</v>
      </c>
      <c r="P399" t="e">
        <f>VLOOKUP(B399,'C.P.'!$E$2:$F$164,2,FALSE)</f>
        <v>#N/A</v>
      </c>
      <c r="Q399" t="e">
        <f>VLOOKUP(B399,'C.P.'!$G$2:$H$164,2,FALSE)</f>
        <v>#N/A</v>
      </c>
    </row>
    <row r="400" spans="3:17">
      <c r="C400" s="212"/>
      <c r="N400" t="e">
        <f>VLOOKUP(B400,'C.P.'!$A$2:$B$164,2,FALSE)</f>
        <v>#N/A</v>
      </c>
      <c r="O400" t="e">
        <f>VLOOKUP(B400,'C.P.'!$C$2:$D$164,2,FALSE)</f>
        <v>#N/A</v>
      </c>
      <c r="P400" t="e">
        <f>VLOOKUP(B400,'C.P.'!$E$2:$F$164,2,FALSE)</f>
        <v>#N/A</v>
      </c>
      <c r="Q400" t="e">
        <f>VLOOKUP(B400,'C.P.'!$G$2:$H$164,2,FALSE)</f>
        <v>#N/A</v>
      </c>
    </row>
    <row r="401" spans="3:17">
      <c r="C401" s="212"/>
      <c r="N401" t="e">
        <f>VLOOKUP(B401,'C.P.'!$A$2:$B$164,2,FALSE)</f>
        <v>#N/A</v>
      </c>
      <c r="O401" t="e">
        <f>VLOOKUP(B401,'C.P.'!$C$2:$D$164,2,FALSE)</f>
        <v>#N/A</v>
      </c>
      <c r="P401" t="e">
        <f>VLOOKUP(B401,'C.P.'!$E$2:$F$164,2,FALSE)</f>
        <v>#N/A</v>
      </c>
      <c r="Q401" t="e">
        <f>VLOOKUP(B401,'C.P.'!$G$2:$H$164,2,FALSE)</f>
        <v>#N/A</v>
      </c>
    </row>
    <row r="402" spans="3:17">
      <c r="C402" s="212"/>
      <c r="N402" t="e">
        <f>VLOOKUP(B402,'C.P.'!$A$2:$B$164,2,FALSE)</f>
        <v>#N/A</v>
      </c>
      <c r="O402" t="e">
        <f>VLOOKUP(B402,'C.P.'!$C$2:$D$164,2,FALSE)</f>
        <v>#N/A</v>
      </c>
      <c r="P402" t="e">
        <f>VLOOKUP(B402,'C.P.'!$E$2:$F$164,2,FALSE)</f>
        <v>#N/A</v>
      </c>
      <c r="Q402" t="e">
        <f>VLOOKUP(B402,'C.P.'!$G$2:$H$164,2,FALSE)</f>
        <v>#N/A</v>
      </c>
    </row>
    <row r="403" spans="3:17">
      <c r="C403" s="212"/>
      <c r="N403" t="e">
        <f>VLOOKUP(B403,'C.P.'!$A$2:$B$164,2,FALSE)</f>
        <v>#N/A</v>
      </c>
      <c r="O403" t="e">
        <f>VLOOKUP(B403,'C.P.'!$C$2:$D$164,2,FALSE)</f>
        <v>#N/A</v>
      </c>
      <c r="P403" t="e">
        <f>VLOOKUP(B403,'C.P.'!$E$2:$F$164,2,FALSE)</f>
        <v>#N/A</v>
      </c>
      <c r="Q403" t="e">
        <f>VLOOKUP(B403,'C.P.'!$G$2:$H$164,2,FALSE)</f>
        <v>#N/A</v>
      </c>
    </row>
    <row r="404" spans="3:17">
      <c r="C404" s="212"/>
      <c r="N404" t="e">
        <f>VLOOKUP(B404,'C.P.'!$A$2:$B$164,2,FALSE)</f>
        <v>#N/A</v>
      </c>
      <c r="O404" t="e">
        <f>VLOOKUP(B404,'C.P.'!$C$2:$D$164,2,FALSE)</f>
        <v>#N/A</v>
      </c>
      <c r="P404" t="e">
        <f>VLOOKUP(B404,'C.P.'!$E$2:$F$164,2,FALSE)</f>
        <v>#N/A</v>
      </c>
      <c r="Q404" t="e">
        <f>VLOOKUP(B404,'C.P.'!$G$2:$H$164,2,FALSE)</f>
        <v>#N/A</v>
      </c>
    </row>
    <row r="405" spans="3:17">
      <c r="C405" s="212"/>
      <c r="N405" t="e">
        <f>VLOOKUP(B405,'C.P.'!$A$2:$B$164,2,FALSE)</f>
        <v>#N/A</v>
      </c>
      <c r="O405" t="e">
        <f>VLOOKUP(B405,'C.P.'!$C$2:$D$164,2,FALSE)</f>
        <v>#N/A</v>
      </c>
      <c r="P405" t="e">
        <f>VLOOKUP(B405,'C.P.'!$E$2:$F$164,2,FALSE)</f>
        <v>#N/A</v>
      </c>
      <c r="Q405" t="e">
        <f>VLOOKUP(B405,'C.P.'!$G$2:$H$164,2,FALSE)</f>
        <v>#N/A</v>
      </c>
    </row>
    <row r="406" spans="3:17">
      <c r="C406" s="212"/>
      <c r="N406" t="e">
        <f>VLOOKUP(B406,'C.P.'!$A$2:$B$164,2,FALSE)</f>
        <v>#N/A</v>
      </c>
      <c r="O406" t="e">
        <f>VLOOKUP(B406,'C.P.'!$C$2:$D$164,2,FALSE)</f>
        <v>#N/A</v>
      </c>
      <c r="P406" t="e">
        <f>VLOOKUP(B406,'C.P.'!$E$2:$F$164,2,FALSE)</f>
        <v>#N/A</v>
      </c>
      <c r="Q406" t="e">
        <f>VLOOKUP(B406,'C.P.'!$G$2:$H$164,2,FALSE)</f>
        <v>#N/A</v>
      </c>
    </row>
    <row r="407" spans="3:17">
      <c r="C407" s="212"/>
      <c r="N407" t="e">
        <f>VLOOKUP(B407,'C.P.'!$A$2:$B$164,2,FALSE)</f>
        <v>#N/A</v>
      </c>
      <c r="O407" t="e">
        <f>VLOOKUP(B407,'C.P.'!$C$2:$D$164,2,FALSE)</f>
        <v>#N/A</v>
      </c>
      <c r="P407" t="e">
        <f>VLOOKUP(B407,'C.P.'!$E$2:$F$164,2,FALSE)</f>
        <v>#N/A</v>
      </c>
      <c r="Q407" t="e">
        <f>VLOOKUP(B407,'C.P.'!$G$2:$H$164,2,FALSE)</f>
        <v>#N/A</v>
      </c>
    </row>
    <row r="408" spans="3:17">
      <c r="C408" s="212"/>
      <c r="N408" t="e">
        <f>VLOOKUP(B408,'C.P.'!$A$2:$B$164,2,FALSE)</f>
        <v>#N/A</v>
      </c>
      <c r="O408" t="e">
        <f>VLOOKUP(B408,'C.P.'!$C$2:$D$164,2,FALSE)</f>
        <v>#N/A</v>
      </c>
      <c r="P408" t="e">
        <f>VLOOKUP(B408,'C.P.'!$E$2:$F$164,2,FALSE)</f>
        <v>#N/A</v>
      </c>
      <c r="Q408" t="e">
        <f>VLOOKUP(B408,'C.P.'!$G$2:$H$164,2,FALSE)</f>
        <v>#N/A</v>
      </c>
    </row>
    <row r="409" spans="3:17">
      <c r="C409" s="212"/>
      <c r="N409" t="e">
        <f>VLOOKUP(B409,'C.P.'!$A$2:$B$164,2,FALSE)</f>
        <v>#N/A</v>
      </c>
      <c r="O409" t="e">
        <f>VLOOKUP(B409,'C.P.'!$C$2:$D$164,2,FALSE)</f>
        <v>#N/A</v>
      </c>
      <c r="P409" t="e">
        <f>VLOOKUP(B409,'C.P.'!$E$2:$F$164,2,FALSE)</f>
        <v>#N/A</v>
      </c>
      <c r="Q409" t="e">
        <f>VLOOKUP(B409,'C.P.'!$G$2:$H$164,2,FALSE)</f>
        <v>#N/A</v>
      </c>
    </row>
    <row r="410" spans="3:17">
      <c r="C410" s="212"/>
      <c r="N410" t="e">
        <f>VLOOKUP(B410,'C.P.'!$A$2:$B$164,2,FALSE)</f>
        <v>#N/A</v>
      </c>
      <c r="O410" t="e">
        <f>VLOOKUP(B410,'C.P.'!$C$2:$D$164,2,FALSE)</f>
        <v>#N/A</v>
      </c>
      <c r="P410" t="e">
        <f>VLOOKUP(B410,'C.P.'!$E$2:$F$164,2,FALSE)</f>
        <v>#N/A</v>
      </c>
      <c r="Q410" t="e">
        <f>VLOOKUP(B410,'C.P.'!$G$2:$H$164,2,FALSE)</f>
        <v>#N/A</v>
      </c>
    </row>
    <row r="411" spans="3:17">
      <c r="C411" s="212"/>
      <c r="N411" t="e">
        <f>VLOOKUP(B411,'C.P.'!$A$2:$B$164,2,FALSE)</f>
        <v>#N/A</v>
      </c>
      <c r="O411" t="e">
        <f>VLOOKUP(B411,'C.P.'!$C$2:$D$164,2,FALSE)</f>
        <v>#N/A</v>
      </c>
      <c r="P411" t="e">
        <f>VLOOKUP(B411,'C.P.'!$E$2:$F$164,2,FALSE)</f>
        <v>#N/A</v>
      </c>
      <c r="Q411" t="e">
        <f>VLOOKUP(B411,'C.P.'!$G$2:$H$164,2,FALSE)</f>
        <v>#N/A</v>
      </c>
    </row>
    <row r="412" spans="3:17">
      <c r="C412" s="212"/>
      <c r="N412" t="e">
        <f>VLOOKUP(B412,'C.P.'!$A$2:$B$164,2,FALSE)</f>
        <v>#N/A</v>
      </c>
      <c r="O412" t="e">
        <f>VLOOKUP(B412,'C.P.'!$C$2:$D$164,2,FALSE)</f>
        <v>#N/A</v>
      </c>
      <c r="P412" t="e">
        <f>VLOOKUP(B412,'C.P.'!$E$2:$F$164,2,FALSE)</f>
        <v>#N/A</v>
      </c>
      <c r="Q412" t="e">
        <f>VLOOKUP(B412,'C.P.'!$G$2:$H$164,2,FALSE)</f>
        <v>#N/A</v>
      </c>
    </row>
    <row r="413" spans="3:17">
      <c r="C413" s="212"/>
      <c r="N413" t="e">
        <f>VLOOKUP(B413,'C.P.'!$A$2:$B$164,2,FALSE)</f>
        <v>#N/A</v>
      </c>
      <c r="O413" t="e">
        <f>VLOOKUP(B413,'C.P.'!$C$2:$D$164,2,FALSE)</f>
        <v>#N/A</v>
      </c>
      <c r="P413" t="e">
        <f>VLOOKUP(B413,'C.P.'!$E$2:$F$164,2,FALSE)</f>
        <v>#N/A</v>
      </c>
      <c r="Q413" t="e">
        <f>VLOOKUP(B413,'C.P.'!$G$2:$H$164,2,FALSE)</f>
        <v>#N/A</v>
      </c>
    </row>
    <row r="414" spans="3:17">
      <c r="C414" s="212"/>
      <c r="N414" t="e">
        <f>VLOOKUP(B414,'C.P.'!$A$2:$B$164,2,FALSE)</f>
        <v>#N/A</v>
      </c>
      <c r="O414" t="e">
        <f>VLOOKUP(B414,'C.P.'!$C$2:$D$164,2,FALSE)</f>
        <v>#N/A</v>
      </c>
      <c r="P414" t="e">
        <f>VLOOKUP(B414,'C.P.'!$E$2:$F$164,2,FALSE)</f>
        <v>#N/A</v>
      </c>
      <c r="Q414" t="e">
        <f>VLOOKUP(B414,'C.P.'!$G$2:$H$164,2,FALSE)</f>
        <v>#N/A</v>
      </c>
    </row>
    <row r="415" spans="3:17">
      <c r="C415" s="212"/>
      <c r="N415" t="e">
        <f>VLOOKUP(B415,'C.P.'!$A$2:$B$164,2,FALSE)</f>
        <v>#N/A</v>
      </c>
      <c r="O415" t="e">
        <f>VLOOKUP(B415,'C.P.'!$C$2:$D$164,2,FALSE)</f>
        <v>#N/A</v>
      </c>
      <c r="P415" t="e">
        <f>VLOOKUP(B415,'C.P.'!$E$2:$F$164,2,FALSE)</f>
        <v>#N/A</v>
      </c>
      <c r="Q415" t="e">
        <f>VLOOKUP(B415,'C.P.'!$G$2:$H$164,2,FALSE)</f>
        <v>#N/A</v>
      </c>
    </row>
    <row r="416" spans="3:17">
      <c r="C416" s="212"/>
      <c r="N416" t="e">
        <f>VLOOKUP(B416,'C.P.'!$A$2:$B$164,2,FALSE)</f>
        <v>#N/A</v>
      </c>
      <c r="O416" t="e">
        <f>VLOOKUP(B416,'C.P.'!$C$2:$D$164,2,FALSE)</f>
        <v>#N/A</v>
      </c>
      <c r="P416" t="e">
        <f>VLOOKUP(B416,'C.P.'!$E$2:$F$164,2,FALSE)</f>
        <v>#N/A</v>
      </c>
      <c r="Q416" t="e">
        <f>VLOOKUP(B416,'C.P.'!$G$2:$H$164,2,FALSE)</f>
        <v>#N/A</v>
      </c>
    </row>
    <row r="417" spans="3:17">
      <c r="C417" s="212"/>
      <c r="N417" t="e">
        <f>VLOOKUP(B417,'C.P.'!$A$2:$B$164,2,FALSE)</f>
        <v>#N/A</v>
      </c>
      <c r="O417" t="e">
        <f>VLOOKUP(B417,'C.P.'!$C$2:$D$164,2,FALSE)</f>
        <v>#N/A</v>
      </c>
      <c r="P417" t="e">
        <f>VLOOKUP(B417,'C.P.'!$E$2:$F$164,2,FALSE)</f>
        <v>#N/A</v>
      </c>
      <c r="Q417" t="e">
        <f>VLOOKUP(B417,'C.P.'!$G$2:$H$164,2,FALSE)</f>
        <v>#N/A</v>
      </c>
    </row>
    <row r="418" spans="3:17">
      <c r="C418" s="212"/>
      <c r="N418" t="e">
        <f>VLOOKUP(B418,'C.P.'!$A$2:$B$164,2,FALSE)</f>
        <v>#N/A</v>
      </c>
      <c r="O418" t="e">
        <f>VLOOKUP(B418,'C.P.'!$C$2:$D$164,2,FALSE)</f>
        <v>#N/A</v>
      </c>
      <c r="P418" t="e">
        <f>VLOOKUP(B418,'C.P.'!$E$2:$F$164,2,FALSE)</f>
        <v>#N/A</v>
      </c>
      <c r="Q418" t="e">
        <f>VLOOKUP(B418,'C.P.'!$G$2:$H$164,2,FALSE)</f>
        <v>#N/A</v>
      </c>
    </row>
    <row r="419" spans="3:17">
      <c r="C419" s="212"/>
      <c r="N419" t="e">
        <f>VLOOKUP(B419,'C.P.'!$A$2:$B$164,2,FALSE)</f>
        <v>#N/A</v>
      </c>
      <c r="O419" t="e">
        <f>VLOOKUP(B419,'C.P.'!$C$2:$D$164,2,FALSE)</f>
        <v>#N/A</v>
      </c>
      <c r="P419" t="e">
        <f>VLOOKUP(B419,'C.P.'!$E$2:$F$164,2,FALSE)</f>
        <v>#N/A</v>
      </c>
      <c r="Q419" t="e">
        <f>VLOOKUP(B419,'C.P.'!$G$2:$H$164,2,FALSE)</f>
        <v>#N/A</v>
      </c>
    </row>
    <row r="420" spans="3:17">
      <c r="C420" s="212"/>
      <c r="N420" t="e">
        <f>VLOOKUP(B420,'C.P.'!$A$2:$B$164,2,FALSE)</f>
        <v>#N/A</v>
      </c>
      <c r="O420" t="e">
        <f>VLOOKUP(B420,'C.P.'!$C$2:$D$164,2,FALSE)</f>
        <v>#N/A</v>
      </c>
      <c r="P420" t="e">
        <f>VLOOKUP(B420,'C.P.'!$E$2:$F$164,2,FALSE)</f>
        <v>#N/A</v>
      </c>
      <c r="Q420" t="e">
        <f>VLOOKUP(B420,'C.P.'!$G$2:$H$164,2,FALSE)</f>
        <v>#N/A</v>
      </c>
    </row>
    <row r="421" spans="3:17">
      <c r="C421" s="212"/>
      <c r="N421" t="e">
        <f>VLOOKUP(B421,'C.P.'!$A$2:$B$164,2,FALSE)</f>
        <v>#N/A</v>
      </c>
      <c r="O421" t="e">
        <f>VLOOKUP(B421,'C.P.'!$C$2:$D$164,2,FALSE)</f>
        <v>#N/A</v>
      </c>
      <c r="P421" t="e">
        <f>VLOOKUP(B421,'C.P.'!$E$2:$F$164,2,FALSE)</f>
        <v>#N/A</v>
      </c>
      <c r="Q421" t="e">
        <f>VLOOKUP(B421,'C.P.'!$G$2:$H$164,2,FALSE)</f>
        <v>#N/A</v>
      </c>
    </row>
    <row r="422" spans="3:17">
      <c r="C422" s="212"/>
      <c r="N422" t="e">
        <f>VLOOKUP(B422,'C.P.'!$A$2:$B$164,2,FALSE)</f>
        <v>#N/A</v>
      </c>
      <c r="O422" t="e">
        <f>VLOOKUP(B422,'C.P.'!$C$2:$D$164,2,FALSE)</f>
        <v>#N/A</v>
      </c>
      <c r="P422" t="e">
        <f>VLOOKUP(B422,'C.P.'!$E$2:$F$164,2,FALSE)</f>
        <v>#N/A</v>
      </c>
      <c r="Q422" t="e">
        <f>VLOOKUP(B422,'C.P.'!$G$2:$H$164,2,FALSE)</f>
        <v>#N/A</v>
      </c>
    </row>
    <row r="423" spans="3:17">
      <c r="C423" s="212"/>
      <c r="N423" t="e">
        <f>VLOOKUP(B423,'C.P.'!$A$2:$B$164,2,FALSE)</f>
        <v>#N/A</v>
      </c>
      <c r="O423" t="e">
        <f>VLOOKUP(B423,'C.P.'!$C$2:$D$164,2,FALSE)</f>
        <v>#N/A</v>
      </c>
      <c r="P423" t="e">
        <f>VLOOKUP(B423,'C.P.'!$E$2:$F$164,2,FALSE)</f>
        <v>#N/A</v>
      </c>
      <c r="Q423" t="e">
        <f>VLOOKUP(B423,'C.P.'!$G$2:$H$164,2,FALSE)</f>
        <v>#N/A</v>
      </c>
    </row>
    <row r="424" spans="3:17">
      <c r="C424" s="212"/>
      <c r="N424" t="e">
        <f>VLOOKUP(B424,'C.P.'!$A$2:$B$164,2,FALSE)</f>
        <v>#N/A</v>
      </c>
      <c r="O424" t="e">
        <f>VLOOKUP(B424,'C.P.'!$C$2:$D$164,2,FALSE)</f>
        <v>#N/A</v>
      </c>
      <c r="P424" t="e">
        <f>VLOOKUP(B424,'C.P.'!$E$2:$F$164,2,FALSE)</f>
        <v>#N/A</v>
      </c>
      <c r="Q424" t="e">
        <f>VLOOKUP(B424,'C.P.'!$G$2:$H$164,2,FALSE)</f>
        <v>#N/A</v>
      </c>
    </row>
    <row r="425" spans="3:17">
      <c r="C425" s="212"/>
      <c r="N425" t="e">
        <f>VLOOKUP(B425,'C.P.'!$A$2:$B$164,2,FALSE)</f>
        <v>#N/A</v>
      </c>
      <c r="O425" t="e">
        <f>VLOOKUP(B425,'C.P.'!$C$2:$D$164,2,FALSE)</f>
        <v>#N/A</v>
      </c>
      <c r="P425" t="e">
        <f>VLOOKUP(B425,'C.P.'!$E$2:$F$164,2,FALSE)</f>
        <v>#N/A</v>
      </c>
      <c r="Q425" t="e">
        <f>VLOOKUP(B425,'C.P.'!$G$2:$H$164,2,FALSE)</f>
        <v>#N/A</v>
      </c>
    </row>
    <row r="426" spans="3:17">
      <c r="C426" s="212"/>
      <c r="N426" t="e">
        <f>VLOOKUP(B426,'C.P.'!$A$2:$B$164,2,FALSE)</f>
        <v>#N/A</v>
      </c>
      <c r="O426" t="e">
        <f>VLOOKUP(B426,'C.P.'!$C$2:$D$164,2,FALSE)</f>
        <v>#N/A</v>
      </c>
      <c r="P426" t="e">
        <f>VLOOKUP(B426,'C.P.'!$E$2:$F$164,2,FALSE)</f>
        <v>#N/A</v>
      </c>
      <c r="Q426" t="e">
        <f>VLOOKUP(B426,'C.P.'!$G$2:$H$164,2,FALSE)</f>
        <v>#N/A</v>
      </c>
    </row>
    <row r="427" spans="3:17">
      <c r="C427" s="212"/>
      <c r="N427" t="e">
        <f>VLOOKUP(B427,'C.P.'!$A$2:$B$164,2,FALSE)</f>
        <v>#N/A</v>
      </c>
      <c r="O427" t="e">
        <f>VLOOKUP(B427,'C.P.'!$C$2:$D$164,2,FALSE)</f>
        <v>#N/A</v>
      </c>
      <c r="P427" t="e">
        <f>VLOOKUP(B427,'C.P.'!$E$2:$F$164,2,FALSE)</f>
        <v>#N/A</v>
      </c>
      <c r="Q427" t="e">
        <f>VLOOKUP(B427,'C.P.'!$G$2:$H$164,2,FALSE)</f>
        <v>#N/A</v>
      </c>
    </row>
    <row r="428" spans="3:17">
      <c r="C428" s="212"/>
      <c r="N428" t="e">
        <f>VLOOKUP(B428,'C.P.'!$A$2:$B$164,2,FALSE)</f>
        <v>#N/A</v>
      </c>
      <c r="O428" t="e">
        <f>VLOOKUP(B428,'C.P.'!$C$2:$D$164,2,FALSE)</f>
        <v>#N/A</v>
      </c>
      <c r="P428" t="e">
        <f>VLOOKUP(B428,'C.P.'!$E$2:$F$164,2,FALSE)</f>
        <v>#N/A</v>
      </c>
      <c r="Q428" t="e">
        <f>VLOOKUP(B428,'C.P.'!$G$2:$H$164,2,FALSE)</f>
        <v>#N/A</v>
      </c>
    </row>
    <row r="429" spans="3:17">
      <c r="C429" s="212"/>
      <c r="N429" t="e">
        <f>VLOOKUP(B429,'C.P.'!$A$2:$B$164,2,FALSE)</f>
        <v>#N/A</v>
      </c>
      <c r="O429" t="e">
        <f>VLOOKUP(B429,'C.P.'!$C$2:$D$164,2,FALSE)</f>
        <v>#N/A</v>
      </c>
      <c r="P429" t="e">
        <f>VLOOKUP(B429,'C.P.'!$E$2:$F$164,2,FALSE)</f>
        <v>#N/A</v>
      </c>
      <c r="Q429" t="e">
        <f>VLOOKUP(B429,'C.P.'!$G$2:$H$164,2,FALSE)</f>
        <v>#N/A</v>
      </c>
    </row>
    <row r="430" spans="3:17">
      <c r="C430" s="212"/>
      <c r="N430" t="e">
        <f>VLOOKUP(B430,'C.P.'!$A$2:$B$164,2,FALSE)</f>
        <v>#N/A</v>
      </c>
      <c r="O430" t="e">
        <f>VLOOKUP(B430,'C.P.'!$C$2:$D$164,2,FALSE)</f>
        <v>#N/A</v>
      </c>
      <c r="P430" t="e">
        <f>VLOOKUP(B430,'C.P.'!$E$2:$F$164,2,FALSE)</f>
        <v>#N/A</v>
      </c>
      <c r="Q430" t="e">
        <f>VLOOKUP(B430,'C.P.'!$G$2:$H$164,2,FALSE)</f>
        <v>#N/A</v>
      </c>
    </row>
    <row r="431" spans="3:17">
      <c r="C431" s="212"/>
      <c r="N431" t="e">
        <f>VLOOKUP(B431,'C.P.'!$A$2:$B$164,2,FALSE)</f>
        <v>#N/A</v>
      </c>
      <c r="O431" t="e">
        <f>VLOOKUP(B431,'C.P.'!$C$2:$D$164,2,FALSE)</f>
        <v>#N/A</v>
      </c>
      <c r="P431" t="e">
        <f>VLOOKUP(B431,'C.P.'!$E$2:$F$164,2,FALSE)</f>
        <v>#N/A</v>
      </c>
      <c r="Q431" t="e">
        <f>VLOOKUP(B431,'C.P.'!$G$2:$H$164,2,FALSE)</f>
        <v>#N/A</v>
      </c>
    </row>
    <row r="432" spans="3:17">
      <c r="C432" s="212"/>
      <c r="N432" t="e">
        <f>VLOOKUP(B432,'C.P.'!$A$2:$B$164,2,FALSE)</f>
        <v>#N/A</v>
      </c>
      <c r="O432" t="e">
        <f>VLOOKUP(B432,'C.P.'!$C$2:$D$164,2,FALSE)</f>
        <v>#N/A</v>
      </c>
      <c r="P432" t="e">
        <f>VLOOKUP(B432,'C.P.'!$E$2:$F$164,2,FALSE)</f>
        <v>#N/A</v>
      </c>
      <c r="Q432" t="e">
        <f>VLOOKUP(B432,'C.P.'!$G$2:$H$164,2,FALSE)</f>
        <v>#N/A</v>
      </c>
    </row>
    <row r="433" spans="3:17">
      <c r="C433" s="212"/>
      <c r="N433" t="e">
        <f>VLOOKUP(B433,'C.P.'!$A$2:$B$164,2,FALSE)</f>
        <v>#N/A</v>
      </c>
      <c r="O433" t="e">
        <f>VLOOKUP(B433,'C.P.'!$C$2:$D$164,2,FALSE)</f>
        <v>#N/A</v>
      </c>
      <c r="P433" t="e">
        <f>VLOOKUP(B433,'C.P.'!$E$2:$F$164,2,FALSE)</f>
        <v>#N/A</v>
      </c>
      <c r="Q433" t="e">
        <f>VLOOKUP(B433,'C.P.'!$G$2:$H$164,2,FALSE)</f>
        <v>#N/A</v>
      </c>
    </row>
    <row r="434" spans="3:17">
      <c r="C434" s="212"/>
      <c r="N434" t="e">
        <f>VLOOKUP(B434,'C.P.'!$A$2:$B$164,2,FALSE)</f>
        <v>#N/A</v>
      </c>
      <c r="O434" t="e">
        <f>VLOOKUP(B434,'C.P.'!$C$2:$D$164,2,FALSE)</f>
        <v>#N/A</v>
      </c>
      <c r="P434" t="e">
        <f>VLOOKUP(B434,'C.P.'!$E$2:$F$164,2,FALSE)</f>
        <v>#N/A</v>
      </c>
      <c r="Q434" t="e">
        <f>VLOOKUP(B434,'C.P.'!$G$2:$H$164,2,FALSE)</f>
        <v>#N/A</v>
      </c>
    </row>
    <row r="435" spans="3:17">
      <c r="C435" s="212"/>
      <c r="N435" t="e">
        <f>VLOOKUP(B435,'C.P.'!$A$2:$B$164,2,FALSE)</f>
        <v>#N/A</v>
      </c>
      <c r="O435" t="e">
        <f>VLOOKUP(B435,'C.P.'!$C$2:$D$164,2,FALSE)</f>
        <v>#N/A</v>
      </c>
      <c r="P435" t="e">
        <f>VLOOKUP(B435,'C.P.'!$E$2:$F$164,2,FALSE)</f>
        <v>#N/A</v>
      </c>
      <c r="Q435" t="e">
        <f>VLOOKUP(B435,'C.P.'!$G$2:$H$164,2,FALSE)</f>
        <v>#N/A</v>
      </c>
    </row>
    <row r="436" spans="3:17">
      <c r="C436" s="212"/>
      <c r="N436" t="e">
        <f>VLOOKUP(B436,'C.P.'!$A$2:$B$164,2,FALSE)</f>
        <v>#N/A</v>
      </c>
      <c r="O436" t="e">
        <f>VLOOKUP(B436,'C.P.'!$C$2:$D$164,2,FALSE)</f>
        <v>#N/A</v>
      </c>
      <c r="P436" t="e">
        <f>VLOOKUP(B436,'C.P.'!$E$2:$F$164,2,FALSE)</f>
        <v>#N/A</v>
      </c>
      <c r="Q436" t="e">
        <f>VLOOKUP(B436,'C.P.'!$G$2:$H$164,2,FALSE)</f>
        <v>#N/A</v>
      </c>
    </row>
    <row r="437" spans="3:17">
      <c r="C437" s="212"/>
      <c r="N437" t="e">
        <f>VLOOKUP(B437,'C.P.'!$A$2:$B$164,2,FALSE)</f>
        <v>#N/A</v>
      </c>
      <c r="O437" t="e">
        <f>VLOOKUP(B437,'C.P.'!$C$2:$D$164,2,FALSE)</f>
        <v>#N/A</v>
      </c>
      <c r="P437" t="e">
        <f>VLOOKUP(B437,'C.P.'!$E$2:$F$164,2,FALSE)</f>
        <v>#N/A</v>
      </c>
      <c r="Q437" t="e">
        <f>VLOOKUP(B437,'C.P.'!$G$2:$H$164,2,FALSE)</f>
        <v>#N/A</v>
      </c>
    </row>
    <row r="438" spans="3:17">
      <c r="C438" s="212"/>
      <c r="N438" t="e">
        <f>VLOOKUP(B438,'C.P.'!$A$2:$B$164,2,FALSE)</f>
        <v>#N/A</v>
      </c>
      <c r="O438" t="e">
        <f>VLOOKUP(B438,'C.P.'!$C$2:$D$164,2,FALSE)</f>
        <v>#N/A</v>
      </c>
      <c r="P438" t="e">
        <f>VLOOKUP(B438,'C.P.'!$E$2:$F$164,2,FALSE)</f>
        <v>#N/A</v>
      </c>
      <c r="Q438" t="e">
        <f>VLOOKUP(B438,'C.P.'!$G$2:$H$164,2,FALSE)</f>
        <v>#N/A</v>
      </c>
    </row>
    <row r="439" spans="3:17">
      <c r="C439" s="212"/>
      <c r="N439" t="e">
        <f>VLOOKUP(B439,'C.P.'!$A$2:$B$164,2,FALSE)</f>
        <v>#N/A</v>
      </c>
      <c r="O439" t="e">
        <f>VLOOKUP(B439,'C.P.'!$C$2:$D$164,2,FALSE)</f>
        <v>#N/A</v>
      </c>
      <c r="P439" t="e">
        <f>VLOOKUP(B439,'C.P.'!$E$2:$F$164,2,FALSE)</f>
        <v>#N/A</v>
      </c>
      <c r="Q439" t="e">
        <f>VLOOKUP(B439,'C.P.'!$G$2:$H$164,2,FALSE)</f>
        <v>#N/A</v>
      </c>
    </row>
    <row r="440" spans="3:17">
      <c r="C440" s="212"/>
      <c r="N440" t="e">
        <f>VLOOKUP(B440,'C.P.'!$A$2:$B$164,2,FALSE)</f>
        <v>#N/A</v>
      </c>
      <c r="O440" t="e">
        <f>VLOOKUP(B440,'C.P.'!$C$2:$D$164,2,FALSE)</f>
        <v>#N/A</v>
      </c>
      <c r="P440" t="e">
        <f>VLOOKUP(B440,'C.P.'!$E$2:$F$164,2,FALSE)</f>
        <v>#N/A</v>
      </c>
      <c r="Q440" t="e">
        <f>VLOOKUP(B440,'C.P.'!$G$2:$H$164,2,FALSE)</f>
        <v>#N/A</v>
      </c>
    </row>
    <row r="441" spans="3:17">
      <c r="C441" s="212"/>
      <c r="N441" t="e">
        <f>VLOOKUP(B441,'C.P.'!$A$2:$B$164,2,FALSE)</f>
        <v>#N/A</v>
      </c>
      <c r="O441" t="e">
        <f>VLOOKUP(B441,'C.P.'!$C$2:$D$164,2,FALSE)</f>
        <v>#N/A</v>
      </c>
      <c r="P441" t="e">
        <f>VLOOKUP(B441,'C.P.'!$E$2:$F$164,2,FALSE)</f>
        <v>#N/A</v>
      </c>
      <c r="Q441" t="e">
        <f>VLOOKUP(B441,'C.P.'!$G$2:$H$164,2,FALSE)</f>
        <v>#N/A</v>
      </c>
    </row>
    <row r="442" spans="3:17">
      <c r="C442" s="212"/>
      <c r="N442" t="e">
        <f>VLOOKUP(B442,'C.P.'!$A$2:$B$164,2,FALSE)</f>
        <v>#N/A</v>
      </c>
      <c r="O442" t="e">
        <f>VLOOKUP(B442,'C.P.'!$C$2:$D$164,2,FALSE)</f>
        <v>#N/A</v>
      </c>
      <c r="P442" t="e">
        <f>VLOOKUP(B442,'C.P.'!$E$2:$F$164,2,FALSE)</f>
        <v>#N/A</v>
      </c>
      <c r="Q442" t="e">
        <f>VLOOKUP(B442,'C.P.'!$G$2:$H$164,2,FALSE)</f>
        <v>#N/A</v>
      </c>
    </row>
    <row r="443" spans="3:17">
      <c r="C443" s="212"/>
      <c r="N443" t="e">
        <f>VLOOKUP(B443,'C.P.'!$A$2:$B$164,2,FALSE)</f>
        <v>#N/A</v>
      </c>
      <c r="O443" t="e">
        <f>VLOOKUP(B443,'C.P.'!$C$2:$D$164,2,FALSE)</f>
        <v>#N/A</v>
      </c>
      <c r="P443" t="e">
        <f>VLOOKUP(B443,'C.P.'!$E$2:$F$164,2,FALSE)</f>
        <v>#N/A</v>
      </c>
      <c r="Q443" t="e">
        <f>VLOOKUP(B443,'C.P.'!$G$2:$H$164,2,FALSE)</f>
        <v>#N/A</v>
      </c>
    </row>
    <row r="444" spans="3:17">
      <c r="C444" s="212"/>
      <c r="N444" t="e">
        <f>VLOOKUP(B444,'C.P.'!$A$2:$B$164,2,FALSE)</f>
        <v>#N/A</v>
      </c>
      <c r="O444" t="e">
        <f>VLOOKUP(B444,'C.P.'!$C$2:$D$164,2,FALSE)</f>
        <v>#N/A</v>
      </c>
      <c r="P444" t="e">
        <f>VLOOKUP(B444,'C.P.'!$E$2:$F$164,2,FALSE)</f>
        <v>#N/A</v>
      </c>
      <c r="Q444" t="e">
        <f>VLOOKUP(B444,'C.P.'!$G$2:$H$164,2,FALSE)</f>
        <v>#N/A</v>
      </c>
    </row>
    <row r="445" spans="3:17">
      <c r="C445" s="212"/>
      <c r="N445" t="e">
        <f>VLOOKUP(B445,'C.P.'!$A$2:$B$164,2,FALSE)</f>
        <v>#N/A</v>
      </c>
      <c r="O445" t="e">
        <f>VLOOKUP(B445,'C.P.'!$C$2:$D$164,2,FALSE)</f>
        <v>#N/A</v>
      </c>
      <c r="P445" t="e">
        <f>VLOOKUP(B445,'C.P.'!$E$2:$F$164,2,FALSE)</f>
        <v>#N/A</v>
      </c>
      <c r="Q445" t="e">
        <f>VLOOKUP(B445,'C.P.'!$G$2:$H$164,2,FALSE)</f>
        <v>#N/A</v>
      </c>
    </row>
    <row r="446" spans="3:17">
      <c r="C446" s="212"/>
      <c r="N446" t="e">
        <f>VLOOKUP(B446,'C.P.'!$A$2:$B$164,2,FALSE)</f>
        <v>#N/A</v>
      </c>
      <c r="O446" t="e">
        <f>VLOOKUP(B446,'C.P.'!$C$2:$D$164,2,FALSE)</f>
        <v>#N/A</v>
      </c>
      <c r="P446" t="e">
        <f>VLOOKUP(B446,'C.P.'!$E$2:$F$164,2,FALSE)</f>
        <v>#N/A</v>
      </c>
      <c r="Q446" t="e">
        <f>VLOOKUP(B446,'C.P.'!$G$2:$H$164,2,FALSE)</f>
        <v>#N/A</v>
      </c>
    </row>
    <row r="447" spans="3:17">
      <c r="C447" s="212"/>
      <c r="N447" t="e">
        <f>VLOOKUP(B447,'C.P.'!$A$2:$B$164,2,FALSE)</f>
        <v>#N/A</v>
      </c>
      <c r="O447" t="e">
        <f>VLOOKUP(B447,'C.P.'!$C$2:$D$164,2,FALSE)</f>
        <v>#N/A</v>
      </c>
      <c r="P447" t="e">
        <f>VLOOKUP(B447,'C.P.'!$E$2:$F$164,2,FALSE)</f>
        <v>#N/A</v>
      </c>
      <c r="Q447" t="e">
        <f>VLOOKUP(B447,'C.P.'!$G$2:$H$164,2,FALSE)</f>
        <v>#N/A</v>
      </c>
    </row>
    <row r="448" spans="3:17">
      <c r="C448" s="212"/>
      <c r="N448" t="e">
        <f>VLOOKUP(B448,'C.P.'!$A$2:$B$164,2,FALSE)</f>
        <v>#N/A</v>
      </c>
      <c r="O448" t="e">
        <f>VLOOKUP(B448,'C.P.'!$C$2:$D$164,2,FALSE)</f>
        <v>#N/A</v>
      </c>
      <c r="P448" t="e">
        <f>VLOOKUP(B448,'C.P.'!$E$2:$F$164,2,FALSE)</f>
        <v>#N/A</v>
      </c>
      <c r="Q448" t="e">
        <f>VLOOKUP(B448,'C.P.'!$G$2:$H$164,2,FALSE)</f>
        <v>#N/A</v>
      </c>
    </row>
    <row r="449" spans="3:17">
      <c r="C449" s="212"/>
      <c r="N449" t="e">
        <f>VLOOKUP(B449,'C.P.'!$A$2:$B$164,2,FALSE)</f>
        <v>#N/A</v>
      </c>
      <c r="O449" t="e">
        <f>VLOOKUP(B449,'C.P.'!$C$2:$D$164,2,FALSE)</f>
        <v>#N/A</v>
      </c>
      <c r="P449" t="e">
        <f>VLOOKUP(B449,'C.P.'!$E$2:$F$164,2,FALSE)</f>
        <v>#N/A</v>
      </c>
      <c r="Q449" t="e">
        <f>VLOOKUP(B449,'C.P.'!$G$2:$H$164,2,FALSE)</f>
        <v>#N/A</v>
      </c>
    </row>
    <row r="450" spans="3:17">
      <c r="C450" s="212"/>
      <c r="N450" t="e">
        <f>VLOOKUP(B450,'C.P.'!$A$2:$B$164,2,FALSE)</f>
        <v>#N/A</v>
      </c>
      <c r="O450" t="e">
        <f>VLOOKUP(B450,'C.P.'!$C$2:$D$164,2,FALSE)</f>
        <v>#N/A</v>
      </c>
      <c r="P450" t="e">
        <f>VLOOKUP(B450,'C.P.'!$E$2:$F$164,2,FALSE)</f>
        <v>#N/A</v>
      </c>
      <c r="Q450" t="e">
        <f>VLOOKUP(B450,'C.P.'!$G$2:$H$164,2,FALSE)</f>
        <v>#N/A</v>
      </c>
    </row>
    <row r="451" spans="3:17">
      <c r="C451" s="212"/>
      <c r="N451" t="e">
        <f>VLOOKUP(B451,'C.P.'!$A$2:$B$164,2,FALSE)</f>
        <v>#N/A</v>
      </c>
      <c r="O451" t="e">
        <f>VLOOKUP(B451,'C.P.'!$C$2:$D$164,2,FALSE)</f>
        <v>#N/A</v>
      </c>
      <c r="P451" t="e">
        <f>VLOOKUP(B451,'C.P.'!$E$2:$F$164,2,FALSE)</f>
        <v>#N/A</v>
      </c>
      <c r="Q451" t="e">
        <f>VLOOKUP(B451,'C.P.'!$G$2:$H$164,2,FALSE)</f>
        <v>#N/A</v>
      </c>
    </row>
    <row r="452" spans="3:17">
      <c r="C452" s="212"/>
      <c r="N452" t="e">
        <f>VLOOKUP(B452,'C.P.'!$A$2:$B$164,2,FALSE)</f>
        <v>#N/A</v>
      </c>
      <c r="O452" t="e">
        <f>VLOOKUP(B452,'C.P.'!$C$2:$D$164,2,FALSE)</f>
        <v>#N/A</v>
      </c>
      <c r="P452" t="e">
        <f>VLOOKUP(B452,'C.P.'!$E$2:$F$164,2,FALSE)</f>
        <v>#N/A</v>
      </c>
      <c r="Q452" t="e">
        <f>VLOOKUP(B452,'C.P.'!$G$2:$H$164,2,FALSE)</f>
        <v>#N/A</v>
      </c>
    </row>
    <row r="453" spans="3:17">
      <c r="C453" s="212"/>
      <c r="N453" t="e">
        <f>VLOOKUP(B453,'C.P.'!$A$2:$B$164,2,FALSE)</f>
        <v>#N/A</v>
      </c>
      <c r="O453" t="e">
        <f>VLOOKUP(B453,'C.P.'!$C$2:$D$164,2,FALSE)</f>
        <v>#N/A</v>
      </c>
      <c r="P453" t="e">
        <f>VLOOKUP(B453,'C.P.'!$E$2:$F$164,2,FALSE)</f>
        <v>#N/A</v>
      </c>
      <c r="Q453" t="e">
        <f>VLOOKUP(B453,'C.P.'!$G$2:$H$164,2,FALSE)</f>
        <v>#N/A</v>
      </c>
    </row>
    <row r="454" spans="3:17">
      <c r="C454" s="212"/>
      <c r="N454" t="e">
        <f>VLOOKUP(B454,'C.P.'!$A$2:$B$164,2,FALSE)</f>
        <v>#N/A</v>
      </c>
      <c r="O454" t="e">
        <f>VLOOKUP(B454,'C.P.'!$C$2:$D$164,2,FALSE)</f>
        <v>#N/A</v>
      </c>
      <c r="P454" t="e">
        <f>VLOOKUP(B454,'C.P.'!$E$2:$F$164,2,FALSE)</f>
        <v>#N/A</v>
      </c>
      <c r="Q454" t="e">
        <f>VLOOKUP(B454,'C.P.'!$G$2:$H$164,2,FALSE)</f>
        <v>#N/A</v>
      </c>
    </row>
    <row r="455" spans="3:17">
      <c r="C455" s="212"/>
      <c r="N455" t="e">
        <f>VLOOKUP(B455,'C.P.'!$A$2:$B$164,2,FALSE)</f>
        <v>#N/A</v>
      </c>
      <c r="O455" t="e">
        <f>VLOOKUP(B455,'C.P.'!$C$2:$D$164,2,FALSE)</f>
        <v>#N/A</v>
      </c>
      <c r="P455" t="e">
        <f>VLOOKUP(B455,'C.P.'!$E$2:$F$164,2,FALSE)</f>
        <v>#N/A</v>
      </c>
      <c r="Q455" t="e">
        <f>VLOOKUP(B455,'C.P.'!$G$2:$H$164,2,FALSE)</f>
        <v>#N/A</v>
      </c>
    </row>
    <row r="456" spans="3:17">
      <c r="C456" s="212"/>
      <c r="N456" t="e">
        <f>VLOOKUP(B456,'C.P.'!$A$2:$B$164,2,FALSE)</f>
        <v>#N/A</v>
      </c>
      <c r="O456" t="e">
        <f>VLOOKUP(B456,'C.P.'!$C$2:$D$164,2,FALSE)</f>
        <v>#N/A</v>
      </c>
      <c r="P456" t="e">
        <f>VLOOKUP(B456,'C.P.'!$E$2:$F$164,2,FALSE)</f>
        <v>#N/A</v>
      </c>
      <c r="Q456" t="e">
        <f>VLOOKUP(B456,'C.P.'!$G$2:$H$164,2,FALSE)</f>
        <v>#N/A</v>
      </c>
    </row>
    <row r="457" spans="3:17">
      <c r="C457" s="212"/>
      <c r="N457" t="e">
        <f>VLOOKUP(B457,'C.P.'!$A$2:$B$164,2,FALSE)</f>
        <v>#N/A</v>
      </c>
      <c r="O457" t="e">
        <f>VLOOKUP(B457,'C.P.'!$C$2:$D$164,2,FALSE)</f>
        <v>#N/A</v>
      </c>
      <c r="P457" t="e">
        <f>VLOOKUP(B457,'C.P.'!$E$2:$F$164,2,FALSE)</f>
        <v>#N/A</v>
      </c>
      <c r="Q457" t="e">
        <f>VLOOKUP(B457,'C.P.'!$G$2:$H$164,2,FALSE)</f>
        <v>#N/A</v>
      </c>
    </row>
    <row r="458" spans="3:17">
      <c r="C458" s="212"/>
      <c r="N458" t="e">
        <f>VLOOKUP(B458,'C.P.'!$A$2:$B$164,2,FALSE)</f>
        <v>#N/A</v>
      </c>
      <c r="O458" t="e">
        <f>VLOOKUP(B458,'C.P.'!$C$2:$D$164,2,FALSE)</f>
        <v>#N/A</v>
      </c>
      <c r="P458" t="e">
        <f>VLOOKUP(B458,'C.P.'!$E$2:$F$164,2,FALSE)</f>
        <v>#N/A</v>
      </c>
      <c r="Q458" t="e">
        <f>VLOOKUP(B458,'C.P.'!$G$2:$H$164,2,FALSE)</f>
        <v>#N/A</v>
      </c>
    </row>
    <row r="459" spans="3:17">
      <c r="C459" s="212"/>
      <c r="N459" t="e">
        <f>VLOOKUP(B459,'C.P.'!$A$2:$B$164,2,FALSE)</f>
        <v>#N/A</v>
      </c>
      <c r="O459" t="e">
        <f>VLOOKUP(B459,'C.P.'!$C$2:$D$164,2,FALSE)</f>
        <v>#N/A</v>
      </c>
      <c r="P459" t="e">
        <f>VLOOKUP(B459,'C.P.'!$E$2:$F$164,2,FALSE)</f>
        <v>#N/A</v>
      </c>
      <c r="Q459" t="e">
        <f>VLOOKUP(B459,'C.P.'!$G$2:$H$164,2,FALSE)</f>
        <v>#N/A</v>
      </c>
    </row>
    <row r="460" spans="3:17">
      <c r="C460" s="212"/>
      <c r="N460" t="e">
        <f>VLOOKUP(B460,'C.P.'!$A$2:$B$164,2,FALSE)</f>
        <v>#N/A</v>
      </c>
      <c r="O460" t="e">
        <f>VLOOKUP(B460,'C.P.'!$C$2:$D$164,2,FALSE)</f>
        <v>#N/A</v>
      </c>
      <c r="P460" t="e">
        <f>VLOOKUP(B460,'C.P.'!$E$2:$F$164,2,FALSE)</f>
        <v>#N/A</v>
      </c>
      <c r="Q460" t="e">
        <f>VLOOKUP(B460,'C.P.'!$G$2:$H$164,2,FALSE)</f>
        <v>#N/A</v>
      </c>
    </row>
    <row r="482" spans="14:17">
      <c r="N482" t="str">
        <f>""</f>
        <v/>
      </c>
      <c r="O482">
        <v>1</v>
      </c>
    </row>
    <row r="483" spans="14:17">
      <c r="N483" t="str">
        <f>""</f>
        <v/>
      </c>
    </row>
    <row r="484" spans="14:17">
      <c r="N484" t="str">
        <f>""</f>
        <v/>
      </c>
    </row>
    <row r="485" spans="14:17">
      <c r="N485" t="str">
        <f>""</f>
        <v/>
      </c>
    </row>
    <row r="486" spans="14:17">
      <c r="N486" t="str">
        <f>""</f>
        <v/>
      </c>
      <c r="O486">
        <v>1</v>
      </c>
    </row>
    <row r="487" spans="14:17">
      <c r="N487" t="str">
        <f>""</f>
        <v/>
      </c>
      <c r="O487">
        <v>3</v>
      </c>
    </row>
    <row r="488" spans="14:17">
      <c r="N488" t="str">
        <f>""</f>
        <v/>
      </c>
      <c r="O488">
        <v>2</v>
      </c>
    </row>
    <row r="489" spans="14:17">
      <c r="N489" t="str">
        <f>""</f>
        <v/>
      </c>
      <c r="O489">
        <v>3</v>
      </c>
    </row>
    <row r="490" spans="14:17">
      <c r="N490" t="str">
        <f>""</f>
        <v/>
      </c>
    </row>
    <row r="491" spans="14:17">
      <c r="N491" t="str">
        <f>""</f>
        <v/>
      </c>
    </row>
    <row r="492" spans="14:17">
      <c r="N492" t="str">
        <f>""</f>
        <v/>
      </c>
    </row>
    <row r="493" spans="14:17">
      <c r="N493" t="str">
        <f>""</f>
        <v/>
      </c>
      <c r="O493">
        <v>2</v>
      </c>
      <c r="P493">
        <v>2</v>
      </c>
      <c r="Q493">
        <v>2</v>
      </c>
    </row>
    <row r="494" spans="14:17">
      <c r="N494" t="str">
        <f>""</f>
        <v/>
      </c>
    </row>
    <row r="495" spans="14:17">
      <c r="N495" t="str">
        <f>""</f>
        <v/>
      </c>
    </row>
    <row r="496" spans="14:17">
      <c r="N496" t="str">
        <f>""</f>
        <v/>
      </c>
      <c r="O496">
        <v>3</v>
      </c>
      <c r="P496">
        <v>3</v>
      </c>
    </row>
    <row r="497" spans="14:16">
      <c r="N497" t="str">
        <f>""</f>
        <v/>
      </c>
    </row>
    <row r="498" spans="14:16">
      <c r="N498" t="str">
        <f>""</f>
        <v/>
      </c>
    </row>
    <row r="499" spans="14:16">
      <c r="N499" t="str">
        <f>""</f>
        <v/>
      </c>
    </row>
    <row r="500" spans="14:16">
      <c r="N500" t="str">
        <f>""</f>
        <v/>
      </c>
    </row>
    <row r="501" spans="14:16">
      <c r="N501" t="str">
        <f>""</f>
        <v/>
      </c>
      <c r="O501">
        <v>1</v>
      </c>
    </row>
    <row r="502" spans="14:16">
      <c r="N502" t="str">
        <f>""</f>
        <v/>
      </c>
    </row>
    <row r="503" spans="14:16">
      <c r="N503" t="str">
        <f>""</f>
        <v/>
      </c>
      <c r="O503">
        <v>2</v>
      </c>
    </row>
    <row r="504" spans="14:16">
      <c r="N504" t="str">
        <f>""</f>
        <v/>
      </c>
    </row>
    <row r="505" spans="14:16">
      <c r="N505" t="str">
        <f>""</f>
        <v/>
      </c>
      <c r="O505">
        <v>2</v>
      </c>
    </row>
    <row r="506" spans="14:16">
      <c r="N506" t="str">
        <f>""</f>
        <v/>
      </c>
      <c r="O506">
        <v>1</v>
      </c>
      <c r="P506">
        <v>3</v>
      </c>
    </row>
    <row r="507" spans="14:16">
      <c r="N507" t="str">
        <f>""</f>
        <v/>
      </c>
    </row>
    <row r="508" spans="14:16">
      <c r="N508" t="str">
        <f>""</f>
        <v/>
      </c>
    </row>
    <row r="509" spans="14:16">
      <c r="N509" t="str">
        <f>""</f>
        <v/>
      </c>
    </row>
    <row r="510" spans="14:16">
      <c r="N510" t="str">
        <f>""</f>
        <v/>
      </c>
    </row>
    <row r="511" spans="14:16">
      <c r="N511" t="str">
        <f>""</f>
        <v/>
      </c>
    </row>
    <row r="512" spans="14:16">
      <c r="N512" t="str">
        <f>""</f>
        <v/>
      </c>
    </row>
    <row r="513" spans="14:17">
      <c r="N513" t="str">
        <f>""</f>
        <v/>
      </c>
    </row>
    <row r="514" spans="14:17">
      <c r="N514" t="str">
        <f>""</f>
        <v/>
      </c>
      <c r="O514">
        <v>2</v>
      </c>
      <c r="P514">
        <v>1</v>
      </c>
      <c r="Q514">
        <v>2</v>
      </c>
    </row>
    <row r="515" spans="14:17">
      <c r="N515" t="str">
        <f>""</f>
        <v/>
      </c>
    </row>
    <row r="516" spans="14:17">
      <c r="N516" t="str">
        <f>""</f>
        <v/>
      </c>
      <c r="O516">
        <v>1</v>
      </c>
    </row>
    <row r="517" spans="14:17">
      <c r="N517" t="str">
        <f>""</f>
        <v/>
      </c>
      <c r="P517">
        <v>3</v>
      </c>
    </row>
    <row r="518" spans="14:17">
      <c r="N518" t="str">
        <f>""</f>
        <v/>
      </c>
      <c r="P518">
        <v>3</v>
      </c>
    </row>
    <row r="519" spans="14:17">
      <c r="N519" t="str">
        <f>""</f>
        <v/>
      </c>
    </row>
    <row r="520" spans="14:17">
      <c r="N520" t="str">
        <f>""</f>
        <v/>
      </c>
      <c r="O520">
        <v>1</v>
      </c>
    </row>
    <row r="521" spans="14:17">
      <c r="N521" t="str">
        <f>""</f>
        <v/>
      </c>
    </row>
    <row r="522" spans="14:17">
      <c r="N522" t="str">
        <f>""</f>
        <v/>
      </c>
      <c r="O522">
        <v>1</v>
      </c>
    </row>
    <row r="523" spans="14:17">
      <c r="N523" t="str">
        <f>""</f>
        <v/>
      </c>
      <c r="O523">
        <v>3</v>
      </c>
      <c r="P523">
        <v>2</v>
      </c>
      <c r="Q523">
        <v>2</v>
      </c>
    </row>
    <row r="524" spans="14:17">
      <c r="N524" t="str">
        <f>""</f>
        <v/>
      </c>
    </row>
    <row r="525" spans="14:17">
      <c r="N525" t="str">
        <f>""</f>
        <v/>
      </c>
      <c r="O525">
        <v>1</v>
      </c>
      <c r="P525">
        <v>2</v>
      </c>
      <c r="Q525">
        <v>2</v>
      </c>
    </row>
    <row r="526" spans="14:17">
      <c r="N526" t="str">
        <f>""</f>
        <v/>
      </c>
      <c r="O526">
        <v>2</v>
      </c>
    </row>
    <row r="527" spans="14:17">
      <c r="N527" t="str">
        <f>""</f>
        <v/>
      </c>
    </row>
    <row r="528" spans="14:17">
      <c r="N528" t="str">
        <f>""</f>
        <v/>
      </c>
    </row>
    <row r="529" spans="14:17">
      <c r="N529" t="str">
        <f>""</f>
        <v/>
      </c>
    </row>
    <row r="530" spans="14:17">
      <c r="N530" t="str">
        <f>""</f>
        <v/>
      </c>
    </row>
    <row r="531" spans="14:17">
      <c r="N531" t="str">
        <f>""</f>
        <v/>
      </c>
      <c r="O531">
        <v>2</v>
      </c>
    </row>
    <row r="532" spans="14:17">
      <c r="N532" t="str">
        <f>""</f>
        <v/>
      </c>
    </row>
    <row r="533" spans="14:17">
      <c r="N533" t="str">
        <f>""</f>
        <v/>
      </c>
    </row>
    <row r="534" spans="14:17">
      <c r="N534" t="str">
        <f>""</f>
        <v/>
      </c>
      <c r="O534">
        <v>1</v>
      </c>
    </row>
    <row r="535" spans="14:17">
      <c r="N535" t="str">
        <f>""</f>
        <v/>
      </c>
    </row>
    <row r="536" spans="14:17">
      <c r="N536" t="str">
        <f>""</f>
        <v/>
      </c>
    </row>
    <row r="537" spans="14:17">
      <c r="N537" t="str">
        <f>""</f>
        <v/>
      </c>
    </row>
    <row r="538" spans="14:17">
      <c r="N538" t="str">
        <f>""</f>
        <v/>
      </c>
      <c r="O538">
        <v>3</v>
      </c>
    </row>
    <row r="539" spans="14:17">
      <c r="N539" t="str">
        <f>""</f>
        <v/>
      </c>
    </row>
    <row r="540" spans="14:17">
      <c r="N540" t="str">
        <f>""</f>
        <v/>
      </c>
    </row>
    <row r="541" spans="14:17">
      <c r="N541" t="str">
        <f>""</f>
        <v/>
      </c>
      <c r="O541">
        <v>1</v>
      </c>
      <c r="P541">
        <v>2</v>
      </c>
      <c r="Q541">
        <v>3</v>
      </c>
    </row>
    <row r="542" spans="14:17">
      <c r="N542" t="str">
        <f>""</f>
        <v/>
      </c>
    </row>
    <row r="543" spans="14:17">
      <c r="N543" t="str">
        <f>""</f>
        <v/>
      </c>
      <c r="O543">
        <v>2</v>
      </c>
    </row>
    <row r="544" spans="14:17">
      <c r="N544" t="str">
        <f>""</f>
        <v/>
      </c>
    </row>
    <row r="545" spans="14:17">
      <c r="N545" t="str">
        <f>""</f>
        <v/>
      </c>
    </row>
    <row r="546" spans="14:17">
      <c r="N546" t="str">
        <f>""</f>
        <v/>
      </c>
      <c r="O546">
        <v>1</v>
      </c>
    </row>
    <row r="547" spans="14:17">
      <c r="N547" t="str">
        <f>""</f>
        <v/>
      </c>
    </row>
    <row r="548" spans="14:17">
      <c r="N548" t="str">
        <f>""</f>
        <v/>
      </c>
      <c r="P548">
        <v>1</v>
      </c>
      <c r="Q548">
        <v>2</v>
      </c>
    </row>
    <row r="549" spans="14:17">
      <c r="N549" t="str">
        <f>""</f>
        <v/>
      </c>
      <c r="O549">
        <v>2</v>
      </c>
      <c r="P549">
        <v>1</v>
      </c>
      <c r="Q549">
        <v>1</v>
      </c>
    </row>
    <row r="550" spans="14:17">
      <c r="N550" t="str">
        <f>""</f>
        <v/>
      </c>
      <c r="O550">
        <v>3</v>
      </c>
      <c r="P550">
        <v>3</v>
      </c>
      <c r="Q550">
        <v>3</v>
      </c>
    </row>
    <row r="551" spans="14:17">
      <c r="N551" t="str">
        <f>""</f>
        <v/>
      </c>
    </row>
    <row r="552" spans="14:17">
      <c r="N552" t="str">
        <f>""</f>
        <v/>
      </c>
    </row>
    <row r="553" spans="14:17">
      <c r="N553" t="str">
        <f>""</f>
        <v/>
      </c>
    </row>
    <row r="554" spans="14:17">
      <c r="N554" t="str">
        <f>""</f>
        <v/>
      </c>
    </row>
    <row r="555" spans="14:17">
      <c r="N555" t="str">
        <f>""</f>
        <v/>
      </c>
    </row>
    <row r="556" spans="14:17">
      <c r="N556" t="str">
        <f>""</f>
        <v/>
      </c>
    </row>
    <row r="557" spans="14:17">
      <c r="N557" t="str">
        <f>""</f>
        <v/>
      </c>
    </row>
    <row r="558" spans="14:17">
      <c r="N558" t="str">
        <f>""</f>
        <v/>
      </c>
    </row>
    <row r="559" spans="14:17">
      <c r="N559" t="str">
        <f>""</f>
        <v/>
      </c>
      <c r="O559">
        <v>1</v>
      </c>
      <c r="P559">
        <v>1</v>
      </c>
    </row>
    <row r="560" spans="14:17">
      <c r="N560" t="str">
        <f>""</f>
        <v/>
      </c>
    </row>
    <row r="561" spans="14:17">
      <c r="N561" t="str">
        <f>""</f>
        <v/>
      </c>
      <c r="O561">
        <v>1</v>
      </c>
    </row>
    <row r="562" spans="14:17">
      <c r="N562" t="str">
        <f>""</f>
        <v/>
      </c>
    </row>
    <row r="563" spans="14:17">
      <c r="N563" t="str">
        <f>""</f>
        <v/>
      </c>
      <c r="O563">
        <v>3</v>
      </c>
    </row>
    <row r="564" spans="14:17">
      <c r="N564" t="str">
        <f>""</f>
        <v/>
      </c>
      <c r="O564">
        <v>2</v>
      </c>
    </row>
    <row r="565" spans="14:17">
      <c r="N565" t="str">
        <f>""</f>
        <v/>
      </c>
    </row>
    <row r="566" spans="14:17">
      <c r="N566" t="str">
        <f>""</f>
        <v/>
      </c>
      <c r="O566">
        <v>1</v>
      </c>
      <c r="P566">
        <v>1</v>
      </c>
      <c r="Q566">
        <v>1</v>
      </c>
    </row>
    <row r="567" spans="14:17">
      <c r="N567" t="str">
        <f>""</f>
        <v/>
      </c>
    </row>
    <row r="568" spans="14:17">
      <c r="N568" t="str">
        <f>""</f>
        <v/>
      </c>
      <c r="O568">
        <v>2</v>
      </c>
    </row>
    <row r="569" spans="14:17">
      <c r="N569" t="str">
        <f>""</f>
        <v/>
      </c>
    </row>
    <row r="570" spans="14:17">
      <c r="N570" t="str">
        <f>""</f>
        <v/>
      </c>
    </row>
    <row r="571" spans="14:17">
      <c r="N571" t="str">
        <f>""</f>
        <v/>
      </c>
    </row>
    <row r="572" spans="14:17">
      <c r="N572" t="str">
        <f>""</f>
        <v/>
      </c>
      <c r="O572">
        <v>1</v>
      </c>
    </row>
    <row r="573" spans="14:17">
      <c r="N573" t="str">
        <f>""</f>
        <v/>
      </c>
    </row>
    <row r="574" spans="14:17">
      <c r="N574" t="str">
        <f>""</f>
        <v/>
      </c>
    </row>
    <row r="575" spans="14:17">
      <c r="N575" t="str">
        <f>""</f>
        <v/>
      </c>
    </row>
    <row r="576" spans="14:17">
      <c r="N576" t="str">
        <f>""</f>
        <v/>
      </c>
    </row>
    <row r="577" spans="14:15">
      <c r="N577" t="str">
        <f>""</f>
        <v/>
      </c>
    </row>
    <row r="578" spans="14:15">
      <c r="N578" t="str">
        <f>""</f>
        <v/>
      </c>
    </row>
    <row r="579" spans="14:15">
      <c r="N579" t="str">
        <f>""</f>
        <v/>
      </c>
    </row>
    <row r="580" spans="14:15">
      <c r="N580" t="str">
        <f>""</f>
        <v/>
      </c>
    </row>
    <row r="581" spans="14:15">
      <c r="N581" t="str">
        <f>""</f>
        <v/>
      </c>
      <c r="O581">
        <v>1</v>
      </c>
    </row>
    <row r="582" spans="14:15">
      <c r="O582">
        <v>3</v>
      </c>
    </row>
  </sheetData>
  <sheetProtection formatColumns="0" formatRows="0"/>
  <autoFilter ref="B1:Q460" xr:uid="{9A6D7B48-715E-401A-8066-F5F8A608D596}">
    <sortState ref="B2:Q460">
      <sortCondition descending="1" ref="J1:J460"/>
    </sortState>
  </autoFilter>
  <conditionalFormatting sqref="A2:A51 A53:A87">
    <cfRule type="cellIs" dxfId="75" priority="11" stopIfTrue="1" operator="lessThan">
      <formula>1</formula>
    </cfRule>
  </conditionalFormatting>
  <conditionalFormatting sqref="A52">
    <cfRule type="cellIs" dxfId="74" priority="12" stopIfTrue="1" operator="lessThan">
      <formula>1</formula>
    </cfRule>
  </conditionalFormatting>
  <conditionalFormatting sqref="C2:C111 B2:B83">
    <cfRule type="expression" dxfId="73" priority="9" stopIfTrue="1">
      <formula>VLOOKUP($B2,TabTuttiGioc,1,FALSE)=$B2</formula>
    </cfRule>
  </conditionalFormatting>
  <conditionalFormatting sqref="C112:C460">
    <cfRule type="expression" dxfId="72" priority="5" stopIfTrue="1">
      <formula>VLOOKUP($B112,TabTuttiGioc,1,FALSE)=$B112</formula>
    </cfRule>
  </conditionalFormatting>
  <conditionalFormatting sqref="B110:B111">
    <cfRule type="duplicateValues" dxfId="71" priority="2"/>
  </conditionalFormatting>
  <conditionalFormatting sqref="B84:B109">
    <cfRule type="expression" dxfId="70" priority="1" stopIfTrue="1">
      <formula>VLOOKUP($B84,TabTuttiGioc,1,FALSE)=$B84</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22">
    <tabColor indexed="63"/>
  </sheetPr>
  <dimension ref="A1:L600"/>
  <sheetViews>
    <sheetView workbookViewId="0">
      <pane ySplit="1" topLeftCell="A572" activePane="bottomLeft" state="frozen"/>
      <selection pane="bottomLeft" activeCell="C489" sqref="C489"/>
    </sheetView>
  </sheetViews>
  <sheetFormatPr defaultRowHeight="12.75"/>
  <cols>
    <col min="2" max="2" width="24.140625" customWidth="1"/>
    <col min="3" max="3" width="12.28515625" customWidth="1"/>
    <col min="4" max="5" width="15" customWidth="1"/>
  </cols>
  <sheetData>
    <row r="1" spans="1:12" ht="25.5">
      <c r="A1" s="149" t="s">
        <v>638</v>
      </c>
      <c r="B1" s="149" t="s">
        <v>894</v>
      </c>
      <c r="C1" s="150" t="s">
        <v>637</v>
      </c>
      <c r="D1" s="164" t="s">
        <v>895</v>
      </c>
      <c r="E1" s="165" t="s">
        <v>896</v>
      </c>
      <c r="F1" s="151" t="s">
        <v>670</v>
      </c>
      <c r="G1" s="151" t="s">
        <v>669</v>
      </c>
      <c r="H1" s="151" t="s">
        <v>671</v>
      </c>
      <c r="I1" s="151" t="s">
        <v>672</v>
      </c>
      <c r="J1" s="151" t="s">
        <v>897</v>
      </c>
      <c r="K1" s="151" t="s">
        <v>898</v>
      </c>
      <c r="L1" s="151" t="s">
        <v>899</v>
      </c>
    </row>
    <row r="2" spans="1:12">
      <c r="A2" t="s">
        <v>35</v>
      </c>
      <c r="B2" s="158" t="str">
        <f>Portieri!B2</f>
        <v>BUFFON</v>
      </c>
      <c r="C2" s="158" t="str">
        <f>Portieri!C2</f>
        <v>JUV</v>
      </c>
      <c r="D2" s="166">
        <f t="shared" ref="D2:D33" si="0">IF(ISNA(VLOOKUP($B2,TabAlgPor,11,FALSE)),0,VLOOKUP($B2,TabAlgPor,11,FALSE))</f>
        <v>20</v>
      </c>
      <c r="E2" s="166">
        <f t="shared" ref="E2:E33" si="1">IF(ISNA(VLOOKUP($B2,TabAlgPor,14,FALSE)),0,VLOOKUP($B2,TabAlgPor,14,FALSE))</f>
        <v>20.813163217142705</v>
      </c>
      <c r="F2">
        <f t="shared" ref="F2:F33" si="2">IF(ISNA(VLOOKUP($B2,TabAlgPor,15,FALSE)),0,VLOOKUP($B2,TabAlgPor,15,FALSE))</f>
        <v>49</v>
      </c>
      <c r="G2">
        <f>IF(ISNA(VLOOKUP(B2,'IA FG'!$B$2:$D$578,3,FALSE)),0,VLOOKUP(B2,'IA FG'!$B$2:$D$578,3,FALSE))</f>
        <v>96</v>
      </c>
      <c r="H2" s="166" t="str">
        <f t="shared" ref="H2:H33" si="3">IF(ISNA(VLOOKUP($B2,TabAlgPor,16,FALSE)),"",VLOOKUP($B2,TabAlgPor,16,FALSE))</f>
        <v/>
      </c>
      <c r="I2" s="166">
        <f t="shared" ref="I2:I33" si="4">IF(ISNA(VLOOKUP($B2,TabAlgPor,4,FALSE)),0,VLOOKUP($B2,TabAlgPor,4,FALSE))*10</f>
        <v>80</v>
      </c>
      <c r="J2" s="166" t="str">
        <f t="shared" ref="J2:J33" si="5">IF(ISNA(VLOOKUP($B2,TabAlgPor,17,FALSE)),"",VLOOKUP($B2,TabAlgPor,17,FALSE))</f>
        <v/>
      </c>
      <c r="K2" s="166" t="str">
        <f t="shared" ref="K2:K33" si="6">IF(ISNA(VLOOKUP($B2,TabAlgPor,18,FALSE)),"",VLOOKUP($B2,TabAlgPor,18,FALSE))</f>
        <v/>
      </c>
      <c r="L2" s="166" t="e">
        <f t="shared" ref="L2:L33" si="7">VLOOKUP($B2,TabAlgPor,19,FALSE)</f>
        <v>#N/A</v>
      </c>
    </row>
    <row r="3" spans="1:12">
      <c r="A3" t="s">
        <v>35</v>
      </c>
      <c r="B3" s="158" t="str">
        <f>Portieri!B3</f>
        <v>DONNARUMMA G</v>
      </c>
      <c r="C3" s="158" t="str">
        <f>Portieri!C3</f>
        <v>MIL</v>
      </c>
      <c r="D3" s="166">
        <f t="shared" si="0"/>
        <v>18.531639990082354</v>
      </c>
      <c r="E3" s="166">
        <f t="shared" si="1"/>
        <v>15.839606145886698</v>
      </c>
      <c r="F3">
        <f t="shared" si="2"/>
        <v>51</v>
      </c>
      <c r="G3">
        <f>IF(ISNA(VLOOKUP(B3,'IA FG'!$B$2:$D$578,3,FALSE)),0,VLOOKUP(B3,'IA FG'!$B$2:$D$578,3,FALSE))</f>
        <v>95</v>
      </c>
      <c r="H3" s="166">
        <f t="shared" si="3"/>
        <v>1</v>
      </c>
      <c r="I3" s="166">
        <f t="shared" si="4"/>
        <v>90</v>
      </c>
      <c r="J3" s="166" t="str">
        <f t="shared" si="5"/>
        <v/>
      </c>
      <c r="K3" s="166" t="str">
        <f t="shared" si="6"/>
        <v/>
      </c>
      <c r="L3" s="166" t="e">
        <f t="shared" si="7"/>
        <v>#N/A</v>
      </c>
    </row>
    <row r="4" spans="1:12">
      <c r="A4" t="s">
        <v>35</v>
      </c>
      <c r="B4" s="158" t="str">
        <f>Portieri!B4</f>
        <v>SZCZESNY</v>
      </c>
      <c r="C4" s="158" t="str">
        <f>Portieri!C4</f>
        <v>JUV</v>
      </c>
      <c r="D4" s="166">
        <f t="shared" si="0"/>
        <v>16.632965095457173</v>
      </c>
      <c r="E4" s="166">
        <f t="shared" si="1"/>
        <v>16.267154634242551</v>
      </c>
      <c r="F4">
        <f t="shared" si="2"/>
        <v>46</v>
      </c>
      <c r="G4">
        <f>IF(ISNA(VLOOKUP(B4,'IA FG'!$B$2:$D$578,3,FALSE)),0,VLOOKUP(B4,'IA FG'!$B$2:$D$578,3,FALSE))</f>
        <v>35</v>
      </c>
      <c r="H4" s="166" t="str">
        <f t="shared" si="3"/>
        <v/>
      </c>
      <c r="I4" s="166">
        <f t="shared" si="4"/>
        <v>70</v>
      </c>
      <c r="J4" s="166" t="str">
        <f t="shared" si="5"/>
        <v/>
      </c>
      <c r="K4" s="166" t="str">
        <f t="shared" si="6"/>
        <v/>
      </c>
      <c r="L4" s="166" t="e">
        <f t="shared" si="7"/>
        <v>#N/A</v>
      </c>
    </row>
    <row r="5" spans="1:12">
      <c r="A5" t="s">
        <v>35</v>
      </c>
      <c r="B5" s="158" t="str">
        <f>Portieri!B5</f>
        <v>ALISSON</v>
      </c>
      <c r="C5" s="158" t="str">
        <f>Portieri!C5</f>
        <v>ROM</v>
      </c>
      <c r="D5" s="166">
        <f t="shared" si="0"/>
        <v>13.38035023921687</v>
      </c>
      <c r="E5" s="166">
        <f t="shared" si="1"/>
        <v>12.484299790980856</v>
      </c>
      <c r="F5">
        <f t="shared" si="2"/>
        <v>47</v>
      </c>
      <c r="G5">
        <f>IF(ISNA(VLOOKUP(B5,'IA FG'!$B$2:$D$578,3,FALSE)),0,VLOOKUP(B5,'IA FG'!$B$2:$D$578,3,FALSE))</f>
        <v>88</v>
      </c>
      <c r="H5" s="166" t="str">
        <f t="shared" si="3"/>
        <v/>
      </c>
      <c r="I5" s="166">
        <f t="shared" si="4"/>
        <v>90</v>
      </c>
      <c r="J5" s="166" t="str">
        <f t="shared" si="5"/>
        <v/>
      </c>
      <c r="K5" s="166" t="str">
        <f t="shared" si="6"/>
        <v/>
      </c>
      <c r="L5" s="166" t="e">
        <f t="shared" si="7"/>
        <v>#N/A</v>
      </c>
    </row>
    <row r="6" spans="1:12">
      <c r="A6" t="s">
        <v>35</v>
      </c>
      <c r="B6" s="158" t="str">
        <f>Portieri!B6</f>
        <v>REINA</v>
      </c>
      <c r="C6" s="158" t="str">
        <f>Portieri!C6</f>
        <v>NAP</v>
      </c>
      <c r="D6" s="166">
        <f t="shared" si="0"/>
        <v>12.325683903137822</v>
      </c>
      <c r="E6" s="166">
        <f t="shared" si="1"/>
        <v>11.72214092856952</v>
      </c>
      <c r="F6">
        <f t="shared" si="2"/>
        <v>46</v>
      </c>
      <c r="G6">
        <f>IF(ISNA(VLOOKUP(B6,'IA FG'!$B$2:$D$578,3,FALSE)),0,VLOOKUP(B6,'IA FG'!$B$2:$D$578,3,FALSE))</f>
        <v>90</v>
      </c>
      <c r="H6" s="166" t="str">
        <f t="shared" si="3"/>
        <v/>
      </c>
      <c r="I6" s="166">
        <f t="shared" si="4"/>
        <v>90</v>
      </c>
      <c r="J6" s="166" t="str">
        <f t="shared" si="5"/>
        <v/>
      </c>
      <c r="K6" s="166" t="str">
        <f t="shared" si="6"/>
        <v/>
      </c>
      <c r="L6" s="166" t="e">
        <f t="shared" si="7"/>
        <v>#N/A</v>
      </c>
    </row>
    <row r="7" spans="1:12">
      <c r="A7" t="s">
        <v>35</v>
      </c>
      <c r="B7" s="158" t="str">
        <f>Portieri!B7</f>
        <v>HANDANOVIC</v>
      </c>
      <c r="C7" s="158" t="str">
        <f>Portieri!C7</f>
        <v>INT</v>
      </c>
      <c r="D7" s="166">
        <f t="shared" si="0"/>
        <v>11.511611890134725</v>
      </c>
      <c r="E7" s="166">
        <f t="shared" si="1"/>
        <v>11.626218182587811</v>
      </c>
      <c r="F7">
        <f t="shared" si="2"/>
        <v>47</v>
      </c>
      <c r="G7">
        <f>IF(ISNA(VLOOKUP(B7,'IA FG'!$B$2:$D$578,3,FALSE)),0,VLOOKUP(B7,'IA FG'!$B$2:$D$578,3,FALSE))</f>
        <v>94</v>
      </c>
      <c r="H7" s="166" t="str">
        <f t="shared" si="3"/>
        <v/>
      </c>
      <c r="I7" s="166">
        <f t="shared" si="4"/>
        <v>100</v>
      </c>
      <c r="J7" s="166" t="str">
        <f t="shared" si="5"/>
        <v/>
      </c>
      <c r="K7" s="166" t="str">
        <f t="shared" si="6"/>
        <v/>
      </c>
      <c r="L7" s="166" t="e">
        <f t="shared" si="7"/>
        <v>#N/A</v>
      </c>
    </row>
    <row r="8" spans="1:12">
      <c r="A8" t="s">
        <v>35</v>
      </c>
      <c r="B8" s="158" t="str">
        <f>Portieri!B8</f>
        <v>STRAKOSHA</v>
      </c>
      <c r="C8" s="158" t="str">
        <f>Portieri!C8</f>
        <v>LAZ</v>
      </c>
      <c r="D8" s="166">
        <f t="shared" si="0"/>
        <v>10.29394749166644</v>
      </c>
      <c r="E8" s="166">
        <f t="shared" si="1"/>
        <v>10.164163190895863</v>
      </c>
      <c r="F8">
        <f t="shared" si="2"/>
        <v>45</v>
      </c>
      <c r="G8">
        <f>IF(ISNA(VLOOKUP(B8,'IA FG'!$B$2:$D$578,3,FALSE)),0,VLOOKUP(B8,'IA FG'!$B$2:$D$578,3,FALSE))</f>
        <v>82</v>
      </c>
      <c r="H8" s="166" t="str">
        <f t="shared" si="3"/>
        <v/>
      </c>
      <c r="I8" s="166">
        <f t="shared" si="4"/>
        <v>90</v>
      </c>
      <c r="J8" s="166" t="str">
        <f t="shared" si="5"/>
        <v/>
      </c>
      <c r="K8" s="166" t="str">
        <f t="shared" si="6"/>
        <v/>
      </c>
      <c r="L8" s="166" t="e">
        <f t="shared" si="7"/>
        <v>#N/A</v>
      </c>
    </row>
    <row r="9" spans="1:12">
      <c r="A9" t="s">
        <v>35</v>
      </c>
      <c r="B9" s="158" t="str">
        <f>Portieri!B9</f>
        <v>SPORTIELLO</v>
      </c>
      <c r="C9" s="158" t="str">
        <f>Portieri!C9</f>
        <v>FIO</v>
      </c>
      <c r="D9" s="166">
        <f t="shared" si="0"/>
        <v>9.6933799829196321</v>
      </c>
      <c r="E9" s="166">
        <f t="shared" si="1"/>
        <v>9.6219551021141552</v>
      </c>
      <c r="F9">
        <f t="shared" si="2"/>
        <v>45</v>
      </c>
      <c r="G9">
        <f>IF(ISNA(VLOOKUP(B9,'IA FG'!$B$2:$D$578,3,FALSE)),0,VLOOKUP(B9,'IA FG'!$B$2:$D$578,3,FALSE))</f>
        <v>78</v>
      </c>
      <c r="H9" s="166">
        <f t="shared" si="3"/>
        <v>0</v>
      </c>
      <c r="I9" s="166">
        <f t="shared" si="4"/>
        <v>90</v>
      </c>
      <c r="J9" s="166" t="str">
        <f t="shared" si="5"/>
        <v/>
      </c>
      <c r="K9" s="166" t="str">
        <f t="shared" si="6"/>
        <v/>
      </c>
      <c r="L9" s="166" t="e">
        <f t="shared" si="7"/>
        <v>#N/A</v>
      </c>
    </row>
    <row r="10" spans="1:12">
      <c r="A10" t="s">
        <v>35</v>
      </c>
      <c r="B10" s="158" t="str">
        <f>Portieri!B10</f>
        <v>PERIN</v>
      </c>
      <c r="C10" s="158" t="str">
        <f>Portieri!C10</f>
        <v>GEN</v>
      </c>
      <c r="D10" s="166">
        <f t="shared" si="0"/>
        <v>8.8557995169747539</v>
      </c>
      <c r="E10" s="166">
        <f t="shared" si="1"/>
        <v>8.9901251564558535</v>
      </c>
      <c r="F10">
        <f t="shared" si="2"/>
        <v>45</v>
      </c>
      <c r="G10">
        <f>IF(ISNA(VLOOKUP(B10,'IA FG'!$B$2:$D$578,3,FALSE)),0,VLOOKUP(B10,'IA FG'!$B$2:$D$578,3,FALSE))</f>
        <v>78</v>
      </c>
      <c r="H10" s="166" t="str">
        <f t="shared" si="3"/>
        <v/>
      </c>
      <c r="I10" s="166">
        <f t="shared" si="4"/>
        <v>90</v>
      </c>
      <c r="J10" s="166" t="str">
        <f t="shared" si="5"/>
        <v/>
      </c>
      <c r="K10" s="166" t="str">
        <f t="shared" si="6"/>
        <v/>
      </c>
      <c r="L10" s="166" t="e">
        <f t="shared" si="7"/>
        <v>#N/A</v>
      </c>
    </row>
    <row r="11" spans="1:12">
      <c r="A11" t="s">
        <v>35</v>
      </c>
      <c r="B11" s="158" t="str">
        <f>Portieri!B11</f>
        <v>VIVIANO</v>
      </c>
      <c r="C11" s="158" t="str">
        <f>Portieri!C11</f>
        <v>SAM</v>
      </c>
      <c r="D11" s="166">
        <f t="shared" si="0"/>
        <v>8.227407550253913</v>
      </c>
      <c r="E11" s="166">
        <f t="shared" si="1"/>
        <v>8.5471560710796215</v>
      </c>
      <c r="F11">
        <f t="shared" si="2"/>
        <v>44</v>
      </c>
      <c r="G11">
        <f>IF(ISNA(VLOOKUP(B11,'IA FG'!$B$2:$D$578,3,FALSE)),0,VLOOKUP(B11,'IA FG'!$B$2:$D$578,3,FALSE))</f>
        <v>80</v>
      </c>
      <c r="H11" s="166" t="str">
        <f t="shared" si="3"/>
        <v/>
      </c>
      <c r="I11" s="166">
        <f t="shared" si="4"/>
        <v>90</v>
      </c>
      <c r="J11" s="166" t="str">
        <f t="shared" si="5"/>
        <v/>
      </c>
      <c r="K11" s="166" t="str">
        <f t="shared" si="6"/>
        <v/>
      </c>
      <c r="L11" s="166" t="e">
        <f t="shared" si="7"/>
        <v>#N/A</v>
      </c>
    </row>
    <row r="12" spans="1:12">
      <c r="A12" t="s">
        <v>35</v>
      </c>
      <c r="B12" s="158" t="str">
        <f>Portieri!B12</f>
        <v>CONSIGLI</v>
      </c>
      <c r="C12" s="158" t="str">
        <f>Portieri!C12</f>
        <v>SAS</v>
      </c>
      <c r="D12" s="166">
        <f t="shared" si="0"/>
        <v>7.7678907591577406</v>
      </c>
      <c r="E12" s="166">
        <f t="shared" si="1"/>
        <v>7.8835729605889799</v>
      </c>
      <c r="F12">
        <f t="shared" si="2"/>
        <v>44</v>
      </c>
      <c r="G12">
        <f>IF(ISNA(VLOOKUP(B12,'IA FG'!$B$2:$D$578,3,FALSE)),0,VLOOKUP(B12,'IA FG'!$B$2:$D$578,3,FALSE))</f>
        <v>83</v>
      </c>
      <c r="H12" s="166">
        <f t="shared" si="3"/>
        <v>0</v>
      </c>
      <c r="I12" s="166">
        <f t="shared" si="4"/>
        <v>90</v>
      </c>
      <c r="J12" s="166" t="str">
        <f t="shared" si="5"/>
        <v/>
      </c>
      <c r="K12" s="166" t="str">
        <f t="shared" si="6"/>
        <v/>
      </c>
      <c r="L12" s="166" t="e">
        <f t="shared" si="7"/>
        <v>#N/A</v>
      </c>
    </row>
    <row r="13" spans="1:12">
      <c r="A13" t="s">
        <v>35</v>
      </c>
      <c r="B13" s="158" t="str">
        <f>Portieri!B13</f>
        <v>BERISHA</v>
      </c>
      <c r="C13" s="158" t="str">
        <f>Portieri!C13</f>
        <v>ATA</v>
      </c>
      <c r="D13" s="166">
        <f t="shared" si="0"/>
        <v>7.2424401039514343</v>
      </c>
      <c r="E13" s="166">
        <f t="shared" si="1"/>
        <v>7.2848226827324893</v>
      </c>
      <c r="F13">
        <f t="shared" si="2"/>
        <v>43</v>
      </c>
      <c r="G13">
        <f>IF(ISNA(VLOOKUP(B13,'IA FG'!$B$2:$D$578,3,FALSE)),0,VLOOKUP(B13,'IA FG'!$B$2:$D$578,3,FALSE))</f>
        <v>83</v>
      </c>
      <c r="H13" s="166" t="str">
        <f t="shared" si="3"/>
        <v/>
      </c>
      <c r="I13" s="166">
        <f t="shared" si="4"/>
        <v>90</v>
      </c>
      <c r="J13" s="166" t="str">
        <f t="shared" si="5"/>
        <v/>
      </c>
      <c r="K13" s="166" t="str">
        <f t="shared" si="6"/>
        <v/>
      </c>
      <c r="L13" s="166" t="e">
        <f t="shared" si="7"/>
        <v>#N/A</v>
      </c>
    </row>
    <row r="14" spans="1:12">
      <c r="A14" t="s">
        <v>35</v>
      </c>
      <c r="B14" s="158" t="str">
        <f>Portieri!B14</f>
        <v>SORRENTINO</v>
      </c>
      <c r="C14" s="158" t="str">
        <f>Portieri!C14</f>
        <v>CHI</v>
      </c>
      <c r="D14" s="166">
        <f t="shared" si="0"/>
        <v>7.0678714748799276</v>
      </c>
      <c r="E14" s="166">
        <f t="shared" si="1"/>
        <v>4.2808738018720369</v>
      </c>
      <c r="F14">
        <f t="shared" si="2"/>
        <v>41</v>
      </c>
      <c r="G14">
        <f>IF(ISNA(VLOOKUP(B14,'IA FG'!$B$2:$D$578,3,FALSE)),0,VLOOKUP(B14,'IA FG'!$B$2:$D$578,3,FALSE))</f>
        <v>77</v>
      </c>
      <c r="H14" s="166" t="str">
        <f t="shared" si="3"/>
        <v/>
      </c>
      <c r="I14" s="166">
        <f t="shared" si="4"/>
        <v>80</v>
      </c>
      <c r="J14" s="166" t="str">
        <f t="shared" si="5"/>
        <v/>
      </c>
      <c r="K14" s="166" t="str">
        <f t="shared" si="6"/>
        <v/>
      </c>
      <c r="L14" s="166" t="e">
        <f t="shared" si="7"/>
        <v>#N/A</v>
      </c>
    </row>
    <row r="15" spans="1:12">
      <c r="A15" t="s">
        <v>35</v>
      </c>
      <c r="B15" s="158" t="str">
        <f>Portieri!B15</f>
        <v>MIRANTE</v>
      </c>
      <c r="C15" s="158" t="str">
        <f>Portieri!C15</f>
        <v>BOL</v>
      </c>
      <c r="D15" s="166">
        <f t="shared" si="0"/>
        <v>6.5915498131261625</v>
      </c>
      <c r="E15" s="166">
        <f t="shared" si="1"/>
        <v>5.9924771647005048</v>
      </c>
      <c r="F15">
        <f t="shared" si="2"/>
        <v>43</v>
      </c>
      <c r="G15">
        <f>IF(ISNA(VLOOKUP(B15,'IA FG'!$B$2:$D$578,3,FALSE)),0,VLOOKUP(B15,'IA FG'!$B$2:$D$578,3,FALSE))</f>
        <v>74</v>
      </c>
      <c r="H15" s="166" t="str">
        <f t="shared" si="3"/>
        <v/>
      </c>
      <c r="I15" s="166">
        <f t="shared" si="4"/>
        <v>90</v>
      </c>
      <c r="J15" s="166" t="str">
        <f t="shared" si="5"/>
        <v/>
      </c>
      <c r="K15" s="166" t="str">
        <f t="shared" si="6"/>
        <v/>
      </c>
      <c r="L15" s="166" t="e">
        <f t="shared" si="7"/>
        <v>#N/A</v>
      </c>
    </row>
    <row r="16" spans="1:12">
      <c r="A16" t="s">
        <v>35</v>
      </c>
      <c r="B16" s="158" t="str">
        <f>Portieri!B16</f>
        <v>SCUFFET</v>
      </c>
      <c r="C16" s="158" t="str">
        <f>Portieri!C16</f>
        <v>UDI</v>
      </c>
      <c r="D16" s="166">
        <f t="shared" si="0"/>
        <v>5.4163108258262422</v>
      </c>
      <c r="E16" s="166">
        <f t="shared" si="1"/>
        <v>6.6068138524485889</v>
      </c>
      <c r="F16">
        <f t="shared" si="2"/>
        <v>41</v>
      </c>
      <c r="G16">
        <f>IF(ISNA(VLOOKUP(B16,'IA FG'!$B$2:$D$578,3,FALSE)),0,VLOOKUP(B16,'IA FG'!$B$2:$D$578,3,FALSE))</f>
        <v>74</v>
      </c>
      <c r="H16" s="166" t="str">
        <f t="shared" si="3"/>
        <v/>
      </c>
      <c r="I16" s="166">
        <f t="shared" si="4"/>
        <v>90</v>
      </c>
      <c r="J16" s="166" t="str">
        <f t="shared" si="5"/>
        <v/>
      </c>
      <c r="K16" s="166" t="str">
        <f t="shared" si="6"/>
        <v/>
      </c>
      <c r="L16" s="166" t="e">
        <f t="shared" si="7"/>
        <v>#N/A</v>
      </c>
    </row>
    <row r="17" spans="1:12">
      <c r="A17" t="s">
        <v>35</v>
      </c>
      <c r="B17" s="158" t="str">
        <f>Portieri!B17</f>
        <v>SKORUPSKI</v>
      </c>
      <c r="C17" s="158" t="str">
        <f>Portieri!C17</f>
        <v>ROM</v>
      </c>
      <c r="D17" s="166">
        <f t="shared" si="0"/>
        <v>5.3262256995142216</v>
      </c>
      <c r="E17" s="166">
        <f t="shared" si="1"/>
        <v>5.6480009248093843</v>
      </c>
      <c r="F17">
        <f t="shared" si="2"/>
        <v>39</v>
      </c>
      <c r="G17">
        <f>IF(ISNA(VLOOKUP(B17,'IA FG'!$B$2:$D$578,3,FALSE)),0,VLOOKUP(B17,'IA FG'!$B$2:$D$578,3,FALSE))</f>
        <v>35</v>
      </c>
      <c r="H17" s="166" t="str">
        <f t="shared" si="3"/>
        <v/>
      </c>
      <c r="I17" s="166">
        <f t="shared" si="4"/>
        <v>30</v>
      </c>
      <c r="J17" s="166" t="str">
        <f t="shared" si="5"/>
        <v/>
      </c>
      <c r="K17" s="166" t="str">
        <f t="shared" si="6"/>
        <v/>
      </c>
      <c r="L17" s="166" t="e">
        <f t="shared" si="7"/>
        <v>#N/A</v>
      </c>
    </row>
    <row r="18" spans="1:12">
      <c r="A18" t="s">
        <v>35</v>
      </c>
      <c r="B18" s="158" t="str">
        <f>Portieri!B18</f>
        <v>CORDAZ</v>
      </c>
      <c r="C18" s="158" t="str">
        <f>Portieri!C18</f>
        <v>CRO</v>
      </c>
      <c r="D18" s="166">
        <f t="shared" si="0"/>
        <v>4.9785577196800741</v>
      </c>
      <c r="E18" s="166">
        <f t="shared" si="1"/>
        <v>6.785062688974687</v>
      </c>
      <c r="F18">
        <f t="shared" si="2"/>
        <v>42</v>
      </c>
      <c r="G18">
        <f>IF(ISNA(VLOOKUP(B18,'IA FG'!$B$2:$D$578,3,FALSE)),0,VLOOKUP(B18,'IA FG'!$B$2:$D$578,3,FALSE))</f>
        <v>70</v>
      </c>
      <c r="H18" s="166">
        <f t="shared" si="3"/>
        <v>1</v>
      </c>
      <c r="I18" s="166">
        <f t="shared" si="4"/>
        <v>90</v>
      </c>
      <c r="J18" s="166" t="str">
        <f t="shared" si="5"/>
        <v/>
      </c>
      <c r="K18" s="166" t="str">
        <f t="shared" si="6"/>
        <v/>
      </c>
      <c r="L18" s="166" t="e">
        <f t="shared" si="7"/>
        <v>#N/A</v>
      </c>
    </row>
    <row r="19" spans="1:12">
      <c r="A19" t="s">
        <v>35</v>
      </c>
      <c r="B19" s="158" t="str">
        <f>Portieri!B19</f>
        <v>SIRIGU</v>
      </c>
      <c r="C19" s="158" t="str">
        <f>Portieri!C19</f>
        <v>TOR</v>
      </c>
      <c r="D19" s="166">
        <f t="shared" si="0"/>
        <v>3.8203072628263435</v>
      </c>
      <c r="E19" s="166">
        <f t="shared" si="1"/>
        <v>4.3195911072942152</v>
      </c>
      <c r="F19">
        <f t="shared" si="2"/>
        <v>41</v>
      </c>
      <c r="G19">
        <f>IF(ISNA(VLOOKUP(B19,'IA FG'!$B$2:$D$578,3,FALSE)),0,VLOOKUP(B19,'IA FG'!$B$2:$D$578,3,FALSE))</f>
        <v>80</v>
      </c>
      <c r="H19" s="166" t="str">
        <f t="shared" si="3"/>
        <v/>
      </c>
      <c r="I19" s="166">
        <f t="shared" si="4"/>
        <v>90</v>
      </c>
      <c r="J19" s="166" t="str">
        <f t="shared" si="5"/>
        <v/>
      </c>
      <c r="K19" s="166" t="str">
        <f t="shared" si="6"/>
        <v/>
      </c>
      <c r="L19" s="166" t="e">
        <f t="shared" si="7"/>
        <v>#N/A</v>
      </c>
    </row>
    <row r="20" spans="1:12">
      <c r="A20" t="s">
        <v>35</v>
      </c>
      <c r="B20" s="158" t="str">
        <f>Portieri!B20</f>
        <v>CRAGNO</v>
      </c>
      <c r="C20" s="158" t="str">
        <f>Portieri!C20</f>
        <v>CAG</v>
      </c>
      <c r="D20" s="166">
        <f t="shared" si="0"/>
        <v>1.6907720139214142</v>
      </c>
      <c r="E20" s="166">
        <f t="shared" si="1"/>
        <v>1</v>
      </c>
      <c r="F20">
        <f t="shared" si="2"/>
        <v>39</v>
      </c>
      <c r="G20">
        <f>IF(ISNA(VLOOKUP(B20,'IA FG'!$B$2:$D$578,3,FALSE)),0,VLOOKUP(B20,'IA FG'!$B$2:$D$578,3,FALSE))</f>
        <v>69</v>
      </c>
      <c r="H20" s="166" t="str">
        <f t="shared" si="3"/>
        <v/>
      </c>
      <c r="I20" s="166">
        <f t="shared" si="4"/>
        <v>70</v>
      </c>
      <c r="J20" s="166" t="str">
        <f t="shared" si="5"/>
        <v/>
      </c>
      <c r="K20" s="166" t="str">
        <f t="shared" si="6"/>
        <v/>
      </c>
      <c r="L20" s="166" t="e">
        <f t="shared" si="7"/>
        <v>#N/A</v>
      </c>
    </row>
    <row r="21" spans="1:12">
      <c r="A21" t="s">
        <v>35</v>
      </c>
      <c r="B21" s="158" t="str">
        <f>Portieri!B21</f>
        <v>DA COSTA</v>
      </c>
      <c r="C21" s="158" t="str">
        <f>Portieri!C21</f>
        <v>BOL</v>
      </c>
      <c r="D21" s="166">
        <f t="shared" si="0"/>
        <v>1</v>
      </c>
      <c r="E21" s="166">
        <f t="shared" si="1"/>
        <v>1</v>
      </c>
      <c r="F21">
        <f t="shared" si="2"/>
        <v>37</v>
      </c>
      <c r="G21">
        <f>IF(ISNA(VLOOKUP(B21,'IA FG'!$B$2:$D$578,3,FALSE)),0,VLOOKUP(B21,'IA FG'!$B$2:$D$578,3,FALSE))</f>
        <v>35</v>
      </c>
      <c r="H21" s="166" t="str">
        <f t="shared" si="3"/>
        <v/>
      </c>
      <c r="I21" s="166">
        <f t="shared" si="4"/>
        <v>50</v>
      </c>
      <c r="J21" s="166" t="str">
        <f t="shared" si="5"/>
        <v/>
      </c>
      <c r="K21" s="166" t="str">
        <f t="shared" si="6"/>
        <v/>
      </c>
      <c r="L21" s="166" t="e">
        <f t="shared" si="7"/>
        <v>#N/A</v>
      </c>
    </row>
    <row r="22" spans="1:12">
      <c r="A22" t="s">
        <v>35</v>
      </c>
      <c r="B22" s="158" t="str">
        <f>Portieri!B22</f>
        <v>RAFAEL</v>
      </c>
      <c r="C22" s="158" t="str">
        <f>Portieri!C22</f>
        <v>CAG</v>
      </c>
      <c r="D22" s="166">
        <f t="shared" si="0"/>
        <v>1</v>
      </c>
      <c r="E22" s="166">
        <f t="shared" si="1"/>
        <v>1</v>
      </c>
      <c r="F22">
        <f t="shared" si="2"/>
        <v>37</v>
      </c>
      <c r="G22">
        <f>IF(ISNA(VLOOKUP(B22,'IA FG'!$B$2:$D$578,3,FALSE)),0,VLOOKUP(B22,'IA FG'!$B$2:$D$578,3,FALSE))</f>
        <v>25</v>
      </c>
      <c r="H22" s="166" t="str">
        <f t="shared" si="3"/>
        <v/>
      </c>
      <c r="I22" s="166">
        <f t="shared" si="4"/>
        <v>50</v>
      </c>
      <c r="J22" s="166" t="str">
        <f t="shared" si="5"/>
        <v/>
      </c>
      <c r="K22" s="166" t="str">
        <f t="shared" si="6"/>
        <v/>
      </c>
      <c r="L22" s="166" t="e">
        <f t="shared" si="7"/>
        <v>#N/A</v>
      </c>
    </row>
    <row r="23" spans="1:12">
      <c r="A23" t="s">
        <v>35</v>
      </c>
      <c r="B23" s="158" t="str">
        <f>Portieri!B23</f>
        <v>LAMANNA</v>
      </c>
      <c r="C23" s="158" t="str">
        <f>Portieri!C23</f>
        <v>GEN</v>
      </c>
      <c r="D23" s="166">
        <f t="shared" si="0"/>
        <v>1</v>
      </c>
      <c r="E23" s="166">
        <f t="shared" si="1"/>
        <v>1</v>
      </c>
      <c r="F23">
        <f t="shared" si="2"/>
        <v>36</v>
      </c>
      <c r="G23">
        <f>IF(ISNA(VLOOKUP(B23,'IA FG'!$B$2:$D$578,3,FALSE)),0,VLOOKUP(B23,'IA FG'!$B$2:$D$578,3,FALSE))</f>
        <v>25</v>
      </c>
      <c r="H23" s="166" t="str">
        <f t="shared" si="3"/>
        <v/>
      </c>
      <c r="I23" s="166">
        <f t="shared" si="4"/>
        <v>30</v>
      </c>
      <c r="J23" s="166" t="str">
        <f t="shared" si="5"/>
        <v/>
      </c>
      <c r="K23" s="166" t="str">
        <f t="shared" si="6"/>
        <v/>
      </c>
      <c r="L23" s="166" t="e">
        <f t="shared" si="7"/>
        <v>#N/A</v>
      </c>
    </row>
    <row r="24" spans="1:12">
      <c r="A24" t="s">
        <v>35</v>
      </c>
      <c r="B24" s="158" t="str">
        <f>Portieri!B24</f>
        <v>NICOLAS</v>
      </c>
      <c r="C24" s="158" t="str">
        <f>Portieri!C24</f>
        <v>VER</v>
      </c>
      <c r="D24" s="166">
        <f t="shared" si="0"/>
        <v>1</v>
      </c>
      <c r="E24" s="166">
        <f t="shared" si="1"/>
        <v>1</v>
      </c>
      <c r="F24">
        <f t="shared" si="2"/>
        <v>37</v>
      </c>
      <c r="G24">
        <f>IF(ISNA(VLOOKUP(B24,'IA FG'!$B$2:$D$578,3,FALSE)),0,VLOOKUP(B24,'IA FG'!$B$2:$D$578,3,FALSE))</f>
        <v>62</v>
      </c>
      <c r="H24" s="166">
        <f t="shared" si="3"/>
        <v>-1</v>
      </c>
      <c r="I24" s="166">
        <f t="shared" si="4"/>
        <v>70</v>
      </c>
      <c r="J24" s="166" t="str">
        <f t="shared" si="5"/>
        <v/>
      </c>
      <c r="K24" s="166" t="str">
        <f t="shared" si="6"/>
        <v/>
      </c>
      <c r="L24" s="166" t="e">
        <f t="shared" si="7"/>
        <v>#N/A</v>
      </c>
    </row>
    <row r="25" spans="1:12">
      <c r="A25" t="s">
        <v>35</v>
      </c>
      <c r="B25" s="158" t="str">
        <f>Portieri!B25</f>
        <v>PUGGIONI</v>
      </c>
      <c r="C25" s="158" t="str">
        <f>Portieri!C25</f>
        <v>SAM</v>
      </c>
      <c r="D25" s="166">
        <f t="shared" si="0"/>
        <v>1</v>
      </c>
      <c r="E25" s="166">
        <f t="shared" si="1"/>
        <v>1</v>
      </c>
      <c r="F25">
        <f t="shared" si="2"/>
        <v>35</v>
      </c>
      <c r="G25">
        <f>IF(ISNA(VLOOKUP(B25,'IA FG'!$B$2:$D$578,3,FALSE)),0,VLOOKUP(B25,'IA FG'!$B$2:$D$578,3,FALSE))</f>
        <v>30</v>
      </c>
      <c r="H25" s="166" t="str">
        <f t="shared" si="3"/>
        <v/>
      </c>
      <c r="I25" s="166">
        <f t="shared" si="4"/>
        <v>50</v>
      </c>
      <c r="J25" s="166" t="str">
        <f t="shared" si="5"/>
        <v/>
      </c>
      <c r="K25" s="166" t="str">
        <f t="shared" si="6"/>
        <v/>
      </c>
      <c r="L25" s="166" t="e">
        <f t="shared" si="7"/>
        <v>#N/A</v>
      </c>
    </row>
    <row r="26" spans="1:12">
      <c r="A26" t="s">
        <v>35</v>
      </c>
      <c r="B26" s="158" t="str">
        <f>Portieri!B26</f>
        <v>DONNARUMMA A</v>
      </c>
      <c r="C26" s="158" t="str">
        <f>Portieri!C26</f>
        <v>MIL</v>
      </c>
      <c r="D26" s="166">
        <f t="shared" si="0"/>
        <v>1</v>
      </c>
      <c r="E26" s="166">
        <f t="shared" si="1"/>
        <v>1</v>
      </c>
      <c r="F26">
        <f t="shared" si="2"/>
        <v>33</v>
      </c>
      <c r="G26">
        <f>IF(ISNA(VLOOKUP(B26,'IA FG'!$B$2:$D$578,3,FALSE)),0,VLOOKUP(B26,'IA FG'!$B$2:$D$578,3,FALSE))</f>
        <v>5</v>
      </c>
      <c r="H26" s="166" t="str">
        <f t="shared" si="3"/>
        <v/>
      </c>
      <c r="I26" s="166">
        <f t="shared" si="4"/>
        <v>30</v>
      </c>
      <c r="J26" s="166" t="str">
        <f t="shared" si="5"/>
        <v/>
      </c>
      <c r="K26" s="166" t="str">
        <f t="shared" si="6"/>
        <v/>
      </c>
      <c r="L26" s="166" t="e">
        <f t="shared" si="7"/>
        <v>#N/A</v>
      </c>
    </row>
    <row r="27" spans="1:12">
      <c r="A27" t="s">
        <v>35</v>
      </c>
      <c r="B27" s="158" t="str">
        <f>Portieri!B27</f>
        <v>PINSOGLIO</v>
      </c>
      <c r="C27" s="158" t="str">
        <f>Portieri!C27</f>
        <v>JUV</v>
      </c>
      <c r="D27" s="166">
        <f t="shared" si="0"/>
        <v>1</v>
      </c>
      <c r="E27" s="166">
        <f t="shared" si="1"/>
        <v>1</v>
      </c>
      <c r="F27">
        <f t="shared" si="2"/>
        <v>30</v>
      </c>
      <c r="G27">
        <f>IF(ISNA(VLOOKUP(B27,'IA FG'!$B$2:$D$578,3,FALSE)),0,VLOOKUP(B27,'IA FG'!$B$2:$D$578,3,FALSE))</f>
        <v>5</v>
      </c>
      <c r="H27" s="166" t="str">
        <f t="shared" si="3"/>
        <v/>
      </c>
      <c r="I27" s="166">
        <f t="shared" si="4"/>
        <v>30</v>
      </c>
      <c r="J27" s="166" t="str">
        <f t="shared" si="5"/>
        <v/>
      </c>
      <c r="K27" s="166" t="str">
        <f t="shared" si="6"/>
        <v/>
      </c>
      <c r="L27" s="166" t="e">
        <f t="shared" si="7"/>
        <v>#N/A</v>
      </c>
    </row>
    <row r="28" spans="1:12">
      <c r="A28" t="s">
        <v>35</v>
      </c>
      <c r="B28" s="158" t="str">
        <f>Portieri!B28</f>
        <v>GOLLINI</v>
      </c>
      <c r="C28" s="158" t="str">
        <f>Portieri!C28</f>
        <v>ATA</v>
      </c>
      <c r="D28" s="166">
        <f t="shared" si="0"/>
        <v>1</v>
      </c>
      <c r="E28" s="166">
        <f t="shared" si="1"/>
        <v>1</v>
      </c>
      <c r="F28">
        <f t="shared" si="2"/>
        <v>34</v>
      </c>
      <c r="G28">
        <f>IF(ISNA(VLOOKUP(B28,'IA FG'!$B$2:$D$578,3,FALSE)),0,VLOOKUP(B28,'IA FG'!$B$2:$D$578,3,FALSE))</f>
        <v>25</v>
      </c>
      <c r="H28" s="166" t="str">
        <f t="shared" si="3"/>
        <v/>
      </c>
      <c r="I28" s="166">
        <f t="shared" si="4"/>
        <v>30</v>
      </c>
      <c r="J28" s="166" t="str">
        <f t="shared" si="5"/>
        <v/>
      </c>
      <c r="K28" s="166" t="str">
        <f t="shared" si="6"/>
        <v/>
      </c>
      <c r="L28" s="166" t="e">
        <f t="shared" si="7"/>
        <v>#N/A</v>
      </c>
    </row>
    <row r="29" spans="1:12">
      <c r="A29" t="s">
        <v>35</v>
      </c>
      <c r="B29" s="158" t="str">
        <f>Portieri!B29</f>
        <v>RAFAEL CABRAL</v>
      </c>
      <c r="C29" s="158" t="str">
        <f>Portieri!C29</f>
        <v>NAP</v>
      </c>
      <c r="D29" s="166">
        <f t="shared" si="0"/>
        <v>1</v>
      </c>
      <c r="E29" s="166">
        <f t="shared" si="1"/>
        <v>1</v>
      </c>
      <c r="F29">
        <f t="shared" si="2"/>
        <v>33</v>
      </c>
      <c r="G29">
        <f>IF(ISNA(VLOOKUP(B29,'IA FG'!$B$2:$D$578,3,FALSE)),0,VLOOKUP(B29,'IA FG'!$B$2:$D$578,3,FALSE))</f>
        <v>20</v>
      </c>
      <c r="H29" s="166" t="str">
        <f t="shared" si="3"/>
        <v/>
      </c>
      <c r="I29" s="166">
        <f t="shared" si="4"/>
        <v>50</v>
      </c>
      <c r="J29" s="166" t="str">
        <f t="shared" si="5"/>
        <v/>
      </c>
      <c r="K29" s="166" t="str">
        <f t="shared" si="6"/>
        <v/>
      </c>
      <c r="L29" s="166" t="e">
        <f t="shared" si="7"/>
        <v>#N/A</v>
      </c>
    </row>
    <row r="30" spans="1:12">
      <c r="A30" t="s">
        <v>35</v>
      </c>
      <c r="B30" s="158" t="str">
        <f>Portieri!B30</f>
        <v>SEPE</v>
      </c>
      <c r="C30" s="158" t="str">
        <f>Portieri!C30</f>
        <v>NAP</v>
      </c>
      <c r="D30" s="166">
        <f t="shared" si="0"/>
        <v>1</v>
      </c>
      <c r="E30" s="166">
        <f t="shared" si="1"/>
        <v>1</v>
      </c>
      <c r="F30">
        <f t="shared" si="2"/>
        <v>33</v>
      </c>
      <c r="G30">
        <f>IF(ISNA(VLOOKUP(B30,'IA FG'!$B$2:$D$578,3,FALSE)),0,VLOOKUP(B30,'IA FG'!$B$2:$D$578,3,FALSE))</f>
        <v>5</v>
      </c>
      <c r="H30" s="166" t="str">
        <f t="shared" si="3"/>
        <v/>
      </c>
      <c r="I30" s="166">
        <f t="shared" si="4"/>
        <v>50</v>
      </c>
      <c r="J30" s="166" t="str">
        <f t="shared" si="5"/>
        <v/>
      </c>
      <c r="K30" s="166" t="str">
        <f t="shared" si="6"/>
        <v/>
      </c>
      <c r="L30" s="166" t="e">
        <f t="shared" si="7"/>
        <v>#N/A</v>
      </c>
    </row>
    <row r="31" spans="1:12">
      <c r="A31" t="s">
        <v>35</v>
      </c>
      <c r="B31" s="158" t="str">
        <f>Portieri!B31</f>
        <v>MILINKOVIC-SAVIC V</v>
      </c>
      <c r="C31" s="158" t="str">
        <f>Portieri!C31</f>
        <v>TOR</v>
      </c>
      <c r="D31" s="166">
        <f t="shared" si="0"/>
        <v>1</v>
      </c>
      <c r="E31" s="166">
        <f t="shared" si="1"/>
        <v>1</v>
      </c>
      <c r="F31">
        <f t="shared" si="2"/>
        <v>35</v>
      </c>
      <c r="G31">
        <f>IF(ISNA(VLOOKUP(B31,'IA FG'!$B$2:$D$578,3,FALSE)),0,VLOOKUP(B31,'IA FG'!$B$2:$D$578,3,FALSE))</f>
        <v>20</v>
      </c>
      <c r="H31" s="166" t="str">
        <f t="shared" si="3"/>
        <v/>
      </c>
      <c r="I31" s="166">
        <f t="shared" si="4"/>
        <v>50</v>
      </c>
      <c r="J31" s="166" t="str">
        <f t="shared" si="5"/>
        <v/>
      </c>
      <c r="K31" s="166" t="str">
        <f t="shared" si="6"/>
        <v/>
      </c>
      <c r="L31" s="166" t="e">
        <f t="shared" si="7"/>
        <v>#N/A</v>
      </c>
    </row>
    <row r="32" spans="1:12">
      <c r="A32" t="s">
        <v>35</v>
      </c>
      <c r="B32" s="158" t="str">
        <f>Portieri!B32</f>
        <v>MERET</v>
      </c>
      <c r="C32" s="158" t="str">
        <f>Portieri!C32</f>
        <v>SPA</v>
      </c>
      <c r="D32" s="166">
        <f t="shared" si="0"/>
        <v>1</v>
      </c>
      <c r="E32" s="166">
        <f t="shared" si="1"/>
        <v>1</v>
      </c>
      <c r="F32">
        <f t="shared" si="2"/>
        <v>42</v>
      </c>
      <c r="G32">
        <f>IF(ISNA(VLOOKUP(B32,'IA FG'!$B$2:$D$578,3,FALSE)),0,VLOOKUP(B32,'IA FG'!$B$2:$D$578,3,FALSE))</f>
        <v>64</v>
      </c>
      <c r="H32" s="166">
        <f t="shared" si="3"/>
        <v>1</v>
      </c>
      <c r="I32" s="166">
        <f t="shared" si="4"/>
        <v>90</v>
      </c>
      <c r="J32" s="166" t="str">
        <f t="shared" si="5"/>
        <v/>
      </c>
      <c r="K32" s="166" t="str">
        <f t="shared" si="6"/>
        <v/>
      </c>
      <c r="L32" s="166" t="e">
        <f t="shared" si="7"/>
        <v>#N/A</v>
      </c>
    </row>
    <row r="33" spans="1:12">
      <c r="A33" t="s">
        <v>35</v>
      </c>
      <c r="B33" s="158" t="str">
        <f>Portieri!B33</f>
        <v>SECULIN</v>
      </c>
      <c r="C33" s="158" t="str">
        <f>Portieri!C33</f>
        <v>CHI</v>
      </c>
      <c r="D33" s="166">
        <f t="shared" si="0"/>
        <v>1</v>
      </c>
      <c r="E33" s="166">
        <f t="shared" si="1"/>
        <v>1</v>
      </c>
      <c r="F33">
        <f t="shared" si="2"/>
        <v>32</v>
      </c>
      <c r="G33">
        <f>IF(ISNA(VLOOKUP(B33,'IA FG'!$B$2:$D$578,3,FALSE)),0,VLOOKUP(B33,'IA FG'!$B$2:$D$578,3,FALSE))</f>
        <v>20</v>
      </c>
      <c r="H33" s="166" t="str">
        <f t="shared" si="3"/>
        <v/>
      </c>
      <c r="I33" s="166">
        <f t="shared" si="4"/>
        <v>40</v>
      </c>
      <c r="J33" s="166" t="str">
        <f t="shared" si="5"/>
        <v/>
      </c>
      <c r="K33" s="166" t="str">
        <f t="shared" si="6"/>
        <v/>
      </c>
      <c r="L33" s="166" t="e">
        <f t="shared" si="7"/>
        <v>#N/A</v>
      </c>
    </row>
    <row r="34" spans="1:12">
      <c r="A34" t="s">
        <v>35</v>
      </c>
      <c r="B34" s="158" t="str">
        <f>Portieri!B34</f>
        <v>BIZZARRI</v>
      </c>
      <c r="C34" s="158" t="str">
        <f>Portieri!C34</f>
        <v>UDI</v>
      </c>
      <c r="D34" s="166">
        <f t="shared" ref="D34:D66" si="8">IF(ISNA(VLOOKUP($B34,TabAlgPor,11,FALSE)),0,VLOOKUP($B34,TabAlgPor,11,FALSE))</f>
        <v>1</v>
      </c>
      <c r="E34" s="166">
        <f t="shared" ref="E34:E66" si="9">IF(ISNA(VLOOKUP($B34,TabAlgPor,14,FALSE)),0,VLOOKUP($B34,TabAlgPor,14,FALSE))</f>
        <v>1</v>
      </c>
      <c r="F34">
        <f t="shared" ref="F34:F66" si="10">IF(ISNA(VLOOKUP($B34,TabAlgPor,15,FALSE)),0,VLOOKUP($B34,TabAlgPor,15,FALSE))</f>
        <v>32</v>
      </c>
      <c r="G34">
        <f>IF(ISNA(VLOOKUP(B34,'IA FG'!$B$2:$D$578,3,FALSE)),0,VLOOKUP(B34,'IA FG'!$B$2:$D$578,3,FALSE))</f>
        <v>20</v>
      </c>
      <c r="H34" s="166" t="str">
        <f t="shared" ref="H34:H66" si="11">IF(ISNA(VLOOKUP($B34,TabAlgPor,16,FALSE)),"",VLOOKUP($B34,TabAlgPor,16,FALSE))</f>
        <v/>
      </c>
      <c r="I34" s="166">
        <f t="shared" ref="I34:I66" si="12">IF(ISNA(VLOOKUP($B34,TabAlgPor,4,FALSE)),0,VLOOKUP($B34,TabAlgPor,4,FALSE))*10</f>
        <v>30</v>
      </c>
      <c r="J34" s="166" t="str">
        <f t="shared" ref="J34:J66" si="13">IF(ISNA(VLOOKUP($B34,TabAlgPor,17,FALSE)),"",VLOOKUP($B34,TabAlgPor,17,FALSE))</f>
        <v/>
      </c>
      <c r="K34" s="166" t="str">
        <f t="shared" ref="K34:K66" si="14">IF(ISNA(VLOOKUP($B34,TabAlgPor,18,FALSE)),"",VLOOKUP($B34,TabAlgPor,18,FALSE))</f>
        <v/>
      </c>
      <c r="L34" s="166" t="e">
        <f t="shared" ref="L34:L66" si="15">VLOOKUP($B34,TabAlgPor,19,FALSE)</f>
        <v>#N/A</v>
      </c>
    </row>
    <row r="35" spans="1:12">
      <c r="A35" t="s">
        <v>35</v>
      </c>
      <c r="B35" s="158" t="str">
        <f>Portieri!B35</f>
        <v>SILVESTRI</v>
      </c>
      <c r="C35" s="158" t="str">
        <f>Portieri!C35</f>
        <v>VER</v>
      </c>
      <c r="D35" s="166">
        <f t="shared" si="8"/>
        <v>1</v>
      </c>
      <c r="E35" s="166">
        <f t="shared" si="9"/>
        <v>1</v>
      </c>
      <c r="F35">
        <f t="shared" si="10"/>
        <v>34</v>
      </c>
      <c r="G35">
        <f>IF(ISNA(VLOOKUP(B35,'IA FG'!$B$2:$D$578,3,FALSE)),0,VLOOKUP(B35,'IA FG'!$B$2:$D$578,3,FALSE))</f>
        <v>20</v>
      </c>
      <c r="H35" s="166" t="str">
        <f t="shared" si="11"/>
        <v/>
      </c>
      <c r="I35" s="166">
        <f t="shared" si="12"/>
        <v>60</v>
      </c>
      <c r="J35" s="166" t="str">
        <f t="shared" si="13"/>
        <v/>
      </c>
      <c r="K35" s="166" t="str">
        <f t="shared" si="14"/>
        <v/>
      </c>
      <c r="L35" s="166" t="e">
        <f t="shared" si="15"/>
        <v>#N/A</v>
      </c>
    </row>
    <row r="36" spans="1:12">
      <c r="A36" t="s">
        <v>35</v>
      </c>
      <c r="B36" s="158" t="str">
        <f>Portieri!B36</f>
        <v>ICHAZO</v>
      </c>
      <c r="C36" s="158" t="str">
        <f>Portieri!C36</f>
        <v>TOR</v>
      </c>
      <c r="D36" s="166">
        <f t="shared" si="8"/>
        <v>1</v>
      </c>
      <c r="E36" s="166">
        <f t="shared" si="9"/>
        <v>1</v>
      </c>
      <c r="F36">
        <f t="shared" si="10"/>
        <v>33</v>
      </c>
      <c r="G36">
        <f>IF(ISNA(VLOOKUP(B36,'IA FG'!$B$2:$D$578,3,FALSE)),0,VLOOKUP(B36,'IA FG'!$B$2:$D$578,3,FALSE))</f>
        <v>5</v>
      </c>
      <c r="H36" s="166" t="str">
        <f t="shared" si="11"/>
        <v/>
      </c>
      <c r="I36" s="166">
        <f t="shared" si="12"/>
        <v>40</v>
      </c>
      <c r="J36" s="166" t="str">
        <f t="shared" si="13"/>
        <v/>
      </c>
      <c r="K36" s="166" t="str">
        <f t="shared" si="14"/>
        <v/>
      </c>
      <c r="L36" s="166" t="e">
        <f t="shared" si="15"/>
        <v>#N/A</v>
      </c>
    </row>
    <row r="37" spans="1:12">
      <c r="A37" t="s">
        <v>35</v>
      </c>
      <c r="B37" s="158" t="str">
        <f>Portieri!B37</f>
        <v>VARGIC</v>
      </c>
      <c r="C37" s="158" t="str">
        <f>Portieri!C37</f>
        <v>LAZ</v>
      </c>
      <c r="D37" s="166">
        <f t="shared" si="8"/>
        <v>1</v>
      </c>
      <c r="E37" s="166">
        <f t="shared" si="9"/>
        <v>1</v>
      </c>
      <c r="F37">
        <f t="shared" si="10"/>
        <v>31</v>
      </c>
      <c r="G37">
        <f>IF(ISNA(VLOOKUP(B37,'IA FG'!$B$2:$D$578,3,FALSE)),0,VLOOKUP(B37,'IA FG'!$B$2:$D$578,3,FALSE))</f>
        <v>15</v>
      </c>
      <c r="H37" s="166" t="str">
        <f t="shared" si="11"/>
        <v/>
      </c>
      <c r="I37" s="166">
        <f t="shared" si="12"/>
        <v>30</v>
      </c>
      <c r="J37" s="166" t="str">
        <f t="shared" si="13"/>
        <v/>
      </c>
      <c r="K37" s="166" t="str">
        <f t="shared" si="14"/>
        <v/>
      </c>
      <c r="L37" s="166" t="e">
        <f t="shared" si="15"/>
        <v>#N/A</v>
      </c>
    </row>
    <row r="38" spans="1:12">
      <c r="A38" t="s">
        <v>35</v>
      </c>
      <c r="B38" s="158" t="str">
        <f>Portieri!B38</f>
        <v>PEGOLO</v>
      </c>
      <c r="C38" s="158" t="str">
        <f>Portieri!C38</f>
        <v>SAS</v>
      </c>
      <c r="D38" s="166">
        <f t="shared" si="8"/>
        <v>1</v>
      </c>
      <c r="E38" s="166">
        <f t="shared" si="9"/>
        <v>1</v>
      </c>
      <c r="F38">
        <f t="shared" si="10"/>
        <v>32</v>
      </c>
      <c r="G38">
        <f>IF(ISNA(VLOOKUP(B38,'IA FG'!$B$2:$D$578,3,FALSE)),0,VLOOKUP(B38,'IA FG'!$B$2:$D$578,3,FALSE))</f>
        <v>20</v>
      </c>
      <c r="H38" s="166" t="str">
        <f t="shared" si="11"/>
        <v/>
      </c>
      <c r="I38" s="166">
        <f t="shared" si="12"/>
        <v>30</v>
      </c>
      <c r="J38" s="166" t="str">
        <f t="shared" si="13"/>
        <v/>
      </c>
      <c r="K38" s="166" t="str">
        <f t="shared" si="14"/>
        <v/>
      </c>
      <c r="L38" s="166" t="e">
        <f t="shared" si="15"/>
        <v>#N/A</v>
      </c>
    </row>
    <row r="39" spans="1:12">
      <c r="A39" t="s">
        <v>35</v>
      </c>
      <c r="B39" s="158" t="str">
        <f>Portieri!B39</f>
        <v>PADELLI</v>
      </c>
      <c r="C39" s="158" t="str">
        <f>Portieri!C39</f>
        <v>INT</v>
      </c>
      <c r="D39" s="166">
        <f t="shared" si="8"/>
        <v>1</v>
      </c>
      <c r="E39" s="166">
        <f t="shared" si="9"/>
        <v>1</v>
      </c>
      <c r="F39">
        <f t="shared" si="10"/>
        <v>32</v>
      </c>
      <c r="G39">
        <f>IF(ISNA(VLOOKUP(B39,'IA FG'!$B$2:$D$578,3,FALSE)),0,VLOOKUP(B39,'IA FG'!$B$2:$D$578,3,FALSE))</f>
        <v>20</v>
      </c>
      <c r="H39" s="166" t="str">
        <f t="shared" si="11"/>
        <v/>
      </c>
      <c r="I39" s="166">
        <f t="shared" si="12"/>
        <v>40</v>
      </c>
      <c r="J39" s="166" t="str">
        <f t="shared" si="13"/>
        <v/>
      </c>
      <c r="K39" s="166" t="str">
        <f t="shared" si="14"/>
        <v/>
      </c>
      <c r="L39" s="166" t="e">
        <f t="shared" si="15"/>
        <v>#N/A</v>
      </c>
    </row>
    <row r="40" spans="1:12">
      <c r="A40" t="s">
        <v>35</v>
      </c>
      <c r="B40" s="158" t="str">
        <f>Portieri!B40</f>
        <v>DRAGOWSKI</v>
      </c>
      <c r="C40" s="158" t="str">
        <f>Portieri!C40</f>
        <v>FIO</v>
      </c>
      <c r="D40" s="166">
        <f t="shared" si="8"/>
        <v>1</v>
      </c>
      <c r="E40" s="166">
        <f t="shared" si="9"/>
        <v>1</v>
      </c>
      <c r="F40">
        <f t="shared" si="10"/>
        <v>32</v>
      </c>
      <c r="G40">
        <f>IF(ISNA(VLOOKUP(B40,'IA FG'!$B$2:$D$578,3,FALSE)),0,VLOOKUP(B40,'IA FG'!$B$2:$D$578,3,FALSE))</f>
        <v>20</v>
      </c>
      <c r="H40" s="166" t="str">
        <f t="shared" si="11"/>
        <v/>
      </c>
      <c r="I40" s="166">
        <f t="shared" si="12"/>
        <v>50</v>
      </c>
      <c r="J40" s="166" t="str">
        <f t="shared" si="13"/>
        <v/>
      </c>
      <c r="K40" s="166" t="str">
        <f t="shared" si="14"/>
        <v/>
      </c>
      <c r="L40" s="166" t="e">
        <f t="shared" si="15"/>
        <v>#N/A</v>
      </c>
    </row>
    <row r="41" spans="1:12">
      <c r="A41" t="s">
        <v>35</v>
      </c>
      <c r="B41" s="158" t="str">
        <f>Portieri!B41</f>
        <v>SANTURRO</v>
      </c>
      <c r="C41" s="158" t="str">
        <f>Portieri!C41</f>
        <v>BOL</v>
      </c>
      <c r="D41" s="166">
        <f t="shared" si="8"/>
        <v>1</v>
      </c>
      <c r="E41" s="166">
        <f t="shared" si="9"/>
        <v>1</v>
      </c>
      <c r="F41">
        <f t="shared" si="10"/>
        <v>32</v>
      </c>
      <c r="G41">
        <f>IF(ISNA(VLOOKUP(B41,'IA FG'!$B$2:$D$578,3,FALSE)),0,VLOOKUP(B41,'IA FG'!$B$2:$D$578,3,FALSE))</f>
        <v>5</v>
      </c>
      <c r="H41" s="166" t="str">
        <f t="shared" si="11"/>
        <v/>
      </c>
      <c r="I41" s="166">
        <f t="shared" si="12"/>
        <v>30</v>
      </c>
      <c r="J41" s="166" t="str">
        <f t="shared" si="13"/>
        <v/>
      </c>
      <c r="K41" s="166" t="str">
        <f t="shared" si="14"/>
        <v/>
      </c>
      <c r="L41" s="166" t="e">
        <f t="shared" si="15"/>
        <v>#N/A</v>
      </c>
    </row>
    <row r="42" spans="1:12">
      <c r="A42" t="s">
        <v>35</v>
      </c>
      <c r="B42" s="158" t="str">
        <f>Portieri!B42</f>
        <v>STORARI</v>
      </c>
      <c r="C42" s="158" t="str">
        <f>Portieri!C42</f>
        <v>MIL</v>
      </c>
      <c r="D42" s="166">
        <f t="shared" si="8"/>
        <v>1</v>
      </c>
      <c r="E42" s="166">
        <f t="shared" si="9"/>
        <v>1</v>
      </c>
      <c r="F42">
        <f t="shared" si="10"/>
        <v>29</v>
      </c>
      <c r="G42">
        <f>IF(ISNA(VLOOKUP(B42,'IA FG'!$B$2:$D$578,3,FALSE)),0,VLOOKUP(B42,'IA FG'!$B$2:$D$578,3,FALSE))</f>
        <v>20</v>
      </c>
      <c r="H42" s="166" t="str">
        <f t="shared" si="11"/>
        <v/>
      </c>
      <c r="I42" s="166">
        <f t="shared" si="12"/>
        <v>20</v>
      </c>
      <c r="J42" s="166" t="str">
        <f t="shared" si="13"/>
        <v/>
      </c>
      <c r="K42" s="166" t="str">
        <f t="shared" si="14"/>
        <v/>
      </c>
      <c r="L42" s="166" t="e">
        <f t="shared" si="15"/>
        <v>#N/A</v>
      </c>
    </row>
    <row r="43" spans="1:12">
      <c r="A43" t="s">
        <v>35</v>
      </c>
      <c r="B43" s="158" t="str">
        <f>Portieri!B43</f>
        <v>ROSSI F</v>
      </c>
      <c r="C43" s="158" t="str">
        <f>Portieri!C43</f>
        <v>ATA</v>
      </c>
      <c r="D43" s="166">
        <f t="shared" si="8"/>
        <v>1</v>
      </c>
      <c r="E43" s="166">
        <f t="shared" si="9"/>
        <v>1</v>
      </c>
      <c r="F43">
        <f t="shared" si="10"/>
        <v>30</v>
      </c>
      <c r="G43">
        <f>IF(ISNA(VLOOKUP(B43,'IA FG'!$B$2:$D$578,3,FALSE)),0,VLOOKUP(B43,'IA FG'!$B$2:$D$578,3,FALSE))</f>
        <v>5</v>
      </c>
      <c r="H43" s="166" t="str">
        <f t="shared" si="11"/>
        <v/>
      </c>
      <c r="I43" s="166">
        <f t="shared" si="12"/>
        <v>10</v>
      </c>
      <c r="J43" s="166" t="str">
        <f t="shared" si="13"/>
        <v/>
      </c>
      <c r="K43" s="166" t="str">
        <f t="shared" si="14"/>
        <v/>
      </c>
      <c r="L43" s="166" t="e">
        <f t="shared" si="15"/>
        <v>#N/A</v>
      </c>
    </row>
    <row r="44" spans="1:12">
      <c r="A44" t="s">
        <v>35</v>
      </c>
      <c r="B44" s="158" t="str">
        <f>Portieri!B44</f>
        <v>GUERRIERI</v>
      </c>
      <c r="C44" s="158" t="str">
        <f>Portieri!C44</f>
        <v>LAZ</v>
      </c>
      <c r="D44" s="166">
        <f t="shared" si="8"/>
        <v>1</v>
      </c>
      <c r="E44" s="166">
        <f t="shared" si="9"/>
        <v>1</v>
      </c>
      <c r="F44">
        <f t="shared" si="10"/>
        <v>29</v>
      </c>
      <c r="G44">
        <f>IF(ISNA(VLOOKUP(B44,'IA FG'!$B$2:$D$578,3,FALSE)),0,VLOOKUP(B44,'IA FG'!$B$2:$D$578,3,FALSE))</f>
        <v>5</v>
      </c>
      <c r="H44" s="166" t="str">
        <f t="shared" si="11"/>
        <v/>
      </c>
      <c r="I44" s="166">
        <f t="shared" si="12"/>
        <v>20</v>
      </c>
      <c r="J44" s="166" t="str">
        <f t="shared" si="13"/>
        <v/>
      </c>
      <c r="K44" s="166" t="str">
        <f t="shared" si="14"/>
        <v/>
      </c>
      <c r="L44" s="166" t="e">
        <f t="shared" si="15"/>
        <v>#N/A</v>
      </c>
    </row>
    <row r="45" spans="1:12">
      <c r="A45" t="s">
        <v>35</v>
      </c>
      <c r="B45" s="158" t="str">
        <f>Portieri!B45</f>
        <v>GABRIEL</v>
      </c>
      <c r="C45" s="158" t="str">
        <f>Portieri!C45</f>
        <v>MIL</v>
      </c>
      <c r="D45" s="166">
        <f t="shared" si="8"/>
        <v>1</v>
      </c>
      <c r="E45" s="166">
        <f t="shared" si="9"/>
        <v>1</v>
      </c>
      <c r="F45">
        <f t="shared" si="10"/>
        <v>28</v>
      </c>
      <c r="G45">
        <f>IF(ISNA(VLOOKUP(B45,'IA FG'!$B$2:$D$578,3,FALSE)),0,VLOOKUP(B45,'IA FG'!$B$2:$D$578,3,FALSE))</f>
        <v>15</v>
      </c>
      <c r="H45" s="166" t="str">
        <f t="shared" si="11"/>
        <v/>
      </c>
      <c r="I45" s="166">
        <f t="shared" si="12"/>
        <v>10</v>
      </c>
      <c r="J45" s="166" t="str">
        <f t="shared" si="13"/>
        <v/>
      </c>
      <c r="K45" s="166" t="str">
        <f t="shared" si="14"/>
        <v/>
      </c>
      <c r="L45" s="166" t="e">
        <f t="shared" si="15"/>
        <v>#N/A</v>
      </c>
    </row>
    <row r="46" spans="1:12">
      <c r="A46" t="s">
        <v>35</v>
      </c>
      <c r="B46" s="158" t="str">
        <f>Portieri!B46</f>
        <v>CEROFOLINI</v>
      </c>
      <c r="C46" s="158" t="str">
        <f>Portieri!C46</f>
        <v>FIO</v>
      </c>
      <c r="D46" s="166">
        <f t="shared" si="8"/>
        <v>1</v>
      </c>
      <c r="E46" s="166">
        <f t="shared" si="9"/>
        <v>1</v>
      </c>
      <c r="F46">
        <f t="shared" si="10"/>
        <v>29</v>
      </c>
      <c r="G46">
        <f>IF(ISNA(VLOOKUP(B46,'IA FG'!$B$2:$D$578,3,FALSE)),0,VLOOKUP(B46,'IA FG'!$B$2:$D$578,3,FALSE))</f>
        <v>5</v>
      </c>
      <c r="H46" s="166" t="str">
        <f t="shared" si="11"/>
        <v/>
      </c>
      <c r="I46" s="166">
        <f t="shared" si="12"/>
        <v>10</v>
      </c>
      <c r="J46" s="166" t="str">
        <f t="shared" si="13"/>
        <v/>
      </c>
      <c r="K46" s="166" t="str">
        <f t="shared" si="14"/>
        <v/>
      </c>
      <c r="L46" s="166" t="e">
        <f t="shared" si="15"/>
        <v>#N/A</v>
      </c>
    </row>
    <row r="47" spans="1:12">
      <c r="A47" t="s">
        <v>35</v>
      </c>
      <c r="B47" s="158" t="str">
        <f>Portieri!B47</f>
        <v>KARNEZIS</v>
      </c>
      <c r="C47" s="158" t="str">
        <f>Portieri!C47</f>
        <v>UDI</v>
      </c>
      <c r="D47" s="166">
        <f t="shared" si="8"/>
        <v>1</v>
      </c>
      <c r="E47" s="166">
        <f t="shared" si="9"/>
        <v>1</v>
      </c>
      <c r="F47">
        <f t="shared" si="10"/>
        <v>28</v>
      </c>
      <c r="G47">
        <f>IF(ISNA(VLOOKUP(B47,'IA FG'!$B$2:$D$578,3,FALSE)),0,VLOOKUP(B47,'IA FG'!$B$2:$D$578,3,FALSE))</f>
        <v>15</v>
      </c>
      <c r="H47" s="166" t="str">
        <f t="shared" si="11"/>
        <v/>
      </c>
      <c r="I47" s="166">
        <f t="shared" si="12"/>
        <v>10</v>
      </c>
      <c r="J47" s="166" t="str">
        <f t="shared" si="13"/>
        <v/>
      </c>
      <c r="K47" s="166" t="str">
        <f t="shared" si="14"/>
        <v/>
      </c>
      <c r="L47" s="166" t="e">
        <f t="shared" si="15"/>
        <v>#N/A</v>
      </c>
    </row>
    <row r="48" spans="1:12">
      <c r="A48" t="s">
        <v>35</v>
      </c>
      <c r="B48" s="158" t="str">
        <f>Portieri!B48</f>
        <v>SATALINO</v>
      </c>
      <c r="C48" s="158" t="str">
        <f>Portieri!C48</f>
        <v>SAS</v>
      </c>
      <c r="D48" s="166">
        <f t="shared" si="8"/>
        <v>1</v>
      </c>
      <c r="E48" s="166">
        <f t="shared" si="9"/>
        <v>1.6311012138671579</v>
      </c>
      <c r="F48">
        <f t="shared" si="10"/>
        <v>29</v>
      </c>
      <c r="G48">
        <f>IF(ISNA(VLOOKUP(B48,'IA FG'!$B$2:$D$578,3,FALSE)),0,VLOOKUP(B48,'IA FG'!$B$2:$D$578,3,FALSE))</f>
        <v>5</v>
      </c>
      <c r="H48" s="166" t="str">
        <f t="shared" si="11"/>
        <v/>
      </c>
      <c r="I48" s="166">
        <f t="shared" si="12"/>
        <v>10</v>
      </c>
      <c r="J48" s="166" t="str">
        <f t="shared" si="13"/>
        <v/>
      </c>
      <c r="K48" s="166" t="str">
        <f t="shared" si="14"/>
        <v/>
      </c>
      <c r="L48" s="166" t="e">
        <f t="shared" si="15"/>
        <v>#N/A</v>
      </c>
    </row>
    <row r="49" spans="1:12">
      <c r="A49" t="s">
        <v>35</v>
      </c>
      <c r="B49" s="158" t="str">
        <f>Portieri!B49</f>
        <v>BELEC</v>
      </c>
      <c r="C49" s="158" t="str">
        <f>Portieri!C49</f>
        <v>BEN</v>
      </c>
      <c r="D49" s="166">
        <f t="shared" si="8"/>
        <v>1</v>
      </c>
      <c r="E49" s="166">
        <f t="shared" si="9"/>
        <v>1</v>
      </c>
      <c r="F49">
        <f t="shared" si="10"/>
        <v>37</v>
      </c>
      <c r="G49">
        <f>IF(ISNA(VLOOKUP(B49,'IA FG'!$B$2:$D$578,3,FALSE)),0,VLOOKUP(B49,'IA FG'!$B$2:$D$578,3,FALSE))</f>
        <v>62</v>
      </c>
      <c r="H49" s="166" t="str">
        <f t="shared" si="11"/>
        <v/>
      </c>
      <c r="I49" s="166">
        <f t="shared" si="12"/>
        <v>80</v>
      </c>
      <c r="J49" s="166" t="str">
        <f t="shared" si="13"/>
        <v/>
      </c>
      <c r="K49" s="166" t="str">
        <f t="shared" si="14"/>
        <v/>
      </c>
      <c r="L49" s="166" t="e">
        <f t="shared" si="15"/>
        <v>#N/A</v>
      </c>
    </row>
    <row r="50" spans="1:12">
      <c r="A50" t="s">
        <v>35</v>
      </c>
      <c r="B50" s="158" t="str">
        <f>Portieri!B50</f>
        <v>ZIMA</v>
      </c>
      <c r="C50" s="158" t="str">
        <f>Portieri!C50</f>
        <v>GEN</v>
      </c>
      <c r="D50" s="166">
        <f t="shared" si="8"/>
        <v>1</v>
      </c>
      <c r="E50" s="166">
        <f t="shared" si="9"/>
        <v>1</v>
      </c>
      <c r="F50">
        <f t="shared" si="10"/>
        <v>29</v>
      </c>
      <c r="G50">
        <f>IF(ISNA(VLOOKUP(B50,'IA FG'!$B$2:$D$578,3,FALSE)),0,VLOOKUP(B50,'IA FG'!$B$2:$D$578,3,FALSE))</f>
        <v>5</v>
      </c>
      <c r="H50" s="166" t="str">
        <f t="shared" si="11"/>
        <v/>
      </c>
      <c r="I50" s="166">
        <f t="shared" si="12"/>
        <v>10</v>
      </c>
      <c r="J50" s="166" t="str">
        <f t="shared" si="13"/>
        <v/>
      </c>
      <c r="K50" s="166" t="str">
        <f t="shared" si="14"/>
        <v/>
      </c>
      <c r="L50" s="166" t="e">
        <f t="shared" si="15"/>
        <v>#N/A</v>
      </c>
    </row>
    <row r="51" spans="1:12">
      <c r="A51" t="s">
        <v>35</v>
      </c>
      <c r="B51" s="158" t="str">
        <f>Portieri!B51</f>
        <v>FESTA</v>
      </c>
      <c r="C51" s="158" t="str">
        <f>Portieri!C51</f>
        <v>CRO</v>
      </c>
      <c r="D51" s="166">
        <f t="shared" si="8"/>
        <v>1</v>
      </c>
      <c r="E51" s="166">
        <f t="shared" si="9"/>
        <v>1</v>
      </c>
      <c r="F51">
        <f t="shared" si="10"/>
        <v>29</v>
      </c>
      <c r="G51">
        <f>IF(ISNA(VLOOKUP(B51,'IA FG'!$B$2:$D$578,3,FALSE)),0,VLOOKUP(B51,'IA FG'!$B$2:$D$578,3,FALSE))</f>
        <v>20</v>
      </c>
      <c r="H51" s="166" t="str">
        <f t="shared" si="11"/>
        <v/>
      </c>
      <c r="I51" s="166">
        <f t="shared" si="12"/>
        <v>10</v>
      </c>
      <c r="J51" s="166" t="str">
        <f t="shared" si="13"/>
        <v/>
      </c>
      <c r="K51" s="166" t="str">
        <f t="shared" si="14"/>
        <v/>
      </c>
      <c r="L51" s="166" t="e">
        <f t="shared" si="15"/>
        <v>#N/A</v>
      </c>
    </row>
    <row r="52" spans="1:12">
      <c r="A52" t="s">
        <v>35</v>
      </c>
      <c r="B52" s="158" t="str">
        <f>Portieri!B52</f>
        <v>BERNI</v>
      </c>
      <c r="C52" s="158" t="str">
        <f>Portieri!C52</f>
        <v>INT</v>
      </c>
      <c r="D52" s="166">
        <f t="shared" si="8"/>
        <v>1</v>
      </c>
      <c r="E52" s="166">
        <f t="shared" si="9"/>
        <v>1</v>
      </c>
      <c r="F52">
        <f t="shared" si="10"/>
        <v>28</v>
      </c>
      <c r="G52">
        <f>IF(ISNA(VLOOKUP(B52,'IA FG'!$B$2:$D$578,3,FALSE)),0,VLOOKUP(B52,'IA FG'!$B$2:$D$578,3,FALSE))</f>
        <v>5</v>
      </c>
      <c r="H52" s="166" t="str">
        <f t="shared" si="11"/>
        <v/>
      </c>
      <c r="I52" s="166">
        <f t="shared" si="12"/>
        <v>20</v>
      </c>
      <c r="J52" s="166" t="str">
        <f t="shared" si="13"/>
        <v/>
      </c>
      <c r="K52" s="166" t="str">
        <f t="shared" si="14"/>
        <v/>
      </c>
      <c r="L52" s="166" t="e">
        <f t="shared" si="15"/>
        <v>#N/A</v>
      </c>
    </row>
    <row r="53" spans="1:12">
      <c r="A53" t="s">
        <v>35</v>
      </c>
      <c r="B53" s="158" t="str">
        <f>Portieri!B53</f>
        <v>CONFENTE</v>
      </c>
      <c r="C53" s="158" t="str">
        <f>Portieri!C53</f>
        <v>CHI</v>
      </c>
      <c r="D53" s="166">
        <f t="shared" si="8"/>
        <v>1</v>
      </c>
      <c r="E53" s="166">
        <f t="shared" si="9"/>
        <v>1</v>
      </c>
      <c r="F53">
        <f t="shared" si="10"/>
        <v>26</v>
      </c>
      <c r="G53">
        <f>IF(ISNA(VLOOKUP(B53,'IA FG'!$B$2:$D$578,3,FALSE)),0,VLOOKUP(B53,'IA FG'!$B$2:$D$578,3,FALSE))</f>
        <v>5</v>
      </c>
      <c r="H53" s="166" t="str">
        <f t="shared" si="11"/>
        <v/>
      </c>
      <c r="I53" s="166">
        <f t="shared" si="12"/>
        <v>20</v>
      </c>
      <c r="J53" s="166" t="str">
        <f t="shared" si="13"/>
        <v/>
      </c>
      <c r="K53" s="166" t="str">
        <f t="shared" si="14"/>
        <v/>
      </c>
      <c r="L53" s="166" t="e">
        <f t="shared" si="15"/>
        <v>#N/A</v>
      </c>
    </row>
    <row r="54" spans="1:12">
      <c r="A54" t="s">
        <v>35</v>
      </c>
      <c r="B54" s="158" t="str">
        <f>Portieri!B54</f>
        <v>TOZZO</v>
      </c>
      <c r="C54" s="158" t="str">
        <f>Portieri!C54</f>
        <v>SAM</v>
      </c>
      <c r="D54" s="166">
        <f t="shared" si="8"/>
        <v>1</v>
      </c>
      <c r="E54" s="166">
        <f t="shared" si="9"/>
        <v>1</v>
      </c>
      <c r="F54">
        <f t="shared" si="10"/>
        <v>27</v>
      </c>
      <c r="G54">
        <f>IF(ISNA(VLOOKUP(B54,'IA FG'!$B$2:$D$578,3,FALSE)),0,VLOOKUP(B54,'IA FG'!$B$2:$D$578,3,FALSE))</f>
        <v>5</v>
      </c>
      <c r="H54" s="166" t="str">
        <f t="shared" si="11"/>
        <v/>
      </c>
      <c r="I54" s="166">
        <f t="shared" si="12"/>
        <v>10</v>
      </c>
      <c r="J54" s="166" t="str">
        <f t="shared" si="13"/>
        <v/>
      </c>
      <c r="K54" s="166" t="str">
        <f t="shared" si="14"/>
        <v/>
      </c>
      <c r="L54" s="166" t="e">
        <f t="shared" si="15"/>
        <v>#N/A</v>
      </c>
    </row>
    <row r="55" spans="1:12">
      <c r="A55" t="s">
        <v>35</v>
      </c>
      <c r="B55" s="158" t="str">
        <f>Portieri!B55</f>
        <v>MARCHETTI</v>
      </c>
      <c r="C55" s="158" t="str">
        <f>Portieri!C55</f>
        <v>LAZ</v>
      </c>
      <c r="D55" s="166">
        <f t="shared" si="8"/>
        <v>1</v>
      </c>
      <c r="E55" s="166">
        <f t="shared" si="9"/>
        <v>1</v>
      </c>
      <c r="F55">
        <f t="shared" si="10"/>
        <v>26</v>
      </c>
      <c r="G55">
        <f>IF(ISNA(VLOOKUP(B55,'IA FG'!$B$2:$D$578,3,FALSE)),0,VLOOKUP(B55,'IA FG'!$B$2:$D$578,3,FALSE))</f>
        <v>30</v>
      </c>
      <c r="H55" s="166" t="str">
        <f t="shared" si="11"/>
        <v/>
      </c>
      <c r="I55" s="166">
        <f t="shared" si="12"/>
        <v>20</v>
      </c>
      <c r="J55" s="166" t="str">
        <f t="shared" si="13"/>
        <v/>
      </c>
      <c r="K55" s="166" t="str">
        <f t="shared" si="14"/>
        <v/>
      </c>
      <c r="L55" s="166" t="e">
        <f t="shared" si="15"/>
        <v>#N/A</v>
      </c>
    </row>
    <row r="56" spans="1:12">
      <c r="A56" t="s">
        <v>35</v>
      </c>
      <c r="B56" s="158" t="str">
        <f>Portieri!B56</f>
        <v>BRIGNOLI</v>
      </c>
      <c r="C56" s="158" t="str">
        <f>Portieri!C56</f>
        <v>BEN</v>
      </c>
      <c r="D56" s="166">
        <f t="shared" si="8"/>
        <v>1</v>
      </c>
      <c r="E56" s="166">
        <f t="shared" si="9"/>
        <v>1</v>
      </c>
      <c r="F56">
        <f t="shared" si="10"/>
        <v>34</v>
      </c>
      <c r="G56">
        <f>IF(ISNA(VLOOKUP(B56,'IA FG'!$B$2:$D$578,3,FALSE)),0,VLOOKUP(B56,'IA FG'!$B$2:$D$578,3,FALSE))</f>
        <v>25</v>
      </c>
      <c r="H56" s="166" t="str">
        <f t="shared" si="11"/>
        <v/>
      </c>
      <c r="I56" s="166">
        <f t="shared" si="12"/>
        <v>50</v>
      </c>
      <c r="J56" s="166" t="str">
        <f t="shared" si="13"/>
        <v/>
      </c>
      <c r="K56" s="166" t="str">
        <f t="shared" si="14"/>
        <v/>
      </c>
      <c r="L56" s="166" t="e">
        <f t="shared" si="15"/>
        <v>#N/A</v>
      </c>
    </row>
    <row r="57" spans="1:12">
      <c r="A57" t="s">
        <v>35</v>
      </c>
      <c r="B57" s="158" t="str">
        <f>Portieri!B57</f>
        <v>CROSTA</v>
      </c>
      <c r="C57" s="158" t="str">
        <f>Portieri!C57</f>
        <v>CAG</v>
      </c>
      <c r="D57" s="166">
        <f t="shared" si="8"/>
        <v>1</v>
      </c>
      <c r="E57" s="166">
        <f t="shared" si="9"/>
        <v>1</v>
      </c>
      <c r="F57">
        <f t="shared" si="10"/>
        <v>27</v>
      </c>
      <c r="G57">
        <f>IF(ISNA(VLOOKUP(B57,'IA FG'!$B$2:$D$578,3,FALSE)),0,VLOOKUP(B57,'IA FG'!$B$2:$D$578,3,FALSE))</f>
        <v>5</v>
      </c>
      <c r="H57" s="166" t="str">
        <f t="shared" si="11"/>
        <v/>
      </c>
      <c r="I57" s="166">
        <f t="shared" si="12"/>
        <v>10</v>
      </c>
      <c r="J57" s="166" t="str">
        <f t="shared" si="13"/>
        <v/>
      </c>
      <c r="K57" s="166" t="str">
        <f t="shared" si="14"/>
        <v/>
      </c>
      <c r="L57" s="166" t="e">
        <f t="shared" si="15"/>
        <v>#N/A</v>
      </c>
    </row>
    <row r="58" spans="1:12">
      <c r="A58" t="s">
        <v>35</v>
      </c>
      <c r="B58" s="158" t="str">
        <f>Portieri!B58</f>
        <v>GOMIS A</v>
      </c>
      <c r="C58" s="158" t="str">
        <f>Portieri!C58</f>
        <v>SPA</v>
      </c>
      <c r="D58" s="166">
        <f t="shared" si="8"/>
        <v>1</v>
      </c>
      <c r="E58" s="166">
        <f t="shared" si="9"/>
        <v>1</v>
      </c>
      <c r="F58">
        <f t="shared" si="10"/>
        <v>33</v>
      </c>
      <c r="G58">
        <f>IF(ISNA(VLOOKUP(B58,'IA FG'!$B$2:$D$578,3,FALSE)),0,VLOOKUP(B58,'IA FG'!$B$2:$D$578,3,FALSE))</f>
        <v>40</v>
      </c>
      <c r="H58" s="166" t="str">
        <f t="shared" si="11"/>
        <v/>
      </c>
      <c r="I58" s="166">
        <f t="shared" si="12"/>
        <v>30</v>
      </c>
      <c r="J58" s="166" t="str">
        <f t="shared" si="13"/>
        <v/>
      </c>
      <c r="K58" s="166" t="str">
        <f t="shared" si="14"/>
        <v/>
      </c>
      <c r="L58" s="166" t="e">
        <f t="shared" si="15"/>
        <v>#N/A</v>
      </c>
    </row>
    <row r="59" spans="1:12">
      <c r="A59" t="s">
        <v>35</v>
      </c>
      <c r="B59" s="158" t="str">
        <f>Portieri!B59</f>
        <v>VISCOVO</v>
      </c>
      <c r="C59" s="158" t="str">
        <f>Portieri!C59</f>
        <v>CRO</v>
      </c>
      <c r="D59" s="166">
        <f t="shared" si="8"/>
        <v>1</v>
      </c>
      <c r="E59" s="166">
        <f t="shared" si="9"/>
        <v>1</v>
      </c>
      <c r="F59">
        <f t="shared" si="10"/>
        <v>26</v>
      </c>
      <c r="G59">
        <f>IF(ISNA(VLOOKUP(B59,'IA FG'!$B$2:$D$578,3,FALSE)),0,VLOOKUP(B59,'IA FG'!$B$2:$D$578,3,FALSE))</f>
        <v>5</v>
      </c>
      <c r="H59" s="166" t="str">
        <f t="shared" si="11"/>
        <v/>
      </c>
      <c r="I59" s="166">
        <f t="shared" si="12"/>
        <v>10</v>
      </c>
      <c r="J59" s="166" t="str">
        <f t="shared" si="13"/>
        <v/>
      </c>
      <c r="K59" s="166" t="str">
        <f t="shared" si="14"/>
        <v/>
      </c>
      <c r="L59" s="166" t="e">
        <f t="shared" si="15"/>
        <v>#N/A</v>
      </c>
    </row>
    <row r="60" spans="1:12">
      <c r="A60" t="s">
        <v>35</v>
      </c>
      <c r="B60" s="158" t="str">
        <f>Portieri!B60</f>
        <v>COPPOLA</v>
      </c>
      <c r="C60" s="158" t="str">
        <f>Portieri!C60</f>
        <v>VER</v>
      </c>
      <c r="D60" s="166">
        <f t="shared" si="8"/>
        <v>1</v>
      </c>
      <c r="E60" s="166">
        <f t="shared" si="9"/>
        <v>1</v>
      </c>
      <c r="F60">
        <f t="shared" si="10"/>
        <v>25</v>
      </c>
      <c r="G60">
        <f>IF(ISNA(VLOOKUP(B60,'IA FG'!$B$2:$D$578,3,FALSE)),0,VLOOKUP(B60,'IA FG'!$B$2:$D$578,3,FALSE))</f>
        <v>5</v>
      </c>
      <c r="H60" s="166" t="str">
        <f t="shared" si="11"/>
        <v/>
      </c>
      <c r="I60" s="166">
        <f t="shared" si="12"/>
        <v>10</v>
      </c>
      <c r="J60" s="166" t="str">
        <f t="shared" si="13"/>
        <v/>
      </c>
      <c r="K60" s="166" t="str">
        <f t="shared" si="14"/>
        <v/>
      </c>
      <c r="L60" s="166" t="e">
        <f t="shared" si="15"/>
        <v>#N/A</v>
      </c>
    </row>
    <row r="61" spans="1:12">
      <c r="A61" t="s">
        <v>35</v>
      </c>
      <c r="B61" s="158" t="str">
        <f>Portieri!B61</f>
        <v>LOBONT</v>
      </c>
      <c r="C61" s="158" t="str">
        <f>Portieri!C61</f>
        <v>ROM</v>
      </c>
      <c r="D61" s="166">
        <f t="shared" si="8"/>
        <v>1</v>
      </c>
      <c r="E61" s="166">
        <f t="shared" si="9"/>
        <v>1</v>
      </c>
      <c r="F61">
        <f t="shared" si="10"/>
        <v>22</v>
      </c>
      <c r="G61">
        <f>IF(ISNA(VLOOKUP(B61,'IA FG'!$B$2:$D$578,3,FALSE)),0,VLOOKUP(B61,'IA FG'!$B$2:$D$578,3,FALSE))</f>
        <v>5</v>
      </c>
      <c r="H61" s="166" t="str">
        <f t="shared" si="11"/>
        <v/>
      </c>
      <c r="I61" s="166">
        <f t="shared" si="12"/>
        <v>10</v>
      </c>
      <c r="J61" s="166" t="str">
        <f t="shared" si="13"/>
        <v/>
      </c>
      <c r="K61" s="166" t="str">
        <f t="shared" si="14"/>
        <v/>
      </c>
      <c r="L61" s="166" t="e">
        <f t="shared" si="15"/>
        <v>#N/A</v>
      </c>
    </row>
    <row r="62" spans="1:12">
      <c r="A62" t="s">
        <v>35</v>
      </c>
      <c r="B62" s="158" t="str">
        <f>Portieri!B62</f>
        <v>MARCHEGIANI</v>
      </c>
      <c r="C62" s="158" t="str">
        <f>Portieri!C62</f>
        <v>SPA</v>
      </c>
      <c r="D62" s="166">
        <f t="shared" si="8"/>
        <v>1</v>
      </c>
      <c r="E62" s="166">
        <f t="shared" si="9"/>
        <v>1</v>
      </c>
      <c r="F62">
        <f t="shared" si="10"/>
        <v>30</v>
      </c>
      <c r="G62">
        <f>IF(ISNA(VLOOKUP(B62,'IA FG'!$B$2:$D$578,3,FALSE)),0,VLOOKUP(B62,'IA FG'!$B$2:$D$578,3,FALSE))</f>
        <v>5</v>
      </c>
      <c r="H62" s="166" t="str">
        <f t="shared" si="11"/>
        <v/>
      </c>
      <c r="I62" s="166">
        <f t="shared" si="12"/>
        <v>20</v>
      </c>
      <c r="J62" s="166" t="str">
        <f t="shared" si="13"/>
        <v/>
      </c>
      <c r="K62" s="166" t="str">
        <f t="shared" si="14"/>
        <v/>
      </c>
      <c r="L62" s="166" t="e">
        <f t="shared" si="15"/>
        <v>#N/A</v>
      </c>
    </row>
    <row r="63" spans="1:12">
      <c r="A63" t="s">
        <v>35</v>
      </c>
      <c r="B63" s="158" t="str">
        <f>Portieri!B63</f>
        <v>PISCITELLI</v>
      </c>
      <c r="C63" s="158" t="str">
        <f>Portieri!C63</f>
        <v>BEN</v>
      </c>
      <c r="D63" s="166">
        <f t="shared" si="8"/>
        <v>1</v>
      </c>
      <c r="E63" s="166">
        <f t="shared" si="9"/>
        <v>1</v>
      </c>
      <c r="F63">
        <f t="shared" si="10"/>
        <v>29</v>
      </c>
      <c r="G63">
        <f>IF(ISNA(VLOOKUP(B63,'IA FG'!$B$2:$D$578,3,FALSE)),0,VLOOKUP(B63,'IA FG'!$B$2:$D$578,3,FALSE))</f>
        <v>5</v>
      </c>
      <c r="H63" s="166" t="str">
        <f t="shared" si="11"/>
        <v/>
      </c>
      <c r="I63" s="166">
        <f t="shared" si="12"/>
        <v>20</v>
      </c>
      <c r="J63" s="166" t="str">
        <f t="shared" si="13"/>
        <v/>
      </c>
      <c r="K63" s="166" t="str">
        <f t="shared" si="14"/>
        <v/>
      </c>
      <c r="L63" s="166" t="e">
        <f t="shared" si="15"/>
        <v>#N/A</v>
      </c>
    </row>
    <row r="64" spans="1:12">
      <c r="A64" t="s">
        <v>35</v>
      </c>
      <c r="B64" s="158" t="str">
        <f>Portieri!B64</f>
        <v>MARSON</v>
      </c>
      <c r="C64" s="158" t="str">
        <f>Portieri!C64</f>
        <v>SAS</v>
      </c>
      <c r="D64" s="166">
        <f t="shared" si="8"/>
        <v>0</v>
      </c>
      <c r="E64" s="166">
        <f t="shared" si="9"/>
        <v>0</v>
      </c>
      <c r="F64">
        <f t="shared" si="10"/>
        <v>0</v>
      </c>
      <c r="G64">
        <f>IF(ISNA(VLOOKUP(B64,'IA FG'!$B$2:$D$578,3,FALSE)),0,VLOOKUP(B64,'IA FG'!$B$2:$D$578,3,FALSE))</f>
        <v>5</v>
      </c>
      <c r="H64" s="166" t="str">
        <f t="shared" si="11"/>
        <v/>
      </c>
      <c r="I64" s="166">
        <f t="shared" si="12"/>
        <v>0</v>
      </c>
      <c r="J64" s="166" t="str">
        <f t="shared" si="13"/>
        <v/>
      </c>
      <c r="K64" s="166" t="str">
        <f t="shared" si="14"/>
        <v/>
      </c>
      <c r="L64" s="166" t="e">
        <f t="shared" si="15"/>
        <v>#N/A</v>
      </c>
    </row>
    <row r="65" spans="1:12">
      <c r="A65" t="s">
        <v>35</v>
      </c>
      <c r="B65" s="158" t="str">
        <f>Portieri!B65</f>
        <v>COTTICELLI</v>
      </c>
      <c r="C65" s="158" t="str">
        <f>Portieri!C65</f>
        <v>BEN</v>
      </c>
      <c r="D65" s="166">
        <f t="shared" si="8"/>
        <v>0</v>
      </c>
      <c r="E65" s="166">
        <f t="shared" si="9"/>
        <v>0</v>
      </c>
      <c r="F65">
        <f t="shared" si="10"/>
        <v>0</v>
      </c>
      <c r="G65">
        <f>IF(ISNA(VLOOKUP(B65,'IA FG'!$B$2:$D$578,3,FALSE)),0,VLOOKUP(B65,'IA FG'!$B$2:$D$578,3,FALSE))</f>
        <v>5</v>
      </c>
      <c r="H65" s="166" t="str">
        <f t="shared" si="11"/>
        <v/>
      </c>
      <c r="I65" s="166">
        <f t="shared" si="12"/>
        <v>0</v>
      </c>
      <c r="J65" s="166" t="str">
        <f t="shared" si="13"/>
        <v/>
      </c>
      <c r="K65" s="166" t="str">
        <f t="shared" si="14"/>
        <v/>
      </c>
      <c r="L65" s="166" t="e">
        <f t="shared" si="15"/>
        <v>#N/A</v>
      </c>
    </row>
    <row r="66" spans="1:12">
      <c r="A66" t="s">
        <v>35</v>
      </c>
      <c r="B66" s="158" t="str">
        <f>Portieri!B66</f>
        <v>POLUZZI</v>
      </c>
      <c r="C66" s="158" t="str">
        <f>Portieri!C66</f>
        <v>SPA</v>
      </c>
      <c r="D66" s="166">
        <f t="shared" si="8"/>
        <v>0</v>
      </c>
      <c r="E66" s="166">
        <f t="shared" si="9"/>
        <v>0</v>
      </c>
      <c r="F66">
        <f t="shared" si="10"/>
        <v>0</v>
      </c>
      <c r="G66">
        <f>IF(ISNA(VLOOKUP(B66,'IA FG'!$B$2:$D$578,3,FALSE)),0,VLOOKUP(B66,'IA FG'!$B$2:$D$578,3,FALSE))</f>
        <v>5</v>
      </c>
      <c r="H66" s="166" t="str">
        <f t="shared" si="11"/>
        <v/>
      </c>
      <c r="I66" s="166">
        <f t="shared" si="12"/>
        <v>0</v>
      </c>
      <c r="J66" s="166" t="str">
        <f t="shared" si="13"/>
        <v/>
      </c>
      <c r="K66" s="166" t="str">
        <f t="shared" si="14"/>
        <v/>
      </c>
      <c r="L66" s="166" t="e">
        <f t="shared" si="15"/>
        <v>#N/A</v>
      </c>
    </row>
    <row r="67" spans="1:12">
      <c r="B67" s="158"/>
    </row>
    <row r="68" spans="1:12">
      <c r="B68" s="158"/>
    </row>
    <row r="69" spans="1:12">
      <c r="B69" s="158"/>
    </row>
    <row r="70" spans="1:12">
      <c r="B70" s="158"/>
    </row>
    <row r="71" spans="1:12">
      <c r="B71" s="158"/>
    </row>
    <row r="72" spans="1:12">
      <c r="B72" s="158"/>
    </row>
    <row r="74" spans="1:12">
      <c r="A74" t="s">
        <v>37</v>
      </c>
      <c r="B74" s="158" t="str">
        <f>Difensori!B2</f>
        <v>ALEX SANDRO</v>
      </c>
      <c r="C74" s="158" t="str">
        <f>Difensori!C2</f>
        <v>JUV</v>
      </c>
      <c r="D74" s="166">
        <f t="shared" ref="D74:D105" si="16">IF(ISNA(VLOOKUP($B74,TabAlgDif,11,FALSE)),0,VLOOKUP($B74,TabAlgDif,11,FALSE))</f>
        <v>29.831945270672232</v>
      </c>
      <c r="E74" s="166">
        <f t="shared" ref="E74:E105" si="17">IF(ISNA(VLOOKUP($B74,TabAlgDif,14,FALSE)),0,VLOOKUP($B74,TabAlgDif,14,FALSE))</f>
        <v>31.377140485424725</v>
      </c>
      <c r="F74">
        <f t="shared" ref="F74:F105" si="18">IF(ISNA(VLOOKUP($B74,TabAlgDif,15,FALSE)),0,VLOOKUP($B74,TabAlgDif,15,FALSE))</f>
        <v>51</v>
      </c>
      <c r="G74">
        <f>IF(ISNA(VLOOKUP(B74,'IA FG'!$B$2:$D$578,3,FALSE)),0,VLOOKUP(B74,'IA FG'!$B$2:$D$578,3,FALSE))</f>
        <v>94</v>
      </c>
      <c r="H74" s="166">
        <f t="shared" ref="H74:H105" si="19">IF(ISNA(VLOOKUP($B74,TabAlgDif,16,FALSE)),"",VLOOKUP($B74,TabAlgDif,16,FALSE))</f>
        <v>1</v>
      </c>
      <c r="I74" s="166">
        <f t="shared" ref="I74:I105" si="20">IF(ISNA(VLOOKUP($B74,TabAlgDif,4,FALSE)),0,VLOOKUP($B74,TabAlgDif,4,FALSE))*10</f>
        <v>90</v>
      </c>
      <c r="J74" s="166" t="str">
        <f t="shared" ref="J74:J105" si="21">IF(ISNA(VLOOKUP($B74,TabAlgDif,17,FALSE)),"",VLOOKUP($B74,TabAlgDif,17,FALSE))</f>
        <v/>
      </c>
      <c r="K74" s="166" t="str">
        <f t="shared" ref="K74:K105" si="22">IF(ISNA(VLOOKUP($B74,TabAlgDif,18,FALSE)),"",VLOOKUP($B74,TabAlgDif,18,FALSE))</f>
        <v/>
      </c>
      <c r="L74" s="166" t="e">
        <f t="shared" ref="L74:L105" si="23">VLOOKUP($B74,TabAlgDif,19,FALSE)</f>
        <v>#N/A</v>
      </c>
    </row>
    <row r="75" spans="1:12">
      <c r="A75" t="s">
        <v>37</v>
      </c>
      <c r="B75" s="158" t="str">
        <f>Difensori!B3</f>
        <v>KOULIBALY</v>
      </c>
      <c r="C75" s="158" t="str">
        <f>Difensori!C3</f>
        <v>NAP</v>
      </c>
      <c r="D75" s="166">
        <f t="shared" si="16"/>
        <v>25</v>
      </c>
      <c r="E75" s="166">
        <f t="shared" si="17"/>
        <v>26.487880536719096</v>
      </c>
      <c r="F75">
        <f t="shared" si="18"/>
        <v>51</v>
      </c>
      <c r="G75">
        <f>IF(ISNA(VLOOKUP(B75,'IA FG'!$B$2:$D$578,3,FALSE)),0,VLOOKUP(B75,'IA FG'!$B$2:$D$578,3,FALSE))</f>
        <v>91</v>
      </c>
      <c r="H75" s="166">
        <f t="shared" si="19"/>
        <v>1</v>
      </c>
      <c r="I75" s="166">
        <f t="shared" si="20"/>
        <v>90</v>
      </c>
      <c r="J75" s="166" t="str">
        <f t="shared" si="21"/>
        <v/>
      </c>
      <c r="K75" s="166" t="str">
        <f t="shared" si="22"/>
        <v/>
      </c>
      <c r="L75" s="166" t="e">
        <f t="shared" si="23"/>
        <v>#N/A</v>
      </c>
    </row>
    <row r="76" spans="1:12">
      <c r="A76" t="s">
        <v>37</v>
      </c>
      <c r="B76" s="158" t="str">
        <f>Difensori!B4</f>
        <v>BONUCCI</v>
      </c>
      <c r="C76" s="158" t="str">
        <f>Difensori!C4</f>
        <v>MIL</v>
      </c>
      <c r="D76" s="166">
        <f t="shared" si="16"/>
        <v>23.362829664882014</v>
      </c>
      <c r="E76" s="166">
        <f t="shared" si="17"/>
        <v>24.141567475257034</v>
      </c>
      <c r="F76">
        <f t="shared" si="18"/>
        <v>50</v>
      </c>
      <c r="G76">
        <f>IF(ISNA(VLOOKUP(B76,'IA FG'!$B$2:$D$578,3,FALSE)),0,VLOOKUP(B76,'IA FG'!$B$2:$D$578,3,FALSE))</f>
        <v>95</v>
      </c>
      <c r="H76" s="166" t="str">
        <f t="shared" si="19"/>
        <v/>
      </c>
      <c r="I76" s="166">
        <f t="shared" si="20"/>
        <v>90</v>
      </c>
      <c r="J76" s="166" t="str">
        <f t="shared" si="21"/>
        <v/>
      </c>
      <c r="K76" s="166" t="str">
        <f t="shared" si="22"/>
        <v/>
      </c>
      <c r="L76" s="166" t="e">
        <f t="shared" si="23"/>
        <v>#N/A</v>
      </c>
    </row>
    <row r="77" spans="1:12">
      <c r="A77" t="s">
        <v>37</v>
      </c>
      <c r="B77" s="158" t="str">
        <f>Difensori!B5</f>
        <v>ACERBI</v>
      </c>
      <c r="C77" s="158" t="str">
        <f>Difensori!C5</f>
        <v>SAS</v>
      </c>
      <c r="D77" s="166">
        <f t="shared" si="16"/>
        <v>22.184587547094985</v>
      </c>
      <c r="E77" s="166">
        <f t="shared" si="17"/>
        <v>22.949349502230863</v>
      </c>
      <c r="F77">
        <f t="shared" si="18"/>
        <v>51</v>
      </c>
      <c r="G77">
        <f>IF(ISNA(VLOOKUP(B77,'IA FG'!$B$2:$D$578,3,FALSE)),0,VLOOKUP(B77,'IA FG'!$B$2:$D$578,3,FALSE))</f>
        <v>93</v>
      </c>
      <c r="H77" s="166">
        <f t="shared" si="19"/>
        <v>1</v>
      </c>
      <c r="I77" s="166">
        <f t="shared" si="20"/>
        <v>90</v>
      </c>
      <c r="J77" s="166" t="str">
        <f t="shared" si="21"/>
        <v/>
      </c>
      <c r="K77" s="166" t="str">
        <f t="shared" si="22"/>
        <v/>
      </c>
      <c r="L77" s="166" t="e">
        <f t="shared" si="23"/>
        <v>#N/A</v>
      </c>
    </row>
    <row r="78" spans="1:12">
      <c r="A78" t="s">
        <v>37</v>
      </c>
      <c r="B78" s="158" t="str">
        <f>Difensori!B6</f>
        <v>GHOULAM</v>
      </c>
      <c r="C78" s="158" t="str">
        <f>Difensori!C6</f>
        <v>NAP</v>
      </c>
      <c r="D78" s="166">
        <f t="shared" si="16"/>
        <v>19.9393961927424</v>
      </c>
      <c r="E78" s="166">
        <f t="shared" si="17"/>
        <v>20.677526550790628</v>
      </c>
      <c r="F78">
        <f t="shared" si="18"/>
        <v>48</v>
      </c>
      <c r="G78">
        <f>IF(ISNA(VLOOKUP(B78,'IA FG'!$B$2:$D$578,3,FALSE)),0,VLOOKUP(B78,'IA FG'!$B$2:$D$578,3,FALSE))</f>
        <v>88</v>
      </c>
      <c r="H78" s="166" t="str">
        <f t="shared" si="19"/>
        <v/>
      </c>
      <c r="I78" s="166">
        <f t="shared" si="20"/>
        <v>80</v>
      </c>
      <c r="J78" s="166" t="str">
        <f t="shared" si="21"/>
        <v/>
      </c>
      <c r="K78" s="166" t="str">
        <f t="shared" si="22"/>
        <v/>
      </c>
      <c r="L78" s="166" t="e">
        <f t="shared" si="23"/>
        <v>#N/A</v>
      </c>
    </row>
    <row r="79" spans="1:12">
      <c r="A79" t="s">
        <v>37</v>
      </c>
      <c r="B79" s="158" t="str">
        <f>Difensori!B7</f>
        <v>CONTI</v>
      </c>
      <c r="C79" s="158" t="str">
        <f>Difensori!C7</f>
        <v>MIL</v>
      </c>
      <c r="D79" s="166">
        <f t="shared" si="16"/>
        <v>18.30222585762445</v>
      </c>
      <c r="E79" s="166">
        <f t="shared" si="17"/>
        <v>18.331213489328601</v>
      </c>
      <c r="F79">
        <f t="shared" si="18"/>
        <v>47</v>
      </c>
      <c r="G79">
        <f>IF(ISNA(VLOOKUP(B79,'IA FG'!$B$2:$D$578,3,FALSE)),0,VLOOKUP(B79,'IA FG'!$B$2:$D$578,3,FALSE))</f>
        <v>94</v>
      </c>
      <c r="H79" s="166" t="str">
        <f t="shared" si="19"/>
        <v/>
      </c>
      <c r="I79" s="166">
        <f t="shared" si="20"/>
        <v>80</v>
      </c>
      <c r="J79" s="166" t="str">
        <f t="shared" si="21"/>
        <v/>
      </c>
      <c r="K79" s="166" t="str">
        <f t="shared" si="22"/>
        <v/>
      </c>
      <c r="L79" s="166" t="e">
        <f t="shared" si="23"/>
        <v>#N/A</v>
      </c>
    </row>
    <row r="80" spans="1:12">
      <c r="A80" t="s">
        <v>37</v>
      </c>
      <c r="B80" s="158" t="str">
        <f>Difensori!B8</f>
        <v>RODRIGUEZ R</v>
      </c>
      <c r="C80" s="158" t="str">
        <f>Difensori!C8</f>
        <v>MIL</v>
      </c>
      <c r="D80" s="166">
        <f t="shared" si="16"/>
        <v>18.234578348848061</v>
      </c>
      <c r="E80" s="166">
        <f t="shared" si="17"/>
        <v>18.331213489328601</v>
      </c>
      <c r="F80">
        <f t="shared" si="18"/>
        <v>47</v>
      </c>
      <c r="G80">
        <f>IF(ISNA(VLOOKUP(B80,'IA FG'!$B$2:$D$578,3,FALSE)),0,VLOOKUP(B80,'IA FG'!$B$2:$D$578,3,FALSE))</f>
        <v>86</v>
      </c>
      <c r="H80" s="166">
        <f t="shared" si="19"/>
        <v>1</v>
      </c>
      <c r="I80" s="166">
        <f t="shared" si="20"/>
        <v>80</v>
      </c>
      <c r="J80" s="166" t="str">
        <f t="shared" si="21"/>
        <v/>
      </c>
      <c r="K80" s="166">
        <f t="shared" si="22"/>
        <v>4</v>
      </c>
      <c r="L80" s="166" t="e">
        <f t="shared" si="23"/>
        <v>#N/A</v>
      </c>
    </row>
    <row r="81" spans="1:12">
      <c r="A81" t="s">
        <v>37</v>
      </c>
      <c r="B81" s="158" t="str">
        <f>Difensori!B9</f>
        <v>CHIELLINI</v>
      </c>
      <c r="C81" s="158" t="str">
        <f>Difensori!C9</f>
        <v>JUV</v>
      </c>
      <c r="D81" s="166">
        <f t="shared" si="16"/>
        <v>18.097875344887157</v>
      </c>
      <c r="E81" s="166">
        <f t="shared" si="17"/>
        <v>18.883995315887908</v>
      </c>
      <c r="F81">
        <f t="shared" si="18"/>
        <v>44</v>
      </c>
      <c r="G81">
        <f>IF(ISNA(VLOOKUP(B81,'IA FG'!$B$2:$D$578,3,FALSE)),0,VLOOKUP(B81,'IA FG'!$B$2:$D$578,3,FALSE))</f>
        <v>84</v>
      </c>
      <c r="H81" s="166" t="str">
        <f t="shared" si="19"/>
        <v/>
      </c>
      <c r="I81" s="166">
        <f t="shared" si="20"/>
        <v>90</v>
      </c>
      <c r="J81" s="166" t="str">
        <f t="shared" si="21"/>
        <v/>
      </c>
      <c r="K81" s="166" t="str">
        <f t="shared" si="22"/>
        <v/>
      </c>
      <c r="L81" s="166" t="e">
        <f t="shared" si="23"/>
        <v>#N/A</v>
      </c>
    </row>
    <row r="82" spans="1:12">
      <c r="A82" t="s">
        <v>37</v>
      </c>
      <c r="B82" s="158" t="str">
        <f>Difensori!B10</f>
        <v>BENATIA</v>
      </c>
      <c r="C82" s="158" t="str">
        <f>Difensori!C10</f>
        <v>JUV</v>
      </c>
      <c r="D82" s="166">
        <f t="shared" si="16"/>
        <v>16.504065040650424</v>
      </c>
      <c r="E82" s="166">
        <f t="shared" si="17"/>
        <v>17.201446820664174</v>
      </c>
      <c r="F82">
        <f t="shared" si="18"/>
        <v>43</v>
      </c>
      <c r="G82">
        <f>IF(ISNA(VLOOKUP(B82,'IA FG'!$B$2:$D$578,3,FALSE)),0,VLOOKUP(B82,'IA FG'!$B$2:$D$578,3,FALSE))</f>
        <v>82</v>
      </c>
      <c r="H82" s="166" t="str">
        <f t="shared" si="19"/>
        <v/>
      </c>
      <c r="I82" s="166">
        <f t="shared" si="20"/>
        <v>70</v>
      </c>
      <c r="J82" s="166" t="str">
        <f t="shared" si="21"/>
        <v/>
      </c>
      <c r="K82" s="166" t="str">
        <f t="shared" si="22"/>
        <v/>
      </c>
      <c r="L82" s="166" t="e">
        <f t="shared" si="23"/>
        <v>#N/A</v>
      </c>
    </row>
    <row r="83" spans="1:12">
      <c r="A83" t="s">
        <v>37</v>
      </c>
      <c r="B83" s="158" t="str">
        <f>Difensori!B11</f>
        <v>RUGANI</v>
      </c>
      <c r="C83" s="158" t="str">
        <f>Difensori!C11</f>
        <v>JUV</v>
      </c>
      <c r="D83" s="166">
        <f t="shared" si="16"/>
        <v>16.498859805671227</v>
      </c>
      <c r="E83" s="166">
        <f t="shared" si="17"/>
        <v>17.196179843187871</v>
      </c>
      <c r="F83">
        <f t="shared" si="18"/>
        <v>43</v>
      </c>
      <c r="G83">
        <f>IF(ISNA(VLOOKUP(B83,'IA FG'!$B$2:$D$578,3,FALSE)),0,VLOOKUP(B83,'IA FG'!$B$2:$D$578,3,FALSE))</f>
        <v>84</v>
      </c>
      <c r="H83" s="166" t="str">
        <f t="shared" si="19"/>
        <v/>
      </c>
      <c r="I83" s="166">
        <f t="shared" si="20"/>
        <v>60</v>
      </c>
      <c r="J83" s="166" t="str">
        <f t="shared" si="21"/>
        <v/>
      </c>
      <c r="K83" s="166" t="str">
        <f t="shared" si="22"/>
        <v/>
      </c>
      <c r="L83" s="166" t="e">
        <f t="shared" si="23"/>
        <v>#N/A</v>
      </c>
    </row>
    <row r="84" spans="1:12">
      <c r="A84" t="s">
        <v>37</v>
      </c>
      <c r="B84" s="158" t="str">
        <f>Difensori!B12</f>
        <v>CALDARA</v>
      </c>
      <c r="C84" s="158" t="str">
        <f>Difensori!C12</f>
        <v>ATA</v>
      </c>
      <c r="D84" s="166">
        <f t="shared" si="16"/>
        <v>15.950203252032535</v>
      </c>
      <c r="E84" s="166">
        <f t="shared" si="17"/>
        <v>15.951292095398784</v>
      </c>
      <c r="F84">
        <f t="shared" si="18"/>
        <v>47</v>
      </c>
      <c r="G84">
        <f>IF(ISNA(VLOOKUP(B84,'IA FG'!$B$2:$D$578,3,FALSE)),0,VLOOKUP(B84,'IA FG'!$B$2:$D$578,3,FALSE))</f>
        <v>93</v>
      </c>
      <c r="H84" s="166">
        <f t="shared" si="19"/>
        <v>1</v>
      </c>
      <c r="I84" s="166">
        <f t="shared" si="20"/>
        <v>90</v>
      </c>
      <c r="J84" s="166" t="str">
        <f t="shared" si="21"/>
        <v/>
      </c>
      <c r="K84" s="166" t="str">
        <f t="shared" si="22"/>
        <v/>
      </c>
      <c r="L84" s="166" t="e">
        <f t="shared" si="23"/>
        <v>#N/A</v>
      </c>
    </row>
    <row r="85" spans="1:12">
      <c r="A85" t="s">
        <v>37</v>
      </c>
      <c r="B85" s="158" t="str">
        <f>Difensori!B13</f>
        <v>ALBIOL</v>
      </c>
      <c r="C85" s="158" t="str">
        <f>Difensori!C13</f>
        <v>NAP</v>
      </c>
      <c r="D85" s="166">
        <f t="shared" si="16"/>
        <v>14.990510908699409</v>
      </c>
      <c r="E85" s="166">
        <f t="shared" si="17"/>
        <v>15.771211627399872</v>
      </c>
      <c r="F85">
        <f t="shared" si="18"/>
        <v>45</v>
      </c>
      <c r="G85">
        <f>IF(ISNA(VLOOKUP(B85,'IA FG'!$B$2:$D$578,3,FALSE)),0,VLOOKUP(B85,'IA FG'!$B$2:$D$578,3,FALSE))</f>
        <v>88</v>
      </c>
      <c r="H85" s="166" t="str">
        <f t="shared" si="19"/>
        <v/>
      </c>
      <c r="I85" s="166">
        <f t="shared" si="20"/>
        <v>90</v>
      </c>
      <c r="J85" s="166" t="str">
        <f t="shared" si="21"/>
        <v/>
      </c>
      <c r="K85" s="166" t="str">
        <f t="shared" si="22"/>
        <v/>
      </c>
      <c r="L85" s="166" t="e">
        <f t="shared" si="23"/>
        <v>#N/A</v>
      </c>
    </row>
    <row r="86" spans="1:12">
      <c r="A86" t="s">
        <v>37</v>
      </c>
      <c r="B86" s="158" t="str">
        <f>Difensori!B14</f>
        <v>BARZAGLI</v>
      </c>
      <c r="C86" s="158" t="str">
        <f>Difensori!C14</f>
        <v>JUV</v>
      </c>
      <c r="D86" s="166">
        <f t="shared" si="16"/>
        <v>13.400505651397992</v>
      </c>
      <c r="E86" s="166">
        <f t="shared" si="17"/>
        <v>14.061074202538414</v>
      </c>
      <c r="F86">
        <f t="shared" si="18"/>
        <v>41</v>
      </c>
      <c r="G86">
        <f>IF(ISNA(VLOOKUP(B86,'IA FG'!$B$2:$D$578,3,FALSE)),0,VLOOKUP(B86,'IA FG'!$B$2:$D$578,3,FALSE))</f>
        <v>74</v>
      </c>
      <c r="H86" s="166" t="str">
        <f t="shared" si="19"/>
        <v/>
      </c>
      <c r="I86" s="166">
        <f t="shared" si="20"/>
        <v>60</v>
      </c>
      <c r="J86" s="166" t="str">
        <f t="shared" si="21"/>
        <v/>
      </c>
      <c r="K86" s="166" t="str">
        <f t="shared" si="22"/>
        <v/>
      </c>
      <c r="L86" s="166" t="e">
        <f t="shared" si="23"/>
        <v>#N/A</v>
      </c>
    </row>
    <row r="87" spans="1:12">
      <c r="A87" t="s">
        <v>37</v>
      </c>
      <c r="B87" s="158" t="str">
        <f>Difensori!B15</f>
        <v>HOWEDES</v>
      </c>
      <c r="C87" s="158" t="str">
        <f>Difensori!C15</f>
        <v>JUV</v>
      </c>
      <c r="D87" s="166">
        <f t="shared" si="16"/>
        <v>13.209523101328589</v>
      </c>
      <c r="E87" s="166">
        <f t="shared" si="17"/>
        <v>13.178103049905907</v>
      </c>
      <c r="F87">
        <f t="shared" si="18"/>
        <v>41</v>
      </c>
      <c r="G87">
        <f>IF(ISNA(VLOOKUP(B87,'IA FG'!$B$2:$D$578,3,FALSE)),0,VLOOKUP(B87,'IA FG'!$B$2:$D$578,3,FALSE))</f>
        <v>87</v>
      </c>
      <c r="H87" s="166" t="str">
        <f t="shared" si="19"/>
        <v/>
      </c>
      <c r="I87" s="166">
        <f t="shared" si="20"/>
        <v>80</v>
      </c>
      <c r="J87" s="166" t="str">
        <f t="shared" si="21"/>
        <v/>
      </c>
      <c r="K87" s="166" t="str">
        <f t="shared" si="22"/>
        <v/>
      </c>
      <c r="L87" s="166" t="e">
        <f t="shared" si="23"/>
        <v>#N/A</v>
      </c>
    </row>
    <row r="88" spans="1:12">
      <c r="A88" t="s">
        <v>37</v>
      </c>
      <c r="B88" s="158" t="str">
        <f>Difensori!B16</f>
        <v>FLORENZI</v>
      </c>
      <c r="C88" s="158" t="str">
        <f>Difensori!C16</f>
        <v>ROM</v>
      </c>
      <c r="D88" s="166">
        <f t="shared" si="16"/>
        <v>12.740419522991655</v>
      </c>
      <c r="E88" s="166">
        <f t="shared" si="17"/>
        <v>12.827472835055669</v>
      </c>
      <c r="F88">
        <f t="shared" si="18"/>
        <v>44</v>
      </c>
      <c r="G88">
        <f>IF(ISNA(VLOOKUP(B88,'IA FG'!$B$2:$D$578,3,FALSE)),0,VLOOKUP(B88,'IA FG'!$B$2:$D$578,3,FALSE))</f>
        <v>83</v>
      </c>
      <c r="H88" s="166">
        <f t="shared" si="19"/>
        <v>1</v>
      </c>
      <c r="I88" s="166">
        <f t="shared" si="20"/>
        <v>60</v>
      </c>
      <c r="J88" s="166" t="str">
        <f t="shared" si="21"/>
        <v/>
      </c>
      <c r="K88" s="166" t="str">
        <f t="shared" si="22"/>
        <v/>
      </c>
      <c r="L88" s="166" t="e">
        <f t="shared" si="23"/>
        <v>#N/A</v>
      </c>
    </row>
    <row r="89" spans="1:12">
      <c r="A89" t="s">
        <v>37</v>
      </c>
      <c r="B89" s="158" t="str">
        <f>Difensori!B17</f>
        <v>DE VRIJ</v>
      </c>
      <c r="C89" s="158" t="str">
        <f>Difensori!C17</f>
        <v>LAZ</v>
      </c>
      <c r="D89" s="166">
        <f t="shared" si="16"/>
        <v>12.252069322944578</v>
      </c>
      <c r="E89" s="166">
        <f t="shared" si="17"/>
        <v>12.338270950888726</v>
      </c>
      <c r="F89">
        <f t="shared" si="18"/>
        <v>44</v>
      </c>
      <c r="G89">
        <f>IF(ISNA(VLOOKUP(B89,'IA FG'!$B$2:$D$578,3,FALSE)),0,VLOOKUP(B89,'IA FG'!$B$2:$D$578,3,FALSE))</f>
        <v>90</v>
      </c>
      <c r="H89" s="166">
        <f t="shared" si="19"/>
        <v>1</v>
      </c>
      <c r="I89" s="166">
        <f t="shared" si="20"/>
        <v>90</v>
      </c>
      <c r="J89" s="166" t="str">
        <f t="shared" si="21"/>
        <v/>
      </c>
      <c r="K89" s="166" t="str">
        <f t="shared" si="22"/>
        <v/>
      </c>
      <c r="L89" s="166" t="e">
        <f t="shared" si="23"/>
        <v>#N/A</v>
      </c>
    </row>
    <row r="90" spans="1:12">
      <c r="A90" t="s">
        <v>37</v>
      </c>
      <c r="B90" s="158" t="str">
        <f>Difensori!B18</f>
        <v>ROMAGNOLI A</v>
      </c>
      <c r="C90" s="158" t="str">
        <f>Difensori!C18</f>
        <v>MIL</v>
      </c>
      <c r="D90" s="166">
        <f t="shared" si="16"/>
        <v>11.795806067816761</v>
      </c>
      <c r="E90" s="166">
        <f t="shared" si="17"/>
        <v>11.747617048190344</v>
      </c>
      <c r="F90">
        <f t="shared" si="18"/>
        <v>43</v>
      </c>
      <c r="G90">
        <f>IF(ISNA(VLOOKUP(B90,'IA FG'!$B$2:$D$578,3,FALSE)),0,VLOOKUP(B90,'IA FG'!$B$2:$D$578,3,FALSE))</f>
        <v>79</v>
      </c>
      <c r="H90" s="166">
        <f t="shared" si="19"/>
        <v>0</v>
      </c>
      <c r="I90" s="166">
        <f t="shared" si="20"/>
        <v>80</v>
      </c>
      <c r="J90" s="166" t="str">
        <f t="shared" si="21"/>
        <v/>
      </c>
      <c r="K90" s="166" t="str">
        <f t="shared" si="22"/>
        <v/>
      </c>
      <c r="L90" s="166" t="e">
        <f t="shared" si="23"/>
        <v>#N/A</v>
      </c>
    </row>
    <row r="91" spans="1:12">
      <c r="A91" t="s">
        <v>37</v>
      </c>
      <c r="B91" s="158" t="str">
        <f>Difensori!B19</f>
        <v>HYSAJ</v>
      </c>
      <c r="C91" s="158" t="str">
        <f>Difensori!C19</f>
        <v>NAP</v>
      </c>
      <c r="D91" s="166">
        <f t="shared" si="16"/>
        <v>11.657436292894943</v>
      </c>
      <c r="E91" s="166">
        <f t="shared" si="17"/>
        <v>11.74260087916532</v>
      </c>
      <c r="F91">
        <f t="shared" si="18"/>
        <v>43</v>
      </c>
      <c r="G91">
        <f>IF(ISNA(VLOOKUP(B91,'IA FG'!$B$2:$D$578,3,FALSE)),0,VLOOKUP(B91,'IA FG'!$B$2:$D$578,3,FALSE))</f>
        <v>79</v>
      </c>
      <c r="H91" s="166">
        <f t="shared" si="19"/>
        <v>-1</v>
      </c>
      <c r="I91" s="166">
        <f t="shared" si="20"/>
        <v>90</v>
      </c>
      <c r="J91" s="166" t="str">
        <f t="shared" si="21"/>
        <v/>
      </c>
      <c r="K91" s="166" t="str">
        <f t="shared" si="22"/>
        <v/>
      </c>
      <c r="L91" s="166" t="e">
        <f t="shared" si="23"/>
        <v>#N/A</v>
      </c>
    </row>
    <row r="92" spans="1:12">
      <c r="A92" t="s">
        <v>37</v>
      </c>
      <c r="B92" s="158" t="str">
        <f>Difensori!B20</f>
        <v>MANOLAS</v>
      </c>
      <c r="C92" s="158" t="str">
        <f>Difensori!C20</f>
        <v>ROM</v>
      </c>
      <c r="D92" s="166">
        <f t="shared" si="16"/>
        <v>11.427473725956789</v>
      </c>
      <c r="E92" s="166">
        <f t="shared" si="17"/>
        <v>11.374915689629971</v>
      </c>
      <c r="F92">
        <f t="shared" si="18"/>
        <v>43</v>
      </c>
      <c r="G92">
        <f>IF(ISNA(VLOOKUP(B92,'IA FG'!$B$2:$D$578,3,FALSE)),0,VLOOKUP(B92,'IA FG'!$B$2:$D$578,3,FALSE))</f>
        <v>89</v>
      </c>
      <c r="H92" s="166" t="str">
        <f t="shared" si="19"/>
        <v/>
      </c>
      <c r="I92" s="166">
        <f t="shared" si="20"/>
        <v>80</v>
      </c>
      <c r="J92" s="166" t="str">
        <f t="shared" si="21"/>
        <v/>
      </c>
      <c r="K92" s="166" t="str">
        <f t="shared" si="22"/>
        <v/>
      </c>
      <c r="L92" s="166" t="e">
        <f t="shared" si="23"/>
        <v>#N/A</v>
      </c>
    </row>
    <row r="93" spans="1:12">
      <c r="A93" t="s">
        <v>37</v>
      </c>
      <c r="B93" s="158" t="str">
        <f>Difensori!B21</f>
        <v>KOLAROV</v>
      </c>
      <c r="C93" s="158" t="str">
        <f>Difensori!C21</f>
        <v>ROM</v>
      </c>
      <c r="D93" s="166">
        <f t="shared" si="16"/>
        <v>11.319031330557216</v>
      </c>
      <c r="E93" s="166">
        <f t="shared" si="17"/>
        <v>11.265186992207232</v>
      </c>
      <c r="F93">
        <f t="shared" si="18"/>
        <v>43</v>
      </c>
      <c r="G93">
        <f>IF(ISNA(VLOOKUP(B93,'IA FG'!$B$2:$D$578,3,FALSE)),0,VLOOKUP(B93,'IA FG'!$B$2:$D$578,3,FALSE))</f>
        <v>87</v>
      </c>
      <c r="H93" s="166">
        <f t="shared" si="19"/>
        <v>1</v>
      </c>
      <c r="I93" s="166">
        <f t="shared" si="20"/>
        <v>70</v>
      </c>
      <c r="J93" s="166" t="str">
        <f t="shared" si="21"/>
        <v/>
      </c>
      <c r="K93" s="166">
        <f t="shared" si="22"/>
        <v>1</v>
      </c>
      <c r="L93" s="166">
        <f t="shared" si="23"/>
        <v>2</v>
      </c>
    </row>
    <row r="94" spans="1:12">
      <c r="A94" t="s">
        <v>37</v>
      </c>
      <c r="B94" s="158" t="str">
        <f>Difensori!B22</f>
        <v>MASIELLO A</v>
      </c>
      <c r="C94" s="158" t="str">
        <f>Difensori!C22</f>
        <v>ATA</v>
      </c>
      <c r="D94" s="166">
        <f t="shared" si="16"/>
        <v>9.5418153876660803</v>
      </c>
      <c r="E94" s="166">
        <f t="shared" si="17"/>
        <v>9.4668903967307081</v>
      </c>
      <c r="F94">
        <f t="shared" si="18"/>
        <v>43</v>
      </c>
      <c r="G94">
        <f>IF(ISNA(VLOOKUP(B94,'IA FG'!$B$2:$D$578,3,FALSE)),0,VLOOKUP(B94,'IA FG'!$B$2:$D$578,3,FALSE))</f>
        <v>76</v>
      </c>
      <c r="H94" s="166" t="str">
        <f t="shared" si="19"/>
        <v/>
      </c>
      <c r="I94" s="166">
        <f t="shared" si="20"/>
        <v>80</v>
      </c>
      <c r="J94" s="166" t="str">
        <f t="shared" si="21"/>
        <v/>
      </c>
      <c r="K94" s="166" t="str">
        <f t="shared" si="22"/>
        <v/>
      </c>
      <c r="L94" s="166" t="e">
        <f t="shared" si="23"/>
        <v>#N/A</v>
      </c>
    </row>
    <row r="95" spans="1:12">
      <c r="A95" t="s">
        <v>37</v>
      </c>
      <c r="B95" s="158" t="str">
        <f>Difensori!B23</f>
        <v>MIRANDA</v>
      </c>
      <c r="C95" s="158" t="str">
        <f>Difensori!C23</f>
        <v>INT</v>
      </c>
      <c r="D95" s="166">
        <f t="shared" si="16"/>
        <v>9.4528306563553599</v>
      </c>
      <c r="E95" s="166">
        <f t="shared" si="17"/>
        <v>9.3768501627312588</v>
      </c>
      <c r="F95">
        <f t="shared" si="18"/>
        <v>43</v>
      </c>
      <c r="G95">
        <f>IF(ISNA(VLOOKUP(B95,'IA FG'!$B$2:$D$578,3,FALSE)),0,VLOOKUP(B95,'IA FG'!$B$2:$D$578,3,FALSE))</f>
        <v>88</v>
      </c>
      <c r="H95" s="166" t="str">
        <f t="shared" si="19"/>
        <v/>
      </c>
      <c r="I95" s="166">
        <f t="shared" si="20"/>
        <v>90</v>
      </c>
      <c r="J95" s="166" t="str">
        <f t="shared" si="21"/>
        <v/>
      </c>
      <c r="K95" s="166" t="str">
        <f t="shared" si="22"/>
        <v/>
      </c>
      <c r="L95" s="166" t="e">
        <f t="shared" si="23"/>
        <v>#N/A</v>
      </c>
    </row>
    <row r="96" spans="1:12">
      <c r="A96" t="s">
        <v>37</v>
      </c>
      <c r="B96" s="158" t="str">
        <f>Difensori!B24</f>
        <v>SAMIR</v>
      </c>
      <c r="C96" s="158" t="str">
        <f>Difensori!C24</f>
        <v>UDI</v>
      </c>
      <c r="D96" s="166">
        <f t="shared" si="16"/>
        <v>9.019143427990576</v>
      </c>
      <c r="E96" s="166">
        <f t="shared" si="17"/>
        <v>9.0997068240978436</v>
      </c>
      <c r="F96">
        <f t="shared" si="18"/>
        <v>42</v>
      </c>
      <c r="G96">
        <f>IF(ISNA(VLOOKUP(B96,'IA FG'!$B$2:$D$578,3,FALSE)),0,VLOOKUP(B96,'IA FG'!$B$2:$D$578,3,FALSE))</f>
        <v>70</v>
      </c>
      <c r="H96" s="166">
        <f t="shared" si="19"/>
        <v>0</v>
      </c>
      <c r="I96" s="166">
        <f t="shared" si="20"/>
        <v>90</v>
      </c>
      <c r="J96" s="166" t="str">
        <f t="shared" si="21"/>
        <v/>
      </c>
      <c r="K96" s="166" t="str">
        <f t="shared" si="22"/>
        <v/>
      </c>
      <c r="L96" s="166" t="e">
        <f t="shared" si="23"/>
        <v>#N/A</v>
      </c>
    </row>
    <row r="97" spans="1:12">
      <c r="A97" t="s">
        <v>37</v>
      </c>
      <c r="B97" s="158" t="str">
        <f>Difensori!B25</f>
        <v>WIDMER</v>
      </c>
      <c r="C97" s="158" t="str">
        <f>Difensori!C25</f>
        <v>UDI</v>
      </c>
      <c r="D97" s="166">
        <f t="shared" si="16"/>
        <v>8.8157163387630781</v>
      </c>
      <c r="E97" s="166">
        <f t="shared" si="17"/>
        <v>8.2062017165127585</v>
      </c>
      <c r="F97">
        <f t="shared" si="18"/>
        <v>42</v>
      </c>
      <c r="G97">
        <f>IF(ISNA(VLOOKUP(B97,'IA FG'!$B$2:$D$578,3,FALSE)),0,VLOOKUP(B97,'IA FG'!$B$2:$D$578,3,FALSE))</f>
        <v>81</v>
      </c>
      <c r="H97" s="166" t="str">
        <f t="shared" si="19"/>
        <v/>
      </c>
      <c r="I97" s="166">
        <f t="shared" si="20"/>
        <v>90</v>
      </c>
      <c r="J97" s="166" t="str">
        <f t="shared" si="21"/>
        <v/>
      </c>
      <c r="K97" s="166" t="str">
        <f t="shared" si="22"/>
        <v/>
      </c>
      <c r="L97" s="166" t="e">
        <f t="shared" si="23"/>
        <v>#N/A</v>
      </c>
    </row>
    <row r="98" spans="1:12">
      <c r="A98" t="s">
        <v>37</v>
      </c>
      <c r="B98" s="158" t="str">
        <f>Difensori!B26</f>
        <v>IZZO</v>
      </c>
      <c r="C98" s="158" t="str">
        <f>Difensori!C26</f>
        <v>GEN</v>
      </c>
      <c r="D98" s="166">
        <f t="shared" si="16"/>
        <v>8.6724172119770131</v>
      </c>
      <c r="E98" s="166">
        <f t="shared" si="17"/>
        <v>8.5871797539644774</v>
      </c>
      <c r="F98">
        <f t="shared" si="18"/>
        <v>43</v>
      </c>
      <c r="G98">
        <f>IF(ISNA(VLOOKUP(B98,'IA FG'!$B$2:$D$578,3,FALSE)),0,VLOOKUP(B98,'IA FG'!$B$2:$D$578,3,FALSE))</f>
        <v>55</v>
      </c>
      <c r="H98" s="166" t="str">
        <f t="shared" si="19"/>
        <v/>
      </c>
      <c r="I98" s="166">
        <f t="shared" si="20"/>
        <v>80</v>
      </c>
      <c r="J98" s="166" t="str">
        <f t="shared" si="21"/>
        <v/>
      </c>
      <c r="K98" s="166" t="str">
        <f t="shared" si="22"/>
        <v/>
      </c>
      <c r="L98" s="166" t="e">
        <f t="shared" si="23"/>
        <v>#N/A</v>
      </c>
    </row>
    <row r="99" spans="1:12">
      <c r="A99" t="s">
        <v>37</v>
      </c>
      <c r="B99" s="158" t="str">
        <f>Difensori!B27</f>
        <v>N'KOULOU</v>
      </c>
      <c r="C99" s="158" t="str">
        <f>Difensori!C27</f>
        <v>TOR</v>
      </c>
      <c r="D99" s="166">
        <f t="shared" si="16"/>
        <v>8.4499231358567499</v>
      </c>
      <c r="E99" s="166">
        <f t="shared" si="17"/>
        <v>8.5294938101765183</v>
      </c>
      <c r="F99">
        <f t="shared" si="18"/>
        <v>43</v>
      </c>
      <c r="G99">
        <f>IF(ISNA(VLOOKUP(B99,'IA FG'!$B$2:$D$578,3,FALSE)),0,VLOOKUP(B99,'IA FG'!$B$2:$D$578,3,FALSE))</f>
        <v>75</v>
      </c>
      <c r="H99" s="166" t="str">
        <f t="shared" si="19"/>
        <v/>
      </c>
      <c r="I99" s="166">
        <f t="shared" si="20"/>
        <v>80</v>
      </c>
      <c r="J99" s="166" t="str">
        <f t="shared" si="21"/>
        <v/>
      </c>
      <c r="K99" s="166" t="str">
        <f t="shared" si="22"/>
        <v/>
      </c>
      <c r="L99" s="166" t="e">
        <f t="shared" si="23"/>
        <v>#N/A</v>
      </c>
    </row>
    <row r="100" spans="1:12">
      <c r="A100" t="s">
        <v>37</v>
      </c>
      <c r="B100" s="158" t="str">
        <f>Difensori!B28</f>
        <v>MUSACCHIO</v>
      </c>
      <c r="C100" s="158" t="str">
        <f>Difensori!C28</f>
        <v>MIL</v>
      </c>
      <c r="D100" s="166">
        <f t="shared" si="16"/>
        <v>8.318978683344767</v>
      </c>
      <c r="E100" s="166">
        <f t="shared" si="17"/>
        <v>8.3983209901717402</v>
      </c>
      <c r="F100">
        <f t="shared" si="18"/>
        <v>41</v>
      </c>
      <c r="G100">
        <f>IF(ISNA(VLOOKUP(B100,'IA FG'!$B$2:$D$578,3,FALSE)),0,VLOOKUP(B100,'IA FG'!$B$2:$D$578,3,FALSE))</f>
        <v>77</v>
      </c>
      <c r="H100" s="166" t="str">
        <f t="shared" si="19"/>
        <v/>
      </c>
      <c r="I100" s="166">
        <f t="shared" si="20"/>
        <v>70</v>
      </c>
      <c r="J100" s="166" t="str">
        <f t="shared" si="21"/>
        <v/>
      </c>
      <c r="K100" s="166" t="str">
        <f t="shared" si="22"/>
        <v/>
      </c>
      <c r="L100" s="166" t="e">
        <f t="shared" si="23"/>
        <v>#N/A</v>
      </c>
    </row>
    <row r="101" spans="1:12">
      <c r="A101" t="s">
        <v>37</v>
      </c>
      <c r="B101" s="158" t="str">
        <f>Difensori!B29</f>
        <v>LICHTSTEINER</v>
      </c>
      <c r="C101" s="158" t="str">
        <f>Difensori!C29</f>
        <v>JUV</v>
      </c>
      <c r="D101" s="166">
        <f t="shared" si="16"/>
        <v>8.1821504934828297</v>
      </c>
      <c r="E101" s="166">
        <f t="shared" si="17"/>
        <v>8.2612541715625589</v>
      </c>
      <c r="F101">
        <f t="shared" si="18"/>
        <v>38</v>
      </c>
      <c r="G101">
        <f>IF(ISNA(VLOOKUP(B101,'IA FG'!$B$2:$D$578,3,FALSE)),0,VLOOKUP(B101,'IA FG'!$B$2:$D$578,3,FALSE))</f>
        <v>78</v>
      </c>
      <c r="H101" s="166" t="str">
        <f t="shared" si="19"/>
        <v/>
      </c>
      <c r="I101" s="166">
        <f t="shared" si="20"/>
        <v>70</v>
      </c>
      <c r="J101" s="166" t="str">
        <f t="shared" si="21"/>
        <v/>
      </c>
      <c r="K101" s="166" t="str">
        <f t="shared" si="22"/>
        <v/>
      </c>
      <c r="L101" s="166" t="e">
        <f t="shared" si="23"/>
        <v>#N/A</v>
      </c>
    </row>
    <row r="102" spans="1:12">
      <c r="A102" t="s">
        <v>37</v>
      </c>
      <c r="B102" s="158" t="str">
        <f>Difensori!B30</f>
        <v>DE SCIGLIO</v>
      </c>
      <c r="C102" s="158" t="str">
        <f>Difensori!C30</f>
        <v>JUV</v>
      </c>
      <c r="D102" s="166">
        <f t="shared" si="16"/>
        <v>1</v>
      </c>
      <c r="E102" s="166">
        <f t="shared" si="17"/>
        <v>8.2559871940862699</v>
      </c>
      <c r="F102">
        <f t="shared" si="18"/>
        <v>38</v>
      </c>
      <c r="G102">
        <f>IF(ISNA(VLOOKUP(B102,'IA FG'!$B$2:$D$578,3,FALSE)),0,VLOOKUP(B102,'IA FG'!$B$2:$D$578,3,FALSE))</f>
        <v>77</v>
      </c>
      <c r="H102" s="166">
        <f t="shared" si="19"/>
        <v>-1</v>
      </c>
      <c r="I102" s="166">
        <f t="shared" si="20"/>
        <v>60</v>
      </c>
      <c r="J102" s="166" t="str">
        <f t="shared" si="21"/>
        <v/>
      </c>
      <c r="K102" s="166" t="str">
        <f t="shared" si="22"/>
        <v/>
      </c>
      <c r="L102" s="166" t="e">
        <f t="shared" si="23"/>
        <v>#N/A</v>
      </c>
    </row>
    <row r="103" spans="1:12">
      <c r="A103" t="s">
        <v>37</v>
      </c>
      <c r="B103" s="158" t="str">
        <f>Difensori!B31</f>
        <v>KARSDORP</v>
      </c>
      <c r="C103" s="158" t="str">
        <f>Difensori!C31</f>
        <v>ROM</v>
      </c>
      <c r="D103" s="166">
        <f t="shared" si="16"/>
        <v>7.8477789517433507</v>
      </c>
      <c r="E103" s="166">
        <f t="shared" si="17"/>
        <v>7.236576243972678</v>
      </c>
      <c r="F103">
        <f t="shared" si="18"/>
        <v>41</v>
      </c>
      <c r="G103">
        <f>IF(ISNA(VLOOKUP(B103,'IA FG'!$B$2:$D$578,3,FALSE)),0,VLOOKUP(B103,'IA FG'!$B$2:$D$578,3,FALSE))</f>
        <v>81</v>
      </c>
      <c r="H103" s="166">
        <f t="shared" si="19"/>
        <v>0</v>
      </c>
      <c r="I103" s="166">
        <f t="shared" si="20"/>
        <v>70</v>
      </c>
      <c r="J103" s="166" t="str">
        <f t="shared" si="21"/>
        <v/>
      </c>
      <c r="K103" s="166" t="str">
        <f t="shared" si="22"/>
        <v/>
      </c>
      <c r="L103" s="166" t="e">
        <f t="shared" si="23"/>
        <v>#N/A</v>
      </c>
    </row>
    <row r="104" spans="1:12">
      <c r="A104" t="s">
        <v>37</v>
      </c>
      <c r="B104" s="158" t="str">
        <f>Difensori!B32</f>
        <v>FAZIO</v>
      </c>
      <c r="C104" s="158" t="str">
        <f>Difensori!C32</f>
        <v>ROM</v>
      </c>
      <c r="D104" s="166">
        <f t="shared" si="16"/>
        <v>8.0089976204640152</v>
      </c>
      <c r="E104" s="166">
        <f t="shared" si="17"/>
        <v>7.9158909341886101</v>
      </c>
      <c r="F104">
        <f t="shared" si="18"/>
        <v>41</v>
      </c>
      <c r="G104">
        <f>IF(ISNA(VLOOKUP(B104,'IA FG'!$B$2:$D$578,3,FALSE)),0,VLOOKUP(B104,'IA FG'!$B$2:$D$578,3,FALSE))</f>
        <v>84</v>
      </c>
      <c r="H104" s="166" t="str">
        <f t="shared" si="19"/>
        <v/>
      </c>
      <c r="I104" s="166">
        <f t="shared" si="20"/>
        <v>60</v>
      </c>
      <c r="J104" s="166" t="str">
        <f t="shared" si="21"/>
        <v/>
      </c>
      <c r="K104" s="166" t="str">
        <f t="shared" si="22"/>
        <v/>
      </c>
      <c r="L104" s="166" t="e">
        <f t="shared" si="23"/>
        <v>#N/A</v>
      </c>
    </row>
    <row r="105" spans="1:12">
      <c r="A105" t="s">
        <v>37</v>
      </c>
      <c r="B105" s="158" t="str">
        <f>Difensori!B33</f>
        <v>SILVESTRE</v>
      </c>
      <c r="C105" s="158" t="str">
        <f>Difensori!C33</f>
        <v>SAM</v>
      </c>
      <c r="D105" s="166">
        <f t="shared" si="16"/>
        <v>7.8073439056999661</v>
      </c>
      <c r="E105" s="166">
        <f t="shared" si="17"/>
        <v>7.8857939200383917</v>
      </c>
      <c r="F105">
        <f t="shared" si="18"/>
        <v>42</v>
      </c>
      <c r="G105">
        <f>IF(ISNA(VLOOKUP(B105,'IA FG'!$B$2:$D$578,3,FALSE)),0,VLOOKUP(B105,'IA FG'!$B$2:$D$578,3,FALSE))</f>
        <v>76</v>
      </c>
      <c r="H105" s="166">
        <f t="shared" si="19"/>
        <v>1</v>
      </c>
      <c r="I105" s="166">
        <f t="shared" si="20"/>
        <v>90</v>
      </c>
      <c r="J105" s="166" t="str">
        <f t="shared" si="21"/>
        <v/>
      </c>
      <c r="K105" s="166" t="str">
        <f t="shared" si="22"/>
        <v/>
      </c>
      <c r="L105" s="166" t="e">
        <f t="shared" si="23"/>
        <v>#N/A</v>
      </c>
    </row>
    <row r="106" spans="1:12">
      <c r="A106" t="s">
        <v>37</v>
      </c>
      <c r="B106" s="158" t="str">
        <f>Difensori!B34</f>
        <v>HECTOR MORENO</v>
      </c>
      <c r="C106" s="158" t="str">
        <f>Difensori!C34</f>
        <v>ROM</v>
      </c>
      <c r="D106" s="166">
        <f t="shared" ref="D106:D137" si="24">IF(ISNA(VLOOKUP($B106,TabAlgDif,11,FALSE)),0,VLOOKUP($B106,TabAlgDif,11,FALSE))</f>
        <v>7.7382412883131479</v>
      </c>
      <c r="E106" s="166">
        <f t="shared" ref="E106:E137" si="25">IF(ISNA(VLOOKUP($B106,TabAlgDif,14,FALSE)),0,VLOOKUP($B106,TabAlgDif,14,FALSE))</f>
        <v>7.1268475465499392</v>
      </c>
      <c r="F106">
        <f t="shared" ref="F106:F137" si="26">IF(ISNA(VLOOKUP($B106,TabAlgDif,15,FALSE)),0,VLOOKUP($B106,TabAlgDif,15,FALSE))</f>
        <v>41</v>
      </c>
      <c r="G106">
        <f>IF(ISNA(VLOOKUP(B106,'IA FG'!$B$2:$D$578,3,FALSE)),0,VLOOKUP(B106,'IA FG'!$B$2:$D$578,3,FALSE))</f>
        <v>73</v>
      </c>
      <c r="H106" s="166" t="str">
        <f t="shared" ref="H106:H137" si="27">IF(ISNA(VLOOKUP($B106,TabAlgDif,16,FALSE)),"",VLOOKUP($B106,TabAlgDif,16,FALSE))</f>
        <v/>
      </c>
      <c r="I106" s="166">
        <f t="shared" ref="I106:I137" si="28">IF(ISNA(VLOOKUP($B106,TabAlgDif,4,FALSE)),0,VLOOKUP($B106,TabAlgDif,4,FALSE))*10</f>
        <v>60</v>
      </c>
      <c r="J106" s="166" t="str">
        <f t="shared" ref="J106:J137" si="29">IF(ISNA(VLOOKUP($B106,TabAlgDif,17,FALSE)),"",VLOOKUP($B106,TabAlgDif,17,FALSE))</f>
        <v/>
      </c>
      <c r="K106" s="166" t="str">
        <f t="shared" ref="K106:K137" si="30">IF(ISNA(VLOOKUP($B106,TabAlgDif,18,FALSE)),"",VLOOKUP($B106,TabAlgDif,18,FALSE))</f>
        <v/>
      </c>
      <c r="L106" s="166" t="e">
        <f t="shared" ref="L106:L137" si="31">VLOOKUP($B106,TabAlgDif,19,FALSE)</f>
        <v>#N/A</v>
      </c>
    </row>
    <row r="107" spans="1:12">
      <c r="A107" t="s">
        <v>37</v>
      </c>
      <c r="B107" s="158" t="str">
        <f>Difensori!B35</f>
        <v>TOLOI</v>
      </c>
      <c r="C107" s="158" t="str">
        <f>Difensori!C35</f>
        <v>ATA</v>
      </c>
      <c r="D107" s="166">
        <f t="shared" si="24"/>
        <v>7.8894011501090766</v>
      </c>
      <c r="E107" s="166">
        <f t="shared" si="25"/>
        <v>7.7948758564595479</v>
      </c>
      <c r="F107">
        <f t="shared" si="26"/>
        <v>42</v>
      </c>
      <c r="G107">
        <f>IF(ISNA(VLOOKUP(B107,'IA FG'!$B$2:$D$578,3,FALSE)),0,VLOOKUP(B107,'IA FG'!$B$2:$D$578,3,FALSE))</f>
        <v>76</v>
      </c>
      <c r="H107" s="166" t="str">
        <f t="shared" si="27"/>
        <v/>
      </c>
      <c r="I107" s="166">
        <f t="shared" si="28"/>
        <v>80</v>
      </c>
      <c r="J107" s="166" t="str">
        <f t="shared" si="29"/>
        <v/>
      </c>
      <c r="K107" s="166" t="str">
        <f t="shared" si="30"/>
        <v/>
      </c>
      <c r="L107" s="166" t="e">
        <f t="shared" si="31"/>
        <v>#N/A</v>
      </c>
    </row>
    <row r="108" spans="1:12">
      <c r="A108" t="s">
        <v>37</v>
      </c>
      <c r="B108" s="158" t="str">
        <f>Difensori!B36</f>
        <v>ROMULO</v>
      </c>
      <c r="C108" s="158" t="str">
        <f>Difensori!C36</f>
        <v>VER</v>
      </c>
      <c r="D108" s="166">
        <f t="shared" si="24"/>
        <v>7.5766262900407035</v>
      </c>
      <c r="E108" s="166">
        <f t="shared" si="25"/>
        <v>7.6546739322097004</v>
      </c>
      <c r="F108">
        <f t="shared" si="26"/>
        <v>43</v>
      </c>
      <c r="G108">
        <f>IF(ISNA(VLOOKUP(B108,'IA FG'!$B$2:$D$578,3,FALSE)),0,VLOOKUP(B108,'IA FG'!$B$2:$D$578,3,FALSE))</f>
        <v>80</v>
      </c>
      <c r="H108" s="166">
        <f t="shared" si="27"/>
        <v>1</v>
      </c>
      <c r="I108" s="166">
        <f t="shared" si="28"/>
        <v>80</v>
      </c>
      <c r="J108" s="166" t="str">
        <f t="shared" si="29"/>
        <v/>
      </c>
      <c r="K108" s="166" t="str">
        <f t="shared" si="30"/>
        <v/>
      </c>
      <c r="L108" s="166">
        <f t="shared" si="31"/>
        <v>2</v>
      </c>
    </row>
    <row r="109" spans="1:12">
      <c r="A109" t="s">
        <v>37</v>
      </c>
      <c r="B109" s="158" t="str">
        <f>Difensori!B37</f>
        <v>NUYTINCK</v>
      </c>
      <c r="C109" s="158" t="str">
        <f>Difensori!C37</f>
        <v>UDI</v>
      </c>
      <c r="D109" s="166">
        <f t="shared" si="24"/>
        <v>7.3199236565536481</v>
      </c>
      <c r="E109" s="166">
        <f t="shared" si="25"/>
        <v>6.5289201987652987</v>
      </c>
      <c r="F109">
        <f t="shared" si="26"/>
        <v>41</v>
      </c>
      <c r="G109">
        <f>IF(ISNA(VLOOKUP(B109,'IA FG'!$B$2:$D$578,3,FALSE)),0,VLOOKUP(B109,'IA FG'!$B$2:$D$578,3,FALSE))</f>
        <v>73</v>
      </c>
      <c r="H109" s="166" t="str">
        <f t="shared" si="27"/>
        <v/>
      </c>
      <c r="I109" s="166">
        <f t="shared" si="28"/>
        <v>80</v>
      </c>
      <c r="J109" s="166" t="str">
        <f t="shared" si="29"/>
        <v/>
      </c>
      <c r="K109" s="166" t="str">
        <f t="shared" si="30"/>
        <v/>
      </c>
      <c r="L109" s="166" t="e">
        <f t="shared" si="31"/>
        <v>#N/A</v>
      </c>
    </row>
    <row r="110" spans="1:12">
      <c r="A110" t="s">
        <v>37</v>
      </c>
      <c r="B110" s="158" t="str">
        <f>Difensori!B38</f>
        <v>DANILO</v>
      </c>
      <c r="C110" s="158" t="str">
        <f>Difensori!C38</f>
        <v>UDI</v>
      </c>
      <c r="D110" s="166">
        <f t="shared" si="24"/>
        <v>7.2321782669046222</v>
      </c>
      <c r="E110" s="166">
        <f t="shared" si="25"/>
        <v>5.7504107660792236</v>
      </c>
      <c r="F110">
        <f t="shared" si="26"/>
        <v>41</v>
      </c>
      <c r="G110">
        <f>IF(ISNA(VLOOKUP(B110,'IA FG'!$B$2:$D$578,3,FALSE)),0,VLOOKUP(B110,'IA FG'!$B$2:$D$578,3,FALSE))</f>
        <v>74</v>
      </c>
      <c r="H110" s="166" t="str">
        <f t="shared" si="27"/>
        <v/>
      </c>
      <c r="I110" s="166">
        <f t="shared" si="28"/>
        <v>100</v>
      </c>
      <c r="J110" s="166" t="str">
        <f t="shared" si="29"/>
        <v/>
      </c>
      <c r="K110" s="166" t="str">
        <f t="shared" si="30"/>
        <v/>
      </c>
      <c r="L110" s="166" t="e">
        <f t="shared" si="31"/>
        <v>#N/A</v>
      </c>
    </row>
    <row r="111" spans="1:12">
      <c r="A111" t="s">
        <v>37</v>
      </c>
      <c r="B111" s="158" t="str">
        <f>Difensori!B39</f>
        <v>CECCHERINI</v>
      </c>
      <c r="C111" s="158" t="str">
        <f>Difensori!C39</f>
        <v>CRO</v>
      </c>
      <c r="D111" s="166">
        <f t="shared" si="24"/>
        <v>7.1216289906801613</v>
      </c>
      <c r="E111" s="166">
        <f t="shared" si="25"/>
        <v>6.328273437763734</v>
      </c>
      <c r="F111">
        <f t="shared" si="26"/>
        <v>42</v>
      </c>
      <c r="G111">
        <f>IF(ISNA(VLOOKUP(B111,'IA FG'!$B$2:$D$578,3,FALSE)),0,VLOOKUP(B111,'IA FG'!$B$2:$D$578,3,FALSE))</f>
        <v>67</v>
      </c>
      <c r="H111" s="166">
        <f t="shared" si="27"/>
        <v>0</v>
      </c>
      <c r="I111" s="166">
        <f t="shared" si="28"/>
        <v>90</v>
      </c>
      <c r="J111" s="166" t="str">
        <f t="shared" si="29"/>
        <v/>
      </c>
      <c r="K111" s="166" t="str">
        <f t="shared" si="30"/>
        <v/>
      </c>
      <c r="L111" s="166" t="e">
        <f t="shared" si="31"/>
        <v>#N/A</v>
      </c>
    </row>
    <row r="112" spans="1:12">
      <c r="A112" t="s">
        <v>37</v>
      </c>
      <c r="B112" s="158" t="str">
        <f>Difensori!B40</f>
        <v>BARRECA</v>
      </c>
      <c r="C112" s="158" t="str">
        <f>Difensori!C40</f>
        <v>TOR</v>
      </c>
      <c r="D112" s="166">
        <f t="shared" si="24"/>
        <v>6.6816722833407702</v>
      </c>
      <c r="E112" s="166">
        <f t="shared" si="25"/>
        <v>6.0684358822667086</v>
      </c>
      <c r="F112">
        <f t="shared" si="26"/>
        <v>42</v>
      </c>
      <c r="G112">
        <f>IF(ISNA(VLOOKUP(B112,'IA FG'!$B$2:$D$578,3,FALSE)),0,VLOOKUP(B112,'IA FG'!$B$2:$D$578,3,FALSE))</f>
        <v>75</v>
      </c>
      <c r="H112" s="166">
        <f t="shared" si="27"/>
        <v>0</v>
      </c>
      <c r="I112" s="166">
        <f t="shared" si="28"/>
        <v>80</v>
      </c>
      <c r="J112" s="166" t="str">
        <f t="shared" si="29"/>
        <v/>
      </c>
      <c r="K112" s="166" t="str">
        <f t="shared" si="30"/>
        <v/>
      </c>
      <c r="L112" s="166" t="e">
        <f t="shared" si="31"/>
        <v>#N/A</v>
      </c>
    </row>
    <row r="113" spans="1:12">
      <c r="A113" t="s">
        <v>37</v>
      </c>
      <c r="B113" s="158" t="str">
        <f>Difensori!B41</f>
        <v>PEZZELLA GER</v>
      </c>
      <c r="C113" s="158" t="str">
        <f>Difensori!C41</f>
        <v>FIO</v>
      </c>
      <c r="D113" s="166">
        <f t="shared" si="24"/>
        <v>6.1755456853427333</v>
      </c>
      <c r="E113" s="166">
        <f t="shared" si="25"/>
        <v>6.2511498390037481</v>
      </c>
      <c r="F113">
        <f t="shared" si="26"/>
        <v>41</v>
      </c>
      <c r="G113">
        <f>IF(ISNA(VLOOKUP(B113,'IA FG'!$B$2:$D$578,3,FALSE)),0,VLOOKUP(B113,'IA FG'!$B$2:$D$578,3,FALSE))</f>
        <v>78</v>
      </c>
      <c r="H113" s="166" t="str">
        <f t="shared" si="27"/>
        <v/>
      </c>
      <c r="I113" s="166">
        <f t="shared" si="28"/>
        <v>70</v>
      </c>
      <c r="J113" s="166" t="str">
        <f t="shared" si="29"/>
        <v/>
      </c>
      <c r="K113" s="166" t="str">
        <f t="shared" si="30"/>
        <v/>
      </c>
      <c r="L113" s="166" t="e">
        <f t="shared" si="31"/>
        <v>#N/A</v>
      </c>
    </row>
    <row r="114" spans="1:12">
      <c r="A114" t="s">
        <v>37</v>
      </c>
      <c r="B114" s="158" t="str">
        <f>Difensori!B42</f>
        <v>ASTORI</v>
      </c>
      <c r="C114" s="158" t="str">
        <f>Difensori!C42</f>
        <v>FIO</v>
      </c>
      <c r="D114" s="166">
        <f t="shared" si="24"/>
        <v>6.2760261748958897</v>
      </c>
      <c r="E114" s="166">
        <f t="shared" si="25"/>
        <v>5.4726404063176695</v>
      </c>
      <c r="F114">
        <f t="shared" si="26"/>
        <v>41</v>
      </c>
      <c r="G114">
        <f>IF(ISNA(VLOOKUP(B114,'IA FG'!$B$2:$D$578,3,FALSE)),0,VLOOKUP(B114,'IA FG'!$B$2:$D$578,3,FALSE))</f>
        <v>84</v>
      </c>
      <c r="H114" s="166" t="str">
        <f t="shared" si="27"/>
        <v/>
      </c>
      <c r="I114" s="166">
        <f t="shared" si="28"/>
        <v>90</v>
      </c>
      <c r="J114" s="166" t="str">
        <f t="shared" si="29"/>
        <v/>
      </c>
      <c r="K114" s="166" t="str">
        <f t="shared" si="30"/>
        <v/>
      </c>
      <c r="L114" s="166" t="e">
        <f t="shared" si="31"/>
        <v>#N/A</v>
      </c>
    </row>
    <row r="115" spans="1:12">
      <c r="A115" t="s">
        <v>37</v>
      </c>
      <c r="B115" s="158" t="str">
        <f>Difensori!B43</f>
        <v>HATEBOER</v>
      </c>
      <c r="C115" s="158" t="str">
        <f>Difensori!C43</f>
        <v>ATA</v>
      </c>
      <c r="D115" s="166">
        <f t="shared" si="24"/>
        <v>6.2317816775728829</v>
      </c>
      <c r="E115" s="166">
        <f t="shared" si="25"/>
        <v>6.1175943387120846</v>
      </c>
      <c r="F115">
        <f t="shared" si="26"/>
        <v>41</v>
      </c>
      <c r="G115">
        <f>IF(ISNA(VLOOKUP(B115,'IA FG'!$B$2:$D$578,3,FALSE)),0,VLOOKUP(B115,'IA FG'!$B$2:$D$578,3,FALSE))</f>
        <v>70</v>
      </c>
      <c r="H115" s="166" t="str">
        <f t="shared" si="27"/>
        <v/>
      </c>
      <c r="I115" s="166">
        <f t="shared" si="28"/>
        <v>70</v>
      </c>
      <c r="J115" s="166" t="str">
        <f t="shared" si="29"/>
        <v/>
      </c>
      <c r="K115" s="166" t="str">
        <f t="shared" si="30"/>
        <v/>
      </c>
      <c r="L115" s="166" t="e">
        <f t="shared" si="31"/>
        <v>#N/A</v>
      </c>
    </row>
    <row r="116" spans="1:12">
      <c r="A116" t="s">
        <v>37</v>
      </c>
      <c r="B116" s="158" t="str">
        <f>Difensori!B44</f>
        <v>BIRAGHI</v>
      </c>
      <c r="C116" s="158" t="str">
        <f>Difensori!C44</f>
        <v>FIO</v>
      </c>
      <c r="D116" s="166">
        <f t="shared" si="24"/>
        <v>6.1623785445171428</v>
      </c>
      <c r="E116" s="166">
        <f t="shared" si="25"/>
        <v>5.3576447314186488</v>
      </c>
      <c r="F116">
        <f t="shared" si="26"/>
        <v>41</v>
      </c>
      <c r="G116">
        <f>IF(ISNA(VLOOKUP(B116,'IA FG'!$B$2:$D$578,3,FALSE)),0,VLOOKUP(B116,'IA FG'!$B$2:$D$578,3,FALSE))</f>
        <v>69</v>
      </c>
      <c r="H116" s="166" t="str">
        <f t="shared" si="27"/>
        <v/>
      </c>
      <c r="I116" s="166">
        <f t="shared" si="28"/>
        <v>70</v>
      </c>
      <c r="J116" s="166" t="str">
        <f t="shared" si="29"/>
        <v/>
      </c>
      <c r="K116" s="166" t="str">
        <f t="shared" si="30"/>
        <v/>
      </c>
      <c r="L116" s="166" t="e">
        <f t="shared" si="31"/>
        <v>#N/A</v>
      </c>
    </row>
    <row r="117" spans="1:12">
      <c r="A117" t="s">
        <v>37</v>
      </c>
      <c r="B117" s="158" t="str">
        <f>Difensori!B45</f>
        <v>DALBERT</v>
      </c>
      <c r="C117" s="158" t="str">
        <f>Difensori!C45</f>
        <v>INT</v>
      </c>
      <c r="D117" s="166">
        <f t="shared" si="24"/>
        <v>6.0446410866547815</v>
      </c>
      <c r="E117" s="166">
        <f t="shared" si="25"/>
        <v>5.2385107170739893</v>
      </c>
      <c r="F117">
        <f t="shared" si="26"/>
        <v>41</v>
      </c>
      <c r="G117">
        <f>IF(ISNA(VLOOKUP(B117,'IA FG'!$B$2:$D$578,3,FALSE)),0,VLOOKUP(B117,'IA FG'!$B$2:$D$578,3,FALSE))</f>
        <v>80</v>
      </c>
      <c r="H117" s="166" t="str">
        <f t="shared" si="27"/>
        <v/>
      </c>
      <c r="I117" s="166">
        <f t="shared" si="28"/>
        <v>80</v>
      </c>
      <c r="J117" s="166" t="str">
        <f t="shared" si="29"/>
        <v/>
      </c>
      <c r="K117" s="166" t="str">
        <f t="shared" si="30"/>
        <v/>
      </c>
      <c r="L117" s="166" t="e">
        <f t="shared" si="31"/>
        <v>#N/A</v>
      </c>
    </row>
    <row r="118" spans="1:12">
      <c r="A118" t="s">
        <v>37</v>
      </c>
      <c r="B118" s="158" t="str">
        <f>Difensori!B46</f>
        <v>CANCELO</v>
      </c>
      <c r="C118" s="158" t="str">
        <f>Difensori!C46</f>
        <v>INT</v>
      </c>
      <c r="D118" s="166">
        <f t="shared" si="24"/>
        <v>5.7436543266751166</v>
      </c>
      <c r="E118" s="166">
        <f t="shared" si="25"/>
        <v>5.1287820196512648</v>
      </c>
      <c r="F118">
        <f t="shared" si="26"/>
        <v>41</v>
      </c>
      <c r="G118">
        <f>IF(ISNA(VLOOKUP(B118,'IA FG'!$B$2:$D$578,3,FALSE)),0,VLOOKUP(B118,'IA FG'!$B$2:$D$578,3,FALSE))</f>
        <v>77</v>
      </c>
      <c r="H118" s="166" t="str">
        <f t="shared" si="27"/>
        <v/>
      </c>
      <c r="I118" s="166">
        <f t="shared" si="28"/>
        <v>70</v>
      </c>
      <c r="J118" s="166" t="str">
        <f t="shared" si="29"/>
        <v/>
      </c>
      <c r="K118" s="166" t="str">
        <f t="shared" si="30"/>
        <v/>
      </c>
      <c r="L118" s="166" t="e">
        <f t="shared" si="31"/>
        <v>#N/A</v>
      </c>
    </row>
    <row r="119" spans="1:12">
      <c r="A119" t="s">
        <v>37</v>
      </c>
      <c r="B119" s="158" t="str">
        <f>Difensori!B47</f>
        <v>MASINA</v>
      </c>
      <c r="C119" s="158" t="str">
        <f>Difensori!C47</f>
        <v>BOL</v>
      </c>
      <c r="D119" s="166">
        <f t="shared" si="24"/>
        <v>5.2174979845069984</v>
      </c>
      <c r="E119" s="166">
        <f t="shared" si="25"/>
        <v>4.6017080593452668</v>
      </c>
      <c r="F119">
        <f t="shared" si="26"/>
        <v>41</v>
      </c>
      <c r="G119">
        <f>IF(ISNA(VLOOKUP(B119,'IA FG'!$B$2:$D$578,3,FALSE)),0,VLOOKUP(B119,'IA FG'!$B$2:$D$578,3,FALSE))</f>
        <v>75</v>
      </c>
      <c r="H119" s="166">
        <f t="shared" si="27"/>
        <v>1</v>
      </c>
      <c r="I119" s="166">
        <f t="shared" si="28"/>
        <v>80</v>
      </c>
      <c r="J119" s="166" t="str">
        <f t="shared" si="29"/>
        <v/>
      </c>
      <c r="K119" s="166" t="str">
        <f t="shared" si="30"/>
        <v/>
      </c>
      <c r="L119" s="166" t="e">
        <f t="shared" si="31"/>
        <v>#N/A</v>
      </c>
    </row>
    <row r="120" spans="1:12">
      <c r="A120" t="s">
        <v>37</v>
      </c>
      <c r="B120" s="158" t="str">
        <f>Difensori!B48</f>
        <v>MARIO RUI</v>
      </c>
      <c r="C120" s="158" t="str">
        <f>Difensori!C48</f>
        <v>NAP</v>
      </c>
      <c r="D120" s="166">
        <f t="shared" si="24"/>
        <v>4.9652483938648828</v>
      </c>
      <c r="E120" s="166">
        <f t="shared" si="25"/>
        <v>5.0387417856517835</v>
      </c>
      <c r="F120">
        <f t="shared" si="26"/>
        <v>39</v>
      </c>
      <c r="G120">
        <f>IF(ISNA(VLOOKUP(B120,'IA FG'!$B$2:$D$578,3,FALSE)),0,VLOOKUP(B120,'IA FG'!$B$2:$D$578,3,FALSE))</f>
        <v>74</v>
      </c>
      <c r="H120" s="166" t="str">
        <f t="shared" si="27"/>
        <v/>
      </c>
      <c r="I120" s="166">
        <f t="shared" si="28"/>
        <v>60</v>
      </c>
      <c r="J120" s="166" t="str">
        <f t="shared" si="29"/>
        <v/>
      </c>
      <c r="K120" s="166" t="str">
        <f t="shared" si="30"/>
        <v/>
      </c>
      <c r="L120" s="166" t="e">
        <f t="shared" si="31"/>
        <v>#N/A</v>
      </c>
    </row>
    <row r="121" spans="1:12">
      <c r="A121" t="s">
        <v>37</v>
      </c>
      <c r="B121" s="158" t="str">
        <f>Difensori!B49</f>
        <v>ANDREOLLI</v>
      </c>
      <c r="C121" s="158" t="str">
        <f>Difensori!C49</f>
        <v>CAG</v>
      </c>
      <c r="D121" s="166">
        <f t="shared" si="24"/>
        <v>4.6080930181319282</v>
      </c>
      <c r="E121" s="166">
        <f t="shared" si="25"/>
        <v>4.6809635299408789</v>
      </c>
      <c r="F121">
        <f t="shared" si="26"/>
        <v>41</v>
      </c>
      <c r="G121">
        <f>IF(ISNA(VLOOKUP(B121,'IA FG'!$B$2:$D$578,3,FALSE)),0,VLOOKUP(B121,'IA FG'!$B$2:$D$578,3,FALSE))</f>
        <v>73</v>
      </c>
      <c r="H121" s="166" t="str">
        <f t="shared" si="27"/>
        <v/>
      </c>
      <c r="I121" s="166">
        <f t="shared" si="28"/>
        <v>80</v>
      </c>
      <c r="J121" s="166" t="str">
        <f t="shared" si="29"/>
        <v/>
      </c>
      <c r="K121" s="166" t="str">
        <f t="shared" si="30"/>
        <v/>
      </c>
      <c r="L121" s="166" t="e">
        <f t="shared" si="31"/>
        <v>#N/A</v>
      </c>
    </row>
    <row r="122" spans="1:12">
      <c r="A122" t="s">
        <v>37</v>
      </c>
      <c r="B122" s="158" t="str">
        <f>Difensori!B50</f>
        <v>VAN DER WIEL</v>
      </c>
      <c r="C122" s="158" t="str">
        <f>Difensori!C50</f>
        <v>CAG</v>
      </c>
      <c r="D122" s="166">
        <f t="shared" si="24"/>
        <v>4.7138360103113435</v>
      </c>
      <c r="E122" s="166">
        <f t="shared" si="25"/>
        <v>3.8919201423022294</v>
      </c>
      <c r="F122">
        <f t="shared" si="26"/>
        <v>41</v>
      </c>
      <c r="G122">
        <f>IF(ISNA(VLOOKUP(B122,'IA FG'!$B$2:$D$578,3,FALSE)),0,VLOOKUP(B122,'IA FG'!$B$2:$D$578,3,FALSE))</f>
        <v>77</v>
      </c>
      <c r="H122" s="166" t="str">
        <f t="shared" si="27"/>
        <v/>
      </c>
      <c r="I122" s="166">
        <f t="shared" si="28"/>
        <v>80</v>
      </c>
      <c r="J122" s="166" t="str">
        <f t="shared" si="29"/>
        <v/>
      </c>
      <c r="K122" s="166" t="str">
        <f t="shared" si="30"/>
        <v/>
      </c>
      <c r="L122" s="166" t="e">
        <f t="shared" si="31"/>
        <v>#N/A</v>
      </c>
    </row>
    <row r="123" spans="1:12">
      <c r="A123" t="s">
        <v>37</v>
      </c>
      <c r="B123" s="158" t="str">
        <f>Difensori!B51</f>
        <v>BRUNO PERES</v>
      </c>
      <c r="C123" s="158" t="str">
        <f>Difensori!C51</f>
        <v>ROM</v>
      </c>
      <c r="D123" s="166">
        <f t="shared" si="24"/>
        <v>4.5078574261352351</v>
      </c>
      <c r="E123" s="166">
        <f t="shared" si="25"/>
        <v>2.9937750783689694</v>
      </c>
      <c r="F123">
        <f t="shared" si="26"/>
        <v>39</v>
      </c>
      <c r="G123">
        <f>IF(ISNA(VLOOKUP(B123,'IA FG'!$B$2:$D$578,3,FALSE)),0,VLOOKUP(B123,'IA FG'!$B$2:$D$578,3,FALSE))</f>
        <v>81</v>
      </c>
      <c r="H123" s="166" t="str">
        <f t="shared" si="27"/>
        <v/>
      </c>
      <c r="I123" s="166">
        <f t="shared" si="28"/>
        <v>60</v>
      </c>
      <c r="J123" s="166" t="str">
        <f t="shared" si="29"/>
        <v/>
      </c>
      <c r="K123" s="166" t="str">
        <f t="shared" si="30"/>
        <v/>
      </c>
      <c r="L123" s="166" t="e">
        <f t="shared" si="31"/>
        <v>#N/A</v>
      </c>
    </row>
    <row r="124" spans="1:12">
      <c r="A124" t="s">
        <v>37</v>
      </c>
      <c r="B124" s="158" t="str">
        <f>Difensori!B52</f>
        <v>FERRARI G</v>
      </c>
      <c r="C124" s="158" t="str">
        <f>Difensori!C52</f>
        <v>SAM</v>
      </c>
      <c r="D124" s="166">
        <f t="shared" si="24"/>
        <v>4.467826690462033</v>
      </c>
      <c r="E124" s="166">
        <f t="shared" si="25"/>
        <v>3.6429927544346654</v>
      </c>
      <c r="F124">
        <f t="shared" si="26"/>
        <v>40</v>
      </c>
      <c r="G124">
        <f>IF(ISNA(VLOOKUP(B124,'IA FG'!$B$2:$D$578,3,FALSE)),0,VLOOKUP(B124,'IA FG'!$B$2:$D$578,3,FALSE))</f>
        <v>76</v>
      </c>
      <c r="H124" s="166" t="str">
        <f t="shared" si="27"/>
        <v/>
      </c>
      <c r="I124" s="166">
        <f t="shared" si="28"/>
        <v>80</v>
      </c>
      <c r="J124" s="166" t="str">
        <f t="shared" si="29"/>
        <v/>
      </c>
      <c r="K124" s="166" t="str">
        <f t="shared" si="30"/>
        <v/>
      </c>
      <c r="L124" s="166" t="e">
        <f t="shared" si="31"/>
        <v>#N/A</v>
      </c>
    </row>
    <row r="125" spans="1:12">
      <c r="A125" t="s">
        <v>37</v>
      </c>
      <c r="B125" s="158" t="str">
        <f>Difensori!B53</f>
        <v>D'AMBROSIO</v>
      </c>
      <c r="C125" s="158" t="str">
        <f>Difensori!C53</f>
        <v>INT</v>
      </c>
      <c r="D125" s="166">
        <f t="shared" si="24"/>
        <v>4.3922268490977565</v>
      </c>
      <c r="E125" s="166">
        <f t="shared" si="25"/>
        <v>3.5664961768028292</v>
      </c>
      <c r="F125">
        <f t="shared" si="26"/>
        <v>40</v>
      </c>
      <c r="G125">
        <f>IF(ISNA(VLOOKUP(B125,'IA FG'!$B$2:$D$578,3,FALSE)),0,VLOOKUP(B125,'IA FG'!$B$2:$D$578,3,FALSE))</f>
        <v>76</v>
      </c>
      <c r="H125" s="166" t="str">
        <f t="shared" si="27"/>
        <v/>
      </c>
      <c r="I125" s="166">
        <f t="shared" si="28"/>
        <v>80</v>
      </c>
      <c r="J125" s="166" t="str">
        <f t="shared" si="29"/>
        <v/>
      </c>
      <c r="K125" s="166" t="str">
        <f t="shared" si="30"/>
        <v/>
      </c>
      <c r="L125" s="166" t="e">
        <f t="shared" si="31"/>
        <v>#N/A</v>
      </c>
    </row>
    <row r="126" spans="1:12">
      <c r="A126" t="s">
        <v>37</v>
      </c>
      <c r="B126" s="158" t="str">
        <f>Difensori!B54</f>
        <v>SKRINIAR</v>
      </c>
      <c r="C126" s="158" t="str">
        <f>Difensori!C54</f>
        <v>INT</v>
      </c>
      <c r="D126" s="166">
        <f t="shared" si="24"/>
        <v>4.184088371231276</v>
      </c>
      <c r="E126" s="166">
        <f t="shared" si="25"/>
        <v>3.5664961768028292</v>
      </c>
      <c r="F126">
        <f t="shared" si="26"/>
        <v>40</v>
      </c>
      <c r="G126">
        <f>IF(ISNA(VLOOKUP(B126,'IA FG'!$B$2:$D$578,3,FALSE)),0,VLOOKUP(B126,'IA FG'!$B$2:$D$578,3,FALSE))</f>
        <v>76</v>
      </c>
      <c r="H126" s="166">
        <f t="shared" si="27"/>
        <v>0</v>
      </c>
      <c r="I126" s="166">
        <f t="shared" si="28"/>
        <v>80</v>
      </c>
      <c r="J126" s="166" t="str">
        <f t="shared" si="29"/>
        <v/>
      </c>
      <c r="K126" s="166" t="str">
        <f t="shared" si="30"/>
        <v/>
      </c>
      <c r="L126" s="166" t="e">
        <f t="shared" si="31"/>
        <v>#N/A</v>
      </c>
    </row>
    <row r="127" spans="1:12">
      <c r="A127" t="s">
        <v>37</v>
      </c>
      <c r="B127" s="158" t="str">
        <f>Difensori!B55</f>
        <v>CASTAGNE</v>
      </c>
      <c r="C127" s="158" t="str">
        <f>Difensori!C55</f>
        <v>ATA</v>
      </c>
      <c r="D127" s="166">
        <f t="shared" si="24"/>
        <v>4.164434184764378</v>
      </c>
      <c r="E127" s="166">
        <f t="shared" si="25"/>
        <v>3.5468077133795397</v>
      </c>
      <c r="F127">
        <f t="shared" si="26"/>
        <v>40</v>
      </c>
      <c r="G127">
        <f>IF(ISNA(VLOOKUP(B127,'IA FG'!$B$2:$D$578,3,FALSE)),0,VLOOKUP(B127,'IA FG'!$B$2:$D$578,3,FALSE))</f>
        <v>72</v>
      </c>
      <c r="H127" s="166">
        <f t="shared" si="27"/>
        <v>0</v>
      </c>
      <c r="I127" s="166">
        <f t="shared" si="28"/>
        <v>60</v>
      </c>
      <c r="J127" s="166" t="str">
        <f t="shared" si="29"/>
        <v/>
      </c>
      <c r="K127" s="166" t="str">
        <f t="shared" si="30"/>
        <v/>
      </c>
      <c r="L127" s="166" t="e">
        <f t="shared" si="31"/>
        <v>#N/A</v>
      </c>
    </row>
    <row r="128" spans="1:12">
      <c r="A128" t="s">
        <v>37</v>
      </c>
      <c r="B128" s="158" t="str">
        <f>Difensori!B56</f>
        <v>BASTA</v>
      </c>
      <c r="C128" s="158" t="str">
        <f>Difensori!C56</f>
        <v>LAZ</v>
      </c>
      <c r="D128" s="166">
        <f t="shared" si="24"/>
        <v>4.2102914931588344</v>
      </c>
      <c r="E128" s="166">
        <f t="shared" si="25"/>
        <v>4.0721260145267522</v>
      </c>
      <c r="F128">
        <f t="shared" si="26"/>
        <v>39</v>
      </c>
      <c r="G128">
        <f>IF(ISNA(VLOOKUP(B128,'IA FG'!$B$2:$D$578,3,FALSE)),0,VLOOKUP(B128,'IA FG'!$B$2:$D$578,3,FALSE))</f>
        <v>74</v>
      </c>
      <c r="H128" s="166" t="str">
        <f t="shared" si="27"/>
        <v/>
      </c>
      <c r="I128" s="166">
        <f t="shared" si="28"/>
        <v>70</v>
      </c>
      <c r="J128" s="166" t="str">
        <f t="shared" si="29"/>
        <v/>
      </c>
      <c r="K128" s="166" t="str">
        <f t="shared" si="30"/>
        <v/>
      </c>
      <c r="L128" s="166" t="e">
        <f t="shared" si="31"/>
        <v>#N/A</v>
      </c>
    </row>
    <row r="129" spans="1:12">
      <c r="A129" t="s">
        <v>37</v>
      </c>
      <c r="B129" s="158" t="str">
        <f>Difensori!B57</f>
        <v>MARUSIC</v>
      </c>
      <c r="C129" s="158" t="str">
        <f>Difensori!C57</f>
        <v>LAZ</v>
      </c>
      <c r="D129" s="166">
        <f t="shared" si="24"/>
        <v>4.2050862581796622</v>
      </c>
      <c r="E129" s="166">
        <f t="shared" si="25"/>
        <v>4.0668590370504631</v>
      </c>
      <c r="F129">
        <f t="shared" si="26"/>
        <v>39</v>
      </c>
      <c r="G129">
        <f>IF(ISNA(VLOOKUP(B129,'IA FG'!$B$2:$D$578,3,FALSE)),0,VLOOKUP(B129,'IA FG'!$B$2:$D$578,3,FALSE))</f>
        <v>60</v>
      </c>
      <c r="H129" s="166" t="str">
        <f t="shared" si="27"/>
        <v/>
      </c>
      <c r="I129" s="166">
        <f t="shared" si="28"/>
        <v>60</v>
      </c>
      <c r="J129" s="166" t="str">
        <f t="shared" si="29"/>
        <v/>
      </c>
      <c r="K129" s="166" t="str">
        <f t="shared" si="30"/>
        <v/>
      </c>
      <c r="L129" s="166" t="e">
        <f t="shared" si="31"/>
        <v>#N/A</v>
      </c>
    </row>
    <row r="130" spans="1:12">
      <c r="A130" t="s">
        <v>37</v>
      </c>
      <c r="B130" s="158" t="str">
        <f>Difensori!B58</f>
        <v>ABATE</v>
      </c>
      <c r="C130" s="158" t="str">
        <f>Difensori!C58</f>
        <v>MIL</v>
      </c>
      <c r="D130" s="166">
        <f t="shared" si="24"/>
        <v>3.3115426408216138</v>
      </c>
      <c r="E130" s="166">
        <f t="shared" si="25"/>
        <v>2.6924287241897211</v>
      </c>
      <c r="F130">
        <f t="shared" si="26"/>
        <v>38</v>
      </c>
      <c r="G130">
        <f>IF(ISNA(VLOOKUP(B130,'IA FG'!$B$2:$D$578,3,FALSE)),0,VLOOKUP(B130,'IA FG'!$B$2:$D$578,3,FALSE))</f>
        <v>68</v>
      </c>
      <c r="H130" s="166" t="str">
        <f t="shared" si="27"/>
        <v/>
      </c>
      <c r="I130" s="166">
        <f t="shared" si="28"/>
        <v>60</v>
      </c>
      <c r="J130" s="166" t="str">
        <f t="shared" si="29"/>
        <v/>
      </c>
      <c r="K130" s="166" t="str">
        <f t="shared" si="30"/>
        <v/>
      </c>
      <c r="L130" s="166" t="e">
        <f t="shared" si="31"/>
        <v>#N/A</v>
      </c>
    </row>
    <row r="131" spans="1:12">
      <c r="A131" t="s">
        <v>37</v>
      </c>
      <c r="B131" s="158" t="str">
        <f>Difensori!B59</f>
        <v>ROSSETTINI</v>
      </c>
      <c r="C131" s="158" t="str">
        <f>Difensori!C59</f>
        <v>GEN</v>
      </c>
      <c r="D131" s="166">
        <f t="shared" si="24"/>
        <v>3.5085762442990358</v>
      </c>
      <c r="E131" s="166">
        <f t="shared" si="25"/>
        <v>2.6723640480895945</v>
      </c>
      <c r="F131">
        <f t="shared" si="26"/>
        <v>40</v>
      </c>
      <c r="G131">
        <f>IF(ISNA(VLOOKUP(B131,'IA FG'!$B$2:$D$578,3,FALSE)),0,VLOOKUP(B131,'IA FG'!$B$2:$D$578,3,FALSE))</f>
        <v>71</v>
      </c>
      <c r="H131" s="166" t="str">
        <f t="shared" si="27"/>
        <v/>
      </c>
      <c r="I131" s="166">
        <f t="shared" si="28"/>
        <v>70</v>
      </c>
      <c r="J131" s="166" t="str">
        <f t="shared" si="29"/>
        <v/>
      </c>
      <c r="K131" s="166" t="str">
        <f t="shared" si="30"/>
        <v/>
      </c>
      <c r="L131" s="166" t="e">
        <f t="shared" si="31"/>
        <v>#N/A</v>
      </c>
    </row>
    <row r="132" spans="1:12">
      <c r="A132" t="s">
        <v>37</v>
      </c>
      <c r="B132" s="158" t="str">
        <f>Difensori!B60</f>
        <v>ZUKANOVIC</v>
      </c>
      <c r="C132" s="158" t="str">
        <f>Difensori!C60</f>
        <v>GEN</v>
      </c>
      <c r="D132" s="166">
        <f t="shared" si="24"/>
        <v>3.286255088806886</v>
      </c>
      <c r="E132" s="166">
        <f t="shared" si="25"/>
        <v>2.6670970706133055</v>
      </c>
      <c r="F132">
        <f t="shared" si="26"/>
        <v>40</v>
      </c>
      <c r="G132">
        <f>IF(ISNA(VLOOKUP(B132,'IA FG'!$B$2:$D$578,3,FALSE)),0,VLOOKUP(B132,'IA FG'!$B$2:$D$578,3,FALSE))</f>
        <v>73</v>
      </c>
      <c r="H132" s="166" t="str">
        <f t="shared" si="27"/>
        <v/>
      </c>
      <c r="I132" s="166">
        <f t="shared" si="28"/>
        <v>60</v>
      </c>
      <c r="J132" s="166" t="str">
        <f t="shared" si="29"/>
        <v/>
      </c>
      <c r="K132" s="166">
        <f t="shared" si="30"/>
        <v>2</v>
      </c>
      <c r="L132" s="166" t="e">
        <f t="shared" si="31"/>
        <v>#N/A</v>
      </c>
    </row>
    <row r="133" spans="1:12">
      <c r="A133" t="s">
        <v>37</v>
      </c>
      <c r="B133" s="158" t="str">
        <f>Difensori!B61</f>
        <v>MAKSIMOVIC</v>
      </c>
      <c r="C133" s="158" t="str">
        <f>Difensori!C61</f>
        <v>NAP</v>
      </c>
      <c r="D133" s="166">
        <f t="shared" si="24"/>
        <v>3.1918649194053224</v>
      </c>
      <c r="E133" s="166">
        <f t="shared" si="25"/>
        <v>3.262265525434195</v>
      </c>
      <c r="F133">
        <f t="shared" si="26"/>
        <v>38</v>
      </c>
      <c r="G133">
        <f>IF(ISNA(VLOOKUP(B133,'IA FG'!$B$2:$D$578,3,FALSE)),0,VLOOKUP(B133,'IA FG'!$B$2:$D$578,3,FALSE))</f>
        <v>68</v>
      </c>
      <c r="H133" s="166" t="str">
        <f t="shared" si="27"/>
        <v/>
      </c>
      <c r="I133" s="166">
        <f t="shared" si="28"/>
        <v>60</v>
      </c>
      <c r="J133" s="166" t="str">
        <f t="shared" si="29"/>
        <v/>
      </c>
      <c r="K133" s="166" t="str">
        <f t="shared" si="30"/>
        <v/>
      </c>
      <c r="L133" s="166" t="e">
        <f t="shared" si="31"/>
        <v>#N/A</v>
      </c>
    </row>
    <row r="134" spans="1:12">
      <c r="A134" t="s">
        <v>37</v>
      </c>
      <c r="B134" s="158" t="str">
        <f>Difensori!B62</f>
        <v>CHIRICHES</v>
      </c>
      <c r="C134" s="158" t="str">
        <f>Difensori!C62</f>
        <v>NAP</v>
      </c>
      <c r="D134" s="166">
        <f t="shared" si="24"/>
        <v>3.1918649194053224</v>
      </c>
      <c r="E134" s="166">
        <f t="shared" si="25"/>
        <v>3.262265525434195</v>
      </c>
      <c r="F134">
        <f t="shared" si="26"/>
        <v>38</v>
      </c>
      <c r="G134">
        <f>IF(ISNA(VLOOKUP(B134,'IA FG'!$B$2:$D$578,3,FALSE)),0,VLOOKUP(B134,'IA FG'!$B$2:$D$578,3,FALSE))</f>
        <v>69</v>
      </c>
      <c r="H134" s="166" t="str">
        <f t="shared" si="27"/>
        <v/>
      </c>
      <c r="I134" s="166">
        <f t="shared" si="28"/>
        <v>60</v>
      </c>
      <c r="J134" s="166" t="str">
        <f t="shared" si="29"/>
        <v/>
      </c>
      <c r="K134" s="166" t="str">
        <f t="shared" si="30"/>
        <v/>
      </c>
      <c r="L134" s="166" t="e">
        <f t="shared" si="31"/>
        <v>#N/A</v>
      </c>
    </row>
    <row r="135" spans="1:12">
      <c r="A135" t="s">
        <v>37</v>
      </c>
      <c r="B135" s="158" t="str">
        <f>Difensori!B63</f>
        <v>HEURTAUX</v>
      </c>
      <c r="C135" s="158" t="str">
        <f>Difensori!C63</f>
        <v>VER</v>
      </c>
      <c r="D135" s="166">
        <f t="shared" si="24"/>
        <v>2.9948691255205233</v>
      </c>
      <c r="E135" s="166">
        <f t="shared" si="25"/>
        <v>2.8422867738127842</v>
      </c>
      <c r="F135">
        <f t="shared" si="26"/>
        <v>40</v>
      </c>
      <c r="G135">
        <f>IF(ISNA(VLOOKUP(B135,'IA FG'!$B$2:$D$578,3,FALSE)),0,VLOOKUP(B135,'IA FG'!$B$2:$D$578,3,FALSE))</f>
        <v>76</v>
      </c>
      <c r="H135" s="166">
        <f t="shared" si="27"/>
        <v>0</v>
      </c>
      <c r="I135" s="166">
        <f t="shared" si="28"/>
        <v>70</v>
      </c>
      <c r="J135" s="166" t="str">
        <f t="shared" si="29"/>
        <v/>
      </c>
      <c r="K135" s="166" t="str">
        <f t="shared" si="30"/>
        <v/>
      </c>
      <c r="L135" s="166" t="e">
        <f t="shared" si="31"/>
        <v>#N/A</v>
      </c>
    </row>
    <row r="136" spans="1:12">
      <c r="A136" t="s">
        <v>37</v>
      </c>
      <c r="B136" s="158" t="str">
        <f>Difensori!B64</f>
        <v>GOSENS</v>
      </c>
      <c r="C136" s="158" t="str">
        <f>Difensori!C64</f>
        <v>ATA</v>
      </c>
      <c r="D136" s="166">
        <f t="shared" si="24"/>
        <v>2.823592107872301</v>
      </c>
      <c r="E136" s="166">
        <f t="shared" si="25"/>
        <v>1.9792548930548115</v>
      </c>
      <c r="F136">
        <f t="shared" si="26"/>
        <v>39</v>
      </c>
      <c r="G136">
        <f>IF(ISNA(VLOOKUP(B136,'IA FG'!$B$2:$D$578,3,FALSE)),0,VLOOKUP(B136,'IA FG'!$B$2:$D$578,3,FALSE))</f>
        <v>68</v>
      </c>
      <c r="H136" s="166" t="str">
        <f t="shared" si="27"/>
        <v/>
      </c>
      <c r="I136" s="166">
        <f t="shared" si="28"/>
        <v>60</v>
      </c>
      <c r="J136" s="166" t="str">
        <f t="shared" si="29"/>
        <v/>
      </c>
      <c r="K136" s="166" t="str">
        <f t="shared" si="30"/>
        <v/>
      </c>
      <c r="L136" s="166" t="e">
        <f t="shared" si="31"/>
        <v>#N/A</v>
      </c>
    </row>
    <row r="137" spans="1:12">
      <c r="A137" t="s">
        <v>37</v>
      </c>
      <c r="B137" s="158" t="str">
        <f>Difensori!B65</f>
        <v>PALOMINO</v>
      </c>
      <c r="C137" s="158" t="str">
        <f>Difensori!C65</f>
        <v>ATA</v>
      </c>
      <c r="D137" s="166">
        <f t="shared" si="24"/>
        <v>2.8133055720801075</v>
      </c>
      <c r="E137" s="166">
        <f t="shared" si="25"/>
        <v>2.6585695832707401</v>
      </c>
      <c r="F137">
        <f t="shared" si="26"/>
        <v>39</v>
      </c>
      <c r="G137">
        <f>IF(ISNA(VLOOKUP(B137,'IA FG'!$B$2:$D$578,3,FALSE)),0,VLOOKUP(B137,'IA FG'!$B$2:$D$578,3,FALSE))</f>
        <v>67</v>
      </c>
      <c r="H137" s="166" t="str">
        <f t="shared" si="27"/>
        <v/>
      </c>
      <c r="I137" s="166">
        <f t="shared" si="28"/>
        <v>50</v>
      </c>
      <c r="J137" s="166" t="str">
        <f t="shared" si="29"/>
        <v/>
      </c>
      <c r="K137" s="166" t="str">
        <f t="shared" si="30"/>
        <v/>
      </c>
      <c r="L137" s="166" t="e">
        <f t="shared" si="31"/>
        <v>#N/A</v>
      </c>
    </row>
    <row r="138" spans="1:12">
      <c r="A138" t="s">
        <v>37</v>
      </c>
      <c r="B138" s="158" t="str">
        <f>Difensori!B66</f>
        <v>VITOR HUGO</v>
      </c>
      <c r="C138" s="158" t="str">
        <f>Difensori!C66</f>
        <v>FIO</v>
      </c>
      <c r="D138" s="166">
        <f t="shared" ref="D138:D169" si="32">IF(ISNA(VLOOKUP($B138,TabAlgDif,11,FALSE)),0,VLOOKUP($B138,TabAlgDif,11,FALSE))</f>
        <v>2.5347641247252213</v>
      </c>
      <c r="E138" s="166">
        <f t="shared" ref="E138:E169" si="33">IF(ISNA(VLOOKUP($B138,TabAlgDif,14,FALSE)),0,VLOOKUP($B138,TabAlgDif,14,FALSE))</f>
        <v>1.224572263237679</v>
      </c>
      <c r="F138">
        <f t="shared" ref="F138:F169" si="34">IF(ISNA(VLOOKUP($B138,TabAlgDif,15,FALSE)),0,VLOOKUP($B138,TabAlgDif,15,FALSE))</f>
        <v>39</v>
      </c>
      <c r="G138">
        <f>IF(ISNA(VLOOKUP(B138,'IA FG'!$B$2:$D$578,3,FALSE)),0,VLOOKUP(B138,'IA FG'!$B$2:$D$578,3,FALSE))</f>
        <v>77</v>
      </c>
      <c r="H138" s="166" t="str">
        <f t="shared" ref="H138:H169" si="35">IF(ISNA(VLOOKUP($B138,TabAlgDif,16,FALSE)),"",VLOOKUP($B138,TabAlgDif,16,FALSE))</f>
        <v/>
      </c>
      <c r="I138" s="166">
        <f t="shared" ref="I138:I169" si="36">IF(ISNA(VLOOKUP($B138,TabAlgDif,4,FALSE)),0,VLOOKUP($B138,TabAlgDif,4,FALSE))*10</f>
        <v>70</v>
      </c>
      <c r="J138" s="166" t="str">
        <f t="shared" ref="J138:J169" si="37">IF(ISNA(VLOOKUP($B138,TabAlgDif,17,FALSE)),"",VLOOKUP($B138,TabAlgDif,17,FALSE))</f>
        <v/>
      </c>
      <c r="K138" s="166" t="str">
        <f t="shared" ref="K138:K169" si="38">IF(ISNA(VLOOKUP($B138,TabAlgDif,18,FALSE)),"",VLOOKUP($B138,TabAlgDif,18,FALSE))</f>
        <v/>
      </c>
      <c r="L138" s="166" t="e">
        <f t="shared" ref="L138:L169" si="39">VLOOKUP($B138,TabAlgDif,19,FALSE)</f>
        <v>#N/A</v>
      </c>
    </row>
    <row r="139" spans="1:12">
      <c r="A139" t="s">
        <v>37</v>
      </c>
      <c r="B139" s="158" t="str">
        <f>Difensori!B67</f>
        <v>CACCIATORE</v>
      </c>
      <c r="C139" s="158" t="str">
        <f>Difensori!C67</f>
        <v>CHI</v>
      </c>
      <c r="D139" s="166">
        <f t="shared" si="32"/>
        <v>2.4537725560182473</v>
      </c>
      <c r="E139" s="166">
        <f t="shared" si="33"/>
        <v>1</v>
      </c>
      <c r="F139">
        <f t="shared" si="34"/>
        <v>37</v>
      </c>
      <c r="G139">
        <f>IF(ISNA(VLOOKUP(B139,'IA FG'!$B$2:$D$578,3,FALSE)),0,VLOOKUP(B139,'IA FG'!$B$2:$D$578,3,FALSE))</f>
        <v>74</v>
      </c>
      <c r="H139" s="166" t="str">
        <f t="shared" si="35"/>
        <v/>
      </c>
      <c r="I139" s="166">
        <f t="shared" si="36"/>
        <v>90</v>
      </c>
      <c r="J139" s="166" t="str">
        <f t="shared" si="37"/>
        <v/>
      </c>
      <c r="K139" s="166" t="str">
        <f t="shared" si="38"/>
        <v/>
      </c>
      <c r="L139" s="166" t="e">
        <f t="shared" si="39"/>
        <v>#N/A</v>
      </c>
    </row>
    <row r="140" spans="1:12">
      <c r="A140" t="s">
        <v>37</v>
      </c>
      <c r="B140" s="158" t="str">
        <f>Difensori!B68</f>
        <v>GONZALEZ G</v>
      </c>
      <c r="C140" s="158" t="str">
        <f>Difensori!C68</f>
        <v>BOL</v>
      </c>
      <c r="D140" s="166">
        <f t="shared" si="32"/>
        <v>2.2137120761451463</v>
      </c>
      <c r="E140" s="166">
        <f t="shared" si="33"/>
        <v>1.3621406987493643</v>
      </c>
      <c r="F140">
        <f t="shared" si="34"/>
        <v>39</v>
      </c>
      <c r="G140">
        <f>IF(ISNA(VLOOKUP(B140,'IA FG'!$B$2:$D$578,3,FALSE)),0,VLOOKUP(B140,'IA FG'!$B$2:$D$578,3,FALSE))</f>
        <v>74</v>
      </c>
      <c r="H140" s="166" t="str">
        <f t="shared" si="35"/>
        <v/>
      </c>
      <c r="I140" s="166">
        <f t="shared" si="36"/>
        <v>80</v>
      </c>
      <c r="J140" s="166" t="str">
        <f t="shared" si="37"/>
        <v/>
      </c>
      <c r="K140" s="166" t="str">
        <f t="shared" si="38"/>
        <v/>
      </c>
      <c r="L140" s="166" t="e">
        <f t="shared" si="39"/>
        <v>#N/A</v>
      </c>
    </row>
    <row r="141" spans="1:12">
      <c r="A141" t="s">
        <v>37</v>
      </c>
      <c r="B141" s="158" t="str">
        <f>Difensori!B69</f>
        <v>MARTELLA</v>
      </c>
      <c r="C141" s="158" t="str">
        <f>Difensori!C69</f>
        <v>CRO</v>
      </c>
      <c r="D141" s="166">
        <f t="shared" si="32"/>
        <v>2.0507386476303857</v>
      </c>
      <c r="E141" s="166">
        <f t="shared" si="33"/>
        <v>1.1972341420512187</v>
      </c>
      <c r="F141">
        <f t="shared" si="34"/>
        <v>39</v>
      </c>
      <c r="G141">
        <f>IF(ISNA(VLOOKUP(B141,'IA FG'!$B$2:$D$578,3,FALSE)),0,VLOOKUP(B141,'IA FG'!$B$2:$D$578,3,FALSE))</f>
        <v>70</v>
      </c>
      <c r="H141" s="166" t="str">
        <f t="shared" si="35"/>
        <v/>
      </c>
      <c r="I141" s="166">
        <f t="shared" si="36"/>
        <v>70</v>
      </c>
      <c r="J141" s="166" t="str">
        <f t="shared" si="37"/>
        <v/>
      </c>
      <c r="K141" s="166" t="str">
        <f t="shared" si="38"/>
        <v/>
      </c>
      <c r="L141" s="166" t="e">
        <f t="shared" si="39"/>
        <v>#N/A</v>
      </c>
    </row>
    <row r="142" spans="1:12">
      <c r="A142" t="s">
        <v>37</v>
      </c>
      <c r="B142" s="158" t="str">
        <f>Difensori!B70</f>
        <v>ANGELLA</v>
      </c>
      <c r="C142" s="158" t="str">
        <f>Difensori!C70</f>
        <v>UDI</v>
      </c>
      <c r="D142" s="166">
        <f t="shared" si="32"/>
        <v>2.0476402934761175</v>
      </c>
      <c r="E142" s="166">
        <f t="shared" si="33"/>
        <v>1</v>
      </c>
      <c r="F142">
        <f t="shared" si="34"/>
        <v>38</v>
      </c>
      <c r="G142">
        <f>IF(ISNA(VLOOKUP(B142,'IA FG'!$B$2:$D$578,3,FALSE)),0,VLOOKUP(B142,'IA FG'!$B$2:$D$578,3,FALSE))</f>
        <v>67</v>
      </c>
      <c r="H142" s="166">
        <f t="shared" si="35"/>
        <v>-1</v>
      </c>
      <c r="I142" s="166">
        <f t="shared" si="36"/>
        <v>60</v>
      </c>
      <c r="J142" s="166" t="str">
        <f t="shared" si="37"/>
        <v/>
      </c>
      <c r="K142" s="166" t="str">
        <f t="shared" si="38"/>
        <v/>
      </c>
      <c r="L142" s="166" t="e">
        <f t="shared" si="39"/>
        <v>#N/A</v>
      </c>
    </row>
    <row r="143" spans="1:12">
      <c r="A143" t="s">
        <v>37</v>
      </c>
      <c r="B143" s="158" t="str">
        <f>Difensori!B71</f>
        <v>LYANCO</v>
      </c>
      <c r="C143" s="158" t="str">
        <f>Difensori!C71</f>
        <v>TOR</v>
      </c>
      <c r="D143" s="166">
        <f t="shared" si="32"/>
        <v>2.0056266111441694</v>
      </c>
      <c r="E143" s="166">
        <f t="shared" si="33"/>
        <v>1.1515870039233604</v>
      </c>
      <c r="F143">
        <f t="shared" si="34"/>
        <v>39</v>
      </c>
      <c r="G143">
        <f>IF(ISNA(VLOOKUP(B143,'IA FG'!$B$2:$D$578,3,FALSE)),0,VLOOKUP(B143,'IA FG'!$B$2:$D$578,3,FALSE))</f>
        <v>70</v>
      </c>
      <c r="H143" s="166" t="str">
        <f t="shared" si="35"/>
        <v/>
      </c>
      <c r="I143" s="166">
        <f t="shared" si="36"/>
        <v>70</v>
      </c>
      <c r="J143" s="166" t="str">
        <f t="shared" si="37"/>
        <v/>
      </c>
      <c r="K143" s="166" t="str">
        <f t="shared" si="38"/>
        <v/>
      </c>
      <c r="L143" s="166" t="e">
        <f t="shared" si="39"/>
        <v>#N/A</v>
      </c>
    </row>
    <row r="144" spans="1:12">
      <c r="A144" t="s">
        <v>37</v>
      </c>
      <c r="B144" s="158" t="str">
        <f>Difensori!B72</f>
        <v>BIRASCHI</v>
      </c>
      <c r="C144" s="158" t="str">
        <f>Difensori!C72</f>
        <v>GEN</v>
      </c>
      <c r="D144" s="166">
        <f t="shared" si="32"/>
        <v>1.7266891333630454</v>
      </c>
      <c r="E144" s="166">
        <f t="shared" si="33"/>
        <v>1.1048112277648663</v>
      </c>
      <c r="F144">
        <f t="shared" si="34"/>
        <v>39</v>
      </c>
      <c r="G144">
        <f>IF(ISNA(VLOOKUP(B144,'IA FG'!$B$2:$D$578,3,FALSE)),0,VLOOKUP(B144,'IA FG'!$B$2:$D$578,3,FALSE))</f>
        <v>64</v>
      </c>
      <c r="H144" s="166" t="str">
        <f t="shared" si="35"/>
        <v/>
      </c>
      <c r="I144" s="166">
        <f t="shared" si="36"/>
        <v>70</v>
      </c>
      <c r="J144" s="166" t="str">
        <f t="shared" si="37"/>
        <v/>
      </c>
      <c r="K144" s="166" t="str">
        <f t="shared" si="38"/>
        <v/>
      </c>
      <c r="L144" s="166" t="e">
        <f t="shared" si="39"/>
        <v>#N/A</v>
      </c>
    </row>
    <row r="145" spans="1:12">
      <c r="A145" t="s">
        <v>37</v>
      </c>
      <c r="B145" s="158" t="str">
        <f>Difensori!B73</f>
        <v>GOMEZ G</v>
      </c>
      <c r="C145" s="158" t="str">
        <f>Difensori!C73</f>
        <v>MIL</v>
      </c>
      <c r="D145" s="166">
        <f t="shared" si="32"/>
        <v>1.767549077929818</v>
      </c>
      <c r="E145" s="166">
        <f t="shared" si="33"/>
        <v>1</v>
      </c>
      <c r="F145">
        <f t="shared" si="34"/>
        <v>37</v>
      </c>
      <c r="G145">
        <f>IF(ISNA(VLOOKUP(B145,'IA FG'!$B$2:$D$578,3,FALSE)),0,VLOOKUP(B145,'IA FG'!$B$2:$D$578,3,FALSE))</f>
        <v>58</v>
      </c>
      <c r="H145" s="166" t="str">
        <f t="shared" si="35"/>
        <v/>
      </c>
      <c r="I145" s="166">
        <f t="shared" si="36"/>
        <v>50</v>
      </c>
      <c r="J145" s="166" t="str">
        <f t="shared" si="37"/>
        <v/>
      </c>
      <c r="K145" s="166" t="str">
        <f t="shared" si="38"/>
        <v/>
      </c>
      <c r="L145" s="166" t="e">
        <f t="shared" si="39"/>
        <v>#N/A</v>
      </c>
    </row>
    <row r="146" spans="1:12">
      <c r="A146" t="s">
        <v>37</v>
      </c>
      <c r="B146" s="158" t="str">
        <f>Difensori!B74</f>
        <v>PISACANE</v>
      </c>
      <c r="C146" s="158" t="str">
        <f>Difensori!C74</f>
        <v>CAG</v>
      </c>
      <c r="D146" s="166">
        <f t="shared" si="32"/>
        <v>1.2697605944828148</v>
      </c>
      <c r="E146" s="166">
        <f t="shared" si="33"/>
        <v>1</v>
      </c>
      <c r="F146">
        <f t="shared" si="34"/>
        <v>39</v>
      </c>
      <c r="G146">
        <f>IF(ISNA(VLOOKUP(B146,'IA FG'!$B$2:$D$578,3,FALSE)),0,VLOOKUP(B146,'IA FG'!$B$2:$D$578,3,FALSE))</f>
        <v>73</v>
      </c>
      <c r="H146" s="166" t="str">
        <f t="shared" si="35"/>
        <v/>
      </c>
      <c r="I146" s="166">
        <f t="shared" si="36"/>
        <v>70</v>
      </c>
      <c r="J146" s="166" t="str">
        <f t="shared" si="37"/>
        <v/>
      </c>
      <c r="K146" s="166" t="str">
        <f t="shared" si="38"/>
        <v/>
      </c>
      <c r="L146" s="166" t="e">
        <f t="shared" si="39"/>
        <v>#N/A</v>
      </c>
    </row>
    <row r="147" spans="1:12">
      <c r="A147" t="s">
        <v>37</v>
      </c>
      <c r="B147" s="158" t="str">
        <f>Difensori!B75</f>
        <v>GASPAR</v>
      </c>
      <c r="C147" s="158" t="str">
        <f>Difensori!C75</f>
        <v>FIO</v>
      </c>
      <c r="D147" s="166">
        <f t="shared" si="32"/>
        <v>1.210217132659146</v>
      </c>
      <c r="E147" s="166">
        <f t="shared" si="33"/>
        <v>1</v>
      </c>
      <c r="F147">
        <f t="shared" si="34"/>
        <v>38</v>
      </c>
      <c r="G147">
        <f>IF(ISNA(VLOOKUP(B147,'IA FG'!$B$2:$D$578,3,FALSE)),0,VLOOKUP(B147,'IA FG'!$B$2:$D$578,3,FALSE))</f>
        <v>74</v>
      </c>
      <c r="H147" s="166" t="str">
        <f t="shared" si="35"/>
        <v/>
      </c>
      <c r="I147" s="166">
        <f t="shared" si="36"/>
        <v>70</v>
      </c>
      <c r="J147" s="166" t="str">
        <f t="shared" si="37"/>
        <v/>
      </c>
      <c r="K147" s="166" t="str">
        <f t="shared" si="38"/>
        <v/>
      </c>
      <c r="L147" s="166" t="e">
        <f t="shared" si="39"/>
        <v>#N/A</v>
      </c>
    </row>
    <row r="148" spans="1:12">
      <c r="A148" t="s">
        <v>37</v>
      </c>
      <c r="B148" s="158" t="str">
        <f>Difensori!B76</f>
        <v>OLIVERA M</v>
      </c>
      <c r="C148" s="158" t="str">
        <f>Difensori!C76</f>
        <v>FIO</v>
      </c>
      <c r="D148" s="166">
        <f t="shared" si="32"/>
        <v>1</v>
      </c>
      <c r="E148" s="166">
        <f t="shared" si="33"/>
        <v>1</v>
      </c>
      <c r="F148">
        <f t="shared" si="34"/>
        <v>38</v>
      </c>
      <c r="G148">
        <f>IF(ISNA(VLOOKUP(B148,'IA FG'!$B$2:$D$578,3,FALSE)),0,VLOOKUP(B148,'IA FG'!$B$2:$D$578,3,FALSE))</f>
        <v>70</v>
      </c>
      <c r="H148" s="166" t="str">
        <f t="shared" si="35"/>
        <v/>
      </c>
      <c r="I148" s="166">
        <f t="shared" si="36"/>
        <v>70</v>
      </c>
      <c r="J148" s="166" t="str">
        <f t="shared" si="37"/>
        <v/>
      </c>
      <c r="K148" s="166" t="str">
        <f t="shared" si="38"/>
        <v/>
      </c>
      <c r="L148" s="166" t="e">
        <f t="shared" si="39"/>
        <v>#N/A</v>
      </c>
    </row>
    <row r="149" spans="1:12">
      <c r="A149" t="s">
        <v>37</v>
      </c>
      <c r="B149" s="158" t="str">
        <f>Difensori!B77</f>
        <v>MILENKOVIC</v>
      </c>
      <c r="C149" s="158" t="str">
        <f>Difensori!C77</f>
        <v>FIO</v>
      </c>
      <c r="D149" s="166">
        <f t="shared" si="32"/>
        <v>1</v>
      </c>
      <c r="E149" s="166">
        <f t="shared" si="33"/>
        <v>1</v>
      </c>
      <c r="F149">
        <f t="shared" si="34"/>
        <v>38</v>
      </c>
      <c r="G149">
        <f>IF(ISNA(VLOOKUP(B149,'IA FG'!$B$2:$D$578,3,FALSE)),0,VLOOKUP(B149,'IA FG'!$B$2:$D$578,3,FALSE))</f>
        <v>75</v>
      </c>
      <c r="H149" s="166" t="str">
        <f t="shared" si="35"/>
        <v/>
      </c>
      <c r="I149" s="166">
        <f t="shared" si="36"/>
        <v>50</v>
      </c>
      <c r="J149" s="166" t="str">
        <f t="shared" si="37"/>
        <v/>
      </c>
      <c r="K149" s="166" t="str">
        <f t="shared" si="38"/>
        <v/>
      </c>
      <c r="L149" s="166" t="e">
        <f t="shared" si="39"/>
        <v>#N/A</v>
      </c>
    </row>
    <row r="150" spans="1:12">
      <c r="A150" t="s">
        <v>37</v>
      </c>
      <c r="B150" s="158" t="str">
        <f>Difensori!B78</f>
        <v>GOBBI</v>
      </c>
      <c r="C150" s="158" t="str">
        <f>Difensori!C78</f>
        <v>CHI</v>
      </c>
      <c r="D150" s="166">
        <f t="shared" si="32"/>
        <v>1</v>
      </c>
      <c r="E150" s="166">
        <f t="shared" si="33"/>
        <v>1</v>
      </c>
      <c r="F150">
        <f t="shared" si="34"/>
        <v>36</v>
      </c>
      <c r="G150">
        <f>IF(ISNA(VLOOKUP(B150,'IA FG'!$B$2:$D$578,3,FALSE)),0,VLOOKUP(B150,'IA FG'!$B$2:$D$578,3,FALSE))</f>
        <v>71</v>
      </c>
      <c r="H150" s="166" t="str">
        <f t="shared" si="35"/>
        <v/>
      </c>
      <c r="I150" s="166">
        <f t="shared" si="36"/>
        <v>80</v>
      </c>
      <c r="J150" s="166" t="str">
        <f t="shared" si="37"/>
        <v/>
      </c>
      <c r="K150" s="166" t="str">
        <f t="shared" si="38"/>
        <v/>
      </c>
      <c r="L150" s="166" t="e">
        <f t="shared" si="39"/>
        <v>#N/A</v>
      </c>
    </row>
    <row r="151" spans="1:12">
      <c r="A151" t="s">
        <v>37</v>
      </c>
      <c r="B151" s="158" t="str">
        <f>Difensori!B79</f>
        <v>GAMBERINI</v>
      </c>
      <c r="C151" s="158" t="str">
        <f>Difensori!C79</f>
        <v>CHI</v>
      </c>
      <c r="D151" s="166">
        <f t="shared" si="32"/>
        <v>1</v>
      </c>
      <c r="E151" s="166">
        <f t="shared" si="33"/>
        <v>1</v>
      </c>
      <c r="F151">
        <f t="shared" si="34"/>
        <v>36</v>
      </c>
      <c r="G151">
        <f>IF(ISNA(VLOOKUP(B151,'IA FG'!$B$2:$D$578,3,FALSE)),0,VLOOKUP(B151,'IA FG'!$B$2:$D$578,3,FALSE))</f>
        <v>73</v>
      </c>
      <c r="H151" s="166" t="str">
        <f t="shared" si="35"/>
        <v/>
      </c>
      <c r="I151" s="166">
        <f t="shared" si="36"/>
        <v>60</v>
      </c>
      <c r="J151" s="166" t="str">
        <f t="shared" si="37"/>
        <v/>
      </c>
      <c r="K151" s="166" t="str">
        <f t="shared" si="38"/>
        <v/>
      </c>
      <c r="L151" s="166" t="e">
        <f t="shared" si="39"/>
        <v>#N/A</v>
      </c>
    </row>
    <row r="152" spans="1:12">
      <c r="A152" t="s">
        <v>37</v>
      </c>
      <c r="B152" s="158" t="str">
        <f>Difensori!B80</f>
        <v>WALLACE</v>
      </c>
      <c r="C152" s="158" t="str">
        <f>Difensori!C80</f>
        <v>LAZ</v>
      </c>
      <c r="D152" s="166">
        <f t="shared" si="32"/>
        <v>1</v>
      </c>
      <c r="E152" s="166">
        <f t="shared" si="33"/>
        <v>1</v>
      </c>
      <c r="F152">
        <f t="shared" si="34"/>
        <v>37</v>
      </c>
      <c r="G152">
        <f>IF(ISNA(VLOOKUP(B152,'IA FG'!$B$2:$D$578,3,FALSE)),0,VLOOKUP(B152,'IA FG'!$B$2:$D$578,3,FALSE))</f>
        <v>70</v>
      </c>
      <c r="H152" s="166" t="str">
        <f t="shared" si="35"/>
        <v/>
      </c>
      <c r="I152" s="166">
        <f t="shared" si="36"/>
        <v>60</v>
      </c>
      <c r="J152" s="166" t="str">
        <f t="shared" si="37"/>
        <v/>
      </c>
      <c r="K152" s="166" t="str">
        <f t="shared" si="38"/>
        <v/>
      </c>
      <c r="L152" s="166" t="e">
        <f t="shared" si="39"/>
        <v>#N/A</v>
      </c>
    </row>
    <row r="153" spans="1:12">
      <c r="A153" t="s">
        <v>37</v>
      </c>
      <c r="B153" s="158" t="str">
        <f>Difensori!B81</f>
        <v>CABRERA</v>
      </c>
      <c r="C153" s="158" t="str">
        <f>Difensori!C81</f>
        <v>CRO</v>
      </c>
      <c r="D153" s="166">
        <f t="shared" si="32"/>
        <v>1</v>
      </c>
      <c r="E153" s="166">
        <f t="shared" si="33"/>
        <v>1</v>
      </c>
      <c r="F153">
        <f t="shared" si="34"/>
        <v>38</v>
      </c>
      <c r="G153">
        <f>IF(ISNA(VLOOKUP(B153,'IA FG'!$B$2:$D$578,3,FALSE)),0,VLOOKUP(B153,'IA FG'!$B$2:$D$578,3,FALSE))</f>
        <v>68</v>
      </c>
      <c r="H153" s="166">
        <f t="shared" si="35"/>
        <v>-1</v>
      </c>
      <c r="I153" s="166">
        <f t="shared" si="36"/>
        <v>70</v>
      </c>
      <c r="J153" s="166" t="str">
        <f t="shared" si="37"/>
        <v/>
      </c>
      <c r="K153" s="166" t="str">
        <f t="shared" si="38"/>
        <v/>
      </c>
      <c r="L153" s="166" t="e">
        <f t="shared" si="39"/>
        <v>#N/A</v>
      </c>
    </row>
    <row r="154" spans="1:12">
      <c r="A154" t="s">
        <v>37</v>
      </c>
      <c r="B154" s="158" t="str">
        <f>Difensori!B82</f>
        <v>MORETTI</v>
      </c>
      <c r="C154" s="158" t="str">
        <f>Difensori!C82</f>
        <v>TOR</v>
      </c>
      <c r="D154" s="166">
        <f t="shared" si="32"/>
        <v>1</v>
      </c>
      <c r="E154" s="166">
        <f t="shared" si="33"/>
        <v>1</v>
      </c>
      <c r="F154">
        <f t="shared" si="34"/>
        <v>38</v>
      </c>
      <c r="G154">
        <f>IF(ISNA(VLOOKUP(B154,'IA FG'!$B$2:$D$578,3,FALSE)),0,VLOOKUP(B154,'IA FG'!$B$2:$D$578,3,FALSE))</f>
        <v>74</v>
      </c>
      <c r="H154" s="166" t="str">
        <f t="shared" si="35"/>
        <v/>
      </c>
      <c r="I154" s="166">
        <f t="shared" si="36"/>
        <v>80</v>
      </c>
      <c r="J154" s="166" t="str">
        <f t="shared" si="37"/>
        <v/>
      </c>
      <c r="K154" s="166" t="str">
        <f t="shared" si="38"/>
        <v/>
      </c>
      <c r="L154" s="166" t="e">
        <f t="shared" si="39"/>
        <v>#N/A</v>
      </c>
    </row>
    <row r="155" spans="1:12">
      <c r="A155" t="s">
        <v>37</v>
      </c>
      <c r="B155" s="158" t="str">
        <f>Difensori!B83</f>
        <v>DE SILVESTRI</v>
      </c>
      <c r="C155" s="158" t="str">
        <f>Difensori!C83</f>
        <v>TOR</v>
      </c>
      <c r="D155" s="166">
        <f t="shared" si="32"/>
        <v>1</v>
      </c>
      <c r="E155" s="166">
        <f t="shared" si="33"/>
        <v>1</v>
      </c>
      <c r="F155">
        <f t="shared" si="34"/>
        <v>38</v>
      </c>
      <c r="G155">
        <f>IF(ISNA(VLOOKUP(B155,'IA FG'!$B$2:$D$578,3,FALSE)),0,VLOOKUP(B155,'IA FG'!$B$2:$D$578,3,FALSE))</f>
        <v>75</v>
      </c>
      <c r="H155" s="166" t="str">
        <f t="shared" si="35"/>
        <v/>
      </c>
      <c r="I155" s="166">
        <f t="shared" si="36"/>
        <v>70</v>
      </c>
      <c r="J155" s="166" t="str">
        <f t="shared" si="37"/>
        <v/>
      </c>
      <c r="K155" s="166" t="str">
        <f t="shared" si="38"/>
        <v/>
      </c>
      <c r="L155" s="166" t="e">
        <f t="shared" si="39"/>
        <v>#N/A</v>
      </c>
    </row>
    <row r="156" spans="1:12">
      <c r="A156" t="s">
        <v>37</v>
      </c>
      <c r="B156" s="158" t="str">
        <f>Difensori!B84</f>
        <v>ANSALDI</v>
      </c>
      <c r="C156" s="158" t="str">
        <f>Difensori!C84</f>
        <v>TOR</v>
      </c>
      <c r="D156" s="166">
        <f t="shared" si="32"/>
        <v>1</v>
      </c>
      <c r="E156" s="166">
        <f t="shared" si="33"/>
        <v>1</v>
      </c>
      <c r="F156">
        <f t="shared" si="34"/>
        <v>38</v>
      </c>
      <c r="G156">
        <f>IF(ISNA(VLOOKUP(B156,'IA FG'!$B$2:$D$578,3,FALSE)),0,VLOOKUP(B156,'IA FG'!$B$2:$D$578,3,FALSE))</f>
        <v>73</v>
      </c>
      <c r="H156" s="166" t="str">
        <f t="shared" si="35"/>
        <v/>
      </c>
      <c r="I156" s="166">
        <f t="shared" si="36"/>
        <v>70</v>
      </c>
      <c r="J156" s="166" t="str">
        <f t="shared" si="37"/>
        <v/>
      </c>
      <c r="K156" s="166" t="str">
        <f t="shared" si="38"/>
        <v/>
      </c>
      <c r="L156" s="166" t="e">
        <f t="shared" si="39"/>
        <v>#N/A</v>
      </c>
    </row>
    <row r="157" spans="1:12">
      <c r="A157" t="s">
        <v>37</v>
      </c>
      <c r="B157" s="158" t="str">
        <f>Difensori!B85</f>
        <v>CALABRIA</v>
      </c>
      <c r="C157" s="158" t="str">
        <f>Difensori!C85</f>
        <v>MIL</v>
      </c>
      <c r="D157" s="166">
        <f t="shared" si="32"/>
        <v>1</v>
      </c>
      <c r="E157" s="166">
        <f t="shared" si="33"/>
        <v>1</v>
      </c>
      <c r="F157">
        <f t="shared" si="34"/>
        <v>36</v>
      </c>
      <c r="G157">
        <f>IF(ISNA(VLOOKUP(B157,'IA FG'!$B$2:$D$578,3,FALSE)),0,VLOOKUP(B157,'IA FG'!$B$2:$D$578,3,FALSE))</f>
        <v>62</v>
      </c>
      <c r="H157" s="166" t="str">
        <f t="shared" si="35"/>
        <v/>
      </c>
      <c r="I157" s="166">
        <f t="shared" si="36"/>
        <v>60</v>
      </c>
      <c r="J157" s="166" t="str">
        <f t="shared" si="37"/>
        <v/>
      </c>
      <c r="K157" s="166" t="str">
        <f t="shared" si="38"/>
        <v/>
      </c>
      <c r="L157" s="166" t="e">
        <f t="shared" si="39"/>
        <v>#N/A</v>
      </c>
    </row>
    <row r="158" spans="1:12">
      <c r="A158" t="s">
        <v>37</v>
      </c>
      <c r="B158" s="158" t="str">
        <f>Difensori!B86</f>
        <v>ZAPATA C</v>
      </c>
      <c r="C158" s="158" t="str">
        <f>Difensori!C86</f>
        <v>MIL</v>
      </c>
      <c r="D158" s="166">
        <f t="shared" si="32"/>
        <v>1</v>
      </c>
      <c r="E158" s="166">
        <f t="shared" si="33"/>
        <v>1</v>
      </c>
      <c r="F158">
        <f t="shared" si="34"/>
        <v>36</v>
      </c>
      <c r="G158">
        <f>IF(ISNA(VLOOKUP(B158,'IA FG'!$B$2:$D$578,3,FALSE)),0,VLOOKUP(B158,'IA FG'!$B$2:$D$578,3,FALSE))</f>
        <v>65</v>
      </c>
      <c r="H158" s="166" t="str">
        <f t="shared" si="35"/>
        <v/>
      </c>
      <c r="I158" s="166">
        <f t="shared" si="36"/>
        <v>60</v>
      </c>
      <c r="J158" s="166" t="str">
        <f t="shared" si="37"/>
        <v/>
      </c>
      <c r="K158" s="166" t="str">
        <f t="shared" si="38"/>
        <v/>
      </c>
      <c r="L158" s="166" t="e">
        <f t="shared" si="39"/>
        <v>#N/A</v>
      </c>
    </row>
    <row r="159" spans="1:12">
      <c r="A159" t="s">
        <v>37</v>
      </c>
      <c r="B159" s="158" t="str">
        <f>Difensori!B87</f>
        <v>ANTONELLI</v>
      </c>
      <c r="C159" s="158" t="str">
        <f>Difensori!C87</f>
        <v>MIL</v>
      </c>
      <c r="D159" s="166">
        <f t="shared" si="32"/>
        <v>1</v>
      </c>
      <c r="E159" s="166">
        <f t="shared" si="33"/>
        <v>1</v>
      </c>
      <c r="F159">
        <f t="shared" si="34"/>
        <v>36</v>
      </c>
      <c r="G159">
        <f>IF(ISNA(VLOOKUP(B159,'IA FG'!$B$2:$D$578,3,FALSE)),0,VLOOKUP(B159,'IA FG'!$B$2:$D$578,3,FALSE))</f>
        <v>65</v>
      </c>
      <c r="H159" s="166" t="str">
        <f t="shared" si="35"/>
        <v/>
      </c>
      <c r="I159" s="166">
        <f t="shared" si="36"/>
        <v>50</v>
      </c>
      <c r="J159" s="166" t="str">
        <f t="shared" si="37"/>
        <v/>
      </c>
      <c r="K159" s="166" t="str">
        <f t="shared" si="38"/>
        <v/>
      </c>
      <c r="L159" s="166" t="e">
        <f t="shared" si="39"/>
        <v>#N/A</v>
      </c>
    </row>
    <row r="160" spans="1:12">
      <c r="A160" t="s">
        <v>37</v>
      </c>
      <c r="B160" s="158" t="str">
        <f>Difensori!B88</f>
        <v>EMERSON</v>
      </c>
      <c r="C160" s="158" t="str">
        <f>Difensori!C88</f>
        <v>ROM</v>
      </c>
      <c r="D160" s="166">
        <f t="shared" si="32"/>
        <v>1</v>
      </c>
      <c r="E160" s="166">
        <f t="shared" si="33"/>
        <v>1</v>
      </c>
      <c r="F160">
        <f t="shared" si="34"/>
        <v>36</v>
      </c>
      <c r="G160">
        <f>IF(ISNA(VLOOKUP(B160,'IA FG'!$B$2:$D$578,3,FALSE)),0,VLOOKUP(B160,'IA FG'!$B$2:$D$578,3,FALSE))</f>
        <v>65</v>
      </c>
      <c r="H160" s="166" t="str">
        <f t="shared" si="35"/>
        <v/>
      </c>
      <c r="I160" s="166">
        <f t="shared" si="36"/>
        <v>60</v>
      </c>
      <c r="J160" s="166" t="str">
        <f t="shared" si="37"/>
        <v/>
      </c>
      <c r="K160" s="166" t="str">
        <f t="shared" si="38"/>
        <v/>
      </c>
      <c r="L160" s="166" t="e">
        <f t="shared" si="39"/>
        <v>#N/A</v>
      </c>
    </row>
    <row r="161" spans="1:12">
      <c r="A161" t="s">
        <v>37</v>
      </c>
      <c r="B161" s="158" t="str">
        <f>Difensori!B89</f>
        <v>STRINIC</v>
      </c>
      <c r="C161" s="158" t="str">
        <f>Difensori!C89</f>
        <v>SAM</v>
      </c>
      <c r="D161" s="166">
        <f t="shared" si="32"/>
        <v>1</v>
      </c>
      <c r="E161" s="166">
        <f t="shared" si="33"/>
        <v>1</v>
      </c>
      <c r="F161">
        <f t="shared" si="34"/>
        <v>37</v>
      </c>
      <c r="G161">
        <f>IF(ISNA(VLOOKUP(B161,'IA FG'!$B$2:$D$578,3,FALSE)),0,VLOOKUP(B161,'IA FG'!$B$2:$D$578,3,FALSE))</f>
        <v>78</v>
      </c>
      <c r="H161" s="166" t="str">
        <f t="shared" si="35"/>
        <v/>
      </c>
      <c r="I161" s="166">
        <f t="shared" si="36"/>
        <v>70</v>
      </c>
      <c r="J161" s="166" t="str">
        <f t="shared" si="37"/>
        <v/>
      </c>
      <c r="K161" s="166" t="str">
        <f t="shared" si="38"/>
        <v/>
      </c>
      <c r="L161" s="166" t="e">
        <f t="shared" si="39"/>
        <v>#N/A</v>
      </c>
    </row>
    <row r="162" spans="1:12">
      <c r="A162" t="s">
        <v>37</v>
      </c>
      <c r="B162" s="158" t="str">
        <f>Difensori!B90</f>
        <v>CACERES</v>
      </c>
      <c r="C162" s="158" t="str">
        <f>Difensori!C90</f>
        <v>VER</v>
      </c>
      <c r="D162" s="166">
        <f t="shared" si="32"/>
        <v>1</v>
      </c>
      <c r="E162" s="166">
        <f t="shared" si="33"/>
        <v>1</v>
      </c>
      <c r="F162">
        <f t="shared" si="34"/>
        <v>38</v>
      </c>
      <c r="G162">
        <f>IF(ISNA(VLOOKUP(B162,'IA FG'!$B$2:$D$578,3,FALSE)),0,VLOOKUP(B162,'IA FG'!$B$2:$D$578,3,FALSE))</f>
        <v>71</v>
      </c>
      <c r="H162" s="166" t="str">
        <f t="shared" si="35"/>
        <v/>
      </c>
      <c r="I162" s="166">
        <f t="shared" si="36"/>
        <v>70</v>
      </c>
      <c r="J162" s="166" t="str">
        <f t="shared" si="37"/>
        <v/>
      </c>
      <c r="K162" s="166" t="str">
        <f t="shared" si="38"/>
        <v/>
      </c>
      <c r="L162" s="166" t="e">
        <f t="shared" si="39"/>
        <v>#N/A</v>
      </c>
    </row>
    <row r="163" spans="1:12">
      <c r="A163" t="s">
        <v>37</v>
      </c>
      <c r="B163" s="158" t="str">
        <f>Difensori!B91</f>
        <v>LIROLA</v>
      </c>
      <c r="C163" s="158" t="str">
        <f>Difensori!C91</f>
        <v>SAS</v>
      </c>
      <c r="D163" s="166">
        <f t="shared" si="32"/>
        <v>1</v>
      </c>
      <c r="E163" s="166">
        <f t="shared" si="33"/>
        <v>1</v>
      </c>
      <c r="F163">
        <f t="shared" si="34"/>
        <v>37</v>
      </c>
      <c r="G163">
        <f>IF(ISNA(VLOOKUP(B163,'IA FG'!$B$2:$D$578,3,FALSE)),0,VLOOKUP(B163,'IA FG'!$B$2:$D$578,3,FALSE))</f>
        <v>76</v>
      </c>
      <c r="H163" s="166" t="str">
        <f t="shared" si="35"/>
        <v/>
      </c>
      <c r="I163" s="166">
        <f t="shared" si="36"/>
        <v>70</v>
      </c>
      <c r="J163" s="166" t="str">
        <f t="shared" si="37"/>
        <v/>
      </c>
      <c r="K163" s="166" t="str">
        <f t="shared" si="38"/>
        <v/>
      </c>
      <c r="L163" s="166" t="e">
        <f t="shared" si="39"/>
        <v>#N/A</v>
      </c>
    </row>
    <row r="164" spans="1:12">
      <c r="A164" t="s">
        <v>37</v>
      </c>
      <c r="B164" s="158" t="str">
        <f>Difensori!B92</f>
        <v>PEZZELLA GIU</v>
      </c>
      <c r="C164" s="158" t="str">
        <f>Difensori!C92</f>
        <v>UDI</v>
      </c>
      <c r="D164" s="166">
        <f t="shared" si="32"/>
        <v>1</v>
      </c>
      <c r="E164" s="166">
        <f t="shared" si="33"/>
        <v>1</v>
      </c>
      <c r="F164">
        <f t="shared" si="34"/>
        <v>36</v>
      </c>
      <c r="G164">
        <f>IF(ISNA(VLOOKUP(B164,'IA FG'!$B$2:$D$578,3,FALSE)),0,VLOOKUP(B164,'IA FG'!$B$2:$D$578,3,FALSE))</f>
        <v>55</v>
      </c>
      <c r="H164" s="166" t="str">
        <f t="shared" si="35"/>
        <v/>
      </c>
      <c r="I164" s="166">
        <f t="shared" si="36"/>
        <v>60</v>
      </c>
      <c r="J164" s="166" t="str">
        <f t="shared" si="37"/>
        <v/>
      </c>
      <c r="K164" s="166" t="str">
        <f t="shared" si="38"/>
        <v/>
      </c>
      <c r="L164" s="166" t="e">
        <f t="shared" si="39"/>
        <v>#N/A</v>
      </c>
    </row>
    <row r="165" spans="1:12">
      <c r="A165" t="s">
        <v>37</v>
      </c>
      <c r="B165" s="158" t="str">
        <f>Difensori!B93</f>
        <v>DE MAIO</v>
      </c>
      <c r="C165" s="158" t="str">
        <f>Difensori!C93</f>
        <v>BOL</v>
      </c>
      <c r="D165" s="166">
        <f t="shared" si="32"/>
        <v>1</v>
      </c>
      <c r="E165" s="166">
        <f t="shared" si="33"/>
        <v>1</v>
      </c>
      <c r="F165">
        <f t="shared" si="34"/>
        <v>37</v>
      </c>
      <c r="G165">
        <f>IF(ISNA(VLOOKUP(B165,'IA FG'!$B$2:$D$578,3,FALSE)),0,VLOOKUP(B165,'IA FG'!$B$2:$D$578,3,FALSE))</f>
        <v>74</v>
      </c>
      <c r="H165" s="166" t="str">
        <f t="shared" si="35"/>
        <v/>
      </c>
      <c r="I165" s="166">
        <f t="shared" si="36"/>
        <v>70</v>
      </c>
      <c r="J165" s="166" t="str">
        <f t="shared" si="37"/>
        <v/>
      </c>
      <c r="K165" s="166" t="str">
        <f t="shared" si="38"/>
        <v/>
      </c>
      <c r="L165" s="166" t="e">
        <f t="shared" si="39"/>
        <v>#N/A</v>
      </c>
    </row>
    <row r="166" spans="1:12">
      <c r="A166" t="s">
        <v>37</v>
      </c>
      <c r="B166" s="158" t="str">
        <f>Difensori!B94</f>
        <v>MAIETTA</v>
      </c>
      <c r="C166" s="158" t="str">
        <f>Difensori!C94</f>
        <v>BOL</v>
      </c>
      <c r="D166" s="166">
        <f t="shared" si="32"/>
        <v>1</v>
      </c>
      <c r="E166" s="166">
        <f t="shared" si="33"/>
        <v>1</v>
      </c>
      <c r="F166">
        <f t="shared" si="34"/>
        <v>37</v>
      </c>
      <c r="G166">
        <f>IF(ISNA(VLOOKUP(B166,'IA FG'!$B$2:$D$578,3,FALSE)),0,VLOOKUP(B166,'IA FG'!$B$2:$D$578,3,FALSE))</f>
        <v>69</v>
      </c>
      <c r="H166" s="166" t="str">
        <f t="shared" si="35"/>
        <v/>
      </c>
      <c r="I166" s="166">
        <f t="shared" si="36"/>
        <v>70</v>
      </c>
      <c r="J166" s="166" t="str">
        <f t="shared" si="37"/>
        <v/>
      </c>
      <c r="K166" s="166" t="str">
        <f t="shared" si="38"/>
        <v/>
      </c>
      <c r="L166" s="166" t="e">
        <f t="shared" si="39"/>
        <v>#N/A</v>
      </c>
    </row>
    <row r="167" spans="1:12">
      <c r="A167" t="s">
        <v>37</v>
      </c>
      <c r="B167" s="158" t="str">
        <f>Difensori!B95</f>
        <v>MOLINARO</v>
      </c>
      <c r="C167" s="158" t="str">
        <f>Difensori!C95</f>
        <v>TOR</v>
      </c>
      <c r="D167" s="166">
        <f t="shared" si="32"/>
        <v>1</v>
      </c>
      <c r="E167" s="166">
        <f t="shared" si="33"/>
        <v>1</v>
      </c>
      <c r="F167">
        <f t="shared" si="34"/>
        <v>37</v>
      </c>
      <c r="G167">
        <f>IF(ISNA(VLOOKUP(B167,'IA FG'!$B$2:$D$578,3,FALSE)),0,VLOOKUP(B167,'IA FG'!$B$2:$D$578,3,FALSE))</f>
        <v>65</v>
      </c>
      <c r="H167" s="166" t="str">
        <f t="shared" si="35"/>
        <v/>
      </c>
      <c r="I167" s="166">
        <f t="shared" si="36"/>
        <v>70</v>
      </c>
      <c r="J167" s="166" t="str">
        <f t="shared" si="37"/>
        <v/>
      </c>
      <c r="K167" s="166" t="str">
        <f t="shared" si="38"/>
        <v/>
      </c>
      <c r="L167" s="166" t="e">
        <f t="shared" si="39"/>
        <v>#N/A</v>
      </c>
    </row>
    <row r="168" spans="1:12">
      <c r="A168" t="s">
        <v>37</v>
      </c>
      <c r="B168" s="158" t="str">
        <f>Difensori!B96</f>
        <v>BURDISSO</v>
      </c>
      <c r="C168" s="158" t="str">
        <f>Difensori!C96</f>
        <v>TOR</v>
      </c>
      <c r="D168" s="166">
        <f t="shared" si="32"/>
        <v>1</v>
      </c>
      <c r="E168" s="166">
        <f t="shared" si="33"/>
        <v>1</v>
      </c>
      <c r="F168">
        <f t="shared" si="34"/>
        <v>37</v>
      </c>
      <c r="G168">
        <f>IF(ISNA(VLOOKUP(B168,'IA FG'!$B$2:$D$578,3,FALSE)),0,VLOOKUP(B168,'IA FG'!$B$2:$D$578,3,FALSE))</f>
        <v>60</v>
      </c>
      <c r="H168" s="166" t="str">
        <f t="shared" si="35"/>
        <v/>
      </c>
      <c r="I168" s="166">
        <f t="shared" si="36"/>
        <v>60</v>
      </c>
      <c r="J168" s="166" t="str">
        <f t="shared" si="37"/>
        <v/>
      </c>
      <c r="K168" s="166" t="str">
        <f t="shared" si="38"/>
        <v/>
      </c>
      <c r="L168" s="166" t="e">
        <f t="shared" si="39"/>
        <v>#N/A</v>
      </c>
    </row>
    <row r="169" spans="1:12">
      <c r="A169" t="s">
        <v>37</v>
      </c>
      <c r="B169" s="158" t="str">
        <f>Difensori!B97</f>
        <v>ASAMOAH</v>
      </c>
      <c r="C169" s="158" t="str">
        <f>Difensori!C97</f>
        <v>JUV</v>
      </c>
      <c r="D169" s="166">
        <f t="shared" si="32"/>
        <v>1</v>
      </c>
      <c r="E169" s="166">
        <f t="shared" si="33"/>
        <v>1</v>
      </c>
      <c r="F169">
        <f t="shared" si="34"/>
        <v>32</v>
      </c>
      <c r="G169">
        <f>IF(ISNA(VLOOKUP(B169,'IA FG'!$B$2:$D$578,3,FALSE)),0,VLOOKUP(B169,'IA FG'!$B$2:$D$578,3,FALSE))</f>
        <v>70</v>
      </c>
      <c r="H169" s="166">
        <f t="shared" si="35"/>
        <v>-1</v>
      </c>
      <c r="I169" s="166">
        <f t="shared" si="36"/>
        <v>50</v>
      </c>
      <c r="J169" s="166" t="str">
        <f t="shared" si="37"/>
        <v/>
      </c>
      <c r="K169" s="166" t="str">
        <f t="shared" si="38"/>
        <v/>
      </c>
      <c r="L169" s="166" t="e">
        <f t="shared" si="39"/>
        <v>#N/A</v>
      </c>
    </row>
    <row r="170" spans="1:12">
      <c r="A170" t="s">
        <v>37</v>
      </c>
      <c r="B170" s="158" t="str">
        <f>Difensori!B98</f>
        <v>LAURINI</v>
      </c>
      <c r="C170" s="158" t="str">
        <f>Difensori!C98</f>
        <v>FIO</v>
      </c>
      <c r="D170" s="166">
        <f t="shared" ref="D170:D201" si="40">IF(ISNA(VLOOKUP($B170,TabAlgDif,11,FALSE)),0,VLOOKUP($B170,TabAlgDif,11,FALSE))</f>
        <v>1</v>
      </c>
      <c r="E170" s="166">
        <f t="shared" ref="E170:E201" si="41">IF(ISNA(VLOOKUP($B170,TabAlgDif,14,FALSE)),0,VLOOKUP($B170,TabAlgDif,14,FALSE))</f>
        <v>1</v>
      </c>
      <c r="F170">
        <f t="shared" ref="F170:F201" si="42">IF(ISNA(VLOOKUP($B170,TabAlgDif,15,FALSE)),0,VLOOKUP($B170,TabAlgDif,15,FALSE))</f>
        <v>36</v>
      </c>
      <c r="G170">
        <f>IF(ISNA(VLOOKUP(B170,'IA FG'!$B$2:$D$578,3,FALSE)),0,VLOOKUP(B170,'IA FG'!$B$2:$D$578,3,FALSE))</f>
        <v>68</v>
      </c>
      <c r="H170" s="166" t="str">
        <f t="shared" ref="H170:H201" si="43">IF(ISNA(VLOOKUP($B170,TabAlgDif,16,FALSE)),"",VLOOKUP($B170,TabAlgDif,16,FALSE))</f>
        <v/>
      </c>
      <c r="I170" s="166">
        <f t="shared" ref="I170:I201" si="44">IF(ISNA(VLOOKUP($B170,TabAlgDif,4,FALSE)),0,VLOOKUP($B170,TabAlgDif,4,FALSE))*10</f>
        <v>70</v>
      </c>
      <c r="J170" s="166" t="str">
        <f t="shared" ref="J170:J201" si="45">IF(ISNA(VLOOKUP($B170,TabAlgDif,17,FALSE)),"",VLOOKUP($B170,TabAlgDif,17,FALSE))</f>
        <v/>
      </c>
      <c r="K170" s="166" t="str">
        <f t="shared" ref="K170:K201" si="46">IF(ISNA(VLOOKUP($B170,TabAlgDif,18,FALSE)),"",VLOOKUP($B170,TabAlgDif,18,FALSE))</f>
        <v/>
      </c>
      <c r="L170" s="166" t="e">
        <f t="shared" ref="L170:L201" si="47">VLOOKUP($B170,TabAlgDif,19,FALSE)</f>
        <v>#N/A</v>
      </c>
    </row>
    <row r="171" spans="1:12">
      <c r="A171" t="s">
        <v>37</v>
      </c>
      <c r="B171" s="158" t="str">
        <f>Difensori!B99</f>
        <v>BASTOS</v>
      </c>
      <c r="C171" s="158" t="str">
        <f>Difensori!C99</f>
        <v>LAZ</v>
      </c>
      <c r="D171" s="166">
        <f t="shared" si="40"/>
        <v>1</v>
      </c>
      <c r="E171" s="166">
        <f t="shared" si="41"/>
        <v>1</v>
      </c>
      <c r="F171">
        <f t="shared" si="42"/>
        <v>35</v>
      </c>
      <c r="G171">
        <f>IF(ISNA(VLOOKUP(B171,'IA FG'!$B$2:$D$578,3,FALSE)),0,VLOOKUP(B171,'IA FG'!$B$2:$D$578,3,FALSE))</f>
        <v>67</v>
      </c>
      <c r="H171" s="166" t="str">
        <f t="shared" si="43"/>
        <v/>
      </c>
      <c r="I171" s="166">
        <f t="shared" si="44"/>
        <v>60</v>
      </c>
      <c r="J171" s="166" t="str">
        <f t="shared" si="45"/>
        <v/>
      </c>
      <c r="K171" s="166" t="str">
        <f t="shared" si="46"/>
        <v/>
      </c>
      <c r="L171" s="166" t="e">
        <f t="shared" si="47"/>
        <v>#N/A</v>
      </c>
    </row>
    <row r="172" spans="1:12">
      <c r="A172" t="s">
        <v>37</v>
      </c>
      <c r="B172" s="158" t="str">
        <f>Difensori!B100</f>
        <v>CANNAVARO</v>
      </c>
      <c r="C172" s="158" t="str">
        <f>Difensori!C100</f>
        <v>SAS</v>
      </c>
      <c r="D172" s="166">
        <f t="shared" si="40"/>
        <v>1</v>
      </c>
      <c r="E172" s="166">
        <f t="shared" si="41"/>
        <v>1</v>
      </c>
      <c r="F172">
        <f t="shared" si="42"/>
        <v>36</v>
      </c>
      <c r="G172">
        <f>IF(ISNA(VLOOKUP(B172,'IA FG'!$B$2:$D$578,3,FALSE)),0,VLOOKUP(B172,'IA FG'!$B$2:$D$578,3,FALSE))</f>
        <v>68</v>
      </c>
      <c r="H172" s="166" t="str">
        <f t="shared" si="43"/>
        <v/>
      </c>
      <c r="I172" s="166">
        <f t="shared" si="44"/>
        <v>70</v>
      </c>
      <c r="J172" s="166" t="str">
        <f t="shared" si="45"/>
        <v/>
      </c>
      <c r="K172" s="166" t="str">
        <f t="shared" si="46"/>
        <v/>
      </c>
      <c r="L172" s="166" t="e">
        <f t="shared" si="47"/>
        <v>#N/A</v>
      </c>
    </row>
    <row r="173" spans="1:12">
      <c r="A173" t="s">
        <v>37</v>
      </c>
      <c r="B173" s="158" t="str">
        <f>Difensori!B101</f>
        <v>RADU</v>
      </c>
      <c r="C173" s="158" t="str">
        <f>Difensori!C101</f>
        <v>LAZ</v>
      </c>
      <c r="D173" s="166">
        <f t="shared" si="40"/>
        <v>1</v>
      </c>
      <c r="E173" s="166">
        <f t="shared" si="41"/>
        <v>1</v>
      </c>
      <c r="F173">
        <f t="shared" si="42"/>
        <v>35</v>
      </c>
      <c r="G173">
        <f>IF(ISNA(VLOOKUP(B173,'IA FG'!$B$2:$D$578,3,FALSE)),0,VLOOKUP(B173,'IA FG'!$B$2:$D$578,3,FALSE))</f>
        <v>71</v>
      </c>
      <c r="H173" s="166" t="str">
        <f t="shared" si="43"/>
        <v/>
      </c>
      <c r="I173" s="166">
        <f t="shared" si="44"/>
        <v>60</v>
      </c>
      <c r="J173" s="166" t="str">
        <f t="shared" si="45"/>
        <v/>
      </c>
      <c r="K173" s="166" t="str">
        <f t="shared" si="46"/>
        <v/>
      </c>
      <c r="L173" s="166" t="e">
        <f t="shared" si="47"/>
        <v>#N/A</v>
      </c>
    </row>
    <row r="174" spans="1:12">
      <c r="A174" t="s">
        <v>37</v>
      </c>
      <c r="B174" s="158" t="str">
        <f>Difensori!B102</f>
        <v>STRYGER LARSEN</v>
      </c>
      <c r="C174" s="158" t="str">
        <f>Difensori!C102</f>
        <v>UDI</v>
      </c>
      <c r="D174" s="166">
        <f t="shared" si="40"/>
        <v>1</v>
      </c>
      <c r="E174" s="166">
        <f t="shared" si="41"/>
        <v>1</v>
      </c>
      <c r="F174">
        <f t="shared" si="42"/>
        <v>35</v>
      </c>
      <c r="G174">
        <f>IF(ISNA(VLOOKUP(B174,'IA FG'!$B$2:$D$578,3,FALSE)),0,VLOOKUP(B174,'IA FG'!$B$2:$D$578,3,FALSE))</f>
        <v>66</v>
      </c>
      <c r="H174" s="166" t="str">
        <f t="shared" si="43"/>
        <v/>
      </c>
      <c r="I174" s="166">
        <f t="shared" si="44"/>
        <v>50</v>
      </c>
      <c r="J174" s="166" t="str">
        <f t="shared" si="45"/>
        <v/>
      </c>
      <c r="K174" s="166" t="str">
        <f t="shared" si="46"/>
        <v/>
      </c>
      <c r="L174" s="166" t="e">
        <f t="shared" si="47"/>
        <v>#N/A</v>
      </c>
    </row>
    <row r="175" spans="1:12">
      <c r="A175" t="s">
        <v>37</v>
      </c>
      <c r="B175" s="158" t="str">
        <f>Difensori!B103</f>
        <v>FARAONI</v>
      </c>
      <c r="C175" s="158" t="str">
        <f>Difensori!C103</f>
        <v>CRO</v>
      </c>
      <c r="D175" s="166">
        <f t="shared" si="40"/>
        <v>1</v>
      </c>
      <c r="E175" s="166">
        <f t="shared" si="41"/>
        <v>1</v>
      </c>
      <c r="F175">
        <f t="shared" si="42"/>
        <v>36</v>
      </c>
      <c r="G175">
        <f>IF(ISNA(VLOOKUP(B175,'IA FG'!$B$2:$D$578,3,FALSE)),0,VLOOKUP(B175,'IA FG'!$B$2:$D$578,3,FALSE))</f>
        <v>68</v>
      </c>
      <c r="H175" s="166" t="str">
        <f t="shared" si="43"/>
        <v/>
      </c>
      <c r="I175" s="166">
        <f t="shared" si="44"/>
        <v>70</v>
      </c>
      <c r="J175" s="166" t="str">
        <f t="shared" si="45"/>
        <v/>
      </c>
      <c r="K175" s="166" t="str">
        <f t="shared" si="46"/>
        <v/>
      </c>
      <c r="L175" s="166" t="e">
        <f t="shared" si="47"/>
        <v>#N/A</v>
      </c>
    </row>
    <row r="176" spans="1:12">
      <c r="A176" t="s">
        <v>37</v>
      </c>
      <c r="B176" s="158" t="str">
        <f>Difensori!B104</f>
        <v>MIGLIORE</v>
      </c>
      <c r="C176" s="158" t="str">
        <f>Difensori!C104</f>
        <v>GEN</v>
      </c>
      <c r="D176" s="166">
        <f t="shared" si="40"/>
        <v>1</v>
      </c>
      <c r="E176" s="166">
        <f t="shared" si="41"/>
        <v>1</v>
      </c>
      <c r="F176">
        <f t="shared" si="42"/>
        <v>36</v>
      </c>
      <c r="G176">
        <f>IF(ISNA(VLOOKUP(B176,'IA FG'!$B$2:$D$578,3,FALSE)),0,VLOOKUP(B176,'IA FG'!$B$2:$D$578,3,FALSE))</f>
        <v>65</v>
      </c>
      <c r="H176" s="166" t="str">
        <f t="shared" si="43"/>
        <v/>
      </c>
      <c r="I176" s="166">
        <f t="shared" si="44"/>
        <v>50</v>
      </c>
      <c r="J176" s="166" t="str">
        <f t="shared" si="45"/>
        <v/>
      </c>
      <c r="K176" s="166" t="str">
        <f t="shared" si="46"/>
        <v/>
      </c>
      <c r="L176" s="166" t="e">
        <f t="shared" si="47"/>
        <v>#N/A</v>
      </c>
    </row>
    <row r="177" spans="1:12">
      <c r="A177" t="s">
        <v>37</v>
      </c>
      <c r="B177" s="158" t="str">
        <f>Difensori!B105</f>
        <v>MAGGIO</v>
      </c>
      <c r="C177" s="158" t="str">
        <f>Difensori!C105</f>
        <v>NAP</v>
      </c>
      <c r="D177" s="166">
        <f t="shared" si="40"/>
        <v>1</v>
      </c>
      <c r="E177" s="166">
        <f t="shared" si="41"/>
        <v>1</v>
      </c>
      <c r="F177">
        <f t="shared" si="42"/>
        <v>34</v>
      </c>
      <c r="G177">
        <f>IF(ISNA(VLOOKUP(B177,'IA FG'!$B$2:$D$578,3,FALSE)),0,VLOOKUP(B177,'IA FG'!$B$2:$D$578,3,FALSE))</f>
        <v>55</v>
      </c>
      <c r="H177" s="166" t="str">
        <f t="shared" si="43"/>
        <v/>
      </c>
      <c r="I177" s="166">
        <f t="shared" si="44"/>
        <v>50</v>
      </c>
      <c r="J177" s="166" t="str">
        <f t="shared" si="45"/>
        <v/>
      </c>
      <c r="K177" s="166" t="str">
        <f t="shared" si="46"/>
        <v/>
      </c>
      <c r="L177" s="166" t="e">
        <f t="shared" si="47"/>
        <v>#N/A</v>
      </c>
    </row>
    <row r="178" spans="1:12">
      <c r="A178" t="s">
        <v>37</v>
      </c>
      <c r="B178" s="158" t="str">
        <f>Difensori!B106</f>
        <v>TONELLI</v>
      </c>
      <c r="C178" s="158" t="str">
        <f>Difensori!C106</f>
        <v>NAP</v>
      </c>
      <c r="D178" s="166">
        <f t="shared" si="40"/>
        <v>1</v>
      </c>
      <c r="E178" s="166">
        <f t="shared" si="41"/>
        <v>1</v>
      </c>
      <c r="F178">
        <f t="shared" si="42"/>
        <v>34</v>
      </c>
      <c r="G178">
        <f>IF(ISNA(VLOOKUP(B178,'IA FG'!$B$2:$D$578,3,FALSE)),0,VLOOKUP(B178,'IA FG'!$B$2:$D$578,3,FALSE))</f>
        <v>70</v>
      </c>
      <c r="H178" s="166" t="str">
        <f t="shared" si="43"/>
        <v/>
      </c>
      <c r="I178" s="166">
        <f t="shared" si="44"/>
        <v>50</v>
      </c>
      <c r="J178" s="166" t="str">
        <f t="shared" si="45"/>
        <v/>
      </c>
      <c r="K178" s="166" t="str">
        <f t="shared" si="46"/>
        <v/>
      </c>
      <c r="L178" s="166" t="e">
        <f t="shared" si="47"/>
        <v>#N/A</v>
      </c>
    </row>
    <row r="179" spans="1:12">
      <c r="A179" t="s">
        <v>37</v>
      </c>
      <c r="B179" s="158" t="str">
        <f>Difensori!B107</f>
        <v>LUCIONI</v>
      </c>
      <c r="C179" s="158" t="str">
        <f>Difensori!C107</f>
        <v>BEN</v>
      </c>
      <c r="D179" s="166">
        <f t="shared" si="40"/>
        <v>1</v>
      </c>
      <c r="E179" s="166">
        <f t="shared" si="41"/>
        <v>1</v>
      </c>
      <c r="F179">
        <f t="shared" si="42"/>
        <v>42</v>
      </c>
      <c r="G179">
        <f>IF(ISNA(VLOOKUP(B179,'IA FG'!$B$2:$D$578,3,FALSE)),0,VLOOKUP(B179,'IA FG'!$B$2:$D$578,3,FALSE))</f>
        <v>74</v>
      </c>
      <c r="H179" s="166">
        <f t="shared" si="43"/>
        <v>0</v>
      </c>
      <c r="I179" s="166">
        <f t="shared" si="44"/>
        <v>80</v>
      </c>
      <c r="J179" s="166" t="str">
        <f t="shared" si="45"/>
        <v/>
      </c>
      <c r="K179" s="166" t="str">
        <f t="shared" si="46"/>
        <v/>
      </c>
      <c r="L179" s="166" t="e">
        <f t="shared" si="47"/>
        <v>#N/A</v>
      </c>
    </row>
    <row r="180" spans="1:12">
      <c r="A180" t="s">
        <v>37</v>
      </c>
      <c r="B180" s="158" t="str">
        <f>Difensori!B108</f>
        <v>JUAN JESUS</v>
      </c>
      <c r="C180" s="158" t="str">
        <f>Difensori!C108</f>
        <v>ROM</v>
      </c>
      <c r="D180" s="166">
        <f t="shared" si="40"/>
        <v>1</v>
      </c>
      <c r="E180" s="166">
        <f t="shared" si="41"/>
        <v>1</v>
      </c>
      <c r="F180">
        <f t="shared" si="42"/>
        <v>34</v>
      </c>
      <c r="G180">
        <f>IF(ISNA(VLOOKUP(B180,'IA FG'!$B$2:$D$578,3,FALSE)),0,VLOOKUP(B180,'IA FG'!$B$2:$D$578,3,FALSE))</f>
        <v>65</v>
      </c>
      <c r="H180" s="166">
        <f t="shared" si="43"/>
        <v>-1</v>
      </c>
      <c r="I180" s="166">
        <f t="shared" si="44"/>
        <v>60</v>
      </c>
      <c r="J180" s="166" t="str">
        <f t="shared" si="45"/>
        <v/>
      </c>
      <c r="K180" s="166" t="str">
        <f t="shared" si="46"/>
        <v/>
      </c>
      <c r="L180" s="166" t="e">
        <f t="shared" si="47"/>
        <v>#N/A</v>
      </c>
    </row>
    <row r="181" spans="1:12">
      <c r="A181" t="s">
        <v>37</v>
      </c>
      <c r="B181" s="158" t="str">
        <f>Difensori!B109</f>
        <v>MIANGUE</v>
      </c>
      <c r="C181" s="158" t="str">
        <f>Difensori!C109</f>
        <v>CAG</v>
      </c>
      <c r="D181" s="166">
        <f t="shared" si="40"/>
        <v>1</v>
      </c>
      <c r="E181" s="166">
        <f t="shared" si="41"/>
        <v>1</v>
      </c>
      <c r="F181">
        <f t="shared" si="42"/>
        <v>36</v>
      </c>
      <c r="G181">
        <f>IF(ISNA(VLOOKUP(B181,'IA FG'!$B$2:$D$578,3,FALSE)),0,VLOOKUP(B181,'IA FG'!$B$2:$D$578,3,FALSE))</f>
        <v>70</v>
      </c>
      <c r="H181" s="166" t="str">
        <f t="shared" si="43"/>
        <v/>
      </c>
      <c r="I181" s="166">
        <f t="shared" si="44"/>
        <v>60</v>
      </c>
      <c r="J181" s="166" t="str">
        <f t="shared" si="45"/>
        <v/>
      </c>
      <c r="K181" s="166" t="str">
        <f t="shared" si="46"/>
        <v/>
      </c>
      <c r="L181" s="166" t="e">
        <f t="shared" si="47"/>
        <v>#N/A</v>
      </c>
    </row>
    <row r="182" spans="1:12">
      <c r="A182" t="s">
        <v>37</v>
      </c>
      <c r="B182" s="158" t="str">
        <f>Difensori!B110</f>
        <v>BASTONI</v>
      </c>
      <c r="C182" s="158" t="str">
        <f>Difensori!C110</f>
        <v>ATA</v>
      </c>
      <c r="D182" s="166">
        <f t="shared" si="40"/>
        <v>1</v>
      </c>
      <c r="E182" s="166">
        <f t="shared" si="41"/>
        <v>1</v>
      </c>
      <c r="F182">
        <f t="shared" si="42"/>
        <v>35</v>
      </c>
      <c r="G182">
        <f>IF(ISNA(VLOOKUP(B182,'IA FG'!$B$2:$D$578,3,FALSE)),0,VLOOKUP(B182,'IA FG'!$B$2:$D$578,3,FALSE))</f>
        <v>64</v>
      </c>
      <c r="H182" s="166" t="str">
        <f t="shared" si="43"/>
        <v/>
      </c>
      <c r="I182" s="166">
        <f t="shared" si="44"/>
        <v>40</v>
      </c>
      <c r="J182" s="166" t="str">
        <f t="shared" si="45"/>
        <v/>
      </c>
      <c r="K182" s="166" t="str">
        <f t="shared" si="46"/>
        <v/>
      </c>
      <c r="L182" s="166" t="e">
        <f t="shared" si="47"/>
        <v>#N/A</v>
      </c>
    </row>
    <row r="183" spans="1:12">
      <c r="A183" t="s">
        <v>37</v>
      </c>
      <c r="B183" s="158" t="str">
        <f>Difensori!B111</f>
        <v>MANCINI G</v>
      </c>
      <c r="C183" s="158" t="str">
        <f>Difensori!C111</f>
        <v>ATA</v>
      </c>
      <c r="D183" s="166">
        <f t="shared" si="40"/>
        <v>1</v>
      </c>
      <c r="E183" s="166">
        <f t="shared" si="41"/>
        <v>1</v>
      </c>
      <c r="F183">
        <f t="shared" si="42"/>
        <v>35</v>
      </c>
      <c r="G183">
        <f>IF(ISNA(VLOOKUP(B183,'IA FG'!$B$2:$D$578,3,FALSE)),0,VLOOKUP(B183,'IA FG'!$B$2:$D$578,3,FALSE))</f>
        <v>42</v>
      </c>
      <c r="H183" s="166" t="str">
        <f t="shared" si="43"/>
        <v/>
      </c>
      <c r="I183" s="166">
        <f t="shared" si="44"/>
        <v>40</v>
      </c>
      <c r="J183" s="166" t="str">
        <f t="shared" si="45"/>
        <v/>
      </c>
      <c r="K183" s="166" t="str">
        <f t="shared" si="46"/>
        <v/>
      </c>
      <c r="L183" s="166" t="e">
        <f t="shared" si="47"/>
        <v>#N/A</v>
      </c>
    </row>
    <row r="184" spans="1:12">
      <c r="A184" t="s">
        <v>37</v>
      </c>
      <c r="B184" s="158" t="str">
        <f>Difensori!B112</f>
        <v>LUKAKU</v>
      </c>
      <c r="C184" s="158" t="str">
        <f>Difensori!C112</f>
        <v>LAZ</v>
      </c>
      <c r="D184" s="166">
        <f t="shared" si="40"/>
        <v>1</v>
      </c>
      <c r="E184" s="166">
        <f t="shared" si="41"/>
        <v>1</v>
      </c>
      <c r="F184">
        <f t="shared" si="42"/>
        <v>34</v>
      </c>
      <c r="G184">
        <f>IF(ISNA(VLOOKUP(B184,'IA FG'!$B$2:$D$578,3,FALSE)),0,VLOOKUP(B184,'IA FG'!$B$2:$D$578,3,FALSE))</f>
        <v>66</v>
      </c>
      <c r="H184" s="166" t="str">
        <f t="shared" si="43"/>
        <v/>
      </c>
      <c r="I184" s="166">
        <f t="shared" si="44"/>
        <v>50</v>
      </c>
      <c r="J184" s="166" t="str">
        <f t="shared" si="45"/>
        <v/>
      </c>
      <c r="K184" s="166" t="str">
        <f t="shared" si="46"/>
        <v/>
      </c>
      <c r="L184" s="166" t="e">
        <f t="shared" si="47"/>
        <v>#N/A</v>
      </c>
    </row>
    <row r="185" spans="1:12">
      <c r="A185" t="s">
        <v>37</v>
      </c>
      <c r="B185" s="158" t="str">
        <f>Difensori!B113</f>
        <v>BOCHNIEWICZ</v>
      </c>
      <c r="C185" s="158" t="str">
        <f>Difensori!C113</f>
        <v>UDI</v>
      </c>
      <c r="D185" s="166">
        <f t="shared" si="40"/>
        <v>1</v>
      </c>
      <c r="E185" s="166">
        <f t="shared" si="41"/>
        <v>1</v>
      </c>
      <c r="F185">
        <f t="shared" si="42"/>
        <v>34</v>
      </c>
      <c r="G185">
        <f>IF(ISNA(VLOOKUP(B185,'IA FG'!$B$2:$D$578,3,FALSE)),0,VLOOKUP(B185,'IA FG'!$B$2:$D$578,3,FALSE))</f>
        <v>59</v>
      </c>
      <c r="H185" s="166" t="str">
        <f t="shared" si="43"/>
        <v/>
      </c>
      <c r="I185" s="166">
        <f t="shared" si="44"/>
        <v>30</v>
      </c>
      <c r="J185" s="166" t="str">
        <f t="shared" si="45"/>
        <v/>
      </c>
      <c r="K185" s="166" t="str">
        <f t="shared" si="46"/>
        <v/>
      </c>
      <c r="L185" s="166" t="e">
        <f t="shared" si="47"/>
        <v>#N/A</v>
      </c>
    </row>
    <row r="186" spans="1:12">
      <c r="A186" t="s">
        <v>37</v>
      </c>
      <c r="B186" s="158" t="str">
        <f>Difensori!B114</f>
        <v>MBAYE</v>
      </c>
      <c r="C186" s="158" t="str">
        <f>Difensori!C114</f>
        <v>BOL</v>
      </c>
      <c r="D186" s="166">
        <f t="shared" si="40"/>
        <v>1</v>
      </c>
      <c r="E186" s="166">
        <f t="shared" si="41"/>
        <v>1</v>
      </c>
      <c r="F186">
        <f t="shared" si="42"/>
        <v>35</v>
      </c>
      <c r="G186">
        <f>IF(ISNA(VLOOKUP(B186,'IA FG'!$B$2:$D$578,3,FALSE)),0,VLOOKUP(B186,'IA FG'!$B$2:$D$578,3,FALSE))</f>
        <v>66</v>
      </c>
      <c r="H186" s="166" t="str">
        <f t="shared" si="43"/>
        <v/>
      </c>
      <c r="I186" s="166">
        <f t="shared" si="44"/>
        <v>70</v>
      </c>
      <c r="J186" s="166" t="str">
        <f t="shared" si="45"/>
        <v/>
      </c>
      <c r="K186" s="166" t="str">
        <f t="shared" si="46"/>
        <v/>
      </c>
      <c r="L186" s="166" t="e">
        <f t="shared" si="47"/>
        <v>#N/A</v>
      </c>
    </row>
    <row r="187" spans="1:12">
      <c r="A187" t="s">
        <v>37</v>
      </c>
      <c r="B187" s="158" t="str">
        <f>Difensori!B115</f>
        <v>AJETI</v>
      </c>
      <c r="C187" s="158" t="str">
        <f>Difensori!C115</f>
        <v>CRO</v>
      </c>
      <c r="D187" s="166">
        <f t="shared" si="40"/>
        <v>1</v>
      </c>
      <c r="E187" s="166">
        <f t="shared" si="41"/>
        <v>1</v>
      </c>
      <c r="F187">
        <f t="shared" si="42"/>
        <v>35</v>
      </c>
      <c r="G187">
        <f>IF(ISNA(VLOOKUP(B187,'IA FG'!$B$2:$D$578,3,FALSE)),0,VLOOKUP(B187,'IA FG'!$B$2:$D$578,3,FALSE))</f>
        <v>69</v>
      </c>
      <c r="H187" s="166" t="str">
        <f t="shared" si="43"/>
        <v/>
      </c>
      <c r="I187" s="166">
        <f t="shared" si="44"/>
        <v>60</v>
      </c>
      <c r="J187" s="166" t="str">
        <f t="shared" si="45"/>
        <v/>
      </c>
      <c r="K187" s="166" t="str">
        <f t="shared" si="46"/>
        <v/>
      </c>
      <c r="L187" s="166" t="e">
        <f t="shared" si="47"/>
        <v>#N/A</v>
      </c>
    </row>
    <row r="188" spans="1:12">
      <c r="A188" t="s">
        <v>37</v>
      </c>
      <c r="B188" s="158" t="str">
        <f>Difensori!B116</f>
        <v>BONIFAZI</v>
      </c>
      <c r="C188" s="158" t="str">
        <f>Difensori!C116</f>
        <v>TOR</v>
      </c>
      <c r="D188" s="166">
        <f t="shared" si="40"/>
        <v>1</v>
      </c>
      <c r="E188" s="166">
        <f t="shared" si="41"/>
        <v>1</v>
      </c>
      <c r="F188">
        <f t="shared" si="42"/>
        <v>35</v>
      </c>
      <c r="G188">
        <f>IF(ISNA(VLOOKUP(B188,'IA FG'!$B$2:$D$578,3,FALSE)),0,VLOOKUP(B188,'IA FG'!$B$2:$D$578,3,FALSE))</f>
        <v>62</v>
      </c>
      <c r="H188" s="166" t="str">
        <f t="shared" si="43"/>
        <v/>
      </c>
      <c r="I188" s="166">
        <f t="shared" si="44"/>
        <v>50</v>
      </c>
      <c r="J188" s="166" t="str">
        <f t="shared" si="45"/>
        <v/>
      </c>
      <c r="K188" s="166" t="str">
        <f t="shared" si="46"/>
        <v/>
      </c>
      <c r="L188" s="166" t="e">
        <f t="shared" si="47"/>
        <v>#N/A</v>
      </c>
    </row>
    <row r="189" spans="1:12">
      <c r="A189" t="s">
        <v>37</v>
      </c>
      <c r="B189" s="158" t="str">
        <f>Difensori!B117</f>
        <v>SPOLLI</v>
      </c>
      <c r="C189" s="158" t="str">
        <f>Difensori!C117</f>
        <v>GEN</v>
      </c>
      <c r="D189" s="166">
        <f t="shared" si="40"/>
        <v>1</v>
      </c>
      <c r="E189" s="166">
        <f t="shared" si="41"/>
        <v>1</v>
      </c>
      <c r="F189">
        <f t="shared" si="42"/>
        <v>35</v>
      </c>
      <c r="G189">
        <f>IF(ISNA(VLOOKUP(B189,'IA FG'!$B$2:$D$578,3,FALSE)),0,VLOOKUP(B189,'IA FG'!$B$2:$D$578,3,FALSE))</f>
        <v>69</v>
      </c>
      <c r="H189" s="166" t="str">
        <f t="shared" si="43"/>
        <v/>
      </c>
      <c r="I189" s="166">
        <f t="shared" si="44"/>
        <v>50</v>
      </c>
      <c r="J189" s="166" t="str">
        <f t="shared" si="45"/>
        <v/>
      </c>
      <c r="K189" s="166" t="str">
        <f t="shared" si="46"/>
        <v/>
      </c>
      <c r="L189" s="166" t="e">
        <f t="shared" si="47"/>
        <v>#N/A</v>
      </c>
    </row>
    <row r="190" spans="1:12">
      <c r="A190" t="s">
        <v>37</v>
      </c>
      <c r="B190" s="158" t="str">
        <f>Difensori!B118</f>
        <v>ROSI</v>
      </c>
      <c r="C190" s="158" t="str">
        <f>Difensori!C118</f>
        <v>GEN</v>
      </c>
      <c r="D190" s="166">
        <f t="shared" si="40"/>
        <v>1</v>
      </c>
      <c r="E190" s="166">
        <f t="shared" si="41"/>
        <v>1</v>
      </c>
      <c r="F190">
        <f t="shared" si="42"/>
        <v>35</v>
      </c>
      <c r="G190">
        <f>IF(ISNA(VLOOKUP(B190,'IA FG'!$B$2:$D$578,3,FALSE)),0,VLOOKUP(B190,'IA FG'!$B$2:$D$578,3,FALSE))</f>
        <v>66</v>
      </c>
      <c r="H190" s="166" t="str">
        <f t="shared" si="43"/>
        <v/>
      </c>
      <c r="I190" s="166">
        <f t="shared" si="44"/>
        <v>50</v>
      </c>
      <c r="J190" s="166" t="str">
        <f t="shared" si="45"/>
        <v/>
      </c>
      <c r="K190" s="166" t="str">
        <f t="shared" si="46"/>
        <v/>
      </c>
      <c r="L190" s="166" t="e">
        <f t="shared" si="47"/>
        <v>#N/A</v>
      </c>
    </row>
    <row r="191" spans="1:12">
      <c r="A191" t="s">
        <v>37</v>
      </c>
      <c r="B191" s="158" t="str">
        <f>Difensori!B119</f>
        <v>GENTILETTI</v>
      </c>
      <c r="C191" s="158" t="str">
        <f>Difensori!C119</f>
        <v>GEN</v>
      </c>
      <c r="D191" s="166">
        <f t="shared" si="40"/>
        <v>1</v>
      </c>
      <c r="E191" s="166">
        <f t="shared" si="41"/>
        <v>1</v>
      </c>
      <c r="F191">
        <f t="shared" si="42"/>
        <v>35</v>
      </c>
      <c r="G191">
        <f>IF(ISNA(VLOOKUP(B191,'IA FG'!$B$2:$D$578,3,FALSE)),0,VLOOKUP(B191,'IA FG'!$B$2:$D$578,3,FALSE))</f>
        <v>65</v>
      </c>
      <c r="H191" s="166">
        <f t="shared" si="43"/>
        <v>-1</v>
      </c>
      <c r="I191" s="166">
        <f t="shared" si="44"/>
        <v>60</v>
      </c>
      <c r="J191" s="166" t="str">
        <f t="shared" si="45"/>
        <v/>
      </c>
      <c r="K191" s="166" t="str">
        <f t="shared" si="46"/>
        <v/>
      </c>
      <c r="L191" s="166" t="e">
        <f t="shared" si="47"/>
        <v>#N/A</v>
      </c>
    </row>
    <row r="192" spans="1:12">
      <c r="A192" t="s">
        <v>37</v>
      </c>
      <c r="B192" s="158" t="str">
        <f>Difensori!B120</f>
        <v>PALETTA</v>
      </c>
      <c r="C192" s="158" t="str">
        <f>Difensori!C120</f>
        <v>MIL</v>
      </c>
      <c r="D192" s="166">
        <f t="shared" si="40"/>
        <v>1</v>
      </c>
      <c r="E192" s="166">
        <f t="shared" si="41"/>
        <v>1</v>
      </c>
      <c r="F192">
        <f t="shared" si="42"/>
        <v>33</v>
      </c>
      <c r="G192">
        <f>IF(ISNA(VLOOKUP(B192,'IA FG'!$B$2:$D$578,3,FALSE)),0,VLOOKUP(B192,'IA FG'!$B$2:$D$578,3,FALSE))</f>
        <v>64</v>
      </c>
      <c r="H192" s="166" t="str">
        <f t="shared" si="43"/>
        <v/>
      </c>
      <c r="I192" s="166">
        <f t="shared" si="44"/>
        <v>40</v>
      </c>
      <c r="J192" s="166" t="str">
        <f t="shared" si="45"/>
        <v/>
      </c>
      <c r="K192" s="166" t="str">
        <f t="shared" si="46"/>
        <v/>
      </c>
      <c r="L192" s="166" t="e">
        <f t="shared" si="47"/>
        <v>#N/A</v>
      </c>
    </row>
    <row r="193" spans="1:12">
      <c r="A193" t="s">
        <v>37</v>
      </c>
      <c r="B193" s="158" t="str">
        <f>Difensori!B121</f>
        <v>LETIZIA</v>
      </c>
      <c r="C193" s="158" t="str">
        <f>Difensori!C121</f>
        <v>BEN</v>
      </c>
      <c r="D193" s="166">
        <f t="shared" si="40"/>
        <v>1</v>
      </c>
      <c r="E193" s="166">
        <f t="shared" si="41"/>
        <v>1</v>
      </c>
      <c r="F193">
        <f t="shared" si="42"/>
        <v>41</v>
      </c>
      <c r="G193">
        <f>IF(ISNA(VLOOKUP(B193,'IA FG'!$B$2:$D$578,3,FALSE)),0,VLOOKUP(B193,'IA FG'!$B$2:$D$578,3,FALSE))</f>
        <v>74</v>
      </c>
      <c r="H193" s="166" t="str">
        <f t="shared" si="43"/>
        <v/>
      </c>
      <c r="I193" s="166">
        <f t="shared" si="44"/>
        <v>70</v>
      </c>
      <c r="J193" s="166" t="str">
        <f t="shared" si="45"/>
        <v/>
      </c>
      <c r="K193" s="166" t="str">
        <f t="shared" si="46"/>
        <v/>
      </c>
      <c r="L193" s="166" t="e">
        <f t="shared" si="47"/>
        <v>#N/A</v>
      </c>
    </row>
    <row r="194" spans="1:12">
      <c r="A194" t="s">
        <v>37</v>
      </c>
      <c r="B194" s="158" t="str">
        <f>Difensori!B122</f>
        <v>DI CHIARA</v>
      </c>
      <c r="C194" s="158" t="str">
        <f>Difensori!C122</f>
        <v>BEN</v>
      </c>
      <c r="D194" s="166">
        <f t="shared" si="40"/>
        <v>1</v>
      </c>
      <c r="E194" s="166">
        <f t="shared" si="41"/>
        <v>1</v>
      </c>
      <c r="F194">
        <f t="shared" si="42"/>
        <v>41</v>
      </c>
      <c r="G194">
        <f>IF(ISNA(VLOOKUP(B194,'IA FG'!$B$2:$D$578,3,FALSE)),0,VLOOKUP(B194,'IA FG'!$B$2:$D$578,3,FALSE))</f>
        <v>68</v>
      </c>
      <c r="H194" s="166">
        <f t="shared" si="43"/>
        <v>0</v>
      </c>
      <c r="I194" s="166">
        <f t="shared" si="44"/>
        <v>70</v>
      </c>
      <c r="J194" s="166" t="str">
        <f t="shared" si="45"/>
        <v/>
      </c>
      <c r="K194" s="166">
        <f t="shared" si="46"/>
        <v>4</v>
      </c>
      <c r="L194" s="166" t="e">
        <f t="shared" si="47"/>
        <v>#N/A</v>
      </c>
    </row>
    <row r="195" spans="1:12">
      <c r="A195" t="s">
        <v>37</v>
      </c>
      <c r="B195" s="158" t="str">
        <f>Difensori!B123</f>
        <v>MURRU</v>
      </c>
      <c r="C195" s="158" t="str">
        <f>Difensori!C123</f>
        <v>SAM</v>
      </c>
      <c r="D195" s="166">
        <f t="shared" si="40"/>
        <v>1</v>
      </c>
      <c r="E195" s="166">
        <f t="shared" si="41"/>
        <v>1</v>
      </c>
      <c r="F195">
        <f t="shared" si="42"/>
        <v>34</v>
      </c>
      <c r="G195">
        <f>IF(ISNA(VLOOKUP(B195,'IA FG'!$B$2:$D$578,3,FALSE)),0,VLOOKUP(B195,'IA FG'!$B$2:$D$578,3,FALSE))</f>
        <v>70</v>
      </c>
      <c r="H195" s="166" t="str">
        <f t="shared" si="43"/>
        <v/>
      </c>
      <c r="I195" s="166">
        <f t="shared" si="44"/>
        <v>60</v>
      </c>
      <c r="J195" s="166" t="str">
        <f t="shared" si="45"/>
        <v/>
      </c>
      <c r="K195" s="166" t="str">
        <f t="shared" si="46"/>
        <v/>
      </c>
      <c r="L195" s="166" t="e">
        <f t="shared" si="47"/>
        <v>#N/A</v>
      </c>
    </row>
    <row r="196" spans="1:12">
      <c r="A196" t="s">
        <v>37</v>
      </c>
      <c r="B196" s="158" t="str">
        <f>Difensori!B124</f>
        <v>FERRARI A</v>
      </c>
      <c r="C196" s="158" t="str">
        <f>Difensori!C124</f>
        <v>VER</v>
      </c>
      <c r="D196" s="166">
        <f t="shared" si="40"/>
        <v>1</v>
      </c>
      <c r="E196" s="166">
        <f t="shared" si="41"/>
        <v>1</v>
      </c>
      <c r="F196">
        <f t="shared" si="42"/>
        <v>35</v>
      </c>
      <c r="G196">
        <f>IF(ISNA(VLOOKUP(B196,'IA FG'!$B$2:$D$578,3,FALSE)),0,VLOOKUP(B196,'IA FG'!$B$2:$D$578,3,FALSE))</f>
        <v>66</v>
      </c>
      <c r="H196" s="166" t="str">
        <f t="shared" si="43"/>
        <v/>
      </c>
      <c r="I196" s="166">
        <f t="shared" si="44"/>
        <v>70</v>
      </c>
      <c r="J196" s="166" t="str">
        <f t="shared" si="45"/>
        <v/>
      </c>
      <c r="K196" s="166" t="str">
        <f t="shared" si="46"/>
        <v/>
      </c>
      <c r="L196" s="166" t="e">
        <f t="shared" si="47"/>
        <v>#N/A</v>
      </c>
    </row>
    <row r="197" spans="1:12">
      <c r="A197" t="s">
        <v>37</v>
      </c>
      <c r="B197" s="158" t="str">
        <f>Difensori!B125</f>
        <v>NAGATOMO</v>
      </c>
      <c r="C197" s="158" t="str">
        <f>Difensori!C125</f>
        <v>INT</v>
      </c>
      <c r="D197" s="166">
        <f t="shared" si="40"/>
        <v>1</v>
      </c>
      <c r="E197" s="166">
        <f t="shared" si="41"/>
        <v>1</v>
      </c>
      <c r="F197">
        <f t="shared" si="42"/>
        <v>34</v>
      </c>
      <c r="G197">
        <f>IF(ISNA(VLOOKUP(B197,'IA FG'!$B$2:$D$578,3,FALSE)),0,VLOOKUP(B197,'IA FG'!$B$2:$D$578,3,FALSE))</f>
        <v>68</v>
      </c>
      <c r="H197" s="166">
        <f t="shared" si="43"/>
        <v>-1</v>
      </c>
      <c r="I197" s="166">
        <f t="shared" si="44"/>
        <v>60</v>
      </c>
      <c r="J197" s="166" t="str">
        <f t="shared" si="45"/>
        <v/>
      </c>
      <c r="K197" s="166" t="str">
        <f t="shared" si="46"/>
        <v/>
      </c>
      <c r="L197" s="166" t="e">
        <f t="shared" si="47"/>
        <v>#N/A</v>
      </c>
    </row>
    <row r="198" spans="1:12">
      <c r="A198" t="s">
        <v>37</v>
      </c>
      <c r="B198" s="158" t="str">
        <f>Difensori!B126</f>
        <v>PATRIC</v>
      </c>
      <c r="C198" s="158" t="str">
        <f>Difensori!C126</f>
        <v>LAZ</v>
      </c>
      <c r="D198" s="166">
        <f t="shared" si="40"/>
        <v>1</v>
      </c>
      <c r="E198" s="166">
        <f t="shared" si="41"/>
        <v>1</v>
      </c>
      <c r="F198">
        <f t="shared" si="42"/>
        <v>33</v>
      </c>
      <c r="G198">
        <f>IF(ISNA(VLOOKUP(B198,'IA FG'!$B$2:$D$578,3,FALSE)),0,VLOOKUP(B198,'IA FG'!$B$2:$D$578,3,FALSE))</f>
        <v>62</v>
      </c>
      <c r="H198" s="166" t="str">
        <f t="shared" si="43"/>
        <v/>
      </c>
      <c r="I198" s="166">
        <f t="shared" si="44"/>
        <v>50</v>
      </c>
      <c r="J198" s="166" t="str">
        <f t="shared" si="45"/>
        <v/>
      </c>
      <c r="K198" s="166" t="str">
        <f t="shared" si="46"/>
        <v/>
      </c>
      <c r="L198" s="166" t="e">
        <f t="shared" si="47"/>
        <v>#N/A</v>
      </c>
    </row>
    <row r="199" spans="1:12">
      <c r="A199" t="s">
        <v>37</v>
      </c>
      <c r="B199" s="158" t="str">
        <f>Difensori!B127</f>
        <v>DAINELLI</v>
      </c>
      <c r="C199" s="158" t="str">
        <f>Difensori!C127</f>
        <v>CHI</v>
      </c>
      <c r="D199" s="166">
        <f t="shared" si="40"/>
        <v>1</v>
      </c>
      <c r="E199" s="166">
        <f t="shared" si="41"/>
        <v>1</v>
      </c>
      <c r="F199">
        <f t="shared" si="42"/>
        <v>32</v>
      </c>
      <c r="G199">
        <f>IF(ISNA(VLOOKUP(B199,'IA FG'!$B$2:$D$578,3,FALSE)),0,VLOOKUP(B199,'IA FG'!$B$2:$D$578,3,FALSE))</f>
        <v>72</v>
      </c>
      <c r="H199" s="166" t="str">
        <f t="shared" si="43"/>
        <v/>
      </c>
      <c r="I199" s="166">
        <f t="shared" si="44"/>
        <v>60</v>
      </c>
      <c r="J199" s="166" t="str">
        <f t="shared" si="45"/>
        <v/>
      </c>
      <c r="K199" s="166" t="str">
        <f t="shared" si="46"/>
        <v/>
      </c>
      <c r="L199" s="166" t="e">
        <f t="shared" si="47"/>
        <v>#N/A</v>
      </c>
    </row>
    <row r="200" spans="1:12">
      <c r="A200" t="s">
        <v>37</v>
      </c>
      <c r="B200" s="158" t="str">
        <f>Difensori!B128</f>
        <v>DELL'ORCO</v>
      </c>
      <c r="C200" s="158" t="str">
        <f>Difensori!C128</f>
        <v>SAS</v>
      </c>
      <c r="D200" s="166">
        <f t="shared" si="40"/>
        <v>1</v>
      </c>
      <c r="E200" s="166">
        <f t="shared" si="41"/>
        <v>1</v>
      </c>
      <c r="F200">
        <f t="shared" si="42"/>
        <v>34</v>
      </c>
      <c r="G200">
        <f>IF(ISNA(VLOOKUP(B200,'IA FG'!$B$2:$D$578,3,FALSE)),0,VLOOKUP(B200,'IA FG'!$B$2:$D$578,3,FALSE))</f>
        <v>40</v>
      </c>
      <c r="H200" s="166" t="str">
        <f t="shared" si="43"/>
        <v/>
      </c>
      <c r="I200" s="166">
        <f t="shared" si="44"/>
        <v>60</v>
      </c>
      <c r="J200" s="166" t="str">
        <f t="shared" si="45"/>
        <v/>
      </c>
      <c r="K200" s="166" t="str">
        <f t="shared" si="46"/>
        <v/>
      </c>
      <c r="L200" s="166" t="e">
        <f t="shared" si="47"/>
        <v>#N/A</v>
      </c>
    </row>
    <row r="201" spans="1:12">
      <c r="A201" t="s">
        <v>37</v>
      </c>
      <c r="B201" s="158" t="str">
        <f>Difensori!B129</f>
        <v>PELUSO</v>
      </c>
      <c r="C201" s="158" t="str">
        <f>Difensori!C129</f>
        <v>SAS</v>
      </c>
      <c r="D201" s="166">
        <f t="shared" si="40"/>
        <v>1</v>
      </c>
      <c r="E201" s="166">
        <f t="shared" si="41"/>
        <v>1</v>
      </c>
      <c r="F201">
        <f t="shared" si="42"/>
        <v>34</v>
      </c>
      <c r="G201">
        <f>IF(ISNA(VLOOKUP(B201,'IA FG'!$B$2:$D$578,3,FALSE)),0,VLOOKUP(B201,'IA FG'!$B$2:$D$578,3,FALSE))</f>
        <v>75</v>
      </c>
      <c r="H201" s="166">
        <f t="shared" si="43"/>
        <v>-1</v>
      </c>
      <c r="I201" s="166">
        <f t="shared" si="44"/>
        <v>70</v>
      </c>
      <c r="J201" s="166" t="str">
        <f t="shared" si="45"/>
        <v/>
      </c>
      <c r="K201" s="166" t="str">
        <f t="shared" si="46"/>
        <v/>
      </c>
      <c r="L201" s="166" t="e">
        <f t="shared" si="47"/>
        <v>#N/A</v>
      </c>
    </row>
    <row r="202" spans="1:12">
      <c r="A202" t="s">
        <v>37</v>
      </c>
      <c r="B202" s="158" t="str">
        <f>Difensori!B130</f>
        <v>TOROSIDIS</v>
      </c>
      <c r="C202" s="158" t="str">
        <f>Difensori!C130</f>
        <v>BOL</v>
      </c>
      <c r="D202" s="166">
        <f t="shared" ref="D202:D233" si="48">IF(ISNA(VLOOKUP($B202,TabAlgDif,11,FALSE)),0,VLOOKUP($B202,TabAlgDif,11,FALSE))</f>
        <v>1</v>
      </c>
      <c r="E202" s="166">
        <f t="shared" ref="E202:E233" si="49">IF(ISNA(VLOOKUP($B202,TabAlgDif,14,FALSE)),0,VLOOKUP($B202,TabAlgDif,14,FALSE))</f>
        <v>1</v>
      </c>
      <c r="F202">
        <f t="shared" ref="F202:F233" si="50">IF(ISNA(VLOOKUP($B202,TabAlgDif,15,FALSE)),0,VLOOKUP($B202,TabAlgDif,15,FALSE))</f>
        <v>34</v>
      </c>
      <c r="G202">
        <f>IF(ISNA(VLOOKUP(B202,'IA FG'!$B$2:$D$578,3,FALSE)),0,VLOOKUP(B202,'IA FG'!$B$2:$D$578,3,FALSE))</f>
        <v>70</v>
      </c>
      <c r="H202" s="166" t="str">
        <f t="shared" ref="H202:H233" si="51">IF(ISNA(VLOOKUP($B202,TabAlgDif,16,FALSE)),"",VLOOKUP($B202,TabAlgDif,16,FALSE))</f>
        <v/>
      </c>
      <c r="I202" s="166">
        <f t="shared" ref="I202:I233" si="52">IF(ISNA(VLOOKUP($B202,TabAlgDif,4,FALSE)),0,VLOOKUP($B202,TabAlgDif,4,FALSE))*10</f>
        <v>70</v>
      </c>
      <c r="J202" s="166" t="str">
        <f t="shared" ref="J202:J233" si="53">IF(ISNA(VLOOKUP($B202,TabAlgDif,17,FALSE)),"",VLOOKUP($B202,TabAlgDif,17,FALSE))</f>
        <v/>
      </c>
      <c r="K202" s="166" t="str">
        <f t="shared" ref="K202:K233" si="54">IF(ISNA(VLOOKUP($B202,TabAlgDif,18,FALSE)),"",VLOOKUP($B202,TabAlgDif,18,FALSE))</f>
        <v/>
      </c>
      <c r="L202" s="166" t="e">
        <f t="shared" ref="L202:L233" si="55">VLOOKUP($B202,TabAlgDif,19,FALSE)</f>
        <v>#N/A</v>
      </c>
    </row>
    <row r="203" spans="1:12">
      <c r="A203" t="s">
        <v>37</v>
      </c>
      <c r="B203" s="158" t="str">
        <f>Difensori!B131</f>
        <v>GASTALDELLO</v>
      </c>
      <c r="C203" s="158" t="str">
        <f>Difensori!C131</f>
        <v>BOL</v>
      </c>
      <c r="D203" s="166">
        <f t="shared" si="48"/>
        <v>1</v>
      </c>
      <c r="E203" s="166">
        <f t="shared" si="49"/>
        <v>1</v>
      </c>
      <c r="F203">
        <f t="shared" si="50"/>
        <v>34</v>
      </c>
      <c r="G203">
        <f>IF(ISNA(VLOOKUP(B203,'IA FG'!$B$2:$D$578,3,FALSE)),0,VLOOKUP(B203,'IA FG'!$B$2:$D$578,3,FALSE))</f>
        <v>64</v>
      </c>
      <c r="H203" s="166" t="str">
        <f t="shared" si="51"/>
        <v/>
      </c>
      <c r="I203" s="166">
        <f t="shared" si="52"/>
        <v>70</v>
      </c>
      <c r="J203" s="166" t="str">
        <f t="shared" si="53"/>
        <v/>
      </c>
      <c r="K203" s="166" t="str">
        <f t="shared" si="54"/>
        <v/>
      </c>
      <c r="L203" s="166" t="e">
        <f t="shared" si="55"/>
        <v>#N/A</v>
      </c>
    </row>
    <row r="204" spans="1:12">
      <c r="A204" t="s">
        <v>37</v>
      </c>
      <c r="B204" s="158" t="str">
        <f>Difensori!B132</f>
        <v>GOLDANIGA</v>
      </c>
      <c r="C204" s="158" t="str">
        <f>Difensori!C132</f>
        <v>SAS</v>
      </c>
      <c r="D204" s="166">
        <f t="shared" si="48"/>
        <v>1</v>
      </c>
      <c r="E204" s="166">
        <f t="shared" si="49"/>
        <v>1</v>
      </c>
      <c r="F204">
        <f t="shared" si="50"/>
        <v>34</v>
      </c>
      <c r="G204">
        <f>IF(ISNA(VLOOKUP(B204,'IA FG'!$B$2:$D$578,3,FALSE)),0,VLOOKUP(B204,'IA FG'!$B$2:$D$578,3,FALSE))</f>
        <v>68</v>
      </c>
      <c r="H204" s="166" t="str">
        <f t="shared" si="51"/>
        <v/>
      </c>
      <c r="I204" s="166">
        <f t="shared" si="52"/>
        <v>60</v>
      </c>
      <c r="J204" s="166" t="str">
        <f t="shared" si="53"/>
        <v/>
      </c>
      <c r="K204" s="166" t="str">
        <f t="shared" si="54"/>
        <v/>
      </c>
      <c r="L204" s="166" t="e">
        <f t="shared" si="55"/>
        <v>#N/A</v>
      </c>
    </row>
    <row r="205" spans="1:12">
      <c r="A205" t="s">
        <v>37</v>
      </c>
      <c r="B205" s="158" t="str">
        <f>Difensori!B133</f>
        <v>COSTA F</v>
      </c>
      <c r="C205" s="158" t="str">
        <f>Difensori!C133</f>
        <v>SPA</v>
      </c>
      <c r="D205" s="166">
        <f t="shared" si="48"/>
        <v>1</v>
      </c>
      <c r="E205" s="166">
        <f t="shared" si="49"/>
        <v>1</v>
      </c>
      <c r="F205">
        <f t="shared" si="50"/>
        <v>40</v>
      </c>
      <c r="G205">
        <f>IF(ISNA(VLOOKUP(B205,'IA FG'!$B$2:$D$578,3,FALSE)),0,VLOOKUP(B205,'IA FG'!$B$2:$D$578,3,FALSE))</f>
        <v>70</v>
      </c>
      <c r="H205" s="166" t="str">
        <f t="shared" si="51"/>
        <v/>
      </c>
      <c r="I205" s="166">
        <f t="shared" si="52"/>
        <v>70</v>
      </c>
      <c r="J205" s="166" t="str">
        <f t="shared" si="53"/>
        <v/>
      </c>
      <c r="K205" s="166" t="str">
        <f t="shared" si="54"/>
        <v/>
      </c>
      <c r="L205" s="166" t="e">
        <f t="shared" si="55"/>
        <v>#N/A</v>
      </c>
    </row>
    <row r="206" spans="1:12">
      <c r="A206" t="s">
        <v>37</v>
      </c>
      <c r="B206" s="158" t="str">
        <f>Difensori!B134</f>
        <v>FELICIOLI</v>
      </c>
      <c r="C206" s="158" t="str">
        <f>Difensori!C134</f>
        <v>VER</v>
      </c>
      <c r="D206" s="166">
        <f t="shared" si="48"/>
        <v>1</v>
      </c>
      <c r="E206" s="166">
        <f t="shared" si="49"/>
        <v>1</v>
      </c>
      <c r="F206">
        <f t="shared" si="50"/>
        <v>34</v>
      </c>
      <c r="G206">
        <f>IF(ISNA(VLOOKUP(B206,'IA FG'!$B$2:$D$578,3,FALSE)),0,VLOOKUP(B206,'IA FG'!$B$2:$D$578,3,FALSE))</f>
        <v>55</v>
      </c>
      <c r="H206" s="166" t="str">
        <f t="shared" si="51"/>
        <v/>
      </c>
      <c r="I206" s="166">
        <f t="shared" si="52"/>
        <v>50</v>
      </c>
      <c r="J206" s="166" t="str">
        <f t="shared" si="53"/>
        <v/>
      </c>
      <c r="K206" s="166" t="str">
        <f t="shared" si="54"/>
        <v/>
      </c>
      <c r="L206" s="166" t="e">
        <f t="shared" si="55"/>
        <v>#N/A</v>
      </c>
    </row>
    <row r="207" spans="1:12">
      <c r="A207" t="s">
        <v>37</v>
      </c>
      <c r="B207" s="158" t="str">
        <f>Difensori!B135</f>
        <v>SOUPRAYEN</v>
      </c>
      <c r="C207" s="158" t="str">
        <f>Difensori!C135</f>
        <v>VER</v>
      </c>
      <c r="D207" s="166">
        <f t="shared" si="48"/>
        <v>1</v>
      </c>
      <c r="E207" s="166">
        <f t="shared" si="49"/>
        <v>1</v>
      </c>
      <c r="F207">
        <f t="shared" si="50"/>
        <v>34</v>
      </c>
      <c r="G207">
        <f>IF(ISNA(VLOOKUP(B207,'IA FG'!$B$2:$D$578,3,FALSE)),0,VLOOKUP(B207,'IA FG'!$B$2:$D$578,3,FALSE))</f>
        <v>73</v>
      </c>
      <c r="H207" s="166">
        <f t="shared" si="51"/>
        <v>-1</v>
      </c>
      <c r="I207" s="166">
        <f t="shared" si="52"/>
        <v>70</v>
      </c>
      <c r="J207" s="166" t="str">
        <f t="shared" si="53"/>
        <v/>
      </c>
      <c r="K207" s="166" t="str">
        <f t="shared" si="54"/>
        <v/>
      </c>
      <c r="L207" s="166" t="e">
        <f t="shared" si="55"/>
        <v>#N/A</v>
      </c>
    </row>
    <row r="208" spans="1:12">
      <c r="A208" t="s">
        <v>37</v>
      </c>
      <c r="B208" s="158" t="str">
        <f>Difensori!B136</f>
        <v>CAPUANO</v>
      </c>
      <c r="C208" s="158" t="str">
        <f>Difensori!C136</f>
        <v>CAG</v>
      </c>
      <c r="D208" s="166">
        <f t="shared" si="48"/>
        <v>1</v>
      </c>
      <c r="E208" s="166">
        <f t="shared" si="49"/>
        <v>1</v>
      </c>
      <c r="F208">
        <f t="shared" si="50"/>
        <v>34</v>
      </c>
      <c r="G208">
        <f>IF(ISNA(VLOOKUP(B208,'IA FG'!$B$2:$D$578,3,FALSE)),0,VLOOKUP(B208,'IA FG'!$B$2:$D$578,3,FALSE))</f>
        <v>60</v>
      </c>
      <c r="H208" s="166" t="str">
        <f t="shared" si="51"/>
        <v/>
      </c>
      <c r="I208" s="166">
        <f t="shared" si="52"/>
        <v>60</v>
      </c>
      <c r="J208" s="166" t="str">
        <f t="shared" si="53"/>
        <v/>
      </c>
      <c r="K208" s="166" t="str">
        <f t="shared" si="54"/>
        <v/>
      </c>
      <c r="L208" s="166" t="e">
        <f t="shared" si="55"/>
        <v>#N/A</v>
      </c>
    </row>
    <row r="209" spans="1:12">
      <c r="A209" t="s">
        <v>37</v>
      </c>
      <c r="B209" s="158" t="str">
        <f>Difensori!B137</f>
        <v>REGINI</v>
      </c>
      <c r="C209" s="158" t="str">
        <f>Difensori!C137</f>
        <v>SAM</v>
      </c>
      <c r="D209" s="166">
        <f t="shared" si="48"/>
        <v>1</v>
      </c>
      <c r="E209" s="166">
        <f t="shared" si="49"/>
        <v>1</v>
      </c>
      <c r="F209">
        <f t="shared" si="50"/>
        <v>33</v>
      </c>
      <c r="G209">
        <f>IF(ISNA(VLOOKUP(B209,'IA FG'!$B$2:$D$578,3,FALSE)),0,VLOOKUP(B209,'IA FG'!$B$2:$D$578,3,FALSE))</f>
        <v>71</v>
      </c>
      <c r="H209" s="166">
        <f t="shared" si="51"/>
        <v>-1</v>
      </c>
      <c r="I209" s="166">
        <f t="shared" si="52"/>
        <v>50</v>
      </c>
      <c r="J209" s="166" t="str">
        <f t="shared" si="53"/>
        <v/>
      </c>
      <c r="K209" s="166" t="str">
        <f t="shared" si="54"/>
        <v/>
      </c>
      <c r="L209" s="166" t="e">
        <f t="shared" si="55"/>
        <v>#N/A</v>
      </c>
    </row>
    <row r="210" spans="1:12">
      <c r="A210" t="s">
        <v>37</v>
      </c>
      <c r="B210" s="158" t="str">
        <f>Difensori!B138</f>
        <v>VANHEUSDEN</v>
      </c>
      <c r="C210" s="158" t="str">
        <f>Difensori!C138</f>
        <v>INT</v>
      </c>
      <c r="D210" s="166">
        <f t="shared" si="48"/>
        <v>1</v>
      </c>
      <c r="E210" s="166">
        <f t="shared" si="49"/>
        <v>1</v>
      </c>
      <c r="F210">
        <f t="shared" si="50"/>
        <v>33</v>
      </c>
      <c r="G210">
        <f>IF(ISNA(VLOOKUP(B210,'IA FG'!$B$2:$D$578,3,FALSE)),0,VLOOKUP(B210,'IA FG'!$B$2:$D$578,3,FALSE))</f>
        <v>45</v>
      </c>
      <c r="H210" s="166" t="str">
        <f t="shared" si="51"/>
        <v/>
      </c>
      <c r="I210" s="166">
        <f t="shared" si="52"/>
        <v>40</v>
      </c>
      <c r="J210" s="166" t="str">
        <f t="shared" si="53"/>
        <v/>
      </c>
      <c r="K210" s="166" t="str">
        <f t="shared" si="54"/>
        <v/>
      </c>
      <c r="L210" s="166" t="e">
        <f t="shared" si="55"/>
        <v>#N/A</v>
      </c>
    </row>
    <row r="211" spans="1:12">
      <c r="A211" t="s">
        <v>37</v>
      </c>
      <c r="B211" s="158" t="str">
        <f>Difensori!B139</f>
        <v>DEPAOLI</v>
      </c>
      <c r="C211" s="158" t="str">
        <f>Difensori!C139</f>
        <v>CHI</v>
      </c>
      <c r="D211" s="166">
        <f t="shared" si="48"/>
        <v>1</v>
      </c>
      <c r="E211" s="166">
        <f t="shared" si="49"/>
        <v>1</v>
      </c>
      <c r="F211">
        <f t="shared" si="50"/>
        <v>31</v>
      </c>
      <c r="G211">
        <f>IF(ISNA(VLOOKUP(B211,'IA FG'!$B$2:$D$578,3,FALSE)),0,VLOOKUP(B211,'IA FG'!$B$2:$D$578,3,FALSE))</f>
        <v>61</v>
      </c>
      <c r="H211" s="166" t="str">
        <f t="shared" si="51"/>
        <v/>
      </c>
      <c r="I211" s="166">
        <f t="shared" si="52"/>
        <v>40</v>
      </c>
      <c r="J211" s="166" t="str">
        <f t="shared" si="53"/>
        <v/>
      </c>
      <c r="K211" s="166" t="str">
        <f t="shared" si="54"/>
        <v/>
      </c>
      <c r="L211" s="166" t="e">
        <f t="shared" si="55"/>
        <v>#N/A</v>
      </c>
    </row>
    <row r="212" spans="1:12">
      <c r="A212" t="s">
        <v>37</v>
      </c>
      <c r="B212" s="158" t="str">
        <f>Difensori!B140</f>
        <v>ADJAPONG</v>
      </c>
      <c r="C212" s="158" t="str">
        <f>Difensori!C140</f>
        <v>SAS</v>
      </c>
      <c r="D212" s="166">
        <f t="shared" si="48"/>
        <v>1</v>
      </c>
      <c r="E212" s="166">
        <f t="shared" si="49"/>
        <v>1</v>
      </c>
      <c r="F212">
        <f t="shared" si="50"/>
        <v>33</v>
      </c>
      <c r="G212">
        <f>IF(ISNA(VLOOKUP(B212,'IA FG'!$B$2:$D$578,3,FALSE)),0,VLOOKUP(B212,'IA FG'!$B$2:$D$578,3,FALSE))</f>
        <v>60</v>
      </c>
      <c r="H212" s="166" t="str">
        <f t="shared" si="51"/>
        <v/>
      </c>
      <c r="I212" s="166">
        <f t="shared" si="52"/>
        <v>50</v>
      </c>
      <c r="J212" s="166" t="str">
        <f t="shared" si="53"/>
        <v/>
      </c>
      <c r="K212" s="166" t="str">
        <f t="shared" si="54"/>
        <v/>
      </c>
      <c r="L212" s="166" t="e">
        <f t="shared" si="55"/>
        <v>#N/A</v>
      </c>
    </row>
    <row r="213" spans="1:12">
      <c r="A213" t="s">
        <v>37</v>
      </c>
      <c r="B213" s="158" t="str">
        <f>Difensori!B141</f>
        <v>SAMPIRISI</v>
      </c>
      <c r="C213" s="158" t="str">
        <f>Difensori!C141</f>
        <v>CRO</v>
      </c>
      <c r="D213" s="166">
        <f t="shared" si="48"/>
        <v>1</v>
      </c>
      <c r="E213" s="166">
        <f t="shared" si="49"/>
        <v>1</v>
      </c>
      <c r="F213">
        <f t="shared" si="50"/>
        <v>33</v>
      </c>
      <c r="G213">
        <f>IF(ISNA(VLOOKUP(B213,'IA FG'!$B$2:$D$578,3,FALSE)),0,VLOOKUP(B213,'IA FG'!$B$2:$D$578,3,FALSE))</f>
        <v>63</v>
      </c>
      <c r="H213" s="166" t="str">
        <f t="shared" si="51"/>
        <v/>
      </c>
      <c r="I213" s="166">
        <f t="shared" si="52"/>
        <v>50</v>
      </c>
      <c r="J213" s="166" t="str">
        <f t="shared" si="53"/>
        <v/>
      </c>
      <c r="K213" s="166" t="str">
        <f t="shared" si="54"/>
        <v/>
      </c>
      <c r="L213" s="166" t="e">
        <f t="shared" si="55"/>
        <v>#N/A</v>
      </c>
    </row>
    <row r="214" spans="1:12">
      <c r="A214" t="s">
        <v>37</v>
      </c>
      <c r="B214" s="158" t="str">
        <f>Difensori!B142</f>
        <v>ADNAN</v>
      </c>
      <c r="C214" s="158" t="str">
        <f>Difensori!C142</f>
        <v>UDI</v>
      </c>
      <c r="D214" s="166">
        <f t="shared" si="48"/>
        <v>1</v>
      </c>
      <c r="E214" s="166">
        <f t="shared" si="49"/>
        <v>1</v>
      </c>
      <c r="F214">
        <f t="shared" si="50"/>
        <v>32</v>
      </c>
      <c r="G214">
        <f>IF(ISNA(VLOOKUP(B214,'IA FG'!$B$2:$D$578,3,FALSE)),0,VLOOKUP(B214,'IA FG'!$B$2:$D$578,3,FALSE))</f>
        <v>65</v>
      </c>
      <c r="H214" s="166" t="str">
        <f t="shared" si="51"/>
        <v/>
      </c>
      <c r="I214" s="166">
        <f t="shared" si="52"/>
        <v>40</v>
      </c>
      <c r="J214" s="166" t="str">
        <f t="shared" si="53"/>
        <v/>
      </c>
      <c r="K214" s="166" t="str">
        <f t="shared" si="54"/>
        <v/>
      </c>
      <c r="L214" s="166" t="e">
        <f t="shared" si="55"/>
        <v>#N/A</v>
      </c>
    </row>
    <row r="215" spans="1:12">
      <c r="A215" t="s">
        <v>37</v>
      </c>
      <c r="B215" s="158" t="str">
        <f>Difensori!B143</f>
        <v>KRAFTH</v>
      </c>
      <c r="C215" s="158" t="str">
        <f>Difensori!C143</f>
        <v>BOL</v>
      </c>
      <c r="D215" s="166">
        <f t="shared" si="48"/>
        <v>1</v>
      </c>
      <c r="E215" s="166">
        <f t="shared" si="49"/>
        <v>1</v>
      </c>
      <c r="F215">
        <f t="shared" si="50"/>
        <v>33</v>
      </c>
      <c r="G215">
        <f>IF(ISNA(VLOOKUP(B215,'IA FG'!$B$2:$D$578,3,FALSE)),0,VLOOKUP(B215,'IA FG'!$B$2:$D$578,3,FALSE))</f>
        <v>69</v>
      </c>
      <c r="H215" s="166">
        <f t="shared" si="51"/>
        <v>-1</v>
      </c>
      <c r="I215" s="166">
        <f t="shared" si="52"/>
        <v>60</v>
      </c>
      <c r="J215" s="166" t="str">
        <f t="shared" si="53"/>
        <v/>
      </c>
      <c r="K215" s="166" t="str">
        <f t="shared" si="54"/>
        <v/>
      </c>
      <c r="L215" s="166" t="e">
        <f t="shared" si="55"/>
        <v>#N/A</v>
      </c>
    </row>
    <row r="216" spans="1:12">
      <c r="A216" t="s">
        <v>37</v>
      </c>
      <c r="B216" s="158" t="str">
        <f>Difensori!B144</f>
        <v>VENUTI</v>
      </c>
      <c r="C216" s="158" t="str">
        <f>Difensori!C144</f>
        <v>BEN</v>
      </c>
      <c r="D216" s="166">
        <f t="shared" si="48"/>
        <v>1</v>
      </c>
      <c r="E216" s="166">
        <f t="shared" si="49"/>
        <v>1</v>
      </c>
      <c r="F216">
        <f t="shared" si="50"/>
        <v>39</v>
      </c>
      <c r="G216">
        <f>IF(ISNA(VLOOKUP(B216,'IA FG'!$B$2:$D$578,3,FALSE)),0,VLOOKUP(B216,'IA FG'!$B$2:$D$578,3,FALSE))</f>
        <v>66</v>
      </c>
      <c r="H216" s="166" t="str">
        <f t="shared" si="51"/>
        <v/>
      </c>
      <c r="I216" s="166">
        <f t="shared" si="52"/>
        <v>70</v>
      </c>
      <c r="J216" s="166" t="str">
        <f t="shared" si="53"/>
        <v/>
      </c>
      <c r="K216" s="166" t="str">
        <f t="shared" si="54"/>
        <v/>
      </c>
      <c r="L216" s="166" t="e">
        <f t="shared" si="55"/>
        <v>#N/A</v>
      </c>
    </row>
    <row r="217" spans="1:12">
      <c r="A217" t="s">
        <v>37</v>
      </c>
      <c r="B217" s="158" t="str">
        <f>Difensori!B145</f>
        <v>CEPPITELLI</v>
      </c>
      <c r="C217" s="158" t="str">
        <f>Difensori!C145</f>
        <v>CAG</v>
      </c>
      <c r="D217" s="166">
        <f t="shared" si="48"/>
        <v>1</v>
      </c>
      <c r="E217" s="166">
        <f t="shared" si="49"/>
        <v>1</v>
      </c>
      <c r="F217">
        <f t="shared" si="50"/>
        <v>33</v>
      </c>
      <c r="G217">
        <f>IF(ISNA(VLOOKUP(B217,'IA FG'!$B$2:$D$578,3,FALSE)),0,VLOOKUP(B217,'IA FG'!$B$2:$D$578,3,FALSE))</f>
        <v>67</v>
      </c>
      <c r="H217" s="166" t="str">
        <f t="shared" si="51"/>
        <v/>
      </c>
      <c r="I217" s="166">
        <f t="shared" si="52"/>
        <v>60</v>
      </c>
      <c r="J217" s="166" t="str">
        <f t="shared" si="53"/>
        <v/>
      </c>
      <c r="K217" s="166" t="str">
        <f t="shared" si="54"/>
        <v/>
      </c>
      <c r="L217" s="166" t="e">
        <f t="shared" si="55"/>
        <v>#N/A</v>
      </c>
    </row>
    <row r="218" spans="1:12">
      <c r="A218" t="s">
        <v>37</v>
      </c>
      <c r="B218" s="158" t="str">
        <f>Difensori!B146</f>
        <v>RANOCCHIA</v>
      </c>
      <c r="C218" s="158" t="str">
        <f>Difensori!C146</f>
        <v>INT</v>
      </c>
      <c r="D218" s="166">
        <f t="shared" si="48"/>
        <v>1</v>
      </c>
      <c r="E218" s="166">
        <f t="shared" si="49"/>
        <v>1</v>
      </c>
      <c r="F218">
        <f t="shared" si="50"/>
        <v>32</v>
      </c>
      <c r="G218">
        <f>IF(ISNA(VLOOKUP(B218,'IA FG'!$B$2:$D$578,3,FALSE)),0,VLOOKUP(B218,'IA FG'!$B$2:$D$578,3,FALSE))</f>
        <v>63</v>
      </c>
      <c r="H218" s="166" t="str">
        <f t="shared" si="51"/>
        <v/>
      </c>
      <c r="I218" s="166">
        <f t="shared" si="52"/>
        <v>50</v>
      </c>
      <c r="J218" s="166" t="str">
        <f t="shared" si="53"/>
        <v/>
      </c>
      <c r="K218" s="166" t="str">
        <f t="shared" si="54"/>
        <v/>
      </c>
      <c r="L218" s="166" t="e">
        <f t="shared" si="55"/>
        <v>#N/A</v>
      </c>
    </row>
    <row r="219" spans="1:12">
      <c r="A219" t="s">
        <v>37</v>
      </c>
      <c r="B219" s="158" t="str">
        <f>Difensori!B147</f>
        <v>SALA</v>
      </c>
      <c r="C219" s="158" t="str">
        <f>Difensori!C147</f>
        <v>SAM</v>
      </c>
      <c r="D219" s="166">
        <f t="shared" si="48"/>
        <v>1</v>
      </c>
      <c r="E219" s="166">
        <f t="shared" si="49"/>
        <v>1</v>
      </c>
      <c r="F219">
        <f t="shared" si="50"/>
        <v>32</v>
      </c>
      <c r="G219">
        <f>IF(ISNA(VLOOKUP(B219,'IA FG'!$B$2:$D$578,3,FALSE)),0,VLOOKUP(B219,'IA FG'!$B$2:$D$578,3,FALSE))</f>
        <v>69</v>
      </c>
      <c r="H219" s="166">
        <f t="shared" si="51"/>
        <v>-1</v>
      </c>
      <c r="I219" s="166">
        <f t="shared" si="52"/>
        <v>70</v>
      </c>
      <c r="J219" s="166" t="str">
        <f t="shared" si="53"/>
        <v/>
      </c>
      <c r="K219" s="166" t="str">
        <f t="shared" si="54"/>
        <v/>
      </c>
      <c r="L219" s="166" t="e">
        <f t="shared" si="55"/>
        <v>#N/A</v>
      </c>
    </row>
    <row r="220" spans="1:12">
      <c r="A220" t="s">
        <v>37</v>
      </c>
      <c r="B220" s="158" t="str">
        <f>Difensori!B148</f>
        <v>BERESZYNSKI</v>
      </c>
      <c r="C220" s="158" t="str">
        <f>Difensori!C148</f>
        <v>SAM</v>
      </c>
      <c r="D220" s="166">
        <f t="shared" si="48"/>
        <v>1</v>
      </c>
      <c r="E220" s="166">
        <f t="shared" si="49"/>
        <v>1</v>
      </c>
      <c r="F220">
        <f t="shared" si="50"/>
        <v>32</v>
      </c>
      <c r="G220">
        <f>IF(ISNA(VLOOKUP(B220,'IA FG'!$B$2:$D$578,3,FALSE)),0,VLOOKUP(B220,'IA FG'!$B$2:$D$578,3,FALSE))</f>
        <v>67</v>
      </c>
      <c r="H220" s="166" t="str">
        <f t="shared" si="51"/>
        <v/>
      </c>
      <c r="I220" s="166">
        <f t="shared" si="52"/>
        <v>60</v>
      </c>
      <c r="J220" s="166" t="str">
        <f t="shared" si="53"/>
        <v/>
      </c>
      <c r="K220" s="166" t="str">
        <f t="shared" si="54"/>
        <v/>
      </c>
      <c r="L220" s="166" t="e">
        <f t="shared" si="55"/>
        <v>#N/A</v>
      </c>
    </row>
    <row r="221" spans="1:12">
      <c r="A221" t="s">
        <v>37</v>
      </c>
      <c r="B221" s="158" t="str">
        <f>Difensori!B149</f>
        <v>ANDERSEN</v>
      </c>
      <c r="C221" s="158" t="str">
        <f>Difensori!C149</f>
        <v>SAM</v>
      </c>
      <c r="D221" s="166">
        <f t="shared" si="48"/>
        <v>1</v>
      </c>
      <c r="E221" s="166">
        <f t="shared" si="49"/>
        <v>1</v>
      </c>
      <c r="F221">
        <f t="shared" si="50"/>
        <v>32</v>
      </c>
      <c r="G221">
        <f>IF(ISNA(VLOOKUP(B221,'IA FG'!$B$2:$D$578,3,FALSE)),0,VLOOKUP(B221,'IA FG'!$B$2:$D$578,3,FALSE))</f>
        <v>66</v>
      </c>
      <c r="H221" s="166" t="str">
        <f t="shared" si="51"/>
        <v/>
      </c>
      <c r="I221" s="166">
        <f t="shared" si="52"/>
        <v>40</v>
      </c>
      <c r="J221" s="166" t="str">
        <f t="shared" si="53"/>
        <v/>
      </c>
      <c r="K221" s="166" t="str">
        <f t="shared" si="54"/>
        <v/>
      </c>
      <c r="L221" s="166" t="e">
        <f t="shared" si="55"/>
        <v>#N/A</v>
      </c>
    </row>
    <row r="222" spans="1:12">
      <c r="A222" t="s">
        <v>37</v>
      </c>
      <c r="B222" s="158" t="str">
        <f>Difensori!B150</f>
        <v>ROGERIO</v>
      </c>
      <c r="C222" s="158" t="str">
        <f>Difensori!C150</f>
        <v>SAS</v>
      </c>
      <c r="D222" s="166">
        <f t="shared" si="48"/>
        <v>1</v>
      </c>
      <c r="E222" s="166">
        <f t="shared" si="49"/>
        <v>1</v>
      </c>
      <c r="F222">
        <f t="shared" si="50"/>
        <v>32</v>
      </c>
      <c r="G222">
        <f>IF(ISNA(VLOOKUP(B222,'IA FG'!$B$2:$D$578,3,FALSE)),0,VLOOKUP(B222,'IA FG'!$B$2:$D$578,3,FALSE))</f>
        <v>59</v>
      </c>
      <c r="H222" s="166" t="str">
        <f t="shared" si="51"/>
        <v/>
      </c>
      <c r="I222" s="166">
        <f t="shared" si="52"/>
        <v>50</v>
      </c>
      <c r="J222" s="166" t="str">
        <f t="shared" si="53"/>
        <v/>
      </c>
      <c r="K222" s="166" t="str">
        <f t="shared" si="54"/>
        <v/>
      </c>
      <c r="L222" s="166" t="e">
        <f t="shared" si="55"/>
        <v>#N/A</v>
      </c>
    </row>
    <row r="223" spans="1:12">
      <c r="A223" t="s">
        <v>37</v>
      </c>
      <c r="B223" s="158" t="str">
        <f>Difensori!B151</f>
        <v>ANTEI</v>
      </c>
      <c r="C223" s="158" t="str">
        <f>Difensori!C151</f>
        <v>BEN</v>
      </c>
      <c r="D223" s="166">
        <f t="shared" si="48"/>
        <v>1</v>
      </c>
      <c r="E223" s="166">
        <f t="shared" si="49"/>
        <v>1</v>
      </c>
      <c r="F223">
        <f t="shared" si="50"/>
        <v>38</v>
      </c>
      <c r="G223">
        <f>IF(ISNA(VLOOKUP(B223,'IA FG'!$B$2:$D$578,3,FALSE)),0,VLOOKUP(B223,'IA FG'!$B$2:$D$578,3,FALSE))</f>
        <v>66</v>
      </c>
      <c r="H223" s="166" t="str">
        <f t="shared" si="51"/>
        <v/>
      </c>
      <c r="I223" s="166">
        <f t="shared" si="52"/>
        <v>80</v>
      </c>
      <c r="J223" s="166" t="str">
        <f t="shared" si="53"/>
        <v/>
      </c>
      <c r="K223" s="166" t="str">
        <f t="shared" si="54"/>
        <v/>
      </c>
      <c r="L223" s="166" t="e">
        <f t="shared" si="55"/>
        <v>#N/A</v>
      </c>
    </row>
    <row r="224" spans="1:12">
      <c r="A224" t="s">
        <v>37</v>
      </c>
      <c r="B224" s="158" t="str">
        <f>Difensori!B152</f>
        <v>LAZAAR</v>
      </c>
      <c r="C224" s="158" t="str">
        <f>Difensori!C152</f>
        <v>BEN</v>
      </c>
      <c r="D224" s="166">
        <f t="shared" si="48"/>
        <v>1</v>
      </c>
      <c r="E224" s="166">
        <f t="shared" si="49"/>
        <v>1</v>
      </c>
      <c r="F224">
        <f t="shared" si="50"/>
        <v>38</v>
      </c>
      <c r="G224">
        <f>IF(ISNA(VLOOKUP(B224,'IA FG'!$B$2:$D$578,3,FALSE)),0,VLOOKUP(B224,'IA FG'!$B$2:$D$578,3,FALSE))</f>
        <v>70</v>
      </c>
      <c r="H224" s="166" t="str">
        <f t="shared" si="51"/>
        <v/>
      </c>
      <c r="I224" s="166">
        <f t="shared" si="52"/>
        <v>70</v>
      </c>
      <c r="J224" s="166" t="str">
        <f t="shared" si="53"/>
        <v/>
      </c>
      <c r="K224" s="166" t="str">
        <f t="shared" si="54"/>
        <v/>
      </c>
      <c r="L224" s="166" t="e">
        <f t="shared" si="55"/>
        <v>#N/A</v>
      </c>
    </row>
    <row r="225" spans="1:12">
      <c r="A225" t="s">
        <v>37</v>
      </c>
      <c r="B225" s="158" t="str">
        <f>Difensori!B153</f>
        <v>OIKONOMOU</v>
      </c>
      <c r="C225" s="158" t="str">
        <f>Difensori!C153</f>
        <v>SPA</v>
      </c>
      <c r="D225" s="166">
        <f t="shared" si="48"/>
        <v>1</v>
      </c>
      <c r="E225" s="166">
        <f t="shared" si="49"/>
        <v>1</v>
      </c>
      <c r="F225">
        <f t="shared" si="50"/>
        <v>38</v>
      </c>
      <c r="G225">
        <f>IF(ISNA(VLOOKUP(B225,'IA FG'!$B$2:$D$578,3,FALSE)),0,VLOOKUP(B225,'IA FG'!$B$2:$D$578,3,FALSE))</f>
        <v>74</v>
      </c>
      <c r="H225" s="166" t="str">
        <f t="shared" si="51"/>
        <v/>
      </c>
      <c r="I225" s="166">
        <f t="shared" si="52"/>
        <v>70</v>
      </c>
      <c r="J225" s="166" t="str">
        <f t="shared" si="53"/>
        <v/>
      </c>
      <c r="K225" s="166" t="str">
        <f t="shared" si="54"/>
        <v/>
      </c>
      <c r="L225" s="166" t="e">
        <f t="shared" si="55"/>
        <v>#N/A</v>
      </c>
    </row>
    <row r="226" spans="1:12">
      <c r="A226" t="s">
        <v>37</v>
      </c>
      <c r="B226" s="158" t="str">
        <f>Difensori!B154</f>
        <v>ROMAGNA</v>
      </c>
      <c r="C226" s="158" t="str">
        <f>Difensori!C154</f>
        <v>CAG</v>
      </c>
      <c r="D226" s="166">
        <f t="shared" si="48"/>
        <v>1</v>
      </c>
      <c r="E226" s="166">
        <f t="shared" si="49"/>
        <v>1</v>
      </c>
      <c r="F226">
        <f t="shared" si="50"/>
        <v>32</v>
      </c>
      <c r="G226">
        <f>IF(ISNA(VLOOKUP(B226,'IA FG'!$B$2:$D$578,3,FALSE)),0,VLOOKUP(B226,'IA FG'!$B$2:$D$578,3,FALSE))</f>
        <v>55</v>
      </c>
      <c r="H226" s="166" t="str">
        <f t="shared" si="51"/>
        <v/>
      </c>
      <c r="I226" s="166">
        <f t="shared" si="52"/>
        <v>40</v>
      </c>
      <c r="J226" s="166" t="str">
        <f t="shared" si="53"/>
        <v/>
      </c>
      <c r="K226" s="166" t="str">
        <f t="shared" si="54"/>
        <v/>
      </c>
      <c r="L226" s="166" t="e">
        <f t="shared" si="55"/>
        <v>#N/A</v>
      </c>
    </row>
    <row r="227" spans="1:12">
      <c r="A227" t="s">
        <v>37</v>
      </c>
      <c r="B227" s="158" t="str">
        <f>Difensori!B155</f>
        <v>CARACCIOLO A</v>
      </c>
      <c r="C227" s="158" t="str">
        <f>Difensori!C155</f>
        <v>VER</v>
      </c>
      <c r="D227" s="166">
        <f t="shared" si="48"/>
        <v>1</v>
      </c>
      <c r="E227" s="166">
        <f t="shared" si="49"/>
        <v>1</v>
      </c>
      <c r="F227">
        <f t="shared" si="50"/>
        <v>32</v>
      </c>
      <c r="G227">
        <f>IF(ISNA(VLOOKUP(B227,'IA FG'!$B$2:$D$578,3,FALSE)),0,VLOOKUP(B227,'IA FG'!$B$2:$D$578,3,FALSE))</f>
        <v>68</v>
      </c>
      <c r="H227" s="166" t="str">
        <f t="shared" si="51"/>
        <v/>
      </c>
      <c r="I227" s="166">
        <f t="shared" si="52"/>
        <v>60</v>
      </c>
      <c r="J227" s="166" t="str">
        <f t="shared" si="53"/>
        <v/>
      </c>
      <c r="K227" s="166" t="str">
        <f t="shared" si="54"/>
        <v/>
      </c>
      <c r="L227" s="166" t="e">
        <f t="shared" si="55"/>
        <v>#N/A</v>
      </c>
    </row>
    <row r="228" spans="1:12">
      <c r="A228" t="s">
        <v>37</v>
      </c>
      <c r="B228" s="158" t="str">
        <f>Difensori!B156</f>
        <v>BANI</v>
      </c>
      <c r="C228" s="158" t="str">
        <f>Difensori!C156</f>
        <v>CHI</v>
      </c>
      <c r="D228" s="166">
        <f t="shared" si="48"/>
        <v>1</v>
      </c>
      <c r="E228" s="166">
        <f t="shared" si="49"/>
        <v>1</v>
      </c>
      <c r="F228">
        <f t="shared" si="50"/>
        <v>29</v>
      </c>
      <c r="G228">
        <f>IF(ISNA(VLOOKUP(B228,'IA FG'!$B$2:$D$578,3,FALSE)),0,VLOOKUP(B228,'IA FG'!$B$2:$D$578,3,FALSE))</f>
        <v>59</v>
      </c>
      <c r="H228" s="166" t="str">
        <f t="shared" si="51"/>
        <v/>
      </c>
      <c r="I228" s="166">
        <f t="shared" si="52"/>
        <v>40</v>
      </c>
      <c r="J228" s="166" t="str">
        <f t="shared" si="53"/>
        <v/>
      </c>
      <c r="K228" s="166" t="str">
        <f t="shared" si="54"/>
        <v/>
      </c>
      <c r="L228" s="166" t="e">
        <f t="shared" si="55"/>
        <v>#N/A</v>
      </c>
    </row>
    <row r="229" spans="1:12">
      <c r="A229" t="s">
        <v>37</v>
      </c>
      <c r="B229" s="158" t="str">
        <f>Difensori!B157</f>
        <v>CESAR</v>
      </c>
      <c r="C229" s="158" t="str">
        <f>Difensori!C157</f>
        <v>CHI</v>
      </c>
      <c r="D229" s="166">
        <f t="shared" si="48"/>
        <v>1</v>
      </c>
      <c r="E229" s="166">
        <f t="shared" si="49"/>
        <v>1</v>
      </c>
      <c r="F229">
        <f t="shared" si="50"/>
        <v>29</v>
      </c>
      <c r="G229">
        <f>IF(ISNA(VLOOKUP(B229,'IA FG'!$B$2:$D$578,3,FALSE)),0,VLOOKUP(B229,'IA FG'!$B$2:$D$578,3,FALSE))</f>
        <v>68</v>
      </c>
      <c r="H229" s="166" t="str">
        <f t="shared" si="51"/>
        <v/>
      </c>
      <c r="I229" s="166">
        <f t="shared" si="52"/>
        <v>50</v>
      </c>
      <c r="J229" s="166" t="str">
        <f t="shared" si="53"/>
        <v/>
      </c>
      <c r="K229" s="166" t="str">
        <f t="shared" si="54"/>
        <v/>
      </c>
      <c r="L229" s="166" t="e">
        <f t="shared" si="55"/>
        <v>#N/A</v>
      </c>
    </row>
    <row r="230" spans="1:12">
      <c r="A230" t="s">
        <v>37</v>
      </c>
      <c r="B230" s="158" t="str">
        <f>Difensori!B158</f>
        <v>HELANDER</v>
      </c>
      <c r="C230" s="158" t="str">
        <f>Difensori!C158</f>
        <v>BOL</v>
      </c>
      <c r="D230" s="166">
        <f t="shared" si="48"/>
        <v>1</v>
      </c>
      <c r="E230" s="166">
        <f t="shared" si="49"/>
        <v>1</v>
      </c>
      <c r="F230">
        <f t="shared" si="50"/>
        <v>31</v>
      </c>
      <c r="G230">
        <f>IF(ISNA(VLOOKUP(B230,'IA FG'!$B$2:$D$578,3,FALSE)),0,VLOOKUP(B230,'IA FG'!$B$2:$D$578,3,FALSE))</f>
        <v>64</v>
      </c>
      <c r="H230" s="166" t="str">
        <f t="shared" si="51"/>
        <v/>
      </c>
      <c r="I230" s="166">
        <f t="shared" si="52"/>
        <v>50</v>
      </c>
      <c r="J230" s="166" t="str">
        <f t="shared" si="53"/>
        <v/>
      </c>
      <c r="K230" s="166" t="str">
        <f t="shared" si="54"/>
        <v/>
      </c>
      <c r="L230" s="166" t="e">
        <f t="shared" si="55"/>
        <v>#N/A</v>
      </c>
    </row>
    <row r="231" spans="1:12">
      <c r="A231" t="s">
        <v>37</v>
      </c>
      <c r="B231" s="158" t="str">
        <f>Difensori!B159</f>
        <v>FELIPE</v>
      </c>
      <c r="C231" s="158" t="str">
        <f>Difensori!C159</f>
        <v>SPA</v>
      </c>
      <c r="D231" s="166">
        <f t="shared" si="48"/>
        <v>1</v>
      </c>
      <c r="E231" s="166">
        <f t="shared" si="49"/>
        <v>1</v>
      </c>
      <c r="F231">
        <f t="shared" si="50"/>
        <v>37</v>
      </c>
      <c r="G231">
        <f>IF(ISNA(VLOOKUP(B231,'IA FG'!$B$2:$D$578,3,FALSE)),0,VLOOKUP(B231,'IA FG'!$B$2:$D$578,3,FALSE))</f>
        <v>75</v>
      </c>
      <c r="H231" s="166" t="str">
        <f t="shared" si="51"/>
        <v/>
      </c>
      <c r="I231" s="166">
        <f t="shared" si="52"/>
        <v>70</v>
      </c>
      <c r="J231" s="166" t="str">
        <f t="shared" si="53"/>
        <v/>
      </c>
      <c r="K231" s="166" t="str">
        <f t="shared" si="54"/>
        <v/>
      </c>
      <c r="L231" s="166" t="e">
        <f t="shared" si="55"/>
        <v>#N/A</v>
      </c>
    </row>
    <row r="232" spans="1:12">
      <c r="A232" t="s">
        <v>37</v>
      </c>
      <c r="B232" s="158" t="str">
        <f>Difensori!B160</f>
        <v>SANTON</v>
      </c>
      <c r="C232" s="158" t="str">
        <f>Difensori!C160</f>
        <v>INT</v>
      </c>
      <c r="D232" s="166">
        <f t="shared" si="48"/>
        <v>1</v>
      </c>
      <c r="E232" s="166">
        <f t="shared" si="49"/>
        <v>1</v>
      </c>
      <c r="F232">
        <f t="shared" si="50"/>
        <v>30</v>
      </c>
      <c r="G232">
        <f>IF(ISNA(VLOOKUP(B232,'IA FG'!$B$2:$D$578,3,FALSE)),0,VLOOKUP(B232,'IA FG'!$B$2:$D$578,3,FALSE))</f>
        <v>69</v>
      </c>
      <c r="H232" s="166" t="str">
        <f t="shared" si="51"/>
        <v/>
      </c>
      <c r="I232" s="166">
        <f t="shared" si="52"/>
        <v>50</v>
      </c>
      <c r="J232" s="166" t="str">
        <f t="shared" si="53"/>
        <v/>
      </c>
      <c r="K232" s="166" t="str">
        <f t="shared" si="54"/>
        <v/>
      </c>
      <c r="L232" s="166" t="e">
        <f t="shared" si="55"/>
        <v>#N/A</v>
      </c>
    </row>
    <row r="233" spans="1:12">
      <c r="A233" t="s">
        <v>37</v>
      </c>
      <c r="B233" s="158" t="str">
        <f>Difensori!B161</f>
        <v>DRAME'</v>
      </c>
      <c r="C233" s="158" t="str">
        <f>Difensori!C161</f>
        <v>ATA</v>
      </c>
      <c r="D233" s="166">
        <f t="shared" si="48"/>
        <v>1</v>
      </c>
      <c r="E233" s="166">
        <f t="shared" si="49"/>
        <v>1</v>
      </c>
      <c r="F233">
        <f t="shared" si="50"/>
        <v>30</v>
      </c>
      <c r="G233">
        <f>IF(ISNA(VLOOKUP(B233,'IA FG'!$B$2:$D$578,3,FALSE)),0,VLOOKUP(B233,'IA FG'!$B$2:$D$578,3,FALSE))</f>
        <v>55</v>
      </c>
      <c r="H233" s="166" t="str">
        <f t="shared" si="51"/>
        <v/>
      </c>
      <c r="I233" s="166">
        <f t="shared" si="52"/>
        <v>40</v>
      </c>
      <c r="J233" s="166" t="str">
        <f t="shared" si="53"/>
        <v/>
      </c>
      <c r="K233" s="166" t="str">
        <f t="shared" si="54"/>
        <v/>
      </c>
      <c r="L233" s="166" t="e">
        <f t="shared" si="55"/>
        <v>#N/A</v>
      </c>
    </row>
    <row r="234" spans="1:12">
      <c r="A234" t="s">
        <v>37</v>
      </c>
      <c r="B234" s="158" t="str">
        <f>Difensori!B162</f>
        <v>SIMIC S</v>
      </c>
      <c r="C234" s="158" t="str">
        <f>Difensori!C162</f>
        <v>CRO</v>
      </c>
      <c r="D234" s="166">
        <f t="shared" ref="D234:D273" si="56">IF(ISNA(VLOOKUP($B234,TabAlgDif,11,FALSE)),0,VLOOKUP($B234,TabAlgDif,11,FALSE))</f>
        <v>1</v>
      </c>
      <c r="E234" s="166">
        <f t="shared" ref="E234:E273" si="57">IF(ISNA(VLOOKUP($B234,TabAlgDif,14,FALSE)),0,VLOOKUP($B234,TabAlgDif,14,FALSE))</f>
        <v>1</v>
      </c>
      <c r="F234">
        <f t="shared" ref="F234:F273" si="58">IF(ISNA(VLOOKUP($B234,TabAlgDif,15,FALSE)),0,VLOOKUP($B234,TabAlgDif,15,FALSE))</f>
        <v>30</v>
      </c>
      <c r="G234">
        <f>IF(ISNA(VLOOKUP(B234,'IA FG'!$B$2:$D$578,3,FALSE)),0,VLOOKUP(B234,'IA FG'!$B$2:$D$578,3,FALSE))</f>
        <v>58</v>
      </c>
      <c r="H234" s="166" t="str">
        <f t="shared" ref="H234:H273" si="59">IF(ISNA(VLOOKUP($B234,TabAlgDif,16,FALSE)),"",VLOOKUP($B234,TabAlgDif,16,FALSE))</f>
        <v/>
      </c>
      <c r="I234" s="166">
        <f t="shared" ref="I234:I273" si="60">IF(ISNA(VLOOKUP($B234,TabAlgDif,4,FALSE)),0,VLOOKUP($B234,TabAlgDif,4,FALSE))*10</f>
        <v>30</v>
      </c>
      <c r="J234" s="166" t="str">
        <f t="shared" ref="J234:J273" si="61">IF(ISNA(VLOOKUP($B234,TabAlgDif,17,FALSE)),"",VLOOKUP($B234,TabAlgDif,17,FALSE))</f>
        <v/>
      </c>
      <c r="K234" s="166" t="str">
        <f t="shared" ref="K234:K273" si="62">IF(ISNA(VLOOKUP($B234,TabAlgDif,18,FALSE)),"",VLOOKUP($B234,TabAlgDif,18,FALSE))</f>
        <v/>
      </c>
      <c r="L234" s="166" t="e">
        <f t="shared" ref="L234:L273" si="63">VLOOKUP($B234,TabAlgDif,19,FALSE)</f>
        <v>#N/A</v>
      </c>
    </row>
    <row r="235" spans="1:12">
      <c r="A235" t="s">
        <v>37</v>
      </c>
      <c r="B235" s="158" t="str">
        <f>Difensori!B163</f>
        <v>MIKULIC</v>
      </c>
      <c r="C235" s="158" t="str">
        <f>Difensori!C163</f>
        <v>SAM</v>
      </c>
      <c r="D235" s="166">
        <f t="shared" si="56"/>
        <v>1</v>
      </c>
      <c r="E235" s="166">
        <f t="shared" si="57"/>
        <v>1</v>
      </c>
      <c r="F235">
        <f t="shared" si="58"/>
        <v>29</v>
      </c>
      <c r="G235">
        <f>IF(ISNA(VLOOKUP(B235,'IA FG'!$B$2:$D$578,3,FALSE)),0,VLOOKUP(B235,'IA FG'!$B$2:$D$578,3,FALSE))</f>
        <v>50</v>
      </c>
      <c r="H235" s="166" t="str">
        <f t="shared" si="59"/>
        <v/>
      </c>
      <c r="I235" s="166">
        <f t="shared" si="60"/>
        <v>30</v>
      </c>
      <c r="J235" s="166" t="str">
        <f t="shared" si="61"/>
        <v/>
      </c>
      <c r="K235" s="166" t="str">
        <f t="shared" si="62"/>
        <v/>
      </c>
      <c r="L235" s="166" t="e">
        <f t="shared" si="63"/>
        <v>#N/A</v>
      </c>
    </row>
    <row r="236" spans="1:12">
      <c r="A236" t="s">
        <v>37</v>
      </c>
      <c r="B236" s="158" t="str">
        <f>Difensori!B164</f>
        <v>GAZZOLA</v>
      </c>
      <c r="C236" s="158" t="str">
        <f>Difensori!C164</f>
        <v>SAS</v>
      </c>
      <c r="D236" s="166">
        <f t="shared" si="56"/>
        <v>1</v>
      </c>
      <c r="E236" s="166">
        <f t="shared" si="57"/>
        <v>1</v>
      </c>
      <c r="F236">
        <f t="shared" si="58"/>
        <v>29</v>
      </c>
      <c r="G236">
        <f>IF(ISNA(VLOOKUP(B236,'IA FG'!$B$2:$D$578,3,FALSE)),0,VLOOKUP(B236,'IA FG'!$B$2:$D$578,3,FALSE))</f>
        <v>60</v>
      </c>
      <c r="H236" s="166" t="str">
        <f t="shared" si="59"/>
        <v/>
      </c>
      <c r="I236" s="166">
        <f t="shared" si="60"/>
        <v>60</v>
      </c>
      <c r="J236" s="166" t="str">
        <f t="shared" si="61"/>
        <v/>
      </c>
      <c r="K236" s="166" t="str">
        <f t="shared" si="62"/>
        <v/>
      </c>
      <c r="L236" s="166" t="e">
        <f t="shared" si="63"/>
        <v>#N/A</v>
      </c>
    </row>
    <row r="237" spans="1:12">
      <c r="A237" t="s">
        <v>37</v>
      </c>
      <c r="B237" s="158" t="str">
        <f>Difensori!B165</f>
        <v>JAROSZYNSKI</v>
      </c>
      <c r="C237" s="158" t="str">
        <f>Difensori!C165</f>
        <v>CHI</v>
      </c>
      <c r="D237" s="166">
        <f t="shared" si="56"/>
        <v>1</v>
      </c>
      <c r="E237" s="166">
        <f t="shared" si="57"/>
        <v>1</v>
      </c>
      <c r="F237">
        <f t="shared" si="58"/>
        <v>27</v>
      </c>
      <c r="G237">
        <f>IF(ISNA(VLOOKUP(B237,'IA FG'!$B$2:$D$578,3,FALSE)),0,VLOOKUP(B237,'IA FG'!$B$2:$D$578,3,FALSE))</f>
        <v>62</v>
      </c>
      <c r="H237" s="166" t="str">
        <f t="shared" si="59"/>
        <v/>
      </c>
      <c r="I237" s="166">
        <f t="shared" si="60"/>
        <v>30</v>
      </c>
      <c r="J237" s="166" t="str">
        <f t="shared" si="61"/>
        <v/>
      </c>
      <c r="K237" s="166" t="str">
        <f t="shared" si="62"/>
        <v/>
      </c>
      <c r="L237" s="166" t="e">
        <f t="shared" si="63"/>
        <v>#N/A</v>
      </c>
    </row>
    <row r="238" spans="1:12">
      <c r="A238" t="s">
        <v>37</v>
      </c>
      <c r="B238" s="158" t="str">
        <f>Difensori!B166</f>
        <v>TOMOVIC</v>
      </c>
      <c r="C238" s="158" t="str">
        <f>Difensori!C166</f>
        <v>CHI</v>
      </c>
      <c r="D238" s="166">
        <f t="shared" si="56"/>
        <v>1</v>
      </c>
      <c r="E238" s="166">
        <f t="shared" si="57"/>
        <v>1</v>
      </c>
      <c r="F238">
        <f t="shared" si="58"/>
        <v>27</v>
      </c>
      <c r="G238">
        <f>IF(ISNA(VLOOKUP(B238,'IA FG'!$B$2:$D$578,3,FALSE)),0,VLOOKUP(B238,'IA FG'!$B$2:$D$578,3,FALSE))</f>
        <v>65</v>
      </c>
      <c r="H238" s="166">
        <f t="shared" si="59"/>
        <v>-1</v>
      </c>
      <c r="I238" s="166">
        <f t="shared" si="60"/>
        <v>50</v>
      </c>
      <c r="J238" s="166" t="str">
        <f t="shared" si="61"/>
        <v/>
      </c>
      <c r="K238" s="166" t="str">
        <f t="shared" si="62"/>
        <v/>
      </c>
      <c r="L238" s="166" t="e">
        <f t="shared" si="63"/>
        <v>#N/A</v>
      </c>
    </row>
    <row r="239" spans="1:12">
      <c r="A239" t="s">
        <v>37</v>
      </c>
      <c r="B239" s="158" t="str">
        <f>Difensori!B167</f>
        <v>LETSCHERT</v>
      </c>
      <c r="C239" s="158" t="str">
        <f>Difensori!C167</f>
        <v>SAS</v>
      </c>
      <c r="D239" s="166">
        <f t="shared" si="56"/>
        <v>1</v>
      </c>
      <c r="E239" s="166">
        <f t="shared" si="57"/>
        <v>1</v>
      </c>
      <c r="F239">
        <f t="shared" si="58"/>
        <v>29</v>
      </c>
      <c r="G239">
        <f>IF(ISNA(VLOOKUP(B239,'IA FG'!$B$2:$D$578,3,FALSE)),0,VLOOKUP(B239,'IA FG'!$B$2:$D$578,3,FALSE))</f>
        <v>63</v>
      </c>
      <c r="H239" s="166" t="str">
        <f t="shared" si="59"/>
        <v/>
      </c>
      <c r="I239" s="166">
        <f t="shared" si="60"/>
        <v>50</v>
      </c>
      <c r="J239" s="166" t="str">
        <f t="shared" si="61"/>
        <v/>
      </c>
      <c r="K239" s="166" t="str">
        <f t="shared" si="62"/>
        <v/>
      </c>
      <c r="L239" s="166" t="e">
        <f t="shared" si="63"/>
        <v>#N/A</v>
      </c>
    </row>
    <row r="240" spans="1:12">
      <c r="A240" t="s">
        <v>37</v>
      </c>
      <c r="B240" s="158" t="str">
        <f>Difensori!B168</f>
        <v>COSTA</v>
      </c>
      <c r="C240" s="158" t="str">
        <f>Difensori!C168</f>
        <v>BEN</v>
      </c>
      <c r="D240" s="166">
        <f t="shared" si="56"/>
        <v>1</v>
      </c>
      <c r="E240" s="166">
        <f t="shared" si="57"/>
        <v>1</v>
      </c>
      <c r="F240">
        <f t="shared" si="58"/>
        <v>35</v>
      </c>
      <c r="G240">
        <f>IF(ISNA(VLOOKUP(B240,'IA FG'!$B$2:$D$578,3,FALSE)),0,VLOOKUP(B240,'IA FG'!$B$2:$D$578,3,FALSE))</f>
        <v>73</v>
      </c>
      <c r="H240" s="166">
        <f t="shared" si="59"/>
        <v>-1</v>
      </c>
      <c r="I240" s="166">
        <f t="shared" si="60"/>
        <v>70</v>
      </c>
      <c r="J240" s="166" t="str">
        <f t="shared" si="61"/>
        <v/>
      </c>
      <c r="K240" s="166" t="str">
        <f t="shared" si="62"/>
        <v/>
      </c>
      <c r="L240" s="166" t="e">
        <f t="shared" si="63"/>
        <v>#N/A</v>
      </c>
    </row>
    <row r="241" spans="1:12">
      <c r="A241" t="s">
        <v>37</v>
      </c>
      <c r="B241" s="158" t="str">
        <f>Difensori!B169</f>
        <v>CASTAN</v>
      </c>
      <c r="C241" s="158" t="str">
        <f>Difensori!C169</f>
        <v>ROM</v>
      </c>
      <c r="D241" s="166">
        <f t="shared" si="56"/>
        <v>1</v>
      </c>
      <c r="E241" s="166">
        <f t="shared" si="57"/>
        <v>1</v>
      </c>
      <c r="F241">
        <f t="shared" si="58"/>
        <v>27</v>
      </c>
      <c r="G241">
        <f>IF(ISNA(VLOOKUP(B241,'IA FG'!$B$2:$D$578,3,FALSE)),0,VLOOKUP(B241,'IA FG'!$B$2:$D$578,3,FALSE))</f>
        <v>59</v>
      </c>
      <c r="H241" s="166" t="str">
        <f t="shared" si="59"/>
        <v/>
      </c>
      <c r="I241" s="166">
        <f t="shared" si="60"/>
        <v>30</v>
      </c>
      <c r="J241" s="166" t="str">
        <f t="shared" si="61"/>
        <v/>
      </c>
      <c r="K241" s="166" t="str">
        <f t="shared" si="62"/>
        <v/>
      </c>
      <c r="L241" s="166" t="e">
        <f t="shared" si="63"/>
        <v>#N/A</v>
      </c>
    </row>
    <row r="242" spans="1:12">
      <c r="A242" t="s">
        <v>37</v>
      </c>
      <c r="B242" s="158" t="str">
        <f>Difensori!B170</f>
        <v>HRISTOV</v>
      </c>
      <c r="C242" s="158" t="str">
        <f>Difensori!C170</f>
        <v>FIO</v>
      </c>
      <c r="D242" s="166">
        <f t="shared" si="56"/>
        <v>1</v>
      </c>
      <c r="E242" s="166">
        <f t="shared" si="57"/>
        <v>1</v>
      </c>
      <c r="F242">
        <f t="shared" si="58"/>
        <v>28</v>
      </c>
      <c r="G242">
        <f>IF(ISNA(VLOOKUP(B242,'IA FG'!$B$2:$D$578,3,FALSE)),0,VLOOKUP(B242,'IA FG'!$B$2:$D$578,3,FALSE))</f>
        <v>45</v>
      </c>
      <c r="H242" s="166" t="str">
        <f t="shared" si="59"/>
        <v/>
      </c>
      <c r="I242" s="166">
        <f t="shared" si="60"/>
        <v>20</v>
      </c>
      <c r="J242" s="166" t="str">
        <f t="shared" si="61"/>
        <v/>
      </c>
      <c r="K242" s="166" t="str">
        <f t="shared" si="62"/>
        <v/>
      </c>
      <c r="L242" s="166" t="e">
        <f t="shared" si="63"/>
        <v>#N/A</v>
      </c>
    </row>
    <row r="243" spans="1:12">
      <c r="A243" t="s">
        <v>37</v>
      </c>
      <c r="B243" s="158" t="str">
        <f>Difensori!B171</f>
        <v>BIANCHETTI</v>
      </c>
      <c r="C243" s="158" t="str">
        <f>Difensori!C171</f>
        <v>VER</v>
      </c>
      <c r="D243" s="166">
        <f t="shared" si="56"/>
        <v>1</v>
      </c>
      <c r="E243" s="166">
        <f t="shared" si="57"/>
        <v>1</v>
      </c>
      <c r="F243">
        <f t="shared" si="58"/>
        <v>29</v>
      </c>
      <c r="G243">
        <f>IF(ISNA(VLOOKUP(B243,'IA FG'!$B$2:$D$578,3,FALSE)),0,VLOOKUP(B243,'IA FG'!$B$2:$D$578,3,FALSE))</f>
        <v>55</v>
      </c>
      <c r="H243" s="166">
        <f t="shared" si="59"/>
        <v>-1</v>
      </c>
      <c r="I243" s="166">
        <f t="shared" si="60"/>
        <v>50</v>
      </c>
      <c r="J243" s="166" t="str">
        <f t="shared" si="61"/>
        <v/>
      </c>
      <c r="K243" s="166" t="str">
        <f t="shared" si="62"/>
        <v/>
      </c>
      <c r="L243" s="166" t="e">
        <f t="shared" si="63"/>
        <v>#N/A</v>
      </c>
    </row>
    <row r="244" spans="1:12">
      <c r="A244" t="s">
        <v>37</v>
      </c>
      <c r="B244" s="158" t="str">
        <f>Difensori!B172</f>
        <v>CHERUBIN</v>
      </c>
      <c r="C244" s="158" t="str">
        <f>Difensori!C172</f>
        <v>VER</v>
      </c>
      <c r="D244" s="166">
        <f t="shared" si="56"/>
        <v>1</v>
      </c>
      <c r="E244" s="166">
        <f t="shared" si="57"/>
        <v>1</v>
      </c>
      <c r="F244">
        <f t="shared" si="58"/>
        <v>29</v>
      </c>
      <c r="G244">
        <f>IF(ISNA(VLOOKUP(B244,'IA FG'!$B$2:$D$578,3,FALSE)),0,VLOOKUP(B244,'IA FG'!$B$2:$D$578,3,FALSE))</f>
        <v>45</v>
      </c>
      <c r="H244" s="166" t="str">
        <f t="shared" si="59"/>
        <v/>
      </c>
      <c r="I244" s="166">
        <f t="shared" si="60"/>
        <v>50</v>
      </c>
      <c r="J244" s="166" t="str">
        <f t="shared" si="61"/>
        <v/>
      </c>
      <c r="K244" s="166" t="str">
        <f t="shared" si="62"/>
        <v/>
      </c>
      <c r="L244" s="166" t="e">
        <f t="shared" si="63"/>
        <v>#N/A</v>
      </c>
    </row>
    <row r="245" spans="1:12">
      <c r="A245" t="s">
        <v>37</v>
      </c>
      <c r="B245" s="158" t="str">
        <f>Difensori!B173</f>
        <v>DJIMSITI</v>
      </c>
      <c r="C245" s="158" t="str">
        <f>Difensori!C173</f>
        <v>BEN</v>
      </c>
      <c r="D245" s="166">
        <f t="shared" si="56"/>
        <v>1</v>
      </c>
      <c r="E245" s="166">
        <f t="shared" si="57"/>
        <v>1</v>
      </c>
      <c r="F245">
        <f t="shared" si="58"/>
        <v>34</v>
      </c>
      <c r="G245">
        <f>IF(ISNA(VLOOKUP(B245,'IA FG'!$B$2:$D$578,3,FALSE)),0,VLOOKUP(B245,'IA FG'!$B$2:$D$578,3,FALSE))</f>
        <v>58</v>
      </c>
      <c r="H245" s="166" t="str">
        <f t="shared" si="59"/>
        <v/>
      </c>
      <c r="I245" s="166">
        <f t="shared" si="60"/>
        <v>60</v>
      </c>
      <c r="J245" s="166" t="str">
        <f t="shared" si="61"/>
        <v/>
      </c>
      <c r="K245" s="166" t="str">
        <f t="shared" si="62"/>
        <v/>
      </c>
      <c r="L245" s="166" t="e">
        <f t="shared" si="63"/>
        <v>#N/A</v>
      </c>
    </row>
    <row r="246" spans="1:12">
      <c r="A246" t="s">
        <v>37</v>
      </c>
      <c r="B246" s="158" t="str">
        <f>Difensori!B174</f>
        <v>GRAVILLON</v>
      </c>
      <c r="C246" s="158" t="str">
        <f>Difensori!C174</f>
        <v>BEN</v>
      </c>
      <c r="D246" s="166">
        <f t="shared" si="56"/>
        <v>1</v>
      </c>
      <c r="E246" s="166">
        <f t="shared" si="57"/>
        <v>1</v>
      </c>
      <c r="F246">
        <f t="shared" si="58"/>
        <v>34</v>
      </c>
      <c r="G246">
        <f>IF(ISNA(VLOOKUP(B246,'IA FG'!$B$2:$D$578,3,FALSE)),0,VLOOKUP(B246,'IA FG'!$B$2:$D$578,3,FALSE))</f>
        <v>53</v>
      </c>
      <c r="H246" s="166" t="str">
        <f t="shared" si="59"/>
        <v/>
      </c>
      <c r="I246" s="166">
        <f t="shared" si="60"/>
        <v>40</v>
      </c>
      <c r="J246" s="166" t="str">
        <f t="shared" si="61"/>
        <v/>
      </c>
      <c r="K246" s="166" t="str">
        <f t="shared" si="62"/>
        <v/>
      </c>
      <c r="L246" s="166" t="e">
        <f t="shared" si="63"/>
        <v>#N/A</v>
      </c>
    </row>
    <row r="247" spans="1:12">
      <c r="A247" t="s">
        <v>37</v>
      </c>
      <c r="B247" s="158" t="str">
        <f>Difensori!B175</f>
        <v>VICARI</v>
      </c>
      <c r="C247" s="158" t="str">
        <f>Difensori!C175</f>
        <v>SPA</v>
      </c>
      <c r="D247" s="166">
        <f t="shared" si="56"/>
        <v>1</v>
      </c>
      <c r="E247" s="166">
        <f t="shared" si="57"/>
        <v>1</v>
      </c>
      <c r="F247">
        <f t="shared" si="58"/>
        <v>33</v>
      </c>
      <c r="G247">
        <f>IF(ISNA(VLOOKUP(B247,'IA FG'!$B$2:$D$578,3,FALSE)),0,VLOOKUP(B247,'IA FG'!$B$2:$D$578,3,FALSE))</f>
        <v>67</v>
      </c>
      <c r="H247" s="166" t="str">
        <f t="shared" si="59"/>
        <v/>
      </c>
      <c r="I247" s="166">
        <f t="shared" si="60"/>
        <v>60</v>
      </c>
      <c r="J247" s="166" t="str">
        <f t="shared" si="61"/>
        <v/>
      </c>
      <c r="K247" s="166" t="str">
        <f t="shared" si="62"/>
        <v/>
      </c>
      <c r="L247" s="166" t="e">
        <f t="shared" si="63"/>
        <v>#N/A</v>
      </c>
    </row>
    <row r="248" spans="1:12">
      <c r="A248" t="s">
        <v>37</v>
      </c>
      <c r="B248" s="158" t="str">
        <f>Difensori!B176</f>
        <v>DODO'</v>
      </c>
      <c r="C248" s="158" t="str">
        <f>Difensori!C176</f>
        <v>SAM</v>
      </c>
      <c r="D248" s="166">
        <f t="shared" si="56"/>
        <v>1</v>
      </c>
      <c r="E248" s="166">
        <f t="shared" si="57"/>
        <v>1</v>
      </c>
      <c r="F248">
        <f t="shared" si="58"/>
        <v>26</v>
      </c>
      <c r="G248">
        <f>IF(ISNA(VLOOKUP(B248,'IA FG'!$B$2:$D$578,3,FALSE)),0,VLOOKUP(B248,'IA FG'!$B$2:$D$578,3,FALSE))</f>
        <v>56</v>
      </c>
      <c r="H248" s="166">
        <f t="shared" si="59"/>
        <v>-1</v>
      </c>
      <c r="I248" s="166">
        <f t="shared" si="60"/>
        <v>40</v>
      </c>
      <c r="J248" s="166" t="str">
        <f t="shared" si="61"/>
        <v/>
      </c>
      <c r="K248" s="166" t="str">
        <f t="shared" si="62"/>
        <v/>
      </c>
      <c r="L248" s="166" t="e">
        <f t="shared" si="63"/>
        <v>#N/A</v>
      </c>
    </row>
    <row r="249" spans="1:12">
      <c r="A249" t="s">
        <v>37</v>
      </c>
      <c r="B249" s="158" t="str">
        <f>Difensori!B177</f>
        <v>GYAMFI</v>
      </c>
      <c r="C249" s="158" t="str">
        <f>Difensori!C177</f>
        <v>BEN</v>
      </c>
      <c r="D249" s="166">
        <f t="shared" si="56"/>
        <v>1</v>
      </c>
      <c r="E249" s="166">
        <f t="shared" si="57"/>
        <v>1</v>
      </c>
      <c r="F249">
        <f t="shared" si="58"/>
        <v>32</v>
      </c>
      <c r="G249">
        <f>IF(ISNA(VLOOKUP(B249,'IA FG'!$B$2:$D$578,3,FALSE)),0,VLOOKUP(B249,'IA FG'!$B$2:$D$578,3,FALSE))</f>
        <v>53</v>
      </c>
      <c r="H249" s="166" t="str">
        <f t="shared" si="59"/>
        <v/>
      </c>
      <c r="I249" s="166">
        <f t="shared" si="60"/>
        <v>40</v>
      </c>
      <c r="J249" s="166" t="str">
        <f t="shared" si="61"/>
        <v/>
      </c>
      <c r="K249" s="166" t="str">
        <f t="shared" si="62"/>
        <v/>
      </c>
      <c r="L249" s="166" t="e">
        <f t="shared" si="63"/>
        <v>#N/A</v>
      </c>
    </row>
    <row r="250" spans="1:12">
      <c r="A250" t="s">
        <v>37</v>
      </c>
      <c r="B250" s="158" t="str">
        <f>Difensori!B178</f>
        <v>FREY</v>
      </c>
      <c r="C250" s="158" t="str">
        <f>Difensori!C178</f>
        <v>CHI</v>
      </c>
      <c r="D250" s="166">
        <f t="shared" si="56"/>
        <v>1</v>
      </c>
      <c r="E250" s="166">
        <f t="shared" si="57"/>
        <v>1</v>
      </c>
      <c r="F250">
        <f t="shared" si="58"/>
        <v>23</v>
      </c>
      <c r="G250">
        <f>IF(ISNA(VLOOKUP(B250,'IA FG'!$B$2:$D$578,3,FALSE)),0,VLOOKUP(B250,'IA FG'!$B$2:$D$578,3,FALSE))</f>
        <v>58</v>
      </c>
      <c r="H250" s="166" t="str">
        <f t="shared" si="59"/>
        <v/>
      </c>
      <c r="I250" s="166">
        <f t="shared" si="60"/>
        <v>20</v>
      </c>
      <c r="J250" s="166" t="str">
        <f t="shared" si="61"/>
        <v/>
      </c>
      <c r="K250" s="166" t="str">
        <f t="shared" si="62"/>
        <v/>
      </c>
      <c r="L250" s="166" t="e">
        <f t="shared" si="63"/>
        <v>#N/A</v>
      </c>
    </row>
    <row r="251" spans="1:12">
      <c r="A251" t="s">
        <v>37</v>
      </c>
      <c r="B251" s="158" t="str">
        <f>Difensori!B179</f>
        <v>SALAMON</v>
      </c>
      <c r="C251" s="158" t="str">
        <f>Difensori!C179</f>
        <v>SPA</v>
      </c>
      <c r="D251" s="166">
        <f t="shared" si="56"/>
        <v>1</v>
      </c>
      <c r="E251" s="166">
        <f t="shared" si="57"/>
        <v>1</v>
      </c>
      <c r="F251">
        <f t="shared" si="58"/>
        <v>30</v>
      </c>
      <c r="G251">
        <f>IF(ISNA(VLOOKUP(B251,'IA FG'!$B$2:$D$578,3,FALSE)),0,VLOOKUP(B251,'IA FG'!$B$2:$D$578,3,FALSE))</f>
        <v>60</v>
      </c>
      <c r="H251" s="166" t="str">
        <f t="shared" si="59"/>
        <v/>
      </c>
      <c r="I251" s="166">
        <f t="shared" si="60"/>
        <v>50</v>
      </c>
      <c r="J251" s="166" t="str">
        <f t="shared" si="61"/>
        <v/>
      </c>
      <c r="K251" s="166" t="str">
        <f t="shared" si="62"/>
        <v/>
      </c>
      <c r="L251" s="166" t="e">
        <f t="shared" si="63"/>
        <v>#N/A</v>
      </c>
    </row>
    <row r="252" spans="1:12">
      <c r="A252" t="s">
        <v>37</v>
      </c>
      <c r="B252" s="158" t="str">
        <f>Difensori!B180</f>
        <v>MATTIELLO</v>
      </c>
      <c r="C252" s="158" t="str">
        <f>Difensori!C180</f>
        <v>SPA</v>
      </c>
      <c r="D252" s="166">
        <f t="shared" si="56"/>
        <v>1</v>
      </c>
      <c r="E252" s="166">
        <f t="shared" si="57"/>
        <v>1</v>
      </c>
      <c r="F252">
        <f t="shared" si="58"/>
        <v>30</v>
      </c>
      <c r="G252">
        <f>IF(ISNA(VLOOKUP(B252,'IA FG'!$B$2:$D$578,3,FALSE)),0,VLOOKUP(B252,'IA FG'!$B$2:$D$578,3,FALSE))</f>
        <v>73</v>
      </c>
      <c r="H252" s="166" t="str">
        <f t="shared" si="59"/>
        <v/>
      </c>
      <c r="I252" s="166">
        <f t="shared" si="60"/>
        <v>50</v>
      </c>
      <c r="J252" s="166" t="str">
        <f t="shared" si="61"/>
        <v/>
      </c>
      <c r="K252" s="166" t="str">
        <f t="shared" si="62"/>
        <v/>
      </c>
      <c r="L252" s="166" t="e">
        <f t="shared" si="63"/>
        <v>#N/A</v>
      </c>
    </row>
    <row r="253" spans="1:12">
      <c r="A253" t="s">
        <v>37</v>
      </c>
      <c r="B253" s="158" t="str">
        <f>Difensori!B181</f>
        <v>CREMONESI</v>
      </c>
      <c r="C253" s="158" t="str">
        <f>Difensori!C181</f>
        <v>SPA</v>
      </c>
      <c r="D253" s="166">
        <f t="shared" si="56"/>
        <v>1</v>
      </c>
      <c r="E253" s="166">
        <f t="shared" si="57"/>
        <v>1</v>
      </c>
      <c r="F253">
        <f t="shared" si="58"/>
        <v>29</v>
      </c>
      <c r="G253">
        <f>IF(ISNA(VLOOKUP(B253,'IA FG'!$B$2:$D$578,3,FALSE)),0,VLOOKUP(B253,'IA FG'!$B$2:$D$578,3,FALSE))</f>
        <v>59</v>
      </c>
      <c r="H253" s="166" t="str">
        <f t="shared" si="59"/>
        <v/>
      </c>
      <c r="I253" s="166">
        <f t="shared" si="60"/>
        <v>50</v>
      </c>
      <c r="J253" s="166" t="str">
        <f t="shared" si="61"/>
        <v/>
      </c>
      <c r="K253" s="166" t="str">
        <f t="shared" si="62"/>
        <v/>
      </c>
      <c r="L253" s="166" t="e">
        <f t="shared" si="63"/>
        <v>#N/A</v>
      </c>
    </row>
    <row r="254" spans="1:12">
      <c r="A254" t="s">
        <v>37</v>
      </c>
      <c r="B254" s="158" t="str">
        <f>Difensori!B182</f>
        <v>VAISANEN</v>
      </c>
      <c r="C254" s="158" t="str">
        <f>Difensori!C182</f>
        <v>SPA</v>
      </c>
      <c r="D254" s="166">
        <f t="shared" si="56"/>
        <v>1</v>
      </c>
      <c r="E254" s="166">
        <f t="shared" si="57"/>
        <v>1</v>
      </c>
      <c r="F254">
        <f t="shared" si="58"/>
        <v>28</v>
      </c>
      <c r="G254">
        <f>IF(ISNA(VLOOKUP(B254,'IA FG'!$B$2:$D$578,3,FALSE)),0,VLOOKUP(B254,'IA FG'!$B$2:$D$578,3,FALSE))</f>
        <v>66</v>
      </c>
      <c r="H254" s="166">
        <f t="shared" si="59"/>
        <v>-1</v>
      </c>
      <c r="I254" s="166">
        <f t="shared" si="60"/>
        <v>50</v>
      </c>
      <c r="J254" s="166" t="str">
        <f t="shared" si="61"/>
        <v/>
      </c>
      <c r="K254" s="166" t="str">
        <f t="shared" si="62"/>
        <v/>
      </c>
      <c r="L254" s="166" t="e">
        <f t="shared" si="63"/>
        <v>#N/A</v>
      </c>
    </row>
    <row r="255" spans="1:12">
      <c r="A255" t="s">
        <v>37</v>
      </c>
      <c r="B255" s="158" t="str">
        <f>Difensori!B183</f>
        <v>KONATE</v>
      </c>
      <c r="C255" s="158" t="str">
        <f>Difensori!C183</f>
        <v>SPA</v>
      </c>
      <c r="D255" s="166">
        <f t="shared" si="56"/>
        <v>1</v>
      </c>
      <c r="E255" s="166">
        <f t="shared" si="57"/>
        <v>1</v>
      </c>
      <c r="F255">
        <f t="shared" si="58"/>
        <v>24</v>
      </c>
      <c r="G255">
        <f>IF(ISNA(VLOOKUP(B255,'IA FG'!$B$2:$D$578,3,FALSE)),0,VLOOKUP(B255,'IA FG'!$B$2:$D$578,3,FALSE))</f>
        <v>59</v>
      </c>
      <c r="H255" s="166" t="str">
        <f t="shared" si="59"/>
        <v/>
      </c>
      <c r="I255" s="166">
        <f t="shared" si="60"/>
        <v>40</v>
      </c>
      <c r="J255" s="166" t="str">
        <f t="shared" si="61"/>
        <v/>
      </c>
      <c r="K255" s="166" t="str">
        <f t="shared" si="62"/>
        <v/>
      </c>
      <c r="L255" s="166" t="e">
        <f t="shared" si="63"/>
        <v>#N/A</v>
      </c>
    </row>
    <row r="256" spans="1:12">
      <c r="A256" t="s">
        <v>37</v>
      </c>
      <c r="B256" s="158" t="str">
        <f>Difensori!B184</f>
        <v>POLVANI</v>
      </c>
      <c r="C256" s="158" t="str">
        <f>Difensori!C184</f>
        <v>SPA</v>
      </c>
      <c r="D256" s="166">
        <f t="shared" si="56"/>
        <v>1</v>
      </c>
      <c r="E256" s="166">
        <f t="shared" si="57"/>
        <v>1</v>
      </c>
      <c r="F256">
        <f t="shared" si="58"/>
        <v>23</v>
      </c>
      <c r="G256">
        <f>IF(ISNA(VLOOKUP(B256,'IA FG'!$B$2:$D$578,3,FALSE)),0,VLOOKUP(B256,'IA FG'!$B$2:$D$578,3,FALSE))</f>
        <v>40</v>
      </c>
      <c r="H256" s="166" t="str">
        <f t="shared" si="59"/>
        <v/>
      </c>
      <c r="I256" s="166">
        <f t="shared" si="60"/>
        <v>40</v>
      </c>
      <c r="J256" s="166" t="str">
        <f t="shared" si="61"/>
        <v/>
      </c>
      <c r="K256" s="166" t="str">
        <f t="shared" si="62"/>
        <v/>
      </c>
      <c r="L256" s="166" t="e">
        <f t="shared" si="63"/>
        <v>#N/A</v>
      </c>
    </row>
    <row r="257" spans="1:12">
      <c r="A257" t="s">
        <v>37</v>
      </c>
      <c r="B257" s="158" t="str">
        <f>Difensori!B185</f>
        <v>DELLA GIOVANNA</v>
      </c>
      <c r="C257" s="158" t="str">
        <f>Difensori!C185</f>
        <v>SPA</v>
      </c>
      <c r="D257" s="166">
        <f t="shared" si="56"/>
        <v>1</v>
      </c>
      <c r="E257" s="166">
        <f t="shared" si="57"/>
        <v>1</v>
      </c>
      <c r="F257">
        <f t="shared" si="58"/>
        <v>22</v>
      </c>
      <c r="G257">
        <f>IF(ISNA(VLOOKUP(B257,'IA FG'!$B$2:$D$578,3,FALSE)),0,VLOOKUP(B257,'IA FG'!$B$2:$D$578,3,FALSE))</f>
        <v>60</v>
      </c>
      <c r="H257" s="166" t="str">
        <f t="shared" si="59"/>
        <v/>
      </c>
      <c r="I257" s="166">
        <f t="shared" si="60"/>
        <v>40</v>
      </c>
      <c r="J257" s="166" t="str">
        <f t="shared" si="61"/>
        <v/>
      </c>
      <c r="K257" s="166" t="str">
        <f t="shared" si="62"/>
        <v/>
      </c>
      <c r="L257" s="166" t="e">
        <f t="shared" si="63"/>
        <v>#N/A</v>
      </c>
    </row>
    <row r="258" spans="1:12">
      <c r="A258" t="s">
        <v>37</v>
      </c>
      <c r="B258" s="158" t="str">
        <f>Difensori!B186</f>
        <v>GASPARETTO</v>
      </c>
      <c r="C258" s="158" t="str">
        <f>Difensori!C186</f>
        <v>SPA</v>
      </c>
      <c r="D258" s="166">
        <f t="shared" si="56"/>
        <v>1</v>
      </c>
      <c r="E258" s="166">
        <f t="shared" si="57"/>
        <v>1</v>
      </c>
      <c r="F258">
        <f t="shared" si="58"/>
        <v>21</v>
      </c>
      <c r="G258">
        <f>IF(ISNA(VLOOKUP(B258,'IA FG'!$B$2:$D$578,3,FALSE)),0,VLOOKUP(B258,'IA FG'!$B$2:$D$578,3,FALSE))</f>
        <v>48</v>
      </c>
      <c r="H258" s="166" t="str">
        <f t="shared" si="59"/>
        <v/>
      </c>
      <c r="I258" s="166">
        <f t="shared" si="60"/>
        <v>30</v>
      </c>
      <c r="J258" s="166" t="str">
        <f t="shared" si="61"/>
        <v/>
      </c>
      <c r="K258" s="166" t="str">
        <f t="shared" si="62"/>
        <v/>
      </c>
      <c r="L258" s="166" t="e">
        <f t="shared" si="63"/>
        <v>#N/A</v>
      </c>
    </row>
    <row r="259" spans="1:12">
      <c r="A259" t="s">
        <v>37</v>
      </c>
      <c r="B259" s="158" t="str">
        <f>Difensori!B187</f>
        <v>TOMIC</v>
      </c>
      <c r="C259" s="158" t="str">
        <f>Difensori!C187</f>
        <v>SAM</v>
      </c>
      <c r="D259" s="166">
        <f t="shared" si="56"/>
        <v>1</v>
      </c>
      <c r="E259" s="166">
        <f t="shared" si="57"/>
        <v>1</v>
      </c>
      <c r="F259">
        <f t="shared" si="58"/>
        <v>0</v>
      </c>
      <c r="G259">
        <f>IF(ISNA(VLOOKUP(B259,'IA FG'!$B$2:$D$578,3,FALSE)),0,VLOOKUP(B259,'IA FG'!$B$2:$D$578,3,FALSE))</f>
        <v>45</v>
      </c>
      <c r="H259" s="166" t="str">
        <f t="shared" si="59"/>
        <v/>
      </c>
      <c r="I259" s="166">
        <f t="shared" si="60"/>
        <v>0</v>
      </c>
      <c r="J259" s="166" t="str">
        <f t="shared" si="61"/>
        <v/>
      </c>
      <c r="K259" s="166" t="str">
        <f t="shared" si="62"/>
        <v/>
      </c>
      <c r="L259" s="166" t="e">
        <f t="shared" si="63"/>
        <v>#N/A</v>
      </c>
    </row>
    <row r="260" spans="1:12">
      <c r="A260" t="s">
        <v>37</v>
      </c>
      <c r="B260" s="158" t="str">
        <f>Difensori!B188</f>
        <v>KEITA C</v>
      </c>
      <c r="C260" s="158" t="str">
        <f>Difensori!C188</f>
        <v>BOL</v>
      </c>
      <c r="D260" s="166">
        <f t="shared" si="56"/>
        <v>1</v>
      </c>
      <c r="E260" s="166">
        <f t="shared" si="57"/>
        <v>1</v>
      </c>
      <c r="F260">
        <f t="shared" si="58"/>
        <v>0</v>
      </c>
      <c r="G260">
        <f>IF(ISNA(VLOOKUP(B260,'IA FG'!$B$2:$D$578,3,FALSE)),0,VLOOKUP(B260,'IA FG'!$B$2:$D$578,3,FALSE))</f>
        <v>60</v>
      </c>
      <c r="H260" s="166" t="str">
        <f t="shared" si="59"/>
        <v/>
      </c>
      <c r="I260" s="166">
        <f t="shared" si="60"/>
        <v>0</v>
      </c>
      <c r="J260" s="166" t="str">
        <f t="shared" si="61"/>
        <v/>
      </c>
      <c r="K260" s="166" t="str">
        <f t="shared" si="62"/>
        <v/>
      </c>
      <c r="L260" s="166" t="e">
        <f t="shared" si="63"/>
        <v>#N/A</v>
      </c>
    </row>
    <row r="261" spans="1:12">
      <c r="A261" t="s">
        <v>37</v>
      </c>
      <c r="B261" s="158" t="str">
        <f>Difensori!B189</f>
        <v>PAVLOVIC</v>
      </c>
      <c r="C261" s="158" t="str">
        <f>Difensori!C189</f>
        <v>CRO</v>
      </c>
      <c r="D261" s="166">
        <f t="shared" si="56"/>
        <v>1</v>
      </c>
      <c r="E261" s="166">
        <f t="shared" si="57"/>
        <v>1</v>
      </c>
      <c r="F261">
        <f t="shared" si="58"/>
        <v>37</v>
      </c>
      <c r="G261">
        <f>IF(ISNA(VLOOKUP(B261,'IA FG'!$B$2:$D$578,3,FALSE)),0,VLOOKUP(B261,'IA FG'!$B$2:$D$578,3,FALSE))</f>
        <v>71</v>
      </c>
      <c r="H261" s="166" t="str">
        <f t="shared" si="59"/>
        <v/>
      </c>
      <c r="I261" s="166">
        <f t="shared" si="60"/>
        <v>60</v>
      </c>
      <c r="J261" s="166" t="str">
        <f t="shared" si="61"/>
        <v/>
      </c>
      <c r="K261" s="166">
        <f t="shared" si="62"/>
        <v>2</v>
      </c>
      <c r="L261" s="166" t="e">
        <f t="shared" si="63"/>
        <v>#N/A</v>
      </c>
    </row>
    <row r="262" spans="1:12">
      <c r="A262" t="s">
        <v>37</v>
      </c>
      <c r="B262" s="158" t="str">
        <f>Difensori!B190</f>
        <v>ALBERTAZZI</v>
      </c>
      <c r="C262" s="158" t="str">
        <f>Difensori!C190</f>
        <v>VER</v>
      </c>
      <c r="D262" s="166">
        <f t="shared" si="56"/>
        <v>1</v>
      </c>
      <c r="E262" s="166">
        <f t="shared" si="57"/>
        <v>1</v>
      </c>
      <c r="F262">
        <f t="shared" si="58"/>
        <v>0</v>
      </c>
      <c r="G262">
        <f>IF(ISNA(VLOOKUP(B262,'IA FG'!$B$2:$D$578,3,FALSE)),0,VLOOKUP(B262,'IA FG'!$B$2:$D$578,3,FALSE))</f>
        <v>45</v>
      </c>
      <c r="H262" s="166" t="str">
        <f t="shared" si="59"/>
        <v/>
      </c>
      <c r="I262" s="166">
        <f t="shared" si="60"/>
        <v>0</v>
      </c>
      <c r="J262" s="166" t="str">
        <f t="shared" si="61"/>
        <v/>
      </c>
      <c r="K262" s="166" t="str">
        <f t="shared" si="62"/>
        <v/>
      </c>
      <c r="L262" s="166" t="e">
        <f t="shared" si="63"/>
        <v>#N/A</v>
      </c>
    </row>
    <row r="263" spans="1:12">
      <c r="A263" t="s">
        <v>37</v>
      </c>
      <c r="B263" s="158">
        <f>Difensori!B191</f>
        <v>0</v>
      </c>
      <c r="C263" s="158">
        <f>Difensori!C191</f>
        <v>0</v>
      </c>
      <c r="D263" s="166">
        <f t="shared" si="56"/>
        <v>0</v>
      </c>
      <c r="E263" s="166">
        <f t="shared" si="57"/>
        <v>0</v>
      </c>
      <c r="F263">
        <f t="shared" si="58"/>
        <v>0</v>
      </c>
      <c r="G263">
        <f>IF(ISNA(VLOOKUP(B263,'IA FG'!$B$2:$D$578,3,FALSE)),0,VLOOKUP(B263,'IA FG'!$B$2:$D$578,3,FALSE))</f>
        <v>0</v>
      </c>
      <c r="H263" s="166" t="str">
        <f t="shared" si="59"/>
        <v/>
      </c>
      <c r="I263" s="166">
        <f t="shared" si="60"/>
        <v>0</v>
      </c>
      <c r="J263" s="166" t="str">
        <f t="shared" si="61"/>
        <v/>
      </c>
      <c r="K263" s="166" t="str">
        <f t="shared" si="62"/>
        <v/>
      </c>
      <c r="L263" s="166" t="e">
        <f t="shared" si="63"/>
        <v>#N/A</v>
      </c>
    </row>
    <row r="264" spans="1:12">
      <c r="A264" t="s">
        <v>37</v>
      </c>
      <c r="B264" s="158">
        <f>Difensori!B192</f>
        <v>0</v>
      </c>
      <c r="C264" s="158">
        <f>Difensori!C192</f>
        <v>0</v>
      </c>
      <c r="D264" s="166">
        <f t="shared" si="56"/>
        <v>0</v>
      </c>
      <c r="E264" s="166">
        <f t="shared" si="57"/>
        <v>0</v>
      </c>
      <c r="F264">
        <f t="shared" si="58"/>
        <v>0</v>
      </c>
      <c r="G264">
        <f>IF(ISNA(VLOOKUP(B264,'IA FG'!$B$2:$D$578,3,FALSE)),0,VLOOKUP(B264,'IA FG'!$B$2:$D$578,3,FALSE))</f>
        <v>0</v>
      </c>
      <c r="H264" s="166" t="str">
        <f t="shared" si="59"/>
        <v/>
      </c>
      <c r="I264" s="166">
        <f t="shared" si="60"/>
        <v>0</v>
      </c>
      <c r="J264" s="166" t="str">
        <f t="shared" si="61"/>
        <v/>
      </c>
      <c r="K264" s="166" t="str">
        <f t="shared" si="62"/>
        <v/>
      </c>
      <c r="L264" s="166" t="e">
        <f t="shared" si="63"/>
        <v>#N/A</v>
      </c>
    </row>
    <row r="265" spans="1:12">
      <c r="A265" t="s">
        <v>37</v>
      </c>
      <c r="B265" s="158">
        <f>Difensori!B193</f>
        <v>0</v>
      </c>
      <c r="C265" s="158">
        <f>Difensori!C193</f>
        <v>0</v>
      </c>
      <c r="D265" s="166">
        <f t="shared" si="56"/>
        <v>0</v>
      </c>
      <c r="E265" s="166">
        <f t="shared" si="57"/>
        <v>0</v>
      </c>
      <c r="F265">
        <f t="shared" si="58"/>
        <v>0</v>
      </c>
      <c r="G265">
        <f>IF(ISNA(VLOOKUP(B265,'IA FG'!$B$2:$D$578,3,FALSE)),0,VLOOKUP(B265,'IA FG'!$B$2:$D$578,3,FALSE))</f>
        <v>0</v>
      </c>
      <c r="H265" s="166" t="str">
        <f t="shared" si="59"/>
        <v/>
      </c>
      <c r="I265" s="166">
        <f t="shared" si="60"/>
        <v>0</v>
      </c>
      <c r="J265" s="166" t="str">
        <f t="shared" si="61"/>
        <v/>
      </c>
      <c r="K265" s="166" t="str">
        <f t="shared" si="62"/>
        <v/>
      </c>
      <c r="L265" s="166" t="e">
        <f t="shared" si="63"/>
        <v>#N/A</v>
      </c>
    </row>
    <row r="266" spans="1:12">
      <c r="A266" t="s">
        <v>37</v>
      </c>
      <c r="B266" s="158">
        <f>Difensori!B194</f>
        <v>0</v>
      </c>
      <c r="C266" s="158">
        <f>Difensori!C194</f>
        <v>0</v>
      </c>
      <c r="D266" s="166">
        <f t="shared" si="56"/>
        <v>0</v>
      </c>
      <c r="E266" s="166">
        <f t="shared" si="57"/>
        <v>0</v>
      </c>
      <c r="F266">
        <f t="shared" si="58"/>
        <v>0</v>
      </c>
      <c r="G266">
        <f>IF(ISNA(VLOOKUP(B266,'IA FG'!$B$2:$D$578,3,FALSE)),0,VLOOKUP(B266,'IA FG'!$B$2:$D$578,3,FALSE))</f>
        <v>0</v>
      </c>
      <c r="H266" s="166" t="str">
        <f t="shared" si="59"/>
        <v/>
      </c>
      <c r="I266" s="166">
        <f t="shared" si="60"/>
        <v>0</v>
      </c>
      <c r="J266" s="166" t="str">
        <f t="shared" si="61"/>
        <v/>
      </c>
      <c r="K266" s="166" t="str">
        <f t="shared" si="62"/>
        <v/>
      </c>
      <c r="L266" s="166" t="e">
        <f t="shared" si="63"/>
        <v>#N/A</v>
      </c>
    </row>
    <row r="267" spans="1:12">
      <c r="A267" t="s">
        <v>37</v>
      </c>
      <c r="B267" s="158">
        <f>Difensori!B195</f>
        <v>0</v>
      </c>
      <c r="C267" s="158">
        <f>Difensori!C195</f>
        <v>0</v>
      </c>
      <c r="D267" s="166">
        <f t="shared" si="56"/>
        <v>0</v>
      </c>
      <c r="E267" s="166">
        <f t="shared" si="57"/>
        <v>0</v>
      </c>
      <c r="F267">
        <f t="shared" si="58"/>
        <v>0</v>
      </c>
      <c r="G267">
        <f>IF(ISNA(VLOOKUP(B267,'IA FG'!$B$2:$D$578,3,FALSE)),0,VLOOKUP(B267,'IA FG'!$B$2:$D$578,3,FALSE))</f>
        <v>0</v>
      </c>
      <c r="H267" s="166" t="str">
        <f t="shared" si="59"/>
        <v/>
      </c>
      <c r="I267" s="166">
        <f t="shared" si="60"/>
        <v>0</v>
      </c>
      <c r="J267" s="166" t="str">
        <f t="shared" si="61"/>
        <v/>
      </c>
      <c r="K267" s="166" t="str">
        <f t="shared" si="62"/>
        <v/>
      </c>
      <c r="L267" s="166" t="e">
        <f t="shared" si="63"/>
        <v>#N/A</v>
      </c>
    </row>
    <row r="268" spans="1:12">
      <c r="A268" t="s">
        <v>37</v>
      </c>
      <c r="B268" s="158">
        <f>Difensori!B196</f>
        <v>0</v>
      </c>
      <c r="C268" s="158">
        <f>Difensori!C196</f>
        <v>0</v>
      </c>
      <c r="D268" s="166">
        <f t="shared" si="56"/>
        <v>0</v>
      </c>
      <c r="E268" s="166">
        <f t="shared" si="57"/>
        <v>0</v>
      </c>
      <c r="F268">
        <f t="shared" si="58"/>
        <v>0</v>
      </c>
      <c r="G268">
        <f>IF(ISNA(VLOOKUP(B268,'IA FG'!$B$2:$D$578,3,FALSE)),0,VLOOKUP(B268,'IA FG'!$B$2:$D$578,3,FALSE))</f>
        <v>0</v>
      </c>
      <c r="H268" s="166" t="str">
        <f t="shared" si="59"/>
        <v/>
      </c>
      <c r="I268" s="166">
        <f t="shared" si="60"/>
        <v>0</v>
      </c>
      <c r="J268" s="166" t="str">
        <f t="shared" si="61"/>
        <v/>
      </c>
      <c r="K268" s="166" t="str">
        <f t="shared" si="62"/>
        <v/>
      </c>
      <c r="L268" s="166" t="e">
        <f t="shared" si="63"/>
        <v>#N/A</v>
      </c>
    </row>
    <row r="269" spans="1:12">
      <c r="A269" t="s">
        <v>37</v>
      </c>
      <c r="B269" s="158">
        <f>Difensori!B197</f>
        <v>0</v>
      </c>
      <c r="C269" s="158">
        <f>Difensori!C197</f>
        <v>0</v>
      </c>
      <c r="D269" s="166">
        <f t="shared" si="56"/>
        <v>0</v>
      </c>
      <c r="E269" s="166">
        <f t="shared" si="57"/>
        <v>0</v>
      </c>
      <c r="F269">
        <f t="shared" si="58"/>
        <v>0</v>
      </c>
      <c r="G269">
        <f>IF(ISNA(VLOOKUP(B269,'IA FG'!$B$2:$D$578,3,FALSE)),0,VLOOKUP(B269,'IA FG'!$B$2:$D$578,3,FALSE))</f>
        <v>0</v>
      </c>
      <c r="H269" s="166" t="str">
        <f t="shared" si="59"/>
        <v/>
      </c>
      <c r="I269" s="166">
        <f t="shared" si="60"/>
        <v>0</v>
      </c>
      <c r="J269" s="166" t="str">
        <f t="shared" si="61"/>
        <v/>
      </c>
      <c r="K269" s="166" t="str">
        <f t="shared" si="62"/>
        <v/>
      </c>
      <c r="L269" s="166" t="e">
        <f t="shared" si="63"/>
        <v>#N/A</v>
      </c>
    </row>
    <row r="270" spans="1:12">
      <c r="A270" t="s">
        <v>37</v>
      </c>
      <c r="B270" s="158">
        <f>Difensori!B198</f>
        <v>0</v>
      </c>
      <c r="C270" s="158">
        <f>Difensori!C198</f>
        <v>0</v>
      </c>
      <c r="D270" s="166">
        <f t="shared" si="56"/>
        <v>0</v>
      </c>
      <c r="E270" s="166">
        <f t="shared" si="57"/>
        <v>0</v>
      </c>
      <c r="F270">
        <f t="shared" si="58"/>
        <v>0</v>
      </c>
      <c r="G270">
        <f>IF(ISNA(VLOOKUP(B270,'IA FG'!$B$2:$D$578,3,FALSE)),0,VLOOKUP(B270,'IA FG'!$B$2:$D$578,3,FALSE))</f>
        <v>0</v>
      </c>
      <c r="H270" s="166" t="str">
        <f t="shared" si="59"/>
        <v/>
      </c>
      <c r="I270" s="166">
        <f t="shared" si="60"/>
        <v>0</v>
      </c>
      <c r="J270" s="166" t="str">
        <f t="shared" si="61"/>
        <v/>
      </c>
      <c r="K270" s="166" t="str">
        <f t="shared" si="62"/>
        <v/>
      </c>
      <c r="L270" s="166" t="e">
        <f t="shared" si="63"/>
        <v>#N/A</v>
      </c>
    </row>
    <row r="271" spans="1:12">
      <c r="A271" t="s">
        <v>37</v>
      </c>
      <c r="B271" s="158">
        <f>Difensori!B199</f>
        <v>0</v>
      </c>
      <c r="C271" s="158">
        <f>Difensori!C199</f>
        <v>0</v>
      </c>
      <c r="D271" s="166">
        <f t="shared" si="56"/>
        <v>0</v>
      </c>
      <c r="E271" s="166">
        <f t="shared" si="57"/>
        <v>0</v>
      </c>
      <c r="F271">
        <f t="shared" si="58"/>
        <v>0</v>
      </c>
      <c r="G271">
        <f>IF(ISNA(VLOOKUP(B271,'IA FG'!$B$2:$D$578,3,FALSE)),0,VLOOKUP(B271,'IA FG'!$B$2:$D$578,3,FALSE))</f>
        <v>0</v>
      </c>
      <c r="H271" s="166" t="str">
        <f t="shared" si="59"/>
        <v/>
      </c>
      <c r="I271" s="166">
        <f t="shared" si="60"/>
        <v>0</v>
      </c>
      <c r="J271" s="166" t="str">
        <f t="shared" si="61"/>
        <v/>
      </c>
      <c r="K271" s="166" t="str">
        <f t="shared" si="62"/>
        <v/>
      </c>
      <c r="L271" s="166" t="e">
        <f t="shared" si="63"/>
        <v>#N/A</v>
      </c>
    </row>
    <row r="272" spans="1:12">
      <c r="A272" t="s">
        <v>37</v>
      </c>
      <c r="B272" s="158">
        <f>Difensori!B200</f>
        <v>0</v>
      </c>
      <c r="C272" s="158">
        <f>Difensori!C200</f>
        <v>0</v>
      </c>
      <c r="D272" s="166">
        <f t="shared" si="56"/>
        <v>0</v>
      </c>
      <c r="E272" s="166">
        <f t="shared" si="57"/>
        <v>0</v>
      </c>
      <c r="F272">
        <f t="shared" si="58"/>
        <v>0</v>
      </c>
      <c r="G272">
        <f>IF(ISNA(VLOOKUP(B272,'IA FG'!$B$2:$D$578,3,FALSE)),0,VLOOKUP(B272,'IA FG'!$B$2:$D$578,3,FALSE))</f>
        <v>0</v>
      </c>
      <c r="H272" s="166" t="str">
        <f t="shared" si="59"/>
        <v/>
      </c>
      <c r="I272" s="166">
        <f t="shared" si="60"/>
        <v>0</v>
      </c>
      <c r="J272" s="166" t="str">
        <f t="shared" si="61"/>
        <v/>
      </c>
      <c r="K272" s="166" t="str">
        <f t="shared" si="62"/>
        <v/>
      </c>
      <c r="L272" s="166" t="e">
        <f t="shared" si="63"/>
        <v>#N/A</v>
      </c>
    </row>
    <row r="273" spans="1:12">
      <c r="A273" t="s">
        <v>37</v>
      </c>
      <c r="B273" s="158">
        <f>Difensori!B201</f>
        <v>0</v>
      </c>
      <c r="C273" s="158">
        <f>Difensori!C201</f>
        <v>0</v>
      </c>
      <c r="D273" s="166">
        <f t="shared" si="56"/>
        <v>0</v>
      </c>
      <c r="E273" s="166">
        <f t="shared" si="57"/>
        <v>0</v>
      </c>
      <c r="F273">
        <f t="shared" si="58"/>
        <v>0</v>
      </c>
      <c r="G273">
        <f>IF(ISNA(VLOOKUP(B273,'IA FG'!$B$2:$D$578,3,FALSE)),0,VLOOKUP(B273,'IA FG'!$B$2:$D$578,3,FALSE))</f>
        <v>0</v>
      </c>
      <c r="H273" s="166" t="str">
        <f t="shared" si="59"/>
        <v/>
      </c>
      <c r="I273" s="166">
        <f t="shared" si="60"/>
        <v>0</v>
      </c>
      <c r="J273" s="166" t="str">
        <f t="shared" si="61"/>
        <v/>
      </c>
      <c r="K273" s="166" t="str">
        <f t="shared" si="62"/>
        <v/>
      </c>
      <c r="L273" s="166" t="e">
        <f t="shared" si="63"/>
        <v>#N/A</v>
      </c>
    </row>
    <row r="275" spans="1:12">
      <c r="A275" t="s">
        <v>39</v>
      </c>
      <c r="B275" s="153" t="str">
        <f>Centrocampisti!B2</f>
        <v>HAMSIK</v>
      </c>
      <c r="C275" s="153" t="str">
        <f>Centrocampisti!C2</f>
        <v>NAP</v>
      </c>
      <c r="D275" s="166">
        <f t="shared" ref="D275:D306" si="64">IF(ISNA(VLOOKUP($B275,TabAlgCen,11,FALSE)),0,VLOOKUP($B275,TabAlgCen,11,FALSE))</f>
        <v>75</v>
      </c>
      <c r="E275" s="166">
        <f t="shared" ref="E275:E306" si="65">IF(ISNA(VLOOKUP($B275,TabAlgCen,14,FALSE)),0,VLOOKUP($B275,TabAlgCen,14,FALSE))</f>
        <v>72.226168938639773</v>
      </c>
      <c r="F275">
        <f t="shared" ref="F275:F306" si="66">IF(ISNA(VLOOKUP($B275,TabAlgCen,15,FALSE)),0,VLOOKUP($B275,TabAlgCen,15,FALSE))</f>
        <v>53</v>
      </c>
      <c r="G275">
        <f>IF(ISNA(VLOOKUP(B275,'IA FG'!$B$2:$D$578,3,FALSE)),0,VLOOKUP(B275,'IA FG'!$B$2:$D$578,3,FALSE))</f>
        <v>98</v>
      </c>
      <c r="H275" s="166">
        <f t="shared" ref="H275:H306" si="67">IF(ISNA(VLOOKUP($B275,TabAlgCen,16,FALSE)),"",VLOOKUP($B275,TabAlgCen,16,FALSE))</f>
        <v>1</v>
      </c>
      <c r="I275" s="166">
        <f t="shared" ref="I275:I306" si="68">IF(ISNA(VLOOKUP($B275,TabAlgCen,4,FALSE)),0,VLOOKUP($B275,TabAlgCen,4,FALSE))*10</f>
        <v>90</v>
      </c>
      <c r="J275" s="166" t="str">
        <f t="shared" ref="J275:J306" si="69">IF(ISNA(VLOOKUP($B275,TabAlgCen,17,FALSE)),"",VLOOKUP($B275,TabAlgCen,17,FALSE))</f>
        <v/>
      </c>
      <c r="K275" s="166" t="str">
        <f t="shared" ref="K275:K306" si="70">IF(ISNA(VLOOKUP($B275,TabAlgCen,18,FALSE)),"",VLOOKUP($B275,TabAlgCen,18,FALSE))</f>
        <v/>
      </c>
      <c r="L275" s="166" t="e">
        <f t="shared" ref="L275:L306" si="71">VLOOKUP($B275,TabAlgCen,19,FALSE)</f>
        <v>#N/A</v>
      </c>
    </row>
    <row r="276" spans="1:12">
      <c r="A276" t="s">
        <v>39</v>
      </c>
      <c r="B276" s="153" t="str">
        <f>Centrocampisti!B3</f>
        <v>DOUGLAS COSTA</v>
      </c>
      <c r="C276" s="153" t="str">
        <f>Centrocampisti!C3</f>
        <v>JUV</v>
      </c>
      <c r="D276" s="166">
        <f t="shared" si="64"/>
        <v>62.84534883295597</v>
      </c>
      <c r="E276" s="166">
        <f t="shared" si="65"/>
        <v>60.528513343901899</v>
      </c>
      <c r="F276">
        <f t="shared" si="66"/>
        <v>51</v>
      </c>
      <c r="G276">
        <f>IF(ISNA(VLOOKUP(B276,'IA FG'!$B$2:$D$578,3,FALSE)),0,VLOOKUP(B276,'IA FG'!$B$2:$D$578,3,FALSE))</f>
        <v>83</v>
      </c>
      <c r="H276" s="166">
        <f t="shared" si="67"/>
        <v>1</v>
      </c>
      <c r="I276" s="166">
        <f t="shared" si="68"/>
        <v>90</v>
      </c>
      <c r="J276" s="166" t="str">
        <f t="shared" si="69"/>
        <v/>
      </c>
      <c r="K276" s="166">
        <f t="shared" si="70"/>
        <v>3</v>
      </c>
      <c r="L276" s="166" t="e">
        <f t="shared" si="71"/>
        <v>#N/A</v>
      </c>
    </row>
    <row r="277" spans="1:12">
      <c r="A277" t="s">
        <v>39</v>
      </c>
      <c r="B277" s="153" t="str">
        <f>Centrocampisti!B4</f>
        <v>PJANIC</v>
      </c>
      <c r="C277" s="153" t="str">
        <f>Centrocampisti!C4</f>
        <v>JUV</v>
      </c>
      <c r="D277" s="166">
        <f t="shared" si="64"/>
        <v>55.529787880007206</v>
      </c>
      <c r="E277" s="166">
        <f t="shared" si="65"/>
        <v>53.325426308010428</v>
      </c>
      <c r="F277">
        <f t="shared" si="66"/>
        <v>49</v>
      </c>
      <c r="G277">
        <f>IF(ISNA(VLOOKUP(B277,'IA FG'!$B$2:$D$578,3,FALSE)),0,VLOOKUP(B277,'IA FG'!$B$2:$D$578,3,FALSE))</f>
        <v>86</v>
      </c>
      <c r="H277" s="166" t="str">
        <f t="shared" si="67"/>
        <v/>
      </c>
      <c r="I277" s="166">
        <f t="shared" si="68"/>
        <v>90</v>
      </c>
      <c r="J277" s="166">
        <f t="shared" si="69"/>
        <v>3</v>
      </c>
      <c r="K277" s="166">
        <f t="shared" si="70"/>
        <v>2</v>
      </c>
      <c r="L277" s="166">
        <f t="shared" si="71"/>
        <v>2</v>
      </c>
    </row>
    <row r="278" spans="1:12">
      <c r="A278" t="s">
        <v>39</v>
      </c>
      <c r="B278" s="153" t="str">
        <f>Centrocampisti!B5</f>
        <v>ZIELINSKI</v>
      </c>
      <c r="C278" s="153" t="str">
        <f>Centrocampisti!C5</f>
        <v>NAP</v>
      </c>
      <c r="D278" s="166">
        <f t="shared" si="64"/>
        <v>52.561424814271604</v>
      </c>
      <c r="E278" s="166">
        <f t="shared" si="65"/>
        <v>51.213068225783204</v>
      </c>
      <c r="F278">
        <f t="shared" si="66"/>
        <v>47</v>
      </c>
      <c r="G278">
        <f>IF(ISNA(VLOOKUP(B278,'IA FG'!$B$2:$D$578,3,FALSE)),0,VLOOKUP(B278,'IA FG'!$B$2:$D$578,3,FALSE))</f>
        <v>86</v>
      </c>
      <c r="H278" s="166" t="str">
        <f t="shared" si="67"/>
        <v/>
      </c>
      <c r="I278" s="166">
        <f t="shared" si="68"/>
        <v>70</v>
      </c>
      <c r="J278" s="166" t="str">
        <f t="shared" si="69"/>
        <v/>
      </c>
      <c r="K278" s="166" t="str">
        <f t="shared" si="70"/>
        <v/>
      </c>
      <c r="L278" s="166" t="e">
        <f t="shared" si="71"/>
        <v>#N/A</v>
      </c>
    </row>
    <row r="279" spans="1:12">
      <c r="A279" t="s">
        <v>39</v>
      </c>
      <c r="B279" s="153" t="str">
        <f>Centrocampisti!B6</f>
        <v>NAINGGOLAN</v>
      </c>
      <c r="C279" s="153" t="str">
        <f>Centrocampisti!C6</f>
        <v>ROM</v>
      </c>
      <c r="D279" s="166">
        <f t="shared" si="64"/>
        <v>52.113426950468757</v>
      </c>
      <c r="E279" s="166">
        <f t="shared" si="65"/>
        <v>50.771958155671072</v>
      </c>
      <c r="F279">
        <f t="shared" si="66"/>
        <v>48</v>
      </c>
      <c r="G279">
        <f>IF(ISNA(VLOOKUP(B279,'IA FG'!$B$2:$D$578,3,FALSE)),0,VLOOKUP(B279,'IA FG'!$B$2:$D$578,3,FALSE))</f>
        <v>97</v>
      </c>
      <c r="H279" s="166">
        <f t="shared" si="67"/>
        <v>1</v>
      </c>
      <c r="I279" s="166">
        <f t="shared" si="68"/>
        <v>90</v>
      </c>
      <c r="J279" s="166" t="str">
        <f t="shared" si="69"/>
        <v/>
      </c>
      <c r="K279" s="166" t="str">
        <f t="shared" si="70"/>
        <v/>
      </c>
      <c r="L279" s="166" t="e">
        <f t="shared" si="71"/>
        <v>#N/A</v>
      </c>
    </row>
    <row r="280" spans="1:12">
      <c r="A280" t="s">
        <v>39</v>
      </c>
      <c r="B280" s="153" t="str">
        <f>Centrocampisti!B7</f>
        <v>BERNARDESCHI</v>
      </c>
      <c r="C280" s="153" t="str">
        <f>Centrocampisti!C7</f>
        <v>JUV</v>
      </c>
      <c r="D280" s="166">
        <f t="shared" si="64"/>
        <v>48.145367488102778</v>
      </c>
      <c r="E280" s="166">
        <f t="shared" si="65"/>
        <v>46.999967329555815</v>
      </c>
      <c r="F280">
        <f t="shared" si="66"/>
        <v>47</v>
      </c>
      <c r="G280">
        <f>IF(ISNA(VLOOKUP(B280,'IA FG'!$B$2:$D$578,3,FALSE)),0,VLOOKUP(B280,'IA FG'!$B$2:$D$578,3,FALSE))</f>
        <v>80</v>
      </c>
      <c r="H280" s="166" t="str">
        <f t="shared" si="67"/>
        <v/>
      </c>
      <c r="I280" s="166">
        <f t="shared" si="68"/>
        <v>70</v>
      </c>
      <c r="J280" s="166" t="str">
        <f t="shared" si="69"/>
        <v/>
      </c>
      <c r="K280" s="166">
        <f t="shared" si="70"/>
        <v>4</v>
      </c>
      <c r="L280" s="166" t="e">
        <f t="shared" si="71"/>
        <v>#N/A</v>
      </c>
    </row>
    <row r="281" spans="1:12">
      <c r="A281" t="s">
        <v>39</v>
      </c>
      <c r="B281" s="153" t="str">
        <f>Centrocampisti!B8</f>
        <v>PERISIC</v>
      </c>
      <c r="C281" s="153" t="str">
        <f>Centrocampisti!C8</f>
        <v>INT</v>
      </c>
      <c r="D281" s="166">
        <f t="shared" si="64"/>
        <v>47.413427316255948</v>
      </c>
      <c r="E281" s="166">
        <f t="shared" si="65"/>
        <v>46.144219195988569</v>
      </c>
      <c r="F281">
        <f t="shared" si="66"/>
        <v>49</v>
      </c>
      <c r="G281">
        <f>IF(ISNA(VLOOKUP(B281,'IA FG'!$B$2:$D$578,3,FALSE)),0,VLOOKUP(B281,'IA FG'!$B$2:$D$578,3,FALSE))</f>
        <v>96</v>
      </c>
      <c r="H281" s="166">
        <f t="shared" si="67"/>
        <v>1</v>
      </c>
      <c r="I281" s="166">
        <f t="shared" si="68"/>
        <v>90</v>
      </c>
      <c r="J281" s="166" t="str">
        <f t="shared" si="69"/>
        <v/>
      </c>
      <c r="K281" s="166" t="str">
        <f t="shared" si="70"/>
        <v/>
      </c>
      <c r="L281" s="166" t="e">
        <f t="shared" si="71"/>
        <v>#N/A</v>
      </c>
    </row>
    <row r="282" spans="1:12">
      <c r="A282" t="s">
        <v>39</v>
      </c>
      <c r="B282" s="153" t="str">
        <f>Centrocampisti!B9</f>
        <v>CALHANOGLU</v>
      </c>
      <c r="C282" s="153" t="str">
        <f>Centrocampisti!C9</f>
        <v>MIL</v>
      </c>
      <c r="D282" s="166">
        <f t="shared" si="64"/>
        <v>41.362026899990163</v>
      </c>
      <c r="E282" s="166">
        <f t="shared" si="65"/>
        <v>40.185856718013099</v>
      </c>
      <c r="F282">
        <f t="shared" si="66"/>
        <v>47</v>
      </c>
      <c r="G282">
        <f>IF(ISNA(VLOOKUP(B282,'IA FG'!$B$2:$D$578,3,FALSE)),0,VLOOKUP(B282,'IA FG'!$B$2:$D$578,3,FALSE))</f>
        <v>86</v>
      </c>
      <c r="H282" s="166">
        <f t="shared" si="67"/>
        <v>1</v>
      </c>
      <c r="I282" s="166">
        <f t="shared" si="68"/>
        <v>80</v>
      </c>
      <c r="J282" s="166" t="str">
        <f t="shared" si="69"/>
        <v/>
      </c>
      <c r="K282" s="166">
        <f t="shared" si="70"/>
        <v>1</v>
      </c>
      <c r="L282" s="166">
        <f t="shared" si="71"/>
        <v>2</v>
      </c>
    </row>
    <row r="283" spans="1:12">
      <c r="A283" t="s">
        <v>39</v>
      </c>
      <c r="B283" s="153" t="str">
        <f>Centrocampisti!B10</f>
        <v>ALLAN</v>
      </c>
      <c r="C283" s="153" t="str">
        <f>Centrocampisti!C10</f>
        <v>NAP</v>
      </c>
      <c r="D283" s="166">
        <f t="shared" si="64"/>
        <v>41.16505049692195</v>
      </c>
      <c r="E283" s="166">
        <f t="shared" si="65"/>
        <v>40.12697000932701</v>
      </c>
      <c r="F283">
        <f t="shared" si="66"/>
        <v>44</v>
      </c>
      <c r="G283">
        <f>IF(ISNA(VLOOKUP(B283,'IA FG'!$B$2:$D$578,3,FALSE)),0,VLOOKUP(B283,'IA FG'!$B$2:$D$578,3,FALSE))</f>
        <v>73</v>
      </c>
      <c r="H283" s="166" t="str">
        <f t="shared" si="67"/>
        <v/>
      </c>
      <c r="I283" s="166">
        <f t="shared" si="68"/>
        <v>70</v>
      </c>
      <c r="J283" s="166" t="str">
        <f t="shared" si="69"/>
        <v/>
      </c>
      <c r="K283" s="166" t="str">
        <f t="shared" si="70"/>
        <v/>
      </c>
      <c r="L283" s="166" t="e">
        <f t="shared" si="71"/>
        <v>#N/A</v>
      </c>
    </row>
    <row r="284" spans="1:12">
      <c r="A284" t="s">
        <v>39</v>
      </c>
      <c r="B284" s="153" t="str">
        <f>Centrocampisti!B11</f>
        <v>KHEDIRA</v>
      </c>
      <c r="C284" s="153" t="str">
        <f>Centrocampisti!C11</f>
        <v>JUV</v>
      </c>
      <c r="D284" s="166">
        <f t="shared" si="64"/>
        <v>40.498403338905476</v>
      </c>
      <c r="E284" s="166">
        <f t="shared" si="65"/>
        <v>39.470572293238476</v>
      </c>
      <c r="F284">
        <f t="shared" si="66"/>
        <v>45</v>
      </c>
      <c r="G284">
        <f>IF(ISNA(VLOOKUP(B284,'IA FG'!$B$2:$D$578,3,FALSE)),0,VLOOKUP(B284,'IA FG'!$B$2:$D$578,3,FALSE))</f>
        <v>80</v>
      </c>
      <c r="H284" s="166" t="str">
        <f t="shared" si="67"/>
        <v/>
      </c>
      <c r="I284" s="166">
        <f t="shared" si="68"/>
        <v>80</v>
      </c>
      <c r="J284" s="166" t="str">
        <f t="shared" si="69"/>
        <v/>
      </c>
      <c r="K284" s="166" t="str">
        <f t="shared" si="70"/>
        <v/>
      </c>
      <c r="L284" s="166" t="e">
        <f t="shared" si="71"/>
        <v>#N/A</v>
      </c>
    </row>
    <row r="285" spans="1:12">
      <c r="A285" t="s">
        <v>39</v>
      </c>
      <c r="B285" s="153" t="str">
        <f>Centrocampisti!B12</f>
        <v>STROOTMAN</v>
      </c>
      <c r="C285" s="153" t="str">
        <f>Centrocampisti!C12</f>
        <v>ROM</v>
      </c>
      <c r="D285" s="166">
        <f t="shared" si="64"/>
        <v>39.985386801666557</v>
      </c>
      <c r="E285" s="166">
        <f t="shared" si="65"/>
        <v>39.910871995799894</v>
      </c>
      <c r="F285">
        <f t="shared" si="66"/>
        <v>45</v>
      </c>
      <c r="G285">
        <f>IF(ISNA(VLOOKUP(B285,'IA FG'!$B$2:$D$578,3,FALSE)),0,VLOOKUP(B285,'IA FG'!$B$2:$D$578,3,FALSE))</f>
        <v>82</v>
      </c>
      <c r="H285" s="166">
        <f t="shared" si="67"/>
        <v>0</v>
      </c>
      <c r="I285" s="166">
        <f t="shared" si="68"/>
        <v>90</v>
      </c>
      <c r="J285" s="166">
        <f t="shared" si="69"/>
        <v>3</v>
      </c>
      <c r="K285" s="166" t="str">
        <f t="shared" si="70"/>
        <v/>
      </c>
      <c r="L285" s="166" t="e">
        <f t="shared" si="71"/>
        <v>#N/A</v>
      </c>
    </row>
    <row r="286" spans="1:12">
      <c r="A286" t="s">
        <v>39</v>
      </c>
      <c r="B286" s="153" t="str">
        <f>Centrocampisti!B13</f>
        <v>FELIPE ANDERSON</v>
      </c>
      <c r="C286" s="153" t="str">
        <f>Centrocampisti!C13</f>
        <v>LAZ</v>
      </c>
      <c r="D286" s="166">
        <f t="shared" si="64"/>
        <v>38.886927863107822</v>
      </c>
      <c r="E286" s="166">
        <f t="shared" si="65"/>
        <v>38.694240179642456</v>
      </c>
      <c r="F286">
        <f t="shared" si="66"/>
        <v>47</v>
      </c>
      <c r="G286">
        <f>IF(ISNA(VLOOKUP(B286,'IA FG'!$B$2:$D$578,3,FALSE)),0,VLOOKUP(B286,'IA FG'!$B$2:$D$578,3,FALSE))</f>
        <v>91</v>
      </c>
      <c r="H286" s="166">
        <f t="shared" si="67"/>
        <v>0</v>
      </c>
      <c r="I286" s="166">
        <f t="shared" si="68"/>
        <v>80</v>
      </c>
      <c r="J286" s="166">
        <f t="shared" si="69"/>
        <v>3</v>
      </c>
      <c r="K286" s="166">
        <f t="shared" si="70"/>
        <v>1</v>
      </c>
      <c r="L286" s="166">
        <f t="shared" si="71"/>
        <v>1</v>
      </c>
    </row>
    <row r="287" spans="1:12">
      <c r="A287" t="s">
        <v>39</v>
      </c>
      <c r="B287" s="153" t="str">
        <f>Centrocampisti!B14</f>
        <v>MILINKOVIC-SAVIC</v>
      </c>
      <c r="C287" s="153" t="str">
        <f>Centrocampisti!C14</f>
        <v>LAZ</v>
      </c>
      <c r="D287" s="166">
        <f t="shared" si="64"/>
        <v>38.132491778932895</v>
      </c>
      <c r="E287" s="166">
        <f t="shared" si="65"/>
        <v>38.086464516597509</v>
      </c>
      <c r="F287">
        <f t="shared" si="66"/>
        <v>47</v>
      </c>
      <c r="G287">
        <f>IF(ISNA(VLOOKUP(B287,'IA FG'!$B$2:$D$578,3,FALSE)),0,VLOOKUP(B287,'IA FG'!$B$2:$D$578,3,FALSE))</f>
        <v>86</v>
      </c>
      <c r="H287" s="166">
        <f t="shared" si="67"/>
        <v>1</v>
      </c>
      <c r="I287" s="166">
        <f t="shared" si="68"/>
        <v>90</v>
      </c>
      <c r="J287" s="166" t="str">
        <f t="shared" si="69"/>
        <v/>
      </c>
      <c r="K287" s="166" t="str">
        <f t="shared" si="70"/>
        <v/>
      </c>
      <c r="L287" s="166" t="e">
        <f t="shared" si="71"/>
        <v>#N/A</v>
      </c>
    </row>
    <row r="288" spans="1:12">
      <c r="A288" t="s">
        <v>39</v>
      </c>
      <c r="B288" s="153" t="str">
        <f>Centrocampisti!B15</f>
        <v>KESSIE'</v>
      </c>
      <c r="C288" s="153" t="str">
        <f>Centrocampisti!C15</f>
        <v>MIL</v>
      </c>
      <c r="D288" s="166">
        <f t="shared" si="64"/>
        <v>37.281213535589274</v>
      </c>
      <c r="E288" s="166">
        <f t="shared" si="65"/>
        <v>36.302845537448341</v>
      </c>
      <c r="F288">
        <f t="shared" si="66"/>
        <v>46</v>
      </c>
      <c r="G288">
        <f>IF(ISNA(VLOOKUP(B288,'IA FG'!$B$2:$D$578,3,FALSE)),0,VLOOKUP(B288,'IA FG'!$B$2:$D$578,3,FALSE))</f>
        <v>85</v>
      </c>
      <c r="H288" s="166" t="str">
        <f t="shared" si="67"/>
        <v/>
      </c>
      <c r="I288" s="166">
        <f t="shared" si="68"/>
        <v>80</v>
      </c>
      <c r="J288" s="166">
        <f t="shared" si="69"/>
        <v>1</v>
      </c>
      <c r="K288" s="166" t="str">
        <f t="shared" si="70"/>
        <v/>
      </c>
      <c r="L288" s="166" t="e">
        <f t="shared" si="71"/>
        <v>#N/A</v>
      </c>
    </row>
    <row r="289" spans="1:12">
      <c r="A289" t="s">
        <v>39</v>
      </c>
      <c r="B289" s="153" t="str">
        <f>Centrocampisti!B16</f>
        <v>CUADRADO</v>
      </c>
      <c r="C289" s="153" t="str">
        <f>Centrocampisti!C16</f>
        <v>JUV</v>
      </c>
      <c r="D289" s="166">
        <f t="shared" si="64"/>
        <v>37.172026058679592</v>
      </c>
      <c r="E289" s="166">
        <f t="shared" si="65"/>
        <v>36.195336775718616</v>
      </c>
      <c r="F289">
        <f t="shared" si="66"/>
        <v>44</v>
      </c>
      <c r="G289">
        <f>IF(ISNA(VLOOKUP(B289,'IA FG'!$B$2:$D$578,3,FALSE)),0,VLOOKUP(B289,'IA FG'!$B$2:$D$578,3,FALSE))</f>
        <v>78</v>
      </c>
      <c r="H289" s="166" t="str">
        <f t="shared" si="67"/>
        <v/>
      </c>
      <c r="I289" s="166">
        <f t="shared" si="68"/>
        <v>70</v>
      </c>
      <c r="J289" s="166" t="str">
        <f t="shared" si="69"/>
        <v/>
      </c>
      <c r="K289" s="166" t="str">
        <f t="shared" si="70"/>
        <v/>
      </c>
      <c r="L289" s="166" t="e">
        <f t="shared" si="71"/>
        <v>#N/A</v>
      </c>
    </row>
    <row r="290" spans="1:12">
      <c r="A290" t="s">
        <v>39</v>
      </c>
      <c r="B290" s="153" t="str">
        <f>Centrocampisti!B17</f>
        <v>MATUIDI</v>
      </c>
      <c r="C290" s="153" t="str">
        <f>Centrocampisti!C17</f>
        <v>JUV</v>
      </c>
      <c r="D290" s="166">
        <f t="shared" si="64"/>
        <v>37.172026058679592</v>
      </c>
      <c r="E290" s="166">
        <f t="shared" si="65"/>
        <v>36.195336775718616</v>
      </c>
      <c r="F290">
        <f t="shared" si="66"/>
        <v>44</v>
      </c>
      <c r="G290">
        <f>IF(ISNA(VLOOKUP(B290,'IA FG'!$B$2:$D$578,3,FALSE)),0,VLOOKUP(B290,'IA FG'!$B$2:$D$578,3,FALSE))</f>
        <v>77</v>
      </c>
      <c r="H290" s="166" t="str">
        <f t="shared" si="67"/>
        <v/>
      </c>
      <c r="I290" s="166">
        <f t="shared" si="68"/>
        <v>70</v>
      </c>
      <c r="J290" s="166" t="str">
        <f t="shared" si="69"/>
        <v/>
      </c>
      <c r="K290" s="166" t="str">
        <f t="shared" si="70"/>
        <v/>
      </c>
      <c r="L290" s="166" t="e">
        <f t="shared" si="71"/>
        <v>#N/A</v>
      </c>
    </row>
    <row r="291" spans="1:12">
      <c r="A291" t="s">
        <v>39</v>
      </c>
      <c r="B291" s="153" t="str">
        <f>Centrocampisti!B18</f>
        <v>IAGO FALQUE</v>
      </c>
      <c r="C291" s="153" t="str">
        <f>Centrocampisti!C18</f>
        <v>TOR</v>
      </c>
      <c r="D291" s="166">
        <f t="shared" si="64"/>
        <v>36.069452014207187</v>
      </c>
      <c r="E291" s="166">
        <f t="shared" si="65"/>
        <v>35.920081930988538</v>
      </c>
      <c r="F291">
        <f t="shared" si="66"/>
        <v>47</v>
      </c>
      <c r="G291">
        <f>IF(ISNA(VLOOKUP(B291,'IA FG'!$B$2:$D$578,3,FALSE)),0,VLOOKUP(B291,'IA FG'!$B$2:$D$578,3,FALSE))</f>
        <v>82</v>
      </c>
      <c r="H291" s="166">
        <f t="shared" si="67"/>
        <v>1</v>
      </c>
      <c r="I291" s="166">
        <f t="shared" si="68"/>
        <v>80</v>
      </c>
      <c r="J291" s="166">
        <f t="shared" si="69"/>
        <v>3</v>
      </c>
      <c r="K291" s="166">
        <f t="shared" si="70"/>
        <v>1</v>
      </c>
      <c r="L291" s="166" t="e">
        <f t="shared" si="71"/>
        <v>#N/A</v>
      </c>
    </row>
    <row r="292" spans="1:12">
      <c r="A292" t="s">
        <v>39</v>
      </c>
      <c r="B292" s="153" t="str">
        <f>Centrocampisti!B19</f>
        <v>LJAJIC</v>
      </c>
      <c r="C292" s="153" t="str">
        <f>Centrocampisti!C19</f>
        <v>TOR</v>
      </c>
      <c r="D292" s="166">
        <f t="shared" si="64"/>
        <v>35.738048817958699</v>
      </c>
      <c r="E292" s="166">
        <f t="shared" si="65"/>
        <v>35.593773930562627</v>
      </c>
      <c r="F292">
        <f t="shared" si="66"/>
        <v>47</v>
      </c>
      <c r="G292">
        <f>IF(ISNA(VLOOKUP(B292,'IA FG'!$B$2:$D$578,3,FALSE)),0,VLOOKUP(B292,'IA FG'!$B$2:$D$578,3,FALSE))</f>
        <v>82</v>
      </c>
      <c r="H292" s="166">
        <f t="shared" si="67"/>
        <v>1</v>
      </c>
      <c r="I292" s="166">
        <f t="shared" si="68"/>
        <v>90</v>
      </c>
      <c r="J292" s="166">
        <f t="shared" si="69"/>
        <v>2</v>
      </c>
      <c r="K292" s="166">
        <f t="shared" si="70"/>
        <v>4</v>
      </c>
      <c r="L292" s="166">
        <f t="shared" si="71"/>
        <v>1</v>
      </c>
    </row>
    <row r="293" spans="1:12">
      <c r="A293" t="s">
        <v>39</v>
      </c>
      <c r="B293" s="153" t="str">
        <f>Centrocampisti!B20</f>
        <v>CANDREVA</v>
      </c>
      <c r="C293" s="153" t="str">
        <f>Centrocampisti!C20</f>
        <v>INT</v>
      </c>
      <c r="D293" s="166">
        <f t="shared" si="64"/>
        <v>35.285387167453706</v>
      </c>
      <c r="E293" s="166">
        <f t="shared" si="65"/>
        <v>35.283133036117427</v>
      </c>
      <c r="F293">
        <f t="shared" si="66"/>
        <v>46</v>
      </c>
      <c r="G293">
        <f>IF(ISNA(VLOOKUP(B293,'IA FG'!$B$2:$D$578,3,FALSE)),0,VLOOKUP(B293,'IA FG'!$B$2:$D$578,3,FALSE))</f>
        <v>88</v>
      </c>
      <c r="H293" s="166" t="str">
        <f t="shared" si="67"/>
        <v/>
      </c>
      <c r="I293" s="166">
        <f t="shared" si="68"/>
        <v>90</v>
      </c>
      <c r="J293" s="166">
        <f t="shared" si="69"/>
        <v>2</v>
      </c>
      <c r="K293" s="166">
        <f t="shared" si="70"/>
        <v>2</v>
      </c>
      <c r="L293" s="166" t="e">
        <f t="shared" si="71"/>
        <v>#N/A</v>
      </c>
    </row>
    <row r="294" spans="1:12">
      <c r="A294" t="s">
        <v>39</v>
      </c>
      <c r="B294" s="153" t="str">
        <f>Centrocampisti!B21</f>
        <v>FREULER</v>
      </c>
      <c r="C294" s="153" t="str">
        <f>Centrocampisti!C21</f>
        <v>ATA</v>
      </c>
      <c r="D294" s="166">
        <f t="shared" si="64"/>
        <v>33.753744746381471</v>
      </c>
      <c r="E294" s="166">
        <f t="shared" si="65"/>
        <v>32.694548956579908</v>
      </c>
      <c r="F294">
        <f t="shared" si="66"/>
        <v>46</v>
      </c>
      <c r="G294">
        <f>IF(ISNA(VLOOKUP(B294,'IA FG'!$B$2:$D$578,3,FALSE)),0,VLOOKUP(B294,'IA FG'!$B$2:$D$578,3,FALSE))</f>
        <v>77</v>
      </c>
      <c r="H294" s="166">
        <f t="shared" si="67"/>
        <v>1</v>
      </c>
      <c r="I294" s="166">
        <f t="shared" si="68"/>
        <v>80</v>
      </c>
      <c r="J294" s="166" t="str">
        <f t="shared" si="69"/>
        <v/>
      </c>
      <c r="K294" s="166" t="str">
        <f t="shared" si="70"/>
        <v/>
      </c>
      <c r="L294" s="166" t="e">
        <f t="shared" si="71"/>
        <v>#N/A</v>
      </c>
    </row>
    <row r="295" spans="1:12">
      <c r="A295" t="s">
        <v>39</v>
      </c>
      <c r="B295" s="153" t="str">
        <f>Centrocampisti!B22</f>
        <v>JORGINHO</v>
      </c>
      <c r="C295" s="153" t="str">
        <f>Centrocampisti!C22</f>
        <v>NAP</v>
      </c>
      <c r="D295" s="166">
        <f t="shared" si="64"/>
        <v>32.694790824594101</v>
      </c>
      <c r="E295" s="166">
        <f t="shared" si="65"/>
        <v>32.867427367401589</v>
      </c>
      <c r="F295">
        <f t="shared" si="66"/>
        <v>42</v>
      </c>
      <c r="G295">
        <f>IF(ISNA(VLOOKUP(B295,'IA FG'!$B$2:$D$578,3,FALSE)),0,VLOOKUP(B295,'IA FG'!$B$2:$D$578,3,FALSE))</f>
        <v>77</v>
      </c>
      <c r="H295" s="166" t="str">
        <f t="shared" si="67"/>
        <v/>
      </c>
      <c r="I295" s="166">
        <f t="shared" si="68"/>
        <v>70</v>
      </c>
      <c r="J295" s="166">
        <f t="shared" si="69"/>
        <v>3</v>
      </c>
      <c r="K295" s="166" t="str">
        <f t="shared" si="70"/>
        <v/>
      </c>
      <c r="L295" s="166" t="e">
        <f t="shared" si="71"/>
        <v>#N/A</v>
      </c>
    </row>
    <row r="296" spans="1:12">
      <c r="A296" t="s">
        <v>39</v>
      </c>
      <c r="B296" s="153" t="str">
        <f>Centrocampisti!B23</f>
        <v>CHIESA</v>
      </c>
      <c r="C296" s="153" t="str">
        <f>Centrocampisti!C23</f>
        <v>FIO</v>
      </c>
      <c r="D296" s="166">
        <f t="shared" si="64"/>
        <v>31.291265367634452</v>
      </c>
      <c r="E296" s="166">
        <f t="shared" si="65"/>
        <v>31.350419312441439</v>
      </c>
      <c r="F296">
        <f t="shared" si="66"/>
        <v>48</v>
      </c>
      <c r="G296">
        <f>IF(ISNA(VLOOKUP(B296,'IA FG'!$B$2:$D$578,3,FALSE)),0,VLOOKUP(B296,'IA FG'!$B$2:$D$578,3,FALSE))</f>
        <v>83</v>
      </c>
      <c r="H296" s="166">
        <f t="shared" si="67"/>
        <v>1</v>
      </c>
      <c r="I296" s="166">
        <f t="shared" si="68"/>
        <v>90</v>
      </c>
      <c r="J296" s="166" t="str">
        <f t="shared" si="69"/>
        <v/>
      </c>
      <c r="K296" s="166" t="str">
        <f t="shared" si="70"/>
        <v/>
      </c>
      <c r="L296" s="166">
        <f t="shared" si="71"/>
        <v>1</v>
      </c>
    </row>
    <row r="297" spans="1:12">
      <c r="A297" t="s">
        <v>39</v>
      </c>
      <c r="B297" s="153" t="str">
        <f>Centrocampisti!B24</f>
        <v>LULIC</v>
      </c>
      <c r="C297" s="153" t="str">
        <f>Centrocampisti!C24</f>
        <v>LAZ</v>
      </c>
      <c r="D297" s="166">
        <f t="shared" si="64"/>
        <v>30.816930825984095</v>
      </c>
      <c r="E297" s="166">
        <f t="shared" si="65"/>
        <v>30.883377480706073</v>
      </c>
      <c r="F297">
        <f t="shared" si="66"/>
        <v>45</v>
      </c>
      <c r="G297">
        <f>IF(ISNA(VLOOKUP(B297,'IA FG'!$B$2:$D$578,3,FALSE)),0,VLOOKUP(B297,'IA FG'!$B$2:$D$578,3,FALSE))</f>
        <v>78</v>
      </c>
      <c r="H297" s="166" t="str">
        <f t="shared" si="67"/>
        <v/>
      </c>
      <c r="I297" s="166">
        <f t="shared" si="68"/>
        <v>90</v>
      </c>
      <c r="J297" s="166" t="str">
        <f t="shared" si="69"/>
        <v/>
      </c>
      <c r="K297" s="166" t="str">
        <f t="shared" si="70"/>
        <v/>
      </c>
      <c r="L297" s="166" t="e">
        <f t="shared" si="71"/>
        <v>#N/A</v>
      </c>
    </row>
    <row r="298" spans="1:12">
      <c r="A298" t="s">
        <v>39</v>
      </c>
      <c r="B298" s="153" t="str">
        <f>Centrocampisti!B25</f>
        <v>PAROLO</v>
      </c>
      <c r="C298" s="153" t="str">
        <f>Centrocampisti!C25</f>
        <v>LAZ</v>
      </c>
      <c r="D298" s="166">
        <f t="shared" si="64"/>
        <v>30.816930825984095</v>
      </c>
      <c r="E298" s="166">
        <f t="shared" si="65"/>
        <v>30.883377480706073</v>
      </c>
      <c r="F298">
        <f t="shared" si="66"/>
        <v>45</v>
      </c>
      <c r="G298">
        <f>IF(ISNA(VLOOKUP(B298,'IA FG'!$B$2:$D$578,3,FALSE)),0,VLOOKUP(B298,'IA FG'!$B$2:$D$578,3,FALSE))</f>
        <v>80</v>
      </c>
      <c r="H298" s="166" t="str">
        <f t="shared" si="67"/>
        <v/>
      </c>
      <c r="I298" s="166">
        <f t="shared" si="68"/>
        <v>90</v>
      </c>
      <c r="J298" s="166" t="str">
        <f t="shared" si="69"/>
        <v/>
      </c>
      <c r="K298" s="166" t="str">
        <f t="shared" si="70"/>
        <v/>
      </c>
      <c r="L298" s="166" t="e">
        <f t="shared" si="71"/>
        <v>#N/A</v>
      </c>
    </row>
    <row r="299" spans="1:12">
      <c r="A299" t="s">
        <v>39</v>
      </c>
      <c r="B299" s="153" t="str">
        <f>Centrocampisti!B26</f>
        <v>BONAVENTURA</v>
      </c>
      <c r="C299" s="153" t="str">
        <f>Centrocampisti!C26</f>
        <v>MIL</v>
      </c>
      <c r="D299" s="166">
        <f t="shared" si="64"/>
        <v>29.965652582640509</v>
      </c>
      <c r="E299" s="166">
        <f t="shared" si="65"/>
        <v>29.099758501556906</v>
      </c>
      <c r="F299">
        <f t="shared" si="66"/>
        <v>44</v>
      </c>
      <c r="G299">
        <f>IF(ISNA(VLOOKUP(B299,'IA FG'!$B$2:$D$578,3,FALSE)),0,VLOOKUP(B299,'IA FG'!$B$2:$D$578,3,FALSE))</f>
        <v>83</v>
      </c>
      <c r="H299" s="166" t="str">
        <f t="shared" si="67"/>
        <v/>
      </c>
      <c r="I299" s="166">
        <f t="shared" si="68"/>
        <v>80</v>
      </c>
      <c r="J299" s="166" t="str">
        <f t="shared" si="69"/>
        <v/>
      </c>
      <c r="K299" s="166" t="str">
        <f t="shared" si="70"/>
        <v/>
      </c>
      <c r="L299" s="166" t="e">
        <f t="shared" si="71"/>
        <v>#N/A</v>
      </c>
    </row>
    <row r="300" spans="1:12">
      <c r="A300" t="s">
        <v>39</v>
      </c>
      <c r="B300" s="153" t="str">
        <f>Centrocampisti!B27</f>
        <v>DIAWARA</v>
      </c>
      <c r="C300" s="153" t="str">
        <f>Centrocampisti!C27</f>
        <v>NAP</v>
      </c>
      <c r="D300" s="166">
        <f t="shared" si="64"/>
        <v>28.613977460193283</v>
      </c>
      <c r="E300" s="166">
        <f t="shared" si="65"/>
        <v>28.984416186836832</v>
      </c>
      <c r="F300">
        <f t="shared" si="66"/>
        <v>41</v>
      </c>
      <c r="G300">
        <f>IF(ISNA(VLOOKUP(B300,'IA FG'!$B$2:$D$578,3,FALSE)),0,VLOOKUP(B300,'IA FG'!$B$2:$D$578,3,FALSE))</f>
        <v>73</v>
      </c>
      <c r="H300" s="166" t="str">
        <f t="shared" si="67"/>
        <v/>
      </c>
      <c r="I300" s="166">
        <f t="shared" si="68"/>
        <v>70</v>
      </c>
      <c r="J300" s="166" t="str">
        <f t="shared" si="69"/>
        <v/>
      </c>
      <c r="K300" s="166" t="str">
        <f t="shared" si="70"/>
        <v/>
      </c>
      <c r="L300" s="166" t="e">
        <f t="shared" si="71"/>
        <v>#N/A</v>
      </c>
    </row>
    <row r="301" spans="1:12">
      <c r="A301" t="s">
        <v>39</v>
      </c>
      <c r="B301" s="153" t="str">
        <f>Centrocampisti!B28</f>
        <v>BORJA VALERO</v>
      </c>
      <c r="C301" s="153" t="str">
        <f>Centrocampisti!C28</f>
        <v>INT</v>
      </c>
      <c r="D301" s="166">
        <f t="shared" si="64"/>
        <v>27.546793326578474</v>
      </c>
      <c r="E301" s="166">
        <f t="shared" si="65"/>
        <v>27.798578337606912</v>
      </c>
      <c r="F301">
        <f t="shared" si="66"/>
        <v>44</v>
      </c>
      <c r="G301">
        <f>IF(ISNA(VLOOKUP(B301,'IA FG'!$B$2:$D$578,3,FALSE)),0,VLOOKUP(B301,'IA FG'!$B$2:$D$578,3,FALSE))</f>
        <v>78</v>
      </c>
      <c r="H301" s="166" t="str">
        <f t="shared" si="67"/>
        <v/>
      </c>
      <c r="I301" s="166">
        <f t="shared" si="68"/>
        <v>90</v>
      </c>
      <c r="J301" s="166" t="str">
        <f t="shared" si="69"/>
        <v/>
      </c>
      <c r="K301" s="166">
        <f t="shared" si="70"/>
        <v>1</v>
      </c>
      <c r="L301" s="166">
        <f t="shared" si="71"/>
        <v>2</v>
      </c>
    </row>
    <row r="302" spans="1:12">
      <c r="A302" t="s">
        <v>39</v>
      </c>
      <c r="B302" s="153" t="str">
        <f>Centrocampisti!B29</f>
        <v>MARCHISIO</v>
      </c>
      <c r="C302" s="153" t="str">
        <f>Centrocampisti!C29</f>
        <v>JUV</v>
      </c>
      <c r="D302" s="166">
        <f t="shared" si="64"/>
        <v>25.775651741329938</v>
      </c>
      <c r="E302" s="166">
        <f t="shared" si="65"/>
        <v>25.109238559262387</v>
      </c>
      <c r="F302">
        <f t="shared" si="66"/>
        <v>41</v>
      </c>
      <c r="G302">
        <f>IF(ISNA(VLOOKUP(B302,'IA FG'!$B$2:$D$578,3,FALSE)),0,VLOOKUP(B302,'IA FG'!$B$2:$D$578,3,FALSE))</f>
        <v>75</v>
      </c>
      <c r="H302" s="166">
        <f t="shared" si="67"/>
        <v>0</v>
      </c>
      <c r="I302" s="166">
        <f t="shared" si="68"/>
        <v>70</v>
      </c>
      <c r="J302" s="166">
        <f t="shared" si="69"/>
        <v>2</v>
      </c>
      <c r="K302" s="166" t="str">
        <f t="shared" si="70"/>
        <v/>
      </c>
      <c r="L302" s="166" t="e">
        <f t="shared" si="71"/>
        <v>#N/A</v>
      </c>
    </row>
    <row r="303" spans="1:12">
      <c r="A303" t="s">
        <v>39</v>
      </c>
      <c r="B303" s="153" t="str">
        <f>Centrocampisti!B30</f>
        <v>PEROTTI</v>
      </c>
      <c r="C303" s="153" t="str">
        <f>Centrocampisti!C30</f>
        <v>ROM</v>
      </c>
      <c r="D303" s="166">
        <f t="shared" si="64"/>
        <v>25.616808653061824</v>
      </c>
      <c r="E303" s="166">
        <f t="shared" si="65"/>
        <v>26.70863398187975</v>
      </c>
      <c r="F303">
        <f t="shared" si="66"/>
        <v>41</v>
      </c>
      <c r="G303">
        <f>IF(ISNA(VLOOKUP(B303,'IA FG'!$B$2:$D$578,3,FALSE)),0,VLOOKUP(B303,'IA FG'!$B$2:$D$578,3,FALSE))</f>
        <v>95</v>
      </c>
      <c r="H303" s="166" t="str">
        <f t="shared" si="67"/>
        <v/>
      </c>
      <c r="I303" s="166">
        <f t="shared" si="68"/>
        <v>60</v>
      </c>
      <c r="J303" s="166">
        <f t="shared" si="69"/>
        <v>1</v>
      </c>
      <c r="K303" s="166" t="str">
        <f t="shared" si="70"/>
        <v/>
      </c>
      <c r="L303" s="166">
        <f t="shared" si="71"/>
        <v>1</v>
      </c>
    </row>
    <row r="304" spans="1:12">
      <c r="A304" t="s">
        <v>39</v>
      </c>
      <c r="B304" s="153" t="str">
        <f>Centrocampisti!B31</f>
        <v>JOAO MARIO</v>
      </c>
      <c r="C304" s="153" t="str">
        <f>Centrocampisti!C31</f>
        <v>INT</v>
      </c>
      <c r="D304" s="166">
        <f t="shared" si="64"/>
        <v>24.974852130527516</v>
      </c>
      <c r="E304" s="166">
        <f t="shared" si="65"/>
        <v>25.131118483132035</v>
      </c>
      <c r="F304">
        <f t="shared" si="66"/>
        <v>43</v>
      </c>
      <c r="G304">
        <f>IF(ISNA(VLOOKUP(B304,'IA FG'!$B$2:$D$578,3,FALSE)),0,VLOOKUP(B304,'IA FG'!$B$2:$D$578,3,FALSE))</f>
        <v>75</v>
      </c>
      <c r="H304" s="166">
        <f t="shared" si="67"/>
        <v>0</v>
      </c>
      <c r="I304" s="166">
        <f t="shared" si="68"/>
        <v>70</v>
      </c>
      <c r="J304" s="166" t="str">
        <f t="shared" si="69"/>
        <v/>
      </c>
      <c r="K304" s="166">
        <f t="shared" si="70"/>
        <v>3</v>
      </c>
      <c r="L304" s="166">
        <f t="shared" si="71"/>
        <v>1</v>
      </c>
    </row>
    <row r="305" spans="1:12">
      <c r="A305" t="s">
        <v>39</v>
      </c>
      <c r="B305" s="153" t="str">
        <f>Centrocampisti!B32</f>
        <v>VECINO</v>
      </c>
      <c r="C305" s="153" t="str">
        <f>Centrocampisti!C32</f>
        <v>INT</v>
      </c>
      <c r="D305" s="166">
        <f t="shared" si="64"/>
        <v>24.952081877805121</v>
      </c>
      <c r="E305" s="166">
        <f t="shared" si="65"/>
        <v>24.298330763502037</v>
      </c>
      <c r="F305">
        <f t="shared" si="66"/>
        <v>43</v>
      </c>
      <c r="G305">
        <f>IF(ISNA(VLOOKUP(B305,'IA FG'!$B$2:$D$578,3,FALSE)),0,VLOOKUP(B305,'IA FG'!$B$2:$D$578,3,FALSE))</f>
        <v>75</v>
      </c>
      <c r="H305" s="166">
        <f t="shared" si="67"/>
        <v>0</v>
      </c>
      <c r="I305" s="166">
        <f t="shared" si="68"/>
        <v>80</v>
      </c>
      <c r="J305" s="166" t="str">
        <f t="shared" si="69"/>
        <v/>
      </c>
      <c r="K305" s="166" t="str">
        <f t="shared" si="70"/>
        <v/>
      </c>
      <c r="L305" s="166" t="e">
        <f t="shared" si="71"/>
        <v>#N/A</v>
      </c>
    </row>
    <row r="306" spans="1:12">
      <c r="A306" t="s">
        <v>39</v>
      </c>
      <c r="B306" s="153" t="str">
        <f>Centrocampisti!B33</f>
        <v>BASELLI</v>
      </c>
      <c r="C306" s="153" t="str">
        <f>Centrocampisti!C33</f>
        <v>TOR</v>
      </c>
      <c r="D306" s="166">
        <f t="shared" si="64"/>
        <v>24.033041557082932</v>
      </c>
      <c r="E306" s="166">
        <f t="shared" si="65"/>
        <v>25.014155433310499</v>
      </c>
      <c r="F306">
        <f t="shared" si="66"/>
        <v>44</v>
      </c>
      <c r="G306">
        <f>IF(ISNA(VLOOKUP(B306,'IA FG'!$B$2:$D$578,3,FALSE)),0,VLOOKUP(B306,'IA FG'!$B$2:$D$578,3,FALSE))</f>
        <v>76</v>
      </c>
      <c r="H306" s="166">
        <f t="shared" si="67"/>
        <v>0</v>
      </c>
      <c r="I306" s="166">
        <f t="shared" si="68"/>
        <v>90</v>
      </c>
      <c r="J306" s="166" t="str">
        <f t="shared" si="69"/>
        <v/>
      </c>
      <c r="K306" s="166">
        <f t="shared" si="70"/>
        <v>3</v>
      </c>
      <c r="L306" s="166" t="e">
        <f t="shared" si="71"/>
        <v>#N/A</v>
      </c>
    </row>
    <row r="307" spans="1:12">
      <c r="A307" t="s">
        <v>39</v>
      </c>
      <c r="B307" s="153" t="str">
        <f>Centrocampisti!B34</f>
        <v>JOAO PEDRO</v>
      </c>
      <c r="C307" s="153" t="str">
        <f>Centrocampisti!C34</f>
        <v>CAG</v>
      </c>
      <c r="D307" s="166">
        <f t="shared" ref="D307:D338" si="72">IF(ISNA(VLOOKUP($B307,TabAlgCen,11,FALSE)),0,VLOOKUP($B307,TabAlgCen,11,FALSE))</f>
        <v>23.637442708580977</v>
      </c>
      <c r="E307" s="166">
        <f t="shared" ref="E307:E338" si="73">IF(ISNA(VLOOKUP($B307,TabAlgCen,14,FALSE)),0,VLOOKUP($B307,TabAlgCen,14,FALSE))</f>
        <v>24.489577505473477</v>
      </c>
      <c r="F307">
        <f t="shared" ref="F307:F338" si="74">IF(ISNA(VLOOKUP($B307,TabAlgCen,15,FALSE)),0,VLOOKUP($B307,TabAlgCen,15,FALSE))</f>
        <v>46</v>
      </c>
      <c r="G307">
        <f>IF(ISNA(VLOOKUP(B307,'IA FG'!$B$2:$D$578,3,FALSE)),0,VLOOKUP(B307,'IA FG'!$B$2:$D$578,3,FALSE))</f>
        <v>89</v>
      </c>
      <c r="H307" s="166">
        <f t="shared" ref="H307:H338" si="75">IF(ISNA(VLOOKUP($B307,TabAlgCen,16,FALSE)),"",VLOOKUP($B307,TabAlgCen,16,FALSE))</f>
        <v>1</v>
      </c>
      <c r="I307" s="166">
        <f t="shared" ref="I307:I338" si="76">IF(ISNA(VLOOKUP($B307,TabAlgCen,4,FALSE)),0,VLOOKUP($B307,TabAlgCen,4,FALSE))*10</f>
        <v>90</v>
      </c>
      <c r="J307" s="166">
        <f t="shared" ref="J307:J338" si="77">IF(ISNA(VLOOKUP($B307,TabAlgCen,17,FALSE)),"",VLOOKUP($B307,TabAlgCen,17,FALSE))</f>
        <v>1</v>
      </c>
      <c r="K307" s="166" t="str">
        <f t="shared" ref="K307:K338" si="78">IF(ISNA(VLOOKUP($B307,TabAlgCen,18,FALSE)),"",VLOOKUP($B307,TabAlgCen,18,FALSE))</f>
        <v/>
      </c>
      <c r="L307" s="166" t="e">
        <f t="shared" ref="L307:L338" si="79">VLOOKUP($B307,TabAlgCen,19,FALSE)</f>
        <v>#N/A</v>
      </c>
    </row>
    <row r="308" spans="1:12">
      <c r="A308" t="s">
        <v>39</v>
      </c>
      <c r="B308" s="153" t="str">
        <f>Centrocampisti!B35</f>
        <v>PELLEGRINI</v>
      </c>
      <c r="C308" s="153" t="str">
        <f>Centrocampisti!C35</f>
        <v>ROM</v>
      </c>
      <c r="D308" s="166">
        <f t="shared" si="72"/>
        <v>22.690694008040012</v>
      </c>
      <c r="E308" s="166">
        <f t="shared" si="73"/>
        <v>22.882078407348935</v>
      </c>
      <c r="F308">
        <f t="shared" si="74"/>
        <v>40</v>
      </c>
      <c r="G308">
        <f>IF(ISNA(VLOOKUP(B308,'IA FG'!$B$2:$D$578,3,FALSE)),0,VLOOKUP(B308,'IA FG'!$B$2:$D$578,3,FALSE))</f>
        <v>60</v>
      </c>
      <c r="H308" s="166" t="str">
        <f t="shared" si="75"/>
        <v/>
      </c>
      <c r="I308" s="166">
        <f t="shared" si="76"/>
        <v>60</v>
      </c>
      <c r="J308" s="166" t="str">
        <f t="shared" si="77"/>
        <v/>
      </c>
      <c r="K308" s="166" t="str">
        <f t="shared" si="78"/>
        <v/>
      </c>
      <c r="L308" s="166" t="e">
        <f t="shared" si="79"/>
        <v>#N/A</v>
      </c>
    </row>
    <row r="309" spans="1:12">
      <c r="A309" t="s">
        <v>39</v>
      </c>
      <c r="B309" s="153" t="str">
        <f>Centrocampisti!B36</f>
        <v>BENTANCUR</v>
      </c>
      <c r="C309" s="153" t="str">
        <f>Centrocampisti!C36</f>
        <v>JUV</v>
      </c>
      <c r="D309" s="166">
        <f t="shared" si="72"/>
        <v>22.472044713826392</v>
      </c>
      <c r="E309" s="166">
        <f t="shared" si="73"/>
        <v>22.666790761372567</v>
      </c>
      <c r="F309">
        <f t="shared" si="74"/>
        <v>40</v>
      </c>
      <c r="G309">
        <f>IF(ISNA(VLOOKUP(B309,'IA FG'!$B$2:$D$578,3,FALSE)),0,VLOOKUP(B309,'IA FG'!$B$2:$D$578,3,FALSE))</f>
        <v>65</v>
      </c>
      <c r="H309" s="166" t="str">
        <f t="shared" si="75"/>
        <v/>
      </c>
      <c r="I309" s="166">
        <f t="shared" si="76"/>
        <v>50</v>
      </c>
      <c r="J309" s="166" t="str">
        <f t="shared" si="77"/>
        <v/>
      </c>
      <c r="K309" s="166" t="str">
        <f t="shared" si="78"/>
        <v/>
      </c>
      <c r="L309" s="166" t="e">
        <f t="shared" si="79"/>
        <v>#N/A</v>
      </c>
    </row>
    <row r="310" spans="1:12">
      <c r="A310" t="s">
        <v>39</v>
      </c>
      <c r="B310" s="153" t="str">
        <f>Centrocampisti!B37</f>
        <v>ROG</v>
      </c>
      <c r="C310" s="153" t="str">
        <f>Centrocampisti!C37</f>
        <v>NAP</v>
      </c>
      <c r="D310" s="166">
        <f t="shared" si="72"/>
        <v>22.052852591419409</v>
      </c>
      <c r="E310" s="166">
        <f t="shared" si="73"/>
        <v>22.389104813990294</v>
      </c>
      <c r="F310">
        <f t="shared" si="74"/>
        <v>39</v>
      </c>
      <c r="G310">
        <f>IF(ISNA(VLOOKUP(B310,'IA FG'!$B$2:$D$578,3,FALSE)),0,VLOOKUP(B310,'IA FG'!$B$2:$D$578,3,FALSE))</f>
        <v>69</v>
      </c>
      <c r="H310" s="166" t="str">
        <f t="shared" si="75"/>
        <v/>
      </c>
      <c r="I310" s="166">
        <f t="shared" si="76"/>
        <v>60</v>
      </c>
      <c r="J310" s="166" t="str">
        <f t="shared" si="77"/>
        <v/>
      </c>
      <c r="K310" s="166" t="str">
        <f t="shared" si="78"/>
        <v/>
      </c>
      <c r="L310" s="166" t="e">
        <f t="shared" si="79"/>
        <v>#N/A</v>
      </c>
    </row>
    <row r="311" spans="1:12">
      <c r="A311" t="s">
        <v>39</v>
      </c>
      <c r="B311" s="153" t="str">
        <f>Centrocampisti!B38</f>
        <v>GAGLIARDINI</v>
      </c>
      <c r="C311" s="153" t="str">
        <f>Centrocampisti!C38</f>
        <v>INT</v>
      </c>
      <c r="D311" s="166">
        <f t="shared" si="72"/>
        <v>21.625704597579237</v>
      </c>
      <c r="E311" s="166">
        <f t="shared" si="73"/>
        <v>21.023095245982176</v>
      </c>
      <c r="F311">
        <f t="shared" si="74"/>
        <v>42</v>
      </c>
      <c r="G311">
        <f>IF(ISNA(VLOOKUP(B311,'IA FG'!$B$2:$D$578,3,FALSE)),0,VLOOKUP(B311,'IA FG'!$B$2:$D$578,3,FALSE))</f>
        <v>76</v>
      </c>
      <c r="H311" s="166" t="str">
        <f t="shared" si="75"/>
        <v/>
      </c>
      <c r="I311" s="166">
        <f t="shared" si="76"/>
        <v>70</v>
      </c>
      <c r="J311" s="166" t="str">
        <f t="shared" si="77"/>
        <v/>
      </c>
      <c r="K311" s="166" t="str">
        <f t="shared" si="78"/>
        <v/>
      </c>
      <c r="L311" s="166" t="e">
        <f t="shared" si="79"/>
        <v>#N/A</v>
      </c>
    </row>
    <row r="312" spans="1:12">
      <c r="A312" t="s">
        <v>39</v>
      </c>
      <c r="B312" s="153" t="str">
        <f>Centrocampisti!B39</f>
        <v>RAMIREZ</v>
      </c>
      <c r="C312" s="153" t="str">
        <f>Centrocampisti!C39</f>
        <v>SAM</v>
      </c>
      <c r="D312" s="166">
        <f t="shared" si="72"/>
        <v>21.528313757622115</v>
      </c>
      <c r="E312" s="166">
        <f t="shared" si="73"/>
        <v>20.657079235570706</v>
      </c>
      <c r="F312">
        <f t="shared" si="74"/>
        <v>45</v>
      </c>
      <c r="G312">
        <f>IF(ISNA(VLOOKUP(B312,'IA FG'!$B$2:$D$578,3,FALSE)),0,VLOOKUP(B312,'IA FG'!$B$2:$D$578,3,FALSE))</f>
        <v>90</v>
      </c>
      <c r="H312" s="166">
        <f t="shared" si="75"/>
        <v>1</v>
      </c>
      <c r="I312" s="166">
        <f t="shared" si="76"/>
        <v>80</v>
      </c>
      <c r="J312" s="166">
        <f t="shared" si="77"/>
        <v>3</v>
      </c>
      <c r="K312" s="166" t="str">
        <f t="shared" si="78"/>
        <v/>
      </c>
      <c r="L312" s="166" t="e">
        <f t="shared" si="79"/>
        <v>#N/A</v>
      </c>
    </row>
    <row r="313" spans="1:12">
      <c r="A313" t="s">
        <v>39</v>
      </c>
      <c r="B313" s="153" t="str">
        <f>Centrocampisti!B40</f>
        <v>BIRSA</v>
      </c>
      <c r="C313" s="153" t="str">
        <f>Centrocampisti!C40</f>
        <v>CHI</v>
      </c>
      <c r="D313" s="166">
        <f t="shared" si="72"/>
        <v>20.117929790806329</v>
      </c>
      <c r="E313" s="166">
        <f t="shared" si="73"/>
        <v>21.159236994504269</v>
      </c>
      <c r="F313">
        <f t="shared" si="74"/>
        <v>47</v>
      </c>
      <c r="G313">
        <f>IF(ISNA(VLOOKUP(B313,'IA FG'!$B$2:$D$578,3,FALSE)),0,VLOOKUP(B313,'IA FG'!$B$2:$D$578,3,FALSE))</f>
        <v>90</v>
      </c>
      <c r="H313" s="166">
        <f t="shared" si="75"/>
        <v>1</v>
      </c>
      <c r="I313" s="166">
        <f t="shared" si="76"/>
        <v>90</v>
      </c>
      <c r="J313" s="166">
        <f t="shared" si="77"/>
        <v>2</v>
      </c>
      <c r="K313" s="166">
        <f t="shared" si="78"/>
        <v>1</v>
      </c>
      <c r="L313" s="166">
        <f t="shared" si="79"/>
        <v>1</v>
      </c>
    </row>
    <row r="314" spans="1:12">
      <c r="A314" t="s">
        <v>39</v>
      </c>
      <c r="B314" s="153" t="str">
        <f>Centrocampisti!B41</f>
        <v>UNDER</v>
      </c>
      <c r="C314" s="153" t="str">
        <f>Centrocampisti!C41</f>
        <v>ROM</v>
      </c>
      <c r="D314" s="166">
        <f t="shared" si="72"/>
        <v>18.632650896361511</v>
      </c>
      <c r="E314" s="166">
        <f t="shared" si="73"/>
        <v>19.83185494641414</v>
      </c>
      <c r="F314">
        <f t="shared" si="74"/>
        <v>39</v>
      </c>
      <c r="G314">
        <f>IF(ISNA(VLOOKUP(B314,'IA FG'!$B$2:$D$578,3,FALSE)),0,VLOOKUP(B314,'IA FG'!$B$2:$D$578,3,FALSE))</f>
        <v>81</v>
      </c>
      <c r="H314" s="166">
        <f t="shared" si="75"/>
        <v>0</v>
      </c>
      <c r="I314" s="166">
        <f t="shared" si="76"/>
        <v>50</v>
      </c>
      <c r="J314" s="166" t="str">
        <f t="shared" si="77"/>
        <v/>
      </c>
      <c r="K314" s="166" t="str">
        <f t="shared" si="78"/>
        <v/>
      </c>
      <c r="L314" s="166" t="e">
        <f t="shared" si="79"/>
        <v>#N/A</v>
      </c>
    </row>
    <row r="315" spans="1:12">
      <c r="A315" t="s">
        <v>39</v>
      </c>
      <c r="B315" s="153" t="str">
        <f>Centrocampisti!B42</f>
        <v>ILICIC</v>
      </c>
      <c r="C315" s="153" t="str">
        <f>Centrocampisti!C42</f>
        <v>ATA</v>
      </c>
      <c r="D315" s="166">
        <f t="shared" si="72"/>
        <v>18.322097570075698</v>
      </c>
      <c r="E315" s="166">
        <f t="shared" si="73"/>
        <v>19.391014998818918</v>
      </c>
      <c r="F315">
        <f t="shared" si="74"/>
        <v>42</v>
      </c>
      <c r="G315">
        <f>IF(ISNA(VLOOKUP(B315,'IA FG'!$B$2:$D$578,3,FALSE)),0,VLOOKUP(B315,'IA FG'!$B$2:$D$578,3,FALSE))</f>
        <v>79</v>
      </c>
      <c r="H315" s="166" t="str">
        <f t="shared" si="75"/>
        <v/>
      </c>
      <c r="I315" s="166">
        <f t="shared" si="76"/>
        <v>60</v>
      </c>
      <c r="J315" s="166">
        <f t="shared" si="77"/>
        <v>1</v>
      </c>
      <c r="K315" s="166">
        <f t="shared" si="78"/>
        <v>1</v>
      </c>
      <c r="L315" s="166" t="e">
        <f t="shared" si="79"/>
        <v>#N/A</v>
      </c>
    </row>
    <row r="316" spans="1:12">
      <c r="A316" t="s">
        <v>39</v>
      </c>
      <c r="B316" s="153" t="str">
        <f>Centrocampisti!B43</f>
        <v>BIGLIA</v>
      </c>
      <c r="C316" s="153" t="str">
        <f>Centrocampisti!C43</f>
        <v>MIL</v>
      </c>
      <c r="D316" s="166">
        <f t="shared" si="72"/>
        <v>18.260645321764706</v>
      </c>
      <c r="E316" s="166">
        <f t="shared" si="73"/>
        <v>18.520140004304807</v>
      </c>
      <c r="F316">
        <f t="shared" si="74"/>
        <v>41</v>
      </c>
      <c r="G316">
        <f>IF(ISNA(VLOOKUP(B316,'IA FG'!$B$2:$D$578,3,FALSE)),0,VLOOKUP(B316,'IA FG'!$B$2:$D$578,3,FALSE))</f>
        <v>79</v>
      </c>
      <c r="H316" s="166" t="str">
        <f t="shared" si="75"/>
        <v/>
      </c>
      <c r="I316" s="166">
        <f t="shared" si="76"/>
        <v>80</v>
      </c>
      <c r="J316" s="166">
        <f t="shared" si="77"/>
        <v>3</v>
      </c>
      <c r="K316" s="166">
        <f t="shared" si="78"/>
        <v>2</v>
      </c>
      <c r="L316" s="166">
        <f t="shared" si="79"/>
        <v>1</v>
      </c>
    </row>
    <row r="317" spans="1:12">
      <c r="A317" t="s">
        <v>39</v>
      </c>
      <c r="B317" s="153" t="str">
        <f>Centrocampisti!B44</f>
        <v>EYSSERIC</v>
      </c>
      <c r="C317" s="153" t="str">
        <f>Centrocampisti!C44</f>
        <v>FIO</v>
      </c>
      <c r="D317" s="166">
        <f t="shared" si="72"/>
        <v>17.322949854233826</v>
      </c>
      <c r="E317" s="166">
        <f t="shared" si="73"/>
        <v>17.596861241510325</v>
      </c>
      <c r="F317">
        <f t="shared" si="74"/>
        <v>44</v>
      </c>
      <c r="G317">
        <f>IF(ISNA(VLOOKUP(B317,'IA FG'!$B$2:$D$578,3,FALSE)),0,VLOOKUP(B317,'IA FG'!$B$2:$D$578,3,FALSE))</f>
        <v>78</v>
      </c>
      <c r="H317" s="166">
        <f t="shared" si="75"/>
        <v>0</v>
      </c>
      <c r="I317" s="166">
        <f t="shared" si="76"/>
        <v>70</v>
      </c>
      <c r="J317" s="166" t="str">
        <f t="shared" si="77"/>
        <v/>
      </c>
      <c r="K317" s="166" t="str">
        <f t="shared" si="78"/>
        <v/>
      </c>
      <c r="L317" s="166" t="e">
        <f t="shared" si="79"/>
        <v>#N/A</v>
      </c>
    </row>
    <row r="318" spans="1:12">
      <c r="A318" t="s">
        <v>39</v>
      </c>
      <c r="B318" s="153" t="str">
        <f>Centrocampisti!B45</f>
        <v>MURGIA</v>
      </c>
      <c r="C318" s="153" t="str">
        <f>Centrocampisti!C45</f>
        <v>LAZ</v>
      </c>
      <c r="D318" s="166">
        <f t="shared" si="72"/>
        <v>17.180018508831964</v>
      </c>
      <c r="E318" s="166">
        <f t="shared" si="73"/>
        <v>17.456127410200793</v>
      </c>
      <c r="F318">
        <f t="shared" si="74"/>
        <v>41</v>
      </c>
      <c r="G318">
        <f>IF(ISNA(VLOOKUP(B318,'IA FG'!$B$2:$D$578,3,FALSE)),0,VLOOKUP(B318,'IA FG'!$B$2:$D$578,3,FALSE))</f>
        <v>59</v>
      </c>
      <c r="H318" s="166" t="str">
        <f t="shared" si="75"/>
        <v/>
      </c>
      <c r="I318" s="166">
        <f t="shared" si="76"/>
        <v>60</v>
      </c>
      <c r="J318" s="166" t="str">
        <f t="shared" si="77"/>
        <v/>
      </c>
      <c r="K318" s="166" t="str">
        <f t="shared" si="78"/>
        <v/>
      </c>
      <c r="L318" s="166" t="e">
        <f t="shared" si="79"/>
        <v>#N/A</v>
      </c>
    </row>
    <row r="319" spans="1:12">
      <c r="A319" t="s">
        <v>39</v>
      </c>
      <c r="B319" s="153" t="str">
        <f>Centrocampisti!B46</f>
        <v>BERENGUER</v>
      </c>
      <c r="C319" s="153" t="str">
        <f>Centrocampisti!C46</f>
        <v>TOR</v>
      </c>
      <c r="D319" s="166">
        <f t="shared" si="72"/>
        <v>16.534221220778214</v>
      </c>
      <c r="E319" s="166">
        <f t="shared" si="73"/>
        <v>17.900749073032777</v>
      </c>
      <c r="F319">
        <f t="shared" si="74"/>
        <v>42</v>
      </c>
      <c r="G319">
        <f>IF(ISNA(VLOOKUP(B319,'IA FG'!$B$2:$D$578,3,FALSE)),0,VLOOKUP(B319,'IA FG'!$B$2:$D$578,3,FALSE))</f>
        <v>77</v>
      </c>
      <c r="H319" s="166">
        <f t="shared" si="75"/>
        <v>-1</v>
      </c>
      <c r="I319" s="166">
        <f t="shared" si="76"/>
        <v>70</v>
      </c>
      <c r="J319" s="166" t="str">
        <f t="shared" si="77"/>
        <v/>
      </c>
      <c r="K319" s="166" t="str">
        <f t="shared" si="78"/>
        <v/>
      </c>
      <c r="L319" s="166" t="e">
        <f t="shared" si="79"/>
        <v>#N/A</v>
      </c>
    </row>
    <row r="320" spans="1:12">
      <c r="A320" t="s">
        <v>39</v>
      </c>
      <c r="B320" s="153" t="str">
        <f>Centrocampisti!B47</f>
        <v>LUIS ALBERTO</v>
      </c>
      <c r="C320" s="153" t="str">
        <f>Centrocampisti!C47</f>
        <v>LAZ</v>
      </c>
      <c r="D320" s="166">
        <f t="shared" si="72"/>
        <v>16.425582424657044</v>
      </c>
      <c r="E320" s="166">
        <f t="shared" si="73"/>
        <v>16.848351747155888</v>
      </c>
      <c r="F320">
        <f t="shared" si="74"/>
        <v>41</v>
      </c>
      <c r="G320">
        <f>IF(ISNA(VLOOKUP(B320,'IA FG'!$B$2:$D$578,3,FALSE)),0,VLOOKUP(B320,'IA FG'!$B$2:$D$578,3,FALSE))</f>
        <v>68</v>
      </c>
      <c r="H320" s="166">
        <f t="shared" si="75"/>
        <v>0</v>
      </c>
      <c r="I320" s="166">
        <f t="shared" si="76"/>
        <v>70</v>
      </c>
      <c r="J320" s="166" t="str">
        <f t="shared" si="77"/>
        <v/>
      </c>
      <c r="K320" s="166">
        <f t="shared" si="78"/>
        <v>2</v>
      </c>
      <c r="L320" s="166">
        <f t="shared" si="79"/>
        <v>2</v>
      </c>
    </row>
    <row r="321" spans="1:12">
      <c r="A321" t="s">
        <v>39</v>
      </c>
      <c r="B321" s="153" t="str">
        <f>Centrocampisti!B48</f>
        <v>LUCAS LEIVA</v>
      </c>
      <c r="C321" s="153" t="str">
        <f>Centrocampisti!C48</f>
        <v>LAZ</v>
      </c>
      <c r="D321" s="166">
        <f t="shared" si="72"/>
        <v>15.671146340482082</v>
      </c>
      <c r="E321" s="166">
        <f t="shared" si="73"/>
        <v>16.240576084110984</v>
      </c>
      <c r="F321">
        <f t="shared" si="74"/>
        <v>41</v>
      </c>
      <c r="G321">
        <f>IF(ISNA(VLOOKUP(B321,'IA FG'!$B$2:$D$578,3,FALSE)),0,VLOOKUP(B321,'IA FG'!$B$2:$D$578,3,FALSE))</f>
        <v>70</v>
      </c>
      <c r="H321" s="166">
        <f t="shared" si="75"/>
        <v>-1</v>
      </c>
      <c r="I321" s="166">
        <f t="shared" si="76"/>
        <v>80</v>
      </c>
      <c r="J321" s="166" t="str">
        <f t="shared" si="77"/>
        <v/>
      </c>
      <c r="K321" s="166" t="str">
        <f t="shared" si="78"/>
        <v/>
      </c>
      <c r="L321" s="166" t="e">
        <f t="shared" si="79"/>
        <v>#N/A</v>
      </c>
    </row>
    <row r="322" spans="1:12">
      <c r="A322" t="s">
        <v>39</v>
      </c>
      <c r="B322" s="153" t="str">
        <f>Centrocampisti!B49</f>
        <v>CRISTANTE</v>
      </c>
      <c r="C322" s="153" t="str">
        <f>Centrocampisti!C49</f>
        <v>ATA</v>
      </c>
      <c r="D322" s="166">
        <f t="shared" si="72"/>
        <v>14.972950037127426</v>
      </c>
      <c r="E322" s="166">
        <f t="shared" si="73"/>
        <v>15.282991761669059</v>
      </c>
      <c r="F322">
        <f t="shared" si="74"/>
        <v>41</v>
      </c>
      <c r="G322">
        <f>IF(ISNA(VLOOKUP(B322,'IA FG'!$B$2:$D$578,3,FALSE)),0,VLOOKUP(B322,'IA FG'!$B$2:$D$578,3,FALSE))</f>
        <v>76</v>
      </c>
      <c r="H322" s="166" t="str">
        <f t="shared" si="75"/>
        <v/>
      </c>
      <c r="I322" s="166">
        <f t="shared" si="76"/>
        <v>60</v>
      </c>
      <c r="J322" s="166" t="str">
        <f t="shared" si="77"/>
        <v/>
      </c>
      <c r="K322" s="166" t="str">
        <f t="shared" si="78"/>
        <v/>
      </c>
      <c r="L322" s="166" t="e">
        <f t="shared" si="79"/>
        <v>#N/A</v>
      </c>
    </row>
    <row r="323" spans="1:12">
      <c r="A323" t="s">
        <v>39</v>
      </c>
      <c r="B323" s="153" t="str">
        <f>Centrocampisti!B50</f>
        <v>LINETTY</v>
      </c>
      <c r="C323" s="153" t="str">
        <f>Centrocampisti!C50</f>
        <v>SAM</v>
      </c>
      <c r="D323" s="166">
        <f t="shared" si="72"/>
        <v>14.452526309243822</v>
      </c>
      <c r="E323" s="166">
        <f t="shared" si="73"/>
        <v>13.825140537911992</v>
      </c>
      <c r="F323">
        <f t="shared" si="74"/>
        <v>43</v>
      </c>
      <c r="G323">
        <f>IF(ISNA(VLOOKUP(B323,'IA FG'!$B$2:$D$578,3,FALSE)),0,VLOOKUP(B323,'IA FG'!$B$2:$D$578,3,FALSE))</f>
        <v>72</v>
      </c>
      <c r="H323" s="166">
        <f t="shared" si="75"/>
        <v>0</v>
      </c>
      <c r="I323" s="166">
        <f t="shared" si="76"/>
        <v>60</v>
      </c>
      <c r="J323" s="166" t="str">
        <f t="shared" si="77"/>
        <v/>
      </c>
      <c r="K323" s="166" t="str">
        <f t="shared" si="78"/>
        <v/>
      </c>
      <c r="L323" s="166" t="e">
        <f t="shared" si="79"/>
        <v>#N/A</v>
      </c>
    </row>
    <row r="324" spans="1:12">
      <c r="A324" t="s">
        <v>39</v>
      </c>
      <c r="B324" s="153" t="str">
        <f>Centrocampisti!B51</f>
        <v>BROZOVIC</v>
      </c>
      <c r="C324" s="153" t="str">
        <f>Centrocampisti!C51</f>
        <v>INT</v>
      </c>
      <c r="D324" s="166">
        <f t="shared" si="72"/>
        <v>14.332913897352775</v>
      </c>
      <c r="E324" s="166">
        <f t="shared" si="73"/>
        <v>14.65279592972071</v>
      </c>
      <c r="F324">
        <f t="shared" si="74"/>
        <v>40</v>
      </c>
      <c r="G324">
        <f>IF(ISNA(VLOOKUP(B324,'IA FG'!$B$2:$D$578,3,FALSE)),0,VLOOKUP(B324,'IA FG'!$B$2:$D$578,3,FALSE))</f>
        <v>80</v>
      </c>
      <c r="H324" s="166" t="str">
        <f t="shared" si="75"/>
        <v/>
      </c>
      <c r="I324" s="166">
        <f t="shared" si="76"/>
        <v>60</v>
      </c>
      <c r="J324" s="166" t="str">
        <f t="shared" si="77"/>
        <v/>
      </c>
      <c r="K324" s="166">
        <f t="shared" si="78"/>
        <v>4</v>
      </c>
      <c r="L324" s="166" t="e">
        <f t="shared" si="79"/>
        <v>#N/A</v>
      </c>
    </row>
    <row r="325" spans="1:12">
      <c r="A325" t="s">
        <v>39</v>
      </c>
      <c r="B325" s="153" t="str">
        <f>Centrocampisti!B52</f>
        <v>DE ROSSI</v>
      </c>
      <c r="C325" s="153" t="str">
        <f>Centrocampisti!C52</f>
        <v>ROM</v>
      </c>
      <c r="D325" s="166">
        <f t="shared" si="72"/>
        <v>14.220434335712163</v>
      </c>
      <c r="E325" s="166">
        <f t="shared" si="73"/>
        <v>15.622535765423514</v>
      </c>
      <c r="F325">
        <f t="shared" si="74"/>
        <v>38</v>
      </c>
      <c r="G325">
        <f>IF(ISNA(VLOOKUP(B325,'IA FG'!$B$2:$D$578,3,FALSE)),0,VLOOKUP(B325,'IA FG'!$B$2:$D$578,3,FALSE))</f>
        <v>77</v>
      </c>
      <c r="H325" s="166" t="str">
        <f t="shared" si="75"/>
        <v/>
      </c>
      <c r="I325" s="166">
        <f t="shared" si="76"/>
        <v>60</v>
      </c>
      <c r="J325" s="166">
        <f t="shared" si="77"/>
        <v>2</v>
      </c>
      <c r="K325" s="166">
        <f t="shared" si="78"/>
        <v>2</v>
      </c>
      <c r="L325" s="166" t="e">
        <f t="shared" si="79"/>
        <v>#N/A</v>
      </c>
    </row>
    <row r="326" spans="1:12">
      <c r="A326" t="s">
        <v>39</v>
      </c>
      <c r="B326" s="153" t="str">
        <f>Centrocampisti!B53</f>
        <v>DE ROON</v>
      </c>
      <c r="C326" s="153" t="str">
        <f>Centrocampisti!C53</f>
        <v>ATA</v>
      </c>
      <c r="D326" s="166">
        <f t="shared" si="72"/>
        <v>14.218513952952456</v>
      </c>
      <c r="E326" s="166">
        <f t="shared" si="73"/>
        <v>14.675216098624155</v>
      </c>
      <c r="F326">
        <f t="shared" si="74"/>
        <v>41</v>
      </c>
      <c r="G326">
        <f>IF(ISNA(VLOOKUP(B326,'IA FG'!$B$2:$D$578,3,FALSE)),0,VLOOKUP(B326,'IA FG'!$B$2:$D$578,3,FALSE))</f>
        <v>76</v>
      </c>
      <c r="H326" s="166" t="str">
        <f t="shared" si="75"/>
        <v/>
      </c>
      <c r="I326" s="166">
        <f t="shared" si="76"/>
        <v>70</v>
      </c>
      <c r="J326" s="166" t="str">
        <f t="shared" si="77"/>
        <v/>
      </c>
      <c r="K326" s="166" t="str">
        <f t="shared" si="78"/>
        <v/>
      </c>
      <c r="L326" s="166" t="e">
        <f t="shared" si="79"/>
        <v>#N/A</v>
      </c>
    </row>
    <row r="327" spans="1:12">
      <c r="A327" t="s">
        <v>39</v>
      </c>
      <c r="B327" s="153" t="str">
        <f>Centrocampisti!B54</f>
        <v>KURTIC</v>
      </c>
      <c r="C327" s="153" t="str">
        <f>Centrocampisti!C54</f>
        <v>ATA</v>
      </c>
      <c r="D327" s="166">
        <f t="shared" si="72"/>
        <v>13.90988100942635</v>
      </c>
      <c r="E327" s="166">
        <f t="shared" si="73"/>
        <v>15.181695817828249</v>
      </c>
      <c r="F327">
        <f t="shared" si="74"/>
        <v>41</v>
      </c>
      <c r="G327">
        <f>IF(ISNA(VLOOKUP(B327,'IA FG'!$B$2:$D$578,3,FALSE)),0,VLOOKUP(B327,'IA FG'!$B$2:$D$578,3,FALSE))</f>
        <v>79</v>
      </c>
      <c r="H327" s="166">
        <f t="shared" si="75"/>
        <v>-1</v>
      </c>
      <c r="I327" s="166">
        <f t="shared" si="76"/>
        <v>70</v>
      </c>
      <c r="J327" s="166" t="str">
        <f t="shared" si="77"/>
        <v/>
      </c>
      <c r="K327" s="166" t="str">
        <f t="shared" si="78"/>
        <v/>
      </c>
      <c r="L327" s="166" t="e">
        <f t="shared" si="79"/>
        <v>#N/A</v>
      </c>
    </row>
    <row r="328" spans="1:12">
      <c r="A328" t="s">
        <v>39</v>
      </c>
      <c r="B328" s="153" t="str">
        <f>Centrocampisti!B55</f>
        <v>SAPONARA</v>
      </c>
      <c r="C328" s="153" t="str">
        <f>Centrocampisti!C55</f>
        <v>FIO</v>
      </c>
      <c r="D328" s="166">
        <f t="shared" si="72"/>
        <v>13.665169377759447</v>
      </c>
      <c r="E328" s="166">
        <f t="shared" si="73"/>
        <v>13.995317723564575</v>
      </c>
      <c r="F328">
        <f t="shared" si="74"/>
        <v>43</v>
      </c>
      <c r="G328">
        <f>IF(ISNA(VLOOKUP(B328,'IA FG'!$B$2:$D$578,3,FALSE)),0,VLOOKUP(B328,'IA FG'!$B$2:$D$578,3,FALSE))</f>
        <v>84</v>
      </c>
      <c r="H328" s="166">
        <f t="shared" si="75"/>
        <v>0</v>
      </c>
      <c r="I328" s="166">
        <f t="shared" si="76"/>
        <v>70</v>
      </c>
      <c r="J328" s="166">
        <f t="shared" si="77"/>
        <v>2</v>
      </c>
      <c r="K328" s="166">
        <f t="shared" si="78"/>
        <v>1</v>
      </c>
      <c r="L328" s="166">
        <f t="shared" si="79"/>
        <v>2</v>
      </c>
    </row>
    <row r="329" spans="1:12">
      <c r="A329" t="s">
        <v>39</v>
      </c>
      <c r="B329" s="153" t="str">
        <f>Centrocampisti!B56</f>
        <v>RINCON</v>
      </c>
      <c r="C329" s="153" t="str">
        <f>Centrocampisti!C56</f>
        <v>TOR</v>
      </c>
      <c r="D329" s="166">
        <f t="shared" si="72"/>
        <v>13.276703379507914</v>
      </c>
      <c r="E329" s="166">
        <f t="shared" si="73"/>
        <v>13.747885498076066</v>
      </c>
      <c r="F329">
        <f t="shared" si="74"/>
        <v>41</v>
      </c>
      <c r="G329">
        <f>IF(ISNA(VLOOKUP(B329,'IA FG'!$B$2:$D$578,3,FALSE)),0,VLOOKUP(B329,'IA FG'!$B$2:$D$578,3,FALSE))</f>
        <v>75</v>
      </c>
      <c r="H329" s="166" t="str">
        <f t="shared" si="75"/>
        <v/>
      </c>
      <c r="I329" s="166">
        <f t="shared" si="76"/>
        <v>80</v>
      </c>
      <c r="J329" s="166" t="str">
        <f t="shared" si="77"/>
        <v/>
      </c>
      <c r="K329" s="166" t="str">
        <f t="shared" si="78"/>
        <v/>
      </c>
      <c r="L329" s="166" t="e">
        <f t="shared" si="79"/>
        <v>#N/A</v>
      </c>
    </row>
    <row r="330" spans="1:12">
      <c r="A330" t="s">
        <v>39</v>
      </c>
      <c r="B330" s="153" t="str">
        <f>Centrocampisti!B57</f>
        <v>TORREIRA</v>
      </c>
      <c r="C330" s="153" t="str">
        <f>Centrocampisti!C57</f>
        <v>SAM</v>
      </c>
      <c r="D330" s="166">
        <f t="shared" si="72"/>
        <v>12.612250944645439</v>
      </c>
      <c r="E330" s="166">
        <f t="shared" si="73"/>
        <v>12.283281211396243</v>
      </c>
      <c r="F330">
        <f t="shared" si="74"/>
        <v>43</v>
      </c>
      <c r="G330">
        <f>IF(ISNA(VLOOKUP(B330,'IA FG'!$B$2:$D$578,3,FALSE)),0,VLOOKUP(B330,'IA FG'!$B$2:$D$578,3,FALSE))</f>
        <v>75</v>
      </c>
      <c r="H330" s="166" t="str">
        <f t="shared" si="75"/>
        <v/>
      </c>
      <c r="I330" s="166">
        <f t="shared" si="76"/>
        <v>90</v>
      </c>
      <c r="J330" s="166" t="str">
        <f t="shared" si="77"/>
        <v/>
      </c>
      <c r="K330" s="166">
        <f t="shared" si="78"/>
        <v>3</v>
      </c>
      <c r="L330" s="166">
        <f t="shared" si="79"/>
        <v>2</v>
      </c>
    </row>
    <row r="331" spans="1:12">
      <c r="A331" t="s">
        <v>39</v>
      </c>
      <c r="B331" s="153" t="str">
        <f>Centrocampisti!B58</f>
        <v>DE PAUL</v>
      </c>
      <c r="C331" s="153" t="str">
        <f>Centrocampisti!C58</f>
        <v>UDI</v>
      </c>
      <c r="D331" s="166">
        <f t="shared" si="72"/>
        <v>12.201563374459994</v>
      </c>
      <c r="E331" s="166">
        <f t="shared" si="73"/>
        <v>13.499642905036801</v>
      </c>
      <c r="F331">
        <f t="shared" si="74"/>
        <v>44</v>
      </c>
      <c r="G331">
        <f>IF(ISNA(VLOOKUP(B331,'IA FG'!$B$2:$D$578,3,FALSE)),0,VLOOKUP(B331,'IA FG'!$B$2:$D$578,3,FALSE))</f>
        <v>80</v>
      </c>
      <c r="H331" s="166">
        <f t="shared" si="75"/>
        <v>1</v>
      </c>
      <c r="I331" s="166">
        <f t="shared" si="76"/>
        <v>90</v>
      </c>
      <c r="J331" s="166">
        <f t="shared" si="77"/>
        <v>3</v>
      </c>
      <c r="K331" s="166">
        <f t="shared" si="78"/>
        <v>1</v>
      </c>
      <c r="L331" s="166">
        <f t="shared" si="79"/>
        <v>1</v>
      </c>
    </row>
    <row r="332" spans="1:12">
      <c r="A332" t="s">
        <v>39</v>
      </c>
      <c r="B332" s="153" t="str">
        <f>Centrocampisti!B59</f>
        <v>SPINAZZOLA</v>
      </c>
      <c r="C332" s="153" t="str">
        <f>Centrocampisti!C59</f>
        <v>ATA</v>
      </c>
      <c r="D332" s="166">
        <f t="shared" si="72"/>
        <v>11.200769616252678</v>
      </c>
      <c r="E332" s="166">
        <f t="shared" si="73"/>
        <v>10.893500861900201</v>
      </c>
      <c r="F332">
        <f t="shared" si="74"/>
        <v>40</v>
      </c>
      <c r="G332">
        <f>IF(ISNA(VLOOKUP(B332,'IA FG'!$B$2:$D$578,3,FALSE)),0,VLOOKUP(B332,'IA FG'!$B$2:$D$578,3,FALSE))</f>
        <v>71</v>
      </c>
      <c r="H332" s="166" t="str">
        <f t="shared" si="75"/>
        <v/>
      </c>
      <c r="I332" s="166">
        <f t="shared" si="76"/>
        <v>60</v>
      </c>
      <c r="J332" s="166" t="str">
        <f t="shared" si="77"/>
        <v/>
      </c>
      <c r="K332" s="166" t="str">
        <f t="shared" si="78"/>
        <v/>
      </c>
      <c r="L332" s="166" t="e">
        <f t="shared" si="79"/>
        <v>#N/A</v>
      </c>
    </row>
    <row r="333" spans="1:12">
      <c r="A333" t="s">
        <v>39</v>
      </c>
      <c r="B333" s="153" t="str">
        <f>Centrocampisti!B60</f>
        <v>GIACCHERINI</v>
      </c>
      <c r="C333" s="153" t="str">
        <f>Centrocampisti!C60</f>
        <v>NAP</v>
      </c>
      <c r="D333" s="166">
        <f t="shared" si="72"/>
        <v>10.679248526792108</v>
      </c>
      <c r="E333" s="166">
        <f t="shared" si="73"/>
        <v>12.135794317164027</v>
      </c>
      <c r="F333">
        <f t="shared" si="74"/>
        <v>36</v>
      </c>
      <c r="G333">
        <f>IF(ISNA(VLOOKUP(B333,'IA FG'!$B$2:$D$578,3,FALSE)),0,VLOOKUP(B333,'IA FG'!$B$2:$D$578,3,FALSE))</f>
        <v>50</v>
      </c>
      <c r="H333" s="166">
        <f t="shared" si="75"/>
        <v>-1</v>
      </c>
      <c r="I333" s="166">
        <f t="shared" si="76"/>
        <v>50</v>
      </c>
      <c r="J333" s="166" t="str">
        <f t="shared" si="77"/>
        <v/>
      </c>
      <c r="K333" s="166" t="str">
        <f t="shared" si="78"/>
        <v/>
      </c>
      <c r="L333" s="166" t="e">
        <f t="shared" si="79"/>
        <v>#N/A</v>
      </c>
    </row>
    <row r="334" spans="1:12">
      <c r="A334" t="s">
        <v>39</v>
      </c>
      <c r="B334" s="153" t="str">
        <f>Centrocampisti!B61</f>
        <v>GIL DIAS</v>
      </c>
      <c r="C334" s="153" t="str">
        <f>Centrocampisti!C61</f>
        <v>FIO</v>
      </c>
      <c r="D334" s="166">
        <f t="shared" si="72"/>
        <v>10.338792097533513</v>
      </c>
      <c r="E334" s="166">
        <f t="shared" si="73"/>
        <v>10.720082206044758</v>
      </c>
      <c r="F334">
        <f t="shared" si="74"/>
        <v>42</v>
      </c>
      <c r="G334">
        <f>IF(ISNA(VLOOKUP(B334,'IA FG'!$B$2:$D$578,3,FALSE)),0,VLOOKUP(B334,'IA FG'!$B$2:$D$578,3,FALSE))</f>
        <v>77</v>
      </c>
      <c r="H334" s="166">
        <f t="shared" si="75"/>
        <v>0</v>
      </c>
      <c r="I334" s="166">
        <f t="shared" si="76"/>
        <v>60</v>
      </c>
      <c r="J334" s="166" t="str">
        <f t="shared" si="77"/>
        <v/>
      </c>
      <c r="K334" s="166" t="str">
        <f t="shared" si="78"/>
        <v/>
      </c>
      <c r="L334" s="166" t="e">
        <f t="shared" si="79"/>
        <v>#N/A</v>
      </c>
    </row>
    <row r="335" spans="1:12">
      <c r="A335" t="s">
        <v>39</v>
      </c>
      <c r="B335" s="153" t="str">
        <f>Centrocampisti!B62</f>
        <v>BERTOLACCI</v>
      </c>
      <c r="C335" s="153" t="str">
        <f>Centrocampisti!C62</f>
        <v>GEN</v>
      </c>
      <c r="D335" s="166">
        <f t="shared" si="72"/>
        <v>10.31053503692624</v>
      </c>
      <c r="E335" s="166">
        <f t="shared" si="73"/>
        <v>10.692259586803139</v>
      </c>
      <c r="F335">
        <f t="shared" si="74"/>
        <v>43</v>
      </c>
      <c r="G335">
        <f>IF(ISNA(VLOOKUP(B335,'IA FG'!$B$2:$D$578,3,FALSE)),0,VLOOKUP(B335,'IA FG'!$B$2:$D$578,3,FALSE))</f>
        <v>75</v>
      </c>
      <c r="H335" s="166">
        <f t="shared" si="75"/>
        <v>1</v>
      </c>
      <c r="I335" s="166">
        <f t="shared" si="76"/>
        <v>80</v>
      </c>
      <c r="J335" s="166" t="str">
        <f t="shared" si="77"/>
        <v/>
      </c>
      <c r="K335" s="166">
        <f t="shared" si="78"/>
        <v>4</v>
      </c>
      <c r="L335" s="166" t="e">
        <f t="shared" si="79"/>
        <v>#N/A</v>
      </c>
    </row>
    <row r="336" spans="1:12">
      <c r="A336" t="s">
        <v>39</v>
      </c>
      <c r="B336" s="153" t="str">
        <f>Centrocampisti!B63</f>
        <v>DI GENNARO D</v>
      </c>
      <c r="C336" s="153" t="str">
        <f>Centrocampisti!C63</f>
        <v>LAZ</v>
      </c>
      <c r="D336" s="166">
        <f t="shared" si="72"/>
        <v>9.7728278642051976</v>
      </c>
      <c r="E336" s="166">
        <f t="shared" si="73"/>
        <v>10.297880712116218</v>
      </c>
      <c r="F336">
        <f t="shared" si="74"/>
        <v>39</v>
      </c>
      <c r="G336">
        <f>IF(ISNA(VLOOKUP(B336,'IA FG'!$B$2:$D$578,3,FALSE)),0,VLOOKUP(B336,'IA FG'!$B$2:$D$578,3,FALSE))</f>
        <v>63</v>
      </c>
      <c r="H336" s="166" t="str">
        <f t="shared" si="75"/>
        <v/>
      </c>
      <c r="I336" s="166">
        <f t="shared" si="76"/>
        <v>50</v>
      </c>
      <c r="J336" s="166" t="str">
        <f t="shared" si="77"/>
        <v/>
      </c>
      <c r="K336" s="166" t="str">
        <f t="shared" si="78"/>
        <v/>
      </c>
      <c r="L336" s="166" t="e">
        <f t="shared" si="79"/>
        <v>#N/A</v>
      </c>
    </row>
    <row r="337" spans="1:12">
      <c r="A337" t="s">
        <v>39</v>
      </c>
      <c r="B337" s="153" t="str">
        <f>Centrocampisti!B64</f>
        <v>LAXALT</v>
      </c>
      <c r="C337" s="153" t="str">
        <f>Centrocampisti!C64</f>
        <v>GEN</v>
      </c>
      <c r="D337" s="166">
        <f t="shared" si="72"/>
        <v>9.5560989527512703</v>
      </c>
      <c r="E337" s="166">
        <f t="shared" si="73"/>
        <v>10.084483923758199</v>
      </c>
      <c r="F337">
        <f t="shared" si="74"/>
        <v>43</v>
      </c>
      <c r="G337">
        <f>IF(ISNA(VLOOKUP(B337,'IA FG'!$B$2:$D$578,3,FALSE)),0,VLOOKUP(B337,'IA FG'!$B$2:$D$578,3,FALSE))</f>
        <v>75</v>
      </c>
      <c r="H337" s="166" t="str">
        <f t="shared" si="75"/>
        <v/>
      </c>
      <c r="I337" s="166">
        <f t="shared" si="76"/>
        <v>90</v>
      </c>
      <c r="J337" s="166" t="str">
        <f t="shared" si="77"/>
        <v/>
      </c>
      <c r="K337" s="166" t="str">
        <f t="shared" si="78"/>
        <v/>
      </c>
      <c r="L337" s="166" t="e">
        <f t="shared" si="79"/>
        <v>#N/A</v>
      </c>
    </row>
    <row r="338" spans="1:12">
      <c r="A338" t="s">
        <v>39</v>
      </c>
      <c r="B338" s="153" t="str">
        <f>Centrocampisti!B65</f>
        <v>BENASSI</v>
      </c>
      <c r="C338" s="153" t="str">
        <f>Centrocampisti!C65</f>
        <v>FIO</v>
      </c>
      <c r="D338" s="166">
        <f t="shared" si="72"/>
        <v>8.9443198735839502</v>
      </c>
      <c r="E338" s="166">
        <f t="shared" si="73"/>
        <v>10.292478261778051</v>
      </c>
      <c r="F338">
        <f t="shared" si="74"/>
        <v>42</v>
      </c>
      <c r="G338">
        <f>IF(ISNA(VLOOKUP(B338,'IA FG'!$B$2:$D$578,3,FALSE)),0,VLOOKUP(B338,'IA FG'!$B$2:$D$578,3,FALSE))</f>
        <v>74</v>
      </c>
      <c r="H338" s="166">
        <f t="shared" si="75"/>
        <v>1</v>
      </c>
      <c r="I338" s="166">
        <f t="shared" si="76"/>
        <v>80</v>
      </c>
      <c r="J338" s="166" t="str">
        <f t="shared" si="77"/>
        <v/>
      </c>
      <c r="K338" s="166" t="str">
        <f t="shared" si="78"/>
        <v/>
      </c>
      <c r="L338" s="166" t="e">
        <f t="shared" si="79"/>
        <v>#N/A</v>
      </c>
    </row>
    <row r="339" spans="1:12">
      <c r="A339" t="s">
        <v>39</v>
      </c>
      <c r="B339" s="153" t="str">
        <f>Centrocampisti!B66</f>
        <v>BARELLA</v>
      </c>
      <c r="C339" s="153" t="str">
        <f>Centrocampisti!C66</f>
        <v>CAG</v>
      </c>
      <c r="D339" s="166">
        <f t="shared" ref="D339:D370" si="80">IF(ISNA(VLOOKUP($B339,TabAlgCen,11,FALSE)),0,VLOOKUP($B339,TabAlgCen,11,FALSE))</f>
        <v>8.8002911666050778</v>
      </c>
      <c r="E339" s="166">
        <f t="shared" ref="E339:E370" si="81">IF(ISNA(VLOOKUP($B339,TabAlgCen,14,FALSE)),0,VLOOKUP($B339,TabAlgCen,14,FALSE))</f>
        <v>9.3402963896742861</v>
      </c>
      <c r="F339">
        <f t="shared" ref="F339:F370" si="82">IF(ISNA(VLOOKUP($B339,TabAlgCen,15,FALSE)),0,VLOOKUP($B339,TabAlgCen,15,FALSE))</f>
        <v>42</v>
      </c>
      <c r="G339">
        <f>IF(ISNA(VLOOKUP(B339,'IA FG'!$B$2:$D$578,3,FALSE)),0,VLOOKUP(B339,'IA FG'!$B$2:$D$578,3,FALSE))</f>
        <v>72</v>
      </c>
      <c r="H339" s="166">
        <f t="shared" ref="H339:H370" si="83">IF(ISNA(VLOOKUP($B339,TabAlgCen,16,FALSE)),"",VLOOKUP($B339,TabAlgCen,16,FALSE))</f>
        <v>1</v>
      </c>
      <c r="I339" s="166">
        <f t="shared" ref="I339:I370" si="84">IF(ISNA(VLOOKUP($B339,TabAlgCen,4,FALSE)),0,VLOOKUP($B339,TabAlgCen,4,FALSE))*10</f>
        <v>80</v>
      </c>
      <c r="J339" s="166" t="str">
        <f t="shared" ref="J339:J370" si="85">IF(ISNA(VLOOKUP($B339,TabAlgCen,17,FALSE)),"",VLOOKUP($B339,TabAlgCen,17,FALSE))</f>
        <v/>
      </c>
      <c r="K339" s="166" t="str">
        <f t="shared" ref="K339:K370" si="86">IF(ISNA(VLOOKUP($B339,TabAlgCen,18,FALSE)),"",VLOOKUP($B339,TabAlgCen,18,FALSE))</f>
        <v/>
      </c>
      <c r="L339" s="166" t="e">
        <f t="shared" ref="L339:L370" si="87">VLOOKUP($B339,TabAlgCen,19,FALSE)</f>
        <v>#N/A</v>
      </c>
    </row>
    <row r="340" spans="1:12">
      <c r="A340" t="s">
        <v>39</v>
      </c>
      <c r="B340" s="153" t="str">
        <f>Centrocampisti!B67</f>
        <v>FOFANA</v>
      </c>
      <c r="C340" s="153" t="str">
        <f>Centrocampisti!C67</f>
        <v>UDI</v>
      </c>
      <c r="D340" s="166">
        <f t="shared" si="80"/>
        <v>8.5437828979856079</v>
      </c>
      <c r="E340" s="166">
        <f t="shared" si="81"/>
        <v>9.8980993870910865</v>
      </c>
      <c r="F340">
        <f t="shared" si="82"/>
        <v>43</v>
      </c>
      <c r="G340">
        <f>IF(ISNA(VLOOKUP(B340,'IA FG'!$B$2:$D$578,3,FALSE)),0,VLOOKUP(B340,'IA FG'!$B$2:$D$578,3,FALSE))</f>
        <v>77</v>
      </c>
      <c r="H340" s="166">
        <f t="shared" si="83"/>
        <v>1</v>
      </c>
      <c r="I340" s="166">
        <f t="shared" si="84"/>
        <v>90</v>
      </c>
      <c r="J340" s="166" t="str">
        <f t="shared" si="85"/>
        <v/>
      </c>
      <c r="K340" s="166" t="str">
        <f t="shared" si="86"/>
        <v/>
      </c>
      <c r="L340" s="166" t="e">
        <f t="shared" si="87"/>
        <v>#N/A</v>
      </c>
    </row>
    <row r="341" spans="1:12">
      <c r="A341" t="s">
        <v>39</v>
      </c>
      <c r="B341" s="153" t="str">
        <f>Centrocampisti!B68</f>
        <v>JANKTO</v>
      </c>
      <c r="C341" s="153" t="str">
        <f>Centrocampisti!C68</f>
        <v>UDI</v>
      </c>
      <c r="D341" s="166">
        <f t="shared" si="80"/>
        <v>8.5437828979856079</v>
      </c>
      <c r="E341" s="166">
        <f t="shared" si="81"/>
        <v>9.8980993870910865</v>
      </c>
      <c r="F341">
        <f t="shared" si="82"/>
        <v>43</v>
      </c>
      <c r="G341">
        <f>IF(ISNA(VLOOKUP(B341,'IA FG'!$B$2:$D$578,3,FALSE)),0,VLOOKUP(B341,'IA FG'!$B$2:$D$578,3,FALSE))</f>
        <v>80</v>
      </c>
      <c r="H341" s="166">
        <f t="shared" si="83"/>
        <v>0</v>
      </c>
      <c r="I341" s="166">
        <f t="shared" si="84"/>
        <v>90</v>
      </c>
      <c r="J341" s="166" t="str">
        <f t="shared" si="85"/>
        <v/>
      </c>
      <c r="K341" s="166" t="str">
        <f t="shared" si="86"/>
        <v/>
      </c>
      <c r="L341" s="166">
        <f t="shared" si="87"/>
        <v>2</v>
      </c>
    </row>
    <row r="342" spans="1:12">
      <c r="A342" t="s">
        <v>39</v>
      </c>
      <c r="B342" s="153" t="str">
        <f>Centrocampisti!B69</f>
        <v>CIGARINI</v>
      </c>
      <c r="C342" s="153" t="str">
        <f>Centrocampisti!C69</f>
        <v>CAG</v>
      </c>
      <c r="D342" s="166">
        <f t="shared" si="80"/>
        <v>8.1602550268305123</v>
      </c>
      <c r="E342" s="166">
        <f t="shared" si="81"/>
        <v>9.5204681084524907</v>
      </c>
      <c r="F342">
        <f t="shared" si="82"/>
        <v>42</v>
      </c>
      <c r="G342">
        <f>IF(ISNA(VLOOKUP(B342,'IA FG'!$B$2:$D$578,3,FALSE)),0,VLOOKUP(B342,'IA FG'!$B$2:$D$578,3,FALSE))</f>
        <v>73</v>
      </c>
      <c r="H342" s="166">
        <f t="shared" si="83"/>
        <v>0</v>
      </c>
      <c r="I342" s="166">
        <f t="shared" si="84"/>
        <v>90</v>
      </c>
      <c r="J342" s="166" t="str">
        <f t="shared" si="85"/>
        <v/>
      </c>
      <c r="K342" s="166">
        <f t="shared" si="86"/>
        <v>1</v>
      </c>
      <c r="L342" s="166">
        <f t="shared" si="87"/>
        <v>1</v>
      </c>
    </row>
    <row r="343" spans="1:12">
      <c r="A343" t="s">
        <v>39</v>
      </c>
      <c r="B343" s="153" t="str">
        <f>Centrocampisti!B70</f>
        <v>ACQUAH</v>
      </c>
      <c r="C343" s="153" t="str">
        <f>Centrocampisti!C70</f>
        <v>TOR</v>
      </c>
      <c r="D343" s="166">
        <f t="shared" si="80"/>
        <v>5.9839126792814596</v>
      </c>
      <c r="E343" s="166">
        <f t="shared" si="81"/>
        <v>7.3775861818145927</v>
      </c>
      <c r="F343">
        <f t="shared" si="82"/>
        <v>39</v>
      </c>
      <c r="G343">
        <f>IF(ISNA(VLOOKUP(B343,'IA FG'!$B$2:$D$578,3,FALSE)),0,VLOOKUP(B343,'IA FG'!$B$2:$D$578,3,FALSE))</f>
        <v>68</v>
      </c>
      <c r="H343" s="166" t="str">
        <f t="shared" si="83"/>
        <v/>
      </c>
      <c r="I343" s="166">
        <f t="shared" si="84"/>
        <v>70</v>
      </c>
      <c r="J343" s="166" t="str">
        <f t="shared" si="85"/>
        <v/>
      </c>
      <c r="K343" s="166" t="str">
        <f t="shared" si="86"/>
        <v/>
      </c>
      <c r="L343" s="166" t="e">
        <f t="shared" si="87"/>
        <v>#N/A</v>
      </c>
    </row>
    <row r="344" spans="1:12">
      <c r="A344" t="s">
        <v>39</v>
      </c>
      <c r="B344" s="153" t="str">
        <f>Centrocampisti!B71</f>
        <v>LAZOVIC</v>
      </c>
      <c r="C344" s="153" t="str">
        <f>Centrocampisti!C71</f>
        <v>GEN</v>
      </c>
      <c r="D344" s="166">
        <f t="shared" si="80"/>
        <v>5.9210887289992797</v>
      </c>
      <c r="E344" s="166">
        <f t="shared" si="81"/>
        <v>7.315728125442476</v>
      </c>
      <c r="F344">
        <f t="shared" si="82"/>
        <v>42</v>
      </c>
      <c r="G344">
        <f>IF(ISNA(VLOOKUP(B344,'IA FG'!$B$2:$D$578,3,FALSE)),0,VLOOKUP(B344,'IA FG'!$B$2:$D$578,3,FALSE))</f>
        <v>70</v>
      </c>
      <c r="H344" s="166" t="str">
        <f t="shared" si="83"/>
        <v/>
      </c>
      <c r="I344" s="166">
        <f t="shared" si="84"/>
        <v>80</v>
      </c>
      <c r="J344" s="166" t="str">
        <f t="shared" si="85"/>
        <v/>
      </c>
      <c r="K344" s="166" t="str">
        <f t="shared" si="86"/>
        <v/>
      </c>
      <c r="L344" s="166">
        <f t="shared" si="87"/>
        <v>2</v>
      </c>
    </row>
    <row r="345" spans="1:12">
      <c r="A345" t="s">
        <v>39</v>
      </c>
      <c r="B345" s="153" t="str">
        <f>Centrocampisti!B72</f>
        <v>CASTRO</v>
      </c>
      <c r="C345" s="153" t="str">
        <f>Centrocampisti!C72</f>
        <v>CHI</v>
      </c>
      <c r="D345" s="166">
        <f t="shared" si="80"/>
        <v>5.7954408284348631</v>
      </c>
      <c r="E345" s="166">
        <f t="shared" si="81"/>
        <v>6.2465832035172184</v>
      </c>
      <c r="F345">
        <f t="shared" si="82"/>
        <v>43</v>
      </c>
      <c r="G345">
        <f>IF(ISNA(VLOOKUP(B345,'IA FG'!$B$2:$D$578,3,FALSE)),0,VLOOKUP(B345,'IA FG'!$B$2:$D$578,3,FALSE))</f>
        <v>76</v>
      </c>
      <c r="H345" s="166">
        <f t="shared" si="83"/>
        <v>1</v>
      </c>
      <c r="I345" s="166">
        <f t="shared" si="84"/>
        <v>90</v>
      </c>
      <c r="J345" s="166" t="str">
        <f t="shared" si="85"/>
        <v/>
      </c>
      <c r="K345" s="166" t="str">
        <f t="shared" si="86"/>
        <v/>
      </c>
      <c r="L345" s="166">
        <f t="shared" si="87"/>
        <v>2</v>
      </c>
    </row>
    <row r="346" spans="1:12">
      <c r="A346" t="s">
        <v>39</v>
      </c>
      <c r="B346" s="153" t="str">
        <f>Centrocampisti!B73</f>
        <v>BADELJ</v>
      </c>
      <c r="C346" s="153" t="str">
        <f>Centrocampisti!C73</f>
        <v>FIO</v>
      </c>
      <c r="D346" s="166">
        <f t="shared" si="80"/>
        <v>5.5951723406356848</v>
      </c>
      <c r="E346" s="166">
        <f t="shared" si="81"/>
        <v>6.1844550246281926</v>
      </c>
      <c r="F346">
        <f t="shared" si="82"/>
        <v>41</v>
      </c>
      <c r="G346">
        <f>IF(ISNA(VLOOKUP(B346,'IA FG'!$B$2:$D$578,3,FALSE)),0,VLOOKUP(B346,'IA FG'!$B$2:$D$578,3,FALSE))</f>
        <v>75</v>
      </c>
      <c r="H346" s="166" t="str">
        <f t="shared" si="83"/>
        <v/>
      </c>
      <c r="I346" s="166">
        <f t="shared" si="84"/>
        <v>80</v>
      </c>
      <c r="J346" s="166" t="str">
        <f t="shared" si="85"/>
        <v/>
      </c>
      <c r="K346" s="166" t="str">
        <f t="shared" si="86"/>
        <v/>
      </c>
      <c r="L346" s="166" t="e">
        <f t="shared" si="87"/>
        <v>#N/A</v>
      </c>
    </row>
    <row r="347" spans="1:12">
      <c r="A347" t="s">
        <v>39</v>
      </c>
      <c r="B347" s="153" t="str">
        <f>Centrocampisti!B74</f>
        <v>VERETOUT</v>
      </c>
      <c r="C347" s="153" t="str">
        <f>Centrocampisti!C74</f>
        <v>FIO</v>
      </c>
      <c r="D347" s="166">
        <f t="shared" si="80"/>
        <v>4.8635065091830967</v>
      </c>
      <c r="E347" s="166">
        <f t="shared" si="81"/>
        <v>6.4094670812132932</v>
      </c>
      <c r="F347">
        <f t="shared" si="82"/>
        <v>41</v>
      </c>
      <c r="G347">
        <f>IF(ISNA(VLOOKUP(B347,'IA FG'!$B$2:$D$578,3,FALSE)),0,VLOOKUP(B347,'IA FG'!$B$2:$D$578,3,FALSE))</f>
        <v>73</v>
      </c>
      <c r="H347" s="166" t="str">
        <f t="shared" si="83"/>
        <v/>
      </c>
      <c r="I347" s="166">
        <f t="shared" si="84"/>
        <v>80</v>
      </c>
      <c r="J347" s="166" t="str">
        <f t="shared" si="85"/>
        <v/>
      </c>
      <c r="K347" s="166" t="str">
        <f t="shared" si="86"/>
        <v/>
      </c>
      <c r="L347" s="166" t="e">
        <f t="shared" si="87"/>
        <v>#N/A</v>
      </c>
    </row>
    <row r="348" spans="1:12">
      <c r="A348" t="s">
        <v>39</v>
      </c>
      <c r="B348" s="153" t="str">
        <f>Centrocampisti!B75</f>
        <v>IONITA</v>
      </c>
      <c r="C348" s="153" t="str">
        <f>Centrocampisti!C75</f>
        <v>CAG</v>
      </c>
      <c r="D348" s="166">
        <f t="shared" si="80"/>
        <v>4.8338777466045855</v>
      </c>
      <c r="E348" s="166">
        <f t="shared" si="81"/>
        <v>6.2452325909326731</v>
      </c>
      <c r="F348">
        <f t="shared" si="82"/>
        <v>41</v>
      </c>
      <c r="G348">
        <f>IF(ISNA(VLOOKUP(B348,'IA FG'!$B$2:$D$578,3,FALSE)),0,VLOOKUP(B348,'IA FG'!$B$2:$D$578,3,FALSE))</f>
        <v>76</v>
      </c>
      <c r="H348" s="166" t="str">
        <f t="shared" si="83"/>
        <v/>
      </c>
      <c r="I348" s="166">
        <f t="shared" si="84"/>
        <v>80</v>
      </c>
      <c r="J348" s="166" t="str">
        <f t="shared" si="85"/>
        <v/>
      </c>
      <c r="K348" s="166" t="str">
        <f t="shared" si="86"/>
        <v/>
      </c>
      <c r="L348" s="166" t="e">
        <f t="shared" si="87"/>
        <v>#N/A</v>
      </c>
    </row>
    <row r="349" spans="1:12">
      <c r="A349" t="s">
        <v>39</v>
      </c>
      <c r="B349" s="153" t="str">
        <f>Centrocampisti!B76</f>
        <v>HAAS</v>
      </c>
      <c r="C349" s="153" t="str">
        <f>Centrocampisti!C76</f>
        <v>ATA</v>
      </c>
      <c r="D349" s="166">
        <f t="shared" si="80"/>
        <v>3.4849460280997988</v>
      </c>
      <c r="E349" s="166">
        <f t="shared" si="81"/>
        <v>4.2417338830197338</v>
      </c>
      <c r="F349">
        <f t="shared" si="82"/>
        <v>38</v>
      </c>
      <c r="G349">
        <f>IF(ISNA(VLOOKUP(B349,'IA FG'!$B$2:$D$578,3,FALSE)),0,VLOOKUP(B349,'IA FG'!$B$2:$D$578,3,FALSE))</f>
        <v>63</v>
      </c>
      <c r="H349" s="166" t="str">
        <f t="shared" si="83"/>
        <v/>
      </c>
      <c r="I349" s="166">
        <f t="shared" si="84"/>
        <v>50</v>
      </c>
      <c r="J349" s="166" t="str">
        <f t="shared" si="85"/>
        <v/>
      </c>
      <c r="K349" s="166" t="str">
        <f t="shared" si="86"/>
        <v/>
      </c>
      <c r="L349" s="166" t="e">
        <f t="shared" si="87"/>
        <v>#N/A</v>
      </c>
    </row>
    <row r="350" spans="1:12">
      <c r="A350" t="s">
        <v>39</v>
      </c>
      <c r="B350" s="153" t="str">
        <f>Centrocampisti!B77</f>
        <v>LOCATELLI M</v>
      </c>
      <c r="C350" s="153" t="str">
        <f>Centrocampisti!C77</f>
        <v>MIL</v>
      </c>
      <c r="D350" s="166">
        <f t="shared" si="80"/>
        <v>3.469034285233576</v>
      </c>
      <c r="E350" s="166">
        <f t="shared" si="81"/>
        <v>5.0364343277655763</v>
      </c>
      <c r="F350">
        <f t="shared" si="82"/>
        <v>37</v>
      </c>
      <c r="G350">
        <f>IF(ISNA(VLOOKUP(B350,'IA FG'!$B$2:$D$578,3,FALSE)),0,VLOOKUP(B350,'IA FG'!$B$2:$D$578,3,FALSE))</f>
        <v>64</v>
      </c>
      <c r="H350" s="166" t="str">
        <f t="shared" si="83"/>
        <v/>
      </c>
      <c r="I350" s="166">
        <f t="shared" si="84"/>
        <v>50</v>
      </c>
      <c r="J350" s="166" t="str">
        <f t="shared" si="85"/>
        <v/>
      </c>
      <c r="K350" s="166" t="str">
        <f t="shared" si="86"/>
        <v/>
      </c>
      <c r="L350" s="166" t="e">
        <f t="shared" si="87"/>
        <v>#N/A</v>
      </c>
    </row>
    <row r="351" spans="1:12">
      <c r="A351" t="s">
        <v>39</v>
      </c>
      <c r="B351" s="153" t="str">
        <f>Centrocampisti!B78</f>
        <v>GONALONS</v>
      </c>
      <c r="C351" s="153" t="str">
        <f>Centrocampisti!C78</f>
        <v>ROM</v>
      </c>
      <c r="D351" s="166">
        <f t="shared" si="80"/>
        <v>2.824060018362502</v>
      </c>
      <c r="E351" s="166">
        <f t="shared" si="81"/>
        <v>4.536437548967271</v>
      </c>
      <c r="F351">
        <f t="shared" si="82"/>
        <v>35</v>
      </c>
      <c r="G351">
        <f>IF(ISNA(VLOOKUP(B351,'IA FG'!$B$2:$D$578,3,FALSE)),0,VLOOKUP(B351,'IA FG'!$B$2:$D$578,3,FALSE))</f>
        <v>70</v>
      </c>
      <c r="H351" s="166">
        <f t="shared" si="83"/>
        <v>-1</v>
      </c>
      <c r="I351" s="166">
        <f t="shared" si="84"/>
        <v>60</v>
      </c>
      <c r="J351" s="166" t="str">
        <f t="shared" si="85"/>
        <v/>
      </c>
      <c r="K351" s="166">
        <f t="shared" si="86"/>
        <v>4</v>
      </c>
      <c r="L351" s="166" t="e">
        <f t="shared" si="87"/>
        <v>#N/A</v>
      </c>
    </row>
    <row r="352" spans="1:12">
      <c r="A352" t="s">
        <v>39</v>
      </c>
      <c r="B352" s="153" t="str">
        <f>Centrocampisti!B79</f>
        <v>PRAET</v>
      </c>
      <c r="C352" s="153" t="str">
        <f>Centrocampisti!C79</f>
        <v>SAM</v>
      </c>
      <c r="D352" s="166">
        <f t="shared" si="80"/>
        <v>2.3244861604415519</v>
      </c>
      <c r="E352" s="166">
        <f t="shared" si="81"/>
        <v>2.9640543780408137</v>
      </c>
      <c r="F352">
        <f t="shared" si="82"/>
        <v>40</v>
      </c>
      <c r="G352">
        <f>IF(ISNA(VLOOKUP(B352,'IA FG'!$B$2:$D$578,3,FALSE)),0,VLOOKUP(B352,'IA FG'!$B$2:$D$578,3,FALSE))</f>
        <v>78</v>
      </c>
      <c r="H352" s="166">
        <f t="shared" si="83"/>
        <v>0</v>
      </c>
      <c r="I352" s="166">
        <f t="shared" si="84"/>
        <v>60</v>
      </c>
      <c r="J352" s="166" t="str">
        <f t="shared" si="85"/>
        <v/>
      </c>
      <c r="K352" s="166">
        <f t="shared" si="86"/>
        <v>4</v>
      </c>
      <c r="L352" s="166" t="e">
        <f t="shared" si="87"/>
        <v>#N/A</v>
      </c>
    </row>
    <row r="353" spans="1:12">
      <c r="A353" t="s">
        <v>39</v>
      </c>
      <c r="B353" s="153" t="str">
        <f>Centrocampisti!B80</f>
        <v>BARRETO E</v>
      </c>
      <c r="C353" s="153" t="str">
        <f>Centrocampisti!C80</f>
        <v>SAM</v>
      </c>
      <c r="D353" s="166">
        <f t="shared" si="80"/>
        <v>1.9930829641930927</v>
      </c>
      <c r="E353" s="166">
        <f t="shared" si="81"/>
        <v>2.6377463776149455</v>
      </c>
      <c r="F353">
        <f t="shared" si="82"/>
        <v>40</v>
      </c>
      <c r="G353">
        <f>IF(ISNA(VLOOKUP(B353,'IA FG'!$B$2:$D$578,3,FALSE)),0,VLOOKUP(B353,'IA FG'!$B$2:$D$578,3,FALSE))</f>
        <v>74</v>
      </c>
      <c r="H353" s="166" t="str">
        <f t="shared" si="83"/>
        <v/>
      </c>
      <c r="I353" s="166">
        <f t="shared" si="84"/>
        <v>70</v>
      </c>
      <c r="J353" s="166" t="str">
        <f t="shared" si="85"/>
        <v/>
      </c>
      <c r="K353" s="166" t="str">
        <f t="shared" si="86"/>
        <v/>
      </c>
      <c r="L353" s="166" t="e">
        <f t="shared" si="87"/>
        <v>#N/A</v>
      </c>
    </row>
    <row r="354" spans="1:12">
      <c r="A354" t="s">
        <v>39</v>
      </c>
      <c r="B354" s="153" t="str">
        <f>Centrocampisti!B81</f>
        <v>DUNCAN</v>
      </c>
      <c r="C354" s="153" t="str">
        <f>Centrocampisti!C81</f>
        <v>SAS</v>
      </c>
      <c r="D354" s="166">
        <f t="shared" si="80"/>
        <v>1.4177911574604281</v>
      </c>
      <c r="E354" s="166">
        <f t="shared" si="81"/>
        <v>2.0712994596570837</v>
      </c>
      <c r="F354">
        <f t="shared" si="82"/>
        <v>41</v>
      </c>
      <c r="G354">
        <f>IF(ISNA(VLOOKUP(B354,'IA FG'!$B$2:$D$578,3,FALSE)),0,VLOOKUP(B354,'IA FG'!$B$2:$D$578,3,FALSE))</f>
        <v>75</v>
      </c>
      <c r="H354" s="166" t="str">
        <f t="shared" si="83"/>
        <v/>
      </c>
      <c r="I354" s="166">
        <f t="shared" si="84"/>
        <v>70</v>
      </c>
      <c r="J354" s="166" t="str">
        <f t="shared" si="85"/>
        <v/>
      </c>
      <c r="K354" s="166" t="str">
        <f t="shared" si="86"/>
        <v/>
      </c>
      <c r="L354" s="166" t="e">
        <f t="shared" si="87"/>
        <v>#N/A</v>
      </c>
    </row>
    <row r="355" spans="1:12">
      <c r="A355" t="s">
        <v>39</v>
      </c>
      <c r="B355" s="153" t="str">
        <f>Centrocampisti!B82</f>
        <v>STURARO</v>
      </c>
      <c r="C355" s="153" t="str">
        <f>Centrocampisti!C82</f>
        <v>JUV</v>
      </c>
      <c r="D355" s="166">
        <f t="shared" si="80"/>
        <v>1</v>
      </c>
      <c r="E355" s="166">
        <f t="shared" si="81"/>
        <v>1</v>
      </c>
      <c r="F355">
        <f t="shared" si="82"/>
        <v>34</v>
      </c>
      <c r="G355">
        <f>IF(ISNA(VLOOKUP(B355,'IA FG'!$B$2:$D$578,3,FALSE)),0,VLOOKUP(B355,'IA FG'!$B$2:$D$578,3,FALSE))</f>
        <v>60</v>
      </c>
      <c r="H355" s="166" t="str">
        <f t="shared" si="83"/>
        <v/>
      </c>
      <c r="I355" s="166">
        <f t="shared" si="84"/>
        <v>50</v>
      </c>
      <c r="J355" s="166" t="str">
        <f t="shared" si="85"/>
        <v/>
      </c>
      <c r="K355" s="166" t="str">
        <f t="shared" si="86"/>
        <v/>
      </c>
      <c r="L355" s="166" t="e">
        <f t="shared" si="87"/>
        <v>#N/A</v>
      </c>
    </row>
    <row r="356" spans="1:12">
      <c r="A356" t="s">
        <v>39</v>
      </c>
      <c r="B356" s="153" t="str">
        <f>Centrocampisti!B83</f>
        <v>BESSA</v>
      </c>
      <c r="C356" s="153" t="str">
        <f>Centrocampisti!C83</f>
        <v>VER</v>
      </c>
      <c r="D356" s="166">
        <f t="shared" si="80"/>
        <v>1</v>
      </c>
      <c r="E356" s="166">
        <f t="shared" si="81"/>
        <v>1</v>
      </c>
      <c r="F356">
        <f t="shared" si="82"/>
        <v>42</v>
      </c>
      <c r="G356">
        <f>IF(ISNA(VLOOKUP(B356,'IA FG'!$B$2:$D$578,3,FALSE)),0,VLOOKUP(B356,'IA FG'!$B$2:$D$578,3,FALSE))</f>
        <v>75</v>
      </c>
      <c r="H356" s="166">
        <f t="shared" si="83"/>
        <v>1</v>
      </c>
      <c r="I356" s="166">
        <f t="shared" si="84"/>
        <v>80</v>
      </c>
      <c r="J356" s="166">
        <f t="shared" si="85"/>
        <v>3</v>
      </c>
      <c r="K356" s="166">
        <f t="shared" si="86"/>
        <v>1</v>
      </c>
      <c r="L356" s="166">
        <f t="shared" si="87"/>
        <v>1</v>
      </c>
    </row>
    <row r="357" spans="1:12">
      <c r="A357" t="s">
        <v>39</v>
      </c>
      <c r="B357" s="153" t="str">
        <f>Centrocampisti!B84</f>
        <v>MIGUEL VELOSO</v>
      </c>
      <c r="C357" s="153" t="str">
        <f>Centrocampisti!C84</f>
        <v>GEN</v>
      </c>
      <c r="D357" s="166">
        <f t="shared" si="80"/>
        <v>1</v>
      </c>
      <c r="E357" s="166">
        <f t="shared" si="81"/>
        <v>1</v>
      </c>
      <c r="F357">
        <f t="shared" si="82"/>
        <v>40</v>
      </c>
      <c r="G357">
        <f>IF(ISNA(VLOOKUP(B357,'IA FG'!$B$2:$D$578,3,FALSE)),0,VLOOKUP(B357,'IA FG'!$B$2:$D$578,3,FALSE))</f>
        <v>71</v>
      </c>
      <c r="H357" s="166" t="str">
        <f t="shared" si="83"/>
        <v/>
      </c>
      <c r="I357" s="166">
        <f t="shared" si="84"/>
        <v>80</v>
      </c>
      <c r="J357" s="166">
        <f t="shared" si="85"/>
        <v>2</v>
      </c>
      <c r="K357" s="166">
        <f t="shared" si="86"/>
        <v>1</v>
      </c>
      <c r="L357" s="166">
        <f t="shared" si="87"/>
        <v>1</v>
      </c>
    </row>
    <row r="358" spans="1:12">
      <c r="A358" t="s">
        <v>39</v>
      </c>
      <c r="B358" s="153" t="str">
        <f>Centrocampisti!B85</f>
        <v>STOIAN</v>
      </c>
      <c r="C358" s="153" t="str">
        <f>Centrocampisti!C85</f>
        <v>CRO</v>
      </c>
      <c r="D358" s="166">
        <f t="shared" si="80"/>
        <v>1</v>
      </c>
      <c r="E358" s="166">
        <f t="shared" si="81"/>
        <v>1</v>
      </c>
      <c r="F358">
        <f t="shared" si="82"/>
        <v>42</v>
      </c>
      <c r="G358">
        <f>IF(ISNA(VLOOKUP(B358,'IA FG'!$B$2:$D$578,3,FALSE)),0,VLOOKUP(B358,'IA FG'!$B$2:$D$578,3,FALSE))</f>
        <v>67</v>
      </c>
      <c r="H358" s="166">
        <f t="shared" si="83"/>
        <v>0</v>
      </c>
      <c r="I358" s="166">
        <f t="shared" si="84"/>
        <v>70</v>
      </c>
      <c r="J358" s="166">
        <f t="shared" si="85"/>
        <v>3</v>
      </c>
      <c r="K358" s="166">
        <f t="shared" si="86"/>
        <v>3</v>
      </c>
      <c r="L358" s="166">
        <f t="shared" si="87"/>
        <v>2</v>
      </c>
    </row>
    <row r="359" spans="1:12">
      <c r="A359" t="s">
        <v>39</v>
      </c>
      <c r="B359" s="153" t="str">
        <f>Centrocampisti!B86</f>
        <v>ROHDEN</v>
      </c>
      <c r="C359" s="153" t="str">
        <f>Centrocampisti!C86</f>
        <v>CRO</v>
      </c>
      <c r="D359" s="166">
        <f t="shared" si="80"/>
        <v>1</v>
      </c>
      <c r="E359" s="166">
        <f t="shared" si="81"/>
        <v>1</v>
      </c>
      <c r="F359">
        <f t="shared" si="82"/>
        <v>42</v>
      </c>
      <c r="G359">
        <f>IF(ISNA(VLOOKUP(B359,'IA FG'!$B$2:$D$578,3,FALSE)),0,VLOOKUP(B359,'IA FG'!$B$2:$D$578,3,FALSE))</f>
        <v>68</v>
      </c>
      <c r="H359" s="166" t="str">
        <f t="shared" si="83"/>
        <v/>
      </c>
      <c r="I359" s="166">
        <f t="shared" si="84"/>
        <v>80</v>
      </c>
      <c r="J359" s="166" t="str">
        <f t="shared" si="85"/>
        <v/>
      </c>
      <c r="K359" s="166" t="str">
        <f t="shared" si="86"/>
        <v/>
      </c>
      <c r="L359" s="166" t="e">
        <f t="shared" si="87"/>
        <v>#N/A</v>
      </c>
    </row>
    <row r="360" spans="1:12">
      <c r="A360" t="s">
        <v>39</v>
      </c>
      <c r="B360" s="153" t="str">
        <f>Centrocampisti!B87</f>
        <v>BARBERIS</v>
      </c>
      <c r="C360" s="153" t="str">
        <f>Centrocampisti!C87</f>
        <v>CRO</v>
      </c>
      <c r="D360" s="166">
        <f t="shared" si="80"/>
        <v>1</v>
      </c>
      <c r="E360" s="166">
        <f t="shared" si="81"/>
        <v>1</v>
      </c>
      <c r="F360">
        <f t="shared" si="82"/>
        <v>42</v>
      </c>
      <c r="G360">
        <f>IF(ISNA(VLOOKUP(B360,'IA FG'!$B$2:$D$578,3,FALSE)),0,VLOOKUP(B360,'IA FG'!$B$2:$D$578,3,FALSE))</f>
        <v>73</v>
      </c>
      <c r="H360" s="166" t="str">
        <f t="shared" si="83"/>
        <v/>
      </c>
      <c r="I360" s="166">
        <f t="shared" si="84"/>
        <v>80</v>
      </c>
      <c r="J360" s="166" t="str">
        <f t="shared" si="85"/>
        <v/>
      </c>
      <c r="K360" s="166">
        <f t="shared" si="86"/>
        <v>1</v>
      </c>
      <c r="L360" s="166">
        <f t="shared" si="87"/>
        <v>1</v>
      </c>
    </row>
    <row r="361" spans="1:12">
      <c r="A361" t="s">
        <v>39</v>
      </c>
      <c r="B361" s="153" t="str">
        <f>Centrocampisti!B88</f>
        <v>KREJCI</v>
      </c>
      <c r="C361" s="153" t="str">
        <f>Centrocampisti!C88</f>
        <v>BOL</v>
      </c>
      <c r="D361" s="166">
        <f t="shared" si="80"/>
        <v>1</v>
      </c>
      <c r="E361" s="166">
        <f t="shared" si="81"/>
        <v>1</v>
      </c>
      <c r="F361">
        <f t="shared" si="82"/>
        <v>41</v>
      </c>
      <c r="G361">
        <f>IF(ISNA(VLOOKUP(B361,'IA FG'!$B$2:$D$578,3,FALSE)),0,VLOOKUP(B361,'IA FG'!$B$2:$D$578,3,FALSE))</f>
        <v>78</v>
      </c>
      <c r="H361" s="166">
        <f t="shared" si="83"/>
        <v>1</v>
      </c>
      <c r="I361" s="166">
        <f t="shared" si="84"/>
        <v>80</v>
      </c>
      <c r="J361" s="166">
        <f t="shared" si="85"/>
        <v>3</v>
      </c>
      <c r="K361" s="166">
        <f t="shared" si="86"/>
        <v>2</v>
      </c>
      <c r="L361" s="166">
        <f t="shared" si="87"/>
        <v>2</v>
      </c>
    </row>
    <row r="362" spans="1:12">
      <c r="A362" t="s">
        <v>39</v>
      </c>
      <c r="B362" s="153" t="str">
        <f>Centrocampisti!B89</f>
        <v>DJURICIC</v>
      </c>
      <c r="C362" s="153" t="str">
        <f>Centrocampisti!C89</f>
        <v>SAM</v>
      </c>
      <c r="D362" s="166">
        <f t="shared" si="80"/>
        <v>1</v>
      </c>
      <c r="E362" s="166">
        <f t="shared" si="81"/>
        <v>1</v>
      </c>
      <c r="F362">
        <f t="shared" si="82"/>
        <v>38</v>
      </c>
      <c r="G362">
        <f>IF(ISNA(VLOOKUP(B362,'IA FG'!$B$2:$D$578,3,FALSE)),0,VLOOKUP(B362,'IA FG'!$B$2:$D$578,3,FALSE))</f>
        <v>68</v>
      </c>
      <c r="H362" s="166" t="str">
        <f t="shared" si="83"/>
        <v/>
      </c>
      <c r="I362" s="166">
        <f t="shared" si="84"/>
        <v>50</v>
      </c>
      <c r="J362" s="166" t="str">
        <f t="shared" si="85"/>
        <v/>
      </c>
      <c r="K362" s="166" t="str">
        <f t="shared" si="86"/>
        <v/>
      </c>
      <c r="L362" s="166" t="e">
        <f t="shared" si="87"/>
        <v>#N/A</v>
      </c>
    </row>
    <row r="363" spans="1:12">
      <c r="A363" t="s">
        <v>39</v>
      </c>
      <c r="B363" s="153" t="str">
        <f>Centrocampisti!B90</f>
        <v>SENSI</v>
      </c>
      <c r="C363" s="153" t="str">
        <f>Centrocampisti!C90</f>
        <v>SAS</v>
      </c>
      <c r="D363" s="166">
        <f t="shared" si="80"/>
        <v>1</v>
      </c>
      <c r="E363" s="166">
        <f t="shared" si="81"/>
        <v>1</v>
      </c>
      <c r="F363">
        <f t="shared" si="82"/>
        <v>39</v>
      </c>
      <c r="G363">
        <f>IF(ISNA(VLOOKUP(B363,'IA FG'!$B$2:$D$578,3,FALSE)),0,VLOOKUP(B363,'IA FG'!$B$2:$D$578,3,FALSE))</f>
        <v>69</v>
      </c>
      <c r="H363" s="166">
        <f t="shared" si="83"/>
        <v>0</v>
      </c>
      <c r="I363" s="166">
        <f t="shared" si="84"/>
        <v>60</v>
      </c>
      <c r="J363" s="166" t="str">
        <f t="shared" si="85"/>
        <v/>
      </c>
      <c r="K363" s="166">
        <f t="shared" si="86"/>
        <v>3</v>
      </c>
      <c r="L363" s="166" t="e">
        <f t="shared" si="87"/>
        <v>#N/A</v>
      </c>
    </row>
    <row r="364" spans="1:12">
      <c r="A364" t="s">
        <v>39</v>
      </c>
      <c r="B364" s="153" t="str">
        <f>Centrocampisti!B91</f>
        <v>MISSIROLI</v>
      </c>
      <c r="C364" s="153" t="str">
        <f>Centrocampisti!C91</f>
        <v>SAS</v>
      </c>
      <c r="D364" s="166">
        <f t="shared" si="80"/>
        <v>1</v>
      </c>
      <c r="E364" s="166">
        <f t="shared" si="81"/>
        <v>1</v>
      </c>
      <c r="F364">
        <f t="shared" si="82"/>
        <v>39</v>
      </c>
      <c r="G364">
        <f>IF(ISNA(VLOOKUP(B364,'IA FG'!$B$2:$D$578,3,FALSE)),0,VLOOKUP(B364,'IA FG'!$B$2:$D$578,3,FALSE))</f>
        <v>72</v>
      </c>
      <c r="H364" s="166">
        <f t="shared" si="83"/>
        <v>-1</v>
      </c>
      <c r="I364" s="166">
        <f t="shared" si="84"/>
        <v>70</v>
      </c>
      <c r="J364" s="166" t="str">
        <f t="shared" si="85"/>
        <v/>
      </c>
      <c r="K364" s="166" t="str">
        <f t="shared" si="86"/>
        <v/>
      </c>
      <c r="L364" s="166" t="e">
        <f t="shared" si="87"/>
        <v>#N/A</v>
      </c>
    </row>
    <row r="365" spans="1:12">
      <c r="A365" t="s">
        <v>39</v>
      </c>
      <c r="B365" s="153" t="str">
        <f>Centrocampisti!B92</f>
        <v>POLI</v>
      </c>
      <c r="C365" s="153" t="str">
        <f>Centrocampisti!C92</f>
        <v>BOL</v>
      </c>
      <c r="D365" s="166">
        <f t="shared" si="80"/>
        <v>1</v>
      </c>
      <c r="E365" s="166">
        <f t="shared" si="81"/>
        <v>1</v>
      </c>
      <c r="F365">
        <f t="shared" si="82"/>
        <v>40</v>
      </c>
      <c r="G365">
        <f>IF(ISNA(VLOOKUP(B365,'IA FG'!$B$2:$D$578,3,FALSE)),0,VLOOKUP(B365,'IA FG'!$B$2:$D$578,3,FALSE))</f>
        <v>72</v>
      </c>
      <c r="H365" s="166" t="str">
        <f t="shared" si="83"/>
        <v/>
      </c>
      <c r="I365" s="166">
        <f t="shared" si="84"/>
        <v>80</v>
      </c>
      <c r="J365" s="166" t="str">
        <f t="shared" si="85"/>
        <v/>
      </c>
      <c r="K365" s="166" t="str">
        <f t="shared" si="86"/>
        <v/>
      </c>
      <c r="L365" s="166" t="e">
        <f t="shared" si="87"/>
        <v>#N/A</v>
      </c>
    </row>
    <row r="366" spans="1:12">
      <c r="A366" t="s">
        <v>39</v>
      </c>
      <c r="B366" s="153" t="str">
        <f>Centrocampisti!B93</f>
        <v>RIGONI L</v>
      </c>
      <c r="C366" s="153" t="str">
        <f>Centrocampisti!C93</f>
        <v>GEN</v>
      </c>
      <c r="D366" s="166">
        <f t="shared" si="80"/>
        <v>1</v>
      </c>
      <c r="E366" s="166">
        <f t="shared" si="81"/>
        <v>1</v>
      </c>
      <c r="F366">
        <f t="shared" si="82"/>
        <v>38</v>
      </c>
      <c r="G366">
        <f>IF(ISNA(VLOOKUP(B366,'IA FG'!$B$2:$D$578,3,FALSE)),0,VLOOKUP(B366,'IA FG'!$B$2:$D$578,3,FALSE))</f>
        <v>65</v>
      </c>
      <c r="H366" s="166" t="str">
        <f t="shared" si="83"/>
        <v/>
      </c>
      <c r="I366" s="166">
        <f t="shared" si="84"/>
        <v>60</v>
      </c>
      <c r="J366" s="166" t="str">
        <f t="shared" si="85"/>
        <v/>
      </c>
      <c r="K366" s="166" t="str">
        <f t="shared" si="86"/>
        <v/>
      </c>
      <c r="L366" s="166" t="e">
        <f t="shared" si="87"/>
        <v>#N/A</v>
      </c>
    </row>
    <row r="367" spans="1:12">
      <c r="A367" t="s">
        <v>39</v>
      </c>
      <c r="B367" s="153" t="str">
        <f>Centrocampisti!B94</f>
        <v>MONTOLIVO</v>
      </c>
      <c r="C367" s="153" t="str">
        <f>Centrocampisti!C94</f>
        <v>MIL</v>
      </c>
      <c r="D367" s="166">
        <f t="shared" si="80"/>
        <v>1</v>
      </c>
      <c r="E367" s="166">
        <f t="shared" si="81"/>
        <v>1</v>
      </c>
      <c r="F367">
        <f t="shared" si="82"/>
        <v>34</v>
      </c>
      <c r="G367">
        <f>IF(ISNA(VLOOKUP(B367,'IA FG'!$B$2:$D$578,3,FALSE)),0,VLOOKUP(B367,'IA FG'!$B$2:$D$578,3,FALSE))</f>
        <v>66</v>
      </c>
      <c r="H367" s="166">
        <f t="shared" si="83"/>
        <v>-1</v>
      </c>
      <c r="I367" s="166">
        <f t="shared" si="84"/>
        <v>60</v>
      </c>
      <c r="J367" s="166" t="str">
        <f t="shared" si="85"/>
        <v/>
      </c>
      <c r="K367" s="166" t="str">
        <f t="shared" si="86"/>
        <v/>
      </c>
      <c r="L367" s="166" t="e">
        <f t="shared" si="87"/>
        <v>#N/A</v>
      </c>
    </row>
    <row r="368" spans="1:12">
      <c r="A368" t="s">
        <v>39</v>
      </c>
      <c r="B368" s="153" t="str">
        <f>Centrocampisti!B95</f>
        <v>OMEONGA</v>
      </c>
      <c r="C368" s="153" t="str">
        <f>Centrocampisti!C95</f>
        <v>GEN</v>
      </c>
      <c r="D368" s="166">
        <f t="shared" si="80"/>
        <v>1</v>
      </c>
      <c r="E368" s="166">
        <f t="shared" si="81"/>
        <v>1</v>
      </c>
      <c r="F368">
        <f t="shared" si="82"/>
        <v>38</v>
      </c>
      <c r="G368">
        <f>IF(ISNA(VLOOKUP(B368,'IA FG'!$B$2:$D$578,3,FALSE)),0,VLOOKUP(B368,'IA FG'!$B$2:$D$578,3,FALSE))</f>
        <v>55</v>
      </c>
      <c r="H368" s="166" t="str">
        <f t="shared" si="83"/>
        <v/>
      </c>
      <c r="I368" s="166">
        <f t="shared" si="84"/>
        <v>60</v>
      </c>
      <c r="J368" s="166" t="str">
        <f t="shared" si="85"/>
        <v/>
      </c>
      <c r="K368" s="166" t="str">
        <f t="shared" si="86"/>
        <v/>
      </c>
      <c r="L368" s="166" t="e">
        <f t="shared" si="87"/>
        <v>#N/A</v>
      </c>
    </row>
    <row r="369" spans="1:12">
      <c r="A369" t="s">
        <v>39</v>
      </c>
      <c r="B369" s="153" t="str">
        <f>Centrocampisti!B96</f>
        <v>BRLEK</v>
      </c>
      <c r="C369" s="153" t="str">
        <f>Centrocampisti!C96</f>
        <v>GEN</v>
      </c>
      <c r="D369" s="166">
        <f t="shared" si="80"/>
        <v>1</v>
      </c>
      <c r="E369" s="166">
        <f t="shared" si="81"/>
        <v>1</v>
      </c>
      <c r="F369">
        <f t="shared" si="82"/>
        <v>38</v>
      </c>
      <c r="G369">
        <f>IF(ISNA(VLOOKUP(B369,'IA FG'!$B$2:$D$578,3,FALSE)),0,VLOOKUP(B369,'IA FG'!$B$2:$D$578,3,FALSE))</f>
        <v>69</v>
      </c>
      <c r="H369" s="166" t="str">
        <f t="shared" si="83"/>
        <v/>
      </c>
      <c r="I369" s="166">
        <f t="shared" si="84"/>
        <v>60</v>
      </c>
      <c r="J369" s="166" t="str">
        <f t="shared" si="85"/>
        <v/>
      </c>
      <c r="K369" s="166" t="str">
        <f t="shared" si="86"/>
        <v/>
      </c>
      <c r="L369" s="166" t="e">
        <f t="shared" si="87"/>
        <v>#N/A</v>
      </c>
    </row>
    <row r="370" spans="1:12">
      <c r="A370" t="s">
        <v>39</v>
      </c>
      <c r="B370" s="153" t="str">
        <f>Centrocampisti!B97</f>
        <v>SANCHEZ</v>
      </c>
      <c r="C370" s="153" t="str">
        <f>Centrocampisti!C97</f>
        <v>FIO</v>
      </c>
      <c r="D370" s="166">
        <f t="shared" si="80"/>
        <v>1</v>
      </c>
      <c r="E370" s="166">
        <f t="shared" si="81"/>
        <v>1</v>
      </c>
      <c r="F370">
        <f t="shared" si="82"/>
        <v>37</v>
      </c>
      <c r="G370">
        <f>IF(ISNA(VLOOKUP(B370,'IA FG'!$B$2:$D$578,3,FALSE)),0,VLOOKUP(B370,'IA FG'!$B$2:$D$578,3,FALSE))</f>
        <v>67</v>
      </c>
      <c r="H370" s="166" t="str">
        <f t="shared" si="83"/>
        <v/>
      </c>
      <c r="I370" s="166">
        <f t="shared" si="84"/>
        <v>50</v>
      </c>
      <c r="J370" s="166" t="str">
        <f t="shared" si="85"/>
        <v/>
      </c>
      <c r="K370" s="166" t="str">
        <f t="shared" si="86"/>
        <v/>
      </c>
      <c r="L370" s="166" t="e">
        <f t="shared" si="87"/>
        <v>#N/A</v>
      </c>
    </row>
    <row r="371" spans="1:12">
      <c r="A371" t="s">
        <v>39</v>
      </c>
      <c r="B371" s="153" t="str">
        <f>Centrocampisti!B98</f>
        <v>MAGNANELLI</v>
      </c>
      <c r="C371" s="153" t="str">
        <f>Centrocampisti!C98</f>
        <v>SAS</v>
      </c>
      <c r="D371" s="166">
        <f t="shared" ref="D371:D402" si="88">IF(ISNA(VLOOKUP($B371,TabAlgCen,11,FALSE)),0,VLOOKUP($B371,TabAlgCen,11,FALSE))</f>
        <v>1</v>
      </c>
      <c r="E371" s="166">
        <f t="shared" ref="E371:E402" si="89">IF(ISNA(VLOOKUP($B371,TabAlgCen,14,FALSE)),0,VLOOKUP($B371,TabAlgCen,14,FALSE))</f>
        <v>1</v>
      </c>
      <c r="F371">
        <f t="shared" ref="F371:F402" si="90">IF(ISNA(VLOOKUP($B371,TabAlgCen,15,FALSE)),0,VLOOKUP($B371,TabAlgCen,15,FALSE))</f>
        <v>38</v>
      </c>
      <c r="G371">
        <f>IF(ISNA(VLOOKUP(B371,'IA FG'!$B$2:$D$578,3,FALSE)),0,VLOOKUP(B371,'IA FG'!$B$2:$D$578,3,FALSE))</f>
        <v>71</v>
      </c>
      <c r="H371" s="166" t="str">
        <f t="shared" ref="H371:H402" si="91">IF(ISNA(VLOOKUP($B371,TabAlgCen,16,FALSE)),"",VLOOKUP($B371,TabAlgCen,16,FALSE))</f>
        <v/>
      </c>
      <c r="I371" s="166">
        <f t="shared" ref="I371:I402" si="92">IF(ISNA(VLOOKUP($B371,TabAlgCen,4,FALSE)),0,VLOOKUP($B371,TabAlgCen,4,FALSE))*10</f>
        <v>80</v>
      </c>
      <c r="J371" s="166" t="str">
        <f t="shared" ref="J371:J402" si="93">IF(ISNA(VLOOKUP($B371,TabAlgCen,17,FALSE)),"",VLOOKUP($B371,TabAlgCen,17,FALSE))</f>
        <v/>
      </c>
      <c r="K371" s="166">
        <f t="shared" ref="K371:K402" si="94">IF(ISNA(VLOOKUP($B371,TabAlgCen,18,FALSE)),"",VLOOKUP($B371,TabAlgCen,18,FALSE))</f>
        <v>4</v>
      </c>
      <c r="L371" s="166" t="e">
        <f t="shared" ref="L371:L402" si="95">VLOOKUP($B371,TabAlgCen,19,FALSE)</f>
        <v>#N/A</v>
      </c>
    </row>
    <row r="372" spans="1:12">
      <c r="A372" t="s">
        <v>39</v>
      </c>
      <c r="B372" s="153" t="str">
        <f>Centrocampisti!B99</f>
        <v>TAIDER</v>
      </c>
      <c r="C372" s="153" t="str">
        <f>Centrocampisti!C99</f>
        <v>BOL</v>
      </c>
      <c r="D372" s="166">
        <f t="shared" si="88"/>
        <v>1</v>
      </c>
      <c r="E372" s="166">
        <f t="shared" si="89"/>
        <v>1</v>
      </c>
      <c r="F372">
        <f t="shared" si="90"/>
        <v>39</v>
      </c>
      <c r="G372">
        <f>IF(ISNA(VLOOKUP(B372,'IA FG'!$B$2:$D$578,3,FALSE)),0,VLOOKUP(B372,'IA FG'!$B$2:$D$578,3,FALSE))</f>
        <v>76</v>
      </c>
      <c r="H372" s="166" t="str">
        <f t="shared" si="91"/>
        <v/>
      </c>
      <c r="I372" s="166">
        <f t="shared" si="92"/>
        <v>80</v>
      </c>
      <c r="J372" s="166" t="str">
        <f t="shared" si="93"/>
        <v/>
      </c>
      <c r="K372" s="166">
        <f t="shared" si="94"/>
        <v>3</v>
      </c>
      <c r="L372" s="166" t="e">
        <f t="shared" si="95"/>
        <v>#N/A</v>
      </c>
    </row>
    <row r="373" spans="1:12">
      <c r="A373" t="s">
        <v>39</v>
      </c>
      <c r="B373" s="153" t="str">
        <f>Centrocampisti!B100</f>
        <v>MELEGONI</v>
      </c>
      <c r="C373" s="153" t="str">
        <f>Centrocampisti!C100</f>
        <v>ATA</v>
      </c>
      <c r="D373" s="166">
        <f t="shared" si="88"/>
        <v>1</v>
      </c>
      <c r="E373" s="166">
        <f t="shared" si="89"/>
        <v>1</v>
      </c>
      <c r="F373">
        <f t="shared" si="90"/>
        <v>34</v>
      </c>
      <c r="G373">
        <f>IF(ISNA(VLOOKUP(B373,'IA FG'!$B$2:$D$578,3,FALSE)),0,VLOOKUP(B373,'IA FG'!$B$2:$D$578,3,FALSE))</f>
        <v>45</v>
      </c>
      <c r="H373" s="166" t="str">
        <f t="shared" si="91"/>
        <v/>
      </c>
      <c r="I373" s="166">
        <f t="shared" si="92"/>
        <v>30</v>
      </c>
      <c r="J373" s="166" t="str">
        <f t="shared" si="93"/>
        <v/>
      </c>
      <c r="K373" s="166" t="str">
        <f t="shared" si="94"/>
        <v/>
      </c>
      <c r="L373" s="166" t="e">
        <f t="shared" si="95"/>
        <v>#N/A</v>
      </c>
    </row>
    <row r="374" spans="1:12">
      <c r="A374" t="s">
        <v>39</v>
      </c>
      <c r="B374" s="153" t="str">
        <f>Centrocampisti!B101</f>
        <v>JOAO SCHMIDT</v>
      </c>
      <c r="C374" s="153" t="str">
        <f>Centrocampisti!C101</f>
        <v>ATA</v>
      </c>
      <c r="D374" s="166">
        <f t="shared" si="88"/>
        <v>1</v>
      </c>
      <c r="E374" s="166">
        <f t="shared" si="89"/>
        <v>1</v>
      </c>
      <c r="F374">
        <f t="shared" si="90"/>
        <v>34</v>
      </c>
      <c r="G374">
        <f>IF(ISNA(VLOOKUP(B374,'IA FG'!$B$2:$D$578,3,FALSE)),0,VLOOKUP(B374,'IA FG'!$B$2:$D$578,3,FALSE))</f>
        <v>66</v>
      </c>
      <c r="H374" s="166" t="str">
        <f t="shared" si="91"/>
        <v/>
      </c>
      <c r="I374" s="166">
        <f t="shared" si="92"/>
        <v>40</v>
      </c>
      <c r="J374" s="166" t="str">
        <f t="shared" si="93"/>
        <v/>
      </c>
      <c r="K374" s="166" t="str">
        <f t="shared" si="94"/>
        <v/>
      </c>
      <c r="L374" s="166" t="e">
        <f t="shared" si="95"/>
        <v>#N/A</v>
      </c>
    </row>
    <row r="375" spans="1:12">
      <c r="A375" t="s">
        <v>39</v>
      </c>
      <c r="B375" s="153" t="str">
        <f>Centrocampisti!B102</f>
        <v>JOSE' SOSA</v>
      </c>
      <c r="C375" s="153" t="str">
        <f>Centrocampisti!C102</f>
        <v>MIL</v>
      </c>
      <c r="D375" s="166">
        <f t="shared" si="88"/>
        <v>1</v>
      </c>
      <c r="E375" s="166">
        <f t="shared" si="89"/>
        <v>1</v>
      </c>
      <c r="F375">
        <f t="shared" si="90"/>
        <v>33</v>
      </c>
      <c r="G375">
        <f>IF(ISNA(VLOOKUP(B375,'IA FG'!$B$2:$D$578,3,FALSE)),0,VLOOKUP(B375,'IA FG'!$B$2:$D$578,3,FALSE))</f>
        <v>45</v>
      </c>
      <c r="H375" s="166" t="str">
        <f t="shared" si="91"/>
        <v/>
      </c>
      <c r="I375" s="166">
        <f t="shared" si="92"/>
        <v>50</v>
      </c>
      <c r="J375" s="166" t="str">
        <f t="shared" si="93"/>
        <v/>
      </c>
      <c r="K375" s="166" t="str">
        <f t="shared" si="94"/>
        <v/>
      </c>
      <c r="L375" s="166" t="e">
        <f t="shared" si="95"/>
        <v>#N/A</v>
      </c>
    </row>
    <row r="376" spans="1:12">
      <c r="A376" t="s">
        <v>39</v>
      </c>
      <c r="B376" s="153" t="str">
        <f>Centrocampisti!B103</f>
        <v>VALDIFIORI</v>
      </c>
      <c r="C376" s="153" t="str">
        <f>Centrocampisti!C103</f>
        <v>TOR</v>
      </c>
      <c r="D376" s="166">
        <f t="shared" si="88"/>
        <v>1</v>
      </c>
      <c r="E376" s="166">
        <f t="shared" si="89"/>
        <v>1</v>
      </c>
      <c r="F376">
        <f t="shared" si="90"/>
        <v>34</v>
      </c>
      <c r="G376">
        <f>IF(ISNA(VLOOKUP(B376,'IA FG'!$B$2:$D$578,3,FALSE)),0,VLOOKUP(B376,'IA FG'!$B$2:$D$578,3,FALSE))</f>
        <v>68</v>
      </c>
      <c r="H376" s="166" t="str">
        <f t="shared" si="91"/>
        <v/>
      </c>
      <c r="I376" s="166">
        <f t="shared" si="92"/>
        <v>50</v>
      </c>
      <c r="J376" s="166" t="str">
        <f t="shared" si="93"/>
        <v/>
      </c>
      <c r="K376" s="166">
        <f t="shared" si="94"/>
        <v>2</v>
      </c>
      <c r="L376" s="166">
        <f t="shared" si="95"/>
        <v>2</v>
      </c>
    </row>
    <row r="377" spans="1:12">
      <c r="A377" t="s">
        <v>39</v>
      </c>
      <c r="B377" s="153" t="str">
        <f>Centrocampisti!B104</f>
        <v>CRISTOFORO</v>
      </c>
      <c r="C377" s="153" t="str">
        <f>Centrocampisti!C104</f>
        <v>FIO</v>
      </c>
      <c r="D377" s="166">
        <f t="shared" si="88"/>
        <v>1</v>
      </c>
      <c r="E377" s="166">
        <f t="shared" si="89"/>
        <v>1</v>
      </c>
      <c r="F377">
        <f t="shared" si="90"/>
        <v>36</v>
      </c>
      <c r="G377">
        <f>IF(ISNA(VLOOKUP(B377,'IA FG'!$B$2:$D$578,3,FALSE)),0,VLOOKUP(B377,'IA FG'!$B$2:$D$578,3,FALSE))</f>
        <v>64</v>
      </c>
      <c r="H377" s="166" t="str">
        <f t="shared" si="91"/>
        <v/>
      </c>
      <c r="I377" s="166">
        <f t="shared" si="92"/>
        <v>50</v>
      </c>
      <c r="J377" s="166" t="str">
        <f t="shared" si="93"/>
        <v/>
      </c>
      <c r="K377" s="166" t="str">
        <f t="shared" si="94"/>
        <v/>
      </c>
      <c r="L377" s="166" t="e">
        <f t="shared" si="95"/>
        <v>#N/A</v>
      </c>
    </row>
    <row r="378" spans="1:12">
      <c r="A378" t="s">
        <v>39</v>
      </c>
      <c r="B378" s="153" t="str">
        <f>Centrocampisti!B105</f>
        <v>OBI</v>
      </c>
      <c r="C378" s="153" t="str">
        <f>Centrocampisti!C105</f>
        <v>TOR</v>
      </c>
      <c r="D378" s="166">
        <f t="shared" si="88"/>
        <v>1</v>
      </c>
      <c r="E378" s="166">
        <f t="shared" si="89"/>
        <v>1</v>
      </c>
      <c r="F378">
        <f t="shared" si="90"/>
        <v>34</v>
      </c>
      <c r="G378">
        <f>IF(ISNA(VLOOKUP(B378,'IA FG'!$B$2:$D$578,3,FALSE)),0,VLOOKUP(B378,'IA FG'!$B$2:$D$578,3,FALSE))</f>
        <v>70</v>
      </c>
      <c r="H378" s="166" t="str">
        <f t="shared" si="91"/>
        <v/>
      </c>
      <c r="I378" s="166">
        <f t="shared" si="92"/>
        <v>60</v>
      </c>
      <c r="J378" s="166" t="str">
        <f t="shared" si="93"/>
        <v/>
      </c>
      <c r="K378" s="166" t="str">
        <f t="shared" si="94"/>
        <v/>
      </c>
      <c r="L378" s="166" t="e">
        <f t="shared" si="95"/>
        <v>#N/A</v>
      </c>
    </row>
    <row r="379" spans="1:12">
      <c r="A379" t="s">
        <v>39</v>
      </c>
      <c r="B379" s="153" t="str">
        <f>Centrocampisti!B106</f>
        <v>HALLFREDSSON</v>
      </c>
      <c r="C379" s="153" t="str">
        <f>Centrocampisti!C106</f>
        <v>UDI</v>
      </c>
      <c r="D379" s="166">
        <f t="shared" si="88"/>
        <v>1</v>
      </c>
      <c r="E379" s="166">
        <f t="shared" si="89"/>
        <v>1</v>
      </c>
      <c r="F379">
        <f t="shared" si="90"/>
        <v>37</v>
      </c>
      <c r="G379">
        <f>IF(ISNA(VLOOKUP(B379,'IA FG'!$B$2:$D$578,3,FALSE)),0,VLOOKUP(B379,'IA FG'!$B$2:$D$578,3,FALSE))</f>
        <v>70</v>
      </c>
      <c r="H379" s="166">
        <f t="shared" si="91"/>
        <v>-1</v>
      </c>
      <c r="I379" s="166">
        <f t="shared" si="92"/>
        <v>70</v>
      </c>
      <c r="J379" s="166" t="str">
        <f t="shared" si="93"/>
        <v/>
      </c>
      <c r="K379" s="166">
        <f t="shared" si="94"/>
        <v>2</v>
      </c>
      <c r="L379" s="166" t="e">
        <f t="shared" si="95"/>
        <v>#N/A</v>
      </c>
    </row>
    <row r="380" spans="1:12">
      <c r="A380" t="s">
        <v>39</v>
      </c>
      <c r="B380" s="153" t="str">
        <f>Centrocampisti!B107</f>
        <v>NAGY</v>
      </c>
      <c r="C380" s="153" t="str">
        <f>Centrocampisti!C107</f>
        <v>BOL</v>
      </c>
      <c r="D380" s="166">
        <f t="shared" si="88"/>
        <v>1</v>
      </c>
      <c r="E380" s="166">
        <f t="shared" si="89"/>
        <v>1</v>
      </c>
      <c r="F380">
        <f t="shared" si="90"/>
        <v>38</v>
      </c>
      <c r="G380">
        <f>IF(ISNA(VLOOKUP(B380,'IA FG'!$B$2:$D$578,3,FALSE)),0,VLOOKUP(B380,'IA FG'!$B$2:$D$578,3,FALSE))</f>
        <v>69</v>
      </c>
      <c r="H380" s="166" t="str">
        <f t="shared" si="91"/>
        <v/>
      </c>
      <c r="I380" s="166">
        <f t="shared" si="92"/>
        <v>70</v>
      </c>
      <c r="J380" s="166" t="str">
        <f t="shared" si="93"/>
        <v/>
      </c>
      <c r="K380" s="166" t="str">
        <f t="shared" si="94"/>
        <v/>
      </c>
      <c r="L380" s="166" t="e">
        <f t="shared" si="95"/>
        <v>#N/A</v>
      </c>
    </row>
    <row r="381" spans="1:12">
      <c r="A381" t="s">
        <v>39</v>
      </c>
      <c r="B381" s="153" t="str">
        <f>Centrocampisti!B108</f>
        <v>PADOIN</v>
      </c>
      <c r="C381" s="153" t="str">
        <f>Centrocampisti!C108</f>
        <v>CAG</v>
      </c>
      <c r="D381" s="166">
        <f t="shared" si="88"/>
        <v>1</v>
      </c>
      <c r="E381" s="166">
        <f t="shared" si="89"/>
        <v>1</v>
      </c>
      <c r="F381">
        <f t="shared" si="90"/>
        <v>36</v>
      </c>
      <c r="G381">
        <f>IF(ISNA(VLOOKUP(B381,'IA FG'!$B$2:$D$578,3,FALSE)),0,VLOOKUP(B381,'IA FG'!$B$2:$D$578,3,FALSE))</f>
        <v>77</v>
      </c>
      <c r="H381" s="166">
        <f t="shared" si="91"/>
        <v>-1</v>
      </c>
      <c r="I381" s="166">
        <f t="shared" si="92"/>
        <v>60</v>
      </c>
      <c r="J381" s="166" t="str">
        <f t="shared" si="93"/>
        <v/>
      </c>
      <c r="K381" s="166" t="str">
        <f t="shared" si="94"/>
        <v/>
      </c>
      <c r="L381" s="166" t="e">
        <f t="shared" si="95"/>
        <v>#N/A</v>
      </c>
    </row>
    <row r="382" spans="1:12">
      <c r="A382" t="s">
        <v>39</v>
      </c>
      <c r="B382" s="153" t="str">
        <f>Centrocampisti!B109</f>
        <v>ZANELLATO</v>
      </c>
      <c r="C382" s="153" t="str">
        <f>Centrocampisti!C109</f>
        <v>MIL</v>
      </c>
      <c r="D382" s="166">
        <f t="shared" si="88"/>
        <v>1</v>
      </c>
      <c r="E382" s="166">
        <f t="shared" si="89"/>
        <v>1</v>
      </c>
      <c r="F382">
        <f t="shared" si="90"/>
        <v>32</v>
      </c>
      <c r="G382">
        <f>IF(ISNA(VLOOKUP(B382,'IA FG'!$B$2:$D$578,3,FALSE)),0,VLOOKUP(B382,'IA FG'!$B$2:$D$578,3,FALSE))</f>
        <v>50</v>
      </c>
      <c r="H382" s="166" t="str">
        <f t="shared" si="91"/>
        <v/>
      </c>
      <c r="I382" s="166">
        <f t="shared" si="92"/>
        <v>30</v>
      </c>
      <c r="J382" s="166" t="str">
        <f t="shared" si="93"/>
        <v/>
      </c>
      <c r="K382" s="166" t="str">
        <f t="shared" si="94"/>
        <v/>
      </c>
      <c r="L382" s="166" t="e">
        <f t="shared" si="95"/>
        <v>#N/A</v>
      </c>
    </row>
    <row r="383" spans="1:12">
      <c r="A383" t="s">
        <v>39</v>
      </c>
      <c r="B383" s="153" t="str">
        <f>Centrocampisti!B110</f>
        <v>MAURI J</v>
      </c>
      <c r="C383" s="153" t="str">
        <f>Centrocampisti!C110</f>
        <v>MIL</v>
      </c>
      <c r="D383" s="166">
        <f t="shared" si="88"/>
        <v>1</v>
      </c>
      <c r="E383" s="166">
        <f t="shared" si="89"/>
        <v>1</v>
      </c>
      <c r="F383">
        <f t="shared" si="90"/>
        <v>32</v>
      </c>
      <c r="G383">
        <f>IF(ISNA(VLOOKUP(B383,'IA FG'!$B$2:$D$578,3,FALSE)),0,VLOOKUP(B383,'IA FG'!$B$2:$D$578,3,FALSE))</f>
        <v>35</v>
      </c>
      <c r="H383" s="166" t="str">
        <f t="shared" si="91"/>
        <v/>
      </c>
      <c r="I383" s="166">
        <f t="shared" si="92"/>
        <v>40</v>
      </c>
      <c r="J383" s="166" t="str">
        <f t="shared" si="93"/>
        <v/>
      </c>
      <c r="K383" s="166" t="str">
        <f t="shared" si="94"/>
        <v/>
      </c>
      <c r="L383" s="166" t="e">
        <f t="shared" si="95"/>
        <v>#N/A</v>
      </c>
    </row>
    <row r="384" spans="1:12">
      <c r="A384" t="s">
        <v>39</v>
      </c>
      <c r="B384" s="153" t="str">
        <f>Centrocampisti!B111</f>
        <v>HAGI</v>
      </c>
      <c r="C384" s="153" t="str">
        <f>Centrocampisti!C111</f>
        <v>FIO</v>
      </c>
      <c r="D384" s="166">
        <f t="shared" si="88"/>
        <v>1</v>
      </c>
      <c r="E384" s="166">
        <f t="shared" si="89"/>
        <v>1</v>
      </c>
      <c r="F384">
        <f t="shared" si="90"/>
        <v>35</v>
      </c>
      <c r="G384">
        <f>IF(ISNA(VLOOKUP(B384,'IA FG'!$B$2:$D$578,3,FALSE)),0,VLOOKUP(B384,'IA FG'!$B$2:$D$578,3,FALSE))</f>
        <v>59</v>
      </c>
      <c r="H384" s="166" t="str">
        <f t="shared" si="91"/>
        <v/>
      </c>
      <c r="I384" s="166">
        <f t="shared" si="92"/>
        <v>40</v>
      </c>
      <c r="J384" s="166" t="str">
        <f t="shared" si="93"/>
        <v/>
      </c>
      <c r="K384" s="166" t="str">
        <f t="shared" si="94"/>
        <v/>
      </c>
      <c r="L384" s="166" t="e">
        <f t="shared" si="95"/>
        <v>#N/A</v>
      </c>
    </row>
    <row r="385" spans="1:12">
      <c r="A385" t="s">
        <v>39</v>
      </c>
      <c r="B385" s="153" t="str">
        <f>Centrocampisti!B112</f>
        <v>FERNANDEZ M</v>
      </c>
      <c r="C385" s="153" t="str">
        <f>Centrocampisti!C112</f>
        <v>FIO</v>
      </c>
      <c r="D385" s="166">
        <f t="shared" si="88"/>
        <v>1</v>
      </c>
      <c r="E385" s="166">
        <f t="shared" si="89"/>
        <v>1</v>
      </c>
      <c r="F385">
        <f t="shared" si="90"/>
        <v>35</v>
      </c>
      <c r="G385">
        <f>IF(ISNA(VLOOKUP(B385,'IA FG'!$B$2:$D$578,3,FALSE)),0,VLOOKUP(B385,'IA FG'!$B$2:$D$578,3,FALSE))</f>
        <v>60</v>
      </c>
      <c r="H385" s="166" t="str">
        <f t="shared" si="91"/>
        <v/>
      </c>
      <c r="I385" s="166">
        <f t="shared" si="92"/>
        <v>40</v>
      </c>
      <c r="J385" s="166" t="str">
        <f t="shared" si="93"/>
        <v/>
      </c>
      <c r="K385" s="166" t="str">
        <f t="shared" si="94"/>
        <v/>
      </c>
      <c r="L385" s="166" t="e">
        <f t="shared" si="95"/>
        <v>#N/A</v>
      </c>
    </row>
    <row r="386" spans="1:12">
      <c r="A386" t="s">
        <v>39</v>
      </c>
      <c r="B386" s="153" t="str">
        <f>Centrocampisti!B113</f>
        <v>NALINI</v>
      </c>
      <c r="C386" s="153" t="str">
        <f>Centrocampisti!C113</f>
        <v>CRO</v>
      </c>
      <c r="D386" s="166">
        <f t="shared" si="88"/>
        <v>1</v>
      </c>
      <c r="E386" s="166">
        <f t="shared" si="89"/>
        <v>1</v>
      </c>
      <c r="F386">
        <f t="shared" si="90"/>
        <v>38</v>
      </c>
      <c r="G386">
        <f>IF(ISNA(VLOOKUP(B386,'IA FG'!$B$2:$D$578,3,FALSE)),0,VLOOKUP(B386,'IA FG'!$B$2:$D$578,3,FALSE))</f>
        <v>67</v>
      </c>
      <c r="H386" s="166" t="str">
        <f t="shared" si="91"/>
        <v/>
      </c>
      <c r="I386" s="166">
        <f t="shared" si="92"/>
        <v>60</v>
      </c>
      <c r="J386" s="166" t="str">
        <f t="shared" si="93"/>
        <v/>
      </c>
      <c r="K386" s="166" t="str">
        <f t="shared" si="94"/>
        <v/>
      </c>
      <c r="L386" s="166" t="e">
        <f t="shared" si="95"/>
        <v>#N/A</v>
      </c>
    </row>
    <row r="387" spans="1:12">
      <c r="A387" t="s">
        <v>39</v>
      </c>
      <c r="B387" s="153" t="str">
        <f>Centrocampisti!B114</f>
        <v>GERSON</v>
      </c>
      <c r="C387" s="153" t="str">
        <f>Centrocampisti!C114</f>
        <v>ROM</v>
      </c>
      <c r="D387" s="166">
        <f t="shared" si="88"/>
        <v>1</v>
      </c>
      <c r="E387" s="166">
        <f t="shared" si="89"/>
        <v>1</v>
      </c>
      <c r="F387">
        <f t="shared" si="90"/>
        <v>30</v>
      </c>
      <c r="G387">
        <f>IF(ISNA(VLOOKUP(B387,'IA FG'!$B$2:$D$578,3,FALSE)),0,VLOOKUP(B387,'IA FG'!$B$2:$D$578,3,FALSE))</f>
        <v>40</v>
      </c>
      <c r="H387" s="166">
        <f t="shared" si="91"/>
        <v>-1</v>
      </c>
      <c r="I387" s="166">
        <f t="shared" si="92"/>
        <v>40</v>
      </c>
      <c r="J387" s="166" t="str">
        <f t="shared" si="93"/>
        <v/>
      </c>
      <c r="K387" s="166" t="str">
        <f t="shared" si="94"/>
        <v/>
      </c>
      <c r="L387" s="166" t="e">
        <f t="shared" si="95"/>
        <v>#N/A</v>
      </c>
    </row>
    <row r="388" spans="1:12">
      <c r="A388" t="s">
        <v>39</v>
      </c>
      <c r="B388" s="153" t="str">
        <f>Centrocampisti!B115</f>
        <v>BALIC</v>
      </c>
      <c r="C388" s="153" t="str">
        <f>Centrocampisti!C115</f>
        <v>UDI</v>
      </c>
      <c r="D388" s="166">
        <f t="shared" si="88"/>
        <v>1</v>
      </c>
      <c r="E388" s="166">
        <f t="shared" si="89"/>
        <v>1</v>
      </c>
      <c r="F388">
        <f t="shared" si="90"/>
        <v>36</v>
      </c>
      <c r="G388">
        <f>IF(ISNA(VLOOKUP(B388,'IA FG'!$B$2:$D$578,3,FALSE)),0,VLOOKUP(B388,'IA FG'!$B$2:$D$578,3,FALSE))</f>
        <v>40</v>
      </c>
      <c r="H388" s="166" t="str">
        <f t="shared" si="91"/>
        <v/>
      </c>
      <c r="I388" s="166">
        <f t="shared" si="92"/>
        <v>50</v>
      </c>
      <c r="J388" s="166" t="str">
        <f t="shared" si="93"/>
        <v/>
      </c>
      <c r="K388" s="166">
        <f t="shared" si="94"/>
        <v>3</v>
      </c>
      <c r="L388" s="166" t="e">
        <f t="shared" si="95"/>
        <v>#N/A</v>
      </c>
    </row>
    <row r="389" spans="1:12">
      <c r="A389" t="s">
        <v>39</v>
      </c>
      <c r="B389" s="153" t="str">
        <f>Centrocampisti!B116</f>
        <v>ZEKHNINI</v>
      </c>
      <c r="C389" s="153" t="str">
        <f>Centrocampisti!C116</f>
        <v>FIO</v>
      </c>
      <c r="D389" s="166">
        <f t="shared" si="88"/>
        <v>1</v>
      </c>
      <c r="E389" s="166">
        <f t="shared" si="89"/>
        <v>1</v>
      </c>
      <c r="F389">
        <f t="shared" si="90"/>
        <v>35</v>
      </c>
      <c r="G389">
        <f>IF(ISNA(VLOOKUP(B389,'IA FG'!$B$2:$D$578,3,FALSE)),0,VLOOKUP(B389,'IA FG'!$B$2:$D$578,3,FALSE))</f>
        <v>68</v>
      </c>
      <c r="H389" s="166" t="str">
        <f t="shared" si="91"/>
        <v/>
      </c>
      <c r="I389" s="166">
        <f t="shared" si="92"/>
        <v>40</v>
      </c>
      <c r="J389" s="166" t="str">
        <f t="shared" si="93"/>
        <v/>
      </c>
      <c r="K389" s="166" t="str">
        <f t="shared" si="94"/>
        <v/>
      </c>
      <c r="L389" s="166" t="e">
        <f t="shared" si="95"/>
        <v>#N/A</v>
      </c>
    </row>
    <row r="390" spans="1:12">
      <c r="A390" t="s">
        <v>39</v>
      </c>
      <c r="B390" s="153" t="str">
        <f>Centrocampisti!B117</f>
        <v>BARAK</v>
      </c>
      <c r="C390" s="153" t="str">
        <f>Centrocampisti!C117</f>
        <v>UDI</v>
      </c>
      <c r="D390" s="166">
        <f t="shared" si="88"/>
        <v>1</v>
      </c>
      <c r="E390" s="166">
        <f t="shared" si="89"/>
        <v>1</v>
      </c>
      <c r="F390">
        <f t="shared" si="90"/>
        <v>36</v>
      </c>
      <c r="G390">
        <f>IF(ISNA(VLOOKUP(B390,'IA FG'!$B$2:$D$578,3,FALSE)),0,VLOOKUP(B390,'IA FG'!$B$2:$D$578,3,FALSE))</f>
        <v>45</v>
      </c>
      <c r="H390" s="166" t="str">
        <f t="shared" si="91"/>
        <v/>
      </c>
      <c r="I390" s="166">
        <f t="shared" si="92"/>
        <v>60</v>
      </c>
      <c r="J390" s="166" t="str">
        <f t="shared" si="93"/>
        <v/>
      </c>
      <c r="K390" s="166" t="str">
        <f t="shared" si="94"/>
        <v/>
      </c>
      <c r="L390" s="166" t="e">
        <f t="shared" si="95"/>
        <v>#N/A</v>
      </c>
    </row>
    <row r="391" spans="1:12">
      <c r="A391" t="s">
        <v>39</v>
      </c>
      <c r="B391" s="153" t="str">
        <f>Centrocampisti!B118</f>
        <v>BASTIEN</v>
      </c>
      <c r="C391" s="153" t="str">
        <f>Centrocampisti!C118</f>
        <v>CHI</v>
      </c>
      <c r="D391" s="166">
        <f t="shared" si="88"/>
        <v>1</v>
      </c>
      <c r="E391" s="166">
        <f t="shared" si="89"/>
        <v>1</v>
      </c>
      <c r="F391">
        <f t="shared" si="90"/>
        <v>37</v>
      </c>
      <c r="G391">
        <f>IF(ISNA(VLOOKUP(B391,'IA FG'!$B$2:$D$578,3,FALSE)),0,VLOOKUP(B391,'IA FG'!$B$2:$D$578,3,FALSE))</f>
        <v>66</v>
      </c>
      <c r="H391" s="166">
        <f t="shared" si="91"/>
        <v>0</v>
      </c>
      <c r="I391" s="166">
        <f t="shared" si="92"/>
        <v>50</v>
      </c>
      <c r="J391" s="166" t="str">
        <f t="shared" si="93"/>
        <v/>
      </c>
      <c r="K391" s="166" t="str">
        <f t="shared" si="94"/>
        <v/>
      </c>
      <c r="L391" s="166" t="e">
        <f t="shared" si="95"/>
        <v>#N/A</v>
      </c>
    </row>
    <row r="392" spans="1:12">
      <c r="A392" t="s">
        <v>39</v>
      </c>
      <c r="B392" s="153" t="str">
        <f>Centrocampisti!B119</f>
        <v>GARRITANO</v>
      </c>
      <c r="C392" s="153" t="str">
        <f>Centrocampisti!C119</f>
        <v>CHI</v>
      </c>
      <c r="D392" s="166">
        <f t="shared" si="88"/>
        <v>1</v>
      </c>
      <c r="E392" s="166">
        <f t="shared" si="89"/>
        <v>1</v>
      </c>
      <c r="F392">
        <f t="shared" si="90"/>
        <v>36</v>
      </c>
      <c r="G392">
        <f>IF(ISNA(VLOOKUP(B392,'IA FG'!$B$2:$D$578,3,FALSE)),0,VLOOKUP(B392,'IA FG'!$B$2:$D$578,3,FALSE))</f>
        <v>63</v>
      </c>
      <c r="H392" s="166">
        <f t="shared" si="91"/>
        <v>0</v>
      </c>
      <c r="I392" s="166">
        <f t="shared" si="92"/>
        <v>50</v>
      </c>
      <c r="J392" s="166" t="str">
        <f t="shared" si="93"/>
        <v/>
      </c>
      <c r="K392" s="166" t="str">
        <f t="shared" si="94"/>
        <v/>
      </c>
      <c r="L392" s="166" t="e">
        <f t="shared" si="95"/>
        <v>#N/A</v>
      </c>
    </row>
    <row r="393" spans="1:12">
      <c r="A393" t="s">
        <v>39</v>
      </c>
      <c r="B393" s="153" t="str">
        <f>Centrocampisti!B120</f>
        <v>ALVAREZ R</v>
      </c>
      <c r="C393" s="153" t="str">
        <f>Centrocampisti!C120</f>
        <v>SAM</v>
      </c>
      <c r="D393" s="166">
        <f t="shared" si="88"/>
        <v>1</v>
      </c>
      <c r="E393" s="166">
        <f t="shared" si="89"/>
        <v>1</v>
      </c>
      <c r="F393">
        <f t="shared" si="90"/>
        <v>34</v>
      </c>
      <c r="G393">
        <f>IF(ISNA(VLOOKUP(B393,'IA FG'!$B$2:$D$578,3,FALSE)),0,VLOOKUP(B393,'IA FG'!$B$2:$D$578,3,FALSE))</f>
        <v>73</v>
      </c>
      <c r="H393" s="166" t="str">
        <f t="shared" si="91"/>
        <v/>
      </c>
      <c r="I393" s="166">
        <f t="shared" si="92"/>
        <v>50</v>
      </c>
      <c r="J393" s="166" t="str">
        <f t="shared" si="93"/>
        <v/>
      </c>
      <c r="K393" s="166" t="str">
        <f t="shared" si="94"/>
        <v/>
      </c>
      <c r="L393" s="166" t="e">
        <f t="shared" si="95"/>
        <v>#N/A</v>
      </c>
    </row>
    <row r="394" spans="1:12">
      <c r="A394" t="s">
        <v>39</v>
      </c>
      <c r="B394" s="153" t="str">
        <f>Centrocampisti!B121</f>
        <v>CAPEZZI</v>
      </c>
      <c r="C394" s="153" t="str">
        <f>Centrocampisti!C121</f>
        <v>SAM</v>
      </c>
      <c r="D394" s="166">
        <f t="shared" si="88"/>
        <v>1</v>
      </c>
      <c r="E394" s="166">
        <f t="shared" si="89"/>
        <v>1</v>
      </c>
      <c r="F394">
        <f t="shared" si="90"/>
        <v>34</v>
      </c>
      <c r="G394">
        <f>IF(ISNA(VLOOKUP(B394,'IA FG'!$B$2:$D$578,3,FALSE)),0,VLOOKUP(B394,'IA FG'!$B$2:$D$578,3,FALSE))</f>
        <v>63</v>
      </c>
      <c r="H394" s="166" t="str">
        <f t="shared" si="91"/>
        <v/>
      </c>
      <c r="I394" s="166">
        <f t="shared" si="92"/>
        <v>50</v>
      </c>
      <c r="J394" s="166" t="str">
        <f t="shared" si="93"/>
        <v/>
      </c>
      <c r="K394" s="166" t="str">
        <f t="shared" si="94"/>
        <v/>
      </c>
      <c r="L394" s="166" t="e">
        <f t="shared" si="95"/>
        <v>#N/A</v>
      </c>
    </row>
    <row r="395" spans="1:12">
      <c r="A395" t="s">
        <v>39</v>
      </c>
      <c r="B395" s="153" t="str">
        <f>Centrocampisti!B122</f>
        <v>BEHRAMI</v>
      </c>
      <c r="C395" s="153" t="str">
        <f>Centrocampisti!C122</f>
        <v>UDI</v>
      </c>
      <c r="D395" s="166">
        <f t="shared" si="88"/>
        <v>1</v>
      </c>
      <c r="E395" s="166">
        <f t="shared" si="89"/>
        <v>1</v>
      </c>
      <c r="F395">
        <f t="shared" si="90"/>
        <v>35</v>
      </c>
      <c r="G395">
        <f>IF(ISNA(VLOOKUP(B395,'IA FG'!$B$2:$D$578,3,FALSE)),0,VLOOKUP(B395,'IA FG'!$B$2:$D$578,3,FALSE))</f>
        <v>67</v>
      </c>
      <c r="H395" s="166" t="str">
        <f t="shared" si="91"/>
        <v/>
      </c>
      <c r="I395" s="166">
        <f t="shared" si="92"/>
        <v>60</v>
      </c>
      <c r="J395" s="166" t="str">
        <f t="shared" si="93"/>
        <v/>
      </c>
      <c r="K395" s="166" t="str">
        <f t="shared" si="94"/>
        <v/>
      </c>
      <c r="L395" s="166" t="e">
        <f t="shared" si="95"/>
        <v>#N/A</v>
      </c>
    </row>
    <row r="396" spans="1:12">
      <c r="A396" t="s">
        <v>39</v>
      </c>
      <c r="B396" s="153" t="str">
        <f>Centrocampisti!B123</f>
        <v>VERRE</v>
      </c>
      <c r="C396" s="153" t="str">
        <f>Centrocampisti!C123</f>
        <v>SAM</v>
      </c>
      <c r="D396" s="166">
        <f t="shared" si="88"/>
        <v>1</v>
      </c>
      <c r="E396" s="166">
        <f t="shared" si="89"/>
        <v>1</v>
      </c>
      <c r="F396">
        <f t="shared" si="90"/>
        <v>34</v>
      </c>
      <c r="G396">
        <f>IF(ISNA(VLOOKUP(B396,'IA FG'!$B$2:$D$578,3,FALSE)),0,VLOOKUP(B396,'IA FG'!$B$2:$D$578,3,FALSE))</f>
        <v>68</v>
      </c>
      <c r="H396" s="166" t="str">
        <f t="shared" si="91"/>
        <v/>
      </c>
      <c r="I396" s="166">
        <f t="shared" si="92"/>
        <v>50</v>
      </c>
      <c r="J396" s="166" t="str">
        <f t="shared" si="93"/>
        <v/>
      </c>
      <c r="K396" s="166" t="str">
        <f t="shared" si="94"/>
        <v/>
      </c>
      <c r="L396" s="166" t="e">
        <f t="shared" si="95"/>
        <v>#N/A</v>
      </c>
    </row>
    <row r="397" spans="1:12">
      <c r="A397" t="s">
        <v>39</v>
      </c>
      <c r="B397" s="153" t="str">
        <f>Centrocampisti!B124</f>
        <v>RADOVANOVIC</v>
      </c>
      <c r="C397" s="153" t="str">
        <f>Centrocampisti!C124</f>
        <v>CHI</v>
      </c>
      <c r="D397" s="166">
        <f t="shared" si="88"/>
        <v>1</v>
      </c>
      <c r="E397" s="166">
        <f t="shared" si="89"/>
        <v>1</v>
      </c>
      <c r="F397">
        <f t="shared" si="90"/>
        <v>36</v>
      </c>
      <c r="G397">
        <f>IF(ISNA(VLOOKUP(B397,'IA FG'!$B$2:$D$578,3,FALSE)),0,VLOOKUP(B397,'IA FG'!$B$2:$D$578,3,FALSE))</f>
        <v>69</v>
      </c>
      <c r="H397" s="166" t="str">
        <f t="shared" si="91"/>
        <v/>
      </c>
      <c r="I397" s="166">
        <f t="shared" si="92"/>
        <v>80</v>
      </c>
      <c r="J397" s="166" t="str">
        <f t="shared" si="93"/>
        <v/>
      </c>
      <c r="K397" s="166">
        <f t="shared" si="94"/>
        <v>3</v>
      </c>
      <c r="L397" s="166" t="e">
        <f t="shared" si="95"/>
        <v>#N/A</v>
      </c>
    </row>
    <row r="398" spans="1:12">
      <c r="A398" t="s">
        <v>39</v>
      </c>
      <c r="B398" s="153" t="str">
        <f>Centrocampisti!B125</f>
        <v>VAINQUEUR</v>
      </c>
      <c r="C398" s="153" t="str">
        <f>Centrocampisti!C125</f>
        <v>ROM</v>
      </c>
      <c r="D398" s="166">
        <f t="shared" si="88"/>
        <v>1</v>
      </c>
      <c r="E398" s="166">
        <f t="shared" si="89"/>
        <v>1</v>
      </c>
      <c r="F398">
        <f t="shared" si="90"/>
        <v>28</v>
      </c>
      <c r="G398">
        <f>IF(ISNA(VLOOKUP(B398,'IA FG'!$B$2:$D$578,3,FALSE)),0,VLOOKUP(B398,'IA FG'!$B$2:$D$578,3,FALSE))</f>
        <v>0</v>
      </c>
      <c r="H398" s="166" t="str">
        <f t="shared" si="91"/>
        <v/>
      </c>
      <c r="I398" s="166">
        <f t="shared" si="92"/>
        <v>30</v>
      </c>
      <c r="J398" s="166" t="str">
        <f t="shared" si="93"/>
        <v/>
      </c>
      <c r="K398" s="166" t="str">
        <f t="shared" si="94"/>
        <v/>
      </c>
      <c r="L398" s="166" t="e">
        <f t="shared" si="95"/>
        <v>#N/A</v>
      </c>
    </row>
    <row r="399" spans="1:12">
      <c r="A399" t="s">
        <v>39</v>
      </c>
      <c r="B399" s="153" t="str">
        <f>Centrocampisti!B126</f>
        <v>RODRIGUEZ T</v>
      </c>
      <c r="C399" s="153" t="str">
        <f>Centrocampisti!C126</f>
        <v>GEN</v>
      </c>
      <c r="D399" s="166">
        <f t="shared" si="88"/>
        <v>1</v>
      </c>
      <c r="E399" s="166">
        <f t="shared" si="89"/>
        <v>1</v>
      </c>
      <c r="F399">
        <f t="shared" si="90"/>
        <v>34</v>
      </c>
      <c r="G399">
        <f>IF(ISNA(VLOOKUP(B399,'IA FG'!$B$2:$D$578,3,FALSE)),0,VLOOKUP(B399,'IA FG'!$B$2:$D$578,3,FALSE))</f>
        <v>63</v>
      </c>
      <c r="H399" s="166" t="str">
        <f t="shared" si="91"/>
        <v/>
      </c>
      <c r="I399" s="166">
        <f t="shared" si="92"/>
        <v>40</v>
      </c>
      <c r="J399" s="166" t="str">
        <f t="shared" si="93"/>
        <v/>
      </c>
      <c r="K399" s="166" t="str">
        <f t="shared" si="94"/>
        <v/>
      </c>
      <c r="L399" s="166" t="e">
        <f t="shared" si="95"/>
        <v>#N/A</v>
      </c>
    </row>
    <row r="400" spans="1:12">
      <c r="A400" t="s">
        <v>39</v>
      </c>
      <c r="B400" s="153" t="str">
        <f>Centrocampisti!B127</f>
        <v>CICIRETTI</v>
      </c>
      <c r="C400" s="153" t="str">
        <f>Centrocampisti!C127</f>
        <v>BEN</v>
      </c>
      <c r="D400" s="166">
        <f t="shared" si="88"/>
        <v>1</v>
      </c>
      <c r="E400" s="166">
        <f t="shared" si="89"/>
        <v>1</v>
      </c>
      <c r="F400">
        <f t="shared" si="90"/>
        <v>43</v>
      </c>
      <c r="G400">
        <f>IF(ISNA(VLOOKUP(B400,'IA FG'!$B$2:$D$578,3,FALSE)),0,VLOOKUP(B400,'IA FG'!$B$2:$D$578,3,FALSE))</f>
        <v>77</v>
      </c>
      <c r="H400" s="166">
        <f t="shared" si="91"/>
        <v>1</v>
      </c>
      <c r="I400" s="166">
        <f t="shared" si="92"/>
        <v>90</v>
      </c>
      <c r="J400" s="166" t="str">
        <f t="shared" si="93"/>
        <v/>
      </c>
      <c r="K400" s="166">
        <f t="shared" si="94"/>
        <v>1</v>
      </c>
      <c r="L400" s="166">
        <f t="shared" si="95"/>
        <v>2</v>
      </c>
    </row>
    <row r="401" spans="1:12">
      <c r="A401" t="s">
        <v>39</v>
      </c>
      <c r="B401" s="153" t="str">
        <f>Centrocampisti!B128</f>
        <v>COFIE</v>
      </c>
      <c r="C401" s="153" t="str">
        <f>Centrocampisti!C128</f>
        <v>GEN</v>
      </c>
      <c r="D401" s="166">
        <f t="shared" si="88"/>
        <v>1</v>
      </c>
      <c r="E401" s="166">
        <f t="shared" si="89"/>
        <v>1</v>
      </c>
      <c r="F401">
        <f t="shared" si="90"/>
        <v>34</v>
      </c>
      <c r="G401">
        <f>IF(ISNA(VLOOKUP(B401,'IA FG'!$B$2:$D$578,3,FALSE)),0,VLOOKUP(B401,'IA FG'!$B$2:$D$578,3,FALSE))</f>
        <v>59</v>
      </c>
      <c r="H401" s="166" t="str">
        <f t="shared" si="91"/>
        <v/>
      </c>
      <c r="I401" s="166">
        <f t="shared" si="92"/>
        <v>50</v>
      </c>
      <c r="J401" s="166" t="str">
        <f t="shared" si="93"/>
        <v/>
      </c>
      <c r="K401" s="166" t="str">
        <f t="shared" si="94"/>
        <v/>
      </c>
      <c r="L401" s="166" t="e">
        <f t="shared" si="95"/>
        <v>#N/A</v>
      </c>
    </row>
    <row r="402" spans="1:12">
      <c r="A402" t="s">
        <v>39</v>
      </c>
      <c r="B402" s="153" t="str">
        <f>Centrocampisti!B129</f>
        <v>ZUCULINI B</v>
      </c>
      <c r="C402" s="153" t="str">
        <f>Centrocampisti!C129</f>
        <v>VER</v>
      </c>
      <c r="D402" s="166">
        <f t="shared" si="88"/>
        <v>1</v>
      </c>
      <c r="E402" s="166">
        <f t="shared" si="89"/>
        <v>1</v>
      </c>
      <c r="F402">
        <f t="shared" si="90"/>
        <v>36</v>
      </c>
      <c r="G402">
        <f>IF(ISNA(VLOOKUP(B402,'IA FG'!$B$2:$D$578,3,FALSE)),0,VLOOKUP(B402,'IA FG'!$B$2:$D$578,3,FALSE))</f>
        <v>65</v>
      </c>
      <c r="H402" s="166" t="str">
        <f t="shared" si="91"/>
        <v/>
      </c>
      <c r="I402" s="166">
        <f t="shared" si="92"/>
        <v>70</v>
      </c>
      <c r="J402" s="166" t="str">
        <f t="shared" si="93"/>
        <v/>
      </c>
      <c r="K402" s="166" t="str">
        <f t="shared" si="94"/>
        <v/>
      </c>
      <c r="L402" s="166" t="e">
        <f t="shared" si="95"/>
        <v>#N/A</v>
      </c>
    </row>
    <row r="403" spans="1:12">
      <c r="A403" t="s">
        <v>39</v>
      </c>
      <c r="B403" s="153" t="str">
        <f>Centrocampisti!B130</f>
        <v>MAZZITELLI</v>
      </c>
      <c r="C403" s="153" t="str">
        <f>Centrocampisti!C130</f>
        <v>SAS</v>
      </c>
      <c r="D403" s="166">
        <f t="shared" ref="D403:D434" si="96">IF(ISNA(VLOOKUP($B403,TabAlgCen,11,FALSE)),0,VLOOKUP($B403,TabAlgCen,11,FALSE))</f>
        <v>1</v>
      </c>
      <c r="E403" s="166">
        <f t="shared" ref="E403:E434" si="97">IF(ISNA(VLOOKUP($B403,TabAlgCen,14,FALSE)),0,VLOOKUP($B403,TabAlgCen,14,FALSE))</f>
        <v>1</v>
      </c>
      <c r="F403">
        <f t="shared" ref="F403:F434" si="98">IF(ISNA(VLOOKUP($B403,TabAlgCen,15,FALSE)),0,VLOOKUP($B403,TabAlgCen,15,FALSE))</f>
        <v>34</v>
      </c>
      <c r="G403">
        <f>IF(ISNA(VLOOKUP(B403,'IA FG'!$B$2:$D$578,3,FALSE)),0,VLOOKUP(B403,'IA FG'!$B$2:$D$578,3,FALSE))</f>
        <v>69</v>
      </c>
      <c r="H403" s="166" t="str">
        <f t="shared" ref="H403:H434" si="99">IF(ISNA(VLOOKUP($B403,TabAlgCen,16,FALSE)),"",VLOOKUP($B403,TabAlgCen,16,FALSE))</f>
        <v/>
      </c>
      <c r="I403" s="166">
        <f t="shared" ref="I403:I434" si="100">IF(ISNA(VLOOKUP($B403,TabAlgCen,4,FALSE)),0,VLOOKUP($B403,TabAlgCen,4,FALSE))*10</f>
        <v>50</v>
      </c>
      <c r="J403" s="166" t="str">
        <f t="shared" ref="J403:J434" si="101">IF(ISNA(VLOOKUP($B403,TabAlgCen,17,FALSE)),"",VLOOKUP($B403,TabAlgCen,17,FALSE))</f>
        <v/>
      </c>
      <c r="K403" s="166" t="str">
        <f t="shared" ref="K403:K434" si="102">IF(ISNA(VLOOKUP($B403,TabAlgCen,18,FALSE)),"",VLOOKUP($B403,TabAlgCen,18,FALSE))</f>
        <v/>
      </c>
      <c r="L403" s="166" t="e">
        <f t="shared" ref="L403:L434" si="103">VLOOKUP($B403,TabAlgCen,19,FALSE)</f>
        <v>#N/A</v>
      </c>
    </row>
    <row r="404" spans="1:12">
      <c r="A404" t="s">
        <v>39</v>
      </c>
      <c r="B404" s="153" t="str">
        <f>Centrocampisti!B131</f>
        <v>INGELSSON</v>
      </c>
      <c r="C404" s="153" t="str">
        <f>Centrocampisti!C131</f>
        <v>UDI</v>
      </c>
      <c r="D404" s="166">
        <f t="shared" si="96"/>
        <v>1</v>
      </c>
      <c r="E404" s="166">
        <f t="shared" si="97"/>
        <v>1</v>
      </c>
      <c r="F404">
        <f t="shared" si="98"/>
        <v>34</v>
      </c>
      <c r="G404">
        <f>IF(ISNA(VLOOKUP(B404,'IA FG'!$B$2:$D$578,3,FALSE)),0,VLOOKUP(B404,'IA FG'!$B$2:$D$578,3,FALSE))</f>
        <v>59</v>
      </c>
      <c r="H404" s="166" t="str">
        <f t="shared" si="99"/>
        <v/>
      </c>
      <c r="I404" s="166">
        <f t="shared" si="100"/>
        <v>40</v>
      </c>
      <c r="J404" s="166" t="str">
        <f t="shared" si="101"/>
        <v/>
      </c>
      <c r="K404" s="166" t="str">
        <f t="shared" si="102"/>
        <v/>
      </c>
      <c r="L404" s="166" t="e">
        <f t="shared" si="103"/>
        <v>#N/A</v>
      </c>
    </row>
    <row r="405" spans="1:12">
      <c r="A405" t="s">
        <v>39</v>
      </c>
      <c r="B405" s="153" t="str">
        <f>Centrocampisti!B132</f>
        <v>ROMERO</v>
      </c>
      <c r="C405" s="153" t="str">
        <f>Centrocampisti!C132</f>
        <v>CRO</v>
      </c>
      <c r="D405" s="166">
        <f t="shared" si="96"/>
        <v>1</v>
      </c>
      <c r="E405" s="166">
        <f t="shared" si="97"/>
        <v>1</v>
      </c>
      <c r="F405">
        <f t="shared" si="98"/>
        <v>36</v>
      </c>
      <c r="G405">
        <f>IF(ISNA(VLOOKUP(B405,'IA FG'!$B$2:$D$578,3,FALSE)),0,VLOOKUP(B405,'IA FG'!$B$2:$D$578,3,FALSE))</f>
        <v>60</v>
      </c>
      <c r="H405" s="166" t="str">
        <f t="shared" si="99"/>
        <v/>
      </c>
      <c r="I405" s="166">
        <f t="shared" si="100"/>
        <v>50</v>
      </c>
      <c r="J405" s="166" t="str">
        <f t="shared" si="101"/>
        <v/>
      </c>
      <c r="K405" s="166" t="str">
        <f t="shared" si="102"/>
        <v/>
      </c>
      <c r="L405" s="166" t="e">
        <f t="shared" si="103"/>
        <v>#N/A</v>
      </c>
    </row>
    <row r="406" spans="1:12">
      <c r="A406" t="s">
        <v>39</v>
      </c>
      <c r="B406" s="153" t="str">
        <f>Centrocampisti!B133</f>
        <v>COSSU</v>
      </c>
      <c r="C406" s="153" t="str">
        <f>Centrocampisti!C133</f>
        <v>CAG</v>
      </c>
      <c r="D406" s="166">
        <f t="shared" si="96"/>
        <v>1</v>
      </c>
      <c r="E406" s="166">
        <f t="shared" si="97"/>
        <v>1</v>
      </c>
      <c r="F406">
        <f t="shared" si="98"/>
        <v>33</v>
      </c>
      <c r="G406">
        <f>IF(ISNA(VLOOKUP(B406,'IA FG'!$B$2:$D$578,3,FALSE)),0,VLOOKUP(B406,'IA FG'!$B$2:$D$578,3,FALSE))</f>
        <v>63</v>
      </c>
      <c r="H406" s="166" t="str">
        <f t="shared" si="99"/>
        <v/>
      </c>
      <c r="I406" s="166">
        <f t="shared" si="100"/>
        <v>50</v>
      </c>
      <c r="J406" s="166" t="str">
        <f t="shared" si="101"/>
        <v/>
      </c>
      <c r="K406" s="166">
        <f t="shared" si="102"/>
        <v>3</v>
      </c>
      <c r="L406" s="166">
        <f t="shared" si="103"/>
        <v>2</v>
      </c>
    </row>
    <row r="407" spans="1:12">
      <c r="A407" t="s">
        <v>39</v>
      </c>
      <c r="B407" s="153" t="str">
        <f>Centrocampisti!B134</f>
        <v>GUSTAFSON</v>
      </c>
      <c r="C407" s="153" t="str">
        <f>Centrocampisti!C134</f>
        <v>TOR</v>
      </c>
      <c r="D407" s="166">
        <f t="shared" si="96"/>
        <v>1</v>
      </c>
      <c r="E407" s="166">
        <f t="shared" si="97"/>
        <v>1</v>
      </c>
      <c r="F407">
        <f t="shared" si="98"/>
        <v>31</v>
      </c>
      <c r="G407">
        <f>IF(ISNA(VLOOKUP(B407,'IA FG'!$B$2:$D$578,3,FALSE)),0,VLOOKUP(B407,'IA FG'!$B$2:$D$578,3,FALSE))</f>
        <v>47</v>
      </c>
      <c r="H407" s="166" t="str">
        <f t="shared" si="99"/>
        <v/>
      </c>
      <c r="I407" s="166">
        <f t="shared" si="100"/>
        <v>40</v>
      </c>
      <c r="J407" s="166" t="str">
        <f t="shared" si="101"/>
        <v/>
      </c>
      <c r="K407" s="166" t="str">
        <f t="shared" si="102"/>
        <v/>
      </c>
      <c r="L407" s="166" t="e">
        <f t="shared" si="103"/>
        <v>#N/A</v>
      </c>
    </row>
    <row r="408" spans="1:12">
      <c r="A408" t="s">
        <v>39</v>
      </c>
      <c r="B408" s="153" t="str">
        <f>Centrocampisti!B135</f>
        <v>MALLE'</v>
      </c>
      <c r="C408" s="153" t="str">
        <f>Centrocampisti!C135</f>
        <v>UDI</v>
      </c>
      <c r="D408" s="166">
        <f t="shared" si="96"/>
        <v>1</v>
      </c>
      <c r="E408" s="166">
        <f t="shared" si="97"/>
        <v>1</v>
      </c>
      <c r="F408">
        <f t="shared" si="98"/>
        <v>34</v>
      </c>
      <c r="G408">
        <f>IF(ISNA(VLOOKUP(B408,'IA FG'!$B$2:$D$578,3,FALSE)),0,VLOOKUP(B408,'IA FG'!$B$2:$D$578,3,FALSE))</f>
        <v>40</v>
      </c>
      <c r="H408" s="166" t="str">
        <f t="shared" si="99"/>
        <v/>
      </c>
      <c r="I408" s="166">
        <f t="shared" si="100"/>
        <v>40</v>
      </c>
      <c r="J408" s="166" t="str">
        <f t="shared" si="101"/>
        <v/>
      </c>
      <c r="K408" s="166" t="str">
        <f t="shared" si="102"/>
        <v/>
      </c>
      <c r="L408" s="166" t="e">
        <f t="shared" si="103"/>
        <v>#N/A</v>
      </c>
    </row>
    <row r="409" spans="1:12">
      <c r="A409" t="s">
        <v>39</v>
      </c>
      <c r="B409" s="153" t="str">
        <f>Centrocampisti!B136</f>
        <v>EWANDRO</v>
      </c>
      <c r="C409" s="153" t="str">
        <f>Centrocampisti!C136</f>
        <v>UDI</v>
      </c>
      <c r="D409" s="166">
        <f t="shared" si="96"/>
        <v>1</v>
      </c>
      <c r="E409" s="166">
        <f t="shared" si="97"/>
        <v>1</v>
      </c>
      <c r="F409">
        <f t="shared" si="98"/>
        <v>34</v>
      </c>
      <c r="G409">
        <f>IF(ISNA(VLOOKUP(B409,'IA FG'!$B$2:$D$578,3,FALSE)),0,VLOOKUP(B409,'IA FG'!$B$2:$D$578,3,FALSE))</f>
        <v>45</v>
      </c>
      <c r="H409" s="166" t="str">
        <f t="shared" si="99"/>
        <v/>
      </c>
      <c r="I409" s="166">
        <f t="shared" si="100"/>
        <v>40</v>
      </c>
      <c r="J409" s="166" t="str">
        <f t="shared" si="101"/>
        <v/>
      </c>
      <c r="K409" s="166" t="str">
        <f t="shared" si="102"/>
        <v/>
      </c>
      <c r="L409" s="166" t="e">
        <f t="shared" si="103"/>
        <v>#N/A</v>
      </c>
    </row>
    <row r="410" spans="1:12">
      <c r="A410" t="s">
        <v>39</v>
      </c>
      <c r="B410" s="153" t="str">
        <f>Centrocampisti!B137</f>
        <v>DONSAH</v>
      </c>
      <c r="C410" s="153" t="str">
        <f>Centrocampisti!C137</f>
        <v>BOL</v>
      </c>
      <c r="D410" s="166">
        <f t="shared" si="96"/>
        <v>1</v>
      </c>
      <c r="E410" s="166">
        <f t="shared" si="97"/>
        <v>1</v>
      </c>
      <c r="F410">
        <f t="shared" si="98"/>
        <v>35</v>
      </c>
      <c r="G410">
        <f>IF(ISNA(VLOOKUP(B410,'IA FG'!$B$2:$D$578,3,FALSE)),0,VLOOKUP(B410,'IA FG'!$B$2:$D$578,3,FALSE))</f>
        <v>65</v>
      </c>
      <c r="H410" s="166" t="str">
        <f t="shared" si="99"/>
        <v/>
      </c>
      <c r="I410" s="166">
        <f t="shared" si="100"/>
        <v>50</v>
      </c>
      <c r="J410" s="166" t="str">
        <f t="shared" si="101"/>
        <v/>
      </c>
      <c r="K410" s="166" t="str">
        <f t="shared" si="102"/>
        <v/>
      </c>
      <c r="L410" s="166" t="e">
        <f t="shared" si="103"/>
        <v>#N/A</v>
      </c>
    </row>
    <row r="411" spans="1:12">
      <c r="A411" t="s">
        <v>39</v>
      </c>
      <c r="B411" s="153" t="str">
        <f>Centrocampisti!B138</f>
        <v>FALLETTI</v>
      </c>
      <c r="C411" s="153" t="str">
        <f>Centrocampisti!C138</f>
        <v>BOL</v>
      </c>
      <c r="D411" s="166">
        <f t="shared" si="96"/>
        <v>1</v>
      </c>
      <c r="E411" s="166">
        <f t="shared" si="97"/>
        <v>1</v>
      </c>
      <c r="F411">
        <f t="shared" si="98"/>
        <v>35</v>
      </c>
      <c r="G411">
        <f>IF(ISNA(VLOOKUP(B411,'IA FG'!$B$2:$D$578,3,FALSE)),0,VLOOKUP(B411,'IA FG'!$B$2:$D$578,3,FALSE))</f>
        <v>70</v>
      </c>
      <c r="H411" s="166">
        <f t="shared" si="99"/>
        <v>0</v>
      </c>
      <c r="I411" s="166">
        <f t="shared" si="100"/>
        <v>50</v>
      </c>
      <c r="J411" s="166" t="str">
        <f t="shared" si="101"/>
        <v/>
      </c>
      <c r="K411" s="166" t="str">
        <f t="shared" si="102"/>
        <v/>
      </c>
      <c r="L411" s="166" t="e">
        <f t="shared" si="103"/>
        <v>#N/A</v>
      </c>
    </row>
    <row r="412" spans="1:12">
      <c r="A412" t="s">
        <v>39</v>
      </c>
      <c r="B412" s="153" t="str">
        <f>Centrocampisti!B139</f>
        <v>FARAGO'</v>
      </c>
      <c r="C412" s="153" t="str">
        <f>Centrocampisti!C139</f>
        <v>CAG</v>
      </c>
      <c r="D412" s="166">
        <f t="shared" si="96"/>
        <v>1</v>
      </c>
      <c r="E412" s="166">
        <f t="shared" si="97"/>
        <v>1</v>
      </c>
      <c r="F412">
        <f t="shared" si="98"/>
        <v>33</v>
      </c>
      <c r="G412">
        <f>IF(ISNA(VLOOKUP(B412,'IA FG'!$B$2:$D$578,3,FALSE)),0,VLOOKUP(B412,'IA FG'!$B$2:$D$578,3,FALSE))</f>
        <v>57</v>
      </c>
      <c r="H412" s="166" t="str">
        <f t="shared" si="99"/>
        <v/>
      </c>
      <c r="I412" s="166">
        <f t="shared" si="100"/>
        <v>50</v>
      </c>
      <c r="J412" s="166" t="str">
        <f t="shared" si="101"/>
        <v/>
      </c>
      <c r="K412" s="166" t="str">
        <f t="shared" si="102"/>
        <v/>
      </c>
      <c r="L412" s="166" t="e">
        <f t="shared" si="103"/>
        <v>#N/A</v>
      </c>
    </row>
    <row r="413" spans="1:12">
      <c r="A413" t="s">
        <v>39</v>
      </c>
      <c r="B413" s="153" t="str">
        <f>Centrocampisti!B140</f>
        <v>DESSENA</v>
      </c>
      <c r="C413" s="153" t="str">
        <f>Centrocampisti!C140</f>
        <v>CAG</v>
      </c>
      <c r="D413" s="166">
        <f t="shared" si="96"/>
        <v>1</v>
      </c>
      <c r="E413" s="166">
        <f t="shared" si="97"/>
        <v>1</v>
      </c>
      <c r="F413">
        <f t="shared" si="98"/>
        <v>33</v>
      </c>
      <c r="G413">
        <f>IF(ISNA(VLOOKUP(B413,'IA FG'!$B$2:$D$578,3,FALSE)),0,VLOOKUP(B413,'IA FG'!$B$2:$D$578,3,FALSE))</f>
        <v>68</v>
      </c>
      <c r="H413" s="166">
        <f t="shared" si="99"/>
        <v>-1</v>
      </c>
      <c r="I413" s="166">
        <f t="shared" si="100"/>
        <v>60</v>
      </c>
      <c r="J413" s="166" t="str">
        <f t="shared" si="101"/>
        <v/>
      </c>
      <c r="K413" s="166" t="str">
        <f t="shared" si="102"/>
        <v/>
      </c>
      <c r="L413" s="166" t="e">
        <f t="shared" si="103"/>
        <v>#N/A</v>
      </c>
    </row>
    <row r="414" spans="1:12">
      <c r="A414" t="s">
        <v>39</v>
      </c>
      <c r="B414" s="153" t="str">
        <f>Centrocampisti!B141</f>
        <v>HETEMAJ</v>
      </c>
      <c r="C414" s="153" t="str">
        <f>Centrocampisti!C141</f>
        <v>CHI</v>
      </c>
      <c r="D414" s="166">
        <f t="shared" si="96"/>
        <v>1</v>
      </c>
      <c r="E414" s="166">
        <f t="shared" si="97"/>
        <v>1</v>
      </c>
      <c r="F414">
        <f t="shared" si="98"/>
        <v>35</v>
      </c>
      <c r="G414">
        <f>IF(ISNA(VLOOKUP(B414,'IA FG'!$B$2:$D$578,3,FALSE)),0,VLOOKUP(B414,'IA FG'!$B$2:$D$578,3,FALSE))</f>
        <v>68</v>
      </c>
      <c r="H414" s="166">
        <f t="shared" si="99"/>
        <v>-1</v>
      </c>
      <c r="I414" s="166">
        <f t="shared" si="100"/>
        <v>80</v>
      </c>
      <c r="J414" s="166" t="str">
        <f t="shared" si="101"/>
        <v/>
      </c>
      <c r="K414" s="166" t="str">
        <f t="shared" si="102"/>
        <v/>
      </c>
      <c r="L414" s="166" t="e">
        <f t="shared" si="103"/>
        <v>#N/A</v>
      </c>
    </row>
    <row r="415" spans="1:12">
      <c r="A415" t="s">
        <v>39</v>
      </c>
      <c r="B415" s="153" t="str">
        <f>Centrocampisti!B142</f>
        <v>D'ALESSANDRO</v>
      </c>
      <c r="C415" s="153" t="str">
        <f>Centrocampisti!C142</f>
        <v>BEN</v>
      </c>
      <c r="D415" s="166">
        <f t="shared" si="96"/>
        <v>1</v>
      </c>
      <c r="E415" s="166">
        <f t="shared" si="97"/>
        <v>1</v>
      </c>
      <c r="F415">
        <f t="shared" si="98"/>
        <v>42</v>
      </c>
      <c r="G415">
        <f>IF(ISNA(VLOOKUP(B415,'IA FG'!$B$2:$D$578,3,FALSE)),0,VLOOKUP(B415,'IA FG'!$B$2:$D$578,3,FALSE))</f>
        <v>73</v>
      </c>
      <c r="H415" s="166">
        <f t="shared" si="99"/>
        <v>0</v>
      </c>
      <c r="I415" s="166">
        <f t="shared" si="100"/>
        <v>80</v>
      </c>
      <c r="J415" s="166" t="str">
        <f t="shared" si="101"/>
        <v/>
      </c>
      <c r="K415" s="166">
        <f t="shared" si="102"/>
        <v>2</v>
      </c>
      <c r="L415" s="166" t="e">
        <f t="shared" si="103"/>
        <v>#N/A</v>
      </c>
    </row>
    <row r="416" spans="1:12">
      <c r="A416" t="s">
        <v>39</v>
      </c>
      <c r="B416" s="153" t="str">
        <f>Centrocampisti!B143</f>
        <v>PEDRO NETO</v>
      </c>
      <c r="C416" s="153" t="str">
        <f>Centrocampisti!C143</f>
        <v>LAZ</v>
      </c>
      <c r="D416" s="166">
        <f t="shared" si="96"/>
        <v>1</v>
      </c>
      <c r="E416" s="166">
        <f t="shared" si="97"/>
        <v>1</v>
      </c>
      <c r="F416">
        <f t="shared" si="98"/>
        <v>29</v>
      </c>
      <c r="G416">
        <f>IF(ISNA(VLOOKUP(B416,'IA FG'!$B$2:$D$578,3,FALSE)),0,VLOOKUP(B416,'IA FG'!$B$2:$D$578,3,FALSE))</f>
        <v>0</v>
      </c>
      <c r="H416" s="166" t="str">
        <f t="shared" si="99"/>
        <v/>
      </c>
      <c r="I416" s="166">
        <f t="shared" si="100"/>
        <v>30</v>
      </c>
      <c r="J416" s="166" t="str">
        <f t="shared" si="101"/>
        <v/>
      </c>
      <c r="K416" s="166" t="str">
        <f t="shared" si="102"/>
        <v/>
      </c>
      <c r="L416" s="166" t="e">
        <f t="shared" si="103"/>
        <v>#N/A</v>
      </c>
    </row>
    <row r="417" spans="1:12">
      <c r="A417" t="s">
        <v>39</v>
      </c>
      <c r="B417" s="153" t="str">
        <f>Centrocampisti!B144</f>
        <v>MORA</v>
      </c>
      <c r="C417" s="153" t="str">
        <f>Centrocampisti!C144</f>
        <v>SPA</v>
      </c>
      <c r="D417" s="166">
        <f t="shared" si="96"/>
        <v>1</v>
      </c>
      <c r="E417" s="166">
        <f t="shared" si="97"/>
        <v>1</v>
      </c>
      <c r="F417">
        <f t="shared" si="98"/>
        <v>41</v>
      </c>
      <c r="G417">
        <f>IF(ISNA(VLOOKUP(B417,'IA FG'!$B$2:$D$578,3,FALSE)),0,VLOOKUP(B417,'IA FG'!$B$2:$D$578,3,FALSE))</f>
        <v>68</v>
      </c>
      <c r="H417" s="166">
        <f t="shared" si="99"/>
        <v>0</v>
      </c>
      <c r="I417" s="166">
        <f t="shared" si="100"/>
        <v>70</v>
      </c>
      <c r="J417" s="166" t="str">
        <f t="shared" si="101"/>
        <v/>
      </c>
      <c r="K417" s="166" t="str">
        <f t="shared" si="102"/>
        <v/>
      </c>
      <c r="L417" s="166" t="e">
        <f t="shared" si="103"/>
        <v>#N/A</v>
      </c>
    </row>
    <row r="418" spans="1:12">
      <c r="A418" t="s">
        <v>39</v>
      </c>
      <c r="B418" s="153" t="str">
        <f>Centrocampisti!B145</f>
        <v>RIGONI N</v>
      </c>
      <c r="C418" s="153" t="str">
        <f>Centrocampisti!C145</f>
        <v>CHI</v>
      </c>
      <c r="D418" s="166">
        <f t="shared" si="96"/>
        <v>1</v>
      </c>
      <c r="E418" s="166">
        <f t="shared" si="97"/>
        <v>1</v>
      </c>
      <c r="F418">
        <f t="shared" si="98"/>
        <v>34</v>
      </c>
      <c r="G418">
        <f>IF(ISNA(VLOOKUP(B418,'IA FG'!$B$2:$D$578,3,FALSE)),0,VLOOKUP(B418,'IA FG'!$B$2:$D$578,3,FALSE))</f>
        <v>56</v>
      </c>
      <c r="H418" s="166" t="str">
        <f t="shared" si="99"/>
        <v/>
      </c>
      <c r="I418" s="166">
        <f t="shared" si="100"/>
        <v>60</v>
      </c>
      <c r="J418" s="166" t="str">
        <f t="shared" si="101"/>
        <v/>
      </c>
      <c r="K418" s="166" t="str">
        <f t="shared" si="102"/>
        <v/>
      </c>
      <c r="L418" s="166" t="e">
        <f t="shared" si="103"/>
        <v>#N/A</v>
      </c>
    </row>
    <row r="419" spans="1:12">
      <c r="A419" t="s">
        <v>39</v>
      </c>
      <c r="B419" s="153" t="str">
        <f>Centrocampisti!B146</f>
        <v>FALCO</v>
      </c>
      <c r="C419" s="153" t="str">
        <f>Centrocampisti!C146</f>
        <v>BOL</v>
      </c>
      <c r="D419" s="166">
        <f t="shared" si="96"/>
        <v>1</v>
      </c>
      <c r="E419" s="166">
        <f t="shared" si="97"/>
        <v>1</v>
      </c>
      <c r="F419">
        <f t="shared" si="98"/>
        <v>34</v>
      </c>
      <c r="G419">
        <f>IF(ISNA(VLOOKUP(B419,'IA FG'!$B$2:$D$578,3,FALSE)),0,VLOOKUP(B419,'IA FG'!$B$2:$D$578,3,FALSE))</f>
        <v>65</v>
      </c>
      <c r="H419" s="166" t="str">
        <f t="shared" si="99"/>
        <v/>
      </c>
      <c r="I419" s="166">
        <f t="shared" si="100"/>
        <v>50</v>
      </c>
      <c r="J419" s="166" t="str">
        <f t="shared" si="101"/>
        <v/>
      </c>
      <c r="K419" s="166" t="str">
        <f t="shared" si="102"/>
        <v/>
      </c>
      <c r="L419" s="166" t="e">
        <f t="shared" si="103"/>
        <v>#N/A</v>
      </c>
    </row>
    <row r="420" spans="1:12">
      <c r="A420" t="s">
        <v>39</v>
      </c>
      <c r="B420" s="153" t="str">
        <f>Centrocampisti!B147</f>
        <v>MANDRAGORA</v>
      </c>
      <c r="C420" s="153" t="str">
        <f>Centrocampisti!C147</f>
        <v>CRO</v>
      </c>
      <c r="D420" s="166">
        <f t="shared" si="96"/>
        <v>1</v>
      </c>
      <c r="E420" s="166">
        <f t="shared" si="97"/>
        <v>1</v>
      </c>
      <c r="F420">
        <f t="shared" si="98"/>
        <v>35</v>
      </c>
      <c r="G420">
        <f>IF(ISNA(VLOOKUP(B420,'IA FG'!$B$2:$D$578,3,FALSE)),0,VLOOKUP(B420,'IA FG'!$B$2:$D$578,3,FALSE))</f>
        <v>68</v>
      </c>
      <c r="H420" s="166" t="str">
        <f t="shared" si="99"/>
        <v/>
      </c>
      <c r="I420" s="166">
        <f t="shared" si="100"/>
        <v>60</v>
      </c>
      <c r="J420" s="166" t="str">
        <f t="shared" si="101"/>
        <v/>
      </c>
      <c r="K420" s="166" t="str">
        <f t="shared" si="102"/>
        <v/>
      </c>
      <c r="L420" s="166" t="e">
        <f t="shared" si="103"/>
        <v>#N/A</v>
      </c>
    </row>
    <row r="421" spans="1:12">
      <c r="A421" t="s">
        <v>39</v>
      </c>
      <c r="B421" s="153" t="str">
        <f>Centrocampisti!B148</f>
        <v>IZCO</v>
      </c>
      <c r="C421" s="153" t="str">
        <f>Centrocampisti!C148</f>
        <v>CRO</v>
      </c>
      <c r="D421" s="166">
        <f t="shared" si="96"/>
        <v>1</v>
      </c>
      <c r="E421" s="166">
        <f t="shared" si="97"/>
        <v>1</v>
      </c>
      <c r="F421">
        <f t="shared" si="98"/>
        <v>35</v>
      </c>
      <c r="G421">
        <f>IF(ISNA(VLOOKUP(B421,'IA FG'!$B$2:$D$578,3,FALSE)),0,VLOOKUP(B421,'IA FG'!$B$2:$D$578,3,FALSE))</f>
        <v>69</v>
      </c>
      <c r="H421" s="166" t="str">
        <f t="shared" si="99"/>
        <v/>
      </c>
      <c r="I421" s="166">
        <f t="shared" si="100"/>
        <v>70</v>
      </c>
      <c r="J421" s="166" t="str">
        <f t="shared" si="101"/>
        <v/>
      </c>
      <c r="K421" s="166" t="str">
        <f t="shared" si="102"/>
        <v/>
      </c>
      <c r="L421" s="166" t="e">
        <f t="shared" si="103"/>
        <v>#N/A</v>
      </c>
    </row>
    <row r="422" spans="1:12">
      <c r="A422" t="s">
        <v>39</v>
      </c>
      <c r="B422" s="153" t="str">
        <f>Centrocampisti!B149</f>
        <v>DEIOLA</v>
      </c>
      <c r="C422" s="153" t="str">
        <f>Centrocampisti!C149</f>
        <v>CAG</v>
      </c>
      <c r="D422" s="166">
        <f t="shared" si="96"/>
        <v>1</v>
      </c>
      <c r="E422" s="166">
        <f t="shared" si="97"/>
        <v>1</v>
      </c>
      <c r="F422">
        <f t="shared" si="98"/>
        <v>32</v>
      </c>
      <c r="G422">
        <f>IF(ISNA(VLOOKUP(B422,'IA FG'!$B$2:$D$578,3,FALSE)),0,VLOOKUP(B422,'IA FG'!$B$2:$D$578,3,FALSE))</f>
        <v>68</v>
      </c>
      <c r="H422" s="166" t="str">
        <f t="shared" si="99"/>
        <v/>
      </c>
      <c r="I422" s="166">
        <f t="shared" si="100"/>
        <v>50</v>
      </c>
      <c r="J422" s="166" t="str">
        <f t="shared" si="101"/>
        <v/>
      </c>
      <c r="K422" s="166" t="str">
        <f t="shared" si="102"/>
        <v/>
      </c>
      <c r="L422" s="166" t="e">
        <f t="shared" si="103"/>
        <v>#N/A</v>
      </c>
    </row>
    <row r="423" spans="1:12">
      <c r="A423" t="s">
        <v>39</v>
      </c>
      <c r="B423" s="153" t="str">
        <f>Centrocampisti!B150</f>
        <v>VALOTI</v>
      </c>
      <c r="C423" s="153" t="str">
        <f>Centrocampisti!C150</f>
        <v>VER</v>
      </c>
      <c r="D423" s="166">
        <f t="shared" si="96"/>
        <v>1</v>
      </c>
      <c r="E423" s="166">
        <f t="shared" si="97"/>
        <v>1</v>
      </c>
      <c r="F423">
        <f t="shared" si="98"/>
        <v>34</v>
      </c>
      <c r="G423">
        <f>IF(ISNA(VLOOKUP(B423,'IA FG'!$B$2:$D$578,3,FALSE)),0,VLOOKUP(B423,'IA FG'!$B$2:$D$578,3,FALSE))</f>
        <v>64</v>
      </c>
      <c r="H423" s="166" t="str">
        <f t="shared" si="99"/>
        <v/>
      </c>
      <c r="I423" s="166">
        <f t="shared" si="100"/>
        <v>50</v>
      </c>
      <c r="J423" s="166" t="str">
        <f t="shared" si="101"/>
        <v/>
      </c>
      <c r="K423" s="166" t="str">
        <f t="shared" si="102"/>
        <v/>
      </c>
      <c r="L423" s="166" t="e">
        <f t="shared" si="103"/>
        <v>#N/A</v>
      </c>
    </row>
    <row r="424" spans="1:12">
      <c r="A424" t="s">
        <v>39</v>
      </c>
      <c r="B424" s="153" t="str">
        <f>Centrocampisti!B151</f>
        <v>ZACCAGNI</v>
      </c>
      <c r="C424" s="153" t="str">
        <f>Centrocampisti!C151</f>
        <v>VER</v>
      </c>
      <c r="D424" s="166">
        <f t="shared" si="96"/>
        <v>1</v>
      </c>
      <c r="E424" s="166">
        <f t="shared" si="97"/>
        <v>1</v>
      </c>
      <c r="F424">
        <f t="shared" si="98"/>
        <v>34</v>
      </c>
      <c r="G424">
        <f>IF(ISNA(VLOOKUP(B424,'IA FG'!$B$2:$D$578,3,FALSE)),0,VLOOKUP(B424,'IA FG'!$B$2:$D$578,3,FALSE))</f>
        <v>58</v>
      </c>
      <c r="H424" s="166" t="str">
        <f t="shared" si="99"/>
        <v/>
      </c>
      <c r="I424" s="166">
        <f t="shared" si="100"/>
        <v>50</v>
      </c>
      <c r="J424" s="166" t="str">
        <f t="shared" si="101"/>
        <v/>
      </c>
      <c r="K424" s="166" t="str">
        <f t="shared" si="102"/>
        <v/>
      </c>
      <c r="L424" s="166" t="e">
        <f t="shared" si="103"/>
        <v>#N/A</v>
      </c>
    </row>
    <row r="425" spans="1:12">
      <c r="A425" t="s">
        <v>39</v>
      </c>
      <c r="B425" s="153" t="str">
        <f>Centrocampisti!B152</f>
        <v>FOSSATI</v>
      </c>
      <c r="C425" s="153" t="str">
        <f>Centrocampisti!C152</f>
        <v>VER</v>
      </c>
      <c r="D425" s="166">
        <f t="shared" si="96"/>
        <v>1</v>
      </c>
      <c r="E425" s="166">
        <f t="shared" si="97"/>
        <v>1</v>
      </c>
      <c r="F425">
        <f t="shared" si="98"/>
        <v>34</v>
      </c>
      <c r="G425">
        <f>IF(ISNA(VLOOKUP(B425,'IA FG'!$B$2:$D$578,3,FALSE)),0,VLOOKUP(B425,'IA FG'!$B$2:$D$578,3,FALSE))</f>
        <v>66</v>
      </c>
      <c r="H425" s="166" t="str">
        <f t="shared" si="99"/>
        <v/>
      </c>
      <c r="I425" s="166">
        <f t="shared" si="100"/>
        <v>60</v>
      </c>
      <c r="J425" s="166" t="str">
        <f t="shared" si="101"/>
        <v/>
      </c>
      <c r="K425" s="166" t="str">
        <f t="shared" si="102"/>
        <v/>
      </c>
      <c r="L425" s="166" t="e">
        <f t="shared" si="103"/>
        <v>#N/A</v>
      </c>
    </row>
    <row r="426" spans="1:12">
      <c r="A426" t="s">
        <v>39</v>
      </c>
      <c r="B426" s="153" t="str">
        <f>Centrocampisti!B153</f>
        <v>BRUNO JORDAO</v>
      </c>
      <c r="C426" s="153" t="str">
        <f>Centrocampisti!C153</f>
        <v>LAZ</v>
      </c>
      <c r="D426" s="166">
        <f t="shared" si="96"/>
        <v>1</v>
      </c>
      <c r="E426" s="166">
        <f t="shared" si="97"/>
        <v>1</v>
      </c>
      <c r="F426">
        <f t="shared" si="98"/>
        <v>28</v>
      </c>
      <c r="G426">
        <f>IF(ISNA(VLOOKUP(B426,'IA FG'!$B$2:$D$578,3,FALSE)),0,VLOOKUP(B426,'IA FG'!$B$2:$D$578,3,FALSE))</f>
        <v>0</v>
      </c>
      <c r="H426" s="166" t="str">
        <f t="shared" si="99"/>
        <v/>
      </c>
      <c r="I426" s="166">
        <f t="shared" si="100"/>
        <v>30</v>
      </c>
      <c r="J426" s="166" t="str">
        <f t="shared" si="101"/>
        <v/>
      </c>
      <c r="K426" s="166" t="str">
        <f t="shared" si="102"/>
        <v/>
      </c>
      <c r="L426" s="166" t="e">
        <f t="shared" si="103"/>
        <v>#N/A</v>
      </c>
    </row>
    <row r="427" spans="1:12">
      <c r="A427" t="s">
        <v>39</v>
      </c>
      <c r="B427" s="153" t="str">
        <f>Centrocampisti!B154</f>
        <v>GAUDINO</v>
      </c>
      <c r="C427" s="153" t="str">
        <f>Centrocampisti!C154</f>
        <v>CHI</v>
      </c>
      <c r="D427" s="166">
        <f t="shared" si="96"/>
        <v>1</v>
      </c>
      <c r="E427" s="166">
        <f t="shared" si="97"/>
        <v>1</v>
      </c>
      <c r="F427">
        <f t="shared" si="98"/>
        <v>33</v>
      </c>
      <c r="G427">
        <f>IF(ISNA(VLOOKUP(B427,'IA FG'!$B$2:$D$578,3,FALSE)),0,VLOOKUP(B427,'IA FG'!$B$2:$D$578,3,FALSE))</f>
        <v>66</v>
      </c>
      <c r="H427" s="166" t="str">
        <f t="shared" si="99"/>
        <v/>
      </c>
      <c r="I427" s="166">
        <f t="shared" si="100"/>
        <v>50</v>
      </c>
      <c r="J427" s="166">
        <f t="shared" si="101"/>
        <v>3</v>
      </c>
      <c r="K427" s="166">
        <f t="shared" si="102"/>
        <v>2</v>
      </c>
      <c r="L427" s="166" t="e">
        <f t="shared" si="103"/>
        <v>#N/A</v>
      </c>
    </row>
    <row r="428" spans="1:12">
      <c r="A428" t="s">
        <v>39</v>
      </c>
      <c r="B428" s="153" t="str">
        <f>Centrocampisti!B155</f>
        <v>KRAGL</v>
      </c>
      <c r="C428" s="153" t="str">
        <f>Centrocampisti!C155</f>
        <v>CRO</v>
      </c>
      <c r="D428" s="166">
        <f t="shared" si="96"/>
        <v>1</v>
      </c>
      <c r="E428" s="166">
        <f t="shared" si="97"/>
        <v>1</v>
      </c>
      <c r="F428">
        <f t="shared" si="98"/>
        <v>34</v>
      </c>
      <c r="G428">
        <f>IF(ISNA(VLOOKUP(B428,'IA FG'!$B$2:$D$578,3,FALSE)),0,VLOOKUP(B428,'IA FG'!$B$2:$D$578,3,FALSE))</f>
        <v>73</v>
      </c>
      <c r="H428" s="166">
        <f t="shared" si="99"/>
        <v>-1</v>
      </c>
      <c r="I428" s="166">
        <f t="shared" si="100"/>
        <v>50</v>
      </c>
      <c r="J428" s="166" t="str">
        <f t="shared" si="101"/>
        <v/>
      </c>
      <c r="K428" s="166">
        <f t="shared" si="102"/>
        <v>2</v>
      </c>
      <c r="L428" s="166" t="e">
        <f t="shared" si="103"/>
        <v>#N/A</v>
      </c>
    </row>
    <row r="429" spans="1:12">
      <c r="A429" t="s">
        <v>39</v>
      </c>
      <c r="B429" s="153" t="str">
        <f>Centrocampisti!B156</f>
        <v>CROCIATA</v>
      </c>
      <c r="C429" s="153" t="str">
        <f>Centrocampisti!C156</f>
        <v>CRO</v>
      </c>
      <c r="D429" s="166">
        <f t="shared" si="96"/>
        <v>1</v>
      </c>
      <c r="E429" s="166">
        <f t="shared" si="97"/>
        <v>1</v>
      </c>
      <c r="F429">
        <f t="shared" si="98"/>
        <v>34</v>
      </c>
      <c r="G429">
        <f>IF(ISNA(VLOOKUP(B429,'IA FG'!$B$2:$D$578,3,FALSE)),0,VLOOKUP(B429,'IA FG'!$B$2:$D$578,3,FALSE))</f>
        <v>64</v>
      </c>
      <c r="H429" s="166" t="str">
        <f t="shared" si="99"/>
        <v/>
      </c>
      <c r="I429" s="166">
        <f t="shared" si="100"/>
        <v>50</v>
      </c>
      <c r="J429" s="166" t="str">
        <f t="shared" si="101"/>
        <v/>
      </c>
      <c r="K429" s="166" t="str">
        <f t="shared" si="102"/>
        <v/>
      </c>
      <c r="L429" s="166" t="e">
        <f t="shared" si="103"/>
        <v>#N/A</v>
      </c>
    </row>
    <row r="430" spans="1:12">
      <c r="A430" t="s">
        <v>39</v>
      </c>
      <c r="B430" s="153" t="str">
        <f>Centrocampisti!B157</f>
        <v>CRECCO</v>
      </c>
      <c r="C430" s="153" t="str">
        <f>Centrocampisti!C157</f>
        <v>LAZ</v>
      </c>
      <c r="D430" s="166">
        <f t="shared" si="96"/>
        <v>1</v>
      </c>
      <c r="E430" s="166">
        <f t="shared" si="97"/>
        <v>1</v>
      </c>
      <c r="F430">
        <f t="shared" si="98"/>
        <v>28</v>
      </c>
      <c r="G430">
        <f>IF(ISNA(VLOOKUP(B430,'IA FG'!$B$2:$D$578,3,FALSE)),0,VLOOKUP(B430,'IA FG'!$B$2:$D$578,3,FALSE))</f>
        <v>49</v>
      </c>
      <c r="H430" s="166" t="str">
        <f t="shared" si="99"/>
        <v/>
      </c>
      <c r="I430" s="166">
        <f t="shared" si="100"/>
        <v>30</v>
      </c>
      <c r="J430" s="166" t="str">
        <f t="shared" si="101"/>
        <v/>
      </c>
      <c r="K430" s="166" t="str">
        <f t="shared" si="102"/>
        <v/>
      </c>
      <c r="L430" s="166" t="e">
        <f t="shared" si="103"/>
        <v>#N/A</v>
      </c>
    </row>
    <row r="431" spans="1:12">
      <c r="A431" t="s">
        <v>39</v>
      </c>
      <c r="B431" s="153" t="str">
        <f>Centrocampisti!B158</f>
        <v>CRISETIG</v>
      </c>
      <c r="C431" s="153" t="str">
        <f>Centrocampisti!C158</f>
        <v>BOL</v>
      </c>
      <c r="D431" s="166">
        <f t="shared" si="96"/>
        <v>1</v>
      </c>
      <c r="E431" s="166">
        <f t="shared" si="97"/>
        <v>1</v>
      </c>
      <c r="F431">
        <f t="shared" si="98"/>
        <v>33</v>
      </c>
      <c r="G431">
        <f>IF(ISNA(VLOOKUP(B431,'IA FG'!$B$2:$D$578,3,FALSE)),0,VLOOKUP(B431,'IA FG'!$B$2:$D$578,3,FALSE))</f>
        <v>60</v>
      </c>
      <c r="H431" s="166" t="str">
        <f t="shared" si="99"/>
        <v/>
      </c>
      <c r="I431" s="166">
        <f t="shared" si="100"/>
        <v>50</v>
      </c>
      <c r="J431" s="166" t="str">
        <f t="shared" si="101"/>
        <v/>
      </c>
      <c r="K431" s="166" t="str">
        <f t="shared" si="102"/>
        <v/>
      </c>
      <c r="L431" s="166" t="e">
        <f t="shared" si="103"/>
        <v>#N/A</v>
      </c>
    </row>
    <row r="432" spans="1:12">
      <c r="A432" t="s">
        <v>39</v>
      </c>
      <c r="B432" s="153" t="str">
        <f>Centrocampisti!B159</f>
        <v>PULGAR</v>
      </c>
      <c r="C432" s="153" t="str">
        <f>Centrocampisti!C159</f>
        <v>BOL</v>
      </c>
      <c r="D432" s="166">
        <f t="shared" si="96"/>
        <v>1</v>
      </c>
      <c r="E432" s="166">
        <f t="shared" si="97"/>
        <v>1</v>
      </c>
      <c r="F432">
        <f t="shared" si="98"/>
        <v>33</v>
      </c>
      <c r="G432">
        <f>IF(ISNA(VLOOKUP(B432,'IA FG'!$B$2:$D$578,3,FALSE)),0,VLOOKUP(B432,'IA FG'!$B$2:$D$578,3,FALSE))</f>
        <v>64</v>
      </c>
      <c r="H432" s="166">
        <f t="shared" si="99"/>
        <v>-1</v>
      </c>
      <c r="I432" s="166">
        <f t="shared" si="100"/>
        <v>60</v>
      </c>
      <c r="J432" s="166" t="str">
        <f t="shared" si="101"/>
        <v/>
      </c>
      <c r="K432" s="166" t="str">
        <f t="shared" si="102"/>
        <v/>
      </c>
      <c r="L432" s="166" t="e">
        <f t="shared" si="103"/>
        <v>#N/A</v>
      </c>
    </row>
    <row r="433" spans="1:12">
      <c r="A433" t="s">
        <v>39</v>
      </c>
      <c r="B433" s="153" t="str">
        <f>Centrocampisti!B160</f>
        <v>BUCHEL</v>
      </c>
      <c r="C433" s="153" t="str">
        <f>Centrocampisti!C160</f>
        <v>VER</v>
      </c>
      <c r="D433" s="166">
        <f t="shared" si="96"/>
        <v>1</v>
      </c>
      <c r="E433" s="166">
        <f t="shared" si="97"/>
        <v>1</v>
      </c>
      <c r="F433">
        <f t="shared" si="98"/>
        <v>33</v>
      </c>
      <c r="G433">
        <f>IF(ISNA(VLOOKUP(B433,'IA FG'!$B$2:$D$578,3,FALSE)),0,VLOOKUP(B433,'IA FG'!$B$2:$D$578,3,FALSE))</f>
        <v>72</v>
      </c>
      <c r="H433" s="166" t="str">
        <f t="shared" si="99"/>
        <v/>
      </c>
      <c r="I433" s="166">
        <f t="shared" si="100"/>
        <v>60</v>
      </c>
      <c r="J433" s="166" t="str">
        <f t="shared" si="101"/>
        <v/>
      </c>
      <c r="K433" s="166" t="str">
        <f t="shared" si="102"/>
        <v/>
      </c>
      <c r="L433" s="166" t="e">
        <f t="shared" si="103"/>
        <v>#N/A</v>
      </c>
    </row>
    <row r="434" spans="1:12">
      <c r="A434" t="s">
        <v>39</v>
      </c>
      <c r="B434" s="153" t="str">
        <f>Centrocampisti!B161</f>
        <v>VIVIANI</v>
      </c>
      <c r="C434" s="153" t="str">
        <f>Centrocampisti!C161</f>
        <v>SPA</v>
      </c>
      <c r="D434" s="166">
        <f t="shared" si="96"/>
        <v>1</v>
      </c>
      <c r="E434" s="166">
        <f t="shared" si="97"/>
        <v>1</v>
      </c>
      <c r="F434">
        <f t="shared" si="98"/>
        <v>39</v>
      </c>
      <c r="G434">
        <f>IF(ISNA(VLOOKUP(B434,'IA FG'!$B$2:$D$578,3,FALSE)),0,VLOOKUP(B434,'IA FG'!$B$2:$D$578,3,FALSE))</f>
        <v>74</v>
      </c>
      <c r="H434" s="166">
        <f t="shared" si="99"/>
        <v>0</v>
      </c>
      <c r="I434" s="166">
        <f t="shared" si="100"/>
        <v>80</v>
      </c>
      <c r="J434" s="166">
        <f t="shared" si="101"/>
        <v>3</v>
      </c>
      <c r="K434" s="166">
        <f t="shared" si="102"/>
        <v>1</v>
      </c>
      <c r="L434" s="166">
        <f t="shared" si="103"/>
        <v>1</v>
      </c>
    </row>
    <row r="435" spans="1:12">
      <c r="A435" t="s">
        <v>39</v>
      </c>
      <c r="B435" s="153" t="str">
        <f>Centrocampisti!B162</f>
        <v>BIONDINI</v>
      </c>
      <c r="C435" s="153" t="str">
        <f>Centrocampisti!C162</f>
        <v>SAS</v>
      </c>
      <c r="D435" s="166">
        <f t="shared" ref="D435:D462" si="104">IF(ISNA(VLOOKUP($B435,TabAlgCen,11,FALSE)),0,VLOOKUP($B435,TabAlgCen,11,FALSE))</f>
        <v>1</v>
      </c>
      <c r="E435" s="166">
        <f t="shared" ref="E435:E462" si="105">IF(ISNA(VLOOKUP($B435,TabAlgCen,14,FALSE)),0,VLOOKUP($B435,TabAlgCen,14,FALSE))</f>
        <v>1</v>
      </c>
      <c r="F435">
        <f t="shared" ref="F435:F462" si="106">IF(ISNA(VLOOKUP($B435,TabAlgCen,15,FALSE)),0,VLOOKUP($B435,TabAlgCen,15,FALSE))</f>
        <v>31</v>
      </c>
      <c r="G435">
        <f>IF(ISNA(VLOOKUP(B435,'IA FG'!$B$2:$D$578,3,FALSE)),0,VLOOKUP(B435,'IA FG'!$B$2:$D$578,3,FALSE))</f>
        <v>64</v>
      </c>
      <c r="H435" s="166" t="str">
        <f t="shared" ref="H435:H462" si="107">IF(ISNA(VLOOKUP($B435,TabAlgCen,16,FALSE)),"",VLOOKUP($B435,TabAlgCen,16,FALSE))</f>
        <v/>
      </c>
      <c r="I435" s="166">
        <f t="shared" ref="I435:I462" si="108">IF(ISNA(VLOOKUP($B435,TabAlgCen,4,FALSE)),0,VLOOKUP($B435,TabAlgCen,4,FALSE))*10</f>
        <v>50</v>
      </c>
      <c r="J435" s="166" t="str">
        <f t="shared" ref="J435:J462" si="109">IF(ISNA(VLOOKUP($B435,TabAlgCen,17,FALSE)),"",VLOOKUP($B435,TabAlgCen,17,FALSE))</f>
        <v/>
      </c>
      <c r="K435" s="166" t="str">
        <f t="shared" ref="K435:K462" si="110">IF(ISNA(VLOOKUP($B435,TabAlgCen,18,FALSE)),"",VLOOKUP($B435,TabAlgCen,18,FALSE))</f>
        <v/>
      </c>
      <c r="L435" s="166" t="e">
        <f t="shared" ref="L435:L462" si="111">VLOOKUP($B435,TabAlgCen,19,FALSE)</f>
        <v>#N/A</v>
      </c>
    </row>
    <row r="436" spans="1:12">
      <c r="A436" t="s">
        <v>39</v>
      </c>
      <c r="B436" s="153" t="str">
        <f>Centrocampisti!B163</f>
        <v>VIOLA</v>
      </c>
      <c r="C436" s="153" t="str">
        <f>Centrocampisti!C163</f>
        <v>BEN</v>
      </c>
      <c r="D436" s="166">
        <f t="shared" si="104"/>
        <v>1</v>
      </c>
      <c r="E436" s="166">
        <f t="shared" si="105"/>
        <v>1</v>
      </c>
      <c r="F436">
        <f t="shared" si="106"/>
        <v>39</v>
      </c>
      <c r="G436">
        <f>IF(ISNA(VLOOKUP(B436,'IA FG'!$B$2:$D$578,3,FALSE)),0,VLOOKUP(B436,'IA FG'!$B$2:$D$578,3,FALSE))</f>
        <v>63</v>
      </c>
      <c r="H436" s="166" t="str">
        <f t="shared" si="107"/>
        <v/>
      </c>
      <c r="I436" s="166">
        <f t="shared" si="108"/>
        <v>70</v>
      </c>
      <c r="J436" s="166" t="str">
        <f t="shared" si="109"/>
        <v/>
      </c>
      <c r="K436" s="166">
        <f t="shared" si="110"/>
        <v>3</v>
      </c>
      <c r="L436" s="166">
        <f t="shared" si="111"/>
        <v>1</v>
      </c>
    </row>
    <row r="437" spans="1:12">
      <c r="A437" t="s">
        <v>39</v>
      </c>
      <c r="B437" s="153" t="str">
        <f>Centrocampisti!B164</f>
        <v>CATALDI</v>
      </c>
      <c r="C437" s="153" t="str">
        <f>Centrocampisti!C164</f>
        <v>BEN</v>
      </c>
      <c r="D437" s="166">
        <f t="shared" si="104"/>
        <v>1</v>
      </c>
      <c r="E437" s="166">
        <f t="shared" si="105"/>
        <v>1</v>
      </c>
      <c r="F437">
        <f t="shared" si="106"/>
        <v>39</v>
      </c>
      <c r="G437">
        <f>IF(ISNA(VLOOKUP(B437,'IA FG'!$B$2:$D$578,3,FALSE)),0,VLOOKUP(B437,'IA FG'!$B$2:$D$578,3,FALSE))</f>
        <v>73</v>
      </c>
      <c r="H437" s="166" t="str">
        <f t="shared" si="107"/>
        <v/>
      </c>
      <c r="I437" s="166">
        <f t="shared" si="108"/>
        <v>80</v>
      </c>
      <c r="J437" s="166" t="str">
        <f t="shared" si="109"/>
        <v/>
      </c>
      <c r="K437" s="166" t="str">
        <f t="shared" si="110"/>
        <v/>
      </c>
      <c r="L437" s="166" t="e">
        <f t="shared" si="111"/>
        <v>#N/A</v>
      </c>
    </row>
    <row r="438" spans="1:12">
      <c r="A438" t="s">
        <v>39</v>
      </c>
      <c r="B438" s="153" t="str">
        <f>Centrocampisti!B165</f>
        <v>VALENCIA</v>
      </c>
      <c r="C438" s="153" t="str">
        <f>Centrocampisti!C165</f>
        <v>BOL</v>
      </c>
      <c r="D438" s="166">
        <f t="shared" si="104"/>
        <v>1</v>
      </c>
      <c r="E438" s="166">
        <f t="shared" si="105"/>
        <v>1</v>
      </c>
      <c r="F438">
        <f t="shared" si="106"/>
        <v>31</v>
      </c>
      <c r="G438">
        <f>IF(ISNA(VLOOKUP(B438,'IA FG'!$B$2:$D$578,3,FALSE)),0,VLOOKUP(B438,'IA FG'!$B$2:$D$578,3,FALSE))</f>
        <v>50</v>
      </c>
      <c r="H438" s="166" t="str">
        <f t="shared" si="107"/>
        <v/>
      </c>
      <c r="I438" s="166">
        <f t="shared" si="108"/>
        <v>40</v>
      </c>
      <c r="J438" s="166" t="str">
        <f t="shared" si="109"/>
        <v/>
      </c>
      <c r="K438" s="166" t="str">
        <f t="shared" si="110"/>
        <v/>
      </c>
      <c r="L438" s="166" t="e">
        <f t="shared" si="111"/>
        <v>#N/A</v>
      </c>
    </row>
    <row r="439" spans="1:12">
      <c r="A439" t="s">
        <v>39</v>
      </c>
      <c r="B439" s="153" t="str">
        <f>Centrocampisti!B166</f>
        <v>SCHIATTARELLA</v>
      </c>
      <c r="C439" s="153" t="str">
        <f>Centrocampisti!C166</f>
        <v>SPA</v>
      </c>
      <c r="D439" s="166">
        <f t="shared" si="104"/>
        <v>1</v>
      </c>
      <c r="E439" s="166">
        <f t="shared" si="105"/>
        <v>1</v>
      </c>
      <c r="F439">
        <f t="shared" si="106"/>
        <v>38</v>
      </c>
      <c r="G439">
        <f>IF(ISNA(VLOOKUP(B439,'IA FG'!$B$2:$D$578,3,FALSE)),0,VLOOKUP(B439,'IA FG'!$B$2:$D$578,3,FALSE))</f>
        <v>58</v>
      </c>
      <c r="H439" s="166" t="str">
        <f t="shared" si="107"/>
        <v/>
      </c>
      <c r="I439" s="166">
        <f t="shared" si="108"/>
        <v>70</v>
      </c>
      <c r="J439" s="166" t="str">
        <f t="shared" si="109"/>
        <v/>
      </c>
      <c r="K439" s="166" t="str">
        <f t="shared" si="110"/>
        <v/>
      </c>
      <c r="L439" s="166">
        <f t="shared" si="111"/>
        <v>2</v>
      </c>
    </row>
    <row r="440" spans="1:12">
      <c r="A440" t="s">
        <v>39</v>
      </c>
      <c r="B440" s="153" t="str">
        <f>Centrocampisti!B167</f>
        <v>MOUNIER</v>
      </c>
      <c r="C440" s="153" t="str">
        <f>Centrocampisti!C167</f>
        <v>BOL</v>
      </c>
      <c r="D440" s="166">
        <f t="shared" si="104"/>
        <v>1</v>
      </c>
      <c r="E440" s="166">
        <f t="shared" si="105"/>
        <v>1</v>
      </c>
      <c r="F440">
        <f t="shared" si="106"/>
        <v>31</v>
      </c>
      <c r="G440">
        <f>IF(ISNA(VLOOKUP(B440,'IA FG'!$B$2:$D$578,3,FALSE)),0,VLOOKUP(B440,'IA FG'!$B$2:$D$578,3,FALSE))</f>
        <v>49</v>
      </c>
      <c r="H440" s="166" t="str">
        <f t="shared" si="107"/>
        <v/>
      </c>
      <c r="I440" s="166">
        <f t="shared" si="108"/>
        <v>40</v>
      </c>
      <c r="J440" s="166" t="str">
        <f t="shared" si="109"/>
        <v/>
      </c>
      <c r="K440" s="166" t="str">
        <f t="shared" si="110"/>
        <v/>
      </c>
      <c r="L440" s="166" t="e">
        <f t="shared" si="111"/>
        <v>#N/A</v>
      </c>
    </row>
    <row r="441" spans="1:12">
      <c r="A441" t="s">
        <v>39</v>
      </c>
      <c r="B441" s="153" t="str">
        <f>Centrocampisti!B168</f>
        <v>MEMUSHAJ</v>
      </c>
      <c r="C441" s="153" t="str">
        <f>Centrocampisti!C168</f>
        <v>BEN</v>
      </c>
      <c r="D441" s="166">
        <f t="shared" si="104"/>
        <v>1</v>
      </c>
      <c r="E441" s="166">
        <f t="shared" si="105"/>
        <v>1</v>
      </c>
      <c r="F441">
        <f t="shared" si="106"/>
        <v>38</v>
      </c>
      <c r="G441">
        <f>IF(ISNA(VLOOKUP(B441,'IA FG'!$B$2:$D$578,3,FALSE)),0,VLOOKUP(B441,'IA FG'!$B$2:$D$578,3,FALSE))</f>
        <v>66</v>
      </c>
      <c r="H441" s="166" t="str">
        <f t="shared" si="107"/>
        <v/>
      </c>
      <c r="I441" s="166">
        <f t="shared" si="108"/>
        <v>70</v>
      </c>
      <c r="J441" s="166" t="str">
        <f t="shared" si="109"/>
        <v/>
      </c>
      <c r="K441" s="166" t="str">
        <f t="shared" si="110"/>
        <v/>
      </c>
      <c r="L441" s="166" t="e">
        <f t="shared" si="111"/>
        <v>#N/A</v>
      </c>
    </row>
    <row r="442" spans="1:12">
      <c r="A442" t="s">
        <v>39</v>
      </c>
      <c r="B442" s="153" t="str">
        <f>Centrocampisti!B169</f>
        <v>CHIBSAH</v>
      </c>
      <c r="C442" s="153" t="str">
        <f>Centrocampisti!C169</f>
        <v>BEN</v>
      </c>
      <c r="D442" s="166">
        <f t="shared" si="104"/>
        <v>1</v>
      </c>
      <c r="E442" s="166">
        <f t="shared" si="105"/>
        <v>1</v>
      </c>
      <c r="F442">
        <f t="shared" si="106"/>
        <v>38</v>
      </c>
      <c r="G442">
        <f>IF(ISNA(VLOOKUP(B442,'IA FG'!$B$2:$D$578,3,FALSE)),0,VLOOKUP(B442,'IA FG'!$B$2:$D$578,3,FALSE))</f>
        <v>72</v>
      </c>
      <c r="H442" s="166">
        <f t="shared" si="107"/>
        <v>-1</v>
      </c>
      <c r="I442" s="166">
        <f t="shared" si="108"/>
        <v>70</v>
      </c>
      <c r="J442" s="166" t="str">
        <f t="shared" si="109"/>
        <v/>
      </c>
      <c r="K442" s="166" t="str">
        <f t="shared" si="110"/>
        <v/>
      </c>
      <c r="L442" s="166" t="e">
        <f t="shared" si="111"/>
        <v>#N/A</v>
      </c>
    </row>
    <row r="443" spans="1:12">
      <c r="A443" t="s">
        <v>39</v>
      </c>
      <c r="B443" s="153" t="str">
        <f>Centrocampisti!B170</f>
        <v>SULJIC</v>
      </c>
      <c r="C443" s="153" t="str">
        <f>Centrocampisti!C170</f>
        <v>CRO</v>
      </c>
      <c r="D443" s="166">
        <f t="shared" si="104"/>
        <v>1</v>
      </c>
      <c r="E443" s="166">
        <f t="shared" si="105"/>
        <v>1</v>
      </c>
      <c r="F443">
        <f t="shared" si="106"/>
        <v>31</v>
      </c>
      <c r="G443">
        <f>IF(ISNA(VLOOKUP(B443,'IA FG'!$B$2:$D$578,3,FALSE)),0,VLOOKUP(B443,'IA FG'!$B$2:$D$578,3,FALSE))</f>
        <v>40</v>
      </c>
      <c r="H443" s="166" t="str">
        <f t="shared" si="107"/>
        <v/>
      </c>
      <c r="I443" s="166">
        <f t="shared" si="108"/>
        <v>40</v>
      </c>
      <c r="J443" s="166" t="str">
        <f t="shared" si="109"/>
        <v/>
      </c>
      <c r="K443" s="166" t="str">
        <f t="shared" si="110"/>
        <v/>
      </c>
      <c r="L443" s="166" t="e">
        <f t="shared" si="111"/>
        <v>#N/A</v>
      </c>
    </row>
    <row r="444" spans="1:12">
      <c r="A444" t="s">
        <v>39</v>
      </c>
      <c r="B444" s="153" t="str">
        <f>Centrocampisti!B171</f>
        <v>LAZZARI M</v>
      </c>
      <c r="C444" s="153" t="str">
        <f>Centrocampisti!C171</f>
        <v>SPA</v>
      </c>
      <c r="D444" s="166">
        <f t="shared" si="104"/>
        <v>1</v>
      </c>
      <c r="E444" s="166">
        <f t="shared" si="105"/>
        <v>1</v>
      </c>
      <c r="F444">
        <f t="shared" si="106"/>
        <v>37</v>
      </c>
      <c r="G444">
        <f>IF(ISNA(VLOOKUP(B444,'IA FG'!$B$2:$D$578,3,FALSE)),0,VLOOKUP(B444,'IA FG'!$B$2:$D$578,3,FALSE))</f>
        <v>73</v>
      </c>
      <c r="H444" s="166" t="str">
        <f t="shared" si="107"/>
        <v/>
      </c>
      <c r="I444" s="166">
        <f t="shared" si="108"/>
        <v>70</v>
      </c>
      <c r="J444" s="166" t="str">
        <f t="shared" si="109"/>
        <v/>
      </c>
      <c r="K444" s="166" t="str">
        <f t="shared" si="110"/>
        <v/>
      </c>
      <c r="L444" s="166" t="e">
        <f t="shared" si="111"/>
        <v>#N/A</v>
      </c>
    </row>
    <row r="445" spans="1:12">
      <c r="A445" t="s">
        <v>39</v>
      </c>
      <c r="B445" s="153" t="str">
        <f>Centrocampisti!B172</f>
        <v>CASSATA</v>
      </c>
      <c r="C445" s="153" t="str">
        <f>Centrocampisti!C172</f>
        <v>SAS</v>
      </c>
      <c r="D445" s="166">
        <f t="shared" si="104"/>
        <v>1</v>
      </c>
      <c r="E445" s="166">
        <f t="shared" si="105"/>
        <v>1</v>
      </c>
      <c r="F445">
        <f t="shared" si="106"/>
        <v>29</v>
      </c>
      <c r="G445">
        <f>IF(ISNA(VLOOKUP(B445,'IA FG'!$B$2:$D$578,3,FALSE)),0,VLOOKUP(B445,'IA FG'!$B$2:$D$578,3,FALSE))</f>
        <v>57</v>
      </c>
      <c r="H445" s="166" t="str">
        <f t="shared" si="107"/>
        <v/>
      </c>
      <c r="I445" s="166">
        <f t="shared" si="108"/>
        <v>40</v>
      </c>
      <c r="J445" s="166" t="str">
        <f t="shared" si="109"/>
        <v/>
      </c>
      <c r="K445" s="166" t="str">
        <f t="shared" si="110"/>
        <v/>
      </c>
      <c r="L445" s="166" t="e">
        <f t="shared" si="111"/>
        <v>#N/A</v>
      </c>
    </row>
    <row r="446" spans="1:12">
      <c r="A446" t="s">
        <v>39</v>
      </c>
      <c r="B446" s="153" t="str">
        <f>Centrocampisti!B173</f>
        <v>ZUCULINI F</v>
      </c>
      <c r="C446" s="153" t="str">
        <f>Centrocampisti!C173</f>
        <v>VER</v>
      </c>
      <c r="D446" s="166">
        <f t="shared" si="104"/>
        <v>1</v>
      </c>
      <c r="E446" s="166">
        <f t="shared" si="105"/>
        <v>1</v>
      </c>
      <c r="F446">
        <f t="shared" si="106"/>
        <v>30</v>
      </c>
      <c r="G446">
        <f>IF(ISNA(VLOOKUP(B446,'IA FG'!$B$2:$D$578,3,FALSE)),0,VLOOKUP(B446,'IA FG'!$B$2:$D$578,3,FALSE))</f>
        <v>30</v>
      </c>
      <c r="H446" s="166" t="str">
        <f t="shared" si="107"/>
        <v/>
      </c>
      <c r="I446" s="166">
        <f t="shared" si="108"/>
        <v>60</v>
      </c>
      <c r="J446" s="166" t="str">
        <f t="shared" si="109"/>
        <v/>
      </c>
      <c r="K446" s="166" t="str">
        <f t="shared" si="110"/>
        <v/>
      </c>
      <c r="L446" s="166" t="e">
        <f t="shared" si="111"/>
        <v>#N/A</v>
      </c>
    </row>
    <row r="447" spans="1:12">
      <c r="A447" t="s">
        <v>39</v>
      </c>
      <c r="B447" s="153" t="str">
        <f>Centrocampisti!B174</f>
        <v>MELARA</v>
      </c>
      <c r="C447" s="153" t="str">
        <f>Centrocampisti!C174</f>
        <v>BEN</v>
      </c>
      <c r="D447" s="166">
        <f t="shared" si="104"/>
        <v>1</v>
      </c>
      <c r="E447" s="166">
        <f t="shared" si="105"/>
        <v>1</v>
      </c>
      <c r="F447">
        <f t="shared" si="106"/>
        <v>31</v>
      </c>
      <c r="G447">
        <f>IF(ISNA(VLOOKUP(B447,'IA FG'!$B$2:$D$578,3,FALSE)),0,VLOOKUP(B447,'IA FG'!$B$2:$D$578,3,FALSE))</f>
        <v>45</v>
      </c>
      <c r="H447" s="166" t="str">
        <f t="shared" si="107"/>
        <v/>
      </c>
      <c r="I447" s="166">
        <f t="shared" si="108"/>
        <v>40</v>
      </c>
      <c r="J447" s="166" t="str">
        <f t="shared" si="109"/>
        <v/>
      </c>
      <c r="K447" s="166" t="str">
        <f t="shared" si="110"/>
        <v/>
      </c>
      <c r="L447" s="166" t="e">
        <f t="shared" si="111"/>
        <v>#N/A</v>
      </c>
    </row>
    <row r="448" spans="1:12">
      <c r="A448" t="s">
        <v>39</v>
      </c>
      <c r="B448" s="153" t="str">
        <f>Centrocampisti!B175</f>
        <v>DEL PINTO</v>
      </c>
      <c r="C448" s="153" t="str">
        <f>Centrocampisti!C175</f>
        <v>BEN</v>
      </c>
      <c r="D448" s="166">
        <f t="shared" si="104"/>
        <v>1</v>
      </c>
      <c r="E448" s="166">
        <f t="shared" si="105"/>
        <v>1</v>
      </c>
      <c r="F448">
        <f t="shared" si="106"/>
        <v>30</v>
      </c>
      <c r="G448">
        <f>IF(ISNA(VLOOKUP(B448,'IA FG'!$B$2:$D$578,3,FALSE)),0,VLOOKUP(B448,'IA FG'!$B$2:$D$578,3,FALSE))</f>
        <v>40</v>
      </c>
      <c r="H448" s="166" t="str">
        <f t="shared" si="107"/>
        <v/>
      </c>
      <c r="I448" s="166">
        <f t="shared" si="108"/>
        <v>40</v>
      </c>
      <c r="J448" s="166" t="str">
        <f t="shared" si="109"/>
        <v/>
      </c>
      <c r="K448" s="166" t="str">
        <f t="shared" si="110"/>
        <v/>
      </c>
      <c r="L448" s="166" t="e">
        <f t="shared" si="111"/>
        <v>#N/A</v>
      </c>
    </row>
    <row r="449" spans="1:12">
      <c r="A449" t="s">
        <v>39</v>
      </c>
      <c r="B449" s="153" t="str">
        <f>Centrocampisti!B176</f>
        <v>RIZZO</v>
      </c>
      <c r="C449" s="153" t="str">
        <f>Centrocampisti!C176</f>
        <v>SPA</v>
      </c>
      <c r="D449" s="166">
        <f t="shared" si="104"/>
        <v>1</v>
      </c>
      <c r="E449" s="166">
        <f t="shared" si="105"/>
        <v>1</v>
      </c>
      <c r="F449">
        <f t="shared" si="106"/>
        <v>28</v>
      </c>
      <c r="G449">
        <f>IF(ISNA(VLOOKUP(B449,'IA FG'!$B$2:$D$578,3,FALSE)),0,VLOOKUP(B449,'IA FG'!$B$2:$D$578,3,FALSE))</f>
        <v>68</v>
      </c>
      <c r="H449" s="166">
        <f t="shared" si="107"/>
        <v>-1</v>
      </c>
      <c r="I449" s="166">
        <f t="shared" si="108"/>
        <v>60</v>
      </c>
      <c r="J449" s="166" t="str">
        <f t="shared" si="109"/>
        <v/>
      </c>
      <c r="K449" s="166" t="str">
        <f t="shared" si="110"/>
        <v/>
      </c>
      <c r="L449" s="166" t="e">
        <f t="shared" si="111"/>
        <v>#N/A</v>
      </c>
    </row>
    <row r="450" spans="1:12">
      <c r="A450" t="s">
        <v>39</v>
      </c>
      <c r="B450" s="153" t="str">
        <f>Centrocampisti!B177</f>
        <v>GRASSI</v>
      </c>
      <c r="C450" s="153" t="str">
        <f>Centrocampisti!C177</f>
        <v>SPA</v>
      </c>
      <c r="D450" s="166">
        <f t="shared" si="104"/>
        <v>1</v>
      </c>
      <c r="E450" s="166">
        <f t="shared" si="105"/>
        <v>1</v>
      </c>
      <c r="F450">
        <f t="shared" si="106"/>
        <v>27</v>
      </c>
      <c r="G450">
        <f>IF(ISNA(VLOOKUP(B450,'IA FG'!$B$2:$D$578,3,FALSE)),0,VLOOKUP(B450,'IA FG'!$B$2:$D$578,3,FALSE))</f>
        <v>70</v>
      </c>
      <c r="H450" s="166" t="str">
        <f t="shared" si="107"/>
        <v/>
      </c>
      <c r="I450" s="166">
        <f t="shared" si="108"/>
        <v>50</v>
      </c>
      <c r="J450" s="166" t="str">
        <f t="shared" si="109"/>
        <v/>
      </c>
      <c r="K450" s="166" t="str">
        <f t="shared" si="110"/>
        <v/>
      </c>
      <c r="L450" s="166" t="e">
        <f t="shared" si="111"/>
        <v>#N/A</v>
      </c>
    </row>
    <row r="451" spans="1:12">
      <c r="A451" t="s">
        <v>39</v>
      </c>
      <c r="B451" s="153" t="str">
        <f>Centrocampisti!B178</f>
        <v>SCHIAVON</v>
      </c>
      <c r="C451" s="153" t="str">
        <f>Centrocampisti!C178</f>
        <v>SPA</v>
      </c>
      <c r="D451" s="166">
        <f t="shared" si="104"/>
        <v>1</v>
      </c>
      <c r="E451" s="166">
        <f t="shared" si="105"/>
        <v>1</v>
      </c>
      <c r="F451">
        <f t="shared" si="106"/>
        <v>24</v>
      </c>
      <c r="G451">
        <f>IF(ISNA(VLOOKUP(B451,'IA FG'!$B$2:$D$578,3,FALSE)),0,VLOOKUP(B451,'IA FG'!$B$2:$D$578,3,FALSE))</f>
        <v>55</v>
      </c>
      <c r="H451" s="166" t="str">
        <f t="shared" si="107"/>
        <v/>
      </c>
      <c r="I451" s="166">
        <f t="shared" si="108"/>
        <v>30</v>
      </c>
      <c r="J451" s="166" t="str">
        <f t="shared" si="109"/>
        <v/>
      </c>
      <c r="K451" s="166" t="str">
        <f t="shared" si="110"/>
        <v/>
      </c>
      <c r="L451" s="166" t="e">
        <f t="shared" si="111"/>
        <v>#N/A</v>
      </c>
    </row>
    <row r="452" spans="1:12">
      <c r="A452" t="s">
        <v>39</v>
      </c>
      <c r="B452" s="153" t="str">
        <f>Centrocampisti!B179</f>
        <v>VITALE</v>
      </c>
      <c r="C452" s="153" t="str">
        <f>Centrocampisti!C179</f>
        <v>SPA</v>
      </c>
      <c r="D452" s="166">
        <f t="shared" si="104"/>
        <v>1</v>
      </c>
      <c r="E452" s="166">
        <f t="shared" si="105"/>
        <v>1</v>
      </c>
      <c r="F452">
        <f t="shared" si="106"/>
        <v>23</v>
      </c>
      <c r="G452">
        <f>IF(ISNA(VLOOKUP(B452,'IA FG'!$B$2:$D$578,3,FALSE)),0,VLOOKUP(B452,'IA FG'!$B$2:$D$578,3,FALSE))</f>
        <v>55</v>
      </c>
      <c r="H452" s="166" t="str">
        <f t="shared" si="107"/>
        <v/>
      </c>
      <c r="I452" s="166">
        <f t="shared" si="108"/>
        <v>40</v>
      </c>
      <c r="J452" s="166" t="str">
        <f t="shared" si="109"/>
        <v/>
      </c>
      <c r="K452" s="166" t="str">
        <f t="shared" si="110"/>
        <v/>
      </c>
      <c r="L452" s="166" t="e">
        <f t="shared" si="111"/>
        <v>#N/A</v>
      </c>
    </row>
    <row r="453" spans="1:12">
      <c r="A453" t="s">
        <v>39</v>
      </c>
      <c r="B453" s="153" t="str">
        <f>Centrocampisti!B180</f>
        <v>GNOUKOURI</v>
      </c>
      <c r="C453" s="153" t="str">
        <f>Centrocampisti!C180</f>
        <v>INT</v>
      </c>
      <c r="D453" s="166">
        <f t="shared" si="104"/>
        <v>1</v>
      </c>
      <c r="E453" s="166">
        <f t="shared" si="105"/>
        <v>1</v>
      </c>
      <c r="F453">
        <f t="shared" si="106"/>
        <v>0</v>
      </c>
      <c r="G453">
        <f>IF(ISNA(VLOOKUP(B453,'IA FG'!$B$2:$D$578,3,FALSE)),0,VLOOKUP(B453,'IA FG'!$B$2:$D$578,3,FALSE))</f>
        <v>45</v>
      </c>
      <c r="H453" s="166" t="str">
        <f t="shared" si="107"/>
        <v/>
      </c>
      <c r="I453" s="166">
        <f t="shared" si="108"/>
        <v>0</v>
      </c>
      <c r="J453" s="166" t="str">
        <f t="shared" si="109"/>
        <v/>
      </c>
      <c r="K453" s="166" t="str">
        <f t="shared" si="110"/>
        <v/>
      </c>
      <c r="L453" s="166" t="e">
        <f t="shared" si="111"/>
        <v>#N/A</v>
      </c>
    </row>
    <row r="454" spans="1:12">
      <c r="A454" t="s">
        <v>39</v>
      </c>
      <c r="B454" s="153">
        <f>Centrocampisti!B181</f>
        <v>0</v>
      </c>
      <c r="C454" s="153">
        <f>Centrocampisti!C181</f>
        <v>0</v>
      </c>
      <c r="D454" s="166">
        <f t="shared" si="104"/>
        <v>0</v>
      </c>
      <c r="E454" s="166">
        <f t="shared" si="105"/>
        <v>0</v>
      </c>
      <c r="F454">
        <f t="shared" si="106"/>
        <v>0</v>
      </c>
      <c r="G454">
        <f>IF(ISNA(VLOOKUP(B454,'IA FG'!$B$2:$D$578,3,FALSE)),0,VLOOKUP(B454,'IA FG'!$B$2:$D$578,3,FALSE))</f>
        <v>0</v>
      </c>
      <c r="H454" s="166" t="str">
        <f t="shared" si="107"/>
        <v/>
      </c>
      <c r="I454" s="166">
        <f t="shared" si="108"/>
        <v>0</v>
      </c>
      <c r="J454" s="166" t="str">
        <f t="shared" si="109"/>
        <v/>
      </c>
      <c r="K454" s="166" t="str">
        <f t="shared" si="110"/>
        <v/>
      </c>
      <c r="L454" s="166" t="e">
        <f t="shared" si="111"/>
        <v>#N/A</v>
      </c>
    </row>
    <row r="455" spans="1:12">
      <c r="A455" t="s">
        <v>39</v>
      </c>
      <c r="B455" s="153">
        <f>Centrocampisti!B182</f>
        <v>0</v>
      </c>
      <c r="C455" s="153">
        <f>Centrocampisti!C182</f>
        <v>0</v>
      </c>
      <c r="D455" s="166">
        <f t="shared" si="104"/>
        <v>0</v>
      </c>
      <c r="E455" s="166">
        <f t="shared" si="105"/>
        <v>0</v>
      </c>
      <c r="F455">
        <f t="shared" si="106"/>
        <v>0</v>
      </c>
      <c r="G455">
        <f>IF(ISNA(VLOOKUP(B455,'IA FG'!$B$2:$D$578,3,FALSE)),0,VLOOKUP(B455,'IA FG'!$B$2:$D$578,3,FALSE))</f>
        <v>0</v>
      </c>
      <c r="H455" s="166" t="str">
        <f t="shared" si="107"/>
        <v/>
      </c>
      <c r="I455" s="166">
        <f t="shared" si="108"/>
        <v>0</v>
      </c>
      <c r="J455" s="166" t="str">
        <f t="shared" si="109"/>
        <v/>
      </c>
      <c r="K455" s="166" t="str">
        <f t="shared" si="110"/>
        <v/>
      </c>
      <c r="L455" s="166" t="e">
        <f t="shared" si="111"/>
        <v>#N/A</v>
      </c>
    </row>
    <row r="456" spans="1:12">
      <c r="A456" t="s">
        <v>39</v>
      </c>
      <c r="B456" s="153">
        <f>Centrocampisti!B183</f>
        <v>0</v>
      </c>
      <c r="C456" s="153">
        <f>Centrocampisti!C183</f>
        <v>0</v>
      </c>
      <c r="D456" s="166">
        <f t="shared" si="104"/>
        <v>0</v>
      </c>
      <c r="E456" s="166">
        <f t="shared" si="105"/>
        <v>0</v>
      </c>
      <c r="F456">
        <f t="shared" si="106"/>
        <v>0</v>
      </c>
      <c r="G456">
        <f>IF(ISNA(VLOOKUP(B456,'IA FG'!$B$2:$D$578,3,FALSE)),0,VLOOKUP(B456,'IA FG'!$B$2:$D$578,3,FALSE))</f>
        <v>0</v>
      </c>
      <c r="H456" s="166" t="str">
        <f t="shared" si="107"/>
        <v/>
      </c>
      <c r="I456" s="166">
        <f t="shared" si="108"/>
        <v>0</v>
      </c>
      <c r="J456" s="166" t="str">
        <f t="shared" si="109"/>
        <v/>
      </c>
      <c r="K456" s="166" t="str">
        <f t="shared" si="110"/>
        <v/>
      </c>
      <c r="L456" s="166" t="e">
        <f t="shared" si="111"/>
        <v>#N/A</v>
      </c>
    </row>
    <row r="457" spans="1:12">
      <c r="A457" t="s">
        <v>39</v>
      </c>
      <c r="B457" s="153">
        <f>Centrocampisti!B184</f>
        <v>0</v>
      </c>
      <c r="C457" s="153">
        <f>Centrocampisti!C184</f>
        <v>0</v>
      </c>
      <c r="D457" s="166">
        <f t="shared" si="104"/>
        <v>0</v>
      </c>
      <c r="E457" s="166">
        <f t="shared" si="105"/>
        <v>0</v>
      </c>
      <c r="F457">
        <f t="shared" si="106"/>
        <v>0</v>
      </c>
      <c r="G457">
        <f>IF(ISNA(VLOOKUP(B457,'IA FG'!$B$2:$D$578,3,FALSE)),0,VLOOKUP(B457,'IA FG'!$B$2:$D$578,3,FALSE))</f>
        <v>0</v>
      </c>
      <c r="H457" s="166" t="str">
        <f t="shared" si="107"/>
        <v/>
      </c>
      <c r="I457" s="166">
        <f t="shared" si="108"/>
        <v>0</v>
      </c>
      <c r="J457" s="166" t="str">
        <f t="shared" si="109"/>
        <v/>
      </c>
      <c r="K457" s="166" t="str">
        <f t="shared" si="110"/>
        <v/>
      </c>
      <c r="L457" s="166" t="e">
        <f t="shared" si="111"/>
        <v>#N/A</v>
      </c>
    </row>
    <row r="458" spans="1:12">
      <c r="A458" t="s">
        <v>39</v>
      </c>
      <c r="B458" s="153">
        <f>Centrocampisti!B185</f>
        <v>0</v>
      </c>
      <c r="C458" s="153">
        <f>Centrocampisti!C185</f>
        <v>0</v>
      </c>
      <c r="D458" s="166">
        <f t="shared" si="104"/>
        <v>0</v>
      </c>
      <c r="E458" s="166">
        <f t="shared" si="105"/>
        <v>0</v>
      </c>
      <c r="F458">
        <f t="shared" si="106"/>
        <v>0</v>
      </c>
      <c r="G458">
        <f>IF(ISNA(VLOOKUP(B458,'IA FG'!$B$2:$D$578,3,FALSE)),0,VLOOKUP(B458,'IA FG'!$B$2:$D$578,3,FALSE))</f>
        <v>0</v>
      </c>
      <c r="H458" s="166" t="str">
        <f t="shared" si="107"/>
        <v/>
      </c>
      <c r="I458" s="166">
        <f t="shared" si="108"/>
        <v>0</v>
      </c>
      <c r="J458" s="166" t="str">
        <f t="shared" si="109"/>
        <v/>
      </c>
      <c r="K458" s="166" t="str">
        <f t="shared" si="110"/>
        <v/>
      </c>
      <c r="L458" s="166" t="e">
        <f t="shared" si="111"/>
        <v>#N/A</v>
      </c>
    </row>
    <row r="459" spans="1:12">
      <c r="A459" t="s">
        <v>39</v>
      </c>
      <c r="B459" s="153">
        <f>Centrocampisti!B186</f>
        <v>0</v>
      </c>
      <c r="C459" s="153">
        <f>Centrocampisti!C186</f>
        <v>0</v>
      </c>
      <c r="D459" s="166">
        <f t="shared" si="104"/>
        <v>0</v>
      </c>
      <c r="E459" s="166">
        <f t="shared" si="105"/>
        <v>0</v>
      </c>
      <c r="F459">
        <f t="shared" si="106"/>
        <v>0</v>
      </c>
      <c r="G459">
        <f>IF(ISNA(VLOOKUP(B459,'IA FG'!$B$2:$D$578,3,FALSE)),0,VLOOKUP(B459,'IA FG'!$B$2:$D$578,3,FALSE))</f>
        <v>0</v>
      </c>
      <c r="H459" s="166" t="str">
        <f t="shared" si="107"/>
        <v/>
      </c>
      <c r="I459" s="166">
        <f t="shared" si="108"/>
        <v>0</v>
      </c>
      <c r="J459" s="166" t="str">
        <f t="shared" si="109"/>
        <v/>
      </c>
      <c r="K459" s="166" t="str">
        <f t="shared" si="110"/>
        <v/>
      </c>
      <c r="L459" s="166" t="e">
        <f t="shared" si="111"/>
        <v>#N/A</v>
      </c>
    </row>
    <row r="460" spans="1:12">
      <c r="A460" t="s">
        <v>39</v>
      </c>
      <c r="B460" s="153">
        <f>Centrocampisti!B187</f>
        <v>0</v>
      </c>
      <c r="C460" s="153">
        <f>Centrocampisti!C187</f>
        <v>0</v>
      </c>
      <c r="D460" s="166">
        <f t="shared" si="104"/>
        <v>0</v>
      </c>
      <c r="E460" s="166">
        <f t="shared" si="105"/>
        <v>0</v>
      </c>
      <c r="F460">
        <f t="shared" si="106"/>
        <v>0</v>
      </c>
      <c r="G460">
        <f>IF(ISNA(VLOOKUP(B460,'IA FG'!$B$2:$D$578,3,FALSE)),0,VLOOKUP(B460,'IA FG'!$B$2:$D$578,3,FALSE))</f>
        <v>0</v>
      </c>
      <c r="H460" s="166" t="str">
        <f t="shared" si="107"/>
        <v/>
      </c>
      <c r="I460" s="166">
        <f t="shared" si="108"/>
        <v>0</v>
      </c>
      <c r="J460" s="166" t="str">
        <f t="shared" si="109"/>
        <v/>
      </c>
      <c r="K460" s="166" t="str">
        <f t="shared" si="110"/>
        <v/>
      </c>
      <c r="L460" s="166" t="e">
        <f t="shared" si="111"/>
        <v>#N/A</v>
      </c>
    </row>
    <row r="461" spans="1:12">
      <c r="A461" t="s">
        <v>39</v>
      </c>
      <c r="B461" s="153">
        <f>Centrocampisti!B188</f>
        <v>0</v>
      </c>
      <c r="C461" s="153">
        <f>Centrocampisti!C188</f>
        <v>0</v>
      </c>
      <c r="D461" s="166">
        <f t="shared" si="104"/>
        <v>0</v>
      </c>
      <c r="E461" s="166">
        <f t="shared" si="105"/>
        <v>0</v>
      </c>
      <c r="F461">
        <f t="shared" si="106"/>
        <v>0</v>
      </c>
      <c r="G461">
        <f>IF(ISNA(VLOOKUP(B461,'IA FG'!$B$2:$D$578,3,FALSE)),0,VLOOKUP(B461,'IA FG'!$B$2:$D$578,3,FALSE))</f>
        <v>0</v>
      </c>
      <c r="H461" s="166" t="str">
        <f t="shared" si="107"/>
        <v/>
      </c>
      <c r="I461" s="166">
        <f t="shared" si="108"/>
        <v>0</v>
      </c>
      <c r="J461" s="166" t="str">
        <f t="shared" si="109"/>
        <v/>
      </c>
      <c r="K461" s="166" t="str">
        <f t="shared" si="110"/>
        <v/>
      </c>
      <c r="L461" s="166" t="e">
        <f t="shared" si="111"/>
        <v>#N/A</v>
      </c>
    </row>
    <row r="462" spans="1:12">
      <c r="A462" t="s">
        <v>39</v>
      </c>
      <c r="B462" s="153">
        <f>Centrocampisti!B189</f>
        <v>0</v>
      </c>
      <c r="C462" s="153">
        <f>Centrocampisti!C189</f>
        <v>0</v>
      </c>
      <c r="D462" s="166">
        <f t="shared" si="104"/>
        <v>0</v>
      </c>
      <c r="E462" s="166">
        <f t="shared" si="105"/>
        <v>0</v>
      </c>
      <c r="F462">
        <f t="shared" si="106"/>
        <v>0</v>
      </c>
      <c r="G462">
        <f>IF(ISNA(VLOOKUP(B462,'IA FG'!$B$2:$D$578,3,FALSE)),0,VLOOKUP(B462,'IA FG'!$B$2:$D$578,3,FALSE))</f>
        <v>0</v>
      </c>
      <c r="H462" s="166" t="str">
        <f t="shared" si="107"/>
        <v/>
      </c>
      <c r="I462" s="166">
        <f t="shared" si="108"/>
        <v>0</v>
      </c>
      <c r="J462" s="166" t="str">
        <f t="shared" si="109"/>
        <v/>
      </c>
      <c r="K462" s="166" t="str">
        <f t="shared" si="110"/>
        <v/>
      </c>
      <c r="L462" s="166" t="e">
        <f t="shared" si="111"/>
        <v>#N/A</v>
      </c>
    </row>
    <row r="463" spans="1:12">
      <c r="B463" s="153"/>
      <c r="C463" s="153"/>
      <c r="D463" s="166"/>
      <c r="E463" s="166"/>
      <c r="H463" s="166"/>
      <c r="I463" s="166"/>
      <c r="J463" s="166"/>
      <c r="K463" s="166"/>
      <c r="L463" s="166"/>
    </row>
    <row r="464" spans="1:12">
      <c r="B464" s="153"/>
      <c r="C464" s="153"/>
      <c r="D464" s="166"/>
      <c r="E464" s="166"/>
      <c r="H464" s="166"/>
      <c r="I464" s="166"/>
      <c r="J464" s="166"/>
      <c r="K464" s="166"/>
      <c r="L464" s="166"/>
    </row>
    <row r="465" spans="2:3">
      <c r="B465" s="153"/>
      <c r="C465" s="153"/>
    </row>
    <row r="466" spans="2:3">
      <c r="B466" s="153"/>
      <c r="C466" s="153"/>
    </row>
    <row r="467" spans="2:3">
      <c r="B467" s="153"/>
      <c r="C467" s="153"/>
    </row>
    <row r="486" spans="1:12">
      <c r="A486" t="s">
        <v>43</v>
      </c>
      <c r="B486" s="161" t="str">
        <f>Attaccanti!B2</f>
        <v>HIGUAIN</v>
      </c>
      <c r="C486" s="161" t="str">
        <f>Attaccanti!C2</f>
        <v>JUV</v>
      </c>
      <c r="D486" s="166">
        <f t="shared" ref="D486:D517" si="112">IF(ISNA(VLOOKUP($B486,TabAlgAtt,11,FALSE)),0,VLOOKUP($B486,TabAlgAtt,11,FALSE))</f>
        <v>165</v>
      </c>
      <c r="E486" s="166">
        <v>0</v>
      </c>
      <c r="F486">
        <f t="shared" ref="F486:F517" si="113">IF(ISNA(VLOOKUP($B486,TabAlgAtt,12,FALSE)),0,VLOOKUP($B486,TabAlgAtt,12,FALSE))</f>
        <v>54</v>
      </c>
      <c r="G486">
        <f>IF(ISNA(VLOOKUP(B486,'IA FG'!$B$2:$D$578,3,FALSE)),0,VLOOKUP(B486,'IA FG'!$B$2:$D$578,3,FALSE))</f>
        <v>96</v>
      </c>
      <c r="H486" s="166">
        <f t="shared" ref="H486:H517" si="114">IF(ISNA(VLOOKUP($B486,TabAlgAtt,13,FALSE)),"",VLOOKUP($B486,TabAlgAtt,13,FALSE))</f>
        <v>1</v>
      </c>
      <c r="I486" s="166">
        <f t="shared" ref="I486:I517" si="115">IF(ISNA(VLOOKUP($B486,TabAlgAtt,4,FALSE)),0,VLOOKUP($B486,TabAlgAtt,4,FALSE))*10</f>
        <v>90</v>
      </c>
      <c r="J486" s="166" t="str">
        <f t="shared" ref="J486:J517" si="116">IF(ISNA(VLOOKUP($B486,TabAlgAtt,14,FALSE)),"",VLOOKUP($B486,TabAlgAtt,14,FALSE))</f>
        <v/>
      </c>
      <c r="K486" s="166" t="str">
        <f t="shared" ref="K486:K517" si="117">IF(ISNA(VLOOKUP($B486,TabAlgAtt,15,FALSE)),"",VLOOKUP($B486,TabAlgAtt,15,FALSE))</f>
        <v/>
      </c>
      <c r="L486" s="166" t="e">
        <f t="shared" ref="L486:L517" si="118">VLOOKUP($B486,TabAlgAtt,16,FALSE)</f>
        <v>#N/A</v>
      </c>
    </row>
    <row r="487" spans="1:12">
      <c r="A487" t="s">
        <v>43</v>
      </c>
      <c r="B487" s="161" t="str">
        <f>Attaccanti!B3</f>
        <v>DYBALA</v>
      </c>
      <c r="C487" s="161" t="str">
        <f>Attaccanti!C3</f>
        <v>JUV</v>
      </c>
      <c r="D487" s="166">
        <f t="shared" si="112"/>
        <v>156.78690649676352</v>
      </c>
      <c r="E487" s="166">
        <v>0</v>
      </c>
      <c r="F487">
        <f t="shared" si="113"/>
        <v>53</v>
      </c>
      <c r="G487">
        <f>IF(ISNA(VLOOKUP(B487,'IA FG'!$B$2:$D$578,3,FALSE)),0,VLOOKUP(B487,'IA FG'!$B$2:$D$578,3,FALSE))</f>
        <v>93</v>
      </c>
      <c r="H487" s="166">
        <f t="shared" si="114"/>
        <v>0</v>
      </c>
      <c r="I487" s="166">
        <f t="shared" si="115"/>
        <v>90</v>
      </c>
      <c r="J487" s="166">
        <f t="shared" si="116"/>
        <v>1</v>
      </c>
      <c r="K487" s="166">
        <f t="shared" si="117"/>
        <v>1</v>
      </c>
      <c r="L487" s="166">
        <f t="shared" si="118"/>
        <v>1</v>
      </c>
    </row>
    <row r="488" spans="1:12">
      <c r="A488" t="s">
        <v>43</v>
      </c>
      <c r="B488" s="161" t="str">
        <f>Attaccanti!B4</f>
        <v>MERTENS</v>
      </c>
      <c r="C488" s="161" t="str">
        <f>Attaccanti!C4</f>
        <v>NAP</v>
      </c>
      <c r="D488" s="166">
        <f t="shared" si="112"/>
        <v>150.0715084556208</v>
      </c>
      <c r="E488" s="166">
        <v>0</v>
      </c>
      <c r="F488">
        <f t="shared" si="113"/>
        <v>51</v>
      </c>
      <c r="G488">
        <f>IF(ISNA(VLOOKUP(B488,'IA FG'!$B$2:$D$578,3,FALSE)),0,VLOOKUP(B488,'IA FG'!$B$2:$D$578,3,FALSE))</f>
        <v>95</v>
      </c>
      <c r="H488" s="166" t="str">
        <f t="shared" si="114"/>
        <v/>
      </c>
      <c r="I488" s="166">
        <f t="shared" si="115"/>
        <v>80</v>
      </c>
      <c r="J488" s="166">
        <f t="shared" si="116"/>
        <v>1</v>
      </c>
      <c r="K488" s="166">
        <f t="shared" si="117"/>
        <v>2</v>
      </c>
      <c r="L488" s="166" t="e">
        <f t="shared" si="118"/>
        <v>#N/A</v>
      </c>
    </row>
    <row r="489" spans="1:12">
      <c r="A489" t="s">
        <v>43</v>
      </c>
      <c r="B489" s="161" t="str">
        <f>Attaccanti!B5</f>
        <v>DZEKO</v>
      </c>
      <c r="C489" s="161" t="str">
        <f>Attaccanti!C5</f>
        <v>ROM</v>
      </c>
      <c r="D489" s="166">
        <f t="shared" si="112"/>
        <v>142.63568814179686</v>
      </c>
      <c r="E489" s="166">
        <v>0</v>
      </c>
      <c r="F489">
        <f t="shared" si="113"/>
        <v>51</v>
      </c>
      <c r="G489">
        <f>IF(ISNA(VLOOKUP(B489,'IA FG'!$B$2:$D$578,3,FALSE)),0,VLOOKUP(B489,'IA FG'!$B$2:$D$578,3,FALSE))</f>
        <v>96</v>
      </c>
      <c r="H489" s="166">
        <f t="shared" si="114"/>
        <v>1</v>
      </c>
      <c r="I489" s="166">
        <f t="shared" si="115"/>
        <v>80</v>
      </c>
      <c r="J489" s="166" t="str">
        <f t="shared" si="116"/>
        <v/>
      </c>
      <c r="K489" s="166" t="str">
        <f t="shared" si="117"/>
        <v/>
      </c>
      <c r="L489" s="166" t="e">
        <f t="shared" si="118"/>
        <v>#N/A</v>
      </c>
    </row>
    <row r="490" spans="1:12">
      <c r="A490" t="s">
        <v>43</v>
      </c>
      <c r="B490" s="161" t="str">
        <f>Attaccanti!B6</f>
        <v>INSIGNE</v>
      </c>
      <c r="C490" s="161" t="str">
        <f>Attaccanti!C6</f>
        <v>NAP</v>
      </c>
      <c r="D490" s="166">
        <f t="shared" si="112"/>
        <v>141.10117938116389</v>
      </c>
      <c r="E490" s="166">
        <v>0</v>
      </c>
      <c r="F490">
        <f t="shared" si="113"/>
        <v>50</v>
      </c>
      <c r="G490">
        <f>IF(ISNA(VLOOKUP(B490,'IA FG'!$B$2:$D$578,3,FALSE)),0,VLOOKUP(B490,'IA FG'!$B$2:$D$578,3,FALSE))</f>
        <v>92</v>
      </c>
      <c r="H490" s="166">
        <f t="shared" si="114"/>
        <v>1</v>
      </c>
      <c r="I490" s="166">
        <f t="shared" si="115"/>
        <v>90</v>
      </c>
      <c r="J490" s="166">
        <f t="shared" si="116"/>
        <v>2</v>
      </c>
      <c r="K490" s="166">
        <f t="shared" si="117"/>
        <v>1</v>
      </c>
      <c r="L490" s="166" t="e">
        <f t="shared" si="118"/>
        <v>#N/A</v>
      </c>
    </row>
    <row r="491" spans="1:12">
      <c r="A491" t="s">
        <v>43</v>
      </c>
      <c r="B491" s="161" t="str">
        <f>Attaccanti!B7</f>
        <v>CALLEJON</v>
      </c>
      <c r="C491" s="161" t="str">
        <f>Attaccanti!C7</f>
        <v>NAP</v>
      </c>
      <c r="D491" s="166">
        <f t="shared" si="112"/>
        <v>134.44123428339046</v>
      </c>
      <c r="E491" s="166">
        <v>0</v>
      </c>
      <c r="F491">
        <f t="shared" si="113"/>
        <v>49</v>
      </c>
      <c r="G491">
        <f>IF(ISNA(VLOOKUP(B491,'IA FG'!$B$2:$D$578,3,FALSE)),0,VLOOKUP(B491,'IA FG'!$B$2:$D$578,3,FALSE))</f>
        <v>88</v>
      </c>
      <c r="H491" s="166" t="str">
        <f t="shared" si="114"/>
        <v/>
      </c>
      <c r="I491" s="166">
        <f t="shared" si="115"/>
        <v>90</v>
      </c>
      <c r="J491" s="166" t="str">
        <f t="shared" si="116"/>
        <v/>
      </c>
      <c r="K491" s="166" t="str">
        <f t="shared" si="117"/>
        <v/>
      </c>
      <c r="L491" s="166">
        <f t="shared" si="118"/>
        <v>2</v>
      </c>
    </row>
    <row r="492" spans="1:12">
      <c r="A492" t="s">
        <v>43</v>
      </c>
      <c r="B492" s="161" t="str">
        <f>Attaccanti!B8</f>
        <v>IMMOBILE</v>
      </c>
      <c r="C492" s="161" t="str">
        <f>Attaccanti!C8</f>
        <v>LAZ</v>
      </c>
      <c r="D492" s="166">
        <f t="shared" si="112"/>
        <v>133.84802758667433</v>
      </c>
      <c r="E492" s="166">
        <v>0</v>
      </c>
      <c r="F492">
        <f t="shared" si="113"/>
        <v>52</v>
      </c>
      <c r="G492">
        <f>IF(ISNA(VLOOKUP(B492,'IA FG'!$B$2:$D$578,3,FALSE)),0,VLOOKUP(B492,'IA FG'!$B$2:$D$578,3,FALSE))</f>
        <v>93</v>
      </c>
      <c r="H492" s="166">
        <f t="shared" si="114"/>
        <v>1</v>
      </c>
      <c r="I492" s="166">
        <f t="shared" si="115"/>
        <v>100</v>
      </c>
      <c r="J492" s="166">
        <f t="shared" si="116"/>
        <v>1</v>
      </c>
      <c r="K492" s="166" t="str">
        <f t="shared" si="117"/>
        <v/>
      </c>
      <c r="L492" s="166" t="e">
        <f t="shared" si="118"/>
        <v>#N/A</v>
      </c>
    </row>
    <row r="493" spans="1:12">
      <c r="A493" t="s">
        <v>43</v>
      </c>
      <c r="B493" s="161" t="str">
        <f>Attaccanti!B9</f>
        <v>BELOTTI</v>
      </c>
      <c r="C493" s="161" t="str">
        <f>Attaccanti!C9</f>
        <v>TOR</v>
      </c>
      <c r="D493" s="166">
        <f t="shared" si="112"/>
        <v>133.11642152709527</v>
      </c>
      <c r="E493" s="166">
        <v>0</v>
      </c>
      <c r="F493">
        <f t="shared" si="113"/>
        <v>53</v>
      </c>
      <c r="G493">
        <f>IF(ISNA(VLOOKUP(B493,'IA FG'!$B$2:$D$578,3,FALSE)),0,VLOOKUP(B493,'IA FG'!$B$2:$D$578,3,FALSE))</f>
        <v>96</v>
      </c>
      <c r="H493" s="166">
        <f t="shared" si="114"/>
        <v>1</v>
      </c>
      <c r="I493" s="166">
        <f t="shared" si="115"/>
        <v>90</v>
      </c>
      <c r="J493" s="166">
        <f t="shared" si="116"/>
        <v>1</v>
      </c>
      <c r="K493" s="166" t="str">
        <f t="shared" si="117"/>
        <v/>
      </c>
      <c r="L493" s="166" t="e">
        <f t="shared" si="118"/>
        <v>#N/A</v>
      </c>
    </row>
    <row r="494" spans="1:12">
      <c r="A494" t="s">
        <v>43</v>
      </c>
      <c r="B494" s="161" t="str">
        <f>Attaccanti!B10</f>
        <v>MANDZUKIC</v>
      </c>
      <c r="C494" s="161" t="str">
        <f>Attaccanti!C10</f>
        <v>JUV</v>
      </c>
      <c r="D494" s="166">
        <f t="shared" si="112"/>
        <v>125.06083302267263</v>
      </c>
      <c r="E494" s="166">
        <v>0</v>
      </c>
      <c r="F494">
        <f t="shared" si="113"/>
        <v>49</v>
      </c>
      <c r="G494">
        <f>IF(ISNA(VLOOKUP(B494,'IA FG'!$B$2:$D$578,3,FALSE)),0,VLOOKUP(B494,'IA FG'!$B$2:$D$578,3,FALSE))</f>
        <v>80</v>
      </c>
      <c r="H494" s="166" t="str">
        <f t="shared" si="114"/>
        <v/>
      </c>
      <c r="I494" s="166">
        <f t="shared" si="115"/>
        <v>70</v>
      </c>
      <c r="J494" s="166" t="str">
        <f t="shared" si="116"/>
        <v/>
      </c>
      <c r="K494" s="166" t="str">
        <f t="shared" si="117"/>
        <v/>
      </c>
      <c r="L494" s="166" t="e">
        <f t="shared" si="118"/>
        <v>#N/A</v>
      </c>
    </row>
    <row r="495" spans="1:12">
      <c r="A495" t="s">
        <v>43</v>
      </c>
      <c r="B495" s="161" t="str">
        <f>Attaccanti!B11</f>
        <v>ICARDI</v>
      </c>
      <c r="C495" s="161" t="str">
        <f>Attaccanti!C11</f>
        <v>INT</v>
      </c>
      <c r="D495" s="166">
        <f t="shared" si="112"/>
        <v>115.63336665875886</v>
      </c>
      <c r="E495" s="166">
        <v>0</v>
      </c>
      <c r="F495">
        <f t="shared" si="113"/>
        <v>49</v>
      </c>
      <c r="G495">
        <f>IF(ISNA(VLOOKUP(B495,'IA FG'!$B$2:$D$578,3,FALSE)),0,VLOOKUP(B495,'IA FG'!$B$2:$D$578,3,FALSE))</f>
        <v>98</v>
      </c>
      <c r="H495" s="166">
        <f t="shared" si="114"/>
        <v>1</v>
      </c>
      <c r="I495" s="166">
        <f t="shared" si="115"/>
        <v>90</v>
      </c>
      <c r="J495" s="166">
        <f t="shared" si="116"/>
        <v>1</v>
      </c>
      <c r="K495" s="166" t="str">
        <f t="shared" si="117"/>
        <v/>
      </c>
      <c r="L495" s="166" t="e">
        <f t="shared" si="118"/>
        <v>#N/A</v>
      </c>
    </row>
    <row r="496" spans="1:12">
      <c r="A496" t="s">
        <v>43</v>
      </c>
      <c r="B496" s="161" t="str">
        <f>Attaccanti!B12</f>
        <v>GOMEZ A</v>
      </c>
      <c r="C496" s="161" t="str">
        <f>Attaccanti!C12</f>
        <v>ATA</v>
      </c>
      <c r="D496" s="166">
        <f t="shared" si="112"/>
        <v>106.51625038126548</v>
      </c>
      <c r="E496" s="166">
        <v>0</v>
      </c>
      <c r="F496">
        <f t="shared" si="113"/>
        <v>49</v>
      </c>
      <c r="G496">
        <f>IF(ISNA(VLOOKUP(B496,'IA FG'!$B$2:$D$578,3,FALSE)),0,VLOOKUP(B496,'IA FG'!$B$2:$D$578,3,FALSE))</f>
        <v>90</v>
      </c>
      <c r="H496" s="166">
        <f t="shared" si="114"/>
        <v>1</v>
      </c>
      <c r="I496" s="166">
        <f t="shared" si="115"/>
        <v>100</v>
      </c>
      <c r="J496" s="166">
        <f t="shared" si="116"/>
        <v>2</v>
      </c>
      <c r="K496" s="166">
        <f t="shared" si="117"/>
        <v>2</v>
      </c>
      <c r="L496" s="166">
        <f t="shared" si="118"/>
        <v>1</v>
      </c>
    </row>
    <row r="497" spans="1:12">
      <c r="A497" t="s">
        <v>43</v>
      </c>
      <c r="B497" s="161" t="str">
        <f>Attaccanti!B13</f>
        <v>SCHICK</v>
      </c>
      <c r="C497" s="161" t="str">
        <f>Attaccanti!C13</f>
        <v>ROM</v>
      </c>
      <c r="D497" s="166">
        <f t="shared" si="112"/>
        <v>106.15277730707975</v>
      </c>
      <c r="E497" s="166">
        <v>0</v>
      </c>
      <c r="F497">
        <f t="shared" si="113"/>
        <v>46</v>
      </c>
      <c r="G497">
        <f>IF(ISNA(VLOOKUP(B497,'IA FG'!$B$2:$D$578,3,FALSE)),0,VLOOKUP(B497,'IA FG'!$B$2:$D$578,3,FALSE))</f>
        <v>80</v>
      </c>
      <c r="H497" s="166">
        <f t="shared" si="114"/>
        <v>1</v>
      </c>
      <c r="I497" s="166">
        <f t="shared" si="115"/>
        <v>80</v>
      </c>
      <c r="J497" s="166" t="str">
        <f t="shared" si="116"/>
        <v/>
      </c>
      <c r="K497" s="166" t="str">
        <f t="shared" si="117"/>
        <v/>
      </c>
      <c r="L497" s="166" t="e">
        <f t="shared" si="118"/>
        <v>#N/A</v>
      </c>
    </row>
    <row r="498" spans="1:12">
      <c r="A498" t="s">
        <v>43</v>
      </c>
      <c r="B498" s="161" t="str">
        <f>Attaccanti!B14</f>
        <v>MILIK</v>
      </c>
      <c r="C498" s="161" t="str">
        <f>Attaccanti!C14</f>
        <v>NAP</v>
      </c>
      <c r="D498" s="166">
        <f t="shared" si="112"/>
        <v>94.638136713322311</v>
      </c>
      <c r="E498" s="166">
        <v>0</v>
      </c>
      <c r="F498">
        <f t="shared" si="113"/>
        <v>44</v>
      </c>
      <c r="G498">
        <f>IF(ISNA(VLOOKUP(B498,'IA FG'!$B$2:$D$578,3,FALSE)),0,VLOOKUP(B498,'IA FG'!$B$2:$D$578,3,FALSE))</f>
        <v>78</v>
      </c>
      <c r="H498" s="166">
        <f t="shared" si="114"/>
        <v>0</v>
      </c>
      <c r="I498" s="166">
        <f t="shared" si="115"/>
        <v>70</v>
      </c>
      <c r="J498" s="166" t="str">
        <f t="shared" si="116"/>
        <v/>
      </c>
      <c r="K498" s="166" t="str">
        <f t="shared" si="117"/>
        <v/>
      </c>
      <c r="L498" s="166" t="e">
        <f t="shared" si="118"/>
        <v>#N/A</v>
      </c>
    </row>
    <row r="499" spans="1:12">
      <c r="A499" t="s">
        <v>43</v>
      </c>
      <c r="B499" s="161" t="str">
        <f>Attaccanti!B15</f>
        <v>SIMEONE</v>
      </c>
      <c r="C499" s="161" t="str">
        <f>Attaccanti!C15</f>
        <v>FIO</v>
      </c>
      <c r="D499" s="166">
        <f t="shared" si="112"/>
        <v>94.123682516013204</v>
      </c>
      <c r="E499" s="166">
        <v>0</v>
      </c>
      <c r="F499">
        <f t="shared" si="113"/>
        <v>50</v>
      </c>
      <c r="G499">
        <f>IF(ISNA(VLOOKUP(B499,'IA FG'!$B$2:$D$578,3,FALSE)),0,VLOOKUP(B499,'IA FG'!$B$2:$D$578,3,FALSE))</f>
        <v>84</v>
      </c>
      <c r="H499" s="166">
        <f t="shared" si="114"/>
        <v>1</v>
      </c>
      <c r="I499" s="166">
        <f t="shared" si="115"/>
        <v>80</v>
      </c>
      <c r="J499" s="166">
        <f t="shared" si="116"/>
        <v>1</v>
      </c>
      <c r="K499" s="166" t="str">
        <f t="shared" si="117"/>
        <v/>
      </c>
      <c r="L499" s="166" t="e">
        <f t="shared" si="118"/>
        <v>#N/A</v>
      </c>
    </row>
    <row r="500" spans="1:12">
      <c r="A500" t="s">
        <v>43</v>
      </c>
      <c r="B500" s="161" t="str">
        <f>Attaccanti!B16</f>
        <v>EL SHAARAWY</v>
      </c>
      <c r="C500" s="161" t="str">
        <f>Attaccanti!C16</f>
        <v>ROM</v>
      </c>
      <c r="D500" s="166">
        <f t="shared" si="112"/>
        <v>88.134298641000399</v>
      </c>
      <c r="E500" s="166">
        <v>0</v>
      </c>
      <c r="F500">
        <f t="shared" si="113"/>
        <v>44</v>
      </c>
      <c r="G500">
        <f>IF(ISNA(VLOOKUP(B500,'IA FG'!$B$2:$D$578,3,FALSE)),0,VLOOKUP(B500,'IA FG'!$B$2:$D$578,3,FALSE))</f>
        <v>78</v>
      </c>
      <c r="H500" s="166">
        <f t="shared" si="114"/>
        <v>0</v>
      </c>
      <c r="I500" s="166">
        <f t="shared" si="115"/>
        <v>70</v>
      </c>
      <c r="J500" s="166" t="str">
        <f t="shared" si="116"/>
        <v/>
      </c>
      <c r="K500" s="166">
        <f t="shared" si="117"/>
        <v>3</v>
      </c>
      <c r="L500" s="166" t="e">
        <f t="shared" si="118"/>
        <v>#N/A</v>
      </c>
    </row>
    <row r="501" spans="1:12">
      <c r="A501" t="s">
        <v>43</v>
      </c>
      <c r="B501" s="161" t="str">
        <f>Attaccanti!B17</f>
        <v>ANDRE' SILVA</v>
      </c>
      <c r="C501" s="161" t="str">
        <f>Attaccanti!C17</f>
        <v>MIL</v>
      </c>
      <c r="D501" s="166">
        <f t="shared" si="112"/>
        <v>86.549928830447101</v>
      </c>
      <c r="E501" s="166">
        <v>0</v>
      </c>
      <c r="F501">
        <f t="shared" si="113"/>
        <v>45</v>
      </c>
      <c r="G501">
        <f>IF(ISNA(VLOOKUP(B501,'IA FG'!$B$2:$D$578,3,FALSE)),0,VLOOKUP(B501,'IA FG'!$B$2:$D$578,3,FALSE))</f>
        <v>80</v>
      </c>
      <c r="H501" s="166">
        <f t="shared" si="114"/>
        <v>0</v>
      </c>
      <c r="I501" s="166">
        <f t="shared" si="115"/>
        <v>70</v>
      </c>
      <c r="J501" s="166" t="str">
        <f t="shared" si="116"/>
        <v/>
      </c>
      <c r="K501" s="166" t="str">
        <f t="shared" si="117"/>
        <v/>
      </c>
      <c r="L501" s="166" t="e">
        <f t="shared" si="118"/>
        <v>#N/A</v>
      </c>
    </row>
    <row r="502" spans="1:12">
      <c r="A502" t="s">
        <v>43</v>
      </c>
      <c r="B502" s="161" t="str">
        <f>Attaccanti!B18</f>
        <v>KALINIC</v>
      </c>
      <c r="C502" s="161" t="str">
        <f>Attaccanti!C18</f>
        <v>MIL</v>
      </c>
      <c r="D502" s="166">
        <f t="shared" si="112"/>
        <v>76.60894025146581</v>
      </c>
      <c r="E502" s="166">
        <v>0</v>
      </c>
      <c r="F502">
        <f t="shared" si="113"/>
        <v>44</v>
      </c>
      <c r="G502">
        <f>IF(ISNA(VLOOKUP(B502,'IA FG'!$B$2:$D$578,3,FALSE)),0,VLOOKUP(B502,'IA FG'!$B$2:$D$578,3,FALSE))</f>
        <v>85</v>
      </c>
      <c r="H502" s="166" t="str">
        <f t="shared" si="114"/>
        <v/>
      </c>
      <c r="I502" s="166">
        <f t="shared" si="115"/>
        <v>70</v>
      </c>
      <c r="J502" s="166">
        <f t="shared" si="116"/>
        <v>2</v>
      </c>
      <c r="K502" s="166" t="str">
        <f t="shared" si="117"/>
        <v/>
      </c>
      <c r="L502" s="166" t="e">
        <f t="shared" si="118"/>
        <v>#N/A</v>
      </c>
    </row>
    <row r="503" spans="1:12">
      <c r="A503" t="s">
        <v>43</v>
      </c>
      <c r="B503" s="161" t="str">
        <f>Attaccanti!B19</f>
        <v>SUSO</v>
      </c>
      <c r="C503" s="161" t="str">
        <f>Attaccanti!C19</f>
        <v>MIL</v>
      </c>
      <c r="D503" s="166">
        <f t="shared" si="112"/>
        <v>68.570593418510953</v>
      </c>
      <c r="E503" s="166">
        <v>0</v>
      </c>
      <c r="F503">
        <f t="shared" si="113"/>
        <v>43</v>
      </c>
      <c r="G503">
        <f>IF(ISNA(VLOOKUP(B503,'IA FG'!$B$2:$D$578,3,FALSE)),0,VLOOKUP(B503,'IA FG'!$B$2:$D$578,3,FALSE))</f>
        <v>93</v>
      </c>
      <c r="H503" s="166" t="str">
        <f t="shared" si="114"/>
        <v/>
      </c>
      <c r="I503" s="166">
        <f t="shared" si="115"/>
        <v>80</v>
      </c>
      <c r="J503" s="166" t="str">
        <f t="shared" si="116"/>
        <v/>
      </c>
      <c r="K503" s="166">
        <f t="shared" si="117"/>
        <v>3</v>
      </c>
      <c r="L503" s="166" t="e">
        <f t="shared" si="118"/>
        <v>#N/A</v>
      </c>
    </row>
    <row r="504" spans="1:12">
      <c r="A504" t="s">
        <v>43</v>
      </c>
      <c r="B504" s="161" t="str">
        <f>Attaccanti!B20</f>
        <v>NANI</v>
      </c>
      <c r="C504" s="161" t="str">
        <f>Attaccanti!C20</f>
        <v>LAZ</v>
      </c>
      <c r="D504" s="166">
        <f t="shared" si="112"/>
        <v>59.736333751313211</v>
      </c>
      <c r="E504" s="166">
        <v>0</v>
      </c>
      <c r="F504">
        <f t="shared" si="113"/>
        <v>43</v>
      </c>
      <c r="G504">
        <f>IF(ISNA(VLOOKUP(B504,'IA FG'!$B$2:$D$578,3,FALSE)),0,VLOOKUP(B504,'IA FG'!$B$2:$D$578,3,FALSE))</f>
        <v>78</v>
      </c>
      <c r="H504" s="166" t="str">
        <f t="shared" si="114"/>
        <v/>
      </c>
      <c r="I504" s="166">
        <f t="shared" si="115"/>
        <v>70</v>
      </c>
      <c r="J504" s="166" t="str">
        <f t="shared" si="116"/>
        <v/>
      </c>
      <c r="K504" s="166" t="str">
        <f t="shared" si="117"/>
        <v/>
      </c>
      <c r="L504" s="166" t="e">
        <f t="shared" si="118"/>
        <v>#N/A</v>
      </c>
    </row>
    <row r="505" spans="1:12">
      <c r="A505" t="s">
        <v>43</v>
      </c>
      <c r="B505" s="161" t="str">
        <f>Attaccanti!B21</f>
        <v>FALCINELLI</v>
      </c>
      <c r="C505" s="161" t="str">
        <f>Attaccanti!C21</f>
        <v>SAS</v>
      </c>
      <c r="D505" s="166">
        <f t="shared" si="112"/>
        <v>59.514055986715036</v>
      </c>
      <c r="E505" s="166">
        <v>0</v>
      </c>
      <c r="F505">
        <f t="shared" si="113"/>
        <v>46</v>
      </c>
      <c r="G505">
        <f>IF(ISNA(VLOOKUP(B505,'IA FG'!$B$2:$D$578,3,FALSE)),0,VLOOKUP(B505,'IA FG'!$B$2:$D$578,3,FALSE))</f>
        <v>80</v>
      </c>
      <c r="H505" s="166">
        <f t="shared" si="114"/>
        <v>1</v>
      </c>
      <c r="I505" s="166">
        <f t="shared" si="115"/>
        <v>80</v>
      </c>
      <c r="J505" s="166">
        <f t="shared" si="116"/>
        <v>2</v>
      </c>
      <c r="K505" s="166" t="str">
        <f t="shared" si="117"/>
        <v/>
      </c>
      <c r="L505" s="166" t="e">
        <f t="shared" si="118"/>
        <v>#N/A</v>
      </c>
    </row>
    <row r="506" spans="1:12">
      <c r="A506" t="s">
        <v>43</v>
      </c>
      <c r="B506" s="161" t="str">
        <f>Attaccanti!B22</f>
        <v>PETAGNA</v>
      </c>
      <c r="C506" s="161" t="str">
        <f>Attaccanti!C22</f>
        <v>ATA</v>
      </c>
      <c r="D506" s="166">
        <f t="shared" si="112"/>
        <v>57.121191581658636</v>
      </c>
      <c r="E506" s="166">
        <v>0</v>
      </c>
      <c r="F506">
        <f t="shared" si="113"/>
        <v>43</v>
      </c>
      <c r="G506">
        <f>IF(ISNA(VLOOKUP(B506,'IA FG'!$B$2:$D$578,3,FALSE)),0,VLOOKUP(B506,'IA FG'!$B$2:$D$578,3,FALSE))</f>
        <v>73</v>
      </c>
      <c r="H506" s="166" t="str">
        <f t="shared" si="114"/>
        <v/>
      </c>
      <c r="I506" s="166">
        <f t="shared" si="115"/>
        <v>80</v>
      </c>
      <c r="J506" s="166" t="str">
        <f t="shared" si="116"/>
        <v/>
      </c>
      <c r="K506" s="166" t="str">
        <f t="shared" si="117"/>
        <v/>
      </c>
      <c r="L506" s="166" t="e">
        <f t="shared" si="118"/>
        <v>#N/A</v>
      </c>
    </row>
    <row r="507" spans="1:12">
      <c r="A507" t="s">
        <v>43</v>
      </c>
      <c r="B507" s="161" t="str">
        <f>Attaccanti!B23</f>
        <v>PAVOLETTI</v>
      </c>
      <c r="C507" s="161" t="str">
        <f>Attaccanti!C23</f>
        <v>CAG</v>
      </c>
      <c r="D507" s="166">
        <f t="shared" si="112"/>
        <v>55.254431151930106</v>
      </c>
      <c r="E507" s="166">
        <v>0</v>
      </c>
      <c r="F507">
        <f t="shared" si="113"/>
        <v>45</v>
      </c>
      <c r="G507">
        <f>IF(ISNA(VLOOKUP(B507,'IA FG'!$B$2:$D$578,3,FALSE)),0,VLOOKUP(B507,'IA FG'!$B$2:$D$578,3,FALSE))</f>
        <v>85</v>
      </c>
      <c r="H507" s="166">
        <f t="shared" si="114"/>
        <v>1</v>
      </c>
      <c r="I507" s="166">
        <f t="shared" si="115"/>
        <v>80</v>
      </c>
      <c r="J507" s="166">
        <f t="shared" si="116"/>
        <v>2</v>
      </c>
      <c r="K507" s="166" t="str">
        <f t="shared" si="117"/>
        <v/>
      </c>
      <c r="L507" s="166" t="e">
        <f t="shared" si="118"/>
        <v>#N/A</v>
      </c>
    </row>
    <row r="508" spans="1:12">
      <c r="A508" t="s">
        <v>43</v>
      </c>
      <c r="B508" s="161" t="str">
        <f>Attaccanti!B24</f>
        <v>CUTRONE</v>
      </c>
      <c r="C508" s="161" t="str">
        <f>Attaccanti!C24</f>
        <v>MIL</v>
      </c>
      <c r="D508" s="166">
        <f t="shared" si="112"/>
        <v>55.17334869691939</v>
      </c>
      <c r="E508" s="166">
        <v>0</v>
      </c>
      <c r="F508">
        <f t="shared" si="113"/>
        <v>41</v>
      </c>
      <c r="G508">
        <f>IF(ISNA(VLOOKUP(B508,'IA FG'!$B$2:$D$578,3,FALSE)),0,VLOOKUP(B508,'IA FG'!$B$2:$D$578,3,FALSE))</f>
        <v>69</v>
      </c>
      <c r="H508" s="166" t="str">
        <f t="shared" si="114"/>
        <v/>
      </c>
      <c r="I508" s="166">
        <f t="shared" si="115"/>
        <v>60</v>
      </c>
      <c r="J508" s="166" t="str">
        <f t="shared" si="116"/>
        <v/>
      </c>
      <c r="K508" s="166" t="str">
        <f t="shared" si="117"/>
        <v/>
      </c>
      <c r="L508" s="166" t="e">
        <f t="shared" si="118"/>
        <v>#N/A</v>
      </c>
    </row>
    <row r="509" spans="1:12">
      <c r="A509" t="s">
        <v>43</v>
      </c>
      <c r="B509" s="161" t="str">
        <f>Attaccanti!B25</f>
        <v>NIANG</v>
      </c>
      <c r="C509" s="161" t="str">
        <f>Attaccanti!C25</f>
        <v>TOR</v>
      </c>
      <c r="D509" s="166">
        <f t="shared" si="112"/>
        <v>53.005092012064949</v>
      </c>
      <c r="E509" s="166">
        <v>0</v>
      </c>
      <c r="F509">
        <f t="shared" si="113"/>
        <v>42</v>
      </c>
      <c r="G509">
        <f>IF(ISNA(VLOOKUP(B509,'IA FG'!$B$2:$D$578,3,FALSE)),0,VLOOKUP(B509,'IA FG'!$B$2:$D$578,3,FALSE))</f>
        <v>80</v>
      </c>
      <c r="H509" s="166">
        <f t="shared" si="114"/>
        <v>0</v>
      </c>
      <c r="I509" s="166">
        <f t="shared" si="115"/>
        <v>80</v>
      </c>
      <c r="J509" s="166" t="str">
        <f t="shared" si="116"/>
        <v/>
      </c>
      <c r="K509" s="166" t="str">
        <f t="shared" si="117"/>
        <v/>
      </c>
      <c r="L509" s="166" t="e">
        <f t="shared" si="118"/>
        <v>#N/A</v>
      </c>
    </row>
    <row r="510" spans="1:12">
      <c r="A510" t="s">
        <v>43</v>
      </c>
      <c r="B510" s="161" t="str">
        <f>Attaccanti!B26</f>
        <v>EDER</v>
      </c>
      <c r="C510" s="161" t="str">
        <f>Attaccanti!C26</f>
        <v>INT</v>
      </c>
      <c r="D510" s="166">
        <f t="shared" si="112"/>
        <v>51.326591995119799</v>
      </c>
      <c r="E510" s="166">
        <v>0</v>
      </c>
      <c r="F510">
        <f t="shared" si="113"/>
        <v>41</v>
      </c>
      <c r="G510">
        <f>IF(ISNA(VLOOKUP(B510,'IA FG'!$B$2:$D$578,3,FALSE)),0,VLOOKUP(B510,'IA FG'!$B$2:$D$578,3,FALSE))</f>
        <v>75</v>
      </c>
      <c r="H510" s="166" t="str">
        <f t="shared" si="114"/>
        <v/>
      </c>
      <c r="I510" s="166">
        <f t="shared" si="115"/>
        <v>70</v>
      </c>
      <c r="J510" s="166">
        <f t="shared" si="116"/>
        <v>3</v>
      </c>
      <c r="K510" s="166" t="str">
        <f t="shared" si="117"/>
        <v/>
      </c>
      <c r="L510" s="166" t="e">
        <f t="shared" si="118"/>
        <v>#N/A</v>
      </c>
    </row>
    <row r="511" spans="1:12">
      <c r="A511" t="s">
        <v>43</v>
      </c>
      <c r="B511" s="161" t="str">
        <f>Attaccanti!B27</f>
        <v>PJACA</v>
      </c>
      <c r="C511" s="161" t="str">
        <f>Attaccanti!C27</f>
        <v>JUV</v>
      </c>
      <c r="D511" s="166">
        <f t="shared" si="112"/>
        <v>50.327973023350424</v>
      </c>
      <c r="E511" s="166">
        <v>0</v>
      </c>
      <c r="F511">
        <f t="shared" si="113"/>
        <v>39</v>
      </c>
      <c r="G511">
        <f>IF(ISNA(VLOOKUP(B511,'IA FG'!$B$2:$D$578,3,FALSE)),0,VLOOKUP(B511,'IA FG'!$B$2:$D$578,3,FALSE))</f>
        <v>59</v>
      </c>
      <c r="H511" s="166" t="str">
        <f t="shared" si="114"/>
        <v/>
      </c>
      <c r="I511" s="166">
        <f t="shared" si="115"/>
        <v>50</v>
      </c>
      <c r="J511" s="166" t="str">
        <f t="shared" si="116"/>
        <v/>
      </c>
      <c r="K511" s="166" t="str">
        <f t="shared" si="117"/>
        <v/>
      </c>
      <c r="L511" s="166" t="e">
        <f t="shared" si="118"/>
        <v>#N/A</v>
      </c>
    </row>
    <row r="512" spans="1:12">
      <c r="A512" t="s">
        <v>43</v>
      </c>
      <c r="B512" s="161" t="str">
        <f>Attaccanti!B28</f>
        <v>QUAGLIARELLA</v>
      </c>
      <c r="C512" s="161" t="str">
        <f>Attaccanti!C28</f>
        <v>SAM</v>
      </c>
      <c r="D512" s="166">
        <f t="shared" si="112"/>
        <v>48.984986613345995</v>
      </c>
      <c r="E512" s="166">
        <v>0</v>
      </c>
      <c r="F512">
        <f t="shared" si="113"/>
        <v>44</v>
      </c>
      <c r="G512">
        <f>IF(ISNA(VLOOKUP(B512,'IA FG'!$B$2:$D$578,3,FALSE)),0,VLOOKUP(B512,'IA FG'!$B$2:$D$578,3,FALSE))</f>
        <v>81</v>
      </c>
      <c r="H512" s="166">
        <f t="shared" si="114"/>
        <v>1</v>
      </c>
      <c r="I512" s="166">
        <f t="shared" si="115"/>
        <v>80</v>
      </c>
      <c r="J512" s="166" t="str">
        <f t="shared" si="116"/>
        <v/>
      </c>
      <c r="K512" s="166" t="str">
        <f t="shared" si="117"/>
        <v/>
      </c>
      <c r="L512" s="166" t="e">
        <f t="shared" si="118"/>
        <v>#N/A</v>
      </c>
    </row>
    <row r="513" spans="1:12">
      <c r="A513" t="s">
        <v>43</v>
      </c>
      <c r="B513" s="161" t="str">
        <f>Attaccanti!B29</f>
        <v>BERARDI</v>
      </c>
      <c r="C513" s="161" t="str">
        <f>Attaccanti!C29</f>
        <v>SAS</v>
      </c>
      <c r="D513" s="166">
        <f t="shared" si="112"/>
        <v>46.020351103128064</v>
      </c>
      <c r="E513" s="166">
        <v>3</v>
      </c>
      <c r="F513">
        <f t="shared" si="113"/>
        <v>44</v>
      </c>
      <c r="G513">
        <f>IF(ISNA(VLOOKUP(B513,'IA FG'!$B$2:$D$578,3,FALSE)),0,VLOOKUP(B513,'IA FG'!$B$2:$D$578,3,FALSE))</f>
        <v>81</v>
      </c>
      <c r="H513" s="166" t="str">
        <f t="shared" si="114"/>
        <v/>
      </c>
      <c r="I513" s="166">
        <f t="shared" si="115"/>
        <v>90</v>
      </c>
      <c r="J513" s="166">
        <f t="shared" si="116"/>
        <v>1</v>
      </c>
      <c r="K513" s="166">
        <f t="shared" si="117"/>
        <v>1</v>
      </c>
      <c r="L513" s="166">
        <f t="shared" si="118"/>
        <v>1</v>
      </c>
    </row>
    <row r="514" spans="1:12">
      <c r="A514" t="s">
        <v>43</v>
      </c>
      <c r="B514" s="161" t="str">
        <f>Attaccanti!B30</f>
        <v>BORINI</v>
      </c>
      <c r="C514" s="161" t="str">
        <f>Attaccanti!C30</f>
        <v>MIL</v>
      </c>
      <c r="D514" s="166">
        <f t="shared" si="112"/>
        <v>41.989527908631928</v>
      </c>
      <c r="E514" s="166">
        <v>0</v>
      </c>
      <c r="F514">
        <f t="shared" si="113"/>
        <v>40</v>
      </c>
      <c r="G514">
        <f>IF(ISNA(VLOOKUP(B514,'IA FG'!$B$2:$D$578,3,FALSE)),0,VLOOKUP(B514,'IA FG'!$B$2:$D$578,3,FALSE))</f>
        <v>69</v>
      </c>
      <c r="H514" s="166">
        <f t="shared" si="114"/>
        <v>-1</v>
      </c>
      <c r="I514" s="166">
        <f t="shared" si="115"/>
        <v>60</v>
      </c>
      <c r="J514" s="166" t="str">
        <f t="shared" si="116"/>
        <v/>
      </c>
      <c r="K514" s="166" t="str">
        <f t="shared" si="117"/>
        <v/>
      </c>
      <c r="L514" s="166" t="e">
        <f t="shared" si="118"/>
        <v>#N/A</v>
      </c>
    </row>
    <row r="515" spans="1:12">
      <c r="A515" t="s">
        <v>43</v>
      </c>
      <c r="B515" s="161" t="str">
        <f>Attaccanti!B31</f>
        <v>DEFREL</v>
      </c>
      <c r="C515" s="161" t="str">
        <f>Attaccanti!C31</f>
        <v>ROM</v>
      </c>
      <c r="D515" s="166">
        <f t="shared" si="112"/>
        <v>39.807291490154896</v>
      </c>
      <c r="E515" s="166">
        <v>0</v>
      </c>
      <c r="F515">
        <f t="shared" si="113"/>
        <v>38</v>
      </c>
      <c r="G515">
        <f>IF(ISNA(VLOOKUP(B515,'IA FG'!$B$2:$D$578,3,FALSE)),0,VLOOKUP(B515,'IA FG'!$B$2:$D$578,3,FALSE))</f>
        <v>77</v>
      </c>
      <c r="H515" s="166" t="str">
        <f t="shared" si="114"/>
        <v/>
      </c>
      <c r="I515" s="166">
        <f t="shared" si="115"/>
        <v>50</v>
      </c>
      <c r="J515" s="166" t="str">
        <f t="shared" si="116"/>
        <v/>
      </c>
      <c r="K515" s="166" t="str">
        <f t="shared" si="117"/>
        <v/>
      </c>
      <c r="L515" s="166" t="e">
        <f t="shared" si="118"/>
        <v>#N/A</v>
      </c>
    </row>
    <row r="516" spans="1:12">
      <c r="A516" t="s">
        <v>43</v>
      </c>
      <c r="B516" s="161" t="str">
        <f>Attaccanti!B32</f>
        <v>LAPADULA</v>
      </c>
      <c r="C516" s="161" t="str">
        <f>Attaccanti!C32</f>
        <v>GEN</v>
      </c>
      <c r="D516" s="166">
        <f t="shared" si="112"/>
        <v>39.167019690243009</v>
      </c>
      <c r="E516" s="166">
        <v>0</v>
      </c>
      <c r="F516">
        <f t="shared" si="113"/>
        <v>43</v>
      </c>
      <c r="G516">
        <f>IF(ISNA(VLOOKUP(B516,'IA FG'!$B$2:$D$578,3,FALSE)),0,VLOOKUP(B516,'IA FG'!$B$2:$D$578,3,FALSE))</f>
        <v>82</v>
      </c>
      <c r="H516" s="166">
        <f t="shared" si="114"/>
        <v>1</v>
      </c>
      <c r="I516" s="166">
        <f t="shared" si="115"/>
        <v>80</v>
      </c>
      <c r="J516" s="166" t="str">
        <f t="shared" si="116"/>
        <v/>
      </c>
      <c r="K516" s="166" t="str">
        <f t="shared" si="117"/>
        <v/>
      </c>
      <c r="L516" s="166" t="e">
        <f t="shared" si="118"/>
        <v>#N/A</v>
      </c>
    </row>
    <row r="517" spans="1:12">
      <c r="A517" t="s">
        <v>43</v>
      </c>
      <c r="B517" s="161" t="str">
        <f>Attaccanti!B33</f>
        <v>OUNAS</v>
      </c>
      <c r="C517" s="161" t="str">
        <f>Attaccanti!C33</f>
        <v>NAP</v>
      </c>
      <c r="D517" s="166">
        <f t="shared" si="112"/>
        <v>37.302123224997558</v>
      </c>
      <c r="E517" s="166">
        <v>0</v>
      </c>
      <c r="F517">
        <f t="shared" si="113"/>
        <v>36</v>
      </c>
      <c r="G517">
        <f>IF(ISNA(VLOOKUP(B517,'IA FG'!$B$2:$D$578,3,FALSE)),0,VLOOKUP(B517,'IA FG'!$B$2:$D$578,3,FALSE))</f>
        <v>73</v>
      </c>
      <c r="H517" s="166">
        <f t="shared" si="114"/>
        <v>0</v>
      </c>
      <c r="I517" s="166">
        <f t="shared" si="115"/>
        <v>50</v>
      </c>
      <c r="J517" s="166" t="str">
        <f t="shared" si="116"/>
        <v/>
      </c>
      <c r="K517" s="166" t="str">
        <f t="shared" si="117"/>
        <v/>
      </c>
      <c r="L517" s="166" t="e">
        <f t="shared" si="118"/>
        <v>#N/A</v>
      </c>
    </row>
    <row r="518" spans="1:12">
      <c r="A518" t="s">
        <v>43</v>
      </c>
      <c r="B518" s="161" t="str">
        <f>Attaccanti!B34</f>
        <v>KARAMOH</v>
      </c>
      <c r="C518" s="161" t="str">
        <f>Attaccanti!C34</f>
        <v>INT</v>
      </c>
      <c r="D518" s="166">
        <f t="shared" ref="D518:D549" si="119">IF(ISNA(VLOOKUP($B518,TabAlgAtt,11,FALSE)),0,VLOOKUP($B518,TabAlgAtt,11,FALSE))</f>
        <v>36.550945538346753</v>
      </c>
      <c r="E518" s="166">
        <v>0</v>
      </c>
      <c r="F518">
        <f t="shared" ref="F518:F549" si="120">IF(ISNA(VLOOKUP($B518,TabAlgAtt,12,FALSE)),0,VLOOKUP($B518,TabAlgAtt,12,FALSE))</f>
        <v>39</v>
      </c>
      <c r="G518">
        <f>IF(ISNA(VLOOKUP(B518,'IA FG'!$B$2:$D$578,3,FALSE)),0,VLOOKUP(B518,'IA FG'!$B$2:$D$578,3,FALSE))</f>
        <v>73</v>
      </c>
      <c r="H518" s="166" t="str">
        <f t="shared" ref="H518:H549" si="121">IF(ISNA(VLOOKUP($B518,TabAlgAtt,13,FALSE)),"",VLOOKUP($B518,TabAlgAtt,13,FALSE))</f>
        <v/>
      </c>
      <c r="I518" s="166">
        <f t="shared" ref="I518:I549" si="122">IF(ISNA(VLOOKUP($B518,TabAlgAtt,4,FALSE)),0,VLOOKUP($B518,TabAlgAtt,4,FALSE))*10</f>
        <v>60</v>
      </c>
      <c r="J518" s="166" t="str">
        <f t="shared" ref="J518:J549" si="123">IF(ISNA(VLOOKUP($B518,TabAlgAtt,14,FALSE)),"",VLOOKUP($B518,TabAlgAtt,14,FALSE))</f>
        <v/>
      </c>
      <c r="K518" s="166" t="str">
        <f t="shared" ref="K518:K549" si="124">IF(ISNA(VLOOKUP($B518,TabAlgAtt,15,FALSE)),"",VLOOKUP($B518,TabAlgAtt,15,FALSE))</f>
        <v/>
      </c>
      <c r="L518" s="166" t="e">
        <f t="shared" ref="L518:L549" si="125">VLOOKUP($B518,TabAlgAtt,16,FALSE)</f>
        <v>#N/A</v>
      </c>
    </row>
    <row r="519" spans="1:12">
      <c r="A519" t="s">
        <v>43</v>
      </c>
      <c r="B519" s="161" t="str">
        <f>Attaccanti!B35</f>
        <v>THEREAU</v>
      </c>
      <c r="C519" s="161" t="str">
        <f>Attaccanti!C35</f>
        <v>FIO</v>
      </c>
      <c r="D519" s="166">
        <f t="shared" si="119"/>
        <v>34.477285051004856</v>
      </c>
      <c r="E519" s="166">
        <v>0</v>
      </c>
      <c r="F519">
        <f t="shared" si="120"/>
        <v>42</v>
      </c>
      <c r="G519">
        <f>IF(ISNA(VLOOKUP(B519,'IA FG'!$B$2:$D$578,3,FALSE)),0,VLOOKUP(B519,'IA FG'!$B$2:$D$578,3,FALSE))</f>
        <v>83</v>
      </c>
      <c r="H519" s="166" t="str">
        <f t="shared" si="121"/>
        <v/>
      </c>
      <c r="I519" s="166">
        <f t="shared" si="122"/>
        <v>70</v>
      </c>
      <c r="J519" s="166" t="str">
        <f t="shared" si="123"/>
        <v/>
      </c>
      <c r="K519" s="166" t="str">
        <f t="shared" si="124"/>
        <v/>
      </c>
      <c r="L519" s="166" t="e">
        <f t="shared" si="125"/>
        <v>#N/A</v>
      </c>
    </row>
    <row r="520" spans="1:12">
      <c r="A520" t="s">
        <v>43</v>
      </c>
      <c r="B520" s="161" t="str">
        <f>Attaccanti!B36</f>
        <v>CORNELIUS</v>
      </c>
      <c r="C520" s="161" t="str">
        <f>Attaccanti!C36</f>
        <v>ATA</v>
      </c>
      <c r="D520" s="166">
        <f t="shared" si="119"/>
        <v>33.879884434202125</v>
      </c>
      <c r="E520" s="166">
        <v>0</v>
      </c>
      <c r="F520">
        <f t="shared" si="120"/>
        <v>40</v>
      </c>
      <c r="G520">
        <f>IF(ISNA(VLOOKUP(B520,'IA FG'!$B$2:$D$578,3,FALSE)),0,VLOOKUP(B520,'IA FG'!$B$2:$D$578,3,FALSE))</f>
        <v>72</v>
      </c>
      <c r="H520" s="166">
        <f t="shared" si="121"/>
        <v>0</v>
      </c>
      <c r="I520" s="166">
        <f t="shared" si="122"/>
        <v>50</v>
      </c>
      <c r="J520" s="166" t="str">
        <f t="shared" si="123"/>
        <v/>
      </c>
      <c r="K520" s="166" t="str">
        <f t="shared" si="124"/>
        <v/>
      </c>
      <c r="L520" s="166" t="e">
        <f t="shared" si="125"/>
        <v>#N/A</v>
      </c>
    </row>
    <row r="521" spans="1:12">
      <c r="A521" t="s">
        <v>43</v>
      </c>
      <c r="B521" s="161" t="str">
        <f>Attaccanti!B37</f>
        <v>BABACAR</v>
      </c>
      <c r="C521" s="161" t="str">
        <f>Attaccanti!C37</f>
        <v>FIO</v>
      </c>
      <c r="D521" s="166">
        <f t="shared" si="119"/>
        <v>33.816975632900693</v>
      </c>
      <c r="E521" s="166">
        <v>0</v>
      </c>
      <c r="F521">
        <f t="shared" si="120"/>
        <v>42</v>
      </c>
      <c r="G521">
        <f>IF(ISNA(VLOOKUP(B521,'IA FG'!$B$2:$D$578,3,FALSE)),0,VLOOKUP(B521,'IA FG'!$B$2:$D$578,3,FALSE))</f>
        <v>78</v>
      </c>
      <c r="H521" s="166">
        <f t="shared" si="121"/>
        <v>-1</v>
      </c>
      <c r="I521" s="166">
        <f t="shared" si="122"/>
        <v>60</v>
      </c>
      <c r="J521" s="166">
        <f t="shared" si="123"/>
        <v>1</v>
      </c>
      <c r="K521" s="166" t="str">
        <f t="shared" si="124"/>
        <v/>
      </c>
      <c r="L521" s="166" t="e">
        <f t="shared" si="125"/>
        <v>#N/A</v>
      </c>
    </row>
    <row r="522" spans="1:12">
      <c r="A522" t="s">
        <v>43</v>
      </c>
      <c r="B522" s="161" t="str">
        <f>Attaccanti!B38</f>
        <v>INGLESE</v>
      </c>
      <c r="C522" s="161" t="str">
        <f>Attaccanti!C38</f>
        <v>CHI</v>
      </c>
      <c r="D522" s="166">
        <f t="shared" si="119"/>
        <v>31.060638153658431</v>
      </c>
      <c r="E522" s="166">
        <v>0</v>
      </c>
      <c r="F522">
        <f t="shared" si="120"/>
        <v>43</v>
      </c>
      <c r="G522">
        <f>IF(ISNA(VLOOKUP(B522,'IA FG'!$B$2:$D$578,3,FALSE)),0,VLOOKUP(B522,'IA FG'!$B$2:$D$578,3,FALSE))</f>
        <v>79</v>
      </c>
      <c r="H522" s="166">
        <f t="shared" si="121"/>
        <v>1</v>
      </c>
      <c r="I522" s="166">
        <f t="shared" si="122"/>
        <v>80</v>
      </c>
      <c r="J522" s="166" t="str">
        <f t="shared" si="123"/>
        <v/>
      </c>
      <c r="K522" s="166" t="str">
        <f t="shared" si="124"/>
        <v/>
      </c>
      <c r="L522" s="166" t="e">
        <f t="shared" si="125"/>
        <v>#N/A</v>
      </c>
    </row>
    <row r="523" spans="1:12">
      <c r="A523" t="s">
        <v>43</v>
      </c>
      <c r="B523" s="161" t="str">
        <f>Attaccanti!B39</f>
        <v>VERDI</v>
      </c>
      <c r="C523" s="161" t="str">
        <f>Attaccanti!C39</f>
        <v>BOL</v>
      </c>
      <c r="D523" s="166">
        <f t="shared" si="119"/>
        <v>27.614167824584058</v>
      </c>
      <c r="E523" s="166">
        <v>0</v>
      </c>
      <c r="F523">
        <f t="shared" si="120"/>
        <v>43</v>
      </c>
      <c r="G523">
        <f>IF(ISNA(VLOOKUP(B523,'IA FG'!$B$2:$D$578,3,FALSE)),0,VLOOKUP(B523,'IA FG'!$B$2:$D$578,3,FALSE))</f>
        <v>91</v>
      </c>
      <c r="H523" s="166">
        <f t="shared" si="121"/>
        <v>1</v>
      </c>
      <c r="I523" s="166">
        <f t="shared" si="122"/>
        <v>90</v>
      </c>
      <c r="J523" s="166">
        <f t="shared" si="123"/>
        <v>2</v>
      </c>
      <c r="K523" s="166">
        <f t="shared" si="124"/>
        <v>1</v>
      </c>
      <c r="L523" s="166">
        <f t="shared" si="125"/>
        <v>1</v>
      </c>
    </row>
    <row r="524" spans="1:12">
      <c r="A524" t="s">
        <v>43</v>
      </c>
      <c r="B524" s="161" t="str">
        <f>Attaccanti!B40</f>
        <v>ZAPATA D</v>
      </c>
      <c r="C524" s="161" t="str">
        <f>Attaccanti!C40</f>
        <v>SAM</v>
      </c>
      <c r="D524" s="166">
        <f t="shared" si="119"/>
        <v>27.374648388517983</v>
      </c>
      <c r="E524" s="166">
        <v>0</v>
      </c>
      <c r="F524">
        <f t="shared" si="120"/>
        <v>41</v>
      </c>
      <c r="G524">
        <f>IF(ISNA(VLOOKUP(B524,'IA FG'!$B$2:$D$578,3,FALSE)),0,VLOOKUP(B524,'IA FG'!$B$2:$D$578,3,FALSE))</f>
        <v>83</v>
      </c>
      <c r="H524" s="166">
        <f t="shared" si="121"/>
        <v>0</v>
      </c>
      <c r="I524" s="166">
        <f t="shared" si="122"/>
        <v>70</v>
      </c>
      <c r="J524" s="166">
        <f t="shared" si="123"/>
        <v>2</v>
      </c>
      <c r="K524" s="166" t="str">
        <f t="shared" si="124"/>
        <v/>
      </c>
      <c r="L524" s="166" t="e">
        <f t="shared" si="125"/>
        <v>#N/A</v>
      </c>
    </row>
    <row r="525" spans="1:12">
      <c r="A525" t="s">
        <v>43</v>
      </c>
      <c r="B525" s="161" t="str">
        <f>Attaccanti!B41</f>
        <v>DESTRO</v>
      </c>
      <c r="C525" s="161" t="str">
        <f>Attaccanti!C41</f>
        <v>BOL</v>
      </c>
      <c r="D525" s="166">
        <f t="shared" si="119"/>
        <v>26.818254990341273</v>
      </c>
      <c r="E525" s="166">
        <v>0</v>
      </c>
      <c r="F525">
        <f t="shared" si="120"/>
        <v>42</v>
      </c>
      <c r="G525">
        <f>IF(ISNA(VLOOKUP(B525,'IA FG'!$B$2:$D$578,3,FALSE)),0,VLOOKUP(B525,'IA FG'!$B$2:$D$578,3,FALSE))</f>
        <v>79</v>
      </c>
      <c r="H525" s="166">
        <f t="shared" si="121"/>
        <v>0</v>
      </c>
      <c r="I525" s="166">
        <f t="shared" si="122"/>
        <v>90</v>
      </c>
      <c r="J525" s="166">
        <f t="shared" si="123"/>
        <v>1</v>
      </c>
      <c r="K525" s="166" t="str">
        <f t="shared" si="124"/>
        <v/>
      </c>
      <c r="L525" s="166" t="e">
        <f t="shared" si="125"/>
        <v>#N/A</v>
      </c>
    </row>
    <row r="526" spans="1:12">
      <c r="A526" t="s">
        <v>43</v>
      </c>
      <c r="B526" s="161" t="str">
        <f>Attaccanti!B42</f>
        <v>FARIAS</v>
      </c>
      <c r="C526" s="161" t="str">
        <f>Attaccanti!C42</f>
        <v>CAG</v>
      </c>
      <c r="D526" s="166">
        <f t="shared" si="119"/>
        <v>25.430999423865416</v>
      </c>
      <c r="E526" s="166">
        <v>0</v>
      </c>
      <c r="F526">
        <f t="shared" si="120"/>
        <v>41</v>
      </c>
      <c r="G526">
        <f>IF(ISNA(VLOOKUP(B526,'IA FG'!$B$2:$D$578,3,FALSE)),0,VLOOKUP(B526,'IA FG'!$B$2:$D$578,3,FALSE))</f>
        <v>76</v>
      </c>
      <c r="H526" s="166">
        <f t="shared" si="121"/>
        <v>0</v>
      </c>
      <c r="I526" s="166">
        <f t="shared" si="122"/>
        <v>70</v>
      </c>
      <c r="J526" s="166">
        <f t="shared" si="123"/>
        <v>3</v>
      </c>
      <c r="K526" s="166" t="str">
        <f t="shared" si="124"/>
        <v/>
      </c>
      <c r="L526" s="166" t="e">
        <f t="shared" si="125"/>
        <v>#N/A</v>
      </c>
    </row>
    <row r="527" spans="1:12">
      <c r="A527" t="s">
        <v>43</v>
      </c>
      <c r="B527" s="161" t="str">
        <f>Attaccanti!B43</f>
        <v>BUDIMIR</v>
      </c>
      <c r="C527" s="161" t="str">
        <f>Attaccanti!C43</f>
        <v>CRO</v>
      </c>
      <c r="D527" s="166">
        <f t="shared" si="119"/>
        <v>25.285610194191122</v>
      </c>
      <c r="E527" s="166">
        <v>0</v>
      </c>
      <c r="F527">
        <f t="shared" si="120"/>
        <v>44</v>
      </c>
      <c r="G527">
        <f>IF(ISNA(VLOOKUP(B527,'IA FG'!$B$2:$D$578,3,FALSE)),0,VLOOKUP(B527,'IA FG'!$B$2:$D$578,3,FALSE))</f>
        <v>75</v>
      </c>
      <c r="H527" s="166">
        <f t="shared" si="121"/>
        <v>1</v>
      </c>
      <c r="I527" s="166">
        <f t="shared" si="122"/>
        <v>90</v>
      </c>
      <c r="J527" s="166">
        <f t="shared" si="123"/>
        <v>1</v>
      </c>
      <c r="K527" s="166" t="str">
        <f t="shared" si="124"/>
        <v/>
      </c>
      <c r="L527" s="166" t="e">
        <f t="shared" si="125"/>
        <v>#N/A</v>
      </c>
    </row>
    <row r="528" spans="1:12">
      <c r="A528" t="s">
        <v>43</v>
      </c>
      <c r="B528" s="161" t="str">
        <f>Attaccanti!B44</f>
        <v>BOYE'</v>
      </c>
      <c r="C528" s="161" t="str">
        <f>Attaccanti!C44</f>
        <v>TOR</v>
      </c>
      <c r="D528" s="166">
        <f t="shared" si="119"/>
        <v>24.24924594164105</v>
      </c>
      <c r="E528" s="166">
        <v>0</v>
      </c>
      <c r="F528">
        <f t="shared" si="120"/>
        <v>39</v>
      </c>
      <c r="G528">
        <f>IF(ISNA(VLOOKUP(B528,'IA FG'!$B$2:$D$578,3,FALSE)),0,VLOOKUP(B528,'IA FG'!$B$2:$D$578,3,FALSE))</f>
        <v>70</v>
      </c>
      <c r="H528" s="166">
        <f t="shared" si="121"/>
        <v>-1</v>
      </c>
      <c r="I528" s="166">
        <f t="shared" si="122"/>
        <v>60</v>
      </c>
      <c r="J528" s="166" t="str">
        <f t="shared" si="123"/>
        <v/>
      </c>
      <c r="K528" s="166" t="str">
        <f t="shared" si="124"/>
        <v/>
      </c>
      <c r="L528" s="166" t="e">
        <f t="shared" si="125"/>
        <v>#N/A</v>
      </c>
    </row>
    <row r="529" spans="1:12">
      <c r="A529" t="s">
        <v>43</v>
      </c>
      <c r="B529" s="161" t="str">
        <f>Attaccanti!B45</f>
        <v>PERICA</v>
      </c>
      <c r="C529" s="161" t="str">
        <f>Attaccanti!C45</f>
        <v>UDI</v>
      </c>
      <c r="D529" s="166">
        <f t="shared" si="119"/>
        <v>23.55911309180874</v>
      </c>
      <c r="E529" s="166">
        <v>0</v>
      </c>
      <c r="F529">
        <f t="shared" si="120"/>
        <v>41</v>
      </c>
      <c r="G529">
        <f>IF(ISNA(VLOOKUP(B529,'IA FG'!$B$2:$D$578,3,FALSE)),0,VLOOKUP(B529,'IA FG'!$B$2:$D$578,3,FALSE))</f>
        <v>79</v>
      </c>
      <c r="H529" s="166" t="str">
        <f t="shared" si="121"/>
        <v/>
      </c>
      <c r="I529" s="166">
        <f t="shared" si="122"/>
        <v>70</v>
      </c>
      <c r="J529" s="166">
        <f t="shared" si="123"/>
        <v>1</v>
      </c>
      <c r="K529" s="166" t="str">
        <f t="shared" si="124"/>
        <v/>
      </c>
      <c r="L529" s="166" t="e">
        <f t="shared" si="125"/>
        <v>#N/A</v>
      </c>
    </row>
    <row r="530" spans="1:12">
      <c r="A530" t="s">
        <v>43</v>
      </c>
      <c r="B530" s="161" t="str">
        <f>Attaccanti!B46</f>
        <v>POLITANO</v>
      </c>
      <c r="C530" s="161" t="str">
        <f>Attaccanti!C46</f>
        <v>SAS</v>
      </c>
      <c r="D530" s="166">
        <f t="shared" si="119"/>
        <v>20.409945097773459</v>
      </c>
      <c r="E530" s="166">
        <v>0</v>
      </c>
      <c r="F530">
        <f t="shared" si="120"/>
        <v>41</v>
      </c>
      <c r="G530">
        <f>IF(ISNA(VLOOKUP(B530,'IA FG'!$B$2:$D$578,3,FALSE)),0,VLOOKUP(B530,'IA FG'!$B$2:$D$578,3,FALSE))</f>
        <v>78</v>
      </c>
      <c r="H530" s="166" t="str">
        <f t="shared" si="121"/>
        <v/>
      </c>
      <c r="I530" s="166">
        <f t="shared" si="122"/>
        <v>80</v>
      </c>
      <c r="J530" s="166">
        <f t="shared" si="123"/>
        <v>3</v>
      </c>
      <c r="K530" s="166">
        <f t="shared" si="124"/>
        <v>2</v>
      </c>
      <c r="L530" s="166">
        <f t="shared" si="125"/>
        <v>2</v>
      </c>
    </row>
    <row r="531" spans="1:12">
      <c r="A531" t="s">
        <v>43</v>
      </c>
      <c r="B531" s="161" t="str">
        <f>Attaccanti!B47</f>
        <v>PAZZINI</v>
      </c>
      <c r="C531" s="161" t="str">
        <f>Attaccanti!C47</f>
        <v>VER</v>
      </c>
      <c r="D531" s="166">
        <f t="shared" si="119"/>
        <v>20.300437184396969</v>
      </c>
      <c r="E531" s="166">
        <v>0</v>
      </c>
      <c r="F531">
        <f t="shared" si="120"/>
        <v>43</v>
      </c>
      <c r="G531">
        <f>IF(ISNA(VLOOKUP(B531,'IA FG'!$B$2:$D$578,3,FALSE)),0,VLOOKUP(B531,'IA FG'!$B$2:$D$578,3,FALSE))</f>
        <v>75</v>
      </c>
      <c r="H531" s="166">
        <f t="shared" si="121"/>
        <v>1</v>
      </c>
      <c r="I531" s="166">
        <f t="shared" si="122"/>
        <v>80</v>
      </c>
      <c r="J531" s="166">
        <f t="shared" si="123"/>
        <v>1</v>
      </c>
      <c r="K531" s="166" t="str">
        <f t="shared" si="124"/>
        <v/>
      </c>
      <c r="L531" s="166" t="e">
        <f t="shared" si="125"/>
        <v>#N/A</v>
      </c>
    </row>
    <row r="532" spans="1:12">
      <c r="A532" t="s">
        <v>43</v>
      </c>
      <c r="B532" s="161" t="str">
        <f>Attaccanti!B48</f>
        <v>LASAGNA</v>
      </c>
      <c r="C532" s="161" t="str">
        <f>Attaccanti!C48</f>
        <v>UDI</v>
      </c>
      <c r="D532" s="166">
        <f t="shared" si="119"/>
        <v>19.38429864100047</v>
      </c>
      <c r="E532" s="166">
        <v>0</v>
      </c>
      <c r="F532">
        <f t="shared" si="120"/>
        <v>41</v>
      </c>
      <c r="G532">
        <f>IF(ISNA(VLOOKUP(B532,'IA FG'!$B$2:$D$578,3,FALSE)),0,VLOOKUP(B532,'IA FG'!$B$2:$D$578,3,FALSE))</f>
        <v>77</v>
      </c>
      <c r="H532" s="166">
        <f t="shared" si="121"/>
        <v>0</v>
      </c>
      <c r="I532" s="166">
        <f t="shared" si="122"/>
        <v>70</v>
      </c>
      <c r="J532" s="166" t="str">
        <f t="shared" si="123"/>
        <v/>
      </c>
      <c r="K532" s="166" t="str">
        <f t="shared" si="124"/>
        <v/>
      </c>
      <c r="L532" s="166" t="e">
        <f t="shared" si="125"/>
        <v>#N/A</v>
      </c>
    </row>
    <row r="533" spans="1:12">
      <c r="A533" t="s">
        <v>43</v>
      </c>
      <c r="B533" s="161" t="str">
        <f>Attaccanti!B49</f>
        <v>VIDO</v>
      </c>
      <c r="C533" s="161" t="str">
        <f>Attaccanti!C49</f>
        <v>ATA</v>
      </c>
      <c r="D533" s="166">
        <f t="shared" si="119"/>
        <v>19.104237977429136</v>
      </c>
      <c r="E533" s="166">
        <v>0</v>
      </c>
      <c r="F533">
        <f t="shared" si="120"/>
        <v>38</v>
      </c>
      <c r="G533">
        <f>IF(ISNA(VLOOKUP(B533,'IA FG'!$B$2:$D$578,3,FALSE)),0,VLOOKUP(B533,'IA FG'!$B$2:$D$578,3,FALSE))</f>
        <v>58</v>
      </c>
      <c r="H533" s="166">
        <f t="shared" si="121"/>
        <v>0</v>
      </c>
      <c r="I533" s="166">
        <f t="shared" si="122"/>
        <v>40</v>
      </c>
      <c r="J533" s="166">
        <f t="shared" si="123"/>
        <v>3</v>
      </c>
      <c r="K533" s="166">
        <f t="shared" si="124"/>
        <v>4</v>
      </c>
      <c r="L533" s="166" t="e">
        <f t="shared" si="125"/>
        <v>#N/A</v>
      </c>
    </row>
    <row r="534" spans="1:12">
      <c r="A534" t="s">
        <v>43</v>
      </c>
      <c r="B534" s="161" t="str">
        <f>Attaccanti!B50</f>
        <v>ORSOLINI</v>
      </c>
      <c r="C534" s="161" t="str">
        <f>Attaccanti!C50</f>
        <v>ATA</v>
      </c>
      <c r="D534" s="166">
        <f t="shared" si="119"/>
        <v>16.929457416884162</v>
      </c>
      <c r="E534" s="166">
        <v>0</v>
      </c>
      <c r="F534">
        <f t="shared" si="120"/>
        <v>38</v>
      </c>
      <c r="G534">
        <f>IF(ISNA(VLOOKUP(B534,'IA FG'!$B$2:$D$578,3,FALSE)),0,VLOOKUP(B534,'IA FG'!$B$2:$D$578,3,FALSE))</f>
        <v>70</v>
      </c>
      <c r="H534" s="166">
        <f t="shared" si="121"/>
        <v>0</v>
      </c>
      <c r="I534" s="166">
        <f t="shared" si="122"/>
        <v>40</v>
      </c>
      <c r="J534" s="166" t="str">
        <f t="shared" si="123"/>
        <v/>
      </c>
      <c r="K534" s="166">
        <f t="shared" si="124"/>
        <v>3</v>
      </c>
      <c r="L534" s="166" t="e">
        <f t="shared" si="125"/>
        <v>#N/A</v>
      </c>
    </row>
    <row r="535" spans="1:12">
      <c r="A535" t="s">
        <v>43</v>
      </c>
      <c r="B535" s="161" t="str">
        <f>Attaccanti!B51</f>
        <v>RICCI</v>
      </c>
      <c r="C535" s="161" t="str">
        <f>Attaccanti!C51</f>
        <v>GEN</v>
      </c>
      <c r="D535" s="166">
        <f t="shared" si="119"/>
        <v>13.55661368488839</v>
      </c>
      <c r="E535" s="166">
        <v>0</v>
      </c>
      <c r="F535">
        <f t="shared" si="120"/>
        <v>40</v>
      </c>
      <c r="G535">
        <f>IF(ISNA(VLOOKUP(B535,'IA FG'!$B$2:$D$578,3,FALSE)),0,VLOOKUP(B535,'IA FG'!$B$2:$D$578,3,FALSE))</f>
        <v>74</v>
      </c>
      <c r="H535" s="166">
        <f t="shared" si="121"/>
        <v>0</v>
      </c>
      <c r="I535" s="166">
        <f t="shared" si="122"/>
        <v>70</v>
      </c>
      <c r="J535" s="166" t="str">
        <f t="shared" si="123"/>
        <v/>
      </c>
      <c r="K535" s="166" t="str">
        <f t="shared" si="124"/>
        <v/>
      </c>
      <c r="L535" s="166" t="e">
        <f t="shared" si="125"/>
        <v>#N/A</v>
      </c>
    </row>
    <row r="536" spans="1:12">
      <c r="A536" t="s">
        <v>43</v>
      </c>
      <c r="B536" s="161" t="str">
        <f>Attaccanti!B52</f>
        <v>CENTURION</v>
      </c>
      <c r="C536" s="161" t="str">
        <f>Attaccanti!C52</f>
        <v>GEN</v>
      </c>
      <c r="D536" s="166">
        <f t="shared" si="119"/>
        <v>13.55661368488839</v>
      </c>
      <c r="E536" s="166">
        <v>0</v>
      </c>
      <c r="F536">
        <f t="shared" si="120"/>
        <v>40</v>
      </c>
      <c r="G536">
        <f>IF(ISNA(VLOOKUP(B536,'IA FG'!$B$2:$D$578,3,FALSE)),0,VLOOKUP(B536,'IA FG'!$B$2:$D$578,3,FALSE))</f>
        <v>75</v>
      </c>
      <c r="H536" s="166">
        <f t="shared" si="121"/>
        <v>0</v>
      </c>
      <c r="I536" s="166">
        <f t="shared" si="122"/>
        <v>70</v>
      </c>
      <c r="J536" s="166" t="str">
        <f t="shared" si="123"/>
        <v/>
      </c>
      <c r="K536" s="166" t="str">
        <f t="shared" si="124"/>
        <v/>
      </c>
      <c r="L536" s="166" t="e">
        <f t="shared" si="125"/>
        <v>#N/A</v>
      </c>
    </row>
    <row r="537" spans="1:12">
      <c r="A537" t="s">
        <v>43</v>
      </c>
      <c r="B537" s="161" t="str">
        <f>Attaccanti!B53</f>
        <v>BAJIC</v>
      </c>
      <c r="C537" s="161" t="str">
        <f>Attaccanti!C53</f>
        <v>UDI</v>
      </c>
      <c r="D537" s="166">
        <f t="shared" si="119"/>
        <v>12.821745687463959</v>
      </c>
      <c r="E537" s="166">
        <v>0</v>
      </c>
      <c r="F537">
        <f t="shared" si="120"/>
        <v>40</v>
      </c>
      <c r="G537">
        <f>IF(ISNA(VLOOKUP(B537,'IA FG'!$B$2:$D$578,3,FALSE)),0,VLOOKUP(B537,'IA FG'!$B$2:$D$578,3,FALSE))</f>
        <v>73</v>
      </c>
      <c r="H537" s="166" t="str">
        <f t="shared" si="121"/>
        <v/>
      </c>
      <c r="I537" s="166">
        <f t="shared" si="122"/>
        <v>60</v>
      </c>
      <c r="J537" s="166" t="str">
        <f t="shared" si="123"/>
        <v/>
      </c>
      <c r="K537" s="166" t="str">
        <f t="shared" si="124"/>
        <v/>
      </c>
      <c r="L537" s="166" t="e">
        <f t="shared" si="125"/>
        <v>#N/A</v>
      </c>
    </row>
    <row r="538" spans="1:12">
      <c r="A538" t="s">
        <v>43</v>
      </c>
      <c r="B538" s="161" t="str">
        <f>Attaccanti!B54</f>
        <v>SAU</v>
      </c>
      <c r="C538" s="161" t="str">
        <f>Attaccanti!C54</f>
        <v>CAG</v>
      </c>
      <c r="D538" s="166">
        <f t="shared" si="119"/>
        <v>11.451265801335296</v>
      </c>
      <c r="E538" s="166">
        <v>0</v>
      </c>
      <c r="F538">
        <f t="shared" si="120"/>
        <v>39</v>
      </c>
      <c r="G538">
        <f>IF(ISNA(VLOOKUP(B538,'IA FG'!$B$2:$D$578,3,FALSE)),0,VLOOKUP(B538,'IA FG'!$B$2:$D$578,3,FALSE))</f>
        <v>77</v>
      </c>
      <c r="H538" s="166" t="str">
        <f t="shared" si="121"/>
        <v/>
      </c>
      <c r="I538" s="166">
        <f t="shared" si="122"/>
        <v>70</v>
      </c>
      <c r="J538" s="166" t="str">
        <f t="shared" si="123"/>
        <v/>
      </c>
      <c r="K538" s="166" t="str">
        <f t="shared" si="124"/>
        <v/>
      </c>
      <c r="L538" s="166" t="e">
        <f t="shared" si="125"/>
        <v>#N/A</v>
      </c>
    </row>
    <row r="539" spans="1:12">
      <c r="A539" t="s">
        <v>43</v>
      </c>
      <c r="B539" s="161" t="str">
        <f>Attaccanti!B55</f>
        <v>CAPRARI</v>
      </c>
      <c r="C539" s="161" t="str">
        <f>Attaccanti!C55</f>
        <v>SAM</v>
      </c>
      <c r="D539" s="166">
        <f t="shared" si="119"/>
        <v>11.045853526281917</v>
      </c>
      <c r="E539" s="166">
        <v>0</v>
      </c>
      <c r="F539">
        <f t="shared" si="120"/>
        <v>39</v>
      </c>
      <c r="G539">
        <f>IF(ISNA(VLOOKUP(B539,'IA FG'!$B$2:$D$578,3,FALSE)),0,VLOOKUP(B539,'IA FG'!$B$2:$D$578,3,FALSE))</f>
        <v>78</v>
      </c>
      <c r="H539" s="166">
        <f t="shared" si="121"/>
        <v>0</v>
      </c>
      <c r="I539" s="166">
        <f t="shared" si="122"/>
        <v>60</v>
      </c>
      <c r="J539" s="166" t="str">
        <f t="shared" si="123"/>
        <v/>
      </c>
      <c r="K539" s="166">
        <f t="shared" si="124"/>
        <v>1</v>
      </c>
      <c r="L539" s="166">
        <f t="shared" si="125"/>
        <v>1</v>
      </c>
    </row>
    <row r="540" spans="1:12">
      <c r="A540" t="s">
        <v>43</v>
      </c>
      <c r="B540" s="161" t="str">
        <f>Attaccanti!B56</f>
        <v>MELCHIORRI</v>
      </c>
      <c r="C540" s="161" t="str">
        <f>Attaccanti!C56</f>
        <v>CAG</v>
      </c>
      <c r="D540" s="166">
        <f t="shared" si="119"/>
        <v>7.5485901650455673</v>
      </c>
      <c r="E540" s="166">
        <v>0</v>
      </c>
      <c r="F540">
        <f t="shared" si="120"/>
        <v>39</v>
      </c>
      <c r="G540">
        <f>IF(ISNA(VLOOKUP(B540,'IA FG'!$B$2:$D$578,3,FALSE)),0,VLOOKUP(B540,'IA FG'!$B$2:$D$578,3,FALSE))</f>
        <v>69</v>
      </c>
      <c r="H540" s="166" t="str">
        <f t="shared" si="121"/>
        <v/>
      </c>
      <c r="I540" s="166">
        <f t="shared" si="122"/>
        <v>60</v>
      </c>
      <c r="J540" s="166" t="str">
        <f t="shared" si="123"/>
        <v/>
      </c>
      <c r="K540" s="166" t="str">
        <f t="shared" si="124"/>
        <v/>
      </c>
      <c r="L540" s="166" t="e">
        <f t="shared" si="125"/>
        <v>#N/A</v>
      </c>
    </row>
    <row r="541" spans="1:12">
      <c r="A541" t="s">
        <v>43</v>
      </c>
      <c r="B541" s="161" t="str">
        <f>Attaccanti!B57</f>
        <v>GALABINOV</v>
      </c>
      <c r="C541" s="161" t="str">
        <f>Attaccanti!C57</f>
        <v>GEN</v>
      </c>
      <c r="D541" s="166">
        <f t="shared" si="119"/>
        <v>4.9940268410885835</v>
      </c>
      <c r="E541" s="166">
        <v>0</v>
      </c>
      <c r="F541">
        <f t="shared" si="120"/>
        <v>39</v>
      </c>
      <c r="G541">
        <f>IF(ISNA(VLOOKUP(B541,'IA FG'!$B$2:$D$578,3,FALSE)),0,VLOOKUP(B541,'IA FG'!$B$2:$D$578,3,FALSE))</f>
        <v>67</v>
      </c>
      <c r="H541" s="166">
        <f t="shared" si="121"/>
        <v>0</v>
      </c>
      <c r="I541" s="166">
        <f t="shared" si="122"/>
        <v>60</v>
      </c>
      <c r="J541" s="166" t="str">
        <f t="shared" si="123"/>
        <v/>
      </c>
      <c r="K541" s="166" t="str">
        <f t="shared" si="124"/>
        <v/>
      </c>
      <c r="L541" s="166" t="e">
        <f t="shared" si="125"/>
        <v>#N/A</v>
      </c>
    </row>
    <row r="542" spans="1:12">
      <c r="A542" t="s">
        <v>43</v>
      </c>
      <c r="B542" s="161" t="str">
        <f>Attaccanti!B58</f>
        <v>TAARABT</v>
      </c>
      <c r="C542" s="161" t="str">
        <f>Attaccanti!C58</f>
        <v>GEN</v>
      </c>
      <c r="D542" s="166">
        <f t="shared" si="119"/>
        <v>4.2367912698681494</v>
      </c>
      <c r="E542" s="166">
        <v>0</v>
      </c>
      <c r="F542">
        <f t="shared" si="120"/>
        <v>39</v>
      </c>
      <c r="G542">
        <f>IF(ISNA(VLOOKUP(B542,'IA FG'!$B$2:$D$578,3,FALSE)),0,VLOOKUP(B542,'IA FG'!$B$2:$D$578,3,FALSE))</f>
        <v>67</v>
      </c>
      <c r="H542" s="166" t="str">
        <f t="shared" si="121"/>
        <v/>
      </c>
      <c r="I542" s="166">
        <f t="shared" si="122"/>
        <v>70</v>
      </c>
      <c r="J542" s="166" t="str">
        <f t="shared" si="123"/>
        <v/>
      </c>
      <c r="K542" s="166" t="str">
        <f t="shared" si="124"/>
        <v/>
      </c>
      <c r="L542" s="166" t="e">
        <f t="shared" si="125"/>
        <v>#N/A</v>
      </c>
    </row>
    <row r="543" spans="1:12">
      <c r="A543" t="s">
        <v>43</v>
      </c>
      <c r="B543" s="161" t="str">
        <f>Attaccanti!B59</f>
        <v>MATRI</v>
      </c>
      <c r="C543" s="161" t="str">
        <f>Attaccanti!C59</f>
        <v>SAS</v>
      </c>
      <c r="D543" s="166">
        <f t="shared" si="119"/>
        <v>3.7311909038533315</v>
      </c>
      <c r="E543" s="166">
        <v>0</v>
      </c>
      <c r="F543">
        <f t="shared" si="120"/>
        <v>39</v>
      </c>
      <c r="G543">
        <f>IF(ISNA(VLOOKUP(B543,'IA FG'!$B$2:$D$578,3,FALSE)),0,VLOOKUP(B543,'IA FG'!$B$2:$D$578,3,FALSE))</f>
        <v>72</v>
      </c>
      <c r="H543" s="166" t="str">
        <f t="shared" si="121"/>
        <v/>
      </c>
      <c r="I543" s="166">
        <f t="shared" si="122"/>
        <v>60</v>
      </c>
      <c r="J543" s="166" t="str">
        <f t="shared" si="123"/>
        <v/>
      </c>
      <c r="K543" s="166" t="str">
        <f t="shared" si="124"/>
        <v/>
      </c>
      <c r="L543" s="166" t="e">
        <f t="shared" si="125"/>
        <v>#N/A</v>
      </c>
    </row>
    <row r="544" spans="1:12">
      <c r="A544" t="s">
        <v>43</v>
      </c>
      <c r="B544" s="161" t="str">
        <f>Attaccanti!B60</f>
        <v>DI FRANCESCO F</v>
      </c>
      <c r="C544" s="161" t="str">
        <f>Attaccanti!C60</f>
        <v>BOL</v>
      </c>
      <c r="D544" s="166">
        <f t="shared" si="119"/>
        <v>2.1011539634662597</v>
      </c>
      <c r="E544" s="166">
        <v>0</v>
      </c>
      <c r="F544">
        <f t="shared" si="120"/>
        <v>40</v>
      </c>
      <c r="G544">
        <f>IF(ISNA(VLOOKUP(B544,'IA FG'!$B$2:$D$578,3,FALSE)),0,VLOOKUP(B544,'IA FG'!$B$2:$D$578,3,FALSE))</f>
        <v>77</v>
      </c>
      <c r="H544" s="166" t="str">
        <f t="shared" si="121"/>
        <v/>
      </c>
      <c r="I544" s="166">
        <f t="shared" si="122"/>
        <v>70</v>
      </c>
      <c r="J544" s="166" t="str">
        <f t="shared" si="123"/>
        <v/>
      </c>
      <c r="K544" s="166" t="str">
        <f t="shared" si="124"/>
        <v/>
      </c>
      <c r="L544" s="166" t="e">
        <f t="shared" si="125"/>
        <v>#N/A</v>
      </c>
    </row>
    <row r="545" spans="1:12">
      <c r="A545" t="s">
        <v>43</v>
      </c>
      <c r="B545" s="161" t="str">
        <f>Attaccanti!B61</f>
        <v>CAICEDO</v>
      </c>
      <c r="C545" s="161" t="str">
        <f>Attaccanti!C61</f>
        <v>LAZ</v>
      </c>
      <c r="D545" s="166">
        <f t="shared" si="119"/>
        <v>1</v>
      </c>
      <c r="E545" s="166">
        <v>0</v>
      </c>
      <c r="F545">
        <f t="shared" si="120"/>
        <v>35</v>
      </c>
      <c r="G545">
        <f>IF(ISNA(VLOOKUP(B545,'IA FG'!$B$2:$D$578,3,FALSE)),0,VLOOKUP(B545,'IA FG'!$B$2:$D$578,3,FALSE))</f>
        <v>63</v>
      </c>
      <c r="H545" s="166">
        <f t="shared" si="121"/>
        <v>-1</v>
      </c>
      <c r="I545" s="166">
        <f t="shared" si="122"/>
        <v>50</v>
      </c>
      <c r="J545" s="166" t="str">
        <f t="shared" si="123"/>
        <v/>
      </c>
      <c r="K545" s="166" t="str">
        <f t="shared" si="124"/>
        <v/>
      </c>
      <c r="L545" s="166" t="e">
        <f t="shared" si="125"/>
        <v>#N/A</v>
      </c>
    </row>
    <row r="546" spans="1:12">
      <c r="A546" t="s">
        <v>43</v>
      </c>
      <c r="B546" s="161" t="str">
        <f>Attaccanti!B62</f>
        <v>PELLISSIER</v>
      </c>
      <c r="C546" s="161" t="str">
        <f>Attaccanti!C62</f>
        <v>CHI</v>
      </c>
      <c r="D546" s="166">
        <f t="shared" si="119"/>
        <v>1</v>
      </c>
      <c r="E546" s="166">
        <v>0</v>
      </c>
      <c r="F546">
        <f t="shared" si="120"/>
        <v>39</v>
      </c>
      <c r="G546">
        <f>IF(ISNA(VLOOKUP(B546,'IA FG'!$B$2:$D$578,3,FALSE)),0,VLOOKUP(B546,'IA FG'!$B$2:$D$578,3,FALSE))</f>
        <v>75</v>
      </c>
      <c r="H546" s="166">
        <f t="shared" si="121"/>
        <v>0</v>
      </c>
      <c r="I546" s="166">
        <f t="shared" si="122"/>
        <v>60</v>
      </c>
      <c r="J546" s="166">
        <f t="shared" si="123"/>
        <v>1</v>
      </c>
      <c r="K546" s="166" t="str">
        <f t="shared" si="124"/>
        <v/>
      </c>
      <c r="L546" s="166" t="e">
        <f t="shared" si="125"/>
        <v>#N/A</v>
      </c>
    </row>
    <row r="547" spans="1:12">
      <c r="A547" t="s">
        <v>43</v>
      </c>
      <c r="B547" s="161" t="str">
        <f>Attaccanti!B63</f>
        <v>SALCEDO MORA</v>
      </c>
      <c r="C547" s="161" t="str">
        <f>Attaccanti!C63</f>
        <v>GEN</v>
      </c>
      <c r="D547" s="166">
        <f t="shared" si="119"/>
        <v>1</v>
      </c>
      <c r="E547" s="166">
        <v>0</v>
      </c>
      <c r="F547">
        <f t="shared" si="120"/>
        <v>38</v>
      </c>
      <c r="G547">
        <f>IF(ISNA(VLOOKUP(B547,'IA FG'!$B$2:$D$578,3,FALSE)),0,VLOOKUP(B547,'IA FG'!$B$2:$D$578,3,FALSE))</f>
        <v>60</v>
      </c>
      <c r="H547" s="166" t="str">
        <f t="shared" si="121"/>
        <v/>
      </c>
      <c r="I547" s="166">
        <f t="shared" si="122"/>
        <v>60</v>
      </c>
      <c r="J547" s="166" t="str">
        <f t="shared" si="123"/>
        <v/>
      </c>
      <c r="K547" s="166" t="str">
        <f t="shared" si="124"/>
        <v/>
      </c>
      <c r="L547" s="166" t="e">
        <f t="shared" si="125"/>
        <v>#N/A</v>
      </c>
    </row>
    <row r="548" spans="1:12">
      <c r="A548" t="s">
        <v>43</v>
      </c>
      <c r="B548" s="161" t="str">
        <f>Attaccanti!B64</f>
        <v>PELLEGRI</v>
      </c>
      <c r="C548" s="161" t="str">
        <f>Attaccanti!C64</f>
        <v>GEN</v>
      </c>
      <c r="D548" s="166">
        <f t="shared" si="119"/>
        <v>1</v>
      </c>
      <c r="E548" s="166">
        <v>0</v>
      </c>
      <c r="F548">
        <f t="shared" si="120"/>
        <v>38</v>
      </c>
      <c r="G548">
        <f>IF(ISNA(VLOOKUP(B548,'IA FG'!$B$2:$D$578,3,FALSE)),0,VLOOKUP(B548,'IA FG'!$B$2:$D$578,3,FALSE))</f>
        <v>67</v>
      </c>
      <c r="H548" s="166" t="str">
        <f t="shared" si="121"/>
        <v/>
      </c>
      <c r="I548" s="166">
        <f t="shared" si="122"/>
        <v>60</v>
      </c>
      <c r="J548" s="166" t="str">
        <f t="shared" si="123"/>
        <v/>
      </c>
      <c r="K548" s="166" t="str">
        <f t="shared" si="124"/>
        <v/>
      </c>
      <c r="L548" s="166" t="e">
        <f t="shared" si="125"/>
        <v>#N/A</v>
      </c>
    </row>
    <row r="549" spans="1:12">
      <c r="A549" t="s">
        <v>43</v>
      </c>
      <c r="B549" s="161" t="str">
        <f>Attaccanti!B65</f>
        <v>RAGUSA</v>
      </c>
      <c r="C549" s="161" t="str">
        <f>Attaccanti!C65</f>
        <v>SAS</v>
      </c>
      <c r="D549" s="166">
        <f t="shared" si="119"/>
        <v>1</v>
      </c>
      <c r="E549" s="166">
        <v>1</v>
      </c>
      <c r="F549">
        <f t="shared" si="120"/>
        <v>38</v>
      </c>
      <c r="G549">
        <f>IF(ISNA(VLOOKUP(B549,'IA FG'!$B$2:$D$578,3,FALSE)),0,VLOOKUP(B549,'IA FG'!$B$2:$D$578,3,FALSE))</f>
        <v>70</v>
      </c>
      <c r="H549" s="166" t="str">
        <f t="shared" si="121"/>
        <v/>
      </c>
      <c r="I549" s="166">
        <f t="shared" si="122"/>
        <v>60</v>
      </c>
      <c r="J549" s="166" t="str">
        <f t="shared" si="123"/>
        <v/>
      </c>
      <c r="K549" s="166" t="str">
        <f t="shared" si="124"/>
        <v/>
      </c>
      <c r="L549" s="166" t="e">
        <f t="shared" si="125"/>
        <v>#N/A</v>
      </c>
    </row>
    <row r="550" spans="1:12">
      <c r="A550" t="s">
        <v>43</v>
      </c>
      <c r="B550" s="161" t="str">
        <f>Attaccanti!B66</f>
        <v>PINAMONTI</v>
      </c>
      <c r="C550" s="161" t="str">
        <f>Attaccanti!C66</f>
        <v>INT</v>
      </c>
      <c r="D550" s="166">
        <f t="shared" ref="D550:D600" si="126">IF(ISNA(VLOOKUP($B550,TabAlgAtt,11,FALSE)),0,VLOOKUP($B550,TabAlgAtt,11,FALSE))</f>
        <v>1</v>
      </c>
      <c r="E550" s="166">
        <v>0</v>
      </c>
      <c r="F550">
        <f t="shared" ref="F550:F600" si="127">IF(ISNA(VLOOKUP($B550,TabAlgAtt,12,FALSE)),0,VLOOKUP($B550,TabAlgAtt,12,FALSE))</f>
        <v>34</v>
      </c>
      <c r="G550">
        <f>IF(ISNA(VLOOKUP(B550,'IA FG'!$B$2:$D$578,3,FALSE)),0,VLOOKUP(B550,'IA FG'!$B$2:$D$578,3,FALSE))</f>
        <v>50</v>
      </c>
      <c r="H550" s="166" t="str">
        <f t="shared" ref="H550:H600" si="128">IF(ISNA(VLOOKUP($B550,TabAlgAtt,13,FALSE)),"",VLOOKUP($B550,TabAlgAtt,13,FALSE))</f>
        <v/>
      </c>
      <c r="I550" s="166">
        <f t="shared" ref="I550:I600" si="129">IF(ISNA(VLOOKUP($B550,TabAlgAtt,4,FALSE)),0,VLOOKUP($B550,TabAlgAtt,4,FALSE))*10</f>
        <v>40</v>
      </c>
      <c r="J550" s="166" t="str">
        <f t="shared" ref="J550:J600" si="130">IF(ISNA(VLOOKUP($B550,TabAlgAtt,14,FALSE)),"",VLOOKUP($B550,TabAlgAtt,14,FALSE))</f>
        <v/>
      </c>
      <c r="K550" s="166" t="str">
        <f t="shared" ref="K550:K600" si="131">IF(ISNA(VLOOKUP($B550,TabAlgAtt,15,FALSE)),"",VLOOKUP($B550,TabAlgAtt,15,FALSE))</f>
        <v/>
      </c>
      <c r="L550" s="166" t="e">
        <f t="shared" ref="L550:L600" si="132">VLOOKUP($B550,TabAlgAtt,16,FALSE)</f>
        <v>#N/A</v>
      </c>
    </row>
    <row r="551" spans="1:12">
      <c r="A551" t="s">
        <v>43</v>
      </c>
      <c r="B551" s="161" t="str">
        <f>Attaccanti!B67</f>
        <v>LOMBARDI</v>
      </c>
      <c r="C551" s="161" t="str">
        <f>Attaccanti!C67</f>
        <v>LAZ</v>
      </c>
      <c r="D551" s="166">
        <f t="shared" si="126"/>
        <v>1</v>
      </c>
      <c r="E551" s="166">
        <v>0</v>
      </c>
      <c r="F551">
        <f t="shared" si="127"/>
        <v>34</v>
      </c>
      <c r="G551">
        <f>IF(ISNA(VLOOKUP(B551,'IA FG'!$B$2:$D$578,3,FALSE)),0,VLOOKUP(B551,'IA FG'!$B$2:$D$578,3,FALSE))</f>
        <v>58</v>
      </c>
      <c r="H551" s="166" t="str">
        <f t="shared" si="128"/>
        <v/>
      </c>
      <c r="I551" s="166">
        <f t="shared" si="129"/>
        <v>40</v>
      </c>
      <c r="J551" s="166" t="str">
        <f t="shared" si="130"/>
        <v/>
      </c>
      <c r="K551" s="166" t="str">
        <f t="shared" si="131"/>
        <v/>
      </c>
      <c r="L551" s="166" t="e">
        <f t="shared" si="132"/>
        <v>#N/A</v>
      </c>
    </row>
    <row r="552" spans="1:12">
      <c r="A552" t="s">
        <v>43</v>
      </c>
      <c r="B552" s="161" t="str">
        <f>Attaccanti!B68</f>
        <v>PALOMBI</v>
      </c>
      <c r="C552" s="161" t="str">
        <f>Attaccanti!C68</f>
        <v>LAZ</v>
      </c>
      <c r="D552" s="166">
        <f t="shared" si="126"/>
        <v>1</v>
      </c>
      <c r="E552" s="166">
        <v>0</v>
      </c>
      <c r="F552">
        <f t="shared" si="127"/>
        <v>34</v>
      </c>
      <c r="G552">
        <f>IF(ISNA(VLOOKUP(B552,'IA FG'!$B$2:$D$578,3,FALSE)),0,VLOOKUP(B552,'IA FG'!$B$2:$D$578,3,FALSE))</f>
        <v>58</v>
      </c>
      <c r="H552" s="166" t="str">
        <f t="shared" si="128"/>
        <v/>
      </c>
      <c r="I552" s="166">
        <f t="shared" si="129"/>
        <v>40</v>
      </c>
      <c r="J552" s="166" t="str">
        <f t="shared" si="130"/>
        <v/>
      </c>
      <c r="K552" s="166" t="str">
        <f t="shared" si="131"/>
        <v/>
      </c>
      <c r="L552" s="166" t="e">
        <f t="shared" si="132"/>
        <v>#N/A</v>
      </c>
    </row>
    <row r="553" spans="1:12">
      <c r="A553" t="s">
        <v>43</v>
      </c>
      <c r="B553" s="161" t="str">
        <f>Attaccanti!B69</f>
        <v>CERCI</v>
      </c>
      <c r="C553" s="161" t="str">
        <f>Attaccanti!C69</f>
        <v>VER</v>
      </c>
      <c r="D553" s="166">
        <f t="shared" si="126"/>
        <v>1</v>
      </c>
      <c r="E553" s="166">
        <v>0</v>
      </c>
      <c r="F553">
        <f t="shared" si="127"/>
        <v>39</v>
      </c>
      <c r="G553">
        <f>IF(ISNA(VLOOKUP(B553,'IA FG'!$B$2:$D$578,3,FALSE)),0,VLOOKUP(B553,'IA FG'!$B$2:$D$578,3,FALSE))</f>
        <v>74</v>
      </c>
      <c r="H553" s="166">
        <f t="shared" si="128"/>
        <v>0</v>
      </c>
      <c r="I553" s="166">
        <f t="shared" si="129"/>
        <v>70</v>
      </c>
      <c r="J553" s="166">
        <f t="shared" si="130"/>
        <v>2</v>
      </c>
      <c r="K553" s="166" t="str">
        <f t="shared" si="131"/>
        <v/>
      </c>
      <c r="L553" s="166" t="e">
        <f t="shared" si="132"/>
        <v>#N/A</v>
      </c>
    </row>
    <row r="554" spans="1:12">
      <c r="A554" t="s">
        <v>43</v>
      </c>
      <c r="B554" s="161" t="str">
        <f>Attaccanti!B70</f>
        <v>TROTTA</v>
      </c>
      <c r="C554" s="161" t="str">
        <f>Attaccanti!C70</f>
        <v>CRO</v>
      </c>
      <c r="D554" s="166">
        <f t="shared" si="126"/>
        <v>1</v>
      </c>
      <c r="E554" s="166">
        <v>0</v>
      </c>
      <c r="F554">
        <f t="shared" si="127"/>
        <v>39</v>
      </c>
      <c r="G554">
        <f>IF(ISNA(VLOOKUP(B554,'IA FG'!$B$2:$D$578,3,FALSE)),0,VLOOKUP(B554,'IA FG'!$B$2:$D$578,3,FALSE))</f>
        <v>73</v>
      </c>
      <c r="H554" s="166" t="str">
        <f t="shared" si="128"/>
        <v/>
      </c>
      <c r="I554" s="166">
        <f t="shared" si="129"/>
        <v>80</v>
      </c>
      <c r="J554" s="166">
        <f t="shared" si="130"/>
        <v>2</v>
      </c>
      <c r="K554" s="166" t="str">
        <f t="shared" si="131"/>
        <v/>
      </c>
      <c r="L554" s="166" t="e">
        <f t="shared" si="132"/>
        <v>#N/A</v>
      </c>
    </row>
    <row r="555" spans="1:12">
      <c r="A555" t="s">
        <v>43</v>
      </c>
      <c r="B555" s="161" t="str">
        <f>Attaccanti!B71</f>
        <v>KOWNACKI</v>
      </c>
      <c r="C555" s="161" t="str">
        <f>Attaccanti!C71</f>
        <v>SAM</v>
      </c>
      <c r="D555" s="166">
        <f t="shared" si="126"/>
        <v>1</v>
      </c>
      <c r="E555" s="166">
        <v>2</v>
      </c>
      <c r="F555">
        <f t="shared" si="127"/>
        <v>36</v>
      </c>
      <c r="G555">
        <f>IF(ISNA(VLOOKUP(B555,'IA FG'!$B$2:$D$578,3,FALSE)),0,VLOOKUP(B555,'IA FG'!$B$2:$D$578,3,FALSE))</f>
        <v>73</v>
      </c>
      <c r="H555" s="166" t="str">
        <f t="shared" si="128"/>
        <v/>
      </c>
      <c r="I555" s="166">
        <f t="shared" si="129"/>
        <v>50</v>
      </c>
      <c r="J555" s="166" t="str">
        <f t="shared" si="130"/>
        <v/>
      </c>
      <c r="K555" s="166" t="str">
        <f t="shared" si="131"/>
        <v/>
      </c>
      <c r="L555" s="166" t="e">
        <f t="shared" si="132"/>
        <v>#N/A</v>
      </c>
    </row>
    <row r="556" spans="1:12">
      <c r="A556" t="s">
        <v>43</v>
      </c>
      <c r="B556" s="161" t="str">
        <f>Attaccanti!B72</f>
        <v>SADIQ</v>
      </c>
      <c r="C556" s="161" t="str">
        <f>Attaccanti!C72</f>
        <v>TOR</v>
      </c>
      <c r="D556" s="166">
        <f t="shared" si="126"/>
        <v>1</v>
      </c>
      <c r="E556" s="166">
        <v>0</v>
      </c>
      <c r="F556">
        <f t="shared" si="127"/>
        <v>34</v>
      </c>
      <c r="G556">
        <f>IF(ISNA(VLOOKUP(B556,'IA FG'!$B$2:$D$578,3,FALSE)),0,VLOOKUP(B556,'IA FG'!$B$2:$D$578,3,FALSE))</f>
        <v>59</v>
      </c>
      <c r="H556" s="166" t="str">
        <f t="shared" si="128"/>
        <v/>
      </c>
      <c r="I556" s="166">
        <f t="shared" si="129"/>
        <v>40</v>
      </c>
      <c r="J556" s="166" t="str">
        <f t="shared" si="130"/>
        <v/>
      </c>
      <c r="K556" s="166" t="str">
        <f t="shared" si="131"/>
        <v/>
      </c>
      <c r="L556" s="166" t="e">
        <f t="shared" si="132"/>
        <v>#N/A</v>
      </c>
    </row>
    <row r="557" spans="1:12">
      <c r="A557" t="s">
        <v>43</v>
      </c>
      <c r="B557" s="161" t="str">
        <f>Attaccanti!B73</f>
        <v>MAXI LOPEZ</v>
      </c>
      <c r="C557" s="161" t="str">
        <f>Attaccanti!C73</f>
        <v>UDI</v>
      </c>
      <c r="D557" s="166">
        <f t="shared" si="126"/>
        <v>1</v>
      </c>
      <c r="E557" s="166">
        <v>0</v>
      </c>
      <c r="F557">
        <f t="shared" si="127"/>
        <v>36</v>
      </c>
      <c r="G557">
        <f>IF(ISNA(VLOOKUP(B557,'IA FG'!$B$2:$D$578,3,FALSE)),0,VLOOKUP(B557,'IA FG'!$B$2:$D$578,3,FALSE))</f>
        <v>76</v>
      </c>
      <c r="H557" s="166" t="str">
        <f t="shared" si="128"/>
        <v/>
      </c>
      <c r="I557" s="166">
        <f t="shared" si="129"/>
        <v>50</v>
      </c>
      <c r="J557" s="166">
        <f t="shared" si="130"/>
        <v>2</v>
      </c>
      <c r="K557" s="166" t="str">
        <f t="shared" si="131"/>
        <v/>
      </c>
      <c r="L557" s="166" t="e">
        <f t="shared" si="132"/>
        <v>#N/A</v>
      </c>
    </row>
    <row r="558" spans="1:12">
      <c r="A558" t="s">
        <v>43</v>
      </c>
      <c r="B558" s="161" t="str">
        <f>Attaccanti!B74</f>
        <v>DJORDJEVIC</v>
      </c>
      <c r="C558" s="161" t="str">
        <f>Attaccanti!C74</f>
        <v>LAZ</v>
      </c>
      <c r="D558" s="166">
        <f t="shared" si="126"/>
        <v>1</v>
      </c>
      <c r="E558" s="166">
        <v>0</v>
      </c>
      <c r="F558">
        <f t="shared" si="127"/>
        <v>33</v>
      </c>
      <c r="G558">
        <f>IF(ISNA(VLOOKUP(B558,'IA FG'!$B$2:$D$578,3,FALSE)),0,VLOOKUP(B558,'IA FG'!$B$2:$D$578,3,FALSE))</f>
        <v>68</v>
      </c>
      <c r="H558" s="166" t="str">
        <f t="shared" si="128"/>
        <v/>
      </c>
      <c r="I558" s="166">
        <f t="shared" si="129"/>
        <v>40</v>
      </c>
      <c r="J558" s="166" t="str">
        <f t="shared" si="130"/>
        <v/>
      </c>
      <c r="K558" s="166" t="str">
        <f t="shared" si="131"/>
        <v/>
      </c>
      <c r="L558" s="166" t="e">
        <f t="shared" si="132"/>
        <v>#N/A</v>
      </c>
    </row>
    <row r="559" spans="1:12">
      <c r="A559" t="s">
        <v>43</v>
      </c>
      <c r="B559" s="161" t="str">
        <f>Attaccanti!B75</f>
        <v>KEAN</v>
      </c>
      <c r="C559" s="161" t="str">
        <f>Attaccanti!C75</f>
        <v>VER</v>
      </c>
      <c r="D559" s="166">
        <f t="shared" si="126"/>
        <v>1</v>
      </c>
      <c r="E559" s="166">
        <v>0</v>
      </c>
      <c r="F559">
        <f t="shared" si="127"/>
        <v>38</v>
      </c>
      <c r="G559">
        <f>IF(ISNA(VLOOKUP(B559,'IA FG'!$B$2:$D$578,3,FALSE)),0,VLOOKUP(B559,'IA FG'!$B$2:$D$578,3,FALSE))</f>
        <v>69</v>
      </c>
      <c r="H559" s="166" t="str">
        <f t="shared" si="128"/>
        <v/>
      </c>
      <c r="I559" s="166">
        <f t="shared" si="129"/>
        <v>60</v>
      </c>
      <c r="J559" s="166" t="str">
        <f t="shared" si="130"/>
        <v/>
      </c>
      <c r="K559" s="166" t="str">
        <f t="shared" si="131"/>
        <v/>
      </c>
      <c r="L559" s="166" t="e">
        <f t="shared" si="132"/>
        <v>#N/A</v>
      </c>
    </row>
    <row r="560" spans="1:12">
      <c r="A560" t="s">
        <v>43</v>
      </c>
      <c r="B560" s="161" t="str">
        <f>Attaccanti!B76</f>
        <v>IEMMELLO</v>
      </c>
      <c r="C560" s="161" t="str">
        <f>Attaccanti!C76</f>
        <v>BEN</v>
      </c>
      <c r="D560" s="166">
        <f t="shared" si="126"/>
        <v>1</v>
      </c>
      <c r="E560" s="166">
        <v>0</v>
      </c>
      <c r="F560">
        <f t="shared" si="127"/>
        <v>43</v>
      </c>
      <c r="G560">
        <f>IF(ISNA(VLOOKUP(B560,'IA FG'!$B$2:$D$578,3,FALSE)),0,VLOOKUP(B560,'IA FG'!$B$2:$D$578,3,FALSE))</f>
        <v>76</v>
      </c>
      <c r="H560" s="166">
        <f t="shared" si="128"/>
        <v>1</v>
      </c>
      <c r="I560" s="166">
        <f t="shared" si="129"/>
        <v>80</v>
      </c>
      <c r="J560" s="166">
        <f t="shared" si="130"/>
        <v>1</v>
      </c>
      <c r="K560" s="166" t="str">
        <f t="shared" si="131"/>
        <v/>
      </c>
      <c r="L560" s="166" t="e">
        <f t="shared" si="132"/>
        <v>#N/A</v>
      </c>
    </row>
    <row r="561" spans="1:12">
      <c r="A561" t="s">
        <v>43</v>
      </c>
      <c r="B561" s="161" t="str">
        <f>Attaccanti!B77</f>
        <v>EDERA</v>
      </c>
      <c r="C561" s="161" t="str">
        <f>Attaccanti!C77</f>
        <v>TOR</v>
      </c>
      <c r="D561" s="166">
        <f t="shared" si="126"/>
        <v>1</v>
      </c>
      <c r="E561" s="166">
        <v>0</v>
      </c>
      <c r="F561">
        <f t="shared" si="127"/>
        <v>33</v>
      </c>
      <c r="G561">
        <f>IF(ISNA(VLOOKUP(B561,'IA FG'!$B$2:$D$578,3,FALSE)),0,VLOOKUP(B561,'IA FG'!$B$2:$D$578,3,FALSE))</f>
        <v>0</v>
      </c>
      <c r="H561" s="166" t="str">
        <f t="shared" si="128"/>
        <v/>
      </c>
      <c r="I561" s="166">
        <f t="shared" si="129"/>
        <v>40</v>
      </c>
      <c r="J561" s="166" t="str">
        <f t="shared" si="130"/>
        <v/>
      </c>
      <c r="K561" s="166" t="str">
        <f t="shared" si="131"/>
        <v/>
      </c>
      <c r="L561" s="166" t="e">
        <f t="shared" si="132"/>
        <v>#N/A</v>
      </c>
    </row>
    <row r="562" spans="1:12">
      <c r="A562" t="s">
        <v>43</v>
      </c>
      <c r="B562" s="161" t="str">
        <f>Attaccanti!B78</f>
        <v>PANDEV</v>
      </c>
      <c r="C562" s="161" t="str">
        <f>Attaccanti!C78</f>
        <v>GEN</v>
      </c>
      <c r="D562" s="166">
        <f t="shared" si="126"/>
        <v>1</v>
      </c>
      <c r="E562" s="166">
        <v>0</v>
      </c>
      <c r="F562">
        <f t="shared" si="127"/>
        <v>35</v>
      </c>
      <c r="G562">
        <f>IF(ISNA(VLOOKUP(B562,'IA FG'!$B$2:$D$578,3,FALSE)),0,VLOOKUP(B562,'IA FG'!$B$2:$D$578,3,FALSE))</f>
        <v>66</v>
      </c>
      <c r="H562" s="166">
        <f t="shared" si="128"/>
        <v>-1</v>
      </c>
      <c r="I562" s="166">
        <f t="shared" si="129"/>
        <v>60</v>
      </c>
      <c r="J562" s="166" t="str">
        <f t="shared" si="130"/>
        <v/>
      </c>
      <c r="K562" s="166" t="str">
        <f t="shared" si="131"/>
        <v/>
      </c>
      <c r="L562" s="166" t="e">
        <f t="shared" si="132"/>
        <v>#N/A</v>
      </c>
    </row>
    <row r="563" spans="1:12">
      <c r="A563" t="s">
        <v>43</v>
      </c>
      <c r="B563" s="161" t="str">
        <f>Attaccanti!B79</f>
        <v>LO FASO</v>
      </c>
      <c r="C563" s="161" t="str">
        <f>Attaccanti!C79</f>
        <v>FIO</v>
      </c>
      <c r="D563" s="166">
        <f t="shared" si="126"/>
        <v>1</v>
      </c>
      <c r="E563" s="166">
        <v>0</v>
      </c>
      <c r="F563">
        <f t="shared" si="127"/>
        <v>34</v>
      </c>
      <c r="G563">
        <f>IF(ISNA(VLOOKUP(B563,'IA FG'!$B$2:$D$578,3,FALSE)),0,VLOOKUP(B563,'IA FG'!$B$2:$D$578,3,FALSE))</f>
        <v>55</v>
      </c>
      <c r="H563" s="166" t="str">
        <f t="shared" si="128"/>
        <v/>
      </c>
      <c r="I563" s="166">
        <f t="shared" si="129"/>
        <v>40</v>
      </c>
      <c r="J563" s="166" t="str">
        <f t="shared" si="130"/>
        <v/>
      </c>
      <c r="K563" s="166" t="str">
        <f t="shared" si="131"/>
        <v/>
      </c>
      <c r="L563" s="166" t="e">
        <f t="shared" si="132"/>
        <v>#N/A</v>
      </c>
    </row>
    <row r="564" spans="1:12">
      <c r="A564" t="s">
        <v>43</v>
      </c>
      <c r="B564" s="161" t="str">
        <f>Attaccanti!B80</f>
        <v>BORRIELLO</v>
      </c>
      <c r="C564" s="161" t="str">
        <f>Attaccanti!C80</f>
        <v>SPA</v>
      </c>
      <c r="D564" s="166">
        <f t="shared" si="126"/>
        <v>1</v>
      </c>
      <c r="E564" s="166">
        <v>0</v>
      </c>
      <c r="F564">
        <f t="shared" si="127"/>
        <v>41</v>
      </c>
      <c r="G564">
        <f>IF(ISNA(VLOOKUP(B564,'IA FG'!$B$2:$D$578,3,FALSE)),0,VLOOKUP(B564,'IA FG'!$B$2:$D$578,3,FALSE))</f>
        <v>84</v>
      </c>
      <c r="H564" s="166">
        <f t="shared" si="128"/>
        <v>1</v>
      </c>
      <c r="I564" s="166">
        <f t="shared" si="129"/>
        <v>70</v>
      </c>
      <c r="J564" s="166">
        <f t="shared" si="130"/>
        <v>1</v>
      </c>
      <c r="K564" s="166">
        <f t="shared" si="131"/>
        <v>2</v>
      </c>
      <c r="L564" s="166" t="e">
        <f t="shared" si="132"/>
        <v>#N/A</v>
      </c>
    </row>
    <row r="565" spans="1:12">
      <c r="A565" t="s">
        <v>43</v>
      </c>
      <c r="B565" s="161" t="str">
        <f>Attaccanti!B81</f>
        <v>VERDE</v>
      </c>
      <c r="C565" s="161" t="str">
        <f>Attaccanti!C81</f>
        <v>VER</v>
      </c>
      <c r="D565" s="166">
        <f t="shared" si="126"/>
        <v>1</v>
      </c>
      <c r="E565" s="166">
        <v>0</v>
      </c>
      <c r="F565">
        <f t="shared" si="127"/>
        <v>36</v>
      </c>
      <c r="G565">
        <f>IF(ISNA(VLOOKUP(B565,'IA FG'!$B$2:$D$578,3,FALSE)),0,VLOOKUP(B565,'IA FG'!$B$2:$D$578,3,FALSE))</f>
        <v>72</v>
      </c>
      <c r="H565" s="166">
        <f t="shared" si="128"/>
        <v>0</v>
      </c>
      <c r="I565" s="166">
        <f t="shared" si="129"/>
        <v>60</v>
      </c>
      <c r="J565" s="166" t="str">
        <f t="shared" si="130"/>
        <v/>
      </c>
      <c r="K565" s="166">
        <f t="shared" si="131"/>
        <v>2</v>
      </c>
      <c r="L565" s="166" t="e">
        <f t="shared" si="132"/>
        <v>#N/A</v>
      </c>
    </row>
    <row r="566" spans="1:12">
      <c r="A566" t="s">
        <v>43</v>
      </c>
      <c r="B566" s="161" t="str">
        <f>Attaccanti!B82</f>
        <v>MATOS</v>
      </c>
      <c r="C566" s="161" t="str">
        <f>Attaccanti!C82</f>
        <v>UDI</v>
      </c>
      <c r="D566" s="166">
        <f t="shared" si="126"/>
        <v>1</v>
      </c>
      <c r="E566" s="166">
        <v>0</v>
      </c>
      <c r="F566">
        <f t="shared" si="127"/>
        <v>34</v>
      </c>
      <c r="G566">
        <f>IF(ISNA(VLOOKUP(B566,'IA FG'!$B$2:$D$578,3,FALSE)),0,VLOOKUP(B566,'IA FG'!$B$2:$D$578,3,FALSE))</f>
        <v>69</v>
      </c>
      <c r="H566" s="166" t="str">
        <f t="shared" si="128"/>
        <v/>
      </c>
      <c r="I566" s="166">
        <f t="shared" si="129"/>
        <v>50</v>
      </c>
      <c r="J566" s="166" t="str">
        <f t="shared" si="130"/>
        <v/>
      </c>
      <c r="K566" s="166" t="str">
        <f t="shared" si="131"/>
        <v/>
      </c>
      <c r="L566" s="166" t="e">
        <f t="shared" si="132"/>
        <v>#N/A</v>
      </c>
    </row>
    <row r="567" spans="1:12">
      <c r="A567" t="s">
        <v>43</v>
      </c>
      <c r="B567" s="161" t="str">
        <f>Attaccanti!B83</f>
        <v>PETKOVIC</v>
      </c>
      <c r="C567" s="161" t="str">
        <f>Attaccanti!C83</f>
        <v>BOL</v>
      </c>
      <c r="D567" s="166">
        <f t="shared" si="126"/>
        <v>1</v>
      </c>
      <c r="E567" s="166">
        <v>0</v>
      </c>
      <c r="F567">
        <f t="shared" si="127"/>
        <v>35</v>
      </c>
      <c r="G567">
        <f>IF(ISNA(VLOOKUP(B567,'IA FG'!$B$2:$D$578,3,FALSE)),0,VLOOKUP(B567,'IA FG'!$B$2:$D$578,3,FALSE))</f>
        <v>60</v>
      </c>
      <c r="H567" s="166">
        <f t="shared" si="128"/>
        <v>-1</v>
      </c>
      <c r="I567" s="166">
        <f t="shared" si="129"/>
        <v>50</v>
      </c>
      <c r="J567" s="166" t="str">
        <f t="shared" si="130"/>
        <v/>
      </c>
      <c r="K567" s="166" t="str">
        <f t="shared" si="131"/>
        <v/>
      </c>
      <c r="L567" s="166" t="e">
        <f t="shared" si="132"/>
        <v>#N/A</v>
      </c>
    </row>
    <row r="568" spans="1:12">
      <c r="A568" t="s">
        <v>43</v>
      </c>
      <c r="B568" s="161" t="str">
        <f>Attaccanti!B84</f>
        <v>PALACIO</v>
      </c>
      <c r="C568" s="161" t="str">
        <f>Attaccanti!C84</f>
        <v>BOL</v>
      </c>
      <c r="D568" s="166">
        <f t="shared" si="126"/>
        <v>1</v>
      </c>
      <c r="E568" s="166">
        <v>0</v>
      </c>
      <c r="F568">
        <f t="shared" si="127"/>
        <v>35</v>
      </c>
      <c r="G568">
        <f>IF(ISNA(VLOOKUP(B568,'IA FG'!$B$2:$D$578,3,FALSE)),0,VLOOKUP(B568,'IA FG'!$B$2:$D$578,3,FALSE))</f>
        <v>68</v>
      </c>
      <c r="H568" s="166" t="str">
        <f t="shared" si="128"/>
        <v/>
      </c>
      <c r="I568" s="166">
        <f t="shared" si="129"/>
        <v>50</v>
      </c>
      <c r="J568" s="166" t="str">
        <f t="shared" si="130"/>
        <v/>
      </c>
      <c r="K568" s="166" t="str">
        <f t="shared" si="131"/>
        <v/>
      </c>
      <c r="L568" s="166" t="e">
        <f t="shared" si="132"/>
        <v>#N/A</v>
      </c>
    </row>
    <row r="569" spans="1:12">
      <c r="A569" t="s">
        <v>43</v>
      </c>
      <c r="B569" s="161" t="str">
        <f>Attaccanti!B85</f>
        <v>PALLADINO</v>
      </c>
      <c r="C569" s="161" t="str">
        <f>Attaccanti!C85</f>
        <v>GEN</v>
      </c>
      <c r="D569" s="166">
        <f t="shared" si="126"/>
        <v>1</v>
      </c>
      <c r="E569" s="166">
        <v>0</v>
      </c>
      <c r="F569">
        <f t="shared" si="127"/>
        <v>33</v>
      </c>
      <c r="G569">
        <f>IF(ISNA(VLOOKUP(B569,'IA FG'!$B$2:$D$578,3,FALSE)),0,VLOOKUP(B569,'IA FG'!$B$2:$D$578,3,FALSE))</f>
        <v>60</v>
      </c>
      <c r="H569" s="166" t="str">
        <f t="shared" si="128"/>
        <v/>
      </c>
      <c r="I569" s="166">
        <f t="shared" si="129"/>
        <v>50</v>
      </c>
      <c r="J569" s="166" t="str">
        <f t="shared" si="130"/>
        <v/>
      </c>
      <c r="K569" s="166" t="str">
        <f t="shared" si="131"/>
        <v/>
      </c>
      <c r="L569" s="166" t="e">
        <f t="shared" si="132"/>
        <v>#N/A</v>
      </c>
    </row>
    <row r="570" spans="1:12">
      <c r="A570" t="s">
        <v>43</v>
      </c>
      <c r="B570" s="161" t="str">
        <f>Attaccanti!B86</f>
        <v>TONEV</v>
      </c>
      <c r="C570" s="161" t="str">
        <f>Attaccanti!C86</f>
        <v>CRO</v>
      </c>
      <c r="D570" s="166">
        <f t="shared" si="126"/>
        <v>1</v>
      </c>
      <c r="E570" s="166">
        <v>0</v>
      </c>
      <c r="F570">
        <f t="shared" si="127"/>
        <v>35</v>
      </c>
      <c r="G570">
        <f>IF(ISNA(VLOOKUP(B570,'IA FG'!$B$2:$D$578,3,FALSE)),0,VLOOKUP(B570,'IA FG'!$B$2:$D$578,3,FALSE))</f>
        <v>66</v>
      </c>
      <c r="H570" s="166" t="str">
        <f t="shared" si="128"/>
        <v/>
      </c>
      <c r="I570" s="166">
        <f t="shared" si="129"/>
        <v>60</v>
      </c>
      <c r="J570" s="166" t="str">
        <f t="shared" si="130"/>
        <v/>
      </c>
      <c r="K570" s="166">
        <f t="shared" si="131"/>
        <v>4</v>
      </c>
      <c r="L570" s="166" t="e">
        <f t="shared" si="132"/>
        <v>#N/A</v>
      </c>
    </row>
    <row r="571" spans="1:12">
      <c r="A571" t="s">
        <v>43</v>
      </c>
      <c r="B571" s="161" t="str">
        <f>Attaccanti!B87</f>
        <v>ARMENTEROS</v>
      </c>
      <c r="C571" s="161" t="str">
        <f>Attaccanti!C87</f>
        <v>BEN</v>
      </c>
      <c r="D571" s="166">
        <f t="shared" si="126"/>
        <v>1</v>
      </c>
      <c r="E571" s="166">
        <v>0</v>
      </c>
      <c r="F571">
        <f t="shared" si="127"/>
        <v>40</v>
      </c>
      <c r="G571">
        <f>IF(ISNA(VLOOKUP(B571,'IA FG'!$B$2:$D$578,3,FALSE)),0,VLOOKUP(B571,'IA FG'!$B$2:$D$578,3,FALSE))</f>
        <v>77</v>
      </c>
      <c r="H571" s="166" t="str">
        <f t="shared" si="128"/>
        <v/>
      </c>
      <c r="I571" s="166">
        <f t="shared" si="129"/>
        <v>70</v>
      </c>
      <c r="J571" s="166">
        <f t="shared" si="130"/>
        <v>3</v>
      </c>
      <c r="K571" s="166" t="str">
        <f t="shared" si="131"/>
        <v/>
      </c>
      <c r="L571" s="166" t="e">
        <f t="shared" si="132"/>
        <v>#N/A</v>
      </c>
    </row>
    <row r="572" spans="1:12">
      <c r="A572" t="s">
        <v>43</v>
      </c>
      <c r="B572" s="161" t="str">
        <f>Attaccanti!B88</f>
        <v>ACOSTY</v>
      </c>
      <c r="C572" s="161" t="str">
        <f>Attaccanti!C88</f>
        <v>CRO</v>
      </c>
      <c r="D572" s="166">
        <f t="shared" si="126"/>
        <v>1</v>
      </c>
      <c r="E572" s="166">
        <v>0</v>
      </c>
      <c r="F572">
        <f t="shared" si="127"/>
        <v>35</v>
      </c>
      <c r="G572">
        <f>IF(ISNA(VLOOKUP(B572,'IA FG'!$B$2:$D$578,3,FALSE)),0,VLOOKUP(B572,'IA FG'!$B$2:$D$578,3,FALSE))</f>
        <v>57</v>
      </c>
      <c r="H572" s="166" t="str">
        <f t="shared" si="128"/>
        <v/>
      </c>
      <c r="I572" s="166">
        <f t="shared" si="129"/>
        <v>50</v>
      </c>
      <c r="J572" s="166" t="str">
        <f t="shared" si="130"/>
        <v/>
      </c>
      <c r="K572" s="166" t="str">
        <f t="shared" si="131"/>
        <v/>
      </c>
      <c r="L572" s="166" t="e">
        <f t="shared" si="132"/>
        <v>#N/A</v>
      </c>
    </row>
    <row r="573" spans="1:12">
      <c r="A573" t="s">
        <v>43</v>
      </c>
      <c r="B573" s="161" t="str">
        <f>Attaccanti!B89</f>
        <v>PUCCIARELLI</v>
      </c>
      <c r="C573" s="161" t="str">
        <f>Attaccanti!C89</f>
        <v>CHI</v>
      </c>
      <c r="D573" s="166">
        <f t="shared" si="126"/>
        <v>1</v>
      </c>
      <c r="E573" s="166">
        <v>0</v>
      </c>
      <c r="F573">
        <f t="shared" si="127"/>
        <v>33</v>
      </c>
      <c r="G573">
        <f>IF(ISNA(VLOOKUP(B573,'IA FG'!$B$2:$D$578,3,FALSE)),0,VLOOKUP(B573,'IA FG'!$B$2:$D$578,3,FALSE))</f>
        <v>71</v>
      </c>
      <c r="H573" s="166" t="str">
        <f t="shared" si="128"/>
        <v/>
      </c>
      <c r="I573" s="166">
        <f t="shared" si="129"/>
        <v>60</v>
      </c>
      <c r="J573" s="166" t="str">
        <f t="shared" si="130"/>
        <v/>
      </c>
      <c r="K573" s="166" t="str">
        <f t="shared" si="131"/>
        <v/>
      </c>
      <c r="L573" s="166" t="e">
        <f t="shared" si="132"/>
        <v>#N/A</v>
      </c>
    </row>
    <row r="574" spans="1:12">
      <c r="A574" t="s">
        <v>43</v>
      </c>
      <c r="B574" s="161" t="str">
        <f>Attaccanti!B90</f>
        <v>OKWONKWO</v>
      </c>
      <c r="C574" s="161" t="str">
        <f>Attaccanti!C90</f>
        <v>BOL</v>
      </c>
      <c r="D574" s="166">
        <f t="shared" si="126"/>
        <v>1</v>
      </c>
      <c r="E574" s="166">
        <v>0</v>
      </c>
      <c r="F574">
        <f t="shared" si="127"/>
        <v>33</v>
      </c>
      <c r="G574">
        <f>IF(ISNA(VLOOKUP(B574,'IA FG'!$B$2:$D$578,3,FALSE)),0,VLOOKUP(B574,'IA FG'!$B$2:$D$578,3,FALSE))</f>
        <v>51</v>
      </c>
      <c r="H574" s="166" t="str">
        <f t="shared" si="128"/>
        <v/>
      </c>
      <c r="I574" s="166">
        <f t="shared" si="129"/>
        <v>50</v>
      </c>
      <c r="J574" s="166" t="str">
        <f t="shared" si="130"/>
        <v/>
      </c>
      <c r="K574" s="166" t="str">
        <f t="shared" si="131"/>
        <v/>
      </c>
      <c r="L574" s="166" t="e">
        <f t="shared" si="132"/>
        <v>#N/A</v>
      </c>
    </row>
    <row r="575" spans="1:12">
      <c r="A575" t="s">
        <v>43</v>
      </c>
      <c r="B575" s="161" t="str">
        <f>Attaccanti!B91</f>
        <v>ANTENUCCI</v>
      </c>
      <c r="C575" s="161" t="str">
        <f>Attaccanti!C91</f>
        <v>SPA</v>
      </c>
      <c r="D575" s="166">
        <f t="shared" si="126"/>
        <v>1</v>
      </c>
      <c r="E575" s="166">
        <v>0</v>
      </c>
      <c r="F575">
        <f t="shared" si="127"/>
        <v>39</v>
      </c>
      <c r="G575">
        <f>IF(ISNA(VLOOKUP(B575,'IA FG'!$B$2:$D$578,3,FALSE)),0,VLOOKUP(B575,'IA FG'!$B$2:$D$578,3,FALSE))</f>
        <v>72</v>
      </c>
      <c r="H575" s="166" t="str">
        <f t="shared" si="128"/>
        <v/>
      </c>
      <c r="I575" s="166">
        <f t="shared" si="129"/>
        <v>60</v>
      </c>
      <c r="J575" s="166">
        <f t="shared" si="130"/>
        <v>2</v>
      </c>
      <c r="K575" s="166">
        <f t="shared" si="131"/>
        <v>3</v>
      </c>
      <c r="L575" s="166" t="e">
        <f t="shared" si="132"/>
        <v>#N/A</v>
      </c>
    </row>
    <row r="576" spans="1:12">
      <c r="A576" t="s">
        <v>43</v>
      </c>
      <c r="B576" s="161" t="str">
        <f>Attaccanti!B92</f>
        <v>SIMY</v>
      </c>
      <c r="C576" s="161" t="str">
        <f>Attaccanti!C92</f>
        <v>CRO</v>
      </c>
      <c r="D576" s="166">
        <f t="shared" si="126"/>
        <v>1</v>
      </c>
      <c r="E576" s="166">
        <v>0</v>
      </c>
      <c r="F576">
        <f t="shared" si="127"/>
        <v>34</v>
      </c>
      <c r="G576">
        <f>IF(ISNA(VLOOKUP(B576,'IA FG'!$B$2:$D$578,3,FALSE)),0,VLOOKUP(B576,'IA FG'!$B$2:$D$578,3,FALSE))</f>
        <v>66</v>
      </c>
      <c r="H576" s="166" t="str">
        <f t="shared" si="128"/>
        <v/>
      </c>
      <c r="I576" s="166">
        <f t="shared" si="129"/>
        <v>50</v>
      </c>
      <c r="J576" s="166" t="str">
        <f t="shared" si="130"/>
        <v/>
      </c>
      <c r="K576" s="166" t="str">
        <f t="shared" si="131"/>
        <v/>
      </c>
      <c r="L576" s="166" t="e">
        <f t="shared" si="132"/>
        <v>#N/A</v>
      </c>
    </row>
    <row r="577" spans="1:12">
      <c r="A577" t="s">
        <v>43</v>
      </c>
      <c r="B577" s="161" t="str">
        <f>Attaccanti!B93</f>
        <v>GIANNETTI</v>
      </c>
      <c r="C577" s="161" t="str">
        <f>Attaccanti!C93</f>
        <v>CAG</v>
      </c>
      <c r="D577" s="166">
        <f t="shared" si="126"/>
        <v>1</v>
      </c>
      <c r="E577" s="166">
        <v>0</v>
      </c>
      <c r="F577">
        <f t="shared" si="127"/>
        <v>31</v>
      </c>
      <c r="G577">
        <f>IF(ISNA(VLOOKUP(B577,'IA FG'!$B$2:$D$578,3,FALSE)),0,VLOOKUP(B577,'IA FG'!$B$2:$D$578,3,FALSE))</f>
        <v>60</v>
      </c>
      <c r="H577" s="166" t="str">
        <f t="shared" si="128"/>
        <v/>
      </c>
      <c r="I577" s="166">
        <f t="shared" si="129"/>
        <v>40</v>
      </c>
      <c r="J577" s="166" t="str">
        <f t="shared" si="130"/>
        <v/>
      </c>
      <c r="K577" s="166" t="str">
        <f t="shared" si="131"/>
        <v/>
      </c>
      <c r="L577" s="166" t="e">
        <f t="shared" si="132"/>
        <v>#N/A</v>
      </c>
    </row>
    <row r="578" spans="1:12">
      <c r="A578" t="s">
        <v>43</v>
      </c>
      <c r="B578" s="161" t="str">
        <f>Attaccanti!B94</f>
        <v>PUSCAS</v>
      </c>
      <c r="C578" s="161" t="str">
        <f>Attaccanti!C94</f>
        <v>BEN</v>
      </c>
      <c r="D578" s="166">
        <f t="shared" si="126"/>
        <v>1</v>
      </c>
      <c r="E578" s="166">
        <v>0</v>
      </c>
      <c r="F578">
        <f t="shared" si="127"/>
        <v>39</v>
      </c>
      <c r="G578">
        <f>IF(ISNA(VLOOKUP(B578,'IA FG'!$B$2:$D$578,3,FALSE)),0,VLOOKUP(B578,'IA FG'!$B$2:$D$578,3,FALSE))</f>
        <v>71</v>
      </c>
      <c r="H578" s="166">
        <f t="shared" si="128"/>
        <v>0</v>
      </c>
      <c r="I578" s="166">
        <f t="shared" si="129"/>
        <v>70</v>
      </c>
      <c r="J578" s="166" t="str">
        <f t="shared" si="130"/>
        <v/>
      </c>
      <c r="K578" s="166" t="str">
        <f t="shared" si="131"/>
        <v/>
      </c>
      <c r="L578" s="166" t="e">
        <f t="shared" si="132"/>
        <v>#N/A</v>
      </c>
    </row>
    <row r="579" spans="1:12">
      <c r="A579" t="s">
        <v>43</v>
      </c>
      <c r="B579" s="161" t="str">
        <f>Attaccanti!B95</f>
        <v>TUMMINELLO</v>
      </c>
      <c r="C579" s="161" t="str">
        <f>Attaccanti!C95</f>
        <v>CRO</v>
      </c>
      <c r="D579" s="166">
        <f t="shared" si="126"/>
        <v>1</v>
      </c>
      <c r="E579" s="166">
        <v>0</v>
      </c>
      <c r="F579">
        <f t="shared" si="127"/>
        <v>34</v>
      </c>
      <c r="G579">
        <f>IF(ISNA(VLOOKUP(B579,'IA FG'!$B$2:$D$578,3,FALSE)),0,VLOOKUP(B579,'IA FG'!$B$2:$D$578,3,FALSE))</f>
        <v>70</v>
      </c>
      <c r="H579" s="166" t="str">
        <f t="shared" si="128"/>
        <v/>
      </c>
      <c r="I579" s="166">
        <f t="shared" si="129"/>
        <v>40</v>
      </c>
      <c r="J579" s="166" t="str">
        <f t="shared" si="130"/>
        <v/>
      </c>
      <c r="K579" s="166" t="str">
        <f t="shared" si="131"/>
        <v/>
      </c>
      <c r="L579" s="166" t="e">
        <f t="shared" si="132"/>
        <v>#N/A</v>
      </c>
    </row>
    <row r="580" spans="1:12">
      <c r="A580" t="s">
        <v>43</v>
      </c>
      <c r="B580" s="161" t="str">
        <f>Attaccanti!B96</f>
        <v>COP</v>
      </c>
      <c r="C580" s="161" t="str">
        <f>Attaccanti!C96</f>
        <v>CAG</v>
      </c>
      <c r="D580" s="166">
        <f t="shared" si="126"/>
        <v>1</v>
      </c>
      <c r="E580" s="166">
        <v>0</v>
      </c>
      <c r="F580">
        <f t="shared" si="127"/>
        <v>31</v>
      </c>
      <c r="G580">
        <f>IF(ISNA(VLOOKUP(B580,'IA FG'!$B$2:$D$578,3,FALSE)),0,VLOOKUP(B580,'IA FG'!$B$2:$D$578,3,FALSE))</f>
        <v>50</v>
      </c>
      <c r="H580" s="166" t="str">
        <f t="shared" si="128"/>
        <v/>
      </c>
      <c r="I580" s="166">
        <f t="shared" si="129"/>
        <v>40</v>
      </c>
      <c r="J580" s="166" t="str">
        <f t="shared" si="130"/>
        <v/>
      </c>
      <c r="K580" s="166" t="str">
        <f t="shared" si="131"/>
        <v/>
      </c>
      <c r="L580" s="166" t="e">
        <f t="shared" si="132"/>
        <v>#N/A</v>
      </c>
    </row>
    <row r="581" spans="1:12">
      <c r="A581" t="s">
        <v>43</v>
      </c>
      <c r="B581" s="161" t="str">
        <f>Attaccanti!B97</f>
        <v>STEPINSKI</v>
      </c>
      <c r="C581" s="161" t="str">
        <f>Attaccanti!C97</f>
        <v>CHI</v>
      </c>
      <c r="D581" s="166">
        <f t="shared" si="126"/>
        <v>1</v>
      </c>
      <c r="E581" s="166">
        <v>0</v>
      </c>
      <c r="F581">
        <f t="shared" si="127"/>
        <v>31</v>
      </c>
      <c r="G581">
        <f>IF(ISNA(VLOOKUP(B581,'IA FG'!$B$2:$D$578,3,FALSE)),0,VLOOKUP(B581,'IA FG'!$B$2:$D$578,3,FALSE))</f>
        <v>58</v>
      </c>
      <c r="H581" s="166" t="str">
        <f t="shared" si="128"/>
        <v/>
      </c>
      <c r="I581" s="166">
        <f t="shared" si="129"/>
        <v>50</v>
      </c>
      <c r="J581" s="166" t="str">
        <f t="shared" si="130"/>
        <v/>
      </c>
      <c r="K581" s="166" t="str">
        <f t="shared" si="131"/>
        <v/>
      </c>
      <c r="L581" s="166" t="e">
        <f t="shared" si="132"/>
        <v>#N/A</v>
      </c>
    </row>
    <row r="582" spans="1:12">
      <c r="A582" t="s">
        <v>43</v>
      </c>
      <c r="B582" s="161" t="str">
        <f>Attaccanti!B98</f>
        <v>MEGGIORINI</v>
      </c>
      <c r="C582" s="161" t="str">
        <f>Attaccanti!C98</f>
        <v>CHI</v>
      </c>
      <c r="D582" s="166">
        <f t="shared" si="126"/>
        <v>1</v>
      </c>
      <c r="E582" s="166">
        <v>0</v>
      </c>
      <c r="F582">
        <f t="shared" si="127"/>
        <v>31</v>
      </c>
      <c r="G582">
        <f>IF(ISNA(VLOOKUP(B582,'IA FG'!$B$2:$D$578,3,FALSE)),0,VLOOKUP(B582,'IA FG'!$B$2:$D$578,3,FALSE))</f>
        <v>69</v>
      </c>
      <c r="H582" s="166">
        <f t="shared" si="128"/>
        <v>-1</v>
      </c>
      <c r="I582" s="166">
        <f t="shared" si="129"/>
        <v>50</v>
      </c>
      <c r="J582" s="166" t="str">
        <f t="shared" si="130"/>
        <v/>
      </c>
      <c r="K582" s="166" t="str">
        <f t="shared" si="131"/>
        <v/>
      </c>
      <c r="L582" s="166" t="e">
        <f t="shared" si="132"/>
        <v>#N/A</v>
      </c>
    </row>
    <row r="583" spans="1:12">
      <c r="A583" t="s">
        <v>43</v>
      </c>
      <c r="B583" s="161" t="str">
        <f>Attaccanti!B99</f>
        <v>CODA M</v>
      </c>
      <c r="C583" s="161" t="str">
        <f>Attaccanti!C99</f>
        <v>BEN</v>
      </c>
      <c r="D583" s="166">
        <f t="shared" si="126"/>
        <v>1</v>
      </c>
      <c r="E583" s="166">
        <v>0</v>
      </c>
      <c r="F583">
        <f t="shared" si="127"/>
        <v>38</v>
      </c>
      <c r="G583">
        <f>IF(ISNA(VLOOKUP(B583,'IA FG'!$B$2:$D$578,3,FALSE)),0,VLOOKUP(B583,'IA FG'!$B$2:$D$578,3,FALSE))</f>
        <v>72</v>
      </c>
      <c r="H583" s="166" t="str">
        <f t="shared" si="128"/>
        <v/>
      </c>
      <c r="I583" s="166">
        <f t="shared" si="129"/>
        <v>60</v>
      </c>
      <c r="J583" s="166">
        <f t="shared" si="130"/>
        <v>2</v>
      </c>
      <c r="K583" s="166" t="str">
        <f t="shared" si="131"/>
        <v/>
      </c>
      <c r="L583" s="166" t="e">
        <f t="shared" si="132"/>
        <v>#N/A</v>
      </c>
    </row>
    <row r="584" spans="1:12">
      <c r="A584" t="s">
        <v>43</v>
      </c>
      <c r="B584" s="161" t="str">
        <f>Attaccanti!B100</f>
        <v>PALOSCHI</v>
      </c>
      <c r="C584" s="161" t="str">
        <f>Attaccanti!C100</f>
        <v>SPA</v>
      </c>
      <c r="D584" s="166">
        <f t="shared" si="126"/>
        <v>1</v>
      </c>
      <c r="E584" s="166">
        <v>0</v>
      </c>
      <c r="F584">
        <f t="shared" si="127"/>
        <v>37</v>
      </c>
      <c r="G584">
        <f>IF(ISNA(VLOOKUP(B584,'IA FG'!$B$2:$D$578,3,FALSE)),0,VLOOKUP(B584,'IA FG'!$B$2:$D$578,3,FALSE))</f>
        <v>78</v>
      </c>
      <c r="H584" s="166" t="str">
        <f t="shared" si="128"/>
        <v/>
      </c>
      <c r="I584" s="166">
        <f t="shared" si="129"/>
        <v>60</v>
      </c>
      <c r="J584" s="166" t="str">
        <f t="shared" si="130"/>
        <v/>
      </c>
      <c r="K584" s="166" t="str">
        <f t="shared" si="131"/>
        <v/>
      </c>
      <c r="L584" s="166" t="e">
        <f t="shared" si="132"/>
        <v>#N/A</v>
      </c>
    </row>
    <row r="585" spans="1:12">
      <c r="A585" t="s">
        <v>43</v>
      </c>
      <c r="B585" s="161" t="str">
        <f>Attaccanti!B101</f>
        <v>SCAMACCA</v>
      </c>
      <c r="C585" s="161" t="str">
        <f>Attaccanti!C101</f>
        <v>SAS</v>
      </c>
      <c r="D585" s="166">
        <f t="shared" si="126"/>
        <v>1</v>
      </c>
      <c r="E585" s="166">
        <v>0</v>
      </c>
      <c r="F585">
        <f t="shared" si="127"/>
        <v>30</v>
      </c>
      <c r="G585">
        <f>IF(ISNA(VLOOKUP(B585,'IA FG'!$B$2:$D$578,3,FALSE)),0,VLOOKUP(B585,'IA FG'!$B$2:$D$578,3,FALSE))</f>
        <v>60</v>
      </c>
      <c r="H585" s="166" t="str">
        <f t="shared" si="128"/>
        <v/>
      </c>
      <c r="I585" s="166">
        <f t="shared" si="129"/>
        <v>30</v>
      </c>
      <c r="J585" s="166" t="str">
        <f t="shared" si="130"/>
        <v/>
      </c>
      <c r="K585" s="166" t="str">
        <f t="shared" si="131"/>
        <v/>
      </c>
      <c r="L585" s="166" t="e">
        <f t="shared" si="132"/>
        <v>#N/A</v>
      </c>
    </row>
    <row r="586" spans="1:12">
      <c r="A586" t="s">
        <v>43</v>
      </c>
      <c r="B586" s="161" t="str">
        <f>Attaccanti!B102</f>
        <v>PARIGINI</v>
      </c>
      <c r="C586" s="161" t="str">
        <f>Attaccanti!C102</f>
        <v>BEN</v>
      </c>
      <c r="D586" s="166">
        <f t="shared" si="126"/>
        <v>1</v>
      </c>
      <c r="E586" s="166">
        <v>1</v>
      </c>
      <c r="F586">
        <f t="shared" si="127"/>
        <v>36</v>
      </c>
      <c r="G586">
        <f>IF(ISNA(VLOOKUP(B586,'IA FG'!$B$2:$D$578,3,FALSE)),0,VLOOKUP(B586,'IA FG'!$B$2:$D$578,3,FALSE))</f>
        <v>58</v>
      </c>
      <c r="H586" s="166" t="str">
        <f t="shared" si="128"/>
        <v/>
      </c>
      <c r="I586" s="166">
        <f t="shared" si="129"/>
        <v>60</v>
      </c>
      <c r="J586" s="166" t="str">
        <f t="shared" si="130"/>
        <v/>
      </c>
      <c r="K586" s="166" t="str">
        <f t="shared" si="131"/>
        <v/>
      </c>
      <c r="L586" s="166" t="e">
        <f t="shared" si="132"/>
        <v>#N/A</v>
      </c>
    </row>
    <row r="587" spans="1:12">
      <c r="A587" t="s">
        <v>43</v>
      </c>
      <c r="B587" s="161" t="str">
        <f>Attaccanti!B103</f>
        <v>KOTNIK</v>
      </c>
      <c r="C587" s="161" t="str">
        <f>Attaccanti!C103</f>
        <v>CRO</v>
      </c>
      <c r="D587" s="166">
        <f t="shared" si="126"/>
        <v>1</v>
      </c>
      <c r="E587" s="166">
        <v>2</v>
      </c>
      <c r="F587">
        <f t="shared" si="127"/>
        <v>31</v>
      </c>
      <c r="G587">
        <f>IF(ISNA(VLOOKUP(B587,'IA FG'!$B$2:$D$578,3,FALSE)),0,VLOOKUP(B587,'IA FG'!$B$2:$D$578,3,FALSE))</f>
        <v>40</v>
      </c>
      <c r="H587" s="166" t="str">
        <f t="shared" si="128"/>
        <v/>
      </c>
      <c r="I587" s="166">
        <f t="shared" si="129"/>
        <v>40</v>
      </c>
      <c r="J587" s="166" t="str">
        <f t="shared" si="130"/>
        <v/>
      </c>
      <c r="K587" s="166" t="str">
        <f t="shared" si="131"/>
        <v/>
      </c>
      <c r="L587" s="166" t="e">
        <f t="shared" si="132"/>
        <v>#N/A</v>
      </c>
    </row>
    <row r="588" spans="1:12">
      <c r="A588" t="s">
        <v>43</v>
      </c>
      <c r="B588" s="161" t="str">
        <f>Attaccanti!B104</f>
        <v>BONAZZOLI</v>
      </c>
      <c r="C588" s="161" t="str">
        <f>Attaccanti!C104</f>
        <v>SAM</v>
      </c>
      <c r="D588" s="166">
        <f t="shared" si="126"/>
        <v>1</v>
      </c>
      <c r="E588" s="166">
        <v>3</v>
      </c>
      <c r="F588">
        <f t="shared" si="127"/>
        <v>27</v>
      </c>
      <c r="G588">
        <f>IF(ISNA(VLOOKUP(B588,'IA FG'!$B$2:$D$578,3,FALSE)),0,VLOOKUP(B588,'IA FG'!$B$2:$D$578,3,FALSE))</f>
        <v>59</v>
      </c>
      <c r="H588" s="166" t="str">
        <f t="shared" si="128"/>
        <v/>
      </c>
      <c r="I588" s="166">
        <f t="shared" si="129"/>
        <v>30</v>
      </c>
      <c r="J588" s="166" t="str">
        <f t="shared" si="130"/>
        <v/>
      </c>
      <c r="K588" s="166" t="str">
        <f t="shared" si="131"/>
        <v/>
      </c>
      <c r="L588" s="166" t="e">
        <f t="shared" si="132"/>
        <v>#N/A</v>
      </c>
    </row>
    <row r="589" spans="1:12">
      <c r="A589" t="s">
        <v>43</v>
      </c>
      <c r="B589" s="161" t="str">
        <f>Attaccanti!B105</f>
        <v>FLOCCARI</v>
      </c>
      <c r="C589" s="161" t="str">
        <f>Attaccanti!C105</f>
        <v>SPA</v>
      </c>
      <c r="D589" s="166">
        <f t="shared" si="126"/>
        <v>1</v>
      </c>
      <c r="E589" s="166">
        <v>4</v>
      </c>
      <c r="F589">
        <f t="shared" si="127"/>
        <v>35</v>
      </c>
      <c r="G589">
        <f>IF(ISNA(VLOOKUP(B589,'IA FG'!$B$2:$D$578,3,FALSE)),0,VLOOKUP(B589,'IA FG'!$B$2:$D$578,3,FALSE))</f>
        <v>72</v>
      </c>
      <c r="H589" s="166" t="str">
        <f t="shared" si="128"/>
        <v/>
      </c>
      <c r="I589" s="166">
        <f t="shared" si="129"/>
        <v>50</v>
      </c>
      <c r="J589" s="166" t="str">
        <f t="shared" si="130"/>
        <v/>
      </c>
      <c r="K589" s="166" t="str">
        <f t="shared" si="131"/>
        <v/>
      </c>
      <c r="L589" s="166" t="e">
        <f t="shared" si="132"/>
        <v>#N/A</v>
      </c>
    </row>
    <row r="590" spans="1:12">
      <c r="A590" t="s">
        <v>43</v>
      </c>
      <c r="B590" s="161" t="str">
        <f>Attaccanti!B106</f>
        <v>FARES</v>
      </c>
      <c r="C590" s="161" t="str">
        <f>Attaccanti!C106</f>
        <v>VER</v>
      </c>
      <c r="D590" s="166">
        <f t="shared" si="126"/>
        <v>1</v>
      </c>
      <c r="E590" s="166">
        <v>5</v>
      </c>
      <c r="F590">
        <f t="shared" si="127"/>
        <v>25</v>
      </c>
      <c r="G590">
        <f>IF(ISNA(VLOOKUP(B590,'IA FG'!$B$2:$D$578,3,FALSE)),0,VLOOKUP(B590,'IA FG'!$B$2:$D$578,3,FALSE))</f>
        <v>53</v>
      </c>
      <c r="H590" s="166" t="str">
        <f t="shared" si="128"/>
        <v/>
      </c>
      <c r="I590" s="166">
        <f t="shared" si="129"/>
        <v>40</v>
      </c>
      <c r="J590" s="166" t="str">
        <f t="shared" si="130"/>
        <v/>
      </c>
      <c r="K590" s="166" t="str">
        <f t="shared" si="131"/>
        <v/>
      </c>
      <c r="L590" s="166" t="e">
        <f t="shared" si="132"/>
        <v>#N/A</v>
      </c>
    </row>
    <row r="591" spans="1:12">
      <c r="A591" t="s">
        <v>43</v>
      </c>
      <c r="B591" s="161" t="str">
        <f>Attaccanti!B107</f>
        <v>BRIGNOLA</v>
      </c>
      <c r="C591" s="161" t="str">
        <f>Attaccanti!C107</f>
        <v>BEN</v>
      </c>
      <c r="D591" s="166">
        <f t="shared" si="126"/>
        <v>1</v>
      </c>
      <c r="E591" s="166">
        <v>6</v>
      </c>
      <c r="F591">
        <f t="shared" si="127"/>
        <v>29</v>
      </c>
      <c r="G591">
        <f>IF(ISNA(VLOOKUP(B591,'IA FG'!$B$2:$D$578,3,FALSE)),0,VLOOKUP(B591,'IA FG'!$B$2:$D$578,3,FALSE))</f>
        <v>45</v>
      </c>
      <c r="H591" s="166" t="str">
        <f t="shared" si="128"/>
        <v/>
      </c>
      <c r="I591" s="166">
        <f t="shared" si="129"/>
        <v>30</v>
      </c>
      <c r="J591" s="166" t="str">
        <f t="shared" si="130"/>
        <v/>
      </c>
      <c r="K591" s="166" t="str">
        <f t="shared" si="131"/>
        <v/>
      </c>
      <c r="L591" s="166" t="e">
        <f t="shared" si="132"/>
        <v>#N/A</v>
      </c>
    </row>
    <row r="592" spans="1:12">
      <c r="A592" t="s">
        <v>43</v>
      </c>
      <c r="B592" s="161" t="str">
        <f>Attaccanti!B108</f>
        <v>LEE</v>
      </c>
      <c r="C592" s="161" t="str">
        <f>Attaccanti!C108</f>
        <v>VER</v>
      </c>
      <c r="D592" s="166">
        <f t="shared" si="126"/>
        <v>1</v>
      </c>
      <c r="E592" s="166">
        <v>7</v>
      </c>
      <c r="F592">
        <f t="shared" si="127"/>
        <v>0</v>
      </c>
      <c r="G592">
        <f>IF(ISNA(VLOOKUP(B592,'IA FG'!$B$2:$D$578,3,FALSE)),0,VLOOKUP(B592,'IA FG'!$B$2:$D$578,3,FALSE))</f>
        <v>72</v>
      </c>
      <c r="H592" s="166" t="str">
        <f t="shared" si="128"/>
        <v/>
      </c>
      <c r="I592" s="166">
        <f t="shared" si="129"/>
        <v>0</v>
      </c>
      <c r="J592" s="166" t="str">
        <f t="shared" si="130"/>
        <v/>
      </c>
      <c r="K592" s="166" t="str">
        <f t="shared" si="131"/>
        <v/>
      </c>
      <c r="L592" s="166" t="e">
        <f t="shared" si="132"/>
        <v>#N/A</v>
      </c>
    </row>
    <row r="593" spans="1:12">
      <c r="A593" t="s">
        <v>43</v>
      </c>
      <c r="B593" s="161" t="str">
        <f>Attaccanti!B109</f>
        <v>CISSE' K</v>
      </c>
      <c r="C593" s="161" t="str">
        <f>Attaccanti!C109</f>
        <v>BEN</v>
      </c>
      <c r="D593" s="166">
        <f t="shared" si="126"/>
        <v>1</v>
      </c>
      <c r="E593" s="166">
        <v>8</v>
      </c>
      <c r="F593">
        <f t="shared" si="127"/>
        <v>0</v>
      </c>
      <c r="G593">
        <f>IF(ISNA(VLOOKUP(B593,'IA FG'!$B$2:$D$578,3,FALSE)),0,VLOOKUP(B593,'IA FG'!$B$2:$D$578,3,FALSE))</f>
        <v>65</v>
      </c>
      <c r="H593" s="166" t="str">
        <f t="shared" si="128"/>
        <v/>
      </c>
      <c r="I593" s="166">
        <f t="shared" si="129"/>
        <v>0</v>
      </c>
      <c r="J593" s="166" t="str">
        <f t="shared" si="130"/>
        <v/>
      </c>
      <c r="K593" s="166" t="str">
        <f t="shared" si="131"/>
        <v/>
      </c>
      <c r="L593" s="166" t="e">
        <f t="shared" si="132"/>
        <v>#N/A</v>
      </c>
    </row>
    <row r="594" spans="1:12">
      <c r="A594" t="s">
        <v>43</v>
      </c>
      <c r="B594" s="161">
        <f>Attaccanti!B110</f>
        <v>0</v>
      </c>
      <c r="C594" s="161">
        <f>Attaccanti!C110</f>
        <v>0</v>
      </c>
      <c r="D594" s="166">
        <f t="shared" si="126"/>
        <v>0</v>
      </c>
      <c r="E594" s="166">
        <v>9</v>
      </c>
      <c r="F594">
        <f t="shared" si="127"/>
        <v>0</v>
      </c>
      <c r="G594">
        <f>IF(ISNA(VLOOKUP(B594,'IA FG'!$B$2:$D$578,3,FALSE)),0,VLOOKUP(B594,'IA FG'!$B$2:$D$578,3,FALSE))</f>
        <v>0</v>
      </c>
      <c r="H594" s="166" t="str">
        <f t="shared" si="128"/>
        <v/>
      </c>
      <c r="I594" s="166">
        <f t="shared" si="129"/>
        <v>0</v>
      </c>
      <c r="J594" s="166" t="str">
        <f t="shared" si="130"/>
        <v/>
      </c>
      <c r="K594" s="166" t="str">
        <f t="shared" si="131"/>
        <v/>
      </c>
      <c r="L594" s="166" t="e">
        <f t="shared" si="132"/>
        <v>#N/A</v>
      </c>
    </row>
    <row r="595" spans="1:12">
      <c r="A595" t="s">
        <v>43</v>
      </c>
      <c r="B595" s="161">
        <f>Attaccanti!B111</f>
        <v>0</v>
      </c>
      <c r="C595" s="161">
        <f>Attaccanti!C111</f>
        <v>0</v>
      </c>
      <c r="D595" s="166">
        <f t="shared" si="126"/>
        <v>0</v>
      </c>
      <c r="E595" s="166">
        <v>10</v>
      </c>
      <c r="F595">
        <f t="shared" si="127"/>
        <v>0</v>
      </c>
      <c r="G595">
        <f>IF(ISNA(VLOOKUP(B595,'IA FG'!$B$2:$D$578,3,FALSE)),0,VLOOKUP(B595,'IA FG'!$B$2:$D$578,3,FALSE))</f>
        <v>0</v>
      </c>
      <c r="H595" s="166" t="str">
        <f t="shared" si="128"/>
        <v/>
      </c>
      <c r="I595" s="166">
        <f t="shared" si="129"/>
        <v>0</v>
      </c>
      <c r="J595" s="166" t="str">
        <f t="shared" si="130"/>
        <v/>
      </c>
      <c r="K595" s="166" t="str">
        <f t="shared" si="131"/>
        <v/>
      </c>
      <c r="L595" s="166" t="e">
        <f t="shared" si="132"/>
        <v>#N/A</v>
      </c>
    </row>
    <row r="596" spans="1:12">
      <c r="A596" t="s">
        <v>43</v>
      </c>
      <c r="B596" s="161">
        <f>Attaccanti!B112</f>
        <v>0</v>
      </c>
      <c r="C596" s="161">
        <f>Attaccanti!C112</f>
        <v>0</v>
      </c>
      <c r="D596" s="166">
        <f t="shared" si="126"/>
        <v>0</v>
      </c>
      <c r="E596" s="166">
        <v>11</v>
      </c>
      <c r="F596">
        <f t="shared" si="127"/>
        <v>0</v>
      </c>
      <c r="G596">
        <f>IF(ISNA(VLOOKUP(B596,'IA FG'!$B$2:$D$578,3,FALSE)),0,VLOOKUP(B596,'IA FG'!$B$2:$D$578,3,FALSE))</f>
        <v>0</v>
      </c>
      <c r="H596" s="166" t="str">
        <f t="shared" si="128"/>
        <v/>
      </c>
      <c r="I596" s="166">
        <f t="shared" si="129"/>
        <v>0</v>
      </c>
      <c r="J596" s="166" t="str">
        <f t="shared" si="130"/>
        <v/>
      </c>
      <c r="K596" s="166" t="str">
        <f t="shared" si="131"/>
        <v/>
      </c>
      <c r="L596" s="166" t="e">
        <f t="shared" si="132"/>
        <v>#N/A</v>
      </c>
    </row>
    <row r="597" spans="1:12">
      <c r="A597" t="s">
        <v>43</v>
      </c>
      <c r="B597" s="161">
        <f>Attaccanti!B113</f>
        <v>0</v>
      </c>
      <c r="C597" s="161">
        <f>Attaccanti!C113</f>
        <v>0</v>
      </c>
      <c r="D597" s="166">
        <f t="shared" si="126"/>
        <v>0</v>
      </c>
      <c r="E597" s="166">
        <v>12</v>
      </c>
      <c r="F597">
        <f t="shared" si="127"/>
        <v>0</v>
      </c>
      <c r="G597">
        <f>IF(ISNA(VLOOKUP(B597,'IA FG'!$B$2:$D$578,3,FALSE)),0,VLOOKUP(B597,'IA FG'!$B$2:$D$578,3,FALSE))</f>
        <v>0</v>
      </c>
      <c r="H597" s="166" t="str">
        <f t="shared" si="128"/>
        <v/>
      </c>
      <c r="I597" s="166">
        <f t="shared" si="129"/>
        <v>0</v>
      </c>
      <c r="J597" s="166" t="str">
        <f t="shared" si="130"/>
        <v/>
      </c>
      <c r="K597" s="166" t="str">
        <f t="shared" si="131"/>
        <v/>
      </c>
      <c r="L597" s="166" t="e">
        <f t="shared" si="132"/>
        <v>#N/A</v>
      </c>
    </row>
    <row r="598" spans="1:12">
      <c r="A598" t="s">
        <v>43</v>
      </c>
      <c r="B598" s="161">
        <f>Attaccanti!B114</f>
        <v>0</v>
      </c>
      <c r="C598" s="161">
        <f>Attaccanti!C114</f>
        <v>0</v>
      </c>
      <c r="D598" s="166">
        <f t="shared" si="126"/>
        <v>0</v>
      </c>
      <c r="E598" s="166">
        <v>13</v>
      </c>
      <c r="F598">
        <f t="shared" si="127"/>
        <v>0</v>
      </c>
      <c r="G598">
        <f>IF(ISNA(VLOOKUP(B598,'IA FG'!$B$2:$D$578,3,FALSE)),0,VLOOKUP(B598,'IA FG'!$B$2:$D$578,3,FALSE))</f>
        <v>0</v>
      </c>
      <c r="H598" s="166" t="str">
        <f t="shared" si="128"/>
        <v/>
      </c>
      <c r="I598" s="166">
        <f t="shared" si="129"/>
        <v>0</v>
      </c>
      <c r="J598" s="166" t="str">
        <f t="shared" si="130"/>
        <v/>
      </c>
      <c r="K598" s="166" t="str">
        <f t="shared" si="131"/>
        <v/>
      </c>
      <c r="L598" s="166" t="e">
        <f t="shared" si="132"/>
        <v>#N/A</v>
      </c>
    </row>
    <row r="599" spans="1:12">
      <c r="A599" t="s">
        <v>43</v>
      </c>
      <c r="B599" s="161">
        <f>Attaccanti!B115</f>
        <v>0</v>
      </c>
      <c r="C599" s="161">
        <f>Attaccanti!C115</f>
        <v>0</v>
      </c>
      <c r="D599" s="166">
        <f t="shared" si="126"/>
        <v>0</v>
      </c>
      <c r="E599" s="166">
        <v>14</v>
      </c>
      <c r="F599">
        <f t="shared" si="127"/>
        <v>0</v>
      </c>
      <c r="G599">
        <f>IF(ISNA(VLOOKUP(B599,'IA FG'!$B$2:$D$578,3,FALSE)),0,VLOOKUP(B599,'IA FG'!$B$2:$D$578,3,FALSE))</f>
        <v>0</v>
      </c>
      <c r="H599" s="166" t="str">
        <f t="shared" si="128"/>
        <v/>
      </c>
      <c r="I599" s="166">
        <f t="shared" si="129"/>
        <v>0</v>
      </c>
      <c r="J599" s="166" t="str">
        <f t="shared" si="130"/>
        <v/>
      </c>
      <c r="K599" s="166" t="str">
        <f t="shared" si="131"/>
        <v/>
      </c>
      <c r="L599" s="166" t="e">
        <f t="shared" si="132"/>
        <v>#N/A</v>
      </c>
    </row>
    <row r="600" spans="1:12">
      <c r="A600" t="s">
        <v>43</v>
      </c>
      <c r="B600" s="161">
        <f>Attaccanti!B116</f>
        <v>0</v>
      </c>
      <c r="C600" s="161">
        <f>Attaccanti!C116</f>
        <v>0</v>
      </c>
      <c r="D600" s="166">
        <f t="shared" si="126"/>
        <v>0</v>
      </c>
      <c r="E600" s="166">
        <v>15</v>
      </c>
      <c r="F600">
        <f t="shared" si="127"/>
        <v>0</v>
      </c>
      <c r="G600">
        <f>IF(ISNA(VLOOKUP(B600,'IA FG'!$B$2:$D$578,3,FALSE)),0,VLOOKUP(B600,'IA FG'!$B$2:$D$578,3,FALSE))</f>
        <v>0</v>
      </c>
      <c r="H600" s="166" t="str">
        <f t="shared" si="128"/>
        <v/>
      </c>
      <c r="I600" s="166">
        <f t="shared" si="129"/>
        <v>0</v>
      </c>
      <c r="J600" s="166" t="str">
        <f t="shared" si="130"/>
        <v/>
      </c>
      <c r="K600" s="166" t="str">
        <f t="shared" si="131"/>
        <v/>
      </c>
      <c r="L600" s="166" t="e">
        <f t="shared" si="132"/>
        <v>#N/A</v>
      </c>
    </row>
  </sheetData>
  <sheetProtection formatColumns="0" formatRows="0"/>
  <autoFilter ref="A1:L65" xr:uid="{00000000-0009-0000-0000-00000F000000}"/>
  <conditionalFormatting sqref="B275:C467">
    <cfRule type="expression" dxfId="69" priority="4" stopIfTrue="1">
      <formula>VLOOKUP($B275,TabTuttiGioc,1,FALSE)=$B275</formula>
    </cfRule>
  </conditionalFormatting>
  <conditionalFormatting sqref="B486:C600">
    <cfRule type="expression" dxfId="68" priority="5" stopIfTrue="1">
      <formula>VLOOKUP($B486,TabTuttiGioc,1,FALSE)=$B486</formula>
    </cfRule>
  </conditionalFormatting>
  <conditionalFormatting sqref="B67:B72 B2:C66">
    <cfRule type="expression" dxfId="67" priority="6" stopIfTrue="1">
      <formula>VLOOKUP($C2,TabTuttiGioc,1,FALSE)=$C2</formula>
    </cfRule>
  </conditionalFormatting>
  <conditionalFormatting sqref="B74:B273">
    <cfRule type="expression" dxfId="66" priority="7" stopIfTrue="1">
      <formula>VLOOKUP($C74,TabTuttiGioc,1,FALSE)=$C74</formula>
    </cfRule>
  </conditionalFormatting>
  <conditionalFormatting sqref="B1:B1048576">
    <cfRule type="duplicateValues" dxfId="65" priority="2"/>
  </conditionalFormatting>
  <conditionalFormatting sqref="C74:C273">
    <cfRule type="expression" dxfId="64" priority="1" stopIfTrue="1">
      <formula>VLOOKUP($C74,TabTuttiGioc,1,FALSE)=$C74</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3">
    <tabColor indexed="47"/>
  </sheetPr>
  <dimension ref="A1:AA25"/>
  <sheetViews>
    <sheetView workbookViewId="0"/>
  </sheetViews>
  <sheetFormatPr defaultRowHeight="12.75"/>
  <cols>
    <col min="1" max="1" width="16.42578125" style="148" customWidth="1"/>
    <col min="2" max="2" width="10.7109375" style="148" customWidth="1"/>
    <col min="3" max="5" width="3" style="148" bestFit="1" customWidth="1"/>
    <col min="6" max="6" width="2" style="148" bestFit="1" customWidth="1"/>
    <col min="7" max="7" width="3" style="148" customWidth="1"/>
    <col min="8" max="8" width="3" style="148" bestFit="1" customWidth="1"/>
    <col min="9" max="9" width="3" style="148" customWidth="1"/>
    <col min="10" max="11" width="3" style="148" bestFit="1" customWidth="1"/>
    <col min="12" max="15" width="3" style="148" customWidth="1"/>
    <col min="16" max="16" width="4" style="148" customWidth="1"/>
    <col min="17" max="20" width="3" style="148" customWidth="1"/>
    <col min="21" max="21" width="3" style="148" bestFit="1" customWidth="1"/>
    <col min="22" max="22" width="4.5703125" style="148" bestFit="1" customWidth="1"/>
    <col min="23" max="23" width="3.5703125" style="148" customWidth="1"/>
    <col min="24" max="26" width="3" style="148" bestFit="1" customWidth="1"/>
    <col min="27" max="27" width="5.7109375" style="148" customWidth="1"/>
    <col min="28" max="16384" width="9.140625" style="148"/>
  </cols>
  <sheetData>
    <row r="1" spans="1:27" s="169" customFormat="1">
      <c r="A1" s="167" t="s">
        <v>900</v>
      </c>
      <c r="B1" s="167" t="s">
        <v>901</v>
      </c>
      <c r="C1" s="168"/>
      <c r="D1" s="168"/>
      <c r="E1" s="168"/>
      <c r="F1" s="168"/>
      <c r="G1" s="168"/>
      <c r="H1" s="168"/>
      <c r="I1" s="168"/>
      <c r="J1" s="168"/>
      <c r="K1" s="168"/>
      <c r="L1" s="168"/>
      <c r="M1" s="168"/>
      <c r="N1" s="168"/>
      <c r="O1" s="168"/>
      <c r="P1" s="168"/>
      <c r="Q1" s="168"/>
      <c r="R1" s="168"/>
      <c r="S1" s="168"/>
      <c r="T1" s="168"/>
      <c r="U1" s="168"/>
      <c r="V1" s="168"/>
      <c r="W1" s="168"/>
      <c r="X1" s="168"/>
      <c r="Y1" s="168"/>
      <c r="Z1" s="168"/>
      <c r="AA1" s="168" t="s">
        <v>902</v>
      </c>
    </row>
    <row r="2" spans="1:27">
      <c r="A2" s="140" t="s">
        <v>927</v>
      </c>
      <c r="B2" s="188">
        <v>6.95</v>
      </c>
      <c r="C2">
        <v>7</v>
      </c>
      <c r="D2">
        <v>7</v>
      </c>
      <c r="E2">
        <v>7</v>
      </c>
      <c r="F2">
        <v>7</v>
      </c>
      <c r="G2">
        <v>6</v>
      </c>
      <c r="H2">
        <v>7</v>
      </c>
      <c r="I2">
        <v>8</v>
      </c>
      <c r="J2">
        <v>7</v>
      </c>
      <c r="K2">
        <v>7</v>
      </c>
      <c r="L2">
        <v>7</v>
      </c>
      <c r="M2">
        <v>7</v>
      </c>
      <c r="N2">
        <v>7</v>
      </c>
      <c r="O2">
        <v>7</v>
      </c>
      <c r="P2">
        <v>7</v>
      </c>
      <c r="Q2">
        <v>7</v>
      </c>
      <c r="R2">
        <v>7</v>
      </c>
      <c r="S2">
        <v>6</v>
      </c>
      <c r="T2">
        <v>7</v>
      </c>
      <c r="U2">
        <v>7</v>
      </c>
      <c r="V2" t="s">
        <v>1869</v>
      </c>
      <c r="W2"/>
      <c r="X2"/>
      <c r="Y2"/>
      <c r="Z2"/>
      <c r="AA2" s="189"/>
    </row>
    <row r="3" spans="1:27">
      <c r="A3" s="140" t="s">
        <v>1870</v>
      </c>
      <c r="B3" s="188">
        <v>3.16</v>
      </c>
      <c r="C3">
        <v>4</v>
      </c>
      <c r="D3">
        <v>3</v>
      </c>
      <c r="E3">
        <v>3</v>
      </c>
      <c r="F3">
        <v>2</v>
      </c>
      <c r="G3">
        <v>1</v>
      </c>
      <c r="H3">
        <v>4</v>
      </c>
      <c r="I3">
        <v>4</v>
      </c>
      <c r="J3">
        <v>4</v>
      </c>
      <c r="K3">
        <v>4</v>
      </c>
      <c r="L3">
        <v>5</v>
      </c>
      <c r="M3">
        <v>3</v>
      </c>
      <c r="N3">
        <v>4</v>
      </c>
      <c r="O3">
        <v>5</v>
      </c>
      <c r="P3">
        <v>2</v>
      </c>
      <c r="Q3">
        <v>2</v>
      </c>
      <c r="R3">
        <v>2</v>
      </c>
      <c r="S3">
        <v>3</v>
      </c>
      <c r="T3">
        <v>2</v>
      </c>
      <c r="U3">
        <v>3</v>
      </c>
      <c r="V3" t="s">
        <v>1871</v>
      </c>
      <c r="W3"/>
      <c r="X3"/>
      <c r="Y3"/>
      <c r="Z3"/>
      <c r="AA3" s="189"/>
    </row>
    <row r="4" spans="1:27">
      <c r="A4" s="140" t="s">
        <v>928</v>
      </c>
      <c r="B4" s="188">
        <v>4.68</v>
      </c>
      <c r="C4">
        <v>4</v>
      </c>
      <c r="D4">
        <v>4</v>
      </c>
      <c r="E4">
        <v>5</v>
      </c>
      <c r="F4">
        <v>5</v>
      </c>
      <c r="G4">
        <v>4</v>
      </c>
      <c r="H4">
        <v>4</v>
      </c>
      <c r="I4">
        <v>5</v>
      </c>
      <c r="J4">
        <v>5</v>
      </c>
      <c r="K4">
        <v>5</v>
      </c>
      <c r="L4">
        <v>5</v>
      </c>
      <c r="M4">
        <v>5</v>
      </c>
      <c r="N4">
        <v>4</v>
      </c>
      <c r="O4">
        <v>6</v>
      </c>
      <c r="P4">
        <v>5</v>
      </c>
      <c r="Q4">
        <v>5</v>
      </c>
      <c r="R4">
        <v>4</v>
      </c>
      <c r="S4">
        <v>4</v>
      </c>
      <c r="T4">
        <v>5</v>
      </c>
      <c r="U4">
        <v>5</v>
      </c>
      <c r="V4" t="s">
        <v>1872</v>
      </c>
      <c r="W4"/>
      <c r="X4"/>
      <c r="Y4"/>
      <c r="Z4"/>
      <c r="AA4" s="189"/>
    </row>
    <row r="5" spans="1:27">
      <c r="A5" s="140" t="s">
        <v>929</v>
      </c>
      <c r="B5" s="188">
        <v>5.42</v>
      </c>
      <c r="C5">
        <v>6</v>
      </c>
      <c r="D5">
        <v>4</v>
      </c>
      <c r="E5">
        <v>6</v>
      </c>
      <c r="F5">
        <v>6</v>
      </c>
      <c r="G5">
        <v>4</v>
      </c>
      <c r="H5">
        <v>5</v>
      </c>
      <c r="I5">
        <v>6</v>
      </c>
      <c r="J5">
        <v>7</v>
      </c>
      <c r="K5">
        <v>6</v>
      </c>
      <c r="L5">
        <v>5</v>
      </c>
      <c r="M5">
        <v>7</v>
      </c>
      <c r="N5">
        <v>6</v>
      </c>
      <c r="O5">
        <v>6</v>
      </c>
      <c r="P5">
        <v>6</v>
      </c>
      <c r="Q5">
        <v>6</v>
      </c>
      <c r="R5">
        <v>4</v>
      </c>
      <c r="S5">
        <v>4</v>
      </c>
      <c r="T5">
        <v>4</v>
      </c>
      <c r="U5">
        <v>5</v>
      </c>
      <c r="V5" t="s">
        <v>1873</v>
      </c>
      <c r="W5"/>
      <c r="X5"/>
      <c r="Y5"/>
      <c r="Z5"/>
      <c r="AA5" s="189"/>
    </row>
    <row r="6" spans="1:27">
      <c r="A6" s="140" t="s">
        <v>946</v>
      </c>
      <c r="B6" s="188">
        <v>5.68</v>
      </c>
      <c r="C6">
        <v>6</v>
      </c>
      <c r="D6">
        <v>5</v>
      </c>
      <c r="E6">
        <v>6</v>
      </c>
      <c r="F6">
        <v>7</v>
      </c>
      <c r="G6">
        <v>5</v>
      </c>
      <c r="H6">
        <v>5</v>
      </c>
      <c r="I6">
        <v>6</v>
      </c>
      <c r="J6">
        <v>6</v>
      </c>
      <c r="K6">
        <v>6</v>
      </c>
      <c r="L6">
        <v>6</v>
      </c>
      <c r="M6">
        <v>5</v>
      </c>
      <c r="N6">
        <v>5</v>
      </c>
      <c r="O6">
        <v>6</v>
      </c>
      <c r="P6">
        <v>6</v>
      </c>
      <c r="Q6">
        <v>6</v>
      </c>
      <c r="R6">
        <v>6</v>
      </c>
      <c r="S6">
        <v>5</v>
      </c>
      <c r="T6">
        <v>6</v>
      </c>
      <c r="U6">
        <v>5</v>
      </c>
      <c r="V6" t="s">
        <v>1874</v>
      </c>
      <c r="W6"/>
      <c r="X6"/>
      <c r="Y6"/>
      <c r="Z6"/>
      <c r="AA6" s="189"/>
    </row>
    <row r="7" spans="1:27">
      <c r="A7" s="140" t="s">
        <v>931</v>
      </c>
      <c r="B7" s="188">
        <v>3.89</v>
      </c>
      <c r="C7">
        <v>5</v>
      </c>
      <c r="D7">
        <v>4</v>
      </c>
      <c r="E7">
        <v>4</v>
      </c>
      <c r="F7">
        <v>3</v>
      </c>
      <c r="G7">
        <v>4</v>
      </c>
      <c r="H7">
        <v>4</v>
      </c>
      <c r="I7">
        <v>4</v>
      </c>
      <c r="J7">
        <v>4</v>
      </c>
      <c r="K7">
        <v>4</v>
      </c>
      <c r="L7">
        <v>4</v>
      </c>
      <c r="M7">
        <v>4</v>
      </c>
      <c r="N7">
        <v>5</v>
      </c>
      <c r="O7">
        <v>5</v>
      </c>
      <c r="P7">
        <v>2</v>
      </c>
      <c r="Q7">
        <v>2</v>
      </c>
      <c r="R7">
        <v>4</v>
      </c>
      <c r="S7">
        <v>4</v>
      </c>
      <c r="T7">
        <v>4</v>
      </c>
      <c r="U7">
        <v>4</v>
      </c>
      <c r="V7" t="s">
        <v>1875</v>
      </c>
      <c r="W7"/>
      <c r="X7"/>
      <c r="Y7"/>
      <c r="Z7"/>
      <c r="AA7" s="189"/>
    </row>
    <row r="8" spans="1:27">
      <c r="A8" s="140" t="s">
        <v>932</v>
      </c>
      <c r="B8" s="188">
        <v>6.05</v>
      </c>
      <c r="C8">
        <v>7</v>
      </c>
      <c r="D8">
        <v>6</v>
      </c>
      <c r="E8">
        <v>7</v>
      </c>
      <c r="F8">
        <v>7</v>
      </c>
      <c r="G8">
        <v>6</v>
      </c>
      <c r="H8">
        <v>6</v>
      </c>
      <c r="I8">
        <v>7</v>
      </c>
      <c r="J8">
        <v>6</v>
      </c>
      <c r="K8">
        <v>6</v>
      </c>
      <c r="L8">
        <v>6</v>
      </c>
      <c r="M8">
        <v>5</v>
      </c>
      <c r="N8">
        <v>6</v>
      </c>
      <c r="O8">
        <v>6</v>
      </c>
      <c r="P8">
        <v>6</v>
      </c>
      <c r="Q8">
        <v>6</v>
      </c>
      <c r="R8">
        <v>6</v>
      </c>
      <c r="S8">
        <v>5</v>
      </c>
      <c r="T8">
        <v>5</v>
      </c>
      <c r="U8">
        <v>6</v>
      </c>
      <c r="V8" t="s">
        <v>1876</v>
      </c>
      <c r="W8"/>
      <c r="X8"/>
      <c r="Y8"/>
      <c r="Z8"/>
      <c r="AA8" s="189"/>
    </row>
    <row r="9" spans="1:27">
      <c r="A9" s="140" t="s">
        <v>933</v>
      </c>
      <c r="B9" s="188">
        <v>5.16</v>
      </c>
      <c r="C9">
        <v>6</v>
      </c>
      <c r="D9">
        <v>5</v>
      </c>
      <c r="E9">
        <v>5</v>
      </c>
      <c r="F9">
        <v>4</v>
      </c>
      <c r="G9">
        <v>6</v>
      </c>
      <c r="H9">
        <v>5</v>
      </c>
      <c r="I9">
        <v>5</v>
      </c>
      <c r="J9">
        <v>6</v>
      </c>
      <c r="K9">
        <v>5</v>
      </c>
      <c r="L9">
        <v>6</v>
      </c>
      <c r="M9">
        <v>5</v>
      </c>
      <c r="N9">
        <v>6</v>
      </c>
      <c r="O9">
        <v>6</v>
      </c>
      <c r="P9">
        <v>5</v>
      </c>
      <c r="Q9">
        <v>5</v>
      </c>
      <c r="R9">
        <v>4</v>
      </c>
      <c r="S9">
        <v>5</v>
      </c>
      <c r="T9">
        <v>4</v>
      </c>
      <c r="U9">
        <v>5</v>
      </c>
      <c r="V9" t="s">
        <v>1874</v>
      </c>
      <c r="W9"/>
      <c r="X9"/>
      <c r="Y9"/>
      <c r="Z9"/>
      <c r="AA9" s="189"/>
    </row>
    <row r="10" spans="1:27">
      <c r="A10" s="140" t="s">
        <v>934</v>
      </c>
      <c r="B10" s="188">
        <v>7.47</v>
      </c>
      <c r="C10">
        <v>8</v>
      </c>
      <c r="D10">
        <v>7</v>
      </c>
      <c r="E10">
        <v>8</v>
      </c>
      <c r="F10">
        <v>7</v>
      </c>
      <c r="G10">
        <v>8</v>
      </c>
      <c r="H10">
        <v>7</v>
      </c>
      <c r="I10">
        <v>8</v>
      </c>
      <c r="J10">
        <v>7</v>
      </c>
      <c r="K10">
        <v>7</v>
      </c>
      <c r="L10">
        <v>7</v>
      </c>
      <c r="M10">
        <v>8</v>
      </c>
      <c r="N10">
        <v>8</v>
      </c>
      <c r="O10">
        <v>7</v>
      </c>
      <c r="P10">
        <v>7</v>
      </c>
      <c r="Q10">
        <v>7</v>
      </c>
      <c r="R10">
        <v>8</v>
      </c>
      <c r="S10">
        <v>7</v>
      </c>
      <c r="T10">
        <v>8</v>
      </c>
      <c r="U10">
        <v>8</v>
      </c>
      <c r="V10" t="s">
        <v>1877</v>
      </c>
      <c r="W10"/>
      <c r="X10"/>
      <c r="Y10"/>
      <c r="Z10"/>
      <c r="AA10" s="189"/>
    </row>
    <row r="11" spans="1:27">
      <c r="A11" s="140" t="s">
        <v>935</v>
      </c>
      <c r="B11" s="188">
        <v>9.3699999999999992</v>
      </c>
      <c r="C11">
        <v>10</v>
      </c>
      <c r="D11">
        <v>10</v>
      </c>
      <c r="E11">
        <v>10</v>
      </c>
      <c r="F11">
        <v>9</v>
      </c>
      <c r="G11">
        <v>10</v>
      </c>
      <c r="H11">
        <v>9</v>
      </c>
      <c r="I11">
        <v>10</v>
      </c>
      <c r="J11">
        <v>9</v>
      </c>
      <c r="K11">
        <v>9</v>
      </c>
      <c r="L11">
        <v>9</v>
      </c>
      <c r="M11">
        <v>9</v>
      </c>
      <c r="N11">
        <v>10</v>
      </c>
      <c r="O11">
        <v>9</v>
      </c>
      <c r="P11">
        <v>9</v>
      </c>
      <c r="Q11">
        <v>9</v>
      </c>
      <c r="R11">
        <v>10</v>
      </c>
      <c r="S11">
        <v>8</v>
      </c>
      <c r="T11">
        <v>9</v>
      </c>
      <c r="U11">
        <v>10</v>
      </c>
      <c r="V11" t="s">
        <v>1878</v>
      </c>
      <c r="W11"/>
      <c r="X11"/>
      <c r="Y11"/>
      <c r="Z11"/>
      <c r="AA11" s="189"/>
    </row>
    <row r="12" spans="1:27">
      <c r="A12" s="140" t="s">
        <v>936</v>
      </c>
      <c r="B12" s="188">
        <v>7.05</v>
      </c>
      <c r="C12">
        <v>7</v>
      </c>
      <c r="D12">
        <v>7</v>
      </c>
      <c r="E12">
        <v>7</v>
      </c>
      <c r="F12">
        <v>7</v>
      </c>
      <c r="G12">
        <v>7</v>
      </c>
      <c r="H12">
        <v>7</v>
      </c>
      <c r="I12">
        <v>7</v>
      </c>
      <c r="J12">
        <v>7</v>
      </c>
      <c r="K12">
        <v>7</v>
      </c>
      <c r="L12">
        <v>7</v>
      </c>
      <c r="M12">
        <v>8</v>
      </c>
      <c r="N12">
        <v>8</v>
      </c>
      <c r="O12">
        <v>7</v>
      </c>
      <c r="P12">
        <v>7</v>
      </c>
      <c r="Q12">
        <v>7</v>
      </c>
      <c r="R12">
        <v>7</v>
      </c>
      <c r="S12">
        <v>6</v>
      </c>
      <c r="T12">
        <v>7</v>
      </c>
      <c r="U12">
        <v>7</v>
      </c>
      <c r="V12" t="s">
        <v>1879</v>
      </c>
      <c r="W12"/>
      <c r="X12"/>
      <c r="Y12"/>
      <c r="Z12"/>
      <c r="AA12" s="189"/>
    </row>
    <row r="13" spans="1:27">
      <c r="A13" s="140" t="s">
        <v>937</v>
      </c>
      <c r="B13" s="188">
        <v>8</v>
      </c>
      <c r="C13">
        <v>8</v>
      </c>
      <c r="D13">
        <v>8</v>
      </c>
      <c r="E13">
        <v>8</v>
      </c>
      <c r="F13">
        <v>7</v>
      </c>
      <c r="G13">
        <v>8</v>
      </c>
      <c r="H13">
        <v>8</v>
      </c>
      <c r="I13">
        <v>8</v>
      </c>
      <c r="J13">
        <v>9</v>
      </c>
      <c r="K13">
        <v>8</v>
      </c>
      <c r="L13">
        <v>8</v>
      </c>
      <c r="M13">
        <v>8</v>
      </c>
      <c r="N13">
        <v>8</v>
      </c>
      <c r="O13">
        <v>8</v>
      </c>
      <c r="P13">
        <v>8</v>
      </c>
      <c r="Q13">
        <v>8</v>
      </c>
      <c r="R13">
        <v>9</v>
      </c>
      <c r="S13">
        <v>8</v>
      </c>
      <c r="T13">
        <v>8</v>
      </c>
      <c r="U13">
        <v>7</v>
      </c>
      <c r="V13" t="s">
        <v>1880</v>
      </c>
      <c r="W13"/>
      <c r="X13"/>
      <c r="Y13"/>
      <c r="Z13"/>
      <c r="AA13" s="189"/>
    </row>
    <row r="14" spans="1:27">
      <c r="A14" s="140" t="s">
        <v>938</v>
      </c>
      <c r="B14" s="188">
        <v>9.0500000000000007</v>
      </c>
      <c r="C14">
        <v>9</v>
      </c>
      <c r="D14">
        <v>10</v>
      </c>
      <c r="E14">
        <v>9</v>
      </c>
      <c r="F14">
        <v>9</v>
      </c>
      <c r="G14">
        <v>9</v>
      </c>
      <c r="H14">
        <v>9</v>
      </c>
      <c r="I14">
        <v>9</v>
      </c>
      <c r="J14">
        <v>10</v>
      </c>
      <c r="K14">
        <v>9</v>
      </c>
      <c r="L14">
        <v>9</v>
      </c>
      <c r="M14">
        <v>8</v>
      </c>
      <c r="N14">
        <v>9</v>
      </c>
      <c r="O14">
        <v>9</v>
      </c>
      <c r="P14">
        <v>9</v>
      </c>
      <c r="Q14">
        <v>9</v>
      </c>
      <c r="R14">
        <v>9</v>
      </c>
      <c r="S14">
        <v>9</v>
      </c>
      <c r="T14">
        <v>9</v>
      </c>
      <c r="U14">
        <v>9</v>
      </c>
      <c r="V14" t="s">
        <v>1881</v>
      </c>
      <c r="W14"/>
      <c r="X14"/>
      <c r="Y14"/>
      <c r="Z14"/>
      <c r="AA14" s="189"/>
    </row>
    <row r="15" spans="1:27">
      <c r="A15" s="140" t="s">
        <v>940</v>
      </c>
      <c r="B15" s="188">
        <v>8.3699999999999992</v>
      </c>
      <c r="C15">
        <v>9</v>
      </c>
      <c r="D15">
        <v>9</v>
      </c>
      <c r="E15">
        <v>9</v>
      </c>
      <c r="F15">
        <v>7</v>
      </c>
      <c r="G15">
        <v>8</v>
      </c>
      <c r="H15">
        <v>8</v>
      </c>
      <c r="I15">
        <v>9</v>
      </c>
      <c r="J15">
        <v>8</v>
      </c>
      <c r="K15">
        <v>8</v>
      </c>
      <c r="L15">
        <v>8</v>
      </c>
      <c r="M15">
        <v>8</v>
      </c>
      <c r="N15">
        <v>9</v>
      </c>
      <c r="O15">
        <v>8</v>
      </c>
      <c r="P15">
        <v>9</v>
      </c>
      <c r="Q15">
        <v>9</v>
      </c>
      <c r="R15">
        <v>8</v>
      </c>
      <c r="S15">
        <v>8</v>
      </c>
      <c r="T15">
        <v>8</v>
      </c>
      <c r="U15">
        <v>9</v>
      </c>
      <c r="V15" t="s">
        <v>1880</v>
      </c>
      <c r="W15"/>
      <c r="X15"/>
      <c r="Y15"/>
      <c r="Z15"/>
      <c r="AA15" s="190"/>
    </row>
    <row r="16" spans="1:27">
      <c r="A16" s="140" t="s">
        <v>941</v>
      </c>
      <c r="B16" s="191">
        <v>5.84</v>
      </c>
      <c r="C16">
        <v>6</v>
      </c>
      <c r="D16">
        <v>6</v>
      </c>
      <c r="E16">
        <v>6</v>
      </c>
      <c r="F16">
        <v>6</v>
      </c>
      <c r="G16">
        <v>5</v>
      </c>
      <c r="H16">
        <v>6</v>
      </c>
      <c r="I16">
        <v>6</v>
      </c>
      <c r="J16">
        <v>6</v>
      </c>
      <c r="K16">
        <v>6</v>
      </c>
      <c r="L16">
        <v>6</v>
      </c>
      <c r="M16">
        <v>5</v>
      </c>
      <c r="N16">
        <v>6</v>
      </c>
      <c r="O16">
        <v>7</v>
      </c>
      <c r="P16">
        <v>6</v>
      </c>
      <c r="Q16">
        <v>6</v>
      </c>
      <c r="R16">
        <v>5</v>
      </c>
      <c r="S16">
        <v>5</v>
      </c>
      <c r="T16">
        <v>6</v>
      </c>
      <c r="U16">
        <v>6</v>
      </c>
      <c r="V16" t="s">
        <v>1882</v>
      </c>
      <c r="W16"/>
      <c r="X16"/>
      <c r="Y16"/>
      <c r="Z16"/>
      <c r="AA16" s="190"/>
    </row>
    <row r="17" spans="1:27">
      <c r="A17" s="140" t="s">
        <v>942</v>
      </c>
      <c r="B17" s="188">
        <v>5.79</v>
      </c>
      <c r="C17">
        <v>6</v>
      </c>
      <c r="D17">
        <v>5</v>
      </c>
      <c r="E17">
        <v>6</v>
      </c>
      <c r="F17">
        <v>7</v>
      </c>
      <c r="G17">
        <v>5</v>
      </c>
      <c r="H17">
        <v>6</v>
      </c>
      <c r="I17">
        <v>6</v>
      </c>
      <c r="J17">
        <v>6</v>
      </c>
      <c r="K17">
        <v>6</v>
      </c>
      <c r="L17">
        <v>6</v>
      </c>
      <c r="M17">
        <v>5</v>
      </c>
      <c r="N17">
        <v>6</v>
      </c>
      <c r="O17">
        <v>6</v>
      </c>
      <c r="P17">
        <v>6</v>
      </c>
      <c r="Q17">
        <v>6</v>
      </c>
      <c r="R17">
        <v>5</v>
      </c>
      <c r="S17">
        <v>6</v>
      </c>
      <c r="T17">
        <v>5</v>
      </c>
      <c r="U17">
        <v>6</v>
      </c>
      <c r="V17" t="s">
        <v>1876</v>
      </c>
      <c r="W17"/>
      <c r="X17"/>
      <c r="Y17"/>
      <c r="Z17"/>
      <c r="AA17" s="189"/>
    </row>
    <row r="18" spans="1:27">
      <c r="A18" s="140" t="s">
        <v>1883</v>
      </c>
      <c r="B18" s="188">
        <v>3.47</v>
      </c>
      <c r="C18">
        <v>4</v>
      </c>
      <c r="D18">
        <v>5</v>
      </c>
      <c r="E18">
        <v>3</v>
      </c>
      <c r="F18">
        <v>3</v>
      </c>
      <c r="G18">
        <v>1</v>
      </c>
      <c r="H18">
        <v>5</v>
      </c>
      <c r="I18">
        <v>3</v>
      </c>
      <c r="J18">
        <v>4</v>
      </c>
      <c r="K18">
        <v>4</v>
      </c>
      <c r="L18">
        <v>4</v>
      </c>
      <c r="M18">
        <v>3</v>
      </c>
      <c r="N18">
        <v>4</v>
      </c>
      <c r="O18">
        <v>4</v>
      </c>
      <c r="P18">
        <v>3</v>
      </c>
      <c r="Q18">
        <v>3</v>
      </c>
      <c r="R18">
        <v>3</v>
      </c>
      <c r="S18">
        <v>3</v>
      </c>
      <c r="T18">
        <v>3</v>
      </c>
      <c r="U18">
        <v>4</v>
      </c>
      <c r="V18" t="s">
        <v>1875</v>
      </c>
      <c r="W18"/>
      <c r="X18"/>
      <c r="Y18"/>
      <c r="Z18"/>
      <c r="AA18" s="189"/>
    </row>
    <row r="19" spans="1:27">
      <c r="A19" s="140" t="s">
        <v>943</v>
      </c>
      <c r="B19" s="188">
        <v>6.58</v>
      </c>
      <c r="C19">
        <v>7</v>
      </c>
      <c r="D19">
        <v>6</v>
      </c>
      <c r="E19">
        <v>7</v>
      </c>
      <c r="F19">
        <v>8</v>
      </c>
      <c r="G19">
        <v>6</v>
      </c>
      <c r="H19">
        <v>6</v>
      </c>
      <c r="I19">
        <v>7</v>
      </c>
      <c r="J19">
        <v>8</v>
      </c>
      <c r="K19">
        <v>7</v>
      </c>
      <c r="L19">
        <v>6</v>
      </c>
      <c r="M19">
        <v>6</v>
      </c>
      <c r="N19">
        <v>7</v>
      </c>
      <c r="O19">
        <v>7</v>
      </c>
      <c r="P19">
        <v>6</v>
      </c>
      <c r="Q19">
        <v>6</v>
      </c>
      <c r="R19">
        <v>6</v>
      </c>
      <c r="S19">
        <v>6</v>
      </c>
      <c r="T19">
        <v>7</v>
      </c>
      <c r="U19">
        <v>6</v>
      </c>
      <c r="V19" t="s">
        <v>1884</v>
      </c>
      <c r="W19"/>
      <c r="X19"/>
      <c r="Y19"/>
      <c r="Z19"/>
      <c r="AA19" s="189"/>
    </row>
    <row r="20" spans="1:27">
      <c r="A20" s="140" t="s">
        <v>944</v>
      </c>
      <c r="B20" s="188">
        <v>5.79</v>
      </c>
      <c r="C20">
        <v>6</v>
      </c>
      <c r="D20">
        <v>5</v>
      </c>
      <c r="E20">
        <v>6</v>
      </c>
      <c r="F20">
        <v>6</v>
      </c>
      <c r="G20">
        <v>5</v>
      </c>
      <c r="H20">
        <v>6</v>
      </c>
      <c r="I20">
        <v>6</v>
      </c>
      <c r="J20">
        <v>6</v>
      </c>
      <c r="K20">
        <v>6</v>
      </c>
      <c r="L20">
        <v>6</v>
      </c>
      <c r="M20">
        <v>6</v>
      </c>
      <c r="N20">
        <v>6</v>
      </c>
      <c r="O20">
        <v>6</v>
      </c>
      <c r="P20">
        <v>6</v>
      </c>
      <c r="Q20">
        <v>6</v>
      </c>
      <c r="R20">
        <v>5</v>
      </c>
      <c r="S20">
        <v>6</v>
      </c>
      <c r="T20">
        <v>5</v>
      </c>
      <c r="U20">
        <v>6</v>
      </c>
      <c r="V20" t="s">
        <v>1876</v>
      </c>
      <c r="W20"/>
      <c r="X20"/>
      <c r="Y20"/>
      <c r="Z20"/>
      <c r="AA20" s="189"/>
    </row>
    <row r="21" spans="1:27">
      <c r="A21" s="174" t="s">
        <v>1885</v>
      </c>
      <c r="B21" s="191">
        <v>4</v>
      </c>
      <c r="C21">
        <v>4</v>
      </c>
      <c r="D21">
        <v>4</v>
      </c>
      <c r="E21">
        <v>4</v>
      </c>
      <c r="F21">
        <v>4</v>
      </c>
      <c r="G21">
        <v>2</v>
      </c>
      <c r="H21">
        <v>4</v>
      </c>
      <c r="I21">
        <v>4</v>
      </c>
      <c r="J21">
        <v>6</v>
      </c>
      <c r="K21">
        <v>6</v>
      </c>
      <c r="L21">
        <v>5</v>
      </c>
      <c r="M21">
        <v>3</v>
      </c>
      <c r="N21">
        <v>4</v>
      </c>
      <c r="O21">
        <v>5</v>
      </c>
      <c r="P21">
        <v>4</v>
      </c>
      <c r="Q21">
        <v>4</v>
      </c>
      <c r="R21">
        <v>2</v>
      </c>
      <c r="S21">
        <v>3</v>
      </c>
      <c r="T21">
        <v>4</v>
      </c>
      <c r="U21">
        <v>4</v>
      </c>
      <c r="V21" t="s">
        <v>1872</v>
      </c>
      <c r="W21"/>
      <c r="X21"/>
      <c r="Y21"/>
      <c r="Z21"/>
      <c r="AA21" s="189"/>
    </row>
    <row r="25" spans="1:27" ht="13.5" customHeight="1"/>
  </sheetData>
  <sheetProtection formatColumns="0" formatRows="0"/>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4">
    <tabColor rgb="FF333333"/>
  </sheetPr>
  <dimension ref="A1:AX720"/>
  <sheetViews>
    <sheetView zoomScale="90" zoomScaleNormal="90" workbookViewId="0">
      <pane ySplit="19" topLeftCell="A20" activePane="bottomLeft" state="frozen"/>
      <selection pane="bottomLeft" activeCell="B20" sqref="B20"/>
    </sheetView>
  </sheetViews>
  <sheetFormatPr defaultRowHeight="12.75"/>
  <cols>
    <col min="1" max="1" width="4" bestFit="1" customWidth="1"/>
    <col min="2" max="2" width="19" customWidth="1"/>
    <col min="3" max="3" width="8.7109375" customWidth="1"/>
    <col min="4" max="4" width="10.5703125" customWidth="1"/>
    <col min="5" max="5" width="15" customWidth="1"/>
    <col min="6" max="6" width="10" customWidth="1"/>
    <col min="7" max="7" width="14.5703125" customWidth="1"/>
    <col min="8" max="8" width="12.28515625" customWidth="1"/>
    <col min="9" max="9" width="11.140625" hidden="1" customWidth="1"/>
    <col min="10" max="10" width="10.5703125" hidden="1" customWidth="1"/>
    <col min="11" max="11" width="20.85546875" hidden="1" customWidth="1"/>
    <col min="12" max="14" width="9.140625" hidden="1" customWidth="1"/>
    <col min="15" max="15" width="9.7109375" hidden="1" customWidth="1"/>
    <col min="16" max="16" width="11.7109375" hidden="1" customWidth="1"/>
    <col min="17" max="17" width="13.28515625" hidden="1" customWidth="1"/>
    <col min="18" max="18" width="3.140625" hidden="1" customWidth="1"/>
    <col min="19" max="20" width="9.140625" hidden="1" customWidth="1"/>
    <col min="21" max="21" width="12.5703125" bestFit="1" customWidth="1"/>
    <col min="22" max="22" width="1.140625" customWidth="1"/>
    <col min="23" max="25" width="9.140625" hidden="1" customWidth="1"/>
    <col min="26" max="26" width="14.85546875" customWidth="1"/>
    <col min="27" max="27" width="13.28515625" customWidth="1"/>
    <col min="28" max="28" width="12.42578125" customWidth="1"/>
    <col min="29" max="29" width="12.7109375" customWidth="1"/>
    <col min="30" max="30" width="12.85546875" customWidth="1"/>
    <col min="31" max="31" width="12.28515625" customWidth="1"/>
    <col min="32" max="32" width="12.140625" customWidth="1"/>
    <col min="33" max="34" width="10.28515625" hidden="1" customWidth="1"/>
    <col min="35" max="35" width="10.42578125" hidden="1" customWidth="1"/>
    <col min="36" max="36" width="9.85546875" hidden="1" customWidth="1"/>
    <col min="37" max="37" width="12.7109375" style="79" customWidth="1"/>
    <col min="38" max="38" width="7.85546875" hidden="1" customWidth="1"/>
    <col min="39" max="50" width="13.7109375" hidden="1" customWidth="1"/>
  </cols>
  <sheetData>
    <row r="1" spans="2:48" ht="13.5" thickBot="1"/>
    <row r="2" spans="2:48" ht="17.25" customHeight="1" thickBot="1">
      <c r="B2" s="509" t="s">
        <v>1463</v>
      </c>
      <c r="C2" s="510"/>
      <c r="D2" s="509" t="s">
        <v>1919</v>
      </c>
      <c r="E2" s="510"/>
      <c r="F2" s="513"/>
      <c r="G2" s="509" t="s">
        <v>1462</v>
      </c>
      <c r="H2" s="513"/>
      <c r="I2" s="358"/>
      <c r="J2" s="358"/>
      <c r="K2" s="358"/>
      <c r="L2" s="358"/>
      <c r="M2" s="358"/>
      <c r="N2" s="358"/>
      <c r="O2" s="358"/>
      <c r="P2" s="358"/>
      <c r="Q2" s="358"/>
      <c r="R2" s="358"/>
      <c r="S2" s="358"/>
      <c r="T2" s="358"/>
      <c r="U2" s="429" t="s">
        <v>1953</v>
      </c>
      <c r="V2" s="358"/>
      <c r="W2" s="358"/>
      <c r="X2" s="358"/>
      <c r="Y2" s="358"/>
      <c r="Z2" s="358"/>
      <c r="AA2" s="358"/>
      <c r="AB2" s="359" t="s">
        <v>35</v>
      </c>
      <c r="AC2" s="360" t="s">
        <v>37</v>
      </c>
      <c r="AD2" s="360" t="s">
        <v>39</v>
      </c>
      <c r="AE2" s="361" t="s">
        <v>43</v>
      </c>
      <c r="AG2" s="303"/>
      <c r="AH2" s="303"/>
      <c r="AI2" s="303"/>
      <c r="AJ2" s="303"/>
      <c r="AK2" s="349"/>
      <c r="AL2" s="303"/>
      <c r="AM2" s="303"/>
      <c r="AN2" s="303"/>
      <c r="AO2" s="303"/>
      <c r="AP2" s="303"/>
      <c r="AQ2" s="303"/>
      <c r="AR2" s="303"/>
      <c r="AS2" s="303"/>
      <c r="AT2" s="303"/>
      <c r="AU2" s="303"/>
      <c r="AV2" s="303"/>
    </row>
    <row r="3" spans="2:48" ht="24" customHeight="1">
      <c r="B3" s="511" t="s">
        <v>1464</v>
      </c>
      <c r="C3" s="488">
        <v>8</v>
      </c>
      <c r="D3" s="514" t="s">
        <v>1916</v>
      </c>
      <c r="E3" s="515"/>
      <c r="F3" s="516"/>
      <c r="G3" s="511" t="s">
        <v>1464</v>
      </c>
      <c r="H3" s="488">
        <v>8</v>
      </c>
      <c r="U3" s="488">
        <v>350</v>
      </c>
      <c r="V3" s="427"/>
      <c r="W3" s="427"/>
      <c r="AA3" s="490" t="s">
        <v>2</v>
      </c>
      <c r="AB3" s="496">
        <v>3</v>
      </c>
      <c r="AC3" s="488">
        <v>8</v>
      </c>
      <c r="AD3" s="498">
        <v>8</v>
      </c>
      <c r="AE3" s="486">
        <v>6</v>
      </c>
      <c r="AG3" s="302"/>
      <c r="AH3" s="302"/>
      <c r="AI3" s="302"/>
      <c r="AJ3" s="302"/>
      <c r="AK3" s="350"/>
      <c r="AL3" s="302"/>
      <c r="AM3" s="302"/>
      <c r="AN3" s="302"/>
      <c r="AO3" s="302"/>
      <c r="AP3" s="302"/>
      <c r="AQ3" s="302"/>
      <c r="AR3" s="302"/>
      <c r="AS3" s="302"/>
      <c r="AT3" s="302"/>
      <c r="AU3" s="302"/>
      <c r="AV3" s="302"/>
    </row>
    <row r="4" spans="2:48" ht="22.5" customHeight="1" thickBot="1">
      <c r="B4" s="512"/>
      <c r="C4" s="489"/>
      <c r="D4" s="517"/>
      <c r="E4" s="518"/>
      <c r="F4" s="519"/>
      <c r="G4" s="512"/>
      <c r="H4" s="489"/>
      <c r="U4" s="489"/>
      <c r="V4" s="428"/>
      <c r="W4" s="428"/>
      <c r="AA4" s="491"/>
      <c r="AB4" s="497"/>
      <c r="AC4" s="489"/>
      <c r="AD4" s="499"/>
      <c r="AE4" s="487"/>
      <c r="AG4" s="302"/>
      <c r="AH4" s="302"/>
      <c r="AI4" s="302"/>
      <c r="AJ4" s="302"/>
      <c r="AK4" s="350"/>
      <c r="AL4" s="302"/>
      <c r="AM4" s="302"/>
      <c r="AN4" s="302"/>
      <c r="AO4" s="302"/>
      <c r="AP4" s="302"/>
      <c r="AQ4" s="302"/>
      <c r="AR4" s="302"/>
      <c r="AS4" s="302"/>
      <c r="AT4" s="302"/>
      <c r="AU4" s="302"/>
      <c r="AV4" s="302"/>
    </row>
    <row r="5" spans="2:48" ht="13.5" customHeight="1" thickBot="1">
      <c r="B5" s="135"/>
      <c r="S5" t="str">
        <f>B7</f>
        <v>Squadra1</v>
      </c>
      <c r="V5" s="428"/>
      <c r="W5" s="428"/>
    </row>
    <row r="6" spans="2:48" ht="15.75" thickBot="1">
      <c r="B6" s="69"/>
      <c r="C6" s="240" t="s">
        <v>35</v>
      </c>
      <c r="D6" s="241" t="s">
        <v>37</v>
      </c>
      <c r="E6" s="241" t="s">
        <v>39</v>
      </c>
      <c r="F6" s="242" t="s">
        <v>43</v>
      </c>
      <c r="G6" s="242" t="s">
        <v>1319</v>
      </c>
      <c r="H6" s="242" t="s">
        <v>644</v>
      </c>
      <c r="S6" t="str">
        <f>Z7</f>
        <v>Squadra2</v>
      </c>
      <c r="U6" s="430" t="s">
        <v>1954</v>
      </c>
      <c r="Z6" s="69"/>
      <c r="AA6" s="267" t="s">
        <v>35</v>
      </c>
      <c r="AB6" s="268" t="s">
        <v>37</v>
      </c>
      <c r="AC6" s="268" t="s">
        <v>39</v>
      </c>
      <c r="AD6" s="269" t="s">
        <v>43</v>
      </c>
      <c r="AE6" s="269" t="s">
        <v>1319</v>
      </c>
      <c r="AF6" s="269" t="s">
        <v>644</v>
      </c>
      <c r="AK6" s="430" t="s">
        <v>1954</v>
      </c>
    </row>
    <row r="7" spans="2:48" ht="15.75" customHeight="1" thickBot="1">
      <c r="B7" s="243" t="s">
        <v>1916</v>
      </c>
      <c r="C7" s="244">
        <f t="shared" ref="C7:F12" si="0">COUNTIFS($C$20:$C$716,"="&amp;C$6,$G$20:$G$716,"="&amp;$B7)</f>
        <v>0</v>
      </c>
      <c r="D7" s="245">
        <f t="shared" si="0"/>
        <v>0</v>
      </c>
      <c r="E7" s="246">
        <f t="shared" si="0"/>
        <v>0</v>
      </c>
      <c r="F7" s="247">
        <f t="shared" si="0"/>
        <v>0</v>
      </c>
      <c r="G7" s="248">
        <f ca="1">Rose!C56</f>
        <v>326</v>
      </c>
      <c r="H7" s="248">
        <f ca="1">Rose!C58</f>
        <v>350</v>
      </c>
      <c r="S7" t="str">
        <f>B8</f>
        <v>Squadra3</v>
      </c>
      <c r="U7" s="248"/>
      <c r="Z7" s="270" t="s">
        <v>2000</v>
      </c>
      <c r="AA7" s="244">
        <f t="shared" ref="AA7:AD12" si="1">COUNTIFS($C$20:$C$716,"="&amp;AA$6,$G$20:$G$716,"="&amp;$Z7)</f>
        <v>0</v>
      </c>
      <c r="AB7" s="272">
        <f t="shared" si="1"/>
        <v>0</v>
      </c>
      <c r="AC7" s="273">
        <f t="shared" si="1"/>
        <v>0</v>
      </c>
      <c r="AD7" s="274">
        <f t="shared" si="1"/>
        <v>0</v>
      </c>
      <c r="AE7" s="275">
        <f ca="1">Rose!F56</f>
        <v>326</v>
      </c>
      <c r="AF7" s="276">
        <f ca="1">Rose!F58</f>
        <v>350</v>
      </c>
      <c r="AK7" s="248"/>
    </row>
    <row r="8" spans="2:48" ht="15.75" customHeight="1" thickBot="1">
      <c r="B8" s="460" t="s">
        <v>2002</v>
      </c>
      <c r="C8" s="244">
        <f t="shared" si="0"/>
        <v>0</v>
      </c>
      <c r="D8" s="245">
        <f t="shared" si="0"/>
        <v>0</v>
      </c>
      <c r="E8" s="246">
        <f t="shared" si="0"/>
        <v>0</v>
      </c>
      <c r="F8" s="247">
        <f t="shared" si="0"/>
        <v>0</v>
      </c>
      <c r="G8" s="248">
        <f ca="1">Rose!I56</f>
        <v>326</v>
      </c>
      <c r="H8" s="248">
        <f ca="1">Rose!I58</f>
        <v>350</v>
      </c>
      <c r="S8" t="str">
        <f>Z8</f>
        <v>Squadra4</v>
      </c>
      <c r="U8" s="248"/>
      <c r="Z8" s="277" t="s">
        <v>2005</v>
      </c>
      <c r="AA8" s="271">
        <f t="shared" si="1"/>
        <v>0</v>
      </c>
      <c r="AB8" s="272">
        <f t="shared" si="1"/>
        <v>0</v>
      </c>
      <c r="AC8" s="273">
        <f t="shared" si="1"/>
        <v>0</v>
      </c>
      <c r="AD8" s="274">
        <f t="shared" si="1"/>
        <v>0</v>
      </c>
      <c r="AE8" s="248">
        <f ca="1">Rose!L56</f>
        <v>326</v>
      </c>
      <c r="AF8" s="278">
        <f ca="1">Rose!L58</f>
        <v>350</v>
      </c>
      <c r="AK8" s="248"/>
    </row>
    <row r="9" spans="2:48" ht="15.75" customHeight="1" thickBot="1">
      <c r="B9" s="243" t="s">
        <v>2001</v>
      </c>
      <c r="C9" s="244">
        <f t="shared" si="0"/>
        <v>0</v>
      </c>
      <c r="D9" s="245">
        <f t="shared" si="0"/>
        <v>0</v>
      </c>
      <c r="E9" s="246">
        <f t="shared" si="0"/>
        <v>0</v>
      </c>
      <c r="F9" s="247">
        <f t="shared" si="0"/>
        <v>0</v>
      </c>
      <c r="G9" s="248">
        <f ca="1">Rose!O56</f>
        <v>326</v>
      </c>
      <c r="H9" s="248">
        <f ca="1">Rose!O58</f>
        <v>350</v>
      </c>
      <c r="S9" t="str">
        <f>B9</f>
        <v>Squadra5</v>
      </c>
      <c r="U9" s="248"/>
      <c r="Z9" s="279" t="s">
        <v>2006</v>
      </c>
      <c r="AA9" s="271">
        <f t="shared" si="1"/>
        <v>0</v>
      </c>
      <c r="AB9" s="272">
        <f t="shared" si="1"/>
        <v>0</v>
      </c>
      <c r="AC9" s="273">
        <f t="shared" si="1"/>
        <v>0</v>
      </c>
      <c r="AD9" s="274">
        <f t="shared" si="1"/>
        <v>0</v>
      </c>
      <c r="AE9" s="248">
        <f ca="1">Rose!R56</f>
        <v>326</v>
      </c>
      <c r="AF9" s="278">
        <f ca="1">Rose!R58</f>
        <v>350</v>
      </c>
      <c r="AK9" s="248"/>
    </row>
    <row r="10" spans="2:48" ht="15.75" customHeight="1" thickBot="1">
      <c r="B10" s="249" t="s">
        <v>2003</v>
      </c>
      <c r="C10" s="244">
        <f t="shared" si="0"/>
        <v>0</v>
      </c>
      <c r="D10" s="245">
        <f t="shared" si="0"/>
        <v>0</v>
      </c>
      <c r="E10" s="246">
        <f t="shared" si="0"/>
        <v>0</v>
      </c>
      <c r="F10" s="247">
        <f t="shared" si="0"/>
        <v>0</v>
      </c>
      <c r="G10" s="248">
        <f ca="1">Rose!U56</f>
        <v>326</v>
      </c>
      <c r="H10" s="248">
        <f ca="1">Rose!U58</f>
        <v>350</v>
      </c>
      <c r="S10" t="str">
        <f>Z9</f>
        <v>Squadra6</v>
      </c>
      <c r="U10" s="248"/>
      <c r="Z10" s="277" t="s">
        <v>2007</v>
      </c>
      <c r="AA10" s="271">
        <f t="shared" si="1"/>
        <v>0</v>
      </c>
      <c r="AB10" s="272">
        <f t="shared" si="1"/>
        <v>0</v>
      </c>
      <c r="AC10" s="273">
        <f t="shared" si="1"/>
        <v>0</v>
      </c>
      <c r="AD10" s="274">
        <f t="shared" si="1"/>
        <v>0</v>
      </c>
      <c r="AE10" s="248">
        <f ca="1">Rose!X56</f>
        <v>326</v>
      </c>
      <c r="AF10" s="278">
        <f ca="1">Rose!X58</f>
        <v>350</v>
      </c>
      <c r="AK10" s="248"/>
    </row>
    <row r="11" spans="2:48" ht="15.75" customHeight="1" thickBot="1">
      <c r="B11" s="284" t="s">
        <v>1917</v>
      </c>
      <c r="C11" s="244">
        <f t="shared" si="0"/>
        <v>0</v>
      </c>
      <c r="D11" s="245">
        <f t="shared" si="0"/>
        <v>0</v>
      </c>
      <c r="E11" s="246">
        <f t="shared" si="0"/>
        <v>0</v>
      </c>
      <c r="F11" s="247">
        <f t="shared" si="0"/>
        <v>0</v>
      </c>
      <c r="G11" s="248">
        <f ca="1">Rose!AA56</f>
        <v>326</v>
      </c>
      <c r="H11" s="248">
        <f ca="1">Rose!AA58</f>
        <v>350</v>
      </c>
      <c r="S11" t="str">
        <f>B10</f>
        <v>Squadra7</v>
      </c>
      <c r="U11" s="248"/>
      <c r="Z11" s="279" t="s">
        <v>1918</v>
      </c>
      <c r="AA11" s="271">
        <f t="shared" si="1"/>
        <v>0</v>
      </c>
      <c r="AB11" s="272">
        <f t="shared" si="1"/>
        <v>0</v>
      </c>
      <c r="AC11" s="273">
        <f t="shared" si="1"/>
        <v>0</v>
      </c>
      <c r="AD11" s="274">
        <f t="shared" si="1"/>
        <v>0</v>
      </c>
      <c r="AE11" s="248">
        <f ca="1">Rose!AD56</f>
        <v>326</v>
      </c>
      <c r="AF11" s="278">
        <f ca="1">Rose!AD58</f>
        <v>350</v>
      </c>
      <c r="AK11" s="248"/>
    </row>
    <row r="12" spans="2:48" ht="15.75" customHeight="1" thickBot="1">
      <c r="B12" s="285" t="s">
        <v>2004</v>
      </c>
      <c r="C12" s="283">
        <f t="shared" si="0"/>
        <v>0</v>
      </c>
      <c r="D12" s="245">
        <f t="shared" si="0"/>
        <v>0</v>
      </c>
      <c r="E12" s="246">
        <f t="shared" si="0"/>
        <v>0</v>
      </c>
      <c r="F12" s="247">
        <f t="shared" si="0"/>
        <v>0</v>
      </c>
      <c r="G12" s="248">
        <f ca="1">Rose!AG56</f>
        <v>326</v>
      </c>
      <c r="H12" s="248">
        <f ca="1">Rose!AG58</f>
        <v>350</v>
      </c>
      <c r="S12" t="str">
        <f>Z10</f>
        <v>Squadra8</v>
      </c>
      <c r="U12" s="248"/>
      <c r="Z12" s="280" t="s">
        <v>2008</v>
      </c>
      <c r="AA12" s="271">
        <f t="shared" si="1"/>
        <v>0</v>
      </c>
      <c r="AB12" s="272">
        <f t="shared" si="1"/>
        <v>0</v>
      </c>
      <c r="AC12" s="273">
        <f t="shared" si="1"/>
        <v>0</v>
      </c>
      <c r="AD12" s="274">
        <f t="shared" si="1"/>
        <v>0</v>
      </c>
      <c r="AE12" s="281">
        <f ca="1">Rose!AJ56</f>
        <v>326</v>
      </c>
      <c r="AF12" s="282">
        <f ca="1">Rose!AJ58</f>
        <v>350</v>
      </c>
      <c r="AK12" s="248"/>
    </row>
    <row r="13" spans="2:48" ht="13.5" thickBot="1">
      <c r="S13" t="str">
        <f>B11</f>
        <v>Squadra9</v>
      </c>
    </row>
    <row r="14" spans="2:48" ht="18.75" thickBot="1">
      <c r="B14" s="522" t="s">
        <v>920</v>
      </c>
      <c r="C14" s="523"/>
      <c r="D14" s="367" t="s">
        <v>638</v>
      </c>
      <c r="E14" s="523" t="s">
        <v>637</v>
      </c>
      <c r="F14" s="524"/>
      <c r="G14" s="506" t="s">
        <v>1471</v>
      </c>
      <c r="H14" s="507"/>
      <c r="I14" s="507"/>
      <c r="J14" s="507"/>
      <c r="K14" s="507"/>
      <c r="L14" s="507"/>
      <c r="M14" s="507"/>
      <c r="N14" s="507"/>
      <c r="O14" s="507"/>
      <c r="P14" s="507"/>
      <c r="Q14" s="507"/>
      <c r="R14" s="507"/>
      <c r="S14" s="507"/>
      <c r="T14" s="507"/>
      <c r="U14" s="508"/>
      <c r="Z14" s="431" t="s">
        <v>672</v>
      </c>
      <c r="AA14" s="369" t="s">
        <v>1473</v>
      </c>
      <c r="AB14" s="368" t="s">
        <v>673</v>
      </c>
      <c r="AC14" s="481" t="s">
        <v>1475</v>
      </c>
      <c r="AD14" s="482"/>
      <c r="AE14" s="481" t="s">
        <v>1472</v>
      </c>
      <c r="AF14" s="482"/>
      <c r="AG14" s="455"/>
      <c r="AH14" s="455"/>
      <c r="AI14" s="455"/>
      <c r="AJ14" s="450"/>
    </row>
    <row r="15" spans="2:48" ht="23.25">
      <c r="B15" s="502" t="s">
        <v>1999</v>
      </c>
      <c r="C15" s="503"/>
      <c r="D15" s="503" t="str">
        <f>IF(B15&lt;&gt;"",VLOOKUP(B15,$K:$M,2,FALSE),"")</f>
        <v>A</v>
      </c>
      <c r="E15" s="503" t="str">
        <f>IF(B15&lt;&gt;"",VLOOKUP(B15,$K:$M,3,FALSE),"")</f>
        <v>Juventus</v>
      </c>
      <c r="F15" s="520"/>
      <c r="G15" s="492">
        <f ca="1">VLOOKUP($B$15,'I.A. + Fasce'!$B:$K,9,FALSE)</f>
        <v>165.00679</v>
      </c>
      <c r="H15" s="494">
        <f ca="1">VLOOKUP($B$15,'I.A. + Fasce'!$B:$K,10,FALSE)</f>
        <v>165.00679</v>
      </c>
      <c r="I15" s="457"/>
      <c r="J15" s="457"/>
      <c r="K15" s="457"/>
      <c r="L15" s="457"/>
      <c r="M15" s="457"/>
      <c r="N15" s="457"/>
      <c r="O15" s="457"/>
      <c r="P15" s="457"/>
      <c r="Q15" s="457"/>
      <c r="R15" s="457"/>
      <c r="S15" s="458" t="str">
        <f>B12</f>
        <v>Squadra11</v>
      </c>
      <c r="T15" s="457"/>
      <c r="U15" s="500">
        <f ca="1">VLOOKUP($B$15,'I.A. + Fasce'!$B:$L,11,FALSE)</f>
        <v>115.88500000000001</v>
      </c>
      <c r="Z15" s="525">
        <f ca="1">VLOOKUP($B$15,'I.A. + Fasce'!$B:$K,7,FALSE)/100</f>
        <v>0.9</v>
      </c>
      <c r="AA15" s="492">
        <f ca="1">VLOOKUP($B$15,'I.A. + Fasce'!$B:$K,5,FALSE)</f>
        <v>99.319691384200851</v>
      </c>
      <c r="AB15" s="494" t="str">
        <f ca="1">VLOOKUP($B$15,'I.A. + Fasce'!$B:$K,8,FALSE)</f>
        <v/>
      </c>
      <c r="AC15" s="477">
        <f ca="1">VLOOKUP($B$15,'I.A. + Fasce'!$B:$AB,27,FALSE)</f>
        <v>1</v>
      </c>
      <c r="AD15" s="478"/>
      <c r="AE15" s="477" t="str">
        <f ca="1">VLOOKUP($B$15,'I.A. + Fasce'!$B:$K,6,FALSE)</f>
        <v>CONSIGLIATO</v>
      </c>
      <c r="AF15" s="478"/>
      <c r="AG15" s="451"/>
      <c r="AH15" s="451"/>
      <c r="AI15" s="451"/>
      <c r="AJ15" s="452"/>
    </row>
    <row r="16" spans="2:48" ht="13.5" customHeight="1" thickBot="1">
      <c r="B16" s="504"/>
      <c r="C16" s="505"/>
      <c r="D16" s="505"/>
      <c r="E16" s="505"/>
      <c r="F16" s="521"/>
      <c r="G16" s="493"/>
      <c r="H16" s="495"/>
      <c r="I16" s="459"/>
      <c r="J16" s="459"/>
      <c r="K16" s="459"/>
      <c r="L16" s="459"/>
      <c r="M16" s="459"/>
      <c r="N16" s="459"/>
      <c r="O16" s="459"/>
      <c r="P16" s="459"/>
      <c r="Q16" s="459"/>
      <c r="R16" s="459"/>
      <c r="S16" s="459" t="str">
        <f>Z12</f>
        <v>Squadra12</v>
      </c>
      <c r="T16" s="459"/>
      <c r="U16" s="501"/>
      <c r="Z16" s="526"/>
      <c r="AA16" s="493"/>
      <c r="AB16" s="495"/>
      <c r="AC16" s="479"/>
      <c r="AD16" s="480"/>
      <c r="AE16" s="479"/>
      <c r="AF16" s="480"/>
      <c r="AG16" s="453"/>
      <c r="AH16" s="453"/>
      <c r="AI16" s="453"/>
      <c r="AJ16" s="454"/>
    </row>
    <row r="17" spans="1:50" ht="13.5" thickBot="1"/>
    <row r="18" spans="1:50" ht="24" thickBot="1">
      <c r="B18" s="483" t="s">
        <v>1318</v>
      </c>
      <c r="C18" s="484"/>
      <c r="D18" s="484"/>
      <c r="E18" s="484"/>
      <c r="F18" s="484"/>
      <c r="G18" s="484"/>
      <c r="H18" s="485"/>
      <c r="I18" s="302"/>
      <c r="J18" s="302"/>
      <c r="K18" s="302"/>
      <c r="L18" s="302"/>
      <c r="M18" s="302"/>
      <c r="N18" s="302"/>
      <c r="O18" s="302"/>
      <c r="P18" s="302"/>
      <c r="Q18" s="302"/>
      <c r="R18" s="302"/>
      <c r="T18" s="302"/>
      <c r="U18" s="302"/>
      <c r="V18" s="302"/>
      <c r="W18" s="302"/>
      <c r="X18" s="302"/>
      <c r="Y18" s="302"/>
      <c r="Z18" s="483" t="s">
        <v>5</v>
      </c>
      <c r="AA18" s="484"/>
      <c r="AB18" s="484"/>
      <c r="AC18" s="484"/>
      <c r="AD18" s="484"/>
      <c r="AE18" s="484"/>
      <c r="AF18" s="485"/>
    </row>
    <row r="19" spans="1:50" ht="31.5" customHeight="1" thickBot="1">
      <c r="B19" s="261" t="s">
        <v>668</v>
      </c>
      <c r="C19" s="262" t="s">
        <v>638</v>
      </c>
      <c r="D19" s="263" t="s">
        <v>637</v>
      </c>
      <c r="E19" s="264" t="s">
        <v>1322</v>
      </c>
      <c r="F19" s="260" t="s">
        <v>1323</v>
      </c>
      <c r="G19" s="260" t="s">
        <v>1324</v>
      </c>
      <c r="H19" s="265" t="s">
        <v>641</v>
      </c>
      <c r="I19" s="253"/>
      <c r="Q19" s="69"/>
      <c r="R19" s="69"/>
      <c r="T19" s="69"/>
      <c r="U19" s="69"/>
      <c r="V19" s="69"/>
      <c r="W19" s="69"/>
      <c r="X19" s="69"/>
      <c r="Z19" s="306" t="s">
        <v>1327</v>
      </c>
      <c r="AA19" s="307" t="s">
        <v>920</v>
      </c>
      <c r="AB19" s="308" t="s">
        <v>638</v>
      </c>
      <c r="AC19" s="308" t="s">
        <v>637</v>
      </c>
      <c r="AD19" s="307" t="s">
        <v>1320</v>
      </c>
      <c r="AE19" s="308" t="s">
        <v>1328</v>
      </c>
      <c r="AF19" s="309" t="s">
        <v>641</v>
      </c>
      <c r="AG19" s="255" t="s">
        <v>1325</v>
      </c>
      <c r="AH19" s="255" t="s">
        <v>1326</v>
      </c>
      <c r="AM19" s="355" t="str">
        <f>B7</f>
        <v>Squadra1</v>
      </c>
      <c r="AN19" s="356" t="str">
        <f>Z7</f>
        <v>Squadra2</v>
      </c>
      <c r="AO19" s="356" t="str">
        <f>B8</f>
        <v>Squadra3</v>
      </c>
      <c r="AP19" s="356" t="str">
        <f>Z8</f>
        <v>Squadra4</v>
      </c>
      <c r="AQ19" s="356" t="str">
        <f>B9</f>
        <v>Squadra5</v>
      </c>
      <c r="AR19" s="356" t="str">
        <f>Z9</f>
        <v>Squadra6</v>
      </c>
      <c r="AS19" s="356" t="str">
        <f>B10</f>
        <v>Squadra7</v>
      </c>
      <c r="AT19" s="356" t="str">
        <f>Z10</f>
        <v>Squadra8</v>
      </c>
      <c r="AU19" s="356" t="str">
        <f>B11</f>
        <v>Squadra9</v>
      </c>
      <c r="AV19" s="356" t="str">
        <f>Z11</f>
        <v>Squadra10</v>
      </c>
      <c r="AW19" s="356" t="str">
        <f>B12</f>
        <v>Squadra11</v>
      </c>
      <c r="AX19" s="357" t="str">
        <f>Z12</f>
        <v>Squadra12</v>
      </c>
    </row>
    <row r="20" spans="1:50" ht="13.5" thickBot="1">
      <c r="A20" s="74">
        <v>1</v>
      </c>
      <c r="B20" s="251"/>
      <c r="C20" s="299" t="str">
        <f t="shared" ref="C20:C51" si="2">IF(B20&lt;&gt;"",VLOOKUP(B20,$K:$M,2,FALSE),"")</f>
        <v/>
      </c>
      <c r="D20" s="300" t="str">
        <f t="shared" ref="D20:D51" si="3">IF(B20&lt;&gt;"",VLOOKUP(B20,$K:$M,3,FALSE),"")</f>
        <v/>
      </c>
      <c r="E20" s="286"/>
      <c r="F20" s="299" t="str">
        <f t="shared" ref="F20:F83" si="4">IF(B20="","",IF(ISNA(VLOOKUP(B20,$AA$20:$AE$807,5,FALSE)),"",VLOOKUP(B20,$AA$20:$AE$807,5,FALSE)))</f>
        <v/>
      </c>
      <c r="G20" s="300" t="str">
        <f>IF(B20="","",IF(F20="",IF(E20="","",E20),F20))</f>
        <v/>
      </c>
      <c r="H20" s="289"/>
      <c r="I20" s="254" t="str">
        <f ca="1">G20&amp;C20&amp;COUNTIFS(INDIRECT("$C$19:$C$" &amp; ROW()-1),"="&amp;C20,INDIRECT("$G$19:$G$" &amp; ROW()-1),"="&amp;G20)+1</f>
        <v>1</v>
      </c>
      <c r="J20" s="254" t="str">
        <f ca="1">G20&amp;COUNTIFS(INDIRECT("$G$19:$G$" &amp; ROW()-1),"="&amp;G20)+1</f>
        <v>1</v>
      </c>
      <c r="K20" s="230" t="str">
        <f>IF(Giocatori!B9=0,"",Giocatori!B9)</f>
        <v>ABATE</v>
      </c>
      <c r="L20" s="230" t="str">
        <f>IF(Giocatori!A9=0,"",Giocatori!A9)</f>
        <v>D</v>
      </c>
      <c r="M20" s="230" t="str">
        <f>IF(Giocatori!C9=0,"",Giocatori!C9)</f>
        <v>Milan</v>
      </c>
      <c r="N20" s="69" t="str">
        <f t="shared" ref="N20:N83" si="5">IF(B20=0,"",B20)</f>
        <v/>
      </c>
      <c r="O20" t="str">
        <f t="shared" ref="O20:O83" si="6">IF(ISNA(VLOOKUP(K20,$N$20:$N$720,1,FALSE)),K20,"")</f>
        <v>ABATE</v>
      </c>
      <c r="P20" s="7">
        <f ca="1">ROW()-COUNTBLANK(INDIRECT("$O$20:O"&amp;ROW()))</f>
        <v>20</v>
      </c>
      <c r="Q20" s="7" t="str">
        <f t="shared" ref="Q20:Q83" ca="1" si="7">IF(ISERROR(INDEX($O$6:$O$720,MATCH(ROW(),$P$6:$P$720,FALSE))),"",INDEX($O$6:$O$720,MATCH(ROW(),$P$6:$P$720,FALSE)))</f>
        <v>ABATE</v>
      </c>
      <c r="Y20" t="s">
        <v>1446</v>
      </c>
      <c r="Z20" s="304"/>
      <c r="AA20" s="305"/>
      <c r="AB20" s="299" t="str">
        <f t="shared" ref="AB20:AB83" si="8">IF(AA20&lt;&gt;"",VLOOKUP(AA20,$K:$M,2,FALSE),"")</f>
        <v/>
      </c>
      <c r="AC20" s="300" t="str">
        <f t="shared" ref="AC20:AC83" si="9">IF(AA20&lt;&gt;"",VLOOKUP(AA20,$K:$M,3,FALSE),"")</f>
        <v/>
      </c>
      <c r="AD20" s="305"/>
      <c r="AE20" s="305"/>
      <c r="AF20" s="299"/>
      <c r="AG20" s="300" t="str">
        <f t="shared" ref="AG20:AG83" si="10">IF(AD20="","",IF(AD20=$Y$20,-AF20,IF(AD20=$Y$21,AF20)))</f>
        <v/>
      </c>
      <c r="AH20" t="str">
        <f t="shared" ref="AH20:AH83" si="11">IF(AG20="","",-AG20)</f>
        <v/>
      </c>
      <c r="AI20" s="254" t="str">
        <f ca="1">Z20&amp;COUNTIFS(INDIRECT("$Z$20:$Z$" &amp; ROW()-1),"="&amp;Z20)+1</f>
        <v>2</v>
      </c>
      <c r="AJ20" s="254" t="str">
        <f ca="1">AE20&amp;COUNTIFS(INDIRECT("$AE$20:$AE$" &amp; ROW()-1),"="&amp;AE20)+1</f>
        <v>2</v>
      </c>
      <c r="AK20" s="351"/>
      <c r="AL20">
        <v>1</v>
      </c>
      <c r="AM20" s="304" t="str">
        <f t="shared" ref="AM20:AX29" ca="1" si="12">IF(ISNA(MATCH(AM$19&amp;$AL20,$J:$J,0)),"",INDIRECT("Asta!B"&amp;MATCH(AM$19&amp;$AL20,$J:$J,0)))</f>
        <v/>
      </c>
      <c r="AN20" s="305" t="str">
        <f t="shared" ca="1" si="12"/>
        <v/>
      </c>
      <c r="AO20" s="305" t="str">
        <f t="shared" ca="1" si="12"/>
        <v/>
      </c>
      <c r="AP20" s="305" t="str">
        <f t="shared" ca="1" si="12"/>
        <v/>
      </c>
      <c r="AQ20" s="305" t="str">
        <f t="shared" ca="1" si="12"/>
        <v/>
      </c>
      <c r="AR20" s="305" t="str">
        <f t="shared" ca="1" si="12"/>
        <v/>
      </c>
      <c r="AS20" s="305" t="str">
        <f t="shared" ca="1" si="12"/>
        <v/>
      </c>
      <c r="AT20" s="305" t="str">
        <f t="shared" ca="1" si="12"/>
        <v/>
      </c>
      <c r="AU20" s="305" t="str">
        <f t="shared" ca="1" si="12"/>
        <v/>
      </c>
      <c r="AV20" s="305" t="str">
        <f t="shared" ca="1" si="12"/>
        <v/>
      </c>
      <c r="AW20" s="305" t="str">
        <f t="shared" ca="1" si="12"/>
        <v/>
      </c>
      <c r="AX20" s="354" t="str">
        <f t="shared" ca="1" si="12"/>
        <v/>
      </c>
    </row>
    <row r="21" spans="1:50" ht="13.5" customHeight="1" thickBot="1">
      <c r="A21" s="74">
        <v>2</v>
      </c>
      <c r="B21" s="252"/>
      <c r="C21" s="293" t="str">
        <f t="shared" si="2"/>
        <v/>
      </c>
      <c r="D21" s="301" t="str">
        <f t="shared" si="3"/>
        <v/>
      </c>
      <c r="E21" s="286"/>
      <c r="F21" s="293" t="str">
        <f t="shared" si="4"/>
        <v/>
      </c>
      <c r="G21" s="301" t="str">
        <f t="shared" ref="G21:G83" si="13">IF(B21="","",IF(F21="",IF(E21="","",E21),F21))</f>
        <v/>
      </c>
      <c r="H21" s="290"/>
      <c r="I21" s="254" t="str">
        <f t="shared" ref="I21:I84" ca="1" si="14">G21&amp;C21&amp;COUNTIFS(INDIRECT("$C$19:$C$" &amp; ROW()-1),"="&amp;C21,INDIRECT("$G$19:$G$" &amp; ROW()-1),"="&amp;G21)+1</f>
        <v>1</v>
      </c>
      <c r="J21" s="254" t="str">
        <f t="shared" ref="J21:J84" ca="1" si="15">G21&amp;COUNTIFS(INDIRECT("$G$19:$G$" &amp; ROW()-1),"="&amp;G21)+1</f>
        <v>1</v>
      </c>
      <c r="K21" s="230" t="str">
        <f>IF(Giocatori!B10=0,"",Giocatori!B10)</f>
        <v>ACERBI</v>
      </c>
      <c r="L21" s="230" t="str">
        <f>IF(Giocatori!A10=0,"",Giocatori!A10)</f>
        <v>D</v>
      </c>
      <c r="M21" s="230" t="str">
        <f>IF(Giocatori!C10=0,"",Giocatori!C10)</f>
        <v>Sassuolo</v>
      </c>
      <c r="N21" s="69" t="str">
        <f t="shared" si="5"/>
        <v/>
      </c>
      <c r="O21" t="str">
        <f t="shared" si="6"/>
        <v>ACERBI</v>
      </c>
      <c r="P21" s="7">
        <f t="shared" ref="P21:P84" ca="1" si="16">ROW()-COUNTBLANK(INDIRECT("$O$20:O"&amp;ROW()))</f>
        <v>21</v>
      </c>
      <c r="Q21" s="7" t="str">
        <f t="shared" ca="1" si="7"/>
        <v>ACERBI</v>
      </c>
      <c r="Y21" t="s">
        <v>1447</v>
      </c>
      <c r="Z21" s="256"/>
      <c r="AA21" s="219"/>
      <c r="AB21" s="293" t="str">
        <f t="shared" si="8"/>
        <v/>
      </c>
      <c r="AC21" s="301" t="str">
        <f t="shared" si="9"/>
        <v/>
      </c>
      <c r="AD21" s="292"/>
      <c r="AE21" s="219"/>
      <c r="AF21" s="293" t="str">
        <f>IF(AA21="","",VLOOKUP(AA21,Asta!$B:$H,7,FALSE))</f>
        <v/>
      </c>
      <c r="AG21" s="301" t="str">
        <f t="shared" si="10"/>
        <v/>
      </c>
      <c r="AH21" t="str">
        <f t="shared" si="11"/>
        <v/>
      </c>
      <c r="AI21" s="254" t="str">
        <f t="shared" ref="AI21:AI84" ca="1" si="17">Z21&amp;COUNTIFS(INDIRECT("$Z$20:$Z$" &amp; ROW()-1),"="&amp;Z21)+1</f>
        <v>2</v>
      </c>
      <c r="AJ21" s="254" t="str">
        <f t="shared" ref="AJ21:AJ84" ca="1" si="18">AE21&amp;COUNTIFS(INDIRECT("$AE$20:$AE$" &amp; ROW()-1),"="&amp;AE21)+1</f>
        <v>2</v>
      </c>
      <c r="AK21" s="351"/>
      <c r="AL21">
        <v>2</v>
      </c>
      <c r="AM21" s="256" t="str">
        <f t="shared" ca="1" si="12"/>
        <v/>
      </c>
      <c r="AN21" s="219" t="str">
        <f t="shared" ca="1" si="12"/>
        <v/>
      </c>
      <c r="AO21" s="219" t="str">
        <f t="shared" ca="1" si="12"/>
        <v/>
      </c>
      <c r="AP21" s="219" t="str">
        <f t="shared" ca="1" si="12"/>
        <v/>
      </c>
      <c r="AQ21" s="219" t="str">
        <f t="shared" ca="1" si="12"/>
        <v/>
      </c>
      <c r="AR21" s="219" t="str">
        <f t="shared" ca="1" si="12"/>
        <v/>
      </c>
      <c r="AS21" s="219" t="str">
        <f t="shared" ca="1" si="12"/>
        <v/>
      </c>
      <c r="AT21" s="219" t="str">
        <f t="shared" ca="1" si="12"/>
        <v/>
      </c>
      <c r="AU21" s="219" t="str">
        <f t="shared" ca="1" si="12"/>
        <v/>
      </c>
      <c r="AV21" s="219" t="str">
        <f t="shared" ca="1" si="12"/>
        <v/>
      </c>
      <c r="AW21" s="219" t="str">
        <f t="shared" ca="1" si="12"/>
        <v/>
      </c>
      <c r="AX21" s="352" t="str">
        <f t="shared" ca="1" si="12"/>
        <v/>
      </c>
    </row>
    <row r="22" spans="1:50">
      <c r="A22" s="74">
        <v>3</v>
      </c>
      <c r="B22" s="252"/>
      <c r="C22" s="293" t="str">
        <f t="shared" si="2"/>
        <v/>
      </c>
      <c r="D22" s="294" t="str">
        <f t="shared" si="3"/>
        <v/>
      </c>
      <c r="E22" s="286"/>
      <c r="F22" s="293" t="str">
        <f t="shared" si="4"/>
        <v/>
      </c>
      <c r="G22" s="294" t="str">
        <f t="shared" si="13"/>
        <v/>
      </c>
      <c r="H22" s="290"/>
      <c r="I22" s="254" t="str">
        <f t="shared" ca="1" si="14"/>
        <v>1</v>
      </c>
      <c r="J22" s="254" t="str">
        <f t="shared" ca="1" si="15"/>
        <v>1</v>
      </c>
      <c r="K22" s="230" t="str">
        <f>IF(Giocatori!B11=0,"",Giocatori!B11)</f>
        <v>ACQUAH</v>
      </c>
      <c r="L22" s="230" t="str">
        <f>IF(Giocatori!A11=0,"",Giocatori!A11)</f>
        <v>C</v>
      </c>
      <c r="M22" s="230" t="str">
        <f>IF(Giocatori!C11=0,"",Giocatori!C11)</f>
        <v>Torino</v>
      </c>
      <c r="N22" s="69" t="str">
        <f t="shared" si="5"/>
        <v/>
      </c>
      <c r="O22" t="str">
        <f t="shared" si="6"/>
        <v>ACQUAH</v>
      </c>
      <c r="P22" s="7">
        <f t="shared" ca="1" si="16"/>
        <v>22</v>
      </c>
      <c r="Q22" s="7" t="str">
        <f t="shared" ca="1" si="7"/>
        <v>ACQUAH</v>
      </c>
      <c r="Z22" s="256"/>
      <c r="AA22" s="219"/>
      <c r="AB22" s="293" t="str">
        <f t="shared" si="8"/>
        <v/>
      </c>
      <c r="AC22" s="294" t="str">
        <f t="shared" si="9"/>
        <v/>
      </c>
      <c r="AD22" s="219"/>
      <c r="AE22" s="219"/>
      <c r="AF22" s="293" t="str">
        <f>IF(AA22="","",VLOOKUP(AA22,Asta!$B:$H,7,FALSE))</f>
        <v/>
      </c>
      <c r="AG22" s="294" t="str">
        <f t="shared" si="10"/>
        <v/>
      </c>
      <c r="AH22" t="str">
        <f t="shared" si="11"/>
        <v/>
      </c>
      <c r="AI22" s="254" t="str">
        <f t="shared" ca="1" si="17"/>
        <v>3</v>
      </c>
      <c r="AJ22" s="254" t="str">
        <f t="shared" ca="1" si="18"/>
        <v>3</v>
      </c>
      <c r="AK22" s="351"/>
      <c r="AL22">
        <v>3</v>
      </c>
      <c r="AM22" s="256" t="str">
        <f t="shared" ca="1" si="12"/>
        <v/>
      </c>
      <c r="AN22" s="219" t="str">
        <f t="shared" ca="1" si="12"/>
        <v/>
      </c>
      <c r="AO22" s="219" t="str">
        <f t="shared" ca="1" si="12"/>
        <v/>
      </c>
      <c r="AP22" s="219" t="str">
        <f t="shared" ca="1" si="12"/>
        <v/>
      </c>
      <c r="AQ22" s="219" t="str">
        <f t="shared" ca="1" si="12"/>
        <v/>
      </c>
      <c r="AR22" s="219" t="str">
        <f t="shared" ca="1" si="12"/>
        <v/>
      </c>
      <c r="AS22" s="219" t="str">
        <f t="shared" ca="1" si="12"/>
        <v/>
      </c>
      <c r="AT22" s="219" t="str">
        <f t="shared" ca="1" si="12"/>
        <v/>
      </c>
      <c r="AU22" s="219" t="str">
        <f t="shared" ca="1" si="12"/>
        <v/>
      </c>
      <c r="AV22" s="219" t="str">
        <f t="shared" ca="1" si="12"/>
        <v/>
      </c>
      <c r="AW22" s="219" t="str">
        <f t="shared" ca="1" si="12"/>
        <v/>
      </c>
      <c r="AX22" s="352" t="str">
        <f t="shared" ca="1" si="12"/>
        <v/>
      </c>
    </row>
    <row r="23" spans="1:50">
      <c r="A23" s="74">
        <v>4</v>
      </c>
      <c r="B23" s="252"/>
      <c r="C23" s="293" t="str">
        <f t="shared" si="2"/>
        <v/>
      </c>
      <c r="D23" s="294" t="str">
        <f t="shared" si="3"/>
        <v/>
      </c>
      <c r="E23" s="287"/>
      <c r="F23" s="293" t="str">
        <f t="shared" si="4"/>
        <v/>
      </c>
      <c r="G23" s="294" t="str">
        <f t="shared" si="13"/>
        <v/>
      </c>
      <c r="H23" s="290"/>
      <c r="I23" s="254" t="str">
        <f t="shared" ca="1" si="14"/>
        <v>1</v>
      </c>
      <c r="J23" s="254" t="str">
        <f t="shared" ca="1" si="15"/>
        <v>1</v>
      </c>
      <c r="K23" s="230" t="str">
        <f>IF(Giocatori!B12=0,"",Giocatori!B12)</f>
        <v>ADJAPONG</v>
      </c>
      <c r="L23" s="230" t="str">
        <f>IF(Giocatori!A12=0,"",Giocatori!A12)</f>
        <v>D</v>
      </c>
      <c r="M23" s="230" t="str">
        <f>IF(Giocatori!C12=0,"",Giocatori!C12)</f>
        <v>Sassuolo</v>
      </c>
      <c r="N23" s="69" t="str">
        <f t="shared" si="5"/>
        <v/>
      </c>
      <c r="O23" t="str">
        <f t="shared" si="6"/>
        <v>ADJAPONG</v>
      </c>
      <c r="P23" s="7">
        <f t="shared" ca="1" si="16"/>
        <v>23</v>
      </c>
      <c r="Q23" s="7" t="str">
        <f t="shared" ca="1" si="7"/>
        <v>ADJAPONG</v>
      </c>
      <c r="Z23" s="256"/>
      <c r="AA23" s="219"/>
      <c r="AB23" s="293" t="str">
        <f t="shared" si="8"/>
        <v/>
      </c>
      <c r="AC23" s="294" t="str">
        <f t="shared" si="9"/>
        <v/>
      </c>
      <c r="AD23" s="219"/>
      <c r="AE23" s="219"/>
      <c r="AF23" s="293" t="str">
        <f>IF(AA23="","",VLOOKUP(AA23,Asta!$B:$H,7,FALSE))</f>
        <v/>
      </c>
      <c r="AG23" s="294" t="str">
        <f t="shared" si="10"/>
        <v/>
      </c>
      <c r="AH23" t="str">
        <f t="shared" si="11"/>
        <v/>
      </c>
      <c r="AI23" s="254" t="str">
        <f t="shared" ca="1" si="17"/>
        <v>4</v>
      </c>
      <c r="AJ23" s="254" t="str">
        <f t="shared" ca="1" si="18"/>
        <v>4</v>
      </c>
      <c r="AK23" s="351"/>
      <c r="AL23">
        <v>4</v>
      </c>
      <c r="AM23" s="256" t="str">
        <f t="shared" ca="1" si="12"/>
        <v/>
      </c>
      <c r="AN23" s="219" t="str">
        <f t="shared" ca="1" si="12"/>
        <v/>
      </c>
      <c r="AO23" s="219" t="str">
        <f t="shared" ca="1" si="12"/>
        <v/>
      </c>
      <c r="AP23" s="219" t="str">
        <f t="shared" ca="1" si="12"/>
        <v/>
      </c>
      <c r="AQ23" s="219" t="str">
        <f t="shared" ca="1" si="12"/>
        <v/>
      </c>
      <c r="AR23" s="219" t="str">
        <f t="shared" ca="1" si="12"/>
        <v/>
      </c>
      <c r="AS23" s="219" t="str">
        <f t="shared" ca="1" si="12"/>
        <v/>
      </c>
      <c r="AT23" s="219" t="str">
        <f t="shared" ca="1" si="12"/>
        <v/>
      </c>
      <c r="AU23" s="219" t="str">
        <f t="shared" ca="1" si="12"/>
        <v/>
      </c>
      <c r="AV23" s="219" t="str">
        <f t="shared" ca="1" si="12"/>
        <v/>
      </c>
      <c r="AW23" s="219" t="str">
        <f t="shared" ca="1" si="12"/>
        <v/>
      </c>
      <c r="AX23" s="352" t="str">
        <f t="shared" ca="1" si="12"/>
        <v/>
      </c>
    </row>
    <row r="24" spans="1:50">
      <c r="A24" s="74">
        <v>5</v>
      </c>
      <c r="B24" s="252"/>
      <c r="C24" s="293" t="str">
        <f t="shared" si="2"/>
        <v/>
      </c>
      <c r="D24" s="294" t="str">
        <f t="shared" si="3"/>
        <v/>
      </c>
      <c r="E24" s="287"/>
      <c r="F24" s="293" t="str">
        <f t="shared" si="4"/>
        <v/>
      </c>
      <c r="G24" s="294" t="str">
        <f t="shared" si="13"/>
        <v/>
      </c>
      <c r="H24" s="290"/>
      <c r="I24" s="254" t="str">
        <f t="shared" ca="1" si="14"/>
        <v>1</v>
      </c>
      <c r="J24" s="254" t="str">
        <f t="shared" ca="1" si="15"/>
        <v>1</v>
      </c>
      <c r="K24" s="230" t="str">
        <f>IF(Giocatori!B13=0,"",Giocatori!B13)</f>
        <v>ADNAN</v>
      </c>
      <c r="L24" s="230" t="str">
        <f>IF(Giocatori!A13=0,"",Giocatori!A13)</f>
        <v>D</v>
      </c>
      <c r="M24" s="230" t="str">
        <f>IF(Giocatori!C13=0,"",Giocatori!C13)</f>
        <v>Udinese</v>
      </c>
      <c r="N24" s="69" t="str">
        <f t="shared" si="5"/>
        <v/>
      </c>
      <c r="O24" t="str">
        <f t="shared" si="6"/>
        <v>ADNAN</v>
      </c>
      <c r="P24" s="7">
        <f t="shared" ca="1" si="16"/>
        <v>24</v>
      </c>
      <c r="Q24" s="7" t="str">
        <f t="shared" ca="1" si="7"/>
        <v>ADNAN</v>
      </c>
      <c r="Z24" s="256"/>
      <c r="AA24" s="219"/>
      <c r="AB24" s="293" t="str">
        <f t="shared" si="8"/>
        <v/>
      </c>
      <c r="AC24" s="294" t="str">
        <f t="shared" si="9"/>
        <v/>
      </c>
      <c r="AD24" s="219"/>
      <c r="AE24" s="219"/>
      <c r="AF24" s="293" t="str">
        <f>IF(AA24="","",VLOOKUP(AA24,Asta!$B:$H,7,FALSE))</f>
        <v/>
      </c>
      <c r="AG24" s="294" t="str">
        <f t="shared" si="10"/>
        <v/>
      </c>
      <c r="AH24" t="str">
        <f t="shared" si="11"/>
        <v/>
      </c>
      <c r="AI24" s="254" t="str">
        <f t="shared" ca="1" si="17"/>
        <v>5</v>
      </c>
      <c r="AJ24" s="254" t="str">
        <f t="shared" ca="1" si="18"/>
        <v>5</v>
      </c>
      <c r="AK24" s="351"/>
      <c r="AL24">
        <v>5</v>
      </c>
      <c r="AM24" s="256" t="str">
        <f t="shared" ca="1" si="12"/>
        <v/>
      </c>
      <c r="AN24" s="219" t="str">
        <f t="shared" ca="1" si="12"/>
        <v/>
      </c>
      <c r="AO24" s="219" t="str">
        <f t="shared" ca="1" si="12"/>
        <v/>
      </c>
      <c r="AP24" s="219" t="str">
        <f t="shared" ca="1" si="12"/>
        <v/>
      </c>
      <c r="AQ24" s="219" t="str">
        <f t="shared" ca="1" si="12"/>
        <v/>
      </c>
      <c r="AR24" s="219" t="str">
        <f t="shared" ca="1" si="12"/>
        <v/>
      </c>
      <c r="AS24" s="219" t="str">
        <f t="shared" ca="1" si="12"/>
        <v/>
      </c>
      <c r="AT24" s="219" t="str">
        <f t="shared" ca="1" si="12"/>
        <v/>
      </c>
      <c r="AU24" s="219" t="str">
        <f t="shared" ca="1" si="12"/>
        <v/>
      </c>
      <c r="AV24" s="219" t="str">
        <f t="shared" ca="1" si="12"/>
        <v/>
      </c>
      <c r="AW24" s="219" t="str">
        <f t="shared" ca="1" si="12"/>
        <v/>
      </c>
      <c r="AX24" s="352" t="str">
        <f t="shared" ca="1" si="12"/>
        <v/>
      </c>
    </row>
    <row r="25" spans="1:50">
      <c r="A25" s="74">
        <v>6</v>
      </c>
      <c r="B25" s="252"/>
      <c r="C25" s="293" t="str">
        <f t="shared" si="2"/>
        <v/>
      </c>
      <c r="D25" s="294" t="str">
        <f t="shared" si="3"/>
        <v/>
      </c>
      <c r="E25" s="287"/>
      <c r="F25" s="293" t="str">
        <f t="shared" si="4"/>
        <v/>
      </c>
      <c r="G25" s="294" t="str">
        <f t="shared" si="13"/>
        <v/>
      </c>
      <c r="H25" s="290"/>
      <c r="I25" s="254" t="str">
        <f t="shared" ca="1" si="14"/>
        <v>1</v>
      </c>
      <c r="J25" s="254" t="str">
        <f t="shared" ca="1" si="15"/>
        <v>1</v>
      </c>
      <c r="K25" s="230" t="str">
        <f>IF(Giocatori!B14=0,"",Giocatori!B14)</f>
        <v>AJETI</v>
      </c>
      <c r="L25" s="230" t="str">
        <f>IF(Giocatori!A14=0,"",Giocatori!A14)</f>
        <v>D</v>
      </c>
      <c r="M25" s="230" t="str">
        <f>IF(Giocatori!C14=0,"",Giocatori!C14)</f>
        <v>Crotone</v>
      </c>
      <c r="N25" s="69" t="str">
        <f t="shared" si="5"/>
        <v/>
      </c>
      <c r="O25" t="str">
        <f t="shared" si="6"/>
        <v>AJETI</v>
      </c>
      <c r="P25" s="7">
        <f t="shared" ca="1" si="16"/>
        <v>25</v>
      </c>
      <c r="Q25" s="7" t="str">
        <f t="shared" ca="1" si="7"/>
        <v>AJETI</v>
      </c>
      <c r="Z25" s="256"/>
      <c r="AA25" s="219"/>
      <c r="AB25" s="293" t="str">
        <f t="shared" si="8"/>
        <v/>
      </c>
      <c r="AC25" s="294" t="str">
        <f t="shared" si="9"/>
        <v/>
      </c>
      <c r="AD25" s="219"/>
      <c r="AE25" s="219"/>
      <c r="AF25" s="293" t="str">
        <f>IF(AA25="","",VLOOKUP(AA25,Asta!$B:$H,7,FALSE))</f>
        <v/>
      </c>
      <c r="AG25" s="294" t="str">
        <f t="shared" si="10"/>
        <v/>
      </c>
      <c r="AH25" t="str">
        <f t="shared" si="11"/>
        <v/>
      </c>
      <c r="AI25" s="254" t="str">
        <f t="shared" ca="1" si="17"/>
        <v>6</v>
      </c>
      <c r="AJ25" s="254" t="str">
        <f t="shared" ca="1" si="18"/>
        <v>6</v>
      </c>
      <c r="AK25" s="351"/>
      <c r="AL25">
        <v>6</v>
      </c>
      <c r="AM25" s="256" t="str">
        <f t="shared" ca="1" si="12"/>
        <v/>
      </c>
      <c r="AN25" s="219" t="str">
        <f t="shared" ca="1" si="12"/>
        <v/>
      </c>
      <c r="AO25" s="219" t="str">
        <f t="shared" ca="1" si="12"/>
        <v/>
      </c>
      <c r="AP25" s="219" t="str">
        <f t="shared" ca="1" si="12"/>
        <v/>
      </c>
      <c r="AQ25" s="219" t="str">
        <f t="shared" ca="1" si="12"/>
        <v/>
      </c>
      <c r="AR25" s="219" t="str">
        <f t="shared" ca="1" si="12"/>
        <v/>
      </c>
      <c r="AS25" s="219" t="str">
        <f t="shared" ca="1" si="12"/>
        <v/>
      </c>
      <c r="AT25" s="219" t="str">
        <f t="shared" ca="1" si="12"/>
        <v/>
      </c>
      <c r="AU25" s="219" t="str">
        <f t="shared" ca="1" si="12"/>
        <v/>
      </c>
      <c r="AV25" s="219" t="str">
        <f t="shared" ca="1" si="12"/>
        <v/>
      </c>
      <c r="AW25" s="219" t="str">
        <f t="shared" ca="1" si="12"/>
        <v/>
      </c>
      <c r="AX25" s="352" t="str">
        <f t="shared" ca="1" si="12"/>
        <v/>
      </c>
    </row>
    <row r="26" spans="1:50">
      <c r="A26" s="74">
        <v>7</v>
      </c>
      <c r="B26" s="252"/>
      <c r="C26" s="293" t="str">
        <f t="shared" si="2"/>
        <v/>
      </c>
      <c r="D26" s="294" t="str">
        <f t="shared" si="3"/>
        <v/>
      </c>
      <c r="E26" s="287"/>
      <c r="F26" s="293" t="str">
        <f t="shared" si="4"/>
        <v/>
      </c>
      <c r="G26" s="294" t="str">
        <f t="shared" si="13"/>
        <v/>
      </c>
      <c r="H26" s="290"/>
      <c r="I26" s="254" t="str">
        <f t="shared" ca="1" si="14"/>
        <v>1</v>
      </c>
      <c r="J26" s="254" t="str">
        <f t="shared" ca="1" si="15"/>
        <v>1</v>
      </c>
      <c r="K26" s="230" t="str">
        <f>IF(Giocatori!B15=0,"",Giocatori!B15)</f>
        <v>ALBERTAZZI</v>
      </c>
      <c r="L26" s="230" t="str">
        <f>IF(Giocatori!A15=0,"",Giocatori!A15)</f>
        <v>D</v>
      </c>
      <c r="M26" s="230" t="str">
        <f>IF(Giocatori!C15=0,"",Giocatori!C15)</f>
        <v>Verona</v>
      </c>
      <c r="N26" s="69" t="str">
        <f t="shared" si="5"/>
        <v/>
      </c>
      <c r="O26" t="str">
        <f t="shared" si="6"/>
        <v>ALBERTAZZI</v>
      </c>
      <c r="P26" s="7">
        <f t="shared" ca="1" si="16"/>
        <v>26</v>
      </c>
      <c r="Q26" s="7" t="str">
        <f t="shared" ca="1" si="7"/>
        <v>ALBERTAZZI</v>
      </c>
      <c r="Z26" s="256"/>
      <c r="AA26" s="219"/>
      <c r="AB26" s="293" t="str">
        <f t="shared" si="8"/>
        <v/>
      </c>
      <c r="AC26" s="294" t="str">
        <f t="shared" si="9"/>
        <v/>
      </c>
      <c r="AD26" s="219"/>
      <c r="AE26" s="219"/>
      <c r="AF26" s="293" t="str">
        <f>IF(AA26="","",VLOOKUP(AA26,Asta!$B:$H,7,FALSE))</f>
        <v/>
      </c>
      <c r="AG26" s="294" t="str">
        <f t="shared" si="10"/>
        <v/>
      </c>
      <c r="AH26" t="str">
        <f t="shared" si="11"/>
        <v/>
      </c>
      <c r="AI26" s="254" t="str">
        <f t="shared" ca="1" si="17"/>
        <v>7</v>
      </c>
      <c r="AJ26" s="254" t="str">
        <f t="shared" ca="1" si="18"/>
        <v>7</v>
      </c>
      <c r="AK26" s="351"/>
      <c r="AL26">
        <v>7</v>
      </c>
      <c r="AM26" s="256" t="str">
        <f t="shared" ca="1" si="12"/>
        <v/>
      </c>
      <c r="AN26" s="219" t="str">
        <f t="shared" ca="1" si="12"/>
        <v/>
      </c>
      <c r="AO26" s="219" t="str">
        <f t="shared" ca="1" si="12"/>
        <v/>
      </c>
      <c r="AP26" s="219" t="str">
        <f t="shared" ca="1" si="12"/>
        <v/>
      </c>
      <c r="AQ26" s="219" t="str">
        <f t="shared" ca="1" si="12"/>
        <v/>
      </c>
      <c r="AR26" s="219" t="str">
        <f t="shared" ca="1" si="12"/>
        <v/>
      </c>
      <c r="AS26" s="219" t="str">
        <f t="shared" ca="1" si="12"/>
        <v/>
      </c>
      <c r="AT26" s="219" t="str">
        <f t="shared" ca="1" si="12"/>
        <v/>
      </c>
      <c r="AU26" s="219" t="str">
        <f t="shared" ca="1" si="12"/>
        <v/>
      </c>
      <c r="AV26" s="219" t="str">
        <f t="shared" ca="1" si="12"/>
        <v/>
      </c>
      <c r="AW26" s="219" t="str">
        <f t="shared" ca="1" si="12"/>
        <v/>
      </c>
      <c r="AX26" s="352" t="str">
        <f t="shared" ca="1" si="12"/>
        <v/>
      </c>
    </row>
    <row r="27" spans="1:50">
      <c r="A27" s="74">
        <v>8</v>
      </c>
      <c r="B27" s="252"/>
      <c r="C27" s="293" t="str">
        <f t="shared" si="2"/>
        <v/>
      </c>
      <c r="D27" s="294" t="str">
        <f t="shared" si="3"/>
        <v/>
      </c>
      <c r="E27" s="287"/>
      <c r="F27" s="293" t="str">
        <f t="shared" si="4"/>
        <v/>
      </c>
      <c r="G27" s="294" t="str">
        <f t="shared" si="13"/>
        <v/>
      </c>
      <c r="H27" s="290"/>
      <c r="I27" s="254" t="str">
        <f t="shared" ca="1" si="14"/>
        <v>1</v>
      </c>
      <c r="J27" s="254" t="str">
        <f t="shared" ca="1" si="15"/>
        <v>1</v>
      </c>
      <c r="K27" s="230" t="str">
        <f>IF(Giocatori!B16=0,"",Giocatori!B16)</f>
        <v>ALBIOL</v>
      </c>
      <c r="L27" s="230" t="str">
        <f>IF(Giocatori!A16=0,"",Giocatori!A16)</f>
        <v>D</v>
      </c>
      <c r="M27" s="230" t="str">
        <f>IF(Giocatori!C16=0,"",Giocatori!C16)</f>
        <v>Napoli</v>
      </c>
      <c r="N27" s="69" t="str">
        <f t="shared" si="5"/>
        <v/>
      </c>
      <c r="O27" t="str">
        <f t="shared" si="6"/>
        <v>ALBIOL</v>
      </c>
      <c r="P27" s="7">
        <f t="shared" ca="1" si="16"/>
        <v>27</v>
      </c>
      <c r="Q27" s="7" t="str">
        <f t="shared" ca="1" si="7"/>
        <v>ALBIOL</v>
      </c>
      <c r="Z27" s="256"/>
      <c r="AA27" s="219"/>
      <c r="AB27" s="293" t="str">
        <f t="shared" si="8"/>
        <v/>
      </c>
      <c r="AC27" s="294" t="str">
        <f t="shared" si="9"/>
        <v/>
      </c>
      <c r="AD27" s="219"/>
      <c r="AE27" s="219"/>
      <c r="AF27" s="293" t="str">
        <f>IF(AA27="","",VLOOKUP(AA27,Asta!$B:$H,7,FALSE))</f>
        <v/>
      </c>
      <c r="AG27" s="294" t="str">
        <f t="shared" si="10"/>
        <v/>
      </c>
      <c r="AH27" t="str">
        <f t="shared" si="11"/>
        <v/>
      </c>
      <c r="AI27" s="254" t="str">
        <f t="shared" ca="1" si="17"/>
        <v>8</v>
      </c>
      <c r="AJ27" s="254" t="str">
        <f t="shared" ca="1" si="18"/>
        <v>8</v>
      </c>
      <c r="AK27" s="351"/>
      <c r="AL27">
        <v>8</v>
      </c>
      <c r="AM27" s="256" t="str">
        <f t="shared" ca="1" si="12"/>
        <v/>
      </c>
      <c r="AN27" s="219" t="str">
        <f t="shared" ca="1" si="12"/>
        <v/>
      </c>
      <c r="AO27" s="219" t="str">
        <f t="shared" ca="1" si="12"/>
        <v/>
      </c>
      <c r="AP27" s="219" t="str">
        <f t="shared" ca="1" si="12"/>
        <v/>
      </c>
      <c r="AQ27" s="219" t="str">
        <f t="shared" ca="1" si="12"/>
        <v/>
      </c>
      <c r="AR27" s="219" t="str">
        <f t="shared" ca="1" si="12"/>
        <v/>
      </c>
      <c r="AS27" s="219" t="str">
        <f t="shared" ca="1" si="12"/>
        <v/>
      </c>
      <c r="AT27" s="219" t="str">
        <f t="shared" ca="1" si="12"/>
        <v/>
      </c>
      <c r="AU27" s="219" t="str">
        <f t="shared" ca="1" si="12"/>
        <v/>
      </c>
      <c r="AV27" s="219" t="str">
        <f t="shared" ca="1" si="12"/>
        <v/>
      </c>
      <c r="AW27" s="219" t="str">
        <f t="shared" ca="1" si="12"/>
        <v/>
      </c>
      <c r="AX27" s="352" t="str">
        <f t="shared" ca="1" si="12"/>
        <v/>
      </c>
    </row>
    <row r="28" spans="1:50">
      <c r="A28" s="74">
        <v>9</v>
      </c>
      <c r="B28" s="252"/>
      <c r="C28" s="293" t="str">
        <f t="shared" si="2"/>
        <v/>
      </c>
      <c r="D28" s="294" t="str">
        <f t="shared" si="3"/>
        <v/>
      </c>
      <c r="E28" s="287"/>
      <c r="F28" s="293" t="str">
        <f t="shared" si="4"/>
        <v/>
      </c>
      <c r="G28" s="294" t="str">
        <f t="shared" si="13"/>
        <v/>
      </c>
      <c r="H28" s="290"/>
      <c r="I28" s="254" t="str">
        <f t="shared" ca="1" si="14"/>
        <v>1</v>
      </c>
      <c r="J28" s="254" t="str">
        <f t="shared" ca="1" si="15"/>
        <v>1</v>
      </c>
      <c r="K28" s="230" t="str">
        <f>IF(Giocatori!B17=0,"",Giocatori!B17)</f>
        <v>ALEX SANDRO</v>
      </c>
      <c r="L28" s="230" t="str">
        <f>IF(Giocatori!A17=0,"",Giocatori!A17)</f>
        <v>D</v>
      </c>
      <c r="M28" s="230" t="str">
        <f>IF(Giocatori!C17=0,"",Giocatori!C17)</f>
        <v>Juventus</v>
      </c>
      <c r="N28" s="69" t="str">
        <f t="shared" si="5"/>
        <v/>
      </c>
      <c r="O28" t="str">
        <f t="shared" si="6"/>
        <v>ALEX SANDRO</v>
      </c>
      <c r="P28" s="7">
        <f t="shared" ca="1" si="16"/>
        <v>28</v>
      </c>
      <c r="Q28" s="7" t="str">
        <f t="shared" ca="1" si="7"/>
        <v>ALEX SANDRO</v>
      </c>
      <c r="Z28" s="256"/>
      <c r="AA28" s="219"/>
      <c r="AB28" s="293" t="str">
        <f t="shared" si="8"/>
        <v/>
      </c>
      <c r="AC28" s="294" t="str">
        <f t="shared" si="9"/>
        <v/>
      </c>
      <c r="AD28" s="219"/>
      <c r="AE28" s="219"/>
      <c r="AF28" s="293" t="str">
        <f>IF(AA28="","",VLOOKUP(AA28,Asta!$B:$H,7,FALSE))</f>
        <v/>
      </c>
      <c r="AG28" s="294" t="str">
        <f t="shared" si="10"/>
        <v/>
      </c>
      <c r="AH28" t="str">
        <f t="shared" si="11"/>
        <v/>
      </c>
      <c r="AI28" s="254" t="str">
        <f t="shared" ca="1" si="17"/>
        <v>9</v>
      </c>
      <c r="AJ28" s="254" t="str">
        <f t="shared" ca="1" si="18"/>
        <v>9</v>
      </c>
      <c r="AK28" s="351"/>
      <c r="AL28">
        <v>9</v>
      </c>
      <c r="AM28" s="256" t="str">
        <f t="shared" ca="1" si="12"/>
        <v/>
      </c>
      <c r="AN28" s="219" t="str">
        <f t="shared" ca="1" si="12"/>
        <v/>
      </c>
      <c r="AO28" s="219" t="str">
        <f t="shared" ca="1" si="12"/>
        <v/>
      </c>
      <c r="AP28" s="219" t="str">
        <f t="shared" ca="1" si="12"/>
        <v/>
      </c>
      <c r="AQ28" s="219" t="str">
        <f t="shared" ca="1" si="12"/>
        <v/>
      </c>
      <c r="AR28" s="219" t="str">
        <f t="shared" ca="1" si="12"/>
        <v/>
      </c>
      <c r="AS28" s="219" t="str">
        <f t="shared" ca="1" si="12"/>
        <v/>
      </c>
      <c r="AT28" s="219" t="str">
        <f t="shared" ca="1" si="12"/>
        <v/>
      </c>
      <c r="AU28" s="219" t="str">
        <f t="shared" ca="1" si="12"/>
        <v/>
      </c>
      <c r="AV28" s="219" t="str">
        <f t="shared" ca="1" si="12"/>
        <v/>
      </c>
      <c r="AW28" s="219" t="str">
        <f t="shared" ca="1" si="12"/>
        <v/>
      </c>
      <c r="AX28" s="352" t="str">
        <f t="shared" ca="1" si="12"/>
        <v/>
      </c>
    </row>
    <row r="29" spans="1:50">
      <c r="A29" s="74">
        <v>10</v>
      </c>
      <c r="B29" s="252"/>
      <c r="C29" s="293" t="str">
        <f t="shared" si="2"/>
        <v/>
      </c>
      <c r="D29" s="294" t="str">
        <f t="shared" si="3"/>
        <v/>
      </c>
      <c r="E29" s="287"/>
      <c r="F29" s="293" t="str">
        <f t="shared" si="4"/>
        <v/>
      </c>
      <c r="G29" s="294" t="str">
        <f t="shared" si="13"/>
        <v/>
      </c>
      <c r="H29" s="290"/>
      <c r="I29" s="254" t="str">
        <f t="shared" ca="1" si="14"/>
        <v>1</v>
      </c>
      <c r="J29" s="254" t="str">
        <f t="shared" ca="1" si="15"/>
        <v>1</v>
      </c>
      <c r="K29" s="230" t="str">
        <f>IF(Giocatori!B18=0,"",Giocatori!B18)</f>
        <v>ALISSON</v>
      </c>
      <c r="L29" s="230" t="str">
        <f>IF(Giocatori!A18=0,"",Giocatori!A18)</f>
        <v>P</v>
      </c>
      <c r="M29" s="230" t="str">
        <f>IF(Giocatori!C18=0,"",Giocatori!C18)</f>
        <v>Roma</v>
      </c>
      <c r="N29" s="69" t="str">
        <f t="shared" si="5"/>
        <v/>
      </c>
      <c r="O29" t="str">
        <f t="shared" si="6"/>
        <v>ALISSON</v>
      </c>
      <c r="P29" s="7">
        <f t="shared" ca="1" si="16"/>
        <v>29</v>
      </c>
      <c r="Q29" s="7" t="str">
        <f t="shared" ca="1" si="7"/>
        <v>ALISSON</v>
      </c>
      <c r="Z29" s="256"/>
      <c r="AA29" s="219"/>
      <c r="AB29" s="293" t="str">
        <f t="shared" si="8"/>
        <v/>
      </c>
      <c r="AC29" s="294" t="str">
        <f t="shared" si="9"/>
        <v/>
      </c>
      <c r="AD29" s="219"/>
      <c r="AE29" s="219"/>
      <c r="AF29" s="293" t="str">
        <f>IF(AA29="","",VLOOKUP(AA29,Asta!$B:$H,7,FALSE))</f>
        <v/>
      </c>
      <c r="AG29" s="294" t="str">
        <f t="shared" si="10"/>
        <v/>
      </c>
      <c r="AH29" t="str">
        <f t="shared" si="11"/>
        <v/>
      </c>
      <c r="AI29" s="254" t="str">
        <f t="shared" ca="1" si="17"/>
        <v>10</v>
      </c>
      <c r="AJ29" s="254" t="str">
        <f t="shared" ca="1" si="18"/>
        <v>10</v>
      </c>
      <c r="AK29" s="351"/>
      <c r="AL29">
        <v>10</v>
      </c>
      <c r="AM29" s="256" t="str">
        <f t="shared" ca="1" si="12"/>
        <v/>
      </c>
      <c r="AN29" s="219" t="str">
        <f t="shared" ca="1" si="12"/>
        <v/>
      </c>
      <c r="AO29" s="219" t="str">
        <f t="shared" ca="1" si="12"/>
        <v/>
      </c>
      <c r="AP29" s="219" t="str">
        <f t="shared" ca="1" si="12"/>
        <v/>
      </c>
      <c r="AQ29" s="219" t="str">
        <f t="shared" ca="1" si="12"/>
        <v/>
      </c>
      <c r="AR29" s="219" t="str">
        <f t="shared" ca="1" si="12"/>
        <v/>
      </c>
      <c r="AS29" s="219" t="str">
        <f t="shared" ca="1" si="12"/>
        <v/>
      </c>
      <c r="AT29" s="219" t="str">
        <f t="shared" ca="1" si="12"/>
        <v/>
      </c>
      <c r="AU29" s="219" t="str">
        <f t="shared" ca="1" si="12"/>
        <v/>
      </c>
      <c r="AV29" s="219" t="str">
        <f t="shared" ca="1" si="12"/>
        <v/>
      </c>
      <c r="AW29" s="219" t="str">
        <f t="shared" ca="1" si="12"/>
        <v/>
      </c>
      <c r="AX29" s="352" t="str">
        <f t="shared" ca="1" si="12"/>
        <v/>
      </c>
    </row>
    <row r="30" spans="1:50">
      <c r="A30" s="74">
        <v>11</v>
      </c>
      <c r="B30" s="252"/>
      <c r="C30" s="293" t="str">
        <f t="shared" si="2"/>
        <v/>
      </c>
      <c r="D30" s="294" t="str">
        <f t="shared" si="3"/>
        <v/>
      </c>
      <c r="E30" s="287"/>
      <c r="F30" s="293" t="str">
        <f t="shared" si="4"/>
        <v/>
      </c>
      <c r="G30" s="294" t="str">
        <f t="shared" si="13"/>
        <v/>
      </c>
      <c r="H30" s="290"/>
      <c r="I30" s="254" t="str">
        <f t="shared" ca="1" si="14"/>
        <v>1</v>
      </c>
      <c r="J30" s="254" t="str">
        <f t="shared" ca="1" si="15"/>
        <v>1</v>
      </c>
      <c r="K30" s="230" t="str">
        <f>IF(Giocatori!B19=0,"",Giocatori!B19)</f>
        <v>ALLAN</v>
      </c>
      <c r="L30" s="230" t="str">
        <f>IF(Giocatori!A19=0,"",Giocatori!A19)</f>
        <v>C</v>
      </c>
      <c r="M30" s="230" t="str">
        <f>IF(Giocatori!C19=0,"",Giocatori!C19)</f>
        <v>Napoli</v>
      </c>
      <c r="N30" s="69" t="str">
        <f t="shared" si="5"/>
        <v/>
      </c>
      <c r="O30" t="str">
        <f t="shared" si="6"/>
        <v>ALLAN</v>
      </c>
      <c r="P30" s="7">
        <f t="shared" ca="1" si="16"/>
        <v>30</v>
      </c>
      <c r="Q30" s="7" t="str">
        <f t="shared" ca="1" si="7"/>
        <v>ALLAN</v>
      </c>
      <c r="Z30" s="256"/>
      <c r="AA30" s="219"/>
      <c r="AB30" s="293" t="str">
        <f t="shared" si="8"/>
        <v/>
      </c>
      <c r="AC30" s="294" t="str">
        <f t="shared" si="9"/>
        <v/>
      </c>
      <c r="AD30" s="219"/>
      <c r="AE30" s="219"/>
      <c r="AF30" s="293" t="str">
        <f>IF(AA30="","",VLOOKUP(AA30,Asta!$B:$H,7,FALSE))</f>
        <v/>
      </c>
      <c r="AG30" s="294" t="str">
        <f t="shared" si="10"/>
        <v/>
      </c>
      <c r="AH30" t="str">
        <f t="shared" si="11"/>
        <v/>
      </c>
      <c r="AI30" s="254" t="str">
        <f t="shared" ca="1" si="17"/>
        <v>11</v>
      </c>
      <c r="AJ30" s="254" t="str">
        <f t="shared" ca="1" si="18"/>
        <v>11</v>
      </c>
      <c r="AK30" s="351"/>
      <c r="AL30">
        <v>11</v>
      </c>
      <c r="AM30" s="256" t="str">
        <f t="shared" ref="AM30:AX39" ca="1" si="19">IF(ISNA(MATCH(AM$19&amp;$AL30,$J:$J,0)),"",INDIRECT("Asta!B"&amp;MATCH(AM$19&amp;$AL30,$J:$J,0)))</f>
        <v/>
      </c>
      <c r="AN30" s="219" t="str">
        <f t="shared" ca="1" si="19"/>
        <v/>
      </c>
      <c r="AO30" s="219" t="str">
        <f t="shared" ca="1" si="19"/>
        <v/>
      </c>
      <c r="AP30" s="219" t="str">
        <f t="shared" ca="1" si="19"/>
        <v/>
      </c>
      <c r="AQ30" s="219" t="str">
        <f t="shared" ca="1" si="19"/>
        <v/>
      </c>
      <c r="AR30" s="219" t="str">
        <f t="shared" ca="1" si="19"/>
        <v/>
      </c>
      <c r="AS30" s="219" t="str">
        <f t="shared" ca="1" si="19"/>
        <v/>
      </c>
      <c r="AT30" s="219" t="str">
        <f t="shared" ca="1" si="19"/>
        <v/>
      </c>
      <c r="AU30" s="219" t="str">
        <f t="shared" ca="1" si="19"/>
        <v/>
      </c>
      <c r="AV30" s="219" t="str">
        <f t="shared" ca="1" si="19"/>
        <v/>
      </c>
      <c r="AW30" s="219" t="str">
        <f t="shared" ca="1" si="19"/>
        <v/>
      </c>
      <c r="AX30" s="352" t="str">
        <f t="shared" ca="1" si="19"/>
        <v/>
      </c>
    </row>
    <row r="31" spans="1:50">
      <c r="A31" s="74">
        <v>12</v>
      </c>
      <c r="B31" s="252"/>
      <c r="C31" s="293" t="str">
        <f t="shared" si="2"/>
        <v/>
      </c>
      <c r="D31" s="294" t="str">
        <f t="shared" si="3"/>
        <v/>
      </c>
      <c r="E31" s="287"/>
      <c r="F31" s="293" t="str">
        <f t="shared" si="4"/>
        <v/>
      </c>
      <c r="G31" s="294" t="str">
        <f t="shared" si="13"/>
        <v/>
      </c>
      <c r="H31" s="290"/>
      <c r="I31" s="254" t="str">
        <f t="shared" ca="1" si="14"/>
        <v>1</v>
      </c>
      <c r="J31" s="254" t="str">
        <f t="shared" ca="1" si="15"/>
        <v>1</v>
      </c>
      <c r="K31" s="230" t="str">
        <f>IF(Giocatori!B20=0,"",Giocatori!B20)</f>
        <v>ALVAREZ R</v>
      </c>
      <c r="L31" s="230" t="str">
        <f>IF(Giocatori!A20=0,"",Giocatori!A20)</f>
        <v>C</v>
      </c>
      <c r="M31" s="230" t="str">
        <f>IF(Giocatori!C20=0,"",Giocatori!C20)</f>
        <v>Sampdoria</v>
      </c>
      <c r="N31" s="69" t="str">
        <f t="shared" si="5"/>
        <v/>
      </c>
      <c r="O31" t="str">
        <f t="shared" si="6"/>
        <v>ALVAREZ R</v>
      </c>
      <c r="P31" s="7">
        <f t="shared" ca="1" si="16"/>
        <v>31</v>
      </c>
      <c r="Q31" s="7" t="str">
        <f t="shared" ca="1" si="7"/>
        <v>ALVAREZ R</v>
      </c>
      <c r="Z31" s="256"/>
      <c r="AA31" s="219"/>
      <c r="AB31" s="293" t="str">
        <f t="shared" si="8"/>
        <v/>
      </c>
      <c r="AC31" s="294" t="str">
        <f t="shared" si="9"/>
        <v/>
      </c>
      <c r="AD31" s="219"/>
      <c r="AE31" s="219"/>
      <c r="AF31" s="293" t="str">
        <f>IF(AA31="","",VLOOKUP(AA31,Asta!$B:$H,7,FALSE))</f>
        <v/>
      </c>
      <c r="AG31" s="294" t="str">
        <f t="shared" si="10"/>
        <v/>
      </c>
      <c r="AH31" t="str">
        <f t="shared" si="11"/>
        <v/>
      </c>
      <c r="AI31" s="254" t="str">
        <f t="shared" ca="1" si="17"/>
        <v>12</v>
      </c>
      <c r="AJ31" s="254" t="str">
        <f t="shared" ca="1" si="18"/>
        <v>12</v>
      </c>
      <c r="AK31" s="351"/>
      <c r="AL31">
        <v>12</v>
      </c>
      <c r="AM31" s="256" t="str">
        <f t="shared" ca="1" si="19"/>
        <v/>
      </c>
      <c r="AN31" s="219" t="str">
        <f t="shared" ca="1" si="19"/>
        <v/>
      </c>
      <c r="AO31" s="219" t="str">
        <f t="shared" ca="1" si="19"/>
        <v/>
      </c>
      <c r="AP31" s="219" t="str">
        <f t="shared" ca="1" si="19"/>
        <v/>
      </c>
      <c r="AQ31" s="219" t="str">
        <f t="shared" ca="1" si="19"/>
        <v/>
      </c>
      <c r="AR31" s="219" t="str">
        <f t="shared" ca="1" si="19"/>
        <v/>
      </c>
      <c r="AS31" s="219" t="str">
        <f t="shared" ca="1" si="19"/>
        <v/>
      </c>
      <c r="AT31" s="219" t="str">
        <f t="shared" ca="1" si="19"/>
        <v/>
      </c>
      <c r="AU31" s="219" t="str">
        <f t="shared" ca="1" si="19"/>
        <v/>
      </c>
      <c r="AV31" s="219" t="str">
        <f t="shared" ca="1" si="19"/>
        <v/>
      </c>
      <c r="AW31" s="219" t="str">
        <f t="shared" ca="1" si="19"/>
        <v/>
      </c>
      <c r="AX31" s="352" t="str">
        <f t="shared" ca="1" si="19"/>
        <v/>
      </c>
    </row>
    <row r="32" spans="1:50">
      <c r="A32" s="74">
        <v>13</v>
      </c>
      <c r="B32" s="252"/>
      <c r="C32" s="293" t="str">
        <f t="shared" si="2"/>
        <v/>
      </c>
      <c r="D32" s="294" t="str">
        <f t="shared" si="3"/>
        <v/>
      </c>
      <c r="E32" s="287"/>
      <c r="F32" s="293" t="str">
        <f t="shared" si="4"/>
        <v/>
      </c>
      <c r="G32" s="294" t="str">
        <f t="shared" si="13"/>
        <v/>
      </c>
      <c r="H32" s="290"/>
      <c r="I32" s="254" t="str">
        <f t="shared" ca="1" si="14"/>
        <v>1</v>
      </c>
      <c r="J32" s="254" t="str">
        <f t="shared" ca="1" si="15"/>
        <v>1</v>
      </c>
      <c r="K32" s="230" t="str">
        <f>IF(Giocatori!B21=0,"",Giocatori!B21)</f>
        <v>ANDERSEN</v>
      </c>
      <c r="L32" s="230" t="str">
        <f>IF(Giocatori!A21=0,"",Giocatori!A21)</f>
        <v>D</v>
      </c>
      <c r="M32" s="230" t="str">
        <f>IF(Giocatori!C21=0,"",Giocatori!C21)</f>
        <v>Sampdoria</v>
      </c>
      <c r="N32" s="69" t="str">
        <f t="shared" si="5"/>
        <v/>
      </c>
      <c r="O32" t="str">
        <f t="shared" si="6"/>
        <v>ANDERSEN</v>
      </c>
      <c r="P32" s="7">
        <f t="shared" ca="1" si="16"/>
        <v>32</v>
      </c>
      <c r="Q32" s="7" t="str">
        <f t="shared" ca="1" si="7"/>
        <v>ANDERSEN</v>
      </c>
      <c r="Z32" s="256"/>
      <c r="AA32" s="219"/>
      <c r="AB32" s="293" t="str">
        <f t="shared" si="8"/>
        <v/>
      </c>
      <c r="AC32" s="294" t="str">
        <f t="shared" si="9"/>
        <v/>
      </c>
      <c r="AD32" s="219"/>
      <c r="AE32" s="219"/>
      <c r="AF32" s="293" t="str">
        <f>IF(AA32="","",VLOOKUP(AA32,Asta!$B:$H,7,FALSE))</f>
        <v/>
      </c>
      <c r="AG32" s="294" t="str">
        <f t="shared" si="10"/>
        <v/>
      </c>
      <c r="AH32" t="str">
        <f t="shared" si="11"/>
        <v/>
      </c>
      <c r="AI32" s="254" t="str">
        <f t="shared" ca="1" si="17"/>
        <v>13</v>
      </c>
      <c r="AJ32" s="254" t="str">
        <f t="shared" ca="1" si="18"/>
        <v>13</v>
      </c>
      <c r="AK32" s="351"/>
      <c r="AL32">
        <v>13</v>
      </c>
      <c r="AM32" s="256" t="str">
        <f t="shared" ca="1" si="19"/>
        <v/>
      </c>
      <c r="AN32" s="219" t="str">
        <f t="shared" ca="1" si="19"/>
        <v/>
      </c>
      <c r="AO32" s="219" t="str">
        <f t="shared" ca="1" si="19"/>
        <v/>
      </c>
      <c r="AP32" s="219" t="str">
        <f t="shared" ca="1" si="19"/>
        <v/>
      </c>
      <c r="AQ32" s="219" t="str">
        <f t="shared" ca="1" si="19"/>
        <v/>
      </c>
      <c r="AR32" s="219" t="str">
        <f t="shared" ca="1" si="19"/>
        <v/>
      </c>
      <c r="AS32" s="219" t="str">
        <f t="shared" ca="1" si="19"/>
        <v/>
      </c>
      <c r="AT32" s="219" t="str">
        <f t="shared" ca="1" si="19"/>
        <v/>
      </c>
      <c r="AU32" s="219" t="str">
        <f t="shared" ca="1" si="19"/>
        <v/>
      </c>
      <c r="AV32" s="219" t="str">
        <f t="shared" ca="1" si="19"/>
        <v/>
      </c>
      <c r="AW32" s="219" t="str">
        <f t="shared" ca="1" si="19"/>
        <v/>
      </c>
      <c r="AX32" s="352" t="str">
        <f t="shared" ca="1" si="19"/>
        <v/>
      </c>
    </row>
    <row r="33" spans="1:50">
      <c r="A33" s="74">
        <v>14</v>
      </c>
      <c r="B33" s="252"/>
      <c r="C33" s="293" t="str">
        <f t="shared" si="2"/>
        <v/>
      </c>
      <c r="D33" s="294" t="str">
        <f t="shared" si="3"/>
        <v/>
      </c>
      <c r="E33" s="287"/>
      <c r="F33" s="293" t="str">
        <f t="shared" si="4"/>
        <v/>
      </c>
      <c r="G33" s="294" t="str">
        <f t="shared" si="13"/>
        <v/>
      </c>
      <c r="H33" s="290"/>
      <c r="I33" s="254" t="str">
        <f t="shared" ca="1" si="14"/>
        <v>1</v>
      </c>
      <c r="J33" s="254" t="str">
        <f t="shared" ca="1" si="15"/>
        <v>1</v>
      </c>
      <c r="K33" s="230" t="str">
        <f>IF(Giocatori!B22=0,"",Giocatori!B22)</f>
        <v>ANDRE' SILVA</v>
      </c>
      <c r="L33" s="230" t="str">
        <f>IF(Giocatori!A22=0,"",Giocatori!A22)</f>
        <v>A</v>
      </c>
      <c r="M33" s="230" t="str">
        <f>IF(Giocatori!C22=0,"",Giocatori!C22)</f>
        <v>Milan</v>
      </c>
      <c r="N33" s="69" t="str">
        <f t="shared" si="5"/>
        <v/>
      </c>
      <c r="O33" t="str">
        <f t="shared" si="6"/>
        <v>ANDRE' SILVA</v>
      </c>
      <c r="P33" s="7">
        <f t="shared" ca="1" si="16"/>
        <v>33</v>
      </c>
      <c r="Q33" s="7" t="str">
        <f t="shared" ca="1" si="7"/>
        <v>ANDRE' SILVA</v>
      </c>
      <c r="Z33" s="256"/>
      <c r="AA33" s="219"/>
      <c r="AB33" s="293" t="str">
        <f t="shared" si="8"/>
        <v/>
      </c>
      <c r="AC33" s="294" t="str">
        <f t="shared" si="9"/>
        <v/>
      </c>
      <c r="AD33" s="219"/>
      <c r="AE33" s="219"/>
      <c r="AF33" s="293" t="str">
        <f>IF(AA33="","",VLOOKUP(AA33,Asta!$B:$H,7,FALSE))</f>
        <v/>
      </c>
      <c r="AG33" s="294" t="str">
        <f t="shared" si="10"/>
        <v/>
      </c>
      <c r="AH33" t="str">
        <f t="shared" si="11"/>
        <v/>
      </c>
      <c r="AI33" s="254" t="str">
        <f t="shared" ca="1" si="17"/>
        <v>14</v>
      </c>
      <c r="AJ33" s="254" t="str">
        <f t="shared" ca="1" si="18"/>
        <v>14</v>
      </c>
      <c r="AK33" s="351"/>
      <c r="AL33">
        <v>14</v>
      </c>
      <c r="AM33" s="256" t="str">
        <f t="shared" ca="1" si="19"/>
        <v/>
      </c>
      <c r="AN33" s="219" t="str">
        <f t="shared" ca="1" si="19"/>
        <v/>
      </c>
      <c r="AO33" s="219" t="str">
        <f t="shared" ca="1" si="19"/>
        <v/>
      </c>
      <c r="AP33" s="219" t="str">
        <f t="shared" ca="1" si="19"/>
        <v/>
      </c>
      <c r="AQ33" s="219" t="str">
        <f t="shared" ca="1" si="19"/>
        <v/>
      </c>
      <c r="AR33" s="219" t="str">
        <f t="shared" ca="1" si="19"/>
        <v/>
      </c>
      <c r="AS33" s="219" t="str">
        <f t="shared" ca="1" si="19"/>
        <v/>
      </c>
      <c r="AT33" s="219" t="str">
        <f t="shared" ca="1" si="19"/>
        <v/>
      </c>
      <c r="AU33" s="219" t="str">
        <f t="shared" ca="1" si="19"/>
        <v/>
      </c>
      <c r="AV33" s="219" t="str">
        <f t="shared" ca="1" si="19"/>
        <v/>
      </c>
      <c r="AW33" s="219" t="str">
        <f t="shared" ca="1" si="19"/>
        <v/>
      </c>
      <c r="AX33" s="352" t="str">
        <f t="shared" ca="1" si="19"/>
        <v/>
      </c>
    </row>
    <row r="34" spans="1:50">
      <c r="A34" s="74">
        <v>15</v>
      </c>
      <c r="B34" s="252"/>
      <c r="C34" s="293" t="str">
        <f t="shared" si="2"/>
        <v/>
      </c>
      <c r="D34" s="294" t="str">
        <f t="shared" si="3"/>
        <v/>
      </c>
      <c r="E34" s="287"/>
      <c r="F34" s="293" t="str">
        <f t="shared" si="4"/>
        <v/>
      </c>
      <c r="G34" s="294" t="str">
        <f t="shared" si="13"/>
        <v/>
      </c>
      <c r="H34" s="290"/>
      <c r="I34" s="254" t="str">
        <f t="shared" ca="1" si="14"/>
        <v>1</v>
      </c>
      <c r="J34" s="254" t="str">
        <f t="shared" ca="1" si="15"/>
        <v>1</v>
      </c>
      <c r="K34" s="230" t="str">
        <f>IF(Giocatori!B23=0,"",Giocatori!B23)</f>
        <v>ANDREOLLI</v>
      </c>
      <c r="L34" s="230" t="str">
        <f>IF(Giocatori!A23=0,"",Giocatori!A23)</f>
        <v>D</v>
      </c>
      <c r="M34" s="230" t="str">
        <f>IF(Giocatori!C23=0,"",Giocatori!C23)</f>
        <v>Cagliari</v>
      </c>
      <c r="N34" s="69" t="str">
        <f t="shared" si="5"/>
        <v/>
      </c>
      <c r="O34" t="str">
        <f t="shared" si="6"/>
        <v>ANDREOLLI</v>
      </c>
      <c r="P34" s="7">
        <f t="shared" ca="1" si="16"/>
        <v>34</v>
      </c>
      <c r="Q34" s="7" t="str">
        <f t="shared" ca="1" si="7"/>
        <v>ANDREOLLI</v>
      </c>
      <c r="Z34" s="256"/>
      <c r="AA34" s="219"/>
      <c r="AB34" s="293" t="str">
        <f t="shared" si="8"/>
        <v/>
      </c>
      <c r="AC34" s="294" t="str">
        <f t="shared" si="9"/>
        <v/>
      </c>
      <c r="AD34" s="219"/>
      <c r="AE34" s="219"/>
      <c r="AF34" s="293" t="str">
        <f>IF(AA34="","",VLOOKUP(AA34,Asta!$B:$H,7,FALSE))</f>
        <v/>
      </c>
      <c r="AG34" s="294" t="str">
        <f t="shared" si="10"/>
        <v/>
      </c>
      <c r="AH34" t="str">
        <f t="shared" si="11"/>
        <v/>
      </c>
      <c r="AI34" s="254" t="str">
        <f t="shared" ca="1" si="17"/>
        <v>15</v>
      </c>
      <c r="AJ34" s="254" t="str">
        <f t="shared" ca="1" si="18"/>
        <v>15</v>
      </c>
      <c r="AK34" s="351"/>
      <c r="AL34">
        <v>15</v>
      </c>
      <c r="AM34" s="256" t="str">
        <f t="shared" ca="1" si="19"/>
        <v/>
      </c>
      <c r="AN34" s="219" t="str">
        <f t="shared" ca="1" si="19"/>
        <v/>
      </c>
      <c r="AO34" s="219" t="str">
        <f t="shared" ca="1" si="19"/>
        <v/>
      </c>
      <c r="AP34" s="219" t="str">
        <f t="shared" ca="1" si="19"/>
        <v/>
      </c>
      <c r="AQ34" s="219" t="str">
        <f t="shared" ca="1" si="19"/>
        <v/>
      </c>
      <c r="AR34" s="219" t="str">
        <f t="shared" ca="1" si="19"/>
        <v/>
      </c>
      <c r="AS34" s="219" t="str">
        <f t="shared" ca="1" si="19"/>
        <v/>
      </c>
      <c r="AT34" s="219" t="str">
        <f t="shared" ca="1" si="19"/>
        <v/>
      </c>
      <c r="AU34" s="219" t="str">
        <f t="shared" ca="1" si="19"/>
        <v/>
      </c>
      <c r="AV34" s="219" t="str">
        <f t="shared" ca="1" si="19"/>
        <v/>
      </c>
      <c r="AW34" s="219" t="str">
        <f t="shared" ca="1" si="19"/>
        <v/>
      </c>
      <c r="AX34" s="352" t="str">
        <f t="shared" ca="1" si="19"/>
        <v/>
      </c>
    </row>
    <row r="35" spans="1:50">
      <c r="A35" s="74">
        <v>16</v>
      </c>
      <c r="B35" s="252"/>
      <c r="C35" s="293" t="str">
        <f t="shared" si="2"/>
        <v/>
      </c>
      <c r="D35" s="294" t="str">
        <f t="shared" si="3"/>
        <v/>
      </c>
      <c r="E35" s="287"/>
      <c r="F35" s="293" t="str">
        <f t="shared" si="4"/>
        <v/>
      </c>
      <c r="G35" s="294" t="str">
        <f t="shared" si="13"/>
        <v/>
      </c>
      <c r="H35" s="290"/>
      <c r="I35" s="254" t="str">
        <f t="shared" ca="1" si="14"/>
        <v>1</v>
      </c>
      <c r="J35" s="254" t="str">
        <f t="shared" ca="1" si="15"/>
        <v>1</v>
      </c>
      <c r="K35" s="230" t="str">
        <f>IF(Giocatori!B24=0,"",Giocatori!B24)</f>
        <v>ANGELLA</v>
      </c>
      <c r="L35" s="230" t="str">
        <f>IF(Giocatori!A24=0,"",Giocatori!A24)</f>
        <v>D</v>
      </c>
      <c r="M35" s="230" t="str">
        <f>IF(Giocatori!C24=0,"",Giocatori!C24)</f>
        <v>Udinese</v>
      </c>
      <c r="N35" s="69" t="str">
        <f t="shared" si="5"/>
        <v/>
      </c>
      <c r="O35" t="str">
        <f t="shared" si="6"/>
        <v>ANGELLA</v>
      </c>
      <c r="P35" s="7">
        <f t="shared" ca="1" si="16"/>
        <v>35</v>
      </c>
      <c r="Q35" s="7" t="str">
        <f t="shared" ca="1" si="7"/>
        <v>ANGELLA</v>
      </c>
      <c r="Z35" s="256"/>
      <c r="AA35" s="219"/>
      <c r="AB35" s="293" t="str">
        <f t="shared" si="8"/>
        <v/>
      </c>
      <c r="AC35" s="294" t="str">
        <f t="shared" si="9"/>
        <v/>
      </c>
      <c r="AD35" s="219"/>
      <c r="AE35" s="219"/>
      <c r="AF35" s="293" t="str">
        <f>IF(AA35="","",VLOOKUP(AA35,Asta!$B:$H,7,FALSE))</f>
        <v/>
      </c>
      <c r="AG35" s="294" t="str">
        <f t="shared" si="10"/>
        <v/>
      </c>
      <c r="AH35" t="str">
        <f t="shared" si="11"/>
        <v/>
      </c>
      <c r="AI35" s="254" t="str">
        <f t="shared" ca="1" si="17"/>
        <v>16</v>
      </c>
      <c r="AJ35" s="254" t="str">
        <f t="shared" ca="1" si="18"/>
        <v>16</v>
      </c>
      <c r="AK35" s="351"/>
      <c r="AL35">
        <v>16</v>
      </c>
      <c r="AM35" s="256" t="str">
        <f t="shared" ca="1" si="19"/>
        <v/>
      </c>
      <c r="AN35" s="219" t="str">
        <f t="shared" ca="1" si="19"/>
        <v/>
      </c>
      <c r="AO35" s="219" t="str">
        <f t="shared" ca="1" si="19"/>
        <v/>
      </c>
      <c r="AP35" s="219" t="str">
        <f t="shared" ca="1" si="19"/>
        <v/>
      </c>
      <c r="AQ35" s="219" t="str">
        <f t="shared" ca="1" si="19"/>
        <v/>
      </c>
      <c r="AR35" s="219" t="str">
        <f t="shared" ca="1" si="19"/>
        <v/>
      </c>
      <c r="AS35" s="219" t="str">
        <f t="shared" ca="1" si="19"/>
        <v/>
      </c>
      <c r="AT35" s="219" t="str">
        <f t="shared" ca="1" si="19"/>
        <v/>
      </c>
      <c r="AU35" s="219" t="str">
        <f t="shared" ca="1" si="19"/>
        <v/>
      </c>
      <c r="AV35" s="219" t="str">
        <f t="shared" ca="1" si="19"/>
        <v/>
      </c>
      <c r="AW35" s="219" t="str">
        <f t="shared" ca="1" si="19"/>
        <v/>
      </c>
      <c r="AX35" s="352" t="str">
        <f t="shared" ca="1" si="19"/>
        <v/>
      </c>
    </row>
    <row r="36" spans="1:50">
      <c r="A36" s="74">
        <v>17</v>
      </c>
      <c r="B36" s="252"/>
      <c r="C36" s="293" t="str">
        <f t="shared" si="2"/>
        <v/>
      </c>
      <c r="D36" s="294" t="str">
        <f t="shared" si="3"/>
        <v/>
      </c>
      <c r="E36" s="287"/>
      <c r="F36" s="293" t="str">
        <f t="shared" si="4"/>
        <v/>
      </c>
      <c r="G36" s="294" t="str">
        <f t="shared" si="13"/>
        <v/>
      </c>
      <c r="H36" s="290"/>
      <c r="I36" s="254" t="str">
        <f t="shared" ca="1" si="14"/>
        <v>1</v>
      </c>
      <c r="J36" s="254" t="str">
        <f t="shared" ca="1" si="15"/>
        <v>1</v>
      </c>
      <c r="K36" s="230" t="str">
        <f>IF(Giocatori!B25=0,"",Giocatori!B25)</f>
        <v>ANSALDI</v>
      </c>
      <c r="L36" s="230" t="str">
        <f>IF(Giocatori!A25=0,"",Giocatori!A25)</f>
        <v>D</v>
      </c>
      <c r="M36" s="230" t="str">
        <f>IF(Giocatori!C25=0,"",Giocatori!C25)</f>
        <v>Torino</v>
      </c>
      <c r="N36" s="69" t="str">
        <f t="shared" si="5"/>
        <v/>
      </c>
      <c r="O36" t="str">
        <f t="shared" si="6"/>
        <v>ANSALDI</v>
      </c>
      <c r="P36" s="7">
        <f t="shared" ca="1" si="16"/>
        <v>36</v>
      </c>
      <c r="Q36" s="7" t="str">
        <f t="shared" ca="1" si="7"/>
        <v>ANSALDI</v>
      </c>
      <c r="Z36" s="256"/>
      <c r="AA36" s="219"/>
      <c r="AB36" s="293" t="str">
        <f t="shared" si="8"/>
        <v/>
      </c>
      <c r="AC36" s="294" t="str">
        <f t="shared" si="9"/>
        <v/>
      </c>
      <c r="AD36" s="219"/>
      <c r="AE36" s="219"/>
      <c r="AF36" s="293" t="str">
        <f>IF(AA36="","",VLOOKUP(AA36,Asta!$B:$H,7,FALSE))</f>
        <v/>
      </c>
      <c r="AG36" s="294" t="str">
        <f t="shared" si="10"/>
        <v/>
      </c>
      <c r="AH36" t="str">
        <f t="shared" si="11"/>
        <v/>
      </c>
      <c r="AI36" s="254" t="str">
        <f t="shared" ca="1" si="17"/>
        <v>17</v>
      </c>
      <c r="AJ36" s="254" t="str">
        <f t="shared" ca="1" si="18"/>
        <v>17</v>
      </c>
      <c r="AK36" s="351"/>
      <c r="AL36">
        <v>17</v>
      </c>
      <c r="AM36" s="256" t="str">
        <f t="shared" ca="1" si="19"/>
        <v/>
      </c>
      <c r="AN36" s="219" t="str">
        <f t="shared" ca="1" si="19"/>
        <v/>
      </c>
      <c r="AO36" s="219" t="str">
        <f t="shared" ca="1" si="19"/>
        <v/>
      </c>
      <c r="AP36" s="219" t="str">
        <f t="shared" ca="1" si="19"/>
        <v/>
      </c>
      <c r="AQ36" s="219" t="str">
        <f t="shared" ca="1" si="19"/>
        <v/>
      </c>
      <c r="AR36" s="219" t="str">
        <f t="shared" ca="1" si="19"/>
        <v/>
      </c>
      <c r="AS36" s="219" t="str">
        <f t="shared" ca="1" si="19"/>
        <v/>
      </c>
      <c r="AT36" s="219" t="str">
        <f t="shared" ca="1" si="19"/>
        <v/>
      </c>
      <c r="AU36" s="219" t="str">
        <f t="shared" ca="1" si="19"/>
        <v/>
      </c>
      <c r="AV36" s="219" t="str">
        <f t="shared" ca="1" si="19"/>
        <v/>
      </c>
      <c r="AW36" s="219" t="str">
        <f t="shared" ca="1" si="19"/>
        <v/>
      </c>
      <c r="AX36" s="352" t="str">
        <f t="shared" ca="1" si="19"/>
        <v/>
      </c>
    </row>
    <row r="37" spans="1:50">
      <c r="A37" s="74">
        <v>18</v>
      </c>
      <c r="B37" s="252"/>
      <c r="C37" s="293" t="str">
        <f t="shared" si="2"/>
        <v/>
      </c>
      <c r="D37" s="294" t="str">
        <f t="shared" si="3"/>
        <v/>
      </c>
      <c r="E37" s="287"/>
      <c r="F37" s="293" t="str">
        <f t="shared" si="4"/>
        <v/>
      </c>
      <c r="G37" s="294" t="str">
        <f t="shared" si="13"/>
        <v/>
      </c>
      <c r="H37" s="290"/>
      <c r="I37" s="254" t="str">
        <f t="shared" ca="1" si="14"/>
        <v>1</v>
      </c>
      <c r="J37" s="254" t="str">
        <f t="shared" ca="1" si="15"/>
        <v>1</v>
      </c>
      <c r="K37" s="230" t="str">
        <f>IF(Giocatori!B26=0,"",Giocatori!B26)</f>
        <v>ANTEI</v>
      </c>
      <c r="L37" s="230" t="str">
        <f>IF(Giocatori!A26=0,"",Giocatori!A26)</f>
        <v>D</v>
      </c>
      <c r="M37" s="230" t="str">
        <f>IF(Giocatori!C26=0,"",Giocatori!C26)</f>
        <v>Benevento</v>
      </c>
      <c r="N37" s="69" t="str">
        <f t="shared" si="5"/>
        <v/>
      </c>
      <c r="O37" t="str">
        <f t="shared" si="6"/>
        <v>ANTEI</v>
      </c>
      <c r="P37" s="7">
        <f t="shared" ca="1" si="16"/>
        <v>37</v>
      </c>
      <c r="Q37" s="7" t="str">
        <f t="shared" ca="1" si="7"/>
        <v>ANTEI</v>
      </c>
      <c r="Z37" s="256"/>
      <c r="AA37" s="219"/>
      <c r="AB37" s="293" t="str">
        <f t="shared" si="8"/>
        <v/>
      </c>
      <c r="AC37" s="294" t="str">
        <f t="shared" si="9"/>
        <v/>
      </c>
      <c r="AD37" s="219"/>
      <c r="AE37" s="219"/>
      <c r="AF37" s="293" t="str">
        <f>IF(AA37="","",VLOOKUP(AA37,Asta!$B:$H,7,FALSE))</f>
        <v/>
      </c>
      <c r="AG37" s="294" t="str">
        <f t="shared" si="10"/>
        <v/>
      </c>
      <c r="AH37" t="str">
        <f t="shared" si="11"/>
        <v/>
      </c>
      <c r="AI37" s="254" t="str">
        <f t="shared" ca="1" si="17"/>
        <v>18</v>
      </c>
      <c r="AJ37" s="254" t="str">
        <f t="shared" ca="1" si="18"/>
        <v>18</v>
      </c>
      <c r="AK37" s="351"/>
      <c r="AL37">
        <v>18</v>
      </c>
      <c r="AM37" s="256" t="str">
        <f t="shared" ca="1" si="19"/>
        <v/>
      </c>
      <c r="AN37" s="219" t="str">
        <f t="shared" ca="1" si="19"/>
        <v/>
      </c>
      <c r="AO37" s="219" t="str">
        <f t="shared" ca="1" si="19"/>
        <v/>
      </c>
      <c r="AP37" s="219" t="str">
        <f t="shared" ca="1" si="19"/>
        <v/>
      </c>
      <c r="AQ37" s="219" t="str">
        <f t="shared" ca="1" si="19"/>
        <v/>
      </c>
      <c r="AR37" s="219" t="str">
        <f t="shared" ca="1" si="19"/>
        <v/>
      </c>
      <c r="AS37" s="219" t="str">
        <f t="shared" ca="1" si="19"/>
        <v/>
      </c>
      <c r="AT37" s="219" t="str">
        <f t="shared" ca="1" si="19"/>
        <v/>
      </c>
      <c r="AU37" s="219" t="str">
        <f t="shared" ca="1" si="19"/>
        <v/>
      </c>
      <c r="AV37" s="219" t="str">
        <f t="shared" ca="1" si="19"/>
        <v/>
      </c>
      <c r="AW37" s="219" t="str">
        <f t="shared" ca="1" si="19"/>
        <v/>
      </c>
      <c r="AX37" s="352" t="str">
        <f t="shared" ca="1" si="19"/>
        <v/>
      </c>
    </row>
    <row r="38" spans="1:50">
      <c r="A38" s="74">
        <v>19</v>
      </c>
      <c r="B38" s="252"/>
      <c r="C38" s="293" t="str">
        <f t="shared" si="2"/>
        <v/>
      </c>
      <c r="D38" s="294" t="str">
        <f t="shared" si="3"/>
        <v/>
      </c>
      <c r="E38" s="287"/>
      <c r="F38" s="293" t="str">
        <f t="shared" si="4"/>
        <v/>
      </c>
      <c r="G38" s="294" t="str">
        <f t="shared" si="13"/>
        <v/>
      </c>
      <c r="H38" s="290"/>
      <c r="I38" s="254" t="str">
        <f t="shared" ca="1" si="14"/>
        <v>1</v>
      </c>
      <c r="J38" s="254" t="str">
        <f t="shared" ca="1" si="15"/>
        <v>1</v>
      </c>
      <c r="K38" s="230" t="str">
        <f>IF(Giocatori!B27=0,"",Giocatori!B27)</f>
        <v>ANTENUCCI</v>
      </c>
      <c r="L38" s="230" t="str">
        <f>IF(Giocatori!A27=0,"",Giocatori!A27)</f>
        <v>A</v>
      </c>
      <c r="M38" s="230" t="str">
        <f>IF(Giocatori!C27=0,"",Giocatori!C27)</f>
        <v>SPAL</v>
      </c>
      <c r="N38" s="69" t="str">
        <f t="shared" si="5"/>
        <v/>
      </c>
      <c r="O38" t="str">
        <f t="shared" si="6"/>
        <v>ANTENUCCI</v>
      </c>
      <c r="P38" s="7">
        <f t="shared" ca="1" si="16"/>
        <v>38</v>
      </c>
      <c r="Q38" s="7" t="str">
        <f t="shared" ca="1" si="7"/>
        <v>ANTENUCCI</v>
      </c>
      <c r="Z38" s="256"/>
      <c r="AA38" s="219"/>
      <c r="AB38" s="293" t="str">
        <f t="shared" si="8"/>
        <v/>
      </c>
      <c r="AC38" s="294" t="str">
        <f t="shared" si="9"/>
        <v/>
      </c>
      <c r="AD38" s="219"/>
      <c r="AE38" s="219"/>
      <c r="AF38" s="293" t="str">
        <f>IF(AA38="","",VLOOKUP(AA38,Asta!$B:$H,7,FALSE))</f>
        <v/>
      </c>
      <c r="AG38" s="294" t="str">
        <f t="shared" si="10"/>
        <v/>
      </c>
      <c r="AH38" t="str">
        <f t="shared" si="11"/>
        <v/>
      </c>
      <c r="AI38" s="254" t="str">
        <f t="shared" ca="1" si="17"/>
        <v>19</v>
      </c>
      <c r="AJ38" s="254" t="str">
        <f t="shared" ca="1" si="18"/>
        <v>19</v>
      </c>
      <c r="AK38" s="351"/>
      <c r="AL38">
        <v>19</v>
      </c>
      <c r="AM38" s="256" t="str">
        <f t="shared" ca="1" si="19"/>
        <v/>
      </c>
      <c r="AN38" s="219" t="str">
        <f t="shared" ca="1" si="19"/>
        <v/>
      </c>
      <c r="AO38" s="219" t="str">
        <f t="shared" ca="1" si="19"/>
        <v/>
      </c>
      <c r="AP38" s="219" t="str">
        <f t="shared" ca="1" si="19"/>
        <v/>
      </c>
      <c r="AQ38" s="219" t="str">
        <f t="shared" ca="1" si="19"/>
        <v/>
      </c>
      <c r="AR38" s="219" t="str">
        <f t="shared" ca="1" si="19"/>
        <v/>
      </c>
      <c r="AS38" s="219" t="str">
        <f t="shared" ca="1" si="19"/>
        <v/>
      </c>
      <c r="AT38" s="219" t="str">
        <f t="shared" ca="1" si="19"/>
        <v/>
      </c>
      <c r="AU38" s="219" t="str">
        <f t="shared" ca="1" si="19"/>
        <v/>
      </c>
      <c r="AV38" s="219" t="str">
        <f t="shared" ca="1" si="19"/>
        <v/>
      </c>
      <c r="AW38" s="219" t="str">
        <f t="shared" ca="1" si="19"/>
        <v/>
      </c>
      <c r="AX38" s="352" t="str">
        <f t="shared" ca="1" si="19"/>
        <v/>
      </c>
    </row>
    <row r="39" spans="1:50">
      <c r="A39" s="74">
        <v>20</v>
      </c>
      <c r="B39" s="252"/>
      <c r="C39" s="293" t="str">
        <f t="shared" si="2"/>
        <v/>
      </c>
      <c r="D39" s="294" t="str">
        <f t="shared" si="3"/>
        <v/>
      </c>
      <c r="E39" s="287"/>
      <c r="F39" s="293" t="str">
        <f t="shared" si="4"/>
        <v/>
      </c>
      <c r="G39" s="294" t="str">
        <f t="shared" si="13"/>
        <v/>
      </c>
      <c r="H39" s="290"/>
      <c r="I39" s="254" t="str">
        <f t="shared" ca="1" si="14"/>
        <v>1</v>
      </c>
      <c r="J39" s="254" t="str">
        <f t="shared" ca="1" si="15"/>
        <v>1</v>
      </c>
      <c r="K39" s="230" t="str">
        <f>IF(Giocatori!B28=0,"",Giocatori!B28)</f>
        <v>ANTONELLI</v>
      </c>
      <c r="L39" s="230" t="str">
        <f>IF(Giocatori!A28=0,"",Giocatori!A28)</f>
        <v>D</v>
      </c>
      <c r="M39" s="230" t="str">
        <f>IF(Giocatori!C28=0,"",Giocatori!C28)</f>
        <v>Milan</v>
      </c>
      <c r="N39" s="69" t="str">
        <f t="shared" si="5"/>
        <v/>
      </c>
      <c r="O39" t="str">
        <f t="shared" si="6"/>
        <v>ANTONELLI</v>
      </c>
      <c r="P39" s="7">
        <f t="shared" ca="1" si="16"/>
        <v>39</v>
      </c>
      <c r="Q39" s="7" t="str">
        <f t="shared" ca="1" si="7"/>
        <v>ANTONELLI</v>
      </c>
      <c r="Z39" s="256"/>
      <c r="AA39" s="219"/>
      <c r="AB39" s="293" t="str">
        <f t="shared" si="8"/>
        <v/>
      </c>
      <c r="AC39" s="294" t="str">
        <f t="shared" si="9"/>
        <v/>
      </c>
      <c r="AD39" s="219"/>
      <c r="AE39" s="219"/>
      <c r="AF39" s="293" t="str">
        <f>IF(AA39="","",VLOOKUP(AA39,Asta!$B:$H,7,FALSE))</f>
        <v/>
      </c>
      <c r="AG39" s="294" t="str">
        <f t="shared" si="10"/>
        <v/>
      </c>
      <c r="AH39" t="str">
        <f t="shared" si="11"/>
        <v/>
      </c>
      <c r="AI39" s="254" t="str">
        <f t="shared" ca="1" si="17"/>
        <v>20</v>
      </c>
      <c r="AJ39" s="254" t="str">
        <f t="shared" ca="1" si="18"/>
        <v>20</v>
      </c>
      <c r="AK39" s="351"/>
      <c r="AL39">
        <v>20</v>
      </c>
      <c r="AM39" s="256" t="str">
        <f t="shared" ca="1" si="19"/>
        <v/>
      </c>
      <c r="AN39" s="219" t="str">
        <f t="shared" ca="1" si="19"/>
        <v/>
      </c>
      <c r="AO39" s="219" t="str">
        <f t="shared" ca="1" si="19"/>
        <v/>
      </c>
      <c r="AP39" s="219" t="str">
        <f t="shared" ca="1" si="19"/>
        <v/>
      </c>
      <c r="AQ39" s="219" t="str">
        <f t="shared" ca="1" si="19"/>
        <v/>
      </c>
      <c r="AR39" s="219" t="str">
        <f t="shared" ca="1" si="19"/>
        <v/>
      </c>
      <c r="AS39" s="219" t="str">
        <f t="shared" ca="1" si="19"/>
        <v/>
      </c>
      <c r="AT39" s="219" t="str">
        <f t="shared" ca="1" si="19"/>
        <v/>
      </c>
      <c r="AU39" s="219" t="str">
        <f t="shared" ca="1" si="19"/>
        <v/>
      </c>
      <c r="AV39" s="219" t="str">
        <f t="shared" ca="1" si="19"/>
        <v/>
      </c>
      <c r="AW39" s="219" t="str">
        <f t="shared" ca="1" si="19"/>
        <v/>
      </c>
      <c r="AX39" s="352" t="str">
        <f t="shared" ca="1" si="19"/>
        <v/>
      </c>
    </row>
    <row r="40" spans="1:50">
      <c r="A40" s="74">
        <v>21</v>
      </c>
      <c r="B40" s="252"/>
      <c r="C40" s="293" t="str">
        <f t="shared" si="2"/>
        <v/>
      </c>
      <c r="D40" s="294" t="str">
        <f t="shared" si="3"/>
        <v/>
      </c>
      <c r="E40" s="287"/>
      <c r="F40" s="293" t="str">
        <f t="shared" si="4"/>
        <v/>
      </c>
      <c r="G40" s="294" t="str">
        <f t="shared" si="13"/>
        <v/>
      </c>
      <c r="H40" s="290"/>
      <c r="I40" s="254" t="str">
        <f t="shared" ca="1" si="14"/>
        <v>1</v>
      </c>
      <c r="J40" s="254" t="str">
        <f t="shared" ca="1" si="15"/>
        <v>1</v>
      </c>
      <c r="K40" s="230" t="str">
        <f>IF(Giocatori!B29=0,"",Giocatori!B29)</f>
        <v>ARMENTEROS</v>
      </c>
      <c r="L40" s="230" t="str">
        <f>IF(Giocatori!A29=0,"",Giocatori!A29)</f>
        <v>A</v>
      </c>
      <c r="M40" s="230" t="str">
        <f>IF(Giocatori!C29=0,"",Giocatori!C29)</f>
        <v>Benevento</v>
      </c>
      <c r="N40" s="69" t="str">
        <f t="shared" si="5"/>
        <v/>
      </c>
      <c r="O40" t="str">
        <f t="shared" si="6"/>
        <v>ARMENTEROS</v>
      </c>
      <c r="P40" s="7">
        <f t="shared" ca="1" si="16"/>
        <v>40</v>
      </c>
      <c r="Q40" s="7" t="str">
        <f t="shared" ca="1" si="7"/>
        <v>ARMENTEROS</v>
      </c>
      <c r="Z40" s="256"/>
      <c r="AA40" s="219"/>
      <c r="AB40" s="293" t="str">
        <f t="shared" si="8"/>
        <v/>
      </c>
      <c r="AC40" s="294" t="str">
        <f t="shared" si="9"/>
        <v/>
      </c>
      <c r="AD40" s="219"/>
      <c r="AE40" s="219"/>
      <c r="AF40" s="293" t="str">
        <f>IF(AA40="","",VLOOKUP(AA40,Asta!$B:$H,7,FALSE))</f>
        <v/>
      </c>
      <c r="AG40" s="294" t="str">
        <f t="shared" si="10"/>
        <v/>
      </c>
      <c r="AH40" t="str">
        <f t="shared" si="11"/>
        <v/>
      </c>
      <c r="AI40" s="254" t="str">
        <f t="shared" ca="1" si="17"/>
        <v>21</v>
      </c>
      <c r="AJ40" s="254" t="str">
        <f t="shared" ca="1" si="18"/>
        <v>21</v>
      </c>
      <c r="AK40" s="351"/>
      <c r="AL40">
        <v>21</v>
      </c>
      <c r="AM40" s="256" t="str">
        <f t="shared" ref="AM40:AX50" ca="1" si="20">IF(ISNA(MATCH(AM$19&amp;$AL40,$J:$J,0)),"",INDIRECT("Asta!B"&amp;MATCH(AM$19&amp;$AL40,$J:$J,0)))</f>
        <v/>
      </c>
      <c r="AN40" s="219" t="str">
        <f t="shared" ca="1" si="20"/>
        <v/>
      </c>
      <c r="AO40" s="219" t="str">
        <f t="shared" ca="1" si="20"/>
        <v/>
      </c>
      <c r="AP40" s="219" t="str">
        <f t="shared" ca="1" si="20"/>
        <v/>
      </c>
      <c r="AQ40" s="219" t="str">
        <f t="shared" ca="1" si="20"/>
        <v/>
      </c>
      <c r="AR40" s="219" t="str">
        <f t="shared" ca="1" si="20"/>
        <v/>
      </c>
      <c r="AS40" s="219" t="str">
        <f t="shared" ca="1" si="20"/>
        <v/>
      </c>
      <c r="AT40" s="219" t="str">
        <f t="shared" ca="1" si="20"/>
        <v/>
      </c>
      <c r="AU40" s="219" t="str">
        <f t="shared" ca="1" si="20"/>
        <v/>
      </c>
      <c r="AV40" s="219" t="str">
        <f t="shared" ca="1" si="20"/>
        <v/>
      </c>
      <c r="AW40" s="219" t="str">
        <f t="shared" ca="1" si="20"/>
        <v/>
      </c>
      <c r="AX40" s="352" t="str">
        <f t="shared" ca="1" si="20"/>
        <v/>
      </c>
    </row>
    <row r="41" spans="1:50">
      <c r="A41" s="74">
        <v>22</v>
      </c>
      <c r="B41" s="252"/>
      <c r="C41" s="293" t="str">
        <f t="shared" si="2"/>
        <v/>
      </c>
      <c r="D41" s="294" t="str">
        <f t="shared" si="3"/>
        <v/>
      </c>
      <c r="E41" s="287"/>
      <c r="F41" s="293" t="str">
        <f t="shared" si="4"/>
        <v/>
      </c>
      <c r="G41" s="294" t="str">
        <f t="shared" si="13"/>
        <v/>
      </c>
      <c r="H41" s="290"/>
      <c r="I41" s="254" t="str">
        <f t="shared" ca="1" si="14"/>
        <v>1</v>
      </c>
      <c r="J41" s="254" t="str">
        <f t="shared" ca="1" si="15"/>
        <v>1</v>
      </c>
      <c r="K41" s="230" t="str">
        <f>IF(Giocatori!B30=0,"",Giocatori!B30)</f>
        <v>ASAMOAH</v>
      </c>
      <c r="L41" s="230" t="str">
        <f>IF(Giocatori!A30=0,"",Giocatori!A30)</f>
        <v>D</v>
      </c>
      <c r="M41" s="230" t="str">
        <f>IF(Giocatori!C30=0,"",Giocatori!C30)</f>
        <v>Juventus</v>
      </c>
      <c r="N41" s="69" t="str">
        <f t="shared" si="5"/>
        <v/>
      </c>
      <c r="O41" t="str">
        <f t="shared" si="6"/>
        <v>ASAMOAH</v>
      </c>
      <c r="P41" s="7">
        <f t="shared" ca="1" si="16"/>
        <v>41</v>
      </c>
      <c r="Q41" s="7" t="str">
        <f t="shared" ca="1" si="7"/>
        <v>ASAMOAH</v>
      </c>
      <c r="Z41" s="256"/>
      <c r="AA41" s="219"/>
      <c r="AB41" s="293" t="str">
        <f t="shared" si="8"/>
        <v/>
      </c>
      <c r="AC41" s="294" t="str">
        <f t="shared" si="9"/>
        <v/>
      </c>
      <c r="AD41" s="219"/>
      <c r="AE41" s="219"/>
      <c r="AF41" s="293" t="str">
        <f>IF(AA41="","",VLOOKUP(AA41,Asta!$B:$H,7,FALSE))</f>
        <v/>
      </c>
      <c r="AG41" s="294" t="str">
        <f t="shared" si="10"/>
        <v/>
      </c>
      <c r="AH41" t="str">
        <f t="shared" si="11"/>
        <v/>
      </c>
      <c r="AI41" s="254" t="str">
        <f t="shared" ca="1" si="17"/>
        <v>22</v>
      </c>
      <c r="AJ41" s="254" t="str">
        <f t="shared" ca="1" si="18"/>
        <v>22</v>
      </c>
      <c r="AK41" s="351"/>
      <c r="AL41">
        <v>22</v>
      </c>
      <c r="AM41" s="256" t="str">
        <f t="shared" ca="1" si="20"/>
        <v/>
      </c>
      <c r="AN41" s="219" t="str">
        <f t="shared" ca="1" si="20"/>
        <v/>
      </c>
      <c r="AO41" s="219" t="str">
        <f t="shared" ca="1" si="20"/>
        <v/>
      </c>
      <c r="AP41" s="219" t="str">
        <f t="shared" ca="1" si="20"/>
        <v/>
      </c>
      <c r="AQ41" s="219" t="str">
        <f t="shared" ca="1" si="20"/>
        <v/>
      </c>
      <c r="AR41" s="219" t="str">
        <f t="shared" ca="1" si="20"/>
        <v/>
      </c>
      <c r="AS41" s="219" t="str">
        <f t="shared" ca="1" si="20"/>
        <v/>
      </c>
      <c r="AT41" s="219" t="str">
        <f t="shared" ca="1" si="20"/>
        <v/>
      </c>
      <c r="AU41" s="219" t="str">
        <f t="shared" ca="1" si="20"/>
        <v/>
      </c>
      <c r="AV41" s="219" t="str">
        <f t="shared" ca="1" si="20"/>
        <v/>
      </c>
      <c r="AW41" s="219" t="str">
        <f t="shared" ca="1" si="20"/>
        <v/>
      </c>
      <c r="AX41" s="352" t="str">
        <f t="shared" ca="1" si="20"/>
        <v/>
      </c>
    </row>
    <row r="42" spans="1:50">
      <c r="A42" s="74">
        <v>23</v>
      </c>
      <c r="B42" s="252"/>
      <c r="C42" s="293" t="str">
        <f t="shared" si="2"/>
        <v/>
      </c>
      <c r="D42" s="294" t="str">
        <f t="shared" si="3"/>
        <v/>
      </c>
      <c r="E42" s="287"/>
      <c r="F42" s="293" t="str">
        <f t="shared" si="4"/>
        <v/>
      </c>
      <c r="G42" s="294" t="str">
        <f t="shared" si="13"/>
        <v/>
      </c>
      <c r="H42" s="290"/>
      <c r="I42" s="254" t="str">
        <f t="shared" ca="1" si="14"/>
        <v>1</v>
      </c>
      <c r="J42" s="254" t="str">
        <f t="shared" ca="1" si="15"/>
        <v>1</v>
      </c>
      <c r="K42" s="230" t="str">
        <f>IF(Giocatori!B31=0,"",Giocatori!B31)</f>
        <v>ASTORI</v>
      </c>
      <c r="L42" s="230" t="str">
        <f>IF(Giocatori!A31=0,"",Giocatori!A31)</f>
        <v>D</v>
      </c>
      <c r="M42" s="230" t="str">
        <f>IF(Giocatori!C31=0,"",Giocatori!C31)</f>
        <v>Fiorentina</v>
      </c>
      <c r="N42" s="69" t="str">
        <f t="shared" si="5"/>
        <v/>
      </c>
      <c r="O42" t="str">
        <f t="shared" si="6"/>
        <v>ASTORI</v>
      </c>
      <c r="P42" s="7">
        <f t="shared" ca="1" si="16"/>
        <v>42</v>
      </c>
      <c r="Q42" s="7" t="str">
        <f t="shared" ca="1" si="7"/>
        <v>ASTORI</v>
      </c>
      <c r="Z42" s="256"/>
      <c r="AA42" s="219"/>
      <c r="AB42" s="293" t="str">
        <f t="shared" si="8"/>
        <v/>
      </c>
      <c r="AC42" s="294" t="str">
        <f t="shared" si="9"/>
        <v/>
      </c>
      <c r="AD42" s="219"/>
      <c r="AE42" s="219"/>
      <c r="AF42" s="293" t="str">
        <f>IF(AA42="","",VLOOKUP(AA42,Asta!$B:$H,7,FALSE))</f>
        <v/>
      </c>
      <c r="AG42" s="294" t="str">
        <f t="shared" si="10"/>
        <v/>
      </c>
      <c r="AH42" t="str">
        <f t="shared" si="11"/>
        <v/>
      </c>
      <c r="AI42" s="254" t="str">
        <f t="shared" ca="1" si="17"/>
        <v>23</v>
      </c>
      <c r="AJ42" s="254" t="str">
        <f t="shared" ca="1" si="18"/>
        <v>23</v>
      </c>
      <c r="AK42" s="351"/>
      <c r="AL42">
        <v>23</v>
      </c>
      <c r="AM42" s="256" t="str">
        <f t="shared" ca="1" si="20"/>
        <v/>
      </c>
      <c r="AN42" s="219" t="str">
        <f t="shared" ca="1" si="20"/>
        <v/>
      </c>
      <c r="AO42" s="219" t="str">
        <f t="shared" ca="1" si="20"/>
        <v/>
      </c>
      <c r="AP42" s="219" t="str">
        <f t="shared" ca="1" si="20"/>
        <v/>
      </c>
      <c r="AQ42" s="219" t="str">
        <f t="shared" ca="1" si="20"/>
        <v/>
      </c>
      <c r="AR42" s="219" t="str">
        <f t="shared" ca="1" si="20"/>
        <v/>
      </c>
      <c r="AS42" s="219" t="str">
        <f t="shared" ca="1" si="20"/>
        <v/>
      </c>
      <c r="AT42" s="219" t="str">
        <f t="shared" ca="1" si="20"/>
        <v/>
      </c>
      <c r="AU42" s="219" t="str">
        <f t="shared" ca="1" si="20"/>
        <v/>
      </c>
      <c r="AV42" s="219" t="str">
        <f t="shared" ca="1" si="20"/>
        <v/>
      </c>
      <c r="AW42" s="219" t="str">
        <f t="shared" ca="1" si="20"/>
        <v/>
      </c>
      <c r="AX42" s="352" t="str">
        <f t="shared" ca="1" si="20"/>
        <v/>
      </c>
    </row>
    <row r="43" spans="1:50">
      <c r="A43" s="74">
        <v>24</v>
      </c>
      <c r="B43" s="252"/>
      <c r="C43" s="293" t="str">
        <f t="shared" si="2"/>
        <v/>
      </c>
      <c r="D43" s="294" t="str">
        <f t="shared" si="3"/>
        <v/>
      </c>
      <c r="E43" s="287"/>
      <c r="F43" s="293" t="str">
        <f t="shared" si="4"/>
        <v/>
      </c>
      <c r="G43" s="294" t="str">
        <f t="shared" si="13"/>
        <v/>
      </c>
      <c r="H43" s="290"/>
      <c r="I43" s="254" t="str">
        <f t="shared" ca="1" si="14"/>
        <v>1</v>
      </c>
      <c r="J43" s="254" t="str">
        <f t="shared" ca="1" si="15"/>
        <v>1</v>
      </c>
      <c r="K43" s="230" t="str">
        <f>IF(Giocatori!B32=0,"",Giocatori!B32)</f>
        <v>BABACAR</v>
      </c>
      <c r="L43" s="230" t="str">
        <f>IF(Giocatori!A32=0,"",Giocatori!A32)</f>
        <v>A</v>
      </c>
      <c r="M43" s="230" t="str">
        <f>IF(Giocatori!C32=0,"",Giocatori!C32)</f>
        <v>Fiorentina</v>
      </c>
      <c r="N43" s="69" t="str">
        <f t="shared" si="5"/>
        <v/>
      </c>
      <c r="O43" t="str">
        <f t="shared" si="6"/>
        <v>BABACAR</v>
      </c>
      <c r="P43" s="7">
        <f t="shared" ca="1" si="16"/>
        <v>43</v>
      </c>
      <c r="Q43" s="7" t="str">
        <f t="shared" ca="1" si="7"/>
        <v>BABACAR</v>
      </c>
      <c r="Z43" s="256"/>
      <c r="AA43" s="219"/>
      <c r="AB43" s="293" t="str">
        <f t="shared" si="8"/>
        <v/>
      </c>
      <c r="AC43" s="294" t="str">
        <f t="shared" si="9"/>
        <v/>
      </c>
      <c r="AD43" s="219"/>
      <c r="AE43" s="219"/>
      <c r="AF43" s="293" t="str">
        <f>IF(AA43="","",VLOOKUP(AA43,Asta!$B:$H,7,FALSE))</f>
        <v/>
      </c>
      <c r="AG43" s="294" t="str">
        <f t="shared" si="10"/>
        <v/>
      </c>
      <c r="AH43" t="str">
        <f t="shared" si="11"/>
        <v/>
      </c>
      <c r="AI43" s="254" t="str">
        <f t="shared" ca="1" si="17"/>
        <v>24</v>
      </c>
      <c r="AJ43" s="254" t="str">
        <f t="shared" ca="1" si="18"/>
        <v>24</v>
      </c>
      <c r="AK43" s="351"/>
      <c r="AL43">
        <v>24</v>
      </c>
      <c r="AM43" s="256" t="str">
        <f t="shared" ca="1" si="20"/>
        <v/>
      </c>
      <c r="AN43" s="219" t="str">
        <f t="shared" ca="1" si="20"/>
        <v/>
      </c>
      <c r="AO43" s="219" t="str">
        <f t="shared" ca="1" si="20"/>
        <v/>
      </c>
      <c r="AP43" s="219" t="str">
        <f t="shared" ca="1" si="20"/>
        <v/>
      </c>
      <c r="AQ43" s="219" t="str">
        <f t="shared" ca="1" si="20"/>
        <v/>
      </c>
      <c r="AR43" s="219" t="str">
        <f t="shared" ca="1" si="20"/>
        <v/>
      </c>
      <c r="AS43" s="219" t="str">
        <f t="shared" ca="1" si="20"/>
        <v/>
      </c>
      <c r="AT43" s="219" t="str">
        <f t="shared" ca="1" si="20"/>
        <v/>
      </c>
      <c r="AU43" s="219" t="str">
        <f t="shared" ca="1" si="20"/>
        <v/>
      </c>
      <c r="AV43" s="219" t="str">
        <f t="shared" ca="1" si="20"/>
        <v/>
      </c>
      <c r="AW43" s="219" t="str">
        <f t="shared" ca="1" si="20"/>
        <v/>
      </c>
      <c r="AX43" s="352" t="str">
        <f t="shared" ca="1" si="20"/>
        <v/>
      </c>
    </row>
    <row r="44" spans="1:50">
      <c r="A44" s="74">
        <v>25</v>
      </c>
      <c r="B44" s="252"/>
      <c r="C44" s="293" t="str">
        <f t="shared" si="2"/>
        <v/>
      </c>
      <c r="D44" s="294" t="str">
        <f t="shared" si="3"/>
        <v/>
      </c>
      <c r="E44" s="287"/>
      <c r="F44" s="293" t="str">
        <f t="shared" si="4"/>
        <v/>
      </c>
      <c r="G44" s="294" t="str">
        <f t="shared" si="13"/>
        <v/>
      </c>
      <c r="H44" s="290"/>
      <c r="I44" s="254" t="str">
        <f t="shared" ca="1" si="14"/>
        <v>1</v>
      </c>
      <c r="J44" s="254" t="str">
        <f t="shared" ca="1" si="15"/>
        <v>1</v>
      </c>
      <c r="K44" s="230" t="str">
        <f>IF(Giocatori!B33=0,"",Giocatori!B33)</f>
        <v>BADELJ</v>
      </c>
      <c r="L44" s="230" t="str">
        <f>IF(Giocatori!A33=0,"",Giocatori!A33)</f>
        <v>C</v>
      </c>
      <c r="M44" s="230" t="str">
        <f>IF(Giocatori!C33=0,"",Giocatori!C33)</f>
        <v>Fiorentina</v>
      </c>
      <c r="N44" s="69" t="str">
        <f t="shared" si="5"/>
        <v/>
      </c>
      <c r="O44" t="str">
        <f t="shared" si="6"/>
        <v>BADELJ</v>
      </c>
      <c r="P44" s="7">
        <f t="shared" ca="1" si="16"/>
        <v>44</v>
      </c>
      <c r="Q44" s="7" t="str">
        <f t="shared" ca="1" si="7"/>
        <v>BADELJ</v>
      </c>
      <c r="Z44" s="256"/>
      <c r="AA44" s="219"/>
      <c r="AB44" s="293" t="str">
        <f t="shared" si="8"/>
        <v/>
      </c>
      <c r="AC44" s="294" t="str">
        <f t="shared" si="9"/>
        <v/>
      </c>
      <c r="AD44" s="219"/>
      <c r="AE44" s="219"/>
      <c r="AF44" s="293" t="str">
        <f>IF(AA44="","",VLOOKUP(AA44,Asta!$B:$H,7,FALSE))</f>
        <v/>
      </c>
      <c r="AG44" s="294" t="str">
        <f t="shared" si="10"/>
        <v/>
      </c>
      <c r="AH44" t="str">
        <f t="shared" si="11"/>
        <v/>
      </c>
      <c r="AI44" s="254" t="str">
        <f t="shared" ca="1" si="17"/>
        <v>25</v>
      </c>
      <c r="AJ44" s="254" t="str">
        <f t="shared" ca="1" si="18"/>
        <v>25</v>
      </c>
      <c r="AK44" s="351"/>
      <c r="AL44">
        <v>25</v>
      </c>
      <c r="AM44" s="256" t="str">
        <f t="shared" ca="1" si="20"/>
        <v/>
      </c>
      <c r="AN44" s="219" t="str">
        <f t="shared" ca="1" si="20"/>
        <v/>
      </c>
      <c r="AO44" s="219" t="str">
        <f t="shared" ca="1" si="20"/>
        <v/>
      </c>
      <c r="AP44" s="219" t="str">
        <f t="shared" ca="1" si="20"/>
        <v/>
      </c>
      <c r="AQ44" s="219" t="str">
        <f t="shared" ca="1" si="20"/>
        <v/>
      </c>
      <c r="AR44" s="219" t="str">
        <f t="shared" ca="1" si="20"/>
        <v/>
      </c>
      <c r="AS44" s="219" t="str">
        <f t="shared" ca="1" si="20"/>
        <v/>
      </c>
      <c r="AT44" s="219" t="str">
        <f t="shared" ca="1" si="20"/>
        <v/>
      </c>
      <c r="AU44" s="219" t="str">
        <f t="shared" ca="1" si="20"/>
        <v/>
      </c>
      <c r="AV44" s="219" t="str">
        <f t="shared" ca="1" si="20"/>
        <v/>
      </c>
      <c r="AW44" s="219" t="str">
        <f t="shared" ca="1" si="20"/>
        <v/>
      </c>
      <c r="AX44" s="352" t="str">
        <f t="shared" ca="1" si="20"/>
        <v/>
      </c>
    </row>
    <row r="45" spans="1:50">
      <c r="A45" s="74">
        <v>26</v>
      </c>
      <c r="B45" s="252"/>
      <c r="C45" s="293" t="str">
        <f t="shared" si="2"/>
        <v/>
      </c>
      <c r="D45" s="294" t="str">
        <f t="shared" si="3"/>
        <v/>
      </c>
      <c r="E45" s="287"/>
      <c r="F45" s="293" t="str">
        <f t="shared" si="4"/>
        <v/>
      </c>
      <c r="G45" s="294" t="str">
        <f t="shared" si="13"/>
        <v/>
      </c>
      <c r="H45" s="290"/>
      <c r="I45" s="254" t="str">
        <f t="shared" ca="1" si="14"/>
        <v>1</v>
      </c>
      <c r="J45" s="254" t="str">
        <f t="shared" ca="1" si="15"/>
        <v>1</v>
      </c>
      <c r="K45" s="230" t="str">
        <f>IF(Giocatori!B34=0,"",Giocatori!B34)</f>
        <v>BAJIC</v>
      </c>
      <c r="L45" s="230" t="str">
        <f>IF(Giocatori!A34=0,"",Giocatori!A34)</f>
        <v>A</v>
      </c>
      <c r="M45" s="230" t="str">
        <f>IF(Giocatori!C34=0,"",Giocatori!C34)</f>
        <v>Udinese</v>
      </c>
      <c r="N45" s="69" t="str">
        <f t="shared" si="5"/>
        <v/>
      </c>
      <c r="O45" t="str">
        <f t="shared" si="6"/>
        <v>BAJIC</v>
      </c>
      <c r="P45" s="7">
        <f t="shared" ca="1" si="16"/>
        <v>45</v>
      </c>
      <c r="Q45" s="7" t="str">
        <f t="shared" ca="1" si="7"/>
        <v>BAJIC</v>
      </c>
      <c r="Z45" s="256"/>
      <c r="AA45" s="219"/>
      <c r="AB45" s="293" t="str">
        <f t="shared" si="8"/>
        <v/>
      </c>
      <c r="AC45" s="294" t="str">
        <f t="shared" si="9"/>
        <v/>
      </c>
      <c r="AD45" s="219"/>
      <c r="AE45" s="219"/>
      <c r="AF45" s="293" t="str">
        <f>IF(AA45="","",VLOOKUP(AA45,Asta!$B:$H,7,FALSE))</f>
        <v/>
      </c>
      <c r="AG45" s="294" t="str">
        <f t="shared" si="10"/>
        <v/>
      </c>
      <c r="AH45" t="str">
        <f t="shared" si="11"/>
        <v/>
      </c>
      <c r="AI45" s="254" t="str">
        <f t="shared" ca="1" si="17"/>
        <v>26</v>
      </c>
      <c r="AJ45" s="254" t="str">
        <f t="shared" ca="1" si="18"/>
        <v>26</v>
      </c>
      <c r="AK45" s="351"/>
      <c r="AL45">
        <v>26</v>
      </c>
      <c r="AM45" s="256" t="str">
        <f t="shared" ca="1" si="20"/>
        <v/>
      </c>
      <c r="AN45" s="219" t="str">
        <f t="shared" ca="1" si="20"/>
        <v/>
      </c>
      <c r="AO45" s="219" t="str">
        <f t="shared" ca="1" si="20"/>
        <v/>
      </c>
      <c r="AP45" s="219" t="str">
        <f t="shared" ca="1" si="20"/>
        <v/>
      </c>
      <c r="AQ45" s="219" t="str">
        <f t="shared" ca="1" si="20"/>
        <v/>
      </c>
      <c r="AR45" s="219" t="str">
        <f t="shared" ca="1" si="20"/>
        <v/>
      </c>
      <c r="AS45" s="219" t="str">
        <f t="shared" ca="1" si="20"/>
        <v/>
      </c>
      <c r="AT45" s="219" t="str">
        <f t="shared" ca="1" si="20"/>
        <v/>
      </c>
      <c r="AU45" s="219" t="str">
        <f t="shared" ca="1" si="20"/>
        <v/>
      </c>
      <c r="AV45" s="219" t="str">
        <f t="shared" ca="1" si="20"/>
        <v/>
      </c>
      <c r="AW45" s="219" t="str">
        <f t="shared" ca="1" si="20"/>
        <v/>
      </c>
      <c r="AX45" s="352" t="str">
        <f t="shared" ca="1" si="20"/>
        <v/>
      </c>
    </row>
    <row r="46" spans="1:50">
      <c r="A46" s="74">
        <v>27</v>
      </c>
      <c r="B46" s="252"/>
      <c r="C46" s="293" t="str">
        <f t="shared" si="2"/>
        <v/>
      </c>
      <c r="D46" s="294" t="str">
        <f t="shared" si="3"/>
        <v/>
      </c>
      <c r="E46" s="287"/>
      <c r="F46" s="293" t="str">
        <f t="shared" si="4"/>
        <v/>
      </c>
      <c r="G46" s="294" t="str">
        <f t="shared" si="13"/>
        <v/>
      </c>
      <c r="H46" s="290"/>
      <c r="I46" s="254" t="str">
        <f t="shared" ca="1" si="14"/>
        <v>1</v>
      </c>
      <c r="J46" s="254" t="str">
        <f t="shared" ca="1" si="15"/>
        <v>1</v>
      </c>
      <c r="K46" s="230" t="str">
        <f>IF(Giocatori!B35=0,"",Giocatori!B35)</f>
        <v>BALIC</v>
      </c>
      <c r="L46" s="230" t="str">
        <f>IF(Giocatori!A35=0,"",Giocatori!A35)</f>
        <v>C</v>
      </c>
      <c r="M46" s="230" t="str">
        <f>IF(Giocatori!C35=0,"",Giocatori!C35)</f>
        <v>Udinese</v>
      </c>
      <c r="N46" s="69" t="str">
        <f t="shared" si="5"/>
        <v/>
      </c>
      <c r="O46" t="str">
        <f t="shared" si="6"/>
        <v>BALIC</v>
      </c>
      <c r="P46" s="7">
        <f t="shared" ca="1" si="16"/>
        <v>46</v>
      </c>
      <c r="Q46" s="7" t="str">
        <f t="shared" ca="1" si="7"/>
        <v>BALIC</v>
      </c>
      <c r="Z46" s="256"/>
      <c r="AA46" s="219"/>
      <c r="AB46" s="293" t="str">
        <f t="shared" si="8"/>
        <v/>
      </c>
      <c r="AC46" s="294" t="str">
        <f t="shared" si="9"/>
        <v/>
      </c>
      <c r="AD46" s="219"/>
      <c r="AE46" s="219"/>
      <c r="AF46" s="293" t="str">
        <f>IF(AA46="","",VLOOKUP(AA46,Asta!$B:$H,7,FALSE))</f>
        <v/>
      </c>
      <c r="AG46" s="294" t="str">
        <f t="shared" si="10"/>
        <v/>
      </c>
      <c r="AH46" t="str">
        <f t="shared" si="11"/>
        <v/>
      </c>
      <c r="AI46" s="254" t="str">
        <f t="shared" ca="1" si="17"/>
        <v>27</v>
      </c>
      <c r="AJ46" s="254" t="str">
        <f t="shared" ca="1" si="18"/>
        <v>27</v>
      </c>
      <c r="AK46" s="351"/>
      <c r="AL46">
        <v>27</v>
      </c>
      <c r="AM46" s="256" t="str">
        <f t="shared" ca="1" si="20"/>
        <v/>
      </c>
      <c r="AN46" s="219" t="str">
        <f t="shared" ca="1" si="20"/>
        <v/>
      </c>
      <c r="AO46" s="219" t="str">
        <f t="shared" ca="1" si="20"/>
        <v/>
      </c>
      <c r="AP46" s="219" t="str">
        <f t="shared" ca="1" si="20"/>
        <v/>
      </c>
      <c r="AQ46" s="219" t="str">
        <f t="shared" ca="1" si="20"/>
        <v/>
      </c>
      <c r="AR46" s="219" t="str">
        <f t="shared" ca="1" si="20"/>
        <v/>
      </c>
      <c r="AS46" s="219" t="str">
        <f t="shared" ca="1" si="20"/>
        <v/>
      </c>
      <c r="AT46" s="219" t="str">
        <f t="shared" ca="1" si="20"/>
        <v/>
      </c>
      <c r="AU46" s="219" t="str">
        <f t="shared" ca="1" si="20"/>
        <v/>
      </c>
      <c r="AV46" s="219" t="str">
        <f t="shared" ca="1" si="20"/>
        <v/>
      </c>
      <c r="AW46" s="219" t="str">
        <f t="shared" ca="1" si="20"/>
        <v/>
      </c>
      <c r="AX46" s="352" t="str">
        <f t="shared" ca="1" si="20"/>
        <v/>
      </c>
    </row>
    <row r="47" spans="1:50">
      <c r="A47" s="74">
        <v>28</v>
      </c>
      <c r="B47" s="252"/>
      <c r="C47" s="293" t="str">
        <f t="shared" si="2"/>
        <v/>
      </c>
      <c r="D47" s="294" t="str">
        <f t="shared" si="3"/>
        <v/>
      </c>
      <c r="E47" s="287"/>
      <c r="F47" s="293" t="str">
        <f t="shared" si="4"/>
        <v/>
      </c>
      <c r="G47" s="294" t="str">
        <f t="shared" si="13"/>
        <v/>
      </c>
      <c r="H47" s="290"/>
      <c r="I47" s="254" t="str">
        <f t="shared" ca="1" si="14"/>
        <v>1</v>
      </c>
      <c r="J47" s="254" t="str">
        <f t="shared" ca="1" si="15"/>
        <v>1</v>
      </c>
      <c r="K47" s="230" t="str">
        <f>IF(Giocatori!B36=0,"",Giocatori!B36)</f>
        <v>BANI</v>
      </c>
      <c r="L47" s="230" t="str">
        <f>IF(Giocatori!A36=0,"",Giocatori!A36)</f>
        <v>D</v>
      </c>
      <c r="M47" s="230" t="str">
        <f>IF(Giocatori!C36=0,"",Giocatori!C36)</f>
        <v>Chievo</v>
      </c>
      <c r="N47" s="69" t="str">
        <f t="shared" si="5"/>
        <v/>
      </c>
      <c r="O47" t="str">
        <f t="shared" si="6"/>
        <v>BANI</v>
      </c>
      <c r="P47" s="7">
        <f t="shared" ca="1" si="16"/>
        <v>47</v>
      </c>
      <c r="Q47" s="7" t="str">
        <f t="shared" ca="1" si="7"/>
        <v>BANI</v>
      </c>
      <c r="Z47" s="256"/>
      <c r="AA47" s="219"/>
      <c r="AB47" s="293" t="str">
        <f t="shared" si="8"/>
        <v/>
      </c>
      <c r="AC47" s="294" t="str">
        <f t="shared" si="9"/>
        <v/>
      </c>
      <c r="AD47" s="219"/>
      <c r="AE47" s="219"/>
      <c r="AF47" s="293" t="str">
        <f>IF(AA47="","",VLOOKUP(AA47,Asta!$B:$H,7,FALSE))</f>
        <v/>
      </c>
      <c r="AG47" s="294" t="str">
        <f t="shared" si="10"/>
        <v/>
      </c>
      <c r="AH47" t="str">
        <f t="shared" si="11"/>
        <v/>
      </c>
      <c r="AI47" s="254" t="str">
        <f t="shared" ca="1" si="17"/>
        <v>28</v>
      </c>
      <c r="AJ47" s="254" t="str">
        <f t="shared" ca="1" si="18"/>
        <v>28</v>
      </c>
      <c r="AK47" s="351"/>
      <c r="AL47">
        <v>28</v>
      </c>
      <c r="AM47" s="256" t="str">
        <f t="shared" ca="1" si="20"/>
        <v/>
      </c>
      <c r="AN47" s="219" t="str">
        <f t="shared" ca="1" si="20"/>
        <v/>
      </c>
      <c r="AO47" s="219" t="str">
        <f t="shared" ca="1" si="20"/>
        <v/>
      </c>
      <c r="AP47" s="219" t="str">
        <f t="shared" ca="1" si="20"/>
        <v/>
      </c>
      <c r="AQ47" s="219" t="str">
        <f t="shared" ca="1" si="20"/>
        <v/>
      </c>
      <c r="AR47" s="219" t="str">
        <f t="shared" ca="1" si="20"/>
        <v/>
      </c>
      <c r="AS47" s="219" t="str">
        <f t="shared" ca="1" si="20"/>
        <v/>
      </c>
      <c r="AT47" s="219" t="str">
        <f t="shared" ca="1" si="20"/>
        <v/>
      </c>
      <c r="AU47" s="219" t="str">
        <f t="shared" ca="1" si="20"/>
        <v/>
      </c>
      <c r="AV47" s="219" t="str">
        <f t="shared" ca="1" si="20"/>
        <v/>
      </c>
      <c r="AW47" s="219" t="str">
        <f t="shared" ca="1" si="20"/>
        <v/>
      </c>
      <c r="AX47" s="352" t="str">
        <f t="shared" ca="1" si="20"/>
        <v/>
      </c>
    </row>
    <row r="48" spans="1:50">
      <c r="A48" s="74">
        <v>29</v>
      </c>
      <c r="B48" s="252"/>
      <c r="C48" s="293" t="str">
        <f t="shared" si="2"/>
        <v/>
      </c>
      <c r="D48" s="294" t="str">
        <f t="shared" si="3"/>
        <v/>
      </c>
      <c r="E48" s="287"/>
      <c r="F48" s="293" t="str">
        <f t="shared" si="4"/>
        <v/>
      </c>
      <c r="G48" s="294" t="str">
        <f t="shared" si="13"/>
        <v/>
      </c>
      <c r="H48" s="290"/>
      <c r="I48" s="254" t="str">
        <f t="shared" ca="1" si="14"/>
        <v>1</v>
      </c>
      <c r="J48" s="254" t="str">
        <f t="shared" ca="1" si="15"/>
        <v>1</v>
      </c>
      <c r="K48" s="230" t="str">
        <f>IF(Giocatori!B37=0,"",Giocatori!B37)</f>
        <v>BARAK</v>
      </c>
      <c r="L48" s="230" t="str">
        <f>IF(Giocatori!A37=0,"",Giocatori!A37)</f>
        <v>C</v>
      </c>
      <c r="M48" s="230" t="str">
        <f>IF(Giocatori!C37=0,"",Giocatori!C37)</f>
        <v>Udinese</v>
      </c>
      <c r="N48" s="69" t="str">
        <f t="shared" si="5"/>
        <v/>
      </c>
      <c r="O48" t="str">
        <f t="shared" si="6"/>
        <v>BARAK</v>
      </c>
      <c r="P48" s="7">
        <f t="shared" ca="1" si="16"/>
        <v>48</v>
      </c>
      <c r="Q48" s="7" t="str">
        <f t="shared" ca="1" si="7"/>
        <v>BARAK</v>
      </c>
      <c r="Z48" s="256"/>
      <c r="AA48" s="219"/>
      <c r="AB48" s="293" t="str">
        <f t="shared" si="8"/>
        <v/>
      </c>
      <c r="AC48" s="294" t="str">
        <f t="shared" si="9"/>
        <v/>
      </c>
      <c r="AD48" s="219"/>
      <c r="AE48" s="219"/>
      <c r="AF48" s="293" t="str">
        <f>IF(AA48="","",VLOOKUP(AA48,Asta!$B:$H,7,FALSE))</f>
        <v/>
      </c>
      <c r="AG48" s="294" t="str">
        <f t="shared" si="10"/>
        <v/>
      </c>
      <c r="AH48" t="str">
        <f t="shared" si="11"/>
        <v/>
      </c>
      <c r="AI48" s="254" t="str">
        <f t="shared" ca="1" si="17"/>
        <v>29</v>
      </c>
      <c r="AJ48" s="254" t="str">
        <f t="shared" ca="1" si="18"/>
        <v>29</v>
      </c>
      <c r="AK48" s="351"/>
      <c r="AL48">
        <v>29</v>
      </c>
      <c r="AM48" s="256" t="str">
        <f t="shared" ca="1" si="20"/>
        <v/>
      </c>
      <c r="AN48" s="219" t="str">
        <f t="shared" ca="1" si="20"/>
        <v/>
      </c>
      <c r="AO48" s="219" t="str">
        <f t="shared" ca="1" si="20"/>
        <v/>
      </c>
      <c r="AP48" s="219" t="str">
        <f t="shared" ca="1" si="20"/>
        <v/>
      </c>
      <c r="AQ48" s="219" t="str">
        <f t="shared" ca="1" si="20"/>
        <v/>
      </c>
      <c r="AR48" s="219" t="str">
        <f t="shared" ca="1" si="20"/>
        <v/>
      </c>
      <c r="AS48" s="219" t="str">
        <f t="shared" ca="1" si="20"/>
        <v/>
      </c>
      <c r="AT48" s="219" t="str">
        <f t="shared" ca="1" si="20"/>
        <v/>
      </c>
      <c r="AU48" s="219" t="str">
        <f t="shared" ca="1" si="20"/>
        <v/>
      </c>
      <c r="AV48" s="219" t="str">
        <f t="shared" ca="1" si="20"/>
        <v/>
      </c>
      <c r="AW48" s="219" t="str">
        <f t="shared" ca="1" si="20"/>
        <v/>
      </c>
      <c r="AX48" s="352" t="str">
        <f t="shared" ca="1" si="20"/>
        <v/>
      </c>
    </row>
    <row r="49" spans="1:50">
      <c r="A49" s="74">
        <v>30</v>
      </c>
      <c r="B49" s="252"/>
      <c r="C49" s="293" t="str">
        <f t="shared" si="2"/>
        <v/>
      </c>
      <c r="D49" s="294" t="str">
        <f t="shared" si="3"/>
        <v/>
      </c>
      <c r="E49" s="287"/>
      <c r="F49" s="293" t="str">
        <f t="shared" si="4"/>
        <v/>
      </c>
      <c r="G49" s="294" t="str">
        <f t="shared" si="13"/>
        <v/>
      </c>
      <c r="H49" s="290"/>
      <c r="I49" s="254" t="str">
        <f t="shared" ca="1" si="14"/>
        <v>1</v>
      </c>
      <c r="J49" s="254" t="str">
        <f t="shared" ca="1" si="15"/>
        <v>1</v>
      </c>
      <c r="K49" s="230" t="str">
        <f>IF(Giocatori!B38=0,"",Giocatori!B38)</f>
        <v>BARBERIS</v>
      </c>
      <c r="L49" s="230" t="str">
        <f>IF(Giocatori!A38=0,"",Giocatori!A38)</f>
        <v>C</v>
      </c>
      <c r="M49" s="230" t="str">
        <f>IF(Giocatori!C38=0,"",Giocatori!C38)</f>
        <v>Crotone</v>
      </c>
      <c r="N49" s="69" t="str">
        <f t="shared" si="5"/>
        <v/>
      </c>
      <c r="O49" t="str">
        <f t="shared" si="6"/>
        <v>BARBERIS</v>
      </c>
      <c r="P49" s="7">
        <f t="shared" ca="1" si="16"/>
        <v>49</v>
      </c>
      <c r="Q49" s="7" t="str">
        <f t="shared" ca="1" si="7"/>
        <v>BARBERIS</v>
      </c>
      <c r="Z49" s="256"/>
      <c r="AA49" s="219"/>
      <c r="AB49" s="293" t="str">
        <f t="shared" si="8"/>
        <v/>
      </c>
      <c r="AC49" s="294" t="str">
        <f t="shared" si="9"/>
        <v/>
      </c>
      <c r="AD49" s="219"/>
      <c r="AE49" s="219"/>
      <c r="AF49" s="293" t="str">
        <f>IF(AA49="","",VLOOKUP(AA49,Asta!$B:$H,7,FALSE))</f>
        <v/>
      </c>
      <c r="AG49" s="294" t="str">
        <f t="shared" si="10"/>
        <v/>
      </c>
      <c r="AH49" t="str">
        <f t="shared" si="11"/>
        <v/>
      </c>
      <c r="AI49" s="254" t="str">
        <f t="shared" ca="1" si="17"/>
        <v>30</v>
      </c>
      <c r="AJ49" s="254" t="str">
        <f t="shared" ca="1" si="18"/>
        <v>30</v>
      </c>
      <c r="AK49" s="351"/>
      <c r="AL49">
        <v>30</v>
      </c>
      <c r="AM49" s="256" t="str">
        <f t="shared" ca="1" si="20"/>
        <v/>
      </c>
      <c r="AN49" s="219" t="str">
        <f t="shared" ca="1" si="20"/>
        <v/>
      </c>
      <c r="AO49" s="219" t="str">
        <f t="shared" ca="1" si="20"/>
        <v/>
      </c>
      <c r="AP49" s="219" t="str">
        <f t="shared" ca="1" si="20"/>
        <v/>
      </c>
      <c r="AQ49" s="219" t="str">
        <f t="shared" ca="1" si="20"/>
        <v/>
      </c>
      <c r="AR49" s="219" t="str">
        <f t="shared" ca="1" si="20"/>
        <v/>
      </c>
      <c r="AS49" s="219" t="str">
        <f t="shared" ca="1" si="20"/>
        <v/>
      </c>
      <c r="AT49" s="219" t="str">
        <f t="shared" ca="1" si="20"/>
        <v/>
      </c>
      <c r="AU49" s="219" t="str">
        <f t="shared" ca="1" si="20"/>
        <v/>
      </c>
      <c r="AV49" s="219" t="str">
        <f t="shared" ca="1" si="20"/>
        <v/>
      </c>
      <c r="AW49" s="219" t="str">
        <f t="shared" ca="1" si="20"/>
        <v/>
      </c>
      <c r="AX49" s="352" t="str">
        <f t="shared" ca="1" si="20"/>
        <v/>
      </c>
    </row>
    <row r="50" spans="1:50" ht="13.5" thickBot="1">
      <c r="A50" s="74">
        <v>31</v>
      </c>
      <c r="B50" s="252"/>
      <c r="C50" s="293" t="str">
        <f t="shared" si="2"/>
        <v/>
      </c>
      <c r="D50" s="294" t="str">
        <f t="shared" si="3"/>
        <v/>
      </c>
      <c r="E50" s="287"/>
      <c r="F50" s="293" t="str">
        <f t="shared" si="4"/>
        <v/>
      </c>
      <c r="G50" s="294" t="str">
        <f t="shared" si="13"/>
        <v/>
      </c>
      <c r="H50" s="290"/>
      <c r="I50" s="254" t="str">
        <f t="shared" ca="1" si="14"/>
        <v>1</v>
      </c>
      <c r="J50" s="254" t="str">
        <f t="shared" ca="1" si="15"/>
        <v>1</v>
      </c>
      <c r="K50" s="230" t="str">
        <f>IF(Giocatori!B39=0,"",Giocatori!B39)</f>
        <v>BARELLA</v>
      </c>
      <c r="L50" s="230" t="str">
        <f>IF(Giocatori!A39=0,"",Giocatori!A39)</f>
        <v>C</v>
      </c>
      <c r="M50" s="230" t="str">
        <f>IF(Giocatori!C39=0,"",Giocatori!C39)</f>
        <v>Cagliari</v>
      </c>
      <c r="N50" s="69" t="str">
        <f t="shared" si="5"/>
        <v/>
      </c>
      <c r="O50" t="str">
        <f t="shared" si="6"/>
        <v>BARELLA</v>
      </c>
      <c r="P50" s="7">
        <f t="shared" ca="1" si="16"/>
        <v>50</v>
      </c>
      <c r="Q50" s="7" t="str">
        <f t="shared" ca="1" si="7"/>
        <v>BARELLA</v>
      </c>
      <c r="Z50" s="256"/>
      <c r="AA50" s="219"/>
      <c r="AB50" s="293" t="str">
        <f t="shared" si="8"/>
        <v/>
      </c>
      <c r="AC50" s="294" t="str">
        <f t="shared" si="9"/>
        <v/>
      </c>
      <c r="AD50" s="219"/>
      <c r="AE50" s="219"/>
      <c r="AF50" s="293" t="str">
        <f>IF(AA50="","",VLOOKUP(AA50,Asta!$B:$H,7,FALSE))</f>
        <v/>
      </c>
      <c r="AG50" s="294" t="str">
        <f t="shared" si="10"/>
        <v/>
      </c>
      <c r="AH50" t="str">
        <f t="shared" si="11"/>
        <v/>
      </c>
      <c r="AI50" s="254" t="str">
        <f t="shared" ca="1" si="17"/>
        <v>31</v>
      </c>
      <c r="AJ50" s="254" t="str">
        <f t="shared" ca="1" si="18"/>
        <v>31</v>
      </c>
      <c r="AK50" s="351"/>
      <c r="AL50">
        <v>31</v>
      </c>
      <c r="AM50" s="257" t="str">
        <f t="shared" ca="1" si="20"/>
        <v/>
      </c>
      <c r="AN50" s="258" t="str">
        <f t="shared" ca="1" si="20"/>
        <v/>
      </c>
      <c r="AO50" s="258" t="str">
        <f t="shared" ca="1" si="20"/>
        <v/>
      </c>
      <c r="AP50" s="258" t="str">
        <f t="shared" ca="1" si="20"/>
        <v/>
      </c>
      <c r="AQ50" s="258" t="str">
        <f t="shared" ca="1" si="20"/>
        <v/>
      </c>
      <c r="AR50" s="258" t="str">
        <f t="shared" ca="1" si="20"/>
        <v/>
      </c>
      <c r="AS50" s="258" t="str">
        <f t="shared" ca="1" si="20"/>
        <v/>
      </c>
      <c r="AT50" s="258" t="str">
        <f t="shared" ca="1" si="20"/>
        <v/>
      </c>
      <c r="AU50" s="258" t="str">
        <f t="shared" ca="1" si="20"/>
        <v/>
      </c>
      <c r="AV50" s="258" t="str">
        <f t="shared" ca="1" si="20"/>
        <v/>
      </c>
      <c r="AW50" s="258" t="str">
        <f t="shared" ca="1" si="20"/>
        <v/>
      </c>
      <c r="AX50" s="353" t="str">
        <f t="shared" ca="1" si="20"/>
        <v/>
      </c>
    </row>
    <row r="51" spans="1:50">
      <c r="A51" s="74">
        <v>32</v>
      </c>
      <c r="B51" s="252"/>
      <c r="C51" s="293" t="str">
        <f t="shared" si="2"/>
        <v/>
      </c>
      <c r="D51" s="294" t="str">
        <f t="shared" si="3"/>
        <v/>
      </c>
      <c r="E51" s="287"/>
      <c r="F51" s="293" t="str">
        <f t="shared" si="4"/>
        <v/>
      </c>
      <c r="G51" s="294" t="str">
        <f t="shared" si="13"/>
        <v/>
      </c>
      <c r="H51" s="290"/>
      <c r="I51" s="254" t="str">
        <f t="shared" ca="1" si="14"/>
        <v>1</v>
      </c>
      <c r="J51" s="254" t="str">
        <f t="shared" ca="1" si="15"/>
        <v>1</v>
      </c>
      <c r="K51" s="230" t="str">
        <f>IF(Giocatori!B40=0,"",Giocatori!B40)</f>
        <v>BARRECA</v>
      </c>
      <c r="L51" s="230" t="str">
        <f>IF(Giocatori!A40=0,"",Giocatori!A40)</f>
        <v>D</v>
      </c>
      <c r="M51" s="230" t="str">
        <f>IF(Giocatori!C40=0,"",Giocatori!C40)</f>
        <v>Torino</v>
      </c>
      <c r="N51" s="69" t="str">
        <f t="shared" si="5"/>
        <v/>
      </c>
      <c r="O51" t="str">
        <f t="shared" si="6"/>
        <v>BARRECA</v>
      </c>
      <c r="P51" s="7">
        <f t="shared" ca="1" si="16"/>
        <v>51</v>
      </c>
      <c r="Q51" s="7" t="str">
        <f t="shared" ca="1" si="7"/>
        <v>BARRECA</v>
      </c>
      <c r="Z51" s="256"/>
      <c r="AA51" s="219"/>
      <c r="AB51" s="293" t="str">
        <f t="shared" si="8"/>
        <v/>
      </c>
      <c r="AC51" s="294" t="str">
        <f t="shared" si="9"/>
        <v/>
      </c>
      <c r="AD51" s="219"/>
      <c r="AE51" s="219"/>
      <c r="AF51" s="293" t="str">
        <f>IF(AA51="","",VLOOKUP(AA51,Asta!$B:$H,7,FALSE))</f>
        <v/>
      </c>
      <c r="AG51" s="294" t="str">
        <f t="shared" si="10"/>
        <v/>
      </c>
      <c r="AH51" t="str">
        <f t="shared" si="11"/>
        <v/>
      </c>
      <c r="AI51" s="254" t="str">
        <f t="shared" ca="1" si="17"/>
        <v>32</v>
      </c>
      <c r="AJ51" s="254" t="str">
        <f t="shared" ca="1" si="18"/>
        <v>32</v>
      </c>
      <c r="AK51" s="351"/>
    </row>
    <row r="52" spans="1:50">
      <c r="A52" s="74">
        <v>33</v>
      </c>
      <c r="B52" s="252"/>
      <c r="C52" s="293" t="str">
        <f t="shared" ref="C52:C83" si="21">IF(B52&lt;&gt;"",VLOOKUP(B52,$K:$M,2,FALSE),"")</f>
        <v/>
      </c>
      <c r="D52" s="294" t="str">
        <f t="shared" ref="D52:D83" si="22">IF(B52&lt;&gt;"",VLOOKUP(B52,$K:$M,3,FALSE),"")</f>
        <v/>
      </c>
      <c r="E52" s="287"/>
      <c r="F52" s="293" t="str">
        <f t="shared" si="4"/>
        <v/>
      </c>
      <c r="G52" s="294" t="str">
        <f t="shared" si="13"/>
        <v/>
      </c>
      <c r="H52" s="290"/>
      <c r="I52" s="254" t="str">
        <f t="shared" ca="1" si="14"/>
        <v>1</v>
      </c>
      <c r="J52" s="254" t="str">
        <f t="shared" ca="1" si="15"/>
        <v>1</v>
      </c>
      <c r="K52" s="230" t="str">
        <f>IF(Giocatori!B41=0,"",Giocatori!B41)</f>
        <v>BARRETO E</v>
      </c>
      <c r="L52" s="230" t="str">
        <f>IF(Giocatori!A41=0,"",Giocatori!A41)</f>
        <v>C</v>
      </c>
      <c r="M52" s="230" t="str">
        <f>IF(Giocatori!C41=0,"",Giocatori!C41)</f>
        <v>Sampdoria</v>
      </c>
      <c r="N52" s="69" t="str">
        <f t="shared" si="5"/>
        <v/>
      </c>
      <c r="O52" t="str">
        <f t="shared" si="6"/>
        <v>BARRETO E</v>
      </c>
      <c r="P52" s="7">
        <f t="shared" ca="1" si="16"/>
        <v>52</v>
      </c>
      <c r="Q52" s="7" t="str">
        <f t="shared" ca="1" si="7"/>
        <v>BARRETO E</v>
      </c>
      <c r="Z52" s="256"/>
      <c r="AA52" s="219"/>
      <c r="AB52" s="293" t="str">
        <f t="shared" si="8"/>
        <v/>
      </c>
      <c r="AC52" s="294" t="str">
        <f t="shared" si="9"/>
        <v/>
      </c>
      <c r="AD52" s="219"/>
      <c r="AE52" s="219"/>
      <c r="AF52" s="293" t="str">
        <f>IF(AA52="","",VLOOKUP(AA52,Asta!$B:$H,7,FALSE))</f>
        <v/>
      </c>
      <c r="AG52" s="294" t="str">
        <f t="shared" si="10"/>
        <v/>
      </c>
      <c r="AH52" t="str">
        <f t="shared" si="11"/>
        <v/>
      </c>
      <c r="AI52" s="254" t="str">
        <f t="shared" ca="1" si="17"/>
        <v>33</v>
      </c>
      <c r="AJ52" s="254" t="str">
        <f t="shared" ca="1" si="18"/>
        <v>33</v>
      </c>
      <c r="AK52" s="351"/>
    </row>
    <row r="53" spans="1:50">
      <c r="A53" s="74">
        <v>34</v>
      </c>
      <c r="B53" s="252"/>
      <c r="C53" s="293" t="str">
        <f t="shared" si="21"/>
        <v/>
      </c>
      <c r="D53" s="294" t="str">
        <f t="shared" si="22"/>
        <v/>
      </c>
      <c r="E53" s="287"/>
      <c r="F53" s="293" t="str">
        <f t="shared" si="4"/>
        <v/>
      </c>
      <c r="G53" s="294" t="str">
        <f t="shared" si="13"/>
        <v/>
      </c>
      <c r="H53" s="290"/>
      <c r="I53" s="254" t="str">
        <f t="shared" ca="1" si="14"/>
        <v>1</v>
      </c>
      <c r="J53" s="254" t="str">
        <f t="shared" ca="1" si="15"/>
        <v>1</v>
      </c>
      <c r="K53" s="230" t="str">
        <f>IF(Giocatori!B42=0,"",Giocatori!B42)</f>
        <v>BARZAGLI</v>
      </c>
      <c r="L53" s="230" t="str">
        <f>IF(Giocatori!A42=0,"",Giocatori!A42)</f>
        <v>D</v>
      </c>
      <c r="M53" s="230" t="str">
        <f>IF(Giocatori!C42=0,"",Giocatori!C42)</f>
        <v>Juventus</v>
      </c>
      <c r="N53" s="69" t="str">
        <f t="shared" si="5"/>
        <v/>
      </c>
      <c r="O53" t="str">
        <f t="shared" si="6"/>
        <v>BARZAGLI</v>
      </c>
      <c r="P53" s="7">
        <f t="shared" ca="1" si="16"/>
        <v>53</v>
      </c>
      <c r="Q53" s="7" t="str">
        <f t="shared" ca="1" si="7"/>
        <v>BARZAGLI</v>
      </c>
      <c r="Z53" s="256"/>
      <c r="AA53" s="219"/>
      <c r="AB53" s="293" t="str">
        <f t="shared" si="8"/>
        <v/>
      </c>
      <c r="AC53" s="294" t="str">
        <f t="shared" si="9"/>
        <v/>
      </c>
      <c r="AD53" s="219"/>
      <c r="AE53" s="219"/>
      <c r="AF53" s="293" t="str">
        <f>IF(AA53="","",VLOOKUP(AA53,Asta!$B:$H,7,FALSE))</f>
        <v/>
      </c>
      <c r="AG53" s="294" t="str">
        <f t="shared" si="10"/>
        <v/>
      </c>
      <c r="AH53" t="str">
        <f t="shared" si="11"/>
        <v/>
      </c>
      <c r="AI53" s="254" t="str">
        <f t="shared" ca="1" si="17"/>
        <v>34</v>
      </c>
      <c r="AJ53" s="254" t="str">
        <f t="shared" ca="1" si="18"/>
        <v>34</v>
      </c>
      <c r="AK53" s="351"/>
    </row>
    <row r="54" spans="1:50">
      <c r="A54" s="74">
        <v>35</v>
      </c>
      <c r="B54" s="252"/>
      <c r="C54" s="293" t="str">
        <f t="shared" si="21"/>
        <v/>
      </c>
      <c r="D54" s="294" t="str">
        <f t="shared" si="22"/>
        <v/>
      </c>
      <c r="E54" s="287"/>
      <c r="F54" s="293" t="str">
        <f t="shared" si="4"/>
        <v/>
      </c>
      <c r="G54" s="294" t="str">
        <f t="shared" si="13"/>
        <v/>
      </c>
      <c r="H54" s="290"/>
      <c r="I54" s="254" t="str">
        <f t="shared" ca="1" si="14"/>
        <v>1</v>
      </c>
      <c r="J54" s="254" t="str">
        <f t="shared" ca="1" si="15"/>
        <v>1</v>
      </c>
      <c r="K54" s="230" t="str">
        <f>IF(Giocatori!B43=0,"",Giocatori!B43)</f>
        <v>BASELLI</v>
      </c>
      <c r="L54" s="230" t="str">
        <f>IF(Giocatori!A43=0,"",Giocatori!A43)</f>
        <v>C</v>
      </c>
      <c r="M54" s="230" t="str">
        <f>IF(Giocatori!C43=0,"",Giocatori!C43)</f>
        <v>Torino</v>
      </c>
      <c r="N54" s="69" t="str">
        <f t="shared" si="5"/>
        <v/>
      </c>
      <c r="O54" t="str">
        <f t="shared" si="6"/>
        <v>BASELLI</v>
      </c>
      <c r="P54" s="7">
        <f t="shared" ca="1" si="16"/>
        <v>54</v>
      </c>
      <c r="Q54" s="7" t="str">
        <f t="shared" ca="1" si="7"/>
        <v>BASELLI</v>
      </c>
      <c r="Z54" s="256"/>
      <c r="AA54" s="219"/>
      <c r="AB54" s="293" t="str">
        <f t="shared" si="8"/>
        <v/>
      </c>
      <c r="AC54" s="294" t="str">
        <f t="shared" si="9"/>
        <v/>
      </c>
      <c r="AD54" s="219"/>
      <c r="AE54" s="219"/>
      <c r="AF54" s="293" t="str">
        <f>IF(AA54="","",VLOOKUP(AA54,Asta!$B:$H,7,FALSE))</f>
        <v/>
      </c>
      <c r="AG54" s="294" t="str">
        <f t="shared" si="10"/>
        <v/>
      </c>
      <c r="AH54" t="str">
        <f t="shared" si="11"/>
        <v/>
      </c>
      <c r="AI54" s="254" t="str">
        <f t="shared" ca="1" si="17"/>
        <v>35</v>
      </c>
      <c r="AJ54" s="254" t="str">
        <f t="shared" ca="1" si="18"/>
        <v>35</v>
      </c>
      <c r="AK54" s="351"/>
    </row>
    <row r="55" spans="1:50">
      <c r="A55" s="74">
        <v>36</v>
      </c>
      <c r="B55" s="252"/>
      <c r="C55" s="293" t="str">
        <f t="shared" si="21"/>
        <v/>
      </c>
      <c r="D55" s="294" t="str">
        <f t="shared" si="22"/>
        <v/>
      </c>
      <c r="E55" s="287"/>
      <c r="F55" s="293" t="str">
        <f t="shared" si="4"/>
        <v/>
      </c>
      <c r="G55" s="294" t="str">
        <f t="shared" si="13"/>
        <v/>
      </c>
      <c r="H55" s="290"/>
      <c r="I55" s="254" t="str">
        <f t="shared" ca="1" si="14"/>
        <v>1</v>
      </c>
      <c r="J55" s="254" t="str">
        <f t="shared" ca="1" si="15"/>
        <v>1</v>
      </c>
      <c r="K55" s="230" t="str">
        <f>IF(Giocatori!B44=0,"",Giocatori!B44)</f>
        <v>BASTA</v>
      </c>
      <c r="L55" s="230" t="str">
        <f>IF(Giocatori!A44=0,"",Giocatori!A44)</f>
        <v>D</v>
      </c>
      <c r="M55" s="230" t="str">
        <f>IF(Giocatori!C44=0,"",Giocatori!C44)</f>
        <v>Lazio</v>
      </c>
      <c r="N55" s="69" t="str">
        <f t="shared" si="5"/>
        <v/>
      </c>
      <c r="O55" t="str">
        <f t="shared" si="6"/>
        <v>BASTA</v>
      </c>
      <c r="P55" s="7">
        <f t="shared" ca="1" si="16"/>
        <v>55</v>
      </c>
      <c r="Q55" s="7" t="str">
        <f t="shared" ca="1" si="7"/>
        <v>BASTA</v>
      </c>
      <c r="Z55" s="256"/>
      <c r="AA55" s="219"/>
      <c r="AB55" s="293" t="str">
        <f t="shared" si="8"/>
        <v/>
      </c>
      <c r="AC55" s="294" t="str">
        <f t="shared" si="9"/>
        <v/>
      </c>
      <c r="AD55" s="219"/>
      <c r="AE55" s="219"/>
      <c r="AF55" s="293" t="str">
        <f>IF(AA55="","",VLOOKUP(AA55,Asta!$B:$H,7,FALSE))</f>
        <v/>
      </c>
      <c r="AG55" s="294" t="str">
        <f t="shared" si="10"/>
        <v/>
      </c>
      <c r="AH55" t="str">
        <f t="shared" si="11"/>
        <v/>
      </c>
      <c r="AI55" s="254" t="str">
        <f t="shared" ca="1" si="17"/>
        <v>36</v>
      </c>
      <c r="AJ55" s="254" t="str">
        <f t="shared" ca="1" si="18"/>
        <v>36</v>
      </c>
      <c r="AK55" s="351"/>
    </row>
    <row r="56" spans="1:50">
      <c r="A56" s="74">
        <v>37</v>
      </c>
      <c r="B56" s="252"/>
      <c r="C56" s="293" t="str">
        <f t="shared" si="21"/>
        <v/>
      </c>
      <c r="D56" s="294" t="str">
        <f t="shared" si="22"/>
        <v/>
      </c>
      <c r="E56" s="287"/>
      <c r="F56" s="293" t="str">
        <f t="shared" si="4"/>
        <v/>
      </c>
      <c r="G56" s="294" t="str">
        <f t="shared" si="13"/>
        <v/>
      </c>
      <c r="H56" s="290"/>
      <c r="I56" s="254" t="str">
        <f t="shared" ca="1" si="14"/>
        <v>1</v>
      </c>
      <c r="J56" s="254" t="str">
        <f t="shared" ca="1" si="15"/>
        <v>1</v>
      </c>
      <c r="K56" s="230" t="str">
        <f>IF(Giocatori!B45=0,"",Giocatori!B45)</f>
        <v>BASTIEN</v>
      </c>
      <c r="L56" s="230" t="str">
        <f>IF(Giocatori!A45=0,"",Giocatori!A45)</f>
        <v>C</v>
      </c>
      <c r="M56" s="230" t="str">
        <f>IF(Giocatori!C45=0,"",Giocatori!C45)</f>
        <v>Chievo</v>
      </c>
      <c r="N56" s="69" t="str">
        <f t="shared" si="5"/>
        <v/>
      </c>
      <c r="O56" t="str">
        <f t="shared" si="6"/>
        <v>BASTIEN</v>
      </c>
      <c r="P56" s="7">
        <f t="shared" ca="1" si="16"/>
        <v>56</v>
      </c>
      <c r="Q56" s="7" t="str">
        <f t="shared" ca="1" si="7"/>
        <v>BASTIEN</v>
      </c>
      <c r="Z56" s="256"/>
      <c r="AA56" s="219"/>
      <c r="AB56" s="293" t="str">
        <f t="shared" si="8"/>
        <v/>
      </c>
      <c r="AC56" s="294" t="str">
        <f t="shared" si="9"/>
        <v/>
      </c>
      <c r="AD56" s="219"/>
      <c r="AE56" s="219"/>
      <c r="AF56" s="293" t="str">
        <f>IF(AA56="","",VLOOKUP(AA56,Asta!$B:$H,7,FALSE))</f>
        <v/>
      </c>
      <c r="AG56" s="294" t="str">
        <f t="shared" si="10"/>
        <v/>
      </c>
      <c r="AH56" t="str">
        <f t="shared" si="11"/>
        <v/>
      </c>
      <c r="AI56" s="254" t="str">
        <f t="shared" ca="1" si="17"/>
        <v>37</v>
      </c>
      <c r="AJ56" s="254" t="str">
        <f t="shared" ca="1" si="18"/>
        <v>37</v>
      </c>
      <c r="AK56" s="351"/>
    </row>
    <row r="57" spans="1:50">
      <c r="A57" s="74">
        <v>38</v>
      </c>
      <c r="B57" s="252"/>
      <c r="C57" s="293" t="str">
        <f t="shared" si="21"/>
        <v/>
      </c>
      <c r="D57" s="294" t="str">
        <f t="shared" si="22"/>
        <v/>
      </c>
      <c r="E57" s="287"/>
      <c r="F57" s="293" t="str">
        <f t="shared" si="4"/>
        <v/>
      </c>
      <c r="G57" s="294" t="str">
        <f t="shared" si="13"/>
        <v/>
      </c>
      <c r="H57" s="290"/>
      <c r="I57" s="254" t="str">
        <f t="shared" ca="1" si="14"/>
        <v>1</v>
      </c>
      <c r="J57" s="254" t="str">
        <f t="shared" ca="1" si="15"/>
        <v>1</v>
      </c>
      <c r="K57" s="230" t="str">
        <f>IF(Giocatori!B46=0,"",Giocatori!B46)</f>
        <v>BASTONI</v>
      </c>
      <c r="L57" s="230" t="str">
        <f>IF(Giocatori!A46=0,"",Giocatori!A46)</f>
        <v>D</v>
      </c>
      <c r="M57" s="230" t="str">
        <f>IF(Giocatori!C46=0,"",Giocatori!C46)</f>
        <v>Atalanta</v>
      </c>
      <c r="N57" s="69" t="str">
        <f t="shared" si="5"/>
        <v/>
      </c>
      <c r="O57" t="str">
        <f t="shared" si="6"/>
        <v>BASTONI</v>
      </c>
      <c r="P57" s="7">
        <f t="shared" ca="1" si="16"/>
        <v>57</v>
      </c>
      <c r="Q57" s="7" t="str">
        <f t="shared" ca="1" si="7"/>
        <v>BASTONI</v>
      </c>
      <c r="Z57" s="256"/>
      <c r="AA57" s="219"/>
      <c r="AB57" s="293" t="str">
        <f t="shared" si="8"/>
        <v/>
      </c>
      <c r="AC57" s="294" t="str">
        <f t="shared" si="9"/>
        <v/>
      </c>
      <c r="AD57" s="219"/>
      <c r="AE57" s="219"/>
      <c r="AF57" s="293" t="str">
        <f>IF(AA57="","",VLOOKUP(AA57,Asta!$B:$H,7,FALSE))</f>
        <v/>
      </c>
      <c r="AG57" s="294" t="str">
        <f t="shared" si="10"/>
        <v/>
      </c>
      <c r="AH57" t="str">
        <f t="shared" si="11"/>
        <v/>
      </c>
      <c r="AI57" s="254" t="str">
        <f t="shared" ca="1" si="17"/>
        <v>38</v>
      </c>
      <c r="AJ57" s="254" t="str">
        <f t="shared" ca="1" si="18"/>
        <v>38</v>
      </c>
      <c r="AK57" s="351"/>
    </row>
    <row r="58" spans="1:50">
      <c r="A58" s="74">
        <v>39</v>
      </c>
      <c r="B58" s="252"/>
      <c r="C58" s="293" t="str">
        <f t="shared" si="21"/>
        <v/>
      </c>
      <c r="D58" s="294" t="str">
        <f t="shared" si="22"/>
        <v/>
      </c>
      <c r="E58" s="287"/>
      <c r="F58" s="293" t="str">
        <f t="shared" si="4"/>
        <v/>
      </c>
      <c r="G58" s="294" t="str">
        <f t="shared" si="13"/>
        <v/>
      </c>
      <c r="H58" s="290"/>
      <c r="I58" s="254" t="str">
        <f t="shared" ca="1" si="14"/>
        <v>1</v>
      </c>
      <c r="J58" s="254" t="str">
        <f t="shared" ca="1" si="15"/>
        <v>1</v>
      </c>
      <c r="K58" s="230" t="str">
        <f>IF(Giocatori!B47=0,"",Giocatori!B47)</f>
        <v>BASTOS</v>
      </c>
      <c r="L58" s="230" t="str">
        <f>IF(Giocatori!A47=0,"",Giocatori!A47)</f>
        <v>D</v>
      </c>
      <c r="M58" s="230" t="str">
        <f>IF(Giocatori!C47=0,"",Giocatori!C47)</f>
        <v>Lazio</v>
      </c>
      <c r="N58" s="69" t="str">
        <f t="shared" si="5"/>
        <v/>
      </c>
      <c r="O58" t="str">
        <f t="shared" si="6"/>
        <v>BASTOS</v>
      </c>
      <c r="P58" s="7">
        <f t="shared" ca="1" si="16"/>
        <v>58</v>
      </c>
      <c r="Q58" s="7" t="str">
        <f t="shared" ca="1" si="7"/>
        <v>BASTOS</v>
      </c>
      <c r="Z58" s="256"/>
      <c r="AA58" s="219"/>
      <c r="AB58" s="293" t="str">
        <f t="shared" si="8"/>
        <v/>
      </c>
      <c r="AC58" s="294" t="str">
        <f t="shared" si="9"/>
        <v/>
      </c>
      <c r="AD58" s="219"/>
      <c r="AE58" s="219"/>
      <c r="AF58" s="293" t="str">
        <f>IF(AA58="","",VLOOKUP(AA58,Asta!$B:$H,7,FALSE))</f>
        <v/>
      </c>
      <c r="AG58" s="294" t="str">
        <f t="shared" si="10"/>
        <v/>
      </c>
      <c r="AH58" t="str">
        <f t="shared" si="11"/>
        <v/>
      </c>
      <c r="AI58" s="254" t="str">
        <f t="shared" ca="1" si="17"/>
        <v>39</v>
      </c>
      <c r="AJ58" s="254" t="str">
        <f t="shared" ca="1" si="18"/>
        <v>39</v>
      </c>
      <c r="AK58" s="351"/>
    </row>
    <row r="59" spans="1:50">
      <c r="A59" s="74">
        <v>40</v>
      </c>
      <c r="B59" s="252"/>
      <c r="C59" s="293" t="str">
        <f t="shared" si="21"/>
        <v/>
      </c>
      <c r="D59" s="294" t="str">
        <f t="shared" si="22"/>
        <v/>
      </c>
      <c r="E59" s="287"/>
      <c r="F59" s="293" t="str">
        <f t="shared" si="4"/>
        <v/>
      </c>
      <c r="G59" s="294" t="str">
        <f t="shared" si="13"/>
        <v/>
      </c>
      <c r="H59" s="290"/>
      <c r="I59" s="254" t="str">
        <f t="shared" ca="1" si="14"/>
        <v>1</v>
      </c>
      <c r="J59" s="254" t="str">
        <f t="shared" ca="1" si="15"/>
        <v>1</v>
      </c>
      <c r="K59" s="230" t="str">
        <f>IF(Giocatori!B48=0,"",Giocatori!B48)</f>
        <v>BEHRAMI</v>
      </c>
      <c r="L59" s="230" t="str">
        <f>IF(Giocatori!A48=0,"",Giocatori!A48)</f>
        <v>C</v>
      </c>
      <c r="M59" s="230" t="str">
        <f>IF(Giocatori!C48=0,"",Giocatori!C48)</f>
        <v>Udinese</v>
      </c>
      <c r="N59" s="69" t="str">
        <f t="shared" si="5"/>
        <v/>
      </c>
      <c r="O59" t="str">
        <f t="shared" si="6"/>
        <v>BEHRAMI</v>
      </c>
      <c r="P59" s="7">
        <f t="shared" ca="1" si="16"/>
        <v>59</v>
      </c>
      <c r="Q59" s="7" t="str">
        <f t="shared" ca="1" si="7"/>
        <v>BEHRAMI</v>
      </c>
      <c r="Z59" s="256"/>
      <c r="AA59" s="219"/>
      <c r="AB59" s="293" t="str">
        <f t="shared" si="8"/>
        <v/>
      </c>
      <c r="AC59" s="294" t="str">
        <f t="shared" si="9"/>
        <v/>
      </c>
      <c r="AD59" s="219"/>
      <c r="AE59" s="219"/>
      <c r="AF59" s="293" t="str">
        <f>IF(AA59="","",VLOOKUP(AA59,Asta!$B:$H,7,FALSE))</f>
        <v/>
      </c>
      <c r="AG59" s="294" t="str">
        <f t="shared" si="10"/>
        <v/>
      </c>
      <c r="AH59" t="str">
        <f t="shared" si="11"/>
        <v/>
      </c>
      <c r="AI59" s="254" t="str">
        <f t="shared" ca="1" si="17"/>
        <v>40</v>
      </c>
      <c r="AJ59" s="254" t="str">
        <f t="shared" ca="1" si="18"/>
        <v>40</v>
      </c>
      <c r="AK59" s="351"/>
    </row>
    <row r="60" spans="1:50">
      <c r="A60" s="74">
        <v>41</v>
      </c>
      <c r="B60" s="252"/>
      <c r="C60" s="293" t="str">
        <f t="shared" si="21"/>
        <v/>
      </c>
      <c r="D60" s="294" t="str">
        <f t="shared" si="22"/>
        <v/>
      </c>
      <c r="E60" s="287"/>
      <c r="F60" s="293" t="str">
        <f t="shared" si="4"/>
        <v/>
      </c>
      <c r="G60" s="294" t="str">
        <f t="shared" si="13"/>
        <v/>
      </c>
      <c r="H60" s="290"/>
      <c r="I60" s="254" t="str">
        <f t="shared" ca="1" si="14"/>
        <v>1</v>
      </c>
      <c r="J60" s="254" t="str">
        <f t="shared" ca="1" si="15"/>
        <v>1</v>
      </c>
      <c r="K60" s="230" t="str">
        <f>IF(Giocatori!B49=0,"",Giocatori!B49)</f>
        <v>BELEC</v>
      </c>
      <c r="L60" s="230" t="str">
        <f>IF(Giocatori!A49=0,"",Giocatori!A49)</f>
        <v>P</v>
      </c>
      <c r="M60" s="230" t="str">
        <f>IF(Giocatori!C49=0,"",Giocatori!C49)</f>
        <v>Benevento</v>
      </c>
      <c r="N60" s="69" t="str">
        <f t="shared" si="5"/>
        <v/>
      </c>
      <c r="O60" t="str">
        <f t="shared" si="6"/>
        <v>BELEC</v>
      </c>
      <c r="P60" s="7">
        <f t="shared" ca="1" si="16"/>
        <v>60</v>
      </c>
      <c r="Q60" s="7" t="str">
        <f t="shared" ca="1" si="7"/>
        <v>BELEC</v>
      </c>
      <c r="Z60" s="256"/>
      <c r="AA60" s="219"/>
      <c r="AB60" s="293" t="str">
        <f t="shared" si="8"/>
        <v/>
      </c>
      <c r="AC60" s="294" t="str">
        <f t="shared" si="9"/>
        <v/>
      </c>
      <c r="AD60" s="219"/>
      <c r="AE60" s="219"/>
      <c r="AF60" s="293" t="str">
        <f>IF(AA60="","",VLOOKUP(AA60,Asta!$B:$H,7,FALSE))</f>
        <v/>
      </c>
      <c r="AG60" s="294" t="str">
        <f t="shared" si="10"/>
        <v/>
      </c>
      <c r="AH60" t="str">
        <f t="shared" si="11"/>
        <v/>
      </c>
      <c r="AI60" s="254" t="str">
        <f t="shared" ca="1" si="17"/>
        <v>41</v>
      </c>
      <c r="AJ60" s="254" t="str">
        <f t="shared" ca="1" si="18"/>
        <v>41</v>
      </c>
      <c r="AK60" s="351"/>
    </row>
    <row r="61" spans="1:50">
      <c r="A61" s="74">
        <v>42</v>
      </c>
      <c r="B61" s="252"/>
      <c r="C61" s="293" t="str">
        <f t="shared" si="21"/>
        <v/>
      </c>
      <c r="D61" s="294" t="str">
        <f t="shared" si="22"/>
        <v/>
      </c>
      <c r="E61" s="287"/>
      <c r="F61" s="293" t="str">
        <f t="shared" si="4"/>
        <v/>
      </c>
      <c r="G61" s="294" t="str">
        <f t="shared" si="13"/>
        <v/>
      </c>
      <c r="H61" s="290"/>
      <c r="I61" s="254" t="str">
        <f t="shared" ca="1" si="14"/>
        <v>1</v>
      </c>
      <c r="J61" s="254" t="str">
        <f t="shared" ca="1" si="15"/>
        <v>1</v>
      </c>
      <c r="K61" s="230" t="str">
        <f>IF(Giocatori!B50=0,"",Giocatori!B50)</f>
        <v>BELOTTI</v>
      </c>
      <c r="L61" s="230" t="str">
        <f>IF(Giocatori!A50=0,"",Giocatori!A50)</f>
        <v>A</v>
      </c>
      <c r="M61" s="230" t="str">
        <f>IF(Giocatori!C50=0,"",Giocatori!C50)</f>
        <v>Torino</v>
      </c>
      <c r="N61" s="69" t="str">
        <f t="shared" si="5"/>
        <v/>
      </c>
      <c r="O61" t="str">
        <f t="shared" si="6"/>
        <v>BELOTTI</v>
      </c>
      <c r="P61" s="7">
        <f t="shared" ca="1" si="16"/>
        <v>61</v>
      </c>
      <c r="Q61" s="7" t="str">
        <f t="shared" ca="1" si="7"/>
        <v>BELOTTI</v>
      </c>
      <c r="Z61" s="256"/>
      <c r="AA61" s="219"/>
      <c r="AB61" s="293" t="str">
        <f t="shared" si="8"/>
        <v/>
      </c>
      <c r="AC61" s="294" t="str">
        <f t="shared" si="9"/>
        <v/>
      </c>
      <c r="AD61" s="219"/>
      <c r="AE61" s="219"/>
      <c r="AF61" s="293" t="str">
        <f>IF(AA61="","",VLOOKUP(AA61,Asta!$B:$H,7,FALSE))</f>
        <v/>
      </c>
      <c r="AG61" s="294" t="str">
        <f t="shared" si="10"/>
        <v/>
      </c>
      <c r="AH61" t="str">
        <f t="shared" si="11"/>
        <v/>
      </c>
      <c r="AI61" s="254" t="str">
        <f t="shared" ca="1" si="17"/>
        <v>42</v>
      </c>
      <c r="AJ61" s="254" t="str">
        <f t="shared" ca="1" si="18"/>
        <v>42</v>
      </c>
      <c r="AK61" s="351"/>
    </row>
    <row r="62" spans="1:50">
      <c r="A62" s="74">
        <v>43</v>
      </c>
      <c r="B62" s="252"/>
      <c r="C62" s="293" t="str">
        <f t="shared" si="21"/>
        <v/>
      </c>
      <c r="D62" s="294" t="str">
        <f t="shared" si="22"/>
        <v/>
      </c>
      <c r="E62" s="287"/>
      <c r="F62" s="293" t="str">
        <f t="shared" si="4"/>
        <v/>
      </c>
      <c r="G62" s="294" t="str">
        <f t="shared" si="13"/>
        <v/>
      </c>
      <c r="H62" s="290"/>
      <c r="I62" s="254" t="str">
        <f t="shared" ca="1" si="14"/>
        <v>1</v>
      </c>
      <c r="J62" s="254" t="str">
        <f t="shared" ca="1" si="15"/>
        <v>1</v>
      </c>
      <c r="K62" s="230" t="str">
        <f>IF(Giocatori!B51=0,"",Giocatori!B51)</f>
        <v>BENASSI</v>
      </c>
      <c r="L62" s="230" t="str">
        <f>IF(Giocatori!A51=0,"",Giocatori!A51)</f>
        <v>C</v>
      </c>
      <c r="M62" s="230" t="str">
        <f>IF(Giocatori!C51=0,"",Giocatori!C51)</f>
        <v>Fiorentina</v>
      </c>
      <c r="N62" s="69" t="str">
        <f t="shared" si="5"/>
        <v/>
      </c>
      <c r="O62" t="str">
        <f t="shared" si="6"/>
        <v>BENASSI</v>
      </c>
      <c r="P62" s="7">
        <f t="shared" ca="1" si="16"/>
        <v>62</v>
      </c>
      <c r="Q62" s="7" t="str">
        <f t="shared" ca="1" si="7"/>
        <v>BENASSI</v>
      </c>
      <c r="Z62" s="256"/>
      <c r="AA62" s="219"/>
      <c r="AB62" s="293" t="str">
        <f t="shared" si="8"/>
        <v/>
      </c>
      <c r="AC62" s="294" t="str">
        <f t="shared" si="9"/>
        <v/>
      </c>
      <c r="AD62" s="219"/>
      <c r="AE62" s="219"/>
      <c r="AF62" s="293" t="str">
        <f>IF(AA62="","",VLOOKUP(AA62,Asta!$B:$H,7,FALSE))</f>
        <v/>
      </c>
      <c r="AG62" s="294" t="str">
        <f t="shared" si="10"/>
        <v/>
      </c>
      <c r="AH62" t="str">
        <f t="shared" si="11"/>
        <v/>
      </c>
      <c r="AI62" s="254" t="str">
        <f t="shared" ca="1" si="17"/>
        <v>43</v>
      </c>
      <c r="AJ62" s="254" t="str">
        <f t="shared" ca="1" si="18"/>
        <v>43</v>
      </c>
      <c r="AK62" s="351"/>
    </row>
    <row r="63" spans="1:50">
      <c r="A63" s="74">
        <v>44</v>
      </c>
      <c r="B63" s="252"/>
      <c r="C63" s="293" t="str">
        <f t="shared" si="21"/>
        <v/>
      </c>
      <c r="D63" s="294" t="str">
        <f t="shared" si="22"/>
        <v/>
      </c>
      <c r="E63" s="287"/>
      <c r="F63" s="293" t="str">
        <f t="shared" si="4"/>
        <v/>
      </c>
      <c r="G63" s="294" t="str">
        <f t="shared" si="13"/>
        <v/>
      </c>
      <c r="H63" s="290"/>
      <c r="I63" s="254" t="str">
        <f t="shared" ca="1" si="14"/>
        <v>1</v>
      </c>
      <c r="J63" s="254" t="str">
        <f t="shared" ca="1" si="15"/>
        <v>1</v>
      </c>
      <c r="K63" s="230" t="str">
        <f>IF(Giocatori!B52=0,"",Giocatori!B52)</f>
        <v>BENATIA</v>
      </c>
      <c r="L63" s="230" t="str">
        <f>IF(Giocatori!A52=0,"",Giocatori!A52)</f>
        <v>D</v>
      </c>
      <c r="M63" s="230" t="str">
        <f>IF(Giocatori!C52=0,"",Giocatori!C52)</f>
        <v>Juventus</v>
      </c>
      <c r="N63" s="69" t="str">
        <f t="shared" si="5"/>
        <v/>
      </c>
      <c r="O63" t="str">
        <f t="shared" si="6"/>
        <v>BENATIA</v>
      </c>
      <c r="P63" s="7">
        <f t="shared" ca="1" si="16"/>
        <v>63</v>
      </c>
      <c r="Q63" s="7" t="str">
        <f t="shared" ca="1" si="7"/>
        <v>BENATIA</v>
      </c>
      <c r="Z63" s="256"/>
      <c r="AA63" s="219"/>
      <c r="AB63" s="293" t="str">
        <f t="shared" si="8"/>
        <v/>
      </c>
      <c r="AC63" s="294" t="str">
        <f t="shared" si="9"/>
        <v/>
      </c>
      <c r="AD63" s="219"/>
      <c r="AE63" s="219"/>
      <c r="AF63" s="293" t="str">
        <f>IF(AA63="","",VLOOKUP(AA63,Asta!$B:$H,7,FALSE))</f>
        <v/>
      </c>
      <c r="AG63" s="294" t="str">
        <f t="shared" si="10"/>
        <v/>
      </c>
      <c r="AH63" t="str">
        <f t="shared" si="11"/>
        <v/>
      </c>
      <c r="AI63" s="254" t="str">
        <f t="shared" ca="1" si="17"/>
        <v>44</v>
      </c>
      <c r="AJ63" s="254" t="str">
        <f t="shared" ca="1" si="18"/>
        <v>44</v>
      </c>
      <c r="AK63" s="351"/>
    </row>
    <row r="64" spans="1:50">
      <c r="A64" s="74">
        <v>45</v>
      </c>
      <c r="B64" s="252"/>
      <c r="C64" s="293" t="str">
        <f t="shared" si="21"/>
        <v/>
      </c>
      <c r="D64" s="294" t="str">
        <f t="shared" si="22"/>
        <v/>
      </c>
      <c r="E64" s="287"/>
      <c r="F64" s="293" t="str">
        <f t="shared" si="4"/>
        <v/>
      </c>
      <c r="G64" s="294" t="str">
        <f t="shared" si="13"/>
        <v/>
      </c>
      <c r="H64" s="290"/>
      <c r="I64" s="254" t="str">
        <f t="shared" ca="1" si="14"/>
        <v>1</v>
      </c>
      <c r="J64" s="254" t="str">
        <f t="shared" ca="1" si="15"/>
        <v>1</v>
      </c>
      <c r="K64" s="230" t="str">
        <f>IF(Giocatori!B53=0,"",Giocatori!B53)</f>
        <v>BENTANCUR</v>
      </c>
      <c r="L64" s="230" t="str">
        <f>IF(Giocatori!A53=0,"",Giocatori!A53)</f>
        <v>C</v>
      </c>
      <c r="M64" s="230" t="str">
        <f>IF(Giocatori!C53=0,"",Giocatori!C53)</f>
        <v>Juventus</v>
      </c>
      <c r="N64" s="69" t="str">
        <f t="shared" si="5"/>
        <v/>
      </c>
      <c r="O64" t="str">
        <f t="shared" si="6"/>
        <v>BENTANCUR</v>
      </c>
      <c r="P64" s="7">
        <f t="shared" ca="1" si="16"/>
        <v>64</v>
      </c>
      <c r="Q64" s="7" t="str">
        <f t="shared" ca="1" si="7"/>
        <v>BENTANCUR</v>
      </c>
      <c r="Z64" s="256"/>
      <c r="AA64" s="219"/>
      <c r="AB64" s="293" t="str">
        <f t="shared" si="8"/>
        <v/>
      </c>
      <c r="AC64" s="294" t="str">
        <f t="shared" si="9"/>
        <v/>
      </c>
      <c r="AD64" s="219"/>
      <c r="AE64" s="219"/>
      <c r="AF64" s="293" t="str">
        <f>IF(AA64="","",VLOOKUP(AA64,Asta!$B:$H,7,FALSE))</f>
        <v/>
      </c>
      <c r="AG64" s="294" t="str">
        <f t="shared" si="10"/>
        <v/>
      </c>
      <c r="AH64" t="str">
        <f t="shared" si="11"/>
        <v/>
      </c>
      <c r="AI64" s="254" t="str">
        <f t="shared" ca="1" si="17"/>
        <v>45</v>
      </c>
      <c r="AJ64" s="254" t="str">
        <f t="shared" ca="1" si="18"/>
        <v>45</v>
      </c>
      <c r="AK64" s="351"/>
    </row>
    <row r="65" spans="1:37">
      <c r="A65" s="74">
        <v>46</v>
      </c>
      <c r="B65" s="252"/>
      <c r="C65" s="293" t="str">
        <f t="shared" si="21"/>
        <v/>
      </c>
      <c r="D65" s="294" t="str">
        <f t="shared" si="22"/>
        <v/>
      </c>
      <c r="E65" s="287"/>
      <c r="F65" s="293" t="str">
        <f t="shared" si="4"/>
        <v/>
      </c>
      <c r="G65" s="294" t="str">
        <f t="shared" si="13"/>
        <v/>
      </c>
      <c r="H65" s="290"/>
      <c r="I65" s="254" t="str">
        <f t="shared" ca="1" si="14"/>
        <v>1</v>
      </c>
      <c r="J65" s="254" t="str">
        <f t="shared" ca="1" si="15"/>
        <v>1</v>
      </c>
      <c r="K65" s="230" t="str">
        <f>IF(Giocatori!B54=0,"",Giocatori!B54)</f>
        <v>BERARDI</v>
      </c>
      <c r="L65" s="230" t="str">
        <f>IF(Giocatori!A54=0,"",Giocatori!A54)</f>
        <v>A</v>
      </c>
      <c r="M65" s="230" t="str">
        <f>IF(Giocatori!C54=0,"",Giocatori!C54)</f>
        <v>Sassuolo</v>
      </c>
      <c r="N65" s="69" t="str">
        <f t="shared" si="5"/>
        <v/>
      </c>
      <c r="O65" t="str">
        <f t="shared" si="6"/>
        <v>BERARDI</v>
      </c>
      <c r="P65" s="7">
        <f t="shared" ca="1" si="16"/>
        <v>65</v>
      </c>
      <c r="Q65" s="7" t="str">
        <f t="shared" ca="1" si="7"/>
        <v>BERARDI</v>
      </c>
      <c r="Z65" s="256"/>
      <c r="AA65" s="219"/>
      <c r="AB65" s="293" t="str">
        <f t="shared" si="8"/>
        <v/>
      </c>
      <c r="AC65" s="294" t="str">
        <f t="shared" si="9"/>
        <v/>
      </c>
      <c r="AD65" s="219"/>
      <c r="AE65" s="219"/>
      <c r="AF65" s="293" t="str">
        <f>IF(AA65="","",VLOOKUP(AA65,Asta!$B:$H,7,FALSE))</f>
        <v/>
      </c>
      <c r="AG65" s="294" t="str">
        <f t="shared" si="10"/>
        <v/>
      </c>
      <c r="AH65" t="str">
        <f t="shared" si="11"/>
        <v/>
      </c>
      <c r="AI65" s="254" t="str">
        <f t="shared" ca="1" si="17"/>
        <v>46</v>
      </c>
      <c r="AJ65" s="254" t="str">
        <f t="shared" ca="1" si="18"/>
        <v>46</v>
      </c>
      <c r="AK65" s="351"/>
    </row>
    <row r="66" spans="1:37">
      <c r="A66" s="74">
        <v>47</v>
      </c>
      <c r="B66" s="252"/>
      <c r="C66" s="293" t="str">
        <f t="shared" si="21"/>
        <v/>
      </c>
      <c r="D66" s="294" t="str">
        <f t="shared" si="22"/>
        <v/>
      </c>
      <c r="E66" s="287"/>
      <c r="F66" s="293" t="str">
        <f t="shared" si="4"/>
        <v/>
      </c>
      <c r="G66" s="294" t="str">
        <f t="shared" si="13"/>
        <v/>
      </c>
      <c r="H66" s="290"/>
      <c r="I66" s="254" t="str">
        <f t="shared" ca="1" si="14"/>
        <v>1</v>
      </c>
      <c r="J66" s="254" t="str">
        <f t="shared" ca="1" si="15"/>
        <v>1</v>
      </c>
      <c r="K66" s="230" t="str">
        <f>IF(Giocatori!B55=0,"",Giocatori!B55)</f>
        <v>BERENGUER</v>
      </c>
      <c r="L66" s="230" t="str">
        <f>IF(Giocatori!A55=0,"",Giocatori!A55)</f>
        <v>C</v>
      </c>
      <c r="M66" s="230" t="str">
        <f>IF(Giocatori!C55=0,"",Giocatori!C55)</f>
        <v>Torino</v>
      </c>
      <c r="N66" s="69" t="str">
        <f t="shared" si="5"/>
        <v/>
      </c>
      <c r="O66" t="str">
        <f t="shared" si="6"/>
        <v>BERENGUER</v>
      </c>
      <c r="P66" s="7">
        <f t="shared" ca="1" si="16"/>
        <v>66</v>
      </c>
      <c r="Q66" s="7" t="str">
        <f t="shared" ca="1" si="7"/>
        <v>BERENGUER</v>
      </c>
      <c r="Z66" s="256"/>
      <c r="AA66" s="219"/>
      <c r="AB66" s="293" t="str">
        <f t="shared" si="8"/>
        <v/>
      </c>
      <c r="AC66" s="294" t="str">
        <f t="shared" si="9"/>
        <v/>
      </c>
      <c r="AD66" s="219"/>
      <c r="AE66" s="219"/>
      <c r="AF66" s="293" t="str">
        <f>IF(AA66="","",VLOOKUP(AA66,Asta!$B:$H,7,FALSE))</f>
        <v/>
      </c>
      <c r="AG66" s="294" t="str">
        <f t="shared" si="10"/>
        <v/>
      </c>
      <c r="AH66" t="str">
        <f t="shared" si="11"/>
        <v/>
      </c>
      <c r="AI66" s="254" t="str">
        <f t="shared" ca="1" si="17"/>
        <v>47</v>
      </c>
      <c r="AJ66" s="254" t="str">
        <f t="shared" ca="1" si="18"/>
        <v>47</v>
      </c>
      <c r="AK66" s="351"/>
    </row>
    <row r="67" spans="1:37">
      <c r="A67" s="74">
        <v>48</v>
      </c>
      <c r="B67" s="252"/>
      <c r="C67" s="293" t="str">
        <f t="shared" si="21"/>
        <v/>
      </c>
      <c r="D67" s="294" t="str">
        <f t="shared" si="22"/>
        <v/>
      </c>
      <c r="E67" s="287"/>
      <c r="F67" s="293" t="str">
        <f t="shared" si="4"/>
        <v/>
      </c>
      <c r="G67" s="294" t="str">
        <f t="shared" si="13"/>
        <v/>
      </c>
      <c r="H67" s="290"/>
      <c r="I67" s="254" t="str">
        <f t="shared" ca="1" si="14"/>
        <v>1</v>
      </c>
      <c r="J67" s="254" t="str">
        <f t="shared" ca="1" si="15"/>
        <v>1</v>
      </c>
      <c r="K67" s="230" t="str">
        <f>IF(Giocatori!B56=0,"",Giocatori!B56)</f>
        <v>BERESZYNSKI</v>
      </c>
      <c r="L67" s="230" t="str">
        <f>IF(Giocatori!A56=0,"",Giocatori!A56)</f>
        <v>D</v>
      </c>
      <c r="M67" s="230" t="str">
        <f>IF(Giocatori!C56=0,"",Giocatori!C56)</f>
        <v>Sampdoria</v>
      </c>
      <c r="N67" s="69" t="str">
        <f t="shared" si="5"/>
        <v/>
      </c>
      <c r="O67" t="str">
        <f t="shared" si="6"/>
        <v>BERESZYNSKI</v>
      </c>
      <c r="P67" s="7">
        <f t="shared" ca="1" si="16"/>
        <v>67</v>
      </c>
      <c r="Q67" s="7" t="str">
        <f t="shared" ca="1" si="7"/>
        <v>BERESZYNSKI</v>
      </c>
      <c r="Z67" s="256"/>
      <c r="AA67" s="219"/>
      <c r="AB67" s="293" t="str">
        <f t="shared" si="8"/>
        <v/>
      </c>
      <c r="AC67" s="294" t="str">
        <f t="shared" si="9"/>
        <v/>
      </c>
      <c r="AD67" s="219"/>
      <c r="AE67" s="219"/>
      <c r="AF67" s="293" t="str">
        <f>IF(AA67="","",VLOOKUP(AA67,Asta!$B:$H,7,FALSE))</f>
        <v/>
      </c>
      <c r="AG67" s="294" t="str">
        <f t="shared" si="10"/>
        <v/>
      </c>
      <c r="AH67" t="str">
        <f t="shared" si="11"/>
        <v/>
      </c>
      <c r="AI67" s="254" t="str">
        <f t="shared" ca="1" si="17"/>
        <v>48</v>
      </c>
      <c r="AJ67" s="254" t="str">
        <f t="shared" ca="1" si="18"/>
        <v>48</v>
      </c>
      <c r="AK67" s="351"/>
    </row>
    <row r="68" spans="1:37">
      <c r="A68" s="74">
        <v>49</v>
      </c>
      <c r="B68" s="252"/>
      <c r="C68" s="293" t="str">
        <f t="shared" si="21"/>
        <v/>
      </c>
      <c r="D68" s="294" t="str">
        <f t="shared" si="22"/>
        <v/>
      </c>
      <c r="E68" s="287"/>
      <c r="F68" s="293" t="str">
        <f t="shared" si="4"/>
        <v/>
      </c>
      <c r="G68" s="294" t="str">
        <f t="shared" si="13"/>
        <v/>
      </c>
      <c r="H68" s="290"/>
      <c r="I68" s="254" t="str">
        <f t="shared" ca="1" si="14"/>
        <v>1</v>
      </c>
      <c r="J68" s="254" t="str">
        <f t="shared" ca="1" si="15"/>
        <v>1</v>
      </c>
      <c r="K68" s="230" t="str">
        <f>IF(Giocatori!B57=0,"",Giocatori!B57)</f>
        <v>BERISHA</v>
      </c>
      <c r="L68" s="230" t="str">
        <f>IF(Giocatori!A57=0,"",Giocatori!A57)</f>
        <v>P</v>
      </c>
      <c r="M68" s="230" t="str">
        <f>IF(Giocatori!C57=0,"",Giocatori!C57)</f>
        <v>Atalanta</v>
      </c>
      <c r="N68" s="69" t="str">
        <f t="shared" si="5"/>
        <v/>
      </c>
      <c r="O68" t="str">
        <f t="shared" si="6"/>
        <v>BERISHA</v>
      </c>
      <c r="P68" s="7">
        <f t="shared" ca="1" si="16"/>
        <v>68</v>
      </c>
      <c r="Q68" s="7" t="str">
        <f t="shared" ca="1" si="7"/>
        <v>BERISHA</v>
      </c>
      <c r="Z68" s="256"/>
      <c r="AA68" s="219"/>
      <c r="AB68" s="293" t="str">
        <f t="shared" si="8"/>
        <v/>
      </c>
      <c r="AC68" s="294" t="str">
        <f t="shared" si="9"/>
        <v/>
      </c>
      <c r="AD68" s="219"/>
      <c r="AE68" s="219"/>
      <c r="AF68" s="293" t="str">
        <f>IF(AA68="","",VLOOKUP(AA68,Asta!$B:$H,7,FALSE))</f>
        <v/>
      </c>
      <c r="AG68" s="294" t="str">
        <f t="shared" si="10"/>
        <v/>
      </c>
      <c r="AH68" t="str">
        <f t="shared" si="11"/>
        <v/>
      </c>
      <c r="AI68" s="254" t="str">
        <f t="shared" ca="1" si="17"/>
        <v>49</v>
      </c>
      <c r="AJ68" s="254" t="str">
        <f t="shared" ca="1" si="18"/>
        <v>49</v>
      </c>
      <c r="AK68" s="351"/>
    </row>
    <row r="69" spans="1:37">
      <c r="A69" s="74">
        <v>50</v>
      </c>
      <c r="B69" s="252"/>
      <c r="C69" s="293" t="str">
        <f t="shared" si="21"/>
        <v/>
      </c>
      <c r="D69" s="294" t="str">
        <f t="shared" si="22"/>
        <v/>
      </c>
      <c r="E69" s="287"/>
      <c r="F69" s="293" t="str">
        <f t="shared" si="4"/>
        <v/>
      </c>
      <c r="G69" s="294" t="str">
        <f t="shared" si="13"/>
        <v/>
      </c>
      <c r="H69" s="290"/>
      <c r="I69" s="254" t="str">
        <f t="shared" ca="1" si="14"/>
        <v>1</v>
      </c>
      <c r="J69" s="254" t="str">
        <f t="shared" ca="1" si="15"/>
        <v>1</v>
      </c>
      <c r="K69" s="230" t="str">
        <f>IF(Giocatori!B58=0,"",Giocatori!B58)</f>
        <v>BERNARDESCHI</v>
      </c>
      <c r="L69" s="230" t="str">
        <f>IF(Giocatori!A58=0,"",Giocatori!A58)</f>
        <v>C</v>
      </c>
      <c r="M69" s="230" t="str">
        <f>IF(Giocatori!C58=0,"",Giocatori!C58)</f>
        <v>Juventus</v>
      </c>
      <c r="N69" s="69" t="str">
        <f t="shared" si="5"/>
        <v/>
      </c>
      <c r="O69" t="str">
        <f t="shared" si="6"/>
        <v>BERNARDESCHI</v>
      </c>
      <c r="P69" s="7">
        <f t="shared" ca="1" si="16"/>
        <v>69</v>
      </c>
      <c r="Q69" s="7" t="str">
        <f t="shared" ca="1" si="7"/>
        <v>BERNARDESCHI</v>
      </c>
      <c r="Z69" s="256"/>
      <c r="AA69" s="219"/>
      <c r="AB69" s="293" t="str">
        <f t="shared" si="8"/>
        <v/>
      </c>
      <c r="AC69" s="294" t="str">
        <f t="shared" si="9"/>
        <v/>
      </c>
      <c r="AD69" s="219"/>
      <c r="AE69" s="219"/>
      <c r="AF69" s="293" t="str">
        <f>IF(AA69="","",VLOOKUP(AA69,Asta!$B:$H,7,FALSE))</f>
        <v/>
      </c>
      <c r="AG69" s="294" t="str">
        <f t="shared" si="10"/>
        <v/>
      </c>
      <c r="AH69" t="str">
        <f t="shared" si="11"/>
        <v/>
      </c>
      <c r="AI69" s="254" t="str">
        <f t="shared" ca="1" si="17"/>
        <v>50</v>
      </c>
      <c r="AJ69" s="254" t="str">
        <f t="shared" ca="1" si="18"/>
        <v>50</v>
      </c>
      <c r="AK69" s="351"/>
    </row>
    <row r="70" spans="1:37">
      <c r="A70" s="74">
        <v>51</v>
      </c>
      <c r="B70" s="252"/>
      <c r="C70" s="293" t="str">
        <f t="shared" si="21"/>
        <v/>
      </c>
      <c r="D70" s="294" t="str">
        <f t="shared" si="22"/>
        <v/>
      </c>
      <c r="E70" s="287"/>
      <c r="F70" s="293" t="str">
        <f t="shared" si="4"/>
        <v/>
      </c>
      <c r="G70" s="294" t="str">
        <f t="shared" si="13"/>
        <v/>
      </c>
      <c r="H70" s="290"/>
      <c r="I70" s="254" t="str">
        <f t="shared" ca="1" si="14"/>
        <v>1</v>
      </c>
      <c r="J70" s="254" t="str">
        <f t="shared" ca="1" si="15"/>
        <v>1</v>
      </c>
      <c r="K70" s="230" t="str">
        <f>IF(Giocatori!B59=0,"",Giocatori!B59)</f>
        <v>BERNI</v>
      </c>
      <c r="L70" s="230" t="str">
        <f>IF(Giocatori!A59=0,"",Giocatori!A59)</f>
        <v>P</v>
      </c>
      <c r="M70" s="230" t="str">
        <f>IF(Giocatori!C59=0,"",Giocatori!C59)</f>
        <v>Inter</v>
      </c>
      <c r="N70" s="69" t="str">
        <f t="shared" si="5"/>
        <v/>
      </c>
      <c r="O70" t="str">
        <f t="shared" si="6"/>
        <v>BERNI</v>
      </c>
      <c r="P70" s="7">
        <f t="shared" ca="1" si="16"/>
        <v>70</v>
      </c>
      <c r="Q70" s="7" t="str">
        <f t="shared" ca="1" si="7"/>
        <v>BERNI</v>
      </c>
      <c r="Z70" s="256"/>
      <c r="AA70" s="219"/>
      <c r="AB70" s="293" t="str">
        <f t="shared" si="8"/>
        <v/>
      </c>
      <c r="AC70" s="294" t="str">
        <f t="shared" si="9"/>
        <v/>
      </c>
      <c r="AD70" s="219"/>
      <c r="AE70" s="219"/>
      <c r="AF70" s="293" t="str">
        <f>IF(AA70="","",VLOOKUP(AA70,Asta!$B:$H,7,FALSE))</f>
        <v/>
      </c>
      <c r="AG70" s="294" t="str">
        <f t="shared" si="10"/>
        <v/>
      </c>
      <c r="AH70" t="str">
        <f t="shared" si="11"/>
        <v/>
      </c>
      <c r="AI70" s="254" t="str">
        <f t="shared" ca="1" si="17"/>
        <v>51</v>
      </c>
      <c r="AJ70" s="254" t="str">
        <f t="shared" ca="1" si="18"/>
        <v>51</v>
      </c>
      <c r="AK70" s="351"/>
    </row>
    <row r="71" spans="1:37">
      <c r="A71" s="74">
        <v>52</v>
      </c>
      <c r="B71" s="252"/>
      <c r="C71" s="293" t="str">
        <f t="shared" si="21"/>
        <v/>
      </c>
      <c r="D71" s="294" t="str">
        <f t="shared" si="22"/>
        <v/>
      </c>
      <c r="E71" s="287"/>
      <c r="F71" s="293" t="str">
        <f t="shared" si="4"/>
        <v/>
      </c>
      <c r="G71" s="294" t="str">
        <f t="shared" si="13"/>
        <v/>
      </c>
      <c r="H71" s="290"/>
      <c r="I71" s="254" t="str">
        <f t="shared" ca="1" si="14"/>
        <v>1</v>
      </c>
      <c r="J71" s="254" t="str">
        <f t="shared" ca="1" si="15"/>
        <v>1</v>
      </c>
      <c r="K71" s="230" t="str">
        <f>IF(Giocatori!B60=0,"",Giocatori!B60)</f>
        <v>BERTOLACCI</v>
      </c>
      <c r="L71" s="230" t="str">
        <f>IF(Giocatori!A60=0,"",Giocatori!A60)</f>
        <v>C</v>
      </c>
      <c r="M71" s="230" t="str">
        <f>IF(Giocatori!C60=0,"",Giocatori!C60)</f>
        <v>Genoa</v>
      </c>
      <c r="N71" s="69" t="str">
        <f t="shared" si="5"/>
        <v/>
      </c>
      <c r="O71" t="str">
        <f t="shared" si="6"/>
        <v>BERTOLACCI</v>
      </c>
      <c r="P71" s="7">
        <f t="shared" ca="1" si="16"/>
        <v>71</v>
      </c>
      <c r="Q71" s="7" t="str">
        <f t="shared" ca="1" si="7"/>
        <v>BERTOLACCI</v>
      </c>
      <c r="Z71" s="256"/>
      <c r="AA71" s="219"/>
      <c r="AB71" s="293" t="str">
        <f t="shared" si="8"/>
        <v/>
      </c>
      <c r="AC71" s="294" t="str">
        <f t="shared" si="9"/>
        <v/>
      </c>
      <c r="AD71" s="219"/>
      <c r="AE71" s="219"/>
      <c r="AF71" s="293" t="str">
        <f>IF(AA71="","",VLOOKUP(AA71,Asta!$B:$H,7,FALSE))</f>
        <v/>
      </c>
      <c r="AG71" s="294" t="str">
        <f t="shared" si="10"/>
        <v/>
      </c>
      <c r="AH71" t="str">
        <f t="shared" si="11"/>
        <v/>
      </c>
      <c r="AI71" s="254" t="str">
        <f t="shared" ca="1" si="17"/>
        <v>52</v>
      </c>
      <c r="AJ71" s="254" t="str">
        <f t="shared" ca="1" si="18"/>
        <v>52</v>
      </c>
      <c r="AK71" s="351"/>
    </row>
    <row r="72" spans="1:37">
      <c r="A72" s="74">
        <v>53</v>
      </c>
      <c r="B72" s="252"/>
      <c r="C72" s="293" t="str">
        <f t="shared" si="21"/>
        <v/>
      </c>
      <c r="D72" s="294" t="str">
        <f t="shared" si="22"/>
        <v/>
      </c>
      <c r="E72" s="287"/>
      <c r="F72" s="293" t="str">
        <f t="shared" si="4"/>
        <v/>
      </c>
      <c r="G72" s="294" t="str">
        <f t="shared" si="13"/>
        <v/>
      </c>
      <c r="H72" s="290"/>
      <c r="I72" s="254" t="str">
        <f t="shared" ca="1" si="14"/>
        <v>1</v>
      </c>
      <c r="J72" s="254" t="str">
        <f t="shared" ca="1" si="15"/>
        <v>1</v>
      </c>
      <c r="K72" s="230" t="str">
        <f>IF(Giocatori!B61=0,"",Giocatori!B61)</f>
        <v>BESSA</v>
      </c>
      <c r="L72" s="230" t="str">
        <f>IF(Giocatori!A61=0,"",Giocatori!A61)</f>
        <v>C</v>
      </c>
      <c r="M72" s="230" t="str">
        <f>IF(Giocatori!C61=0,"",Giocatori!C61)</f>
        <v>Verona</v>
      </c>
      <c r="N72" s="69" t="str">
        <f t="shared" si="5"/>
        <v/>
      </c>
      <c r="O72" t="str">
        <f t="shared" si="6"/>
        <v>BESSA</v>
      </c>
      <c r="P72" s="7">
        <f t="shared" ca="1" si="16"/>
        <v>72</v>
      </c>
      <c r="Q72" s="7" t="str">
        <f t="shared" ca="1" si="7"/>
        <v>BESSA</v>
      </c>
      <c r="Z72" s="256"/>
      <c r="AA72" s="219"/>
      <c r="AB72" s="293" t="str">
        <f t="shared" si="8"/>
        <v/>
      </c>
      <c r="AC72" s="294" t="str">
        <f t="shared" si="9"/>
        <v/>
      </c>
      <c r="AD72" s="219"/>
      <c r="AE72" s="219"/>
      <c r="AF72" s="293" t="str">
        <f>IF(AA72="","",VLOOKUP(AA72,Asta!$B:$H,7,FALSE))</f>
        <v/>
      </c>
      <c r="AG72" s="294" t="str">
        <f t="shared" si="10"/>
        <v/>
      </c>
      <c r="AH72" t="str">
        <f t="shared" si="11"/>
        <v/>
      </c>
      <c r="AI72" s="254" t="str">
        <f t="shared" ca="1" si="17"/>
        <v>53</v>
      </c>
      <c r="AJ72" s="254" t="str">
        <f t="shared" ca="1" si="18"/>
        <v>53</v>
      </c>
      <c r="AK72" s="351"/>
    </row>
    <row r="73" spans="1:37">
      <c r="A73" s="74">
        <v>54</v>
      </c>
      <c r="B73" s="252"/>
      <c r="C73" s="293" t="str">
        <f t="shared" si="21"/>
        <v/>
      </c>
      <c r="D73" s="294" t="str">
        <f t="shared" si="22"/>
        <v/>
      </c>
      <c r="E73" s="287"/>
      <c r="F73" s="293" t="str">
        <f t="shared" si="4"/>
        <v/>
      </c>
      <c r="G73" s="294" t="str">
        <f t="shared" si="13"/>
        <v/>
      </c>
      <c r="H73" s="290"/>
      <c r="I73" s="254" t="str">
        <f t="shared" ca="1" si="14"/>
        <v>1</v>
      </c>
      <c r="J73" s="254" t="str">
        <f t="shared" ca="1" si="15"/>
        <v>1</v>
      </c>
      <c r="K73" s="230" t="str">
        <f>IF(Giocatori!B62=0,"",Giocatori!B62)</f>
        <v>BIANCHETTI</v>
      </c>
      <c r="L73" s="230" t="str">
        <f>IF(Giocatori!A62=0,"",Giocatori!A62)</f>
        <v>D</v>
      </c>
      <c r="M73" s="230" t="str">
        <f>IF(Giocatori!C62=0,"",Giocatori!C62)</f>
        <v>Verona</v>
      </c>
      <c r="N73" s="69" t="str">
        <f t="shared" si="5"/>
        <v/>
      </c>
      <c r="O73" t="str">
        <f t="shared" si="6"/>
        <v>BIANCHETTI</v>
      </c>
      <c r="P73" s="7">
        <f t="shared" ca="1" si="16"/>
        <v>73</v>
      </c>
      <c r="Q73" s="7" t="str">
        <f t="shared" ca="1" si="7"/>
        <v>BIANCHETTI</v>
      </c>
      <c r="Z73" s="256"/>
      <c r="AA73" s="219"/>
      <c r="AB73" s="293" t="str">
        <f t="shared" si="8"/>
        <v/>
      </c>
      <c r="AC73" s="294" t="str">
        <f t="shared" si="9"/>
        <v/>
      </c>
      <c r="AD73" s="219"/>
      <c r="AE73" s="219"/>
      <c r="AF73" s="293" t="str">
        <f>IF(AA73="","",VLOOKUP(AA73,Asta!$B:$H,7,FALSE))</f>
        <v/>
      </c>
      <c r="AG73" s="294" t="str">
        <f t="shared" si="10"/>
        <v/>
      </c>
      <c r="AH73" t="str">
        <f t="shared" si="11"/>
        <v/>
      </c>
      <c r="AI73" s="254" t="str">
        <f t="shared" ca="1" si="17"/>
        <v>54</v>
      </c>
      <c r="AJ73" s="254" t="str">
        <f t="shared" ca="1" si="18"/>
        <v>54</v>
      </c>
      <c r="AK73" s="351"/>
    </row>
    <row r="74" spans="1:37">
      <c r="A74" s="74">
        <v>55</v>
      </c>
      <c r="B74" s="252"/>
      <c r="C74" s="293" t="str">
        <f t="shared" si="21"/>
        <v/>
      </c>
      <c r="D74" s="294" t="str">
        <f t="shared" si="22"/>
        <v/>
      </c>
      <c r="E74" s="287"/>
      <c r="F74" s="293" t="str">
        <f t="shared" si="4"/>
        <v/>
      </c>
      <c r="G74" s="294" t="str">
        <f t="shared" si="13"/>
        <v/>
      </c>
      <c r="H74" s="290"/>
      <c r="I74" s="254" t="str">
        <f t="shared" ca="1" si="14"/>
        <v>1</v>
      </c>
      <c r="J74" s="254" t="str">
        <f t="shared" ca="1" si="15"/>
        <v>1</v>
      </c>
      <c r="K74" s="230" t="str">
        <f>IF(Giocatori!B63=0,"",Giocatori!B63)</f>
        <v>BIGLIA</v>
      </c>
      <c r="L74" s="230" t="str">
        <f>IF(Giocatori!A63=0,"",Giocatori!A63)</f>
        <v>C</v>
      </c>
      <c r="M74" s="230" t="str">
        <f>IF(Giocatori!C63=0,"",Giocatori!C63)</f>
        <v>Milan</v>
      </c>
      <c r="N74" s="69" t="str">
        <f t="shared" si="5"/>
        <v/>
      </c>
      <c r="O74" t="str">
        <f t="shared" si="6"/>
        <v>BIGLIA</v>
      </c>
      <c r="P74" s="7">
        <f t="shared" ca="1" si="16"/>
        <v>74</v>
      </c>
      <c r="Q74" s="7" t="str">
        <f t="shared" ca="1" si="7"/>
        <v>BIGLIA</v>
      </c>
      <c r="Z74" s="256"/>
      <c r="AA74" s="219"/>
      <c r="AB74" s="293" t="str">
        <f t="shared" si="8"/>
        <v/>
      </c>
      <c r="AC74" s="294" t="str">
        <f t="shared" si="9"/>
        <v/>
      </c>
      <c r="AD74" s="219"/>
      <c r="AE74" s="219"/>
      <c r="AF74" s="293" t="str">
        <f>IF(AA74="","",VLOOKUP(AA74,Asta!$B:$H,7,FALSE))</f>
        <v/>
      </c>
      <c r="AG74" s="294" t="str">
        <f t="shared" si="10"/>
        <v/>
      </c>
      <c r="AH74" t="str">
        <f t="shared" si="11"/>
        <v/>
      </c>
      <c r="AI74" s="254" t="str">
        <f t="shared" ca="1" si="17"/>
        <v>55</v>
      </c>
      <c r="AJ74" s="254" t="str">
        <f t="shared" ca="1" si="18"/>
        <v>55</v>
      </c>
      <c r="AK74" s="351"/>
    </row>
    <row r="75" spans="1:37">
      <c r="A75" s="74">
        <v>56</v>
      </c>
      <c r="B75" s="252"/>
      <c r="C75" s="293" t="str">
        <f t="shared" si="21"/>
        <v/>
      </c>
      <c r="D75" s="294" t="str">
        <f t="shared" si="22"/>
        <v/>
      </c>
      <c r="E75" s="287"/>
      <c r="F75" s="293" t="str">
        <f t="shared" si="4"/>
        <v/>
      </c>
      <c r="G75" s="294" t="str">
        <f t="shared" si="13"/>
        <v/>
      </c>
      <c r="H75" s="290"/>
      <c r="I75" s="254" t="str">
        <f t="shared" ca="1" si="14"/>
        <v>1</v>
      </c>
      <c r="J75" s="254" t="str">
        <f t="shared" ca="1" si="15"/>
        <v>1</v>
      </c>
      <c r="K75" s="230" t="str">
        <f>IF(Giocatori!B64=0,"",Giocatori!B64)</f>
        <v>BIONDINI</v>
      </c>
      <c r="L75" s="230" t="str">
        <f>IF(Giocatori!A64=0,"",Giocatori!A64)</f>
        <v>C</v>
      </c>
      <c r="M75" s="230" t="str">
        <f>IF(Giocatori!C64=0,"",Giocatori!C64)</f>
        <v>Sassuolo</v>
      </c>
      <c r="N75" s="69" t="str">
        <f t="shared" si="5"/>
        <v/>
      </c>
      <c r="O75" t="str">
        <f t="shared" si="6"/>
        <v>BIONDINI</v>
      </c>
      <c r="P75" s="7">
        <f t="shared" ca="1" si="16"/>
        <v>75</v>
      </c>
      <c r="Q75" s="7" t="str">
        <f t="shared" ca="1" si="7"/>
        <v>BIONDINI</v>
      </c>
      <c r="Z75" s="256"/>
      <c r="AA75" s="219"/>
      <c r="AB75" s="293" t="str">
        <f t="shared" si="8"/>
        <v/>
      </c>
      <c r="AC75" s="294" t="str">
        <f t="shared" si="9"/>
        <v/>
      </c>
      <c r="AD75" s="219"/>
      <c r="AE75" s="219"/>
      <c r="AF75" s="293" t="str">
        <f>IF(AA75="","",VLOOKUP(AA75,Asta!$B:$H,7,FALSE))</f>
        <v/>
      </c>
      <c r="AG75" s="294" t="str">
        <f t="shared" si="10"/>
        <v/>
      </c>
      <c r="AH75" t="str">
        <f t="shared" si="11"/>
        <v/>
      </c>
      <c r="AI75" s="254" t="str">
        <f t="shared" ca="1" si="17"/>
        <v>56</v>
      </c>
      <c r="AJ75" s="254" t="str">
        <f t="shared" ca="1" si="18"/>
        <v>56</v>
      </c>
      <c r="AK75" s="351"/>
    </row>
    <row r="76" spans="1:37">
      <c r="A76" s="74">
        <v>57</v>
      </c>
      <c r="B76" s="252"/>
      <c r="C76" s="293" t="str">
        <f t="shared" si="21"/>
        <v/>
      </c>
      <c r="D76" s="294" t="str">
        <f t="shared" si="22"/>
        <v/>
      </c>
      <c r="E76" s="287"/>
      <c r="F76" s="293" t="str">
        <f t="shared" si="4"/>
        <v/>
      </c>
      <c r="G76" s="294" t="str">
        <f t="shared" si="13"/>
        <v/>
      </c>
      <c r="H76" s="290"/>
      <c r="I76" s="254" t="str">
        <f t="shared" ca="1" si="14"/>
        <v>1</v>
      </c>
      <c r="J76" s="254" t="str">
        <f t="shared" ca="1" si="15"/>
        <v>1</v>
      </c>
      <c r="K76" s="230" t="str">
        <f>IF(Giocatori!B65=0,"",Giocatori!B65)</f>
        <v>BIRAGHI</v>
      </c>
      <c r="L76" s="230" t="str">
        <f>IF(Giocatori!A65=0,"",Giocatori!A65)</f>
        <v>D</v>
      </c>
      <c r="M76" s="230" t="str">
        <f>IF(Giocatori!C65=0,"",Giocatori!C65)</f>
        <v>Fiorentina</v>
      </c>
      <c r="N76" s="69" t="str">
        <f t="shared" si="5"/>
        <v/>
      </c>
      <c r="O76" t="str">
        <f t="shared" si="6"/>
        <v>BIRAGHI</v>
      </c>
      <c r="P76" s="7">
        <f t="shared" ca="1" si="16"/>
        <v>76</v>
      </c>
      <c r="Q76" s="7" t="str">
        <f t="shared" ca="1" si="7"/>
        <v>BIRAGHI</v>
      </c>
      <c r="Z76" s="256"/>
      <c r="AA76" s="219"/>
      <c r="AB76" s="293" t="str">
        <f t="shared" si="8"/>
        <v/>
      </c>
      <c r="AC76" s="294" t="str">
        <f t="shared" si="9"/>
        <v/>
      </c>
      <c r="AD76" s="219"/>
      <c r="AE76" s="219"/>
      <c r="AF76" s="293" t="str">
        <f>IF(AA76="","",VLOOKUP(AA76,Asta!$B:$H,7,FALSE))</f>
        <v/>
      </c>
      <c r="AG76" s="294" t="str">
        <f t="shared" si="10"/>
        <v/>
      </c>
      <c r="AH76" t="str">
        <f t="shared" si="11"/>
        <v/>
      </c>
      <c r="AI76" s="254" t="str">
        <f t="shared" ca="1" si="17"/>
        <v>57</v>
      </c>
      <c r="AJ76" s="254" t="str">
        <f t="shared" ca="1" si="18"/>
        <v>57</v>
      </c>
      <c r="AK76" s="351"/>
    </row>
    <row r="77" spans="1:37">
      <c r="A77" s="74">
        <v>58</v>
      </c>
      <c r="B77" s="252"/>
      <c r="C77" s="293" t="str">
        <f t="shared" si="21"/>
        <v/>
      </c>
      <c r="D77" s="294" t="str">
        <f t="shared" si="22"/>
        <v/>
      </c>
      <c r="E77" s="287"/>
      <c r="F77" s="293" t="str">
        <f t="shared" si="4"/>
        <v/>
      </c>
      <c r="G77" s="294" t="str">
        <f t="shared" si="13"/>
        <v/>
      </c>
      <c r="H77" s="290"/>
      <c r="I77" s="254" t="str">
        <f t="shared" ca="1" si="14"/>
        <v>1</v>
      </c>
      <c r="J77" s="254" t="str">
        <f t="shared" ca="1" si="15"/>
        <v>1</v>
      </c>
      <c r="K77" s="230" t="str">
        <f>IF(Giocatori!B66=0,"",Giocatori!B66)</f>
        <v>BIRASCHI</v>
      </c>
      <c r="L77" s="230" t="str">
        <f>IF(Giocatori!A66=0,"",Giocatori!A66)</f>
        <v>D</v>
      </c>
      <c r="M77" s="230" t="str">
        <f>IF(Giocatori!C66=0,"",Giocatori!C66)</f>
        <v>Genoa</v>
      </c>
      <c r="N77" s="69" t="str">
        <f t="shared" si="5"/>
        <v/>
      </c>
      <c r="O77" t="str">
        <f t="shared" si="6"/>
        <v>BIRASCHI</v>
      </c>
      <c r="P77" s="7">
        <f t="shared" ca="1" si="16"/>
        <v>77</v>
      </c>
      <c r="Q77" s="7" t="str">
        <f t="shared" ca="1" si="7"/>
        <v>BIRASCHI</v>
      </c>
      <c r="Z77" s="256"/>
      <c r="AA77" s="219"/>
      <c r="AB77" s="293" t="str">
        <f t="shared" si="8"/>
        <v/>
      </c>
      <c r="AC77" s="294" t="str">
        <f t="shared" si="9"/>
        <v/>
      </c>
      <c r="AD77" s="219"/>
      <c r="AE77" s="219"/>
      <c r="AF77" s="293" t="str">
        <f>IF(AA77="","",VLOOKUP(AA77,Asta!$B:$H,7,FALSE))</f>
        <v/>
      </c>
      <c r="AG77" s="294" t="str">
        <f t="shared" si="10"/>
        <v/>
      </c>
      <c r="AH77" t="str">
        <f t="shared" si="11"/>
        <v/>
      </c>
      <c r="AI77" s="254" t="str">
        <f t="shared" ca="1" si="17"/>
        <v>58</v>
      </c>
      <c r="AJ77" s="254" t="str">
        <f t="shared" ca="1" si="18"/>
        <v>58</v>
      </c>
      <c r="AK77" s="351"/>
    </row>
    <row r="78" spans="1:37">
      <c r="A78" s="74">
        <v>59</v>
      </c>
      <c r="B78" s="252"/>
      <c r="C78" s="293" t="str">
        <f t="shared" si="21"/>
        <v/>
      </c>
      <c r="D78" s="294" t="str">
        <f t="shared" si="22"/>
        <v/>
      </c>
      <c r="E78" s="287"/>
      <c r="F78" s="293" t="str">
        <f t="shared" si="4"/>
        <v/>
      </c>
      <c r="G78" s="294" t="str">
        <f t="shared" si="13"/>
        <v/>
      </c>
      <c r="H78" s="290"/>
      <c r="I78" s="254" t="str">
        <f t="shared" ca="1" si="14"/>
        <v>1</v>
      </c>
      <c r="J78" s="254" t="str">
        <f t="shared" ca="1" si="15"/>
        <v>1</v>
      </c>
      <c r="K78" s="230" t="str">
        <f>IF(Giocatori!B67=0,"",Giocatori!B67)</f>
        <v>BIRSA</v>
      </c>
      <c r="L78" s="230" t="str">
        <f>IF(Giocatori!A67=0,"",Giocatori!A67)</f>
        <v>C</v>
      </c>
      <c r="M78" s="230" t="str">
        <f>IF(Giocatori!C67=0,"",Giocatori!C67)</f>
        <v>Chievo</v>
      </c>
      <c r="N78" s="69" t="str">
        <f t="shared" si="5"/>
        <v/>
      </c>
      <c r="O78" t="str">
        <f t="shared" si="6"/>
        <v>BIRSA</v>
      </c>
      <c r="P78" s="7">
        <f t="shared" ca="1" si="16"/>
        <v>78</v>
      </c>
      <c r="Q78" s="7" t="str">
        <f t="shared" ca="1" si="7"/>
        <v>BIRSA</v>
      </c>
      <c r="Z78" s="256"/>
      <c r="AA78" s="219"/>
      <c r="AB78" s="293" t="str">
        <f t="shared" si="8"/>
        <v/>
      </c>
      <c r="AC78" s="294" t="str">
        <f t="shared" si="9"/>
        <v/>
      </c>
      <c r="AD78" s="219"/>
      <c r="AE78" s="219"/>
      <c r="AF78" s="293" t="str">
        <f>IF(AA78="","",VLOOKUP(AA78,Asta!$B:$H,7,FALSE))</f>
        <v/>
      </c>
      <c r="AG78" s="294" t="str">
        <f t="shared" si="10"/>
        <v/>
      </c>
      <c r="AH78" t="str">
        <f t="shared" si="11"/>
        <v/>
      </c>
      <c r="AI78" s="254" t="str">
        <f t="shared" ca="1" si="17"/>
        <v>59</v>
      </c>
      <c r="AJ78" s="254" t="str">
        <f t="shared" ca="1" si="18"/>
        <v>59</v>
      </c>
      <c r="AK78" s="351"/>
    </row>
    <row r="79" spans="1:37">
      <c r="A79" s="74">
        <v>60</v>
      </c>
      <c r="B79" s="252"/>
      <c r="C79" s="293" t="str">
        <f t="shared" si="21"/>
        <v/>
      </c>
      <c r="D79" s="294" t="str">
        <f t="shared" si="22"/>
        <v/>
      </c>
      <c r="E79" s="287"/>
      <c r="F79" s="293" t="str">
        <f t="shared" si="4"/>
        <v/>
      </c>
      <c r="G79" s="294" t="str">
        <f t="shared" si="13"/>
        <v/>
      </c>
      <c r="H79" s="290"/>
      <c r="I79" s="254" t="str">
        <f t="shared" ca="1" si="14"/>
        <v>1</v>
      </c>
      <c r="J79" s="254" t="str">
        <f t="shared" ca="1" si="15"/>
        <v>1</v>
      </c>
      <c r="K79" s="230" t="str">
        <f>IF(Giocatori!B68=0,"",Giocatori!B68)</f>
        <v>BIZZARRI</v>
      </c>
      <c r="L79" s="230" t="str">
        <f>IF(Giocatori!A68=0,"",Giocatori!A68)</f>
        <v>P</v>
      </c>
      <c r="M79" s="230" t="str">
        <f>IF(Giocatori!C68=0,"",Giocatori!C68)</f>
        <v>Udinese</v>
      </c>
      <c r="N79" s="69" t="str">
        <f t="shared" si="5"/>
        <v/>
      </c>
      <c r="O79" t="str">
        <f t="shared" si="6"/>
        <v>BIZZARRI</v>
      </c>
      <c r="P79" s="7">
        <f t="shared" ca="1" si="16"/>
        <v>79</v>
      </c>
      <c r="Q79" s="7" t="str">
        <f t="shared" ca="1" si="7"/>
        <v>BIZZARRI</v>
      </c>
      <c r="Z79" s="256"/>
      <c r="AA79" s="219"/>
      <c r="AB79" s="293" t="str">
        <f t="shared" si="8"/>
        <v/>
      </c>
      <c r="AC79" s="294" t="str">
        <f t="shared" si="9"/>
        <v/>
      </c>
      <c r="AD79" s="219"/>
      <c r="AE79" s="219"/>
      <c r="AF79" s="293" t="str">
        <f>IF(AA79="","",VLOOKUP(AA79,Asta!$B:$H,7,FALSE))</f>
        <v/>
      </c>
      <c r="AG79" s="294" t="str">
        <f t="shared" si="10"/>
        <v/>
      </c>
      <c r="AH79" t="str">
        <f t="shared" si="11"/>
        <v/>
      </c>
      <c r="AI79" s="254" t="str">
        <f t="shared" ca="1" si="17"/>
        <v>60</v>
      </c>
      <c r="AJ79" s="254" t="str">
        <f t="shared" ca="1" si="18"/>
        <v>60</v>
      </c>
      <c r="AK79" s="351"/>
    </row>
    <row r="80" spans="1:37">
      <c r="A80" s="74">
        <v>61</v>
      </c>
      <c r="B80" s="252"/>
      <c r="C80" s="293" t="str">
        <f t="shared" si="21"/>
        <v/>
      </c>
      <c r="D80" s="294" t="str">
        <f t="shared" si="22"/>
        <v/>
      </c>
      <c r="E80" s="287"/>
      <c r="F80" s="293" t="str">
        <f t="shared" si="4"/>
        <v/>
      </c>
      <c r="G80" s="294" t="str">
        <f t="shared" si="13"/>
        <v/>
      </c>
      <c r="H80" s="290"/>
      <c r="I80" s="254" t="str">
        <f t="shared" ca="1" si="14"/>
        <v>1</v>
      </c>
      <c r="J80" s="254" t="str">
        <f t="shared" ca="1" si="15"/>
        <v>1</v>
      </c>
      <c r="K80" s="230" t="str">
        <f>IF(Giocatori!B69=0,"",Giocatori!B69)</f>
        <v>BOCHNIEWICZ</v>
      </c>
      <c r="L80" s="230" t="str">
        <f>IF(Giocatori!A69=0,"",Giocatori!A69)</f>
        <v>D</v>
      </c>
      <c r="M80" s="230" t="str">
        <f>IF(Giocatori!C69=0,"",Giocatori!C69)</f>
        <v>Udinese</v>
      </c>
      <c r="N80" s="69" t="str">
        <f t="shared" si="5"/>
        <v/>
      </c>
      <c r="O80" t="str">
        <f t="shared" si="6"/>
        <v>BOCHNIEWICZ</v>
      </c>
      <c r="P80" s="7">
        <f t="shared" ca="1" si="16"/>
        <v>80</v>
      </c>
      <c r="Q80" s="7" t="str">
        <f t="shared" ca="1" si="7"/>
        <v>BOCHNIEWICZ</v>
      </c>
      <c r="Z80" s="256"/>
      <c r="AA80" s="219"/>
      <c r="AB80" s="293" t="str">
        <f t="shared" si="8"/>
        <v/>
      </c>
      <c r="AC80" s="294" t="str">
        <f t="shared" si="9"/>
        <v/>
      </c>
      <c r="AD80" s="219"/>
      <c r="AE80" s="219"/>
      <c r="AF80" s="293" t="str">
        <f>IF(AA80="","",VLOOKUP(AA80,Asta!$B:$H,7,FALSE))</f>
        <v/>
      </c>
      <c r="AG80" s="294" t="str">
        <f t="shared" si="10"/>
        <v/>
      </c>
      <c r="AH80" t="str">
        <f t="shared" si="11"/>
        <v/>
      </c>
      <c r="AI80" s="254" t="str">
        <f t="shared" ca="1" si="17"/>
        <v>61</v>
      </c>
      <c r="AJ80" s="254" t="str">
        <f t="shared" ca="1" si="18"/>
        <v>61</v>
      </c>
      <c r="AK80" s="351"/>
    </row>
    <row r="81" spans="1:37">
      <c r="A81" s="74">
        <v>62</v>
      </c>
      <c r="B81" s="252"/>
      <c r="C81" s="293" t="str">
        <f t="shared" si="21"/>
        <v/>
      </c>
      <c r="D81" s="294" t="str">
        <f t="shared" si="22"/>
        <v/>
      </c>
      <c r="E81" s="287"/>
      <c r="F81" s="293" t="str">
        <f t="shared" si="4"/>
        <v/>
      </c>
      <c r="G81" s="294" t="str">
        <f t="shared" si="13"/>
        <v/>
      </c>
      <c r="H81" s="290"/>
      <c r="I81" s="254" t="str">
        <f t="shared" ca="1" si="14"/>
        <v>1</v>
      </c>
      <c r="J81" s="254" t="str">
        <f t="shared" ca="1" si="15"/>
        <v>1</v>
      </c>
      <c r="K81" s="230" t="str">
        <f>IF(Giocatori!B70=0,"",Giocatori!B70)</f>
        <v>BONAVENTURA</v>
      </c>
      <c r="L81" s="230" t="str">
        <f>IF(Giocatori!A70=0,"",Giocatori!A70)</f>
        <v>C</v>
      </c>
      <c r="M81" s="230" t="str">
        <f>IF(Giocatori!C70=0,"",Giocatori!C70)</f>
        <v>Milan</v>
      </c>
      <c r="N81" s="69" t="str">
        <f t="shared" si="5"/>
        <v/>
      </c>
      <c r="O81" t="str">
        <f t="shared" si="6"/>
        <v>BONAVENTURA</v>
      </c>
      <c r="P81" s="7">
        <f t="shared" ca="1" si="16"/>
        <v>81</v>
      </c>
      <c r="Q81" s="7" t="str">
        <f t="shared" ca="1" si="7"/>
        <v>BONAVENTURA</v>
      </c>
      <c r="Z81" s="256"/>
      <c r="AA81" s="219"/>
      <c r="AB81" s="293" t="str">
        <f t="shared" si="8"/>
        <v/>
      </c>
      <c r="AC81" s="294" t="str">
        <f t="shared" si="9"/>
        <v/>
      </c>
      <c r="AD81" s="219"/>
      <c r="AE81" s="219"/>
      <c r="AF81" s="293" t="str">
        <f>IF(AA81="","",VLOOKUP(AA81,Asta!$B:$H,7,FALSE))</f>
        <v/>
      </c>
      <c r="AG81" s="294" t="str">
        <f t="shared" si="10"/>
        <v/>
      </c>
      <c r="AH81" t="str">
        <f t="shared" si="11"/>
        <v/>
      </c>
      <c r="AI81" s="254" t="str">
        <f t="shared" ca="1" si="17"/>
        <v>62</v>
      </c>
      <c r="AJ81" s="254" t="str">
        <f t="shared" ca="1" si="18"/>
        <v>62</v>
      </c>
      <c r="AK81" s="351"/>
    </row>
    <row r="82" spans="1:37">
      <c r="A82" s="74">
        <v>63</v>
      </c>
      <c r="B82" s="252"/>
      <c r="C82" s="293" t="str">
        <f t="shared" si="21"/>
        <v/>
      </c>
      <c r="D82" s="294" t="str">
        <f t="shared" si="22"/>
        <v/>
      </c>
      <c r="E82" s="287"/>
      <c r="F82" s="293" t="str">
        <f t="shared" si="4"/>
        <v/>
      </c>
      <c r="G82" s="294" t="str">
        <f t="shared" si="13"/>
        <v/>
      </c>
      <c r="H82" s="290"/>
      <c r="I82" s="254" t="str">
        <f t="shared" ca="1" si="14"/>
        <v>1</v>
      </c>
      <c r="J82" s="254" t="str">
        <f t="shared" ca="1" si="15"/>
        <v>1</v>
      </c>
      <c r="K82" s="230" t="str">
        <f>IF(Giocatori!B71=0,"",Giocatori!B71)</f>
        <v>BONAZZOLI</v>
      </c>
      <c r="L82" s="230" t="str">
        <f>IF(Giocatori!A71=0,"",Giocatori!A71)</f>
        <v>A</v>
      </c>
      <c r="M82" s="230" t="str">
        <f>IF(Giocatori!C71=0,"",Giocatori!C71)</f>
        <v>SPAL</v>
      </c>
      <c r="N82" s="69" t="str">
        <f t="shared" si="5"/>
        <v/>
      </c>
      <c r="O82" t="str">
        <f t="shared" si="6"/>
        <v>BONAZZOLI</v>
      </c>
      <c r="P82" s="7">
        <f t="shared" ca="1" si="16"/>
        <v>82</v>
      </c>
      <c r="Q82" s="7" t="str">
        <f t="shared" ca="1" si="7"/>
        <v>BONAZZOLI</v>
      </c>
      <c r="Z82" s="256"/>
      <c r="AA82" s="219"/>
      <c r="AB82" s="293" t="str">
        <f t="shared" si="8"/>
        <v/>
      </c>
      <c r="AC82" s="294" t="str">
        <f t="shared" si="9"/>
        <v/>
      </c>
      <c r="AD82" s="219"/>
      <c r="AE82" s="219"/>
      <c r="AF82" s="293" t="str">
        <f>IF(AA82="","",VLOOKUP(AA82,Asta!$B:$H,7,FALSE))</f>
        <v/>
      </c>
      <c r="AG82" s="294" t="str">
        <f t="shared" si="10"/>
        <v/>
      </c>
      <c r="AH82" t="str">
        <f t="shared" si="11"/>
        <v/>
      </c>
      <c r="AI82" s="254" t="str">
        <f t="shared" ca="1" si="17"/>
        <v>63</v>
      </c>
      <c r="AJ82" s="254" t="str">
        <f t="shared" ca="1" si="18"/>
        <v>63</v>
      </c>
      <c r="AK82" s="351"/>
    </row>
    <row r="83" spans="1:37">
      <c r="A83" s="74">
        <v>64</v>
      </c>
      <c r="B83" s="252"/>
      <c r="C83" s="293" t="str">
        <f t="shared" si="21"/>
        <v/>
      </c>
      <c r="D83" s="294" t="str">
        <f t="shared" si="22"/>
        <v/>
      </c>
      <c r="E83" s="287"/>
      <c r="F83" s="293" t="str">
        <f t="shared" si="4"/>
        <v/>
      </c>
      <c r="G83" s="294" t="str">
        <f t="shared" si="13"/>
        <v/>
      </c>
      <c r="H83" s="290"/>
      <c r="I83" s="254" t="str">
        <f t="shared" ca="1" si="14"/>
        <v>1</v>
      </c>
      <c r="J83" s="254" t="str">
        <f t="shared" ca="1" si="15"/>
        <v>1</v>
      </c>
      <c r="K83" s="230" t="str">
        <f>IF(Giocatori!B72=0,"",Giocatori!B72)</f>
        <v>BONIFAZI</v>
      </c>
      <c r="L83" s="230" t="str">
        <f>IF(Giocatori!A72=0,"",Giocatori!A72)</f>
        <v>D</v>
      </c>
      <c r="M83" s="230" t="str">
        <f>IF(Giocatori!C72=0,"",Giocatori!C72)</f>
        <v>Torino</v>
      </c>
      <c r="N83" s="69" t="str">
        <f t="shared" si="5"/>
        <v/>
      </c>
      <c r="O83" t="str">
        <f t="shared" si="6"/>
        <v>BONIFAZI</v>
      </c>
      <c r="P83" s="7">
        <f t="shared" ca="1" si="16"/>
        <v>83</v>
      </c>
      <c r="Q83" s="7" t="str">
        <f t="shared" ca="1" si="7"/>
        <v>BONIFAZI</v>
      </c>
      <c r="Z83" s="256"/>
      <c r="AA83" s="219"/>
      <c r="AB83" s="293" t="str">
        <f t="shared" si="8"/>
        <v/>
      </c>
      <c r="AC83" s="294" t="str">
        <f t="shared" si="9"/>
        <v/>
      </c>
      <c r="AD83" s="219"/>
      <c r="AE83" s="219"/>
      <c r="AF83" s="293" t="str">
        <f>IF(AA83="","",VLOOKUP(AA83,Asta!$B:$H,7,FALSE))</f>
        <v/>
      </c>
      <c r="AG83" s="294" t="str">
        <f t="shared" si="10"/>
        <v/>
      </c>
      <c r="AH83" t="str">
        <f t="shared" si="11"/>
        <v/>
      </c>
      <c r="AI83" s="254" t="str">
        <f t="shared" ca="1" si="17"/>
        <v>64</v>
      </c>
      <c r="AJ83" s="254" t="str">
        <f t="shared" ca="1" si="18"/>
        <v>64</v>
      </c>
      <c r="AK83" s="351"/>
    </row>
    <row r="84" spans="1:37">
      <c r="A84" s="74">
        <v>65</v>
      </c>
      <c r="B84" s="252"/>
      <c r="C84" s="293" t="str">
        <f t="shared" ref="C84:C115" si="23">IF(B84&lt;&gt;"",VLOOKUP(B84,$K:$M,2,FALSE),"")</f>
        <v/>
      </c>
      <c r="D84" s="294" t="str">
        <f t="shared" ref="D84:D115" si="24">IF(B84&lt;&gt;"",VLOOKUP(B84,$K:$M,3,FALSE),"")</f>
        <v/>
      </c>
      <c r="E84" s="287"/>
      <c r="F84" s="293" t="str">
        <f t="shared" ref="F84:F147" si="25">IF(B84="","",IF(ISNA(VLOOKUP(B84,$AA$20:$AE$807,5,FALSE)),"",VLOOKUP(B84,$AA$20:$AE$807,5,FALSE)))</f>
        <v/>
      </c>
      <c r="G84" s="294" t="str">
        <f t="shared" ref="G84:G147" si="26">IF(B84="","",IF(F84="",IF(E84="","",E84),F84))</f>
        <v/>
      </c>
      <c r="H84" s="290"/>
      <c r="I84" s="254" t="str">
        <f t="shared" ca="1" si="14"/>
        <v>1</v>
      </c>
      <c r="J84" s="254" t="str">
        <f t="shared" ca="1" si="15"/>
        <v>1</v>
      </c>
      <c r="K84" s="230" t="str">
        <f>IF(Giocatori!B73=0,"",Giocatori!B73)</f>
        <v>BONUCCI</v>
      </c>
      <c r="L84" s="230" t="str">
        <f>IF(Giocatori!A73=0,"",Giocatori!A73)</f>
        <v>D</v>
      </c>
      <c r="M84" s="230" t="str">
        <f>IF(Giocatori!C73=0,"",Giocatori!C73)</f>
        <v>Milan</v>
      </c>
      <c r="N84" s="69" t="str">
        <f t="shared" ref="N84:N147" si="27">IF(B84=0,"",B84)</f>
        <v/>
      </c>
      <c r="O84" t="str">
        <f t="shared" ref="O84:O147" si="28">IF(ISNA(VLOOKUP(K84,$N$20:$N$720,1,FALSE)),K84,"")</f>
        <v>BONUCCI</v>
      </c>
      <c r="P84" s="7">
        <f t="shared" ca="1" si="16"/>
        <v>84</v>
      </c>
      <c r="Q84" s="7" t="str">
        <f t="shared" ref="Q84:Q147" ca="1" si="29">IF(ISERROR(INDEX($O$6:$O$720,MATCH(ROW(),$P$6:$P$720,FALSE))),"",INDEX($O$6:$O$720,MATCH(ROW(),$P$6:$P$720,FALSE)))</f>
        <v>BONUCCI</v>
      </c>
      <c r="Z84" s="256"/>
      <c r="AA84" s="219"/>
      <c r="AB84" s="293" t="str">
        <f t="shared" ref="AB84:AB147" si="30">IF(AA84&lt;&gt;"",VLOOKUP(AA84,$K:$M,2,FALSE),"")</f>
        <v/>
      </c>
      <c r="AC84" s="294" t="str">
        <f t="shared" ref="AC84:AC147" si="31">IF(AA84&lt;&gt;"",VLOOKUP(AA84,$K:$M,3,FALSE),"")</f>
        <v/>
      </c>
      <c r="AD84" s="219"/>
      <c r="AE84" s="219"/>
      <c r="AF84" s="293" t="str">
        <f>IF(AA84="","",VLOOKUP(AA84,Asta!$B:$H,7,FALSE))</f>
        <v/>
      </c>
      <c r="AG84" s="294" t="str">
        <f t="shared" ref="AG84:AG147" si="32">IF(AD84="","",IF(AD84=$Y$20,-AF84,IF(AD84=$Y$21,AF84)))</f>
        <v/>
      </c>
      <c r="AH84" t="str">
        <f t="shared" ref="AH84:AH147" si="33">IF(AG84="","",-AG84)</f>
        <v/>
      </c>
      <c r="AI84" s="254" t="str">
        <f t="shared" ca="1" si="17"/>
        <v>65</v>
      </c>
      <c r="AJ84" s="254" t="str">
        <f t="shared" ca="1" si="18"/>
        <v>65</v>
      </c>
      <c r="AK84" s="351"/>
    </row>
    <row r="85" spans="1:37">
      <c r="A85" s="74">
        <v>66</v>
      </c>
      <c r="B85" s="252"/>
      <c r="C85" s="293" t="str">
        <f t="shared" si="23"/>
        <v/>
      </c>
      <c r="D85" s="294" t="str">
        <f t="shared" si="24"/>
        <v/>
      </c>
      <c r="E85" s="287"/>
      <c r="F85" s="293" t="str">
        <f t="shared" si="25"/>
        <v/>
      </c>
      <c r="G85" s="294" t="str">
        <f t="shared" si="26"/>
        <v/>
      </c>
      <c r="H85" s="290"/>
      <c r="I85" s="254" t="str">
        <f t="shared" ref="I85:I148" ca="1" si="34">G85&amp;C85&amp;COUNTIFS(INDIRECT("$C$19:$C$" &amp; ROW()-1),"="&amp;C85,INDIRECT("$G$19:$G$" &amp; ROW()-1),"="&amp;G85)+1</f>
        <v>1</v>
      </c>
      <c r="J85" s="254" t="str">
        <f t="shared" ref="J85:J148" ca="1" si="35">G85&amp;COUNTIFS(INDIRECT("$G$19:$G$" &amp; ROW()-1),"="&amp;G85)+1</f>
        <v>1</v>
      </c>
      <c r="K85" s="230" t="str">
        <f>IF(Giocatori!B74=0,"",Giocatori!B74)</f>
        <v>BORINI</v>
      </c>
      <c r="L85" s="230" t="str">
        <f>IF(Giocatori!A74=0,"",Giocatori!A74)</f>
        <v>A</v>
      </c>
      <c r="M85" s="230" t="str">
        <f>IF(Giocatori!C74=0,"",Giocatori!C74)</f>
        <v>Milan</v>
      </c>
      <c r="N85" s="69" t="str">
        <f t="shared" si="27"/>
        <v/>
      </c>
      <c r="O85" t="str">
        <f t="shared" si="28"/>
        <v>BORINI</v>
      </c>
      <c r="P85" s="7">
        <f t="shared" ref="P85:P148" ca="1" si="36">ROW()-COUNTBLANK(INDIRECT("$O$20:O"&amp;ROW()))</f>
        <v>85</v>
      </c>
      <c r="Q85" s="7" t="str">
        <f t="shared" ca="1" si="29"/>
        <v>BORINI</v>
      </c>
      <c r="Z85" s="256"/>
      <c r="AA85" s="219"/>
      <c r="AB85" s="293" t="str">
        <f t="shared" si="30"/>
        <v/>
      </c>
      <c r="AC85" s="294" t="str">
        <f t="shared" si="31"/>
        <v/>
      </c>
      <c r="AD85" s="219"/>
      <c r="AE85" s="219"/>
      <c r="AF85" s="293" t="str">
        <f>IF(AA85="","",VLOOKUP(AA85,Asta!$B:$H,7,FALSE))</f>
        <v/>
      </c>
      <c r="AG85" s="294" t="str">
        <f t="shared" si="32"/>
        <v/>
      </c>
      <c r="AH85" t="str">
        <f t="shared" si="33"/>
        <v/>
      </c>
      <c r="AI85" s="254" t="str">
        <f t="shared" ref="AI85:AI148" ca="1" si="37">Z85&amp;COUNTIFS(INDIRECT("$Z$20:$Z$" &amp; ROW()-1),"="&amp;Z85)+1</f>
        <v>66</v>
      </c>
      <c r="AJ85" s="254" t="str">
        <f t="shared" ref="AJ85:AJ148" ca="1" si="38">AE85&amp;COUNTIFS(INDIRECT("$AE$20:$AE$" &amp; ROW()-1),"="&amp;AE85)+1</f>
        <v>66</v>
      </c>
      <c r="AK85" s="351"/>
    </row>
    <row r="86" spans="1:37">
      <c r="A86" s="74">
        <v>67</v>
      </c>
      <c r="B86" s="252"/>
      <c r="C86" s="293" t="str">
        <f t="shared" si="23"/>
        <v/>
      </c>
      <c r="D86" s="294" t="str">
        <f t="shared" si="24"/>
        <v/>
      </c>
      <c r="E86" s="287"/>
      <c r="F86" s="293" t="str">
        <f t="shared" si="25"/>
        <v/>
      </c>
      <c r="G86" s="294" t="str">
        <f t="shared" si="26"/>
        <v/>
      </c>
      <c r="H86" s="290"/>
      <c r="I86" s="254" t="str">
        <f t="shared" ca="1" si="34"/>
        <v>1</v>
      </c>
      <c r="J86" s="254" t="str">
        <f t="shared" ca="1" si="35"/>
        <v>1</v>
      </c>
      <c r="K86" s="230" t="str">
        <f>IF(Giocatori!B75=0,"",Giocatori!B75)</f>
        <v>BORJA VALERO</v>
      </c>
      <c r="L86" s="230" t="str">
        <f>IF(Giocatori!A75=0,"",Giocatori!A75)</f>
        <v>C</v>
      </c>
      <c r="M86" s="230" t="str">
        <f>IF(Giocatori!C75=0,"",Giocatori!C75)</f>
        <v>Inter</v>
      </c>
      <c r="N86" s="69" t="str">
        <f t="shared" si="27"/>
        <v/>
      </c>
      <c r="O86" t="str">
        <f t="shared" si="28"/>
        <v>BORJA VALERO</v>
      </c>
      <c r="P86" s="7">
        <f t="shared" ca="1" si="36"/>
        <v>86</v>
      </c>
      <c r="Q86" s="7" t="str">
        <f t="shared" ca="1" si="29"/>
        <v>BORJA VALERO</v>
      </c>
      <c r="Z86" s="256"/>
      <c r="AA86" s="219"/>
      <c r="AB86" s="293" t="str">
        <f t="shared" si="30"/>
        <v/>
      </c>
      <c r="AC86" s="294" t="str">
        <f t="shared" si="31"/>
        <v/>
      </c>
      <c r="AD86" s="219"/>
      <c r="AE86" s="219"/>
      <c r="AF86" s="293" t="str">
        <f>IF(AA86="","",VLOOKUP(AA86,Asta!$B:$H,7,FALSE))</f>
        <v/>
      </c>
      <c r="AG86" s="294" t="str">
        <f t="shared" si="32"/>
        <v/>
      </c>
      <c r="AH86" t="str">
        <f t="shared" si="33"/>
        <v/>
      </c>
      <c r="AI86" s="254" t="str">
        <f t="shared" ca="1" si="37"/>
        <v>67</v>
      </c>
      <c r="AJ86" s="254" t="str">
        <f t="shared" ca="1" si="38"/>
        <v>67</v>
      </c>
      <c r="AK86" s="351"/>
    </row>
    <row r="87" spans="1:37">
      <c r="A87" s="74">
        <v>68</v>
      </c>
      <c r="B87" s="252"/>
      <c r="C87" s="293" t="str">
        <f t="shared" si="23"/>
        <v/>
      </c>
      <c r="D87" s="294" t="str">
        <f t="shared" si="24"/>
        <v/>
      </c>
      <c r="E87" s="287"/>
      <c r="F87" s="293" t="str">
        <f t="shared" si="25"/>
        <v/>
      </c>
      <c r="G87" s="294" t="str">
        <f t="shared" si="26"/>
        <v/>
      </c>
      <c r="H87" s="290"/>
      <c r="I87" s="254" t="str">
        <f t="shared" ca="1" si="34"/>
        <v>1</v>
      </c>
      <c r="J87" s="254" t="str">
        <f t="shared" ca="1" si="35"/>
        <v>1</v>
      </c>
      <c r="K87" s="230" t="str">
        <f>IF(Giocatori!B76=0,"",Giocatori!B76)</f>
        <v>BORRIELLO</v>
      </c>
      <c r="L87" s="230" t="str">
        <f>IF(Giocatori!A76=0,"",Giocatori!A76)</f>
        <v>A</v>
      </c>
      <c r="M87" s="230" t="str">
        <f>IF(Giocatori!C76=0,"",Giocatori!C76)</f>
        <v>SPAL</v>
      </c>
      <c r="N87" s="69" t="str">
        <f t="shared" si="27"/>
        <v/>
      </c>
      <c r="O87" t="str">
        <f t="shared" si="28"/>
        <v>BORRIELLO</v>
      </c>
      <c r="P87" s="7">
        <f t="shared" ca="1" si="36"/>
        <v>87</v>
      </c>
      <c r="Q87" s="7" t="str">
        <f t="shared" ca="1" si="29"/>
        <v>BORRIELLO</v>
      </c>
      <c r="Z87" s="256"/>
      <c r="AA87" s="219"/>
      <c r="AB87" s="293" t="str">
        <f t="shared" si="30"/>
        <v/>
      </c>
      <c r="AC87" s="294" t="str">
        <f t="shared" si="31"/>
        <v/>
      </c>
      <c r="AD87" s="219"/>
      <c r="AE87" s="219"/>
      <c r="AF87" s="293" t="str">
        <f>IF(AA87="","",VLOOKUP(AA87,Asta!$B:$H,7,FALSE))</f>
        <v/>
      </c>
      <c r="AG87" s="294" t="str">
        <f t="shared" si="32"/>
        <v/>
      </c>
      <c r="AH87" t="str">
        <f t="shared" si="33"/>
        <v/>
      </c>
      <c r="AI87" s="254" t="str">
        <f t="shared" ca="1" si="37"/>
        <v>68</v>
      </c>
      <c r="AJ87" s="254" t="str">
        <f t="shared" ca="1" si="38"/>
        <v>68</v>
      </c>
      <c r="AK87" s="351"/>
    </row>
    <row r="88" spans="1:37">
      <c r="A88" s="74">
        <v>69</v>
      </c>
      <c r="B88" s="252"/>
      <c r="C88" s="293" t="str">
        <f t="shared" si="23"/>
        <v/>
      </c>
      <c r="D88" s="294" t="str">
        <f t="shared" si="24"/>
        <v/>
      </c>
      <c r="E88" s="287"/>
      <c r="F88" s="293" t="str">
        <f t="shared" si="25"/>
        <v/>
      </c>
      <c r="G88" s="294" t="str">
        <f t="shared" si="26"/>
        <v/>
      </c>
      <c r="H88" s="290"/>
      <c r="I88" s="254" t="str">
        <f t="shared" ca="1" si="34"/>
        <v>1</v>
      </c>
      <c r="J88" s="254" t="str">
        <f t="shared" ca="1" si="35"/>
        <v>1</v>
      </c>
      <c r="K88" s="230" t="str">
        <f>IF(Giocatori!B77=0,"",Giocatori!B77)</f>
        <v>BOYE'</v>
      </c>
      <c r="L88" s="230" t="str">
        <f>IF(Giocatori!A77=0,"",Giocatori!A77)</f>
        <v>A</v>
      </c>
      <c r="M88" s="230" t="str">
        <f>IF(Giocatori!C77=0,"",Giocatori!C77)</f>
        <v>Torino</v>
      </c>
      <c r="N88" s="69" t="str">
        <f t="shared" si="27"/>
        <v/>
      </c>
      <c r="O88" t="str">
        <f t="shared" si="28"/>
        <v>BOYE'</v>
      </c>
      <c r="P88" s="7">
        <f t="shared" ca="1" si="36"/>
        <v>88</v>
      </c>
      <c r="Q88" s="7" t="str">
        <f t="shared" ca="1" si="29"/>
        <v>BOYE'</v>
      </c>
      <c r="Z88" s="256"/>
      <c r="AA88" s="219"/>
      <c r="AB88" s="293" t="str">
        <f t="shared" si="30"/>
        <v/>
      </c>
      <c r="AC88" s="294" t="str">
        <f t="shared" si="31"/>
        <v/>
      </c>
      <c r="AD88" s="219"/>
      <c r="AE88" s="219"/>
      <c r="AF88" s="293" t="str">
        <f>IF(AA88="","",VLOOKUP(AA88,Asta!$B:$H,7,FALSE))</f>
        <v/>
      </c>
      <c r="AG88" s="294" t="str">
        <f t="shared" si="32"/>
        <v/>
      </c>
      <c r="AH88" t="str">
        <f t="shared" si="33"/>
        <v/>
      </c>
      <c r="AI88" s="254" t="str">
        <f t="shared" ca="1" si="37"/>
        <v>69</v>
      </c>
      <c r="AJ88" s="254" t="str">
        <f t="shared" ca="1" si="38"/>
        <v>69</v>
      </c>
      <c r="AK88" s="351"/>
    </row>
    <row r="89" spans="1:37">
      <c r="A89" s="74">
        <v>70</v>
      </c>
      <c r="B89" s="252"/>
      <c r="C89" s="293" t="str">
        <f t="shared" si="23"/>
        <v/>
      </c>
      <c r="D89" s="294" t="str">
        <f t="shared" si="24"/>
        <v/>
      </c>
      <c r="E89" s="287"/>
      <c r="F89" s="293" t="str">
        <f t="shared" si="25"/>
        <v/>
      </c>
      <c r="G89" s="294" t="str">
        <f t="shared" si="26"/>
        <v/>
      </c>
      <c r="H89" s="290"/>
      <c r="I89" s="254" t="str">
        <f t="shared" ca="1" si="34"/>
        <v>1</v>
      </c>
      <c r="J89" s="254" t="str">
        <f t="shared" ca="1" si="35"/>
        <v>1</v>
      </c>
      <c r="K89" s="230" t="str">
        <f>IF(Giocatori!B78=0,"",Giocatori!B78)</f>
        <v>BRIGNOLA</v>
      </c>
      <c r="L89" s="230" t="str">
        <f>IF(Giocatori!A78=0,"",Giocatori!A78)</f>
        <v>A</v>
      </c>
      <c r="M89" s="230" t="str">
        <f>IF(Giocatori!C78=0,"",Giocatori!C78)</f>
        <v>Benevento</v>
      </c>
      <c r="N89" s="69" t="str">
        <f t="shared" si="27"/>
        <v/>
      </c>
      <c r="O89" t="str">
        <f t="shared" si="28"/>
        <v>BRIGNOLA</v>
      </c>
      <c r="P89" s="7">
        <f t="shared" ca="1" si="36"/>
        <v>89</v>
      </c>
      <c r="Q89" s="7" t="str">
        <f t="shared" ca="1" si="29"/>
        <v>BRIGNOLA</v>
      </c>
      <c r="Z89" s="256"/>
      <c r="AA89" s="219"/>
      <c r="AB89" s="293" t="str">
        <f t="shared" si="30"/>
        <v/>
      </c>
      <c r="AC89" s="294" t="str">
        <f t="shared" si="31"/>
        <v/>
      </c>
      <c r="AD89" s="219"/>
      <c r="AE89" s="219"/>
      <c r="AF89" s="293" t="str">
        <f>IF(AA89="","",VLOOKUP(AA89,Asta!$B:$H,7,FALSE))</f>
        <v/>
      </c>
      <c r="AG89" s="294" t="str">
        <f t="shared" si="32"/>
        <v/>
      </c>
      <c r="AH89" t="str">
        <f t="shared" si="33"/>
        <v/>
      </c>
      <c r="AI89" s="254" t="str">
        <f t="shared" ca="1" si="37"/>
        <v>70</v>
      </c>
      <c r="AJ89" s="254" t="str">
        <f t="shared" ca="1" si="38"/>
        <v>70</v>
      </c>
      <c r="AK89" s="351"/>
    </row>
    <row r="90" spans="1:37">
      <c r="A90" s="74">
        <v>71</v>
      </c>
      <c r="B90" s="252"/>
      <c r="C90" s="293" t="str">
        <f t="shared" si="23"/>
        <v/>
      </c>
      <c r="D90" s="294" t="str">
        <f t="shared" si="24"/>
        <v/>
      </c>
      <c r="E90" s="287"/>
      <c r="F90" s="293" t="str">
        <f t="shared" si="25"/>
        <v/>
      </c>
      <c r="G90" s="294" t="str">
        <f t="shared" si="26"/>
        <v/>
      </c>
      <c r="H90" s="290"/>
      <c r="I90" s="254" t="str">
        <f t="shared" ca="1" si="34"/>
        <v>1</v>
      </c>
      <c r="J90" s="254" t="str">
        <f t="shared" ca="1" si="35"/>
        <v>1</v>
      </c>
      <c r="K90" s="230" t="str">
        <f>IF(Giocatori!B79=0,"",Giocatori!B79)</f>
        <v>BRIGNOLI</v>
      </c>
      <c r="L90" s="230" t="str">
        <f>IF(Giocatori!A79=0,"",Giocatori!A79)</f>
        <v>P</v>
      </c>
      <c r="M90" s="230" t="str">
        <f>IF(Giocatori!C79=0,"",Giocatori!C79)</f>
        <v>Benevento</v>
      </c>
      <c r="N90" s="69" t="str">
        <f t="shared" si="27"/>
        <v/>
      </c>
      <c r="O90" t="str">
        <f t="shared" si="28"/>
        <v>BRIGNOLI</v>
      </c>
      <c r="P90" s="7">
        <f t="shared" ca="1" si="36"/>
        <v>90</v>
      </c>
      <c r="Q90" s="7" t="str">
        <f t="shared" ca="1" si="29"/>
        <v>BRIGNOLI</v>
      </c>
      <c r="Z90" s="256"/>
      <c r="AA90" s="219"/>
      <c r="AB90" s="293" t="str">
        <f t="shared" si="30"/>
        <v/>
      </c>
      <c r="AC90" s="294" t="str">
        <f t="shared" si="31"/>
        <v/>
      </c>
      <c r="AD90" s="219"/>
      <c r="AE90" s="219"/>
      <c r="AF90" s="293" t="str">
        <f>IF(AA90="","",VLOOKUP(AA90,Asta!$B:$H,7,FALSE))</f>
        <v/>
      </c>
      <c r="AG90" s="294" t="str">
        <f t="shared" si="32"/>
        <v/>
      </c>
      <c r="AH90" t="str">
        <f t="shared" si="33"/>
        <v/>
      </c>
      <c r="AI90" s="254" t="str">
        <f t="shared" ca="1" si="37"/>
        <v>71</v>
      </c>
      <c r="AJ90" s="254" t="str">
        <f t="shared" ca="1" si="38"/>
        <v>71</v>
      </c>
      <c r="AK90" s="351"/>
    </row>
    <row r="91" spans="1:37">
      <c r="A91" s="74">
        <v>72</v>
      </c>
      <c r="B91" s="252"/>
      <c r="C91" s="293" t="str">
        <f t="shared" si="23"/>
        <v/>
      </c>
      <c r="D91" s="294" t="str">
        <f t="shared" si="24"/>
        <v/>
      </c>
      <c r="E91" s="287"/>
      <c r="F91" s="293" t="str">
        <f t="shared" si="25"/>
        <v/>
      </c>
      <c r="G91" s="294" t="str">
        <f t="shared" si="26"/>
        <v/>
      </c>
      <c r="H91" s="290"/>
      <c r="I91" s="254" t="str">
        <f t="shared" ca="1" si="34"/>
        <v>1</v>
      </c>
      <c r="J91" s="254" t="str">
        <f t="shared" ca="1" si="35"/>
        <v>1</v>
      </c>
      <c r="K91" s="230" t="str">
        <f>IF(Giocatori!B80=0,"",Giocatori!B80)</f>
        <v>BRLEK</v>
      </c>
      <c r="L91" s="230" t="str">
        <f>IF(Giocatori!A80=0,"",Giocatori!A80)</f>
        <v>C</v>
      </c>
      <c r="M91" s="230" t="str">
        <f>IF(Giocatori!C80=0,"",Giocatori!C80)</f>
        <v>Genoa</v>
      </c>
      <c r="N91" s="69" t="str">
        <f t="shared" si="27"/>
        <v/>
      </c>
      <c r="O91" t="str">
        <f t="shared" si="28"/>
        <v>BRLEK</v>
      </c>
      <c r="P91" s="7">
        <f t="shared" ca="1" si="36"/>
        <v>91</v>
      </c>
      <c r="Q91" s="7" t="str">
        <f t="shared" ca="1" si="29"/>
        <v>BRLEK</v>
      </c>
      <c r="Z91" s="256"/>
      <c r="AA91" s="219"/>
      <c r="AB91" s="293" t="str">
        <f t="shared" si="30"/>
        <v/>
      </c>
      <c r="AC91" s="294" t="str">
        <f t="shared" si="31"/>
        <v/>
      </c>
      <c r="AD91" s="219"/>
      <c r="AE91" s="219"/>
      <c r="AF91" s="293" t="str">
        <f>IF(AA91="","",VLOOKUP(AA91,Asta!$B:$H,7,FALSE))</f>
        <v/>
      </c>
      <c r="AG91" s="294" t="str">
        <f t="shared" si="32"/>
        <v/>
      </c>
      <c r="AH91" t="str">
        <f t="shared" si="33"/>
        <v/>
      </c>
      <c r="AI91" s="254" t="str">
        <f t="shared" ca="1" si="37"/>
        <v>72</v>
      </c>
      <c r="AJ91" s="254" t="str">
        <f t="shared" ca="1" si="38"/>
        <v>72</v>
      </c>
      <c r="AK91" s="351"/>
    </row>
    <row r="92" spans="1:37">
      <c r="A92" s="74">
        <v>73</v>
      </c>
      <c r="B92" s="252"/>
      <c r="C92" s="293" t="str">
        <f t="shared" si="23"/>
        <v/>
      </c>
      <c r="D92" s="294" t="str">
        <f t="shared" si="24"/>
        <v/>
      </c>
      <c r="E92" s="287"/>
      <c r="F92" s="293" t="str">
        <f t="shared" si="25"/>
        <v/>
      </c>
      <c r="G92" s="294" t="str">
        <f t="shared" si="26"/>
        <v/>
      </c>
      <c r="H92" s="290"/>
      <c r="I92" s="254" t="str">
        <f t="shared" ca="1" si="34"/>
        <v>1</v>
      </c>
      <c r="J92" s="254" t="str">
        <f t="shared" ca="1" si="35"/>
        <v>1</v>
      </c>
      <c r="K92" s="230" t="str">
        <f>IF(Giocatori!B81=0,"",Giocatori!B81)</f>
        <v>BROZOVIC</v>
      </c>
      <c r="L92" s="230" t="str">
        <f>IF(Giocatori!A81=0,"",Giocatori!A81)</f>
        <v>C</v>
      </c>
      <c r="M92" s="230" t="str">
        <f>IF(Giocatori!C81=0,"",Giocatori!C81)</f>
        <v>Inter</v>
      </c>
      <c r="N92" s="69" t="str">
        <f t="shared" si="27"/>
        <v/>
      </c>
      <c r="O92" t="str">
        <f t="shared" si="28"/>
        <v>BROZOVIC</v>
      </c>
      <c r="P92" s="7">
        <f t="shared" ca="1" si="36"/>
        <v>92</v>
      </c>
      <c r="Q92" s="7" t="str">
        <f t="shared" ca="1" si="29"/>
        <v>BROZOVIC</v>
      </c>
      <c r="Z92" s="256"/>
      <c r="AA92" s="219"/>
      <c r="AB92" s="293" t="str">
        <f t="shared" si="30"/>
        <v/>
      </c>
      <c r="AC92" s="294" t="str">
        <f t="shared" si="31"/>
        <v/>
      </c>
      <c r="AD92" s="219"/>
      <c r="AE92" s="219"/>
      <c r="AF92" s="293" t="str">
        <f>IF(AA92="","",VLOOKUP(AA92,Asta!$B:$H,7,FALSE))</f>
        <v/>
      </c>
      <c r="AG92" s="294" t="str">
        <f t="shared" si="32"/>
        <v/>
      </c>
      <c r="AH92" t="str">
        <f t="shared" si="33"/>
        <v/>
      </c>
      <c r="AI92" s="254" t="str">
        <f t="shared" ca="1" si="37"/>
        <v>73</v>
      </c>
      <c r="AJ92" s="254" t="str">
        <f t="shared" ca="1" si="38"/>
        <v>73</v>
      </c>
      <c r="AK92" s="351"/>
    </row>
    <row r="93" spans="1:37">
      <c r="A93" s="74">
        <v>74</v>
      </c>
      <c r="B93" s="252"/>
      <c r="C93" s="293" t="str">
        <f t="shared" si="23"/>
        <v/>
      </c>
      <c r="D93" s="294" t="str">
        <f t="shared" si="24"/>
        <v/>
      </c>
      <c r="E93" s="287"/>
      <c r="F93" s="293" t="str">
        <f t="shared" si="25"/>
        <v/>
      </c>
      <c r="G93" s="294" t="str">
        <f t="shared" si="26"/>
        <v/>
      </c>
      <c r="H93" s="290"/>
      <c r="I93" s="254" t="str">
        <f t="shared" ca="1" si="34"/>
        <v>1</v>
      </c>
      <c r="J93" s="254" t="str">
        <f t="shared" ca="1" si="35"/>
        <v>1</v>
      </c>
      <c r="K93" s="230" t="str">
        <f>IF(Giocatori!B82=0,"",Giocatori!B82)</f>
        <v>BRUNO PERES</v>
      </c>
      <c r="L93" s="230" t="str">
        <f>IF(Giocatori!A82=0,"",Giocatori!A82)</f>
        <v>D</v>
      </c>
      <c r="M93" s="230" t="str">
        <f>IF(Giocatori!C82=0,"",Giocatori!C82)</f>
        <v>Roma</v>
      </c>
      <c r="N93" s="69" t="str">
        <f t="shared" si="27"/>
        <v/>
      </c>
      <c r="O93" t="str">
        <f t="shared" si="28"/>
        <v>BRUNO PERES</v>
      </c>
      <c r="P93" s="7">
        <f t="shared" ca="1" si="36"/>
        <v>93</v>
      </c>
      <c r="Q93" s="7" t="str">
        <f t="shared" ca="1" si="29"/>
        <v>BRUNO PERES</v>
      </c>
      <c r="Z93" s="256"/>
      <c r="AA93" s="219"/>
      <c r="AB93" s="293" t="str">
        <f t="shared" si="30"/>
        <v/>
      </c>
      <c r="AC93" s="294" t="str">
        <f t="shared" si="31"/>
        <v/>
      </c>
      <c r="AD93" s="219"/>
      <c r="AE93" s="219"/>
      <c r="AF93" s="293" t="str">
        <f>IF(AA93="","",VLOOKUP(AA93,Asta!$B:$H,7,FALSE))</f>
        <v/>
      </c>
      <c r="AG93" s="294" t="str">
        <f t="shared" si="32"/>
        <v/>
      </c>
      <c r="AH93" t="str">
        <f t="shared" si="33"/>
        <v/>
      </c>
      <c r="AI93" s="254" t="str">
        <f t="shared" ca="1" si="37"/>
        <v>74</v>
      </c>
      <c r="AJ93" s="254" t="str">
        <f t="shared" ca="1" si="38"/>
        <v>74</v>
      </c>
      <c r="AK93" s="351"/>
    </row>
    <row r="94" spans="1:37">
      <c r="A94" s="74">
        <v>75</v>
      </c>
      <c r="B94" s="252"/>
      <c r="C94" s="293" t="str">
        <f t="shared" si="23"/>
        <v/>
      </c>
      <c r="D94" s="294" t="str">
        <f t="shared" si="24"/>
        <v/>
      </c>
      <c r="E94" s="287"/>
      <c r="F94" s="293" t="str">
        <f t="shared" si="25"/>
        <v/>
      </c>
      <c r="G94" s="294" t="str">
        <f t="shared" si="26"/>
        <v/>
      </c>
      <c r="H94" s="290"/>
      <c r="I94" s="254" t="str">
        <f t="shared" ca="1" si="34"/>
        <v>1</v>
      </c>
      <c r="J94" s="254" t="str">
        <f t="shared" ca="1" si="35"/>
        <v>1</v>
      </c>
      <c r="K94" s="230" t="str">
        <f>IF(Giocatori!B83=0,"",Giocatori!B83)</f>
        <v>BUCHEL</v>
      </c>
      <c r="L94" s="230" t="str">
        <f>IF(Giocatori!A83=0,"",Giocatori!A83)</f>
        <v>C</v>
      </c>
      <c r="M94" s="230" t="str">
        <f>IF(Giocatori!C83=0,"",Giocatori!C83)</f>
        <v>Verona</v>
      </c>
      <c r="N94" s="69" t="str">
        <f t="shared" si="27"/>
        <v/>
      </c>
      <c r="O94" t="str">
        <f t="shared" si="28"/>
        <v>BUCHEL</v>
      </c>
      <c r="P94" s="7">
        <f t="shared" ca="1" si="36"/>
        <v>94</v>
      </c>
      <c r="Q94" s="7" t="str">
        <f t="shared" ca="1" si="29"/>
        <v>BUCHEL</v>
      </c>
      <c r="Z94" s="256"/>
      <c r="AA94" s="219"/>
      <c r="AB94" s="293" t="str">
        <f t="shared" si="30"/>
        <v/>
      </c>
      <c r="AC94" s="294" t="str">
        <f t="shared" si="31"/>
        <v/>
      </c>
      <c r="AD94" s="219"/>
      <c r="AE94" s="219"/>
      <c r="AF94" s="293" t="str">
        <f>IF(AA94="","",VLOOKUP(AA94,Asta!$B:$H,7,FALSE))</f>
        <v/>
      </c>
      <c r="AG94" s="294" t="str">
        <f t="shared" si="32"/>
        <v/>
      </c>
      <c r="AH94" t="str">
        <f t="shared" si="33"/>
        <v/>
      </c>
      <c r="AI94" s="254" t="str">
        <f t="shared" ca="1" si="37"/>
        <v>75</v>
      </c>
      <c r="AJ94" s="254" t="str">
        <f t="shared" ca="1" si="38"/>
        <v>75</v>
      </c>
      <c r="AK94" s="351"/>
    </row>
    <row r="95" spans="1:37">
      <c r="A95" s="74">
        <v>76</v>
      </c>
      <c r="B95" s="252"/>
      <c r="C95" s="293" t="str">
        <f t="shared" si="23"/>
        <v/>
      </c>
      <c r="D95" s="294" t="str">
        <f t="shared" si="24"/>
        <v/>
      </c>
      <c r="E95" s="287"/>
      <c r="F95" s="293" t="str">
        <f t="shared" si="25"/>
        <v/>
      </c>
      <c r="G95" s="294" t="str">
        <f t="shared" si="26"/>
        <v/>
      </c>
      <c r="H95" s="290"/>
      <c r="I95" s="254" t="str">
        <f t="shared" ca="1" si="34"/>
        <v>1</v>
      </c>
      <c r="J95" s="254" t="str">
        <f t="shared" ca="1" si="35"/>
        <v>1</v>
      </c>
      <c r="K95" s="230" t="str">
        <f>IF(Giocatori!B84=0,"",Giocatori!B84)</f>
        <v>BUDIMIR</v>
      </c>
      <c r="L95" s="230" t="str">
        <f>IF(Giocatori!A84=0,"",Giocatori!A84)</f>
        <v>A</v>
      </c>
      <c r="M95" s="230" t="str">
        <f>IF(Giocatori!C84=0,"",Giocatori!C84)</f>
        <v>Crotone</v>
      </c>
      <c r="N95" s="69" t="str">
        <f t="shared" si="27"/>
        <v/>
      </c>
      <c r="O95" t="str">
        <f t="shared" si="28"/>
        <v>BUDIMIR</v>
      </c>
      <c r="P95" s="7">
        <f t="shared" ca="1" si="36"/>
        <v>95</v>
      </c>
      <c r="Q95" s="7" t="str">
        <f t="shared" ca="1" si="29"/>
        <v>BUDIMIR</v>
      </c>
      <c r="Z95" s="256"/>
      <c r="AA95" s="219"/>
      <c r="AB95" s="293" t="str">
        <f t="shared" si="30"/>
        <v/>
      </c>
      <c r="AC95" s="294" t="str">
        <f t="shared" si="31"/>
        <v/>
      </c>
      <c r="AD95" s="219"/>
      <c r="AE95" s="219"/>
      <c r="AF95" s="293" t="str">
        <f>IF(AA95="","",VLOOKUP(AA95,Asta!$B:$H,7,FALSE))</f>
        <v/>
      </c>
      <c r="AG95" s="294" t="str">
        <f t="shared" si="32"/>
        <v/>
      </c>
      <c r="AH95" t="str">
        <f t="shared" si="33"/>
        <v/>
      </c>
      <c r="AI95" s="254" t="str">
        <f t="shared" ca="1" si="37"/>
        <v>76</v>
      </c>
      <c r="AJ95" s="254" t="str">
        <f t="shared" ca="1" si="38"/>
        <v>76</v>
      </c>
      <c r="AK95" s="351"/>
    </row>
    <row r="96" spans="1:37">
      <c r="A96" s="74">
        <v>77</v>
      </c>
      <c r="B96" s="252"/>
      <c r="C96" s="293" t="str">
        <f t="shared" si="23"/>
        <v/>
      </c>
      <c r="D96" s="294" t="str">
        <f t="shared" si="24"/>
        <v/>
      </c>
      <c r="E96" s="287"/>
      <c r="F96" s="293" t="str">
        <f t="shared" si="25"/>
        <v/>
      </c>
      <c r="G96" s="294" t="str">
        <f t="shared" si="26"/>
        <v/>
      </c>
      <c r="H96" s="290"/>
      <c r="I96" s="254" t="str">
        <f t="shared" ca="1" si="34"/>
        <v>1</v>
      </c>
      <c r="J96" s="254" t="str">
        <f t="shared" ca="1" si="35"/>
        <v>1</v>
      </c>
      <c r="K96" s="230" t="str">
        <f>IF(Giocatori!B85=0,"",Giocatori!B85)</f>
        <v>BUFFON</v>
      </c>
      <c r="L96" s="230" t="str">
        <f>IF(Giocatori!A85=0,"",Giocatori!A85)</f>
        <v>P</v>
      </c>
      <c r="M96" s="230" t="str">
        <f>IF(Giocatori!C85=0,"",Giocatori!C85)</f>
        <v>Juventus</v>
      </c>
      <c r="N96" s="69" t="str">
        <f t="shared" si="27"/>
        <v/>
      </c>
      <c r="O96" t="str">
        <f t="shared" si="28"/>
        <v>BUFFON</v>
      </c>
      <c r="P96" s="7">
        <f t="shared" ca="1" si="36"/>
        <v>96</v>
      </c>
      <c r="Q96" s="7" t="str">
        <f t="shared" ca="1" si="29"/>
        <v>BUFFON</v>
      </c>
      <c r="Z96" s="256"/>
      <c r="AA96" s="219"/>
      <c r="AB96" s="293" t="str">
        <f t="shared" si="30"/>
        <v/>
      </c>
      <c r="AC96" s="294" t="str">
        <f t="shared" si="31"/>
        <v/>
      </c>
      <c r="AD96" s="219"/>
      <c r="AE96" s="219"/>
      <c r="AF96" s="293" t="str">
        <f>IF(AA96="","",VLOOKUP(AA96,Asta!$B:$H,7,FALSE))</f>
        <v/>
      </c>
      <c r="AG96" s="294" t="str">
        <f t="shared" si="32"/>
        <v/>
      </c>
      <c r="AH96" t="str">
        <f t="shared" si="33"/>
        <v/>
      </c>
      <c r="AI96" s="254" t="str">
        <f t="shared" ca="1" si="37"/>
        <v>77</v>
      </c>
      <c r="AJ96" s="254" t="str">
        <f t="shared" ca="1" si="38"/>
        <v>77</v>
      </c>
      <c r="AK96" s="351"/>
    </row>
    <row r="97" spans="1:37">
      <c r="A97" s="74">
        <v>78</v>
      </c>
      <c r="B97" s="252"/>
      <c r="C97" s="293" t="str">
        <f t="shared" si="23"/>
        <v/>
      </c>
      <c r="D97" s="294" t="str">
        <f t="shared" si="24"/>
        <v/>
      </c>
      <c r="E97" s="287"/>
      <c r="F97" s="293" t="str">
        <f t="shared" si="25"/>
        <v/>
      </c>
      <c r="G97" s="294" t="str">
        <f t="shared" si="26"/>
        <v/>
      </c>
      <c r="H97" s="290"/>
      <c r="I97" s="254" t="str">
        <f t="shared" ca="1" si="34"/>
        <v>1</v>
      </c>
      <c r="J97" s="254" t="str">
        <f t="shared" ca="1" si="35"/>
        <v>1</v>
      </c>
      <c r="K97" s="230" t="str">
        <f>IF(Giocatori!B86=0,"",Giocatori!B86)</f>
        <v>BURDISSO</v>
      </c>
      <c r="L97" s="230" t="str">
        <f>IF(Giocatori!A86=0,"",Giocatori!A86)</f>
        <v>D</v>
      </c>
      <c r="M97" s="230" t="str">
        <f>IF(Giocatori!C86=0,"",Giocatori!C86)</f>
        <v>Torino</v>
      </c>
      <c r="N97" s="69" t="str">
        <f t="shared" si="27"/>
        <v/>
      </c>
      <c r="O97" t="str">
        <f t="shared" si="28"/>
        <v>BURDISSO</v>
      </c>
      <c r="P97" s="7">
        <f t="shared" ca="1" si="36"/>
        <v>97</v>
      </c>
      <c r="Q97" s="7" t="str">
        <f t="shared" ca="1" si="29"/>
        <v>BURDISSO</v>
      </c>
      <c r="Z97" s="256"/>
      <c r="AA97" s="219"/>
      <c r="AB97" s="293" t="str">
        <f t="shared" si="30"/>
        <v/>
      </c>
      <c r="AC97" s="294" t="str">
        <f t="shared" si="31"/>
        <v/>
      </c>
      <c r="AD97" s="219"/>
      <c r="AE97" s="219"/>
      <c r="AF97" s="293" t="str">
        <f>IF(AA97="","",VLOOKUP(AA97,Asta!$B:$H,7,FALSE))</f>
        <v/>
      </c>
      <c r="AG97" s="294" t="str">
        <f t="shared" si="32"/>
        <v/>
      </c>
      <c r="AH97" t="str">
        <f t="shared" si="33"/>
        <v/>
      </c>
      <c r="AI97" s="254" t="str">
        <f t="shared" ca="1" si="37"/>
        <v>78</v>
      </c>
      <c r="AJ97" s="254" t="str">
        <f t="shared" ca="1" si="38"/>
        <v>78</v>
      </c>
      <c r="AK97" s="351"/>
    </row>
    <row r="98" spans="1:37">
      <c r="A98" s="74">
        <v>79</v>
      </c>
      <c r="B98" s="252"/>
      <c r="C98" s="295" t="str">
        <f t="shared" si="23"/>
        <v/>
      </c>
      <c r="D98" s="296" t="str">
        <f t="shared" si="24"/>
        <v/>
      </c>
      <c r="E98" s="287"/>
      <c r="F98" s="295" t="str">
        <f t="shared" si="25"/>
        <v/>
      </c>
      <c r="G98" s="296" t="str">
        <f t="shared" si="26"/>
        <v/>
      </c>
      <c r="H98" s="290"/>
      <c r="I98" s="254" t="str">
        <f t="shared" ca="1" si="34"/>
        <v>1</v>
      </c>
      <c r="J98" s="254" t="str">
        <f t="shared" ca="1" si="35"/>
        <v>1</v>
      </c>
      <c r="K98" s="230" t="str">
        <f>IF(Giocatori!B87=0,"",Giocatori!B87)</f>
        <v>CABRERA</v>
      </c>
      <c r="L98" s="230" t="str">
        <f>IF(Giocatori!A87=0,"",Giocatori!A87)</f>
        <v>D</v>
      </c>
      <c r="M98" s="230" t="str">
        <f>IF(Giocatori!C87=0,"",Giocatori!C87)</f>
        <v>Crotone</v>
      </c>
      <c r="N98" s="69" t="str">
        <f t="shared" si="27"/>
        <v/>
      </c>
      <c r="O98" t="str">
        <f t="shared" si="28"/>
        <v>CABRERA</v>
      </c>
      <c r="P98" s="7">
        <f t="shared" ca="1" si="36"/>
        <v>98</v>
      </c>
      <c r="Q98" s="7" t="str">
        <f t="shared" ca="1" si="29"/>
        <v>CABRERA</v>
      </c>
      <c r="Z98" s="256"/>
      <c r="AA98" s="219"/>
      <c r="AB98" s="295" t="str">
        <f t="shared" si="30"/>
        <v/>
      </c>
      <c r="AC98" s="296" t="str">
        <f t="shared" si="31"/>
        <v/>
      </c>
      <c r="AD98" s="219"/>
      <c r="AE98" s="219"/>
      <c r="AF98" s="295" t="str">
        <f>IF(AA98="","",VLOOKUP(AA98,Asta!$B:$H,7,FALSE))</f>
        <v/>
      </c>
      <c r="AG98" s="296" t="str">
        <f t="shared" si="32"/>
        <v/>
      </c>
      <c r="AH98" t="str">
        <f t="shared" si="33"/>
        <v/>
      </c>
      <c r="AI98" s="254" t="str">
        <f t="shared" ca="1" si="37"/>
        <v>79</v>
      </c>
      <c r="AJ98" s="254" t="str">
        <f t="shared" ca="1" si="38"/>
        <v>79</v>
      </c>
      <c r="AK98" s="351"/>
    </row>
    <row r="99" spans="1:37">
      <c r="A99" s="74">
        <v>80</v>
      </c>
      <c r="B99" s="252"/>
      <c r="C99" s="295" t="str">
        <f t="shared" si="23"/>
        <v/>
      </c>
      <c r="D99" s="296" t="str">
        <f t="shared" si="24"/>
        <v/>
      </c>
      <c r="E99" s="287"/>
      <c r="F99" s="295" t="str">
        <f t="shared" si="25"/>
        <v/>
      </c>
      <c r="G99" s="296" t="str">
        <f t="shared" si="26"/>
        <v/>
      </c>
      <c r="H99" s="290"/>
      <c r="I99" s="254" t="str">
        <f t="shared" ca="1" si="34"/>
        <v>1</v>
      </c>
      <c r="J99" s="254" t="str">
        <f t="shared" ca="1" si="35"/>
        <v>1</v>
      </c>
      <c r="K99" s="230" t="str">
        <f>IF(Giocatori!B88=0,"",Giocatori!B88)</f>
        <v>CACCIATORE</v>
      </c>
      <c r="L99" s="230" t="str">
        <f>IF(Giocatori!A88=0,"",Giocatori!A88)</f>
        <v>D</v>
      </c>
      <c r="M99" s="230" t="str">
        <f>IF(Giocatori!C88=0,"",Giocatori!C88)</f>
        <v>Chievo</v>
      </c>
      <c r="N99" s="69" t="str">
        <f t="shared" si="27"/>
        <v/>
      </c>
      <c r="O99" t="str">
        <f t="shared" si="28"/>
        <v>CACCIATORE</v>
      </c>
      <c r="P99" s="7">
        <f t="shared" ca="1" si="36"/>
        <v>99</v>
      </c>
      <c r="Q99" s="7" t="str">
        <f t="shared" ca="1" si="29"/>
        <v>CACCIATORE</v>
      </c>
      <c r="Z99" s="256"/>
      <c r="AA99" s="219"/>
      <c r="AB99" s="295" t="str">
        <f t="shared" si="30"/>
        <v/>
      </c>
      <c r="AC99" s="296" t="str">
        <f t="shared" si="31"/>
        <v/>
      </c>
      <c r="AD99" s="219"/>
      <c r="AE99" s="219"/>
      <c r="AF99" s="295" t="str">
        <f>IF(AA99="","",VLOOKUP(AA99,Asta!$B:$H,7,FALSE))</f>
        <v/>
      </c>
      <c r="AG99" s="296" t="str">
        <f t="shared" si="32"/>
        <v/>
      </c>
      <c r="AH99" t="str">
        <f t="shared" si="33"/>
        <v/>
      </c>
      <c r="AI99" s="254" t="str">
        <f t="shared" ca="1" si="37"/>
        <v>80</v>
      </c>
      <c r="AJ99" s="254" t="str">
        <f t="shared" ca="1" si="38"/>
        <v>80</v>
      </c>
      <c r="AK99" s="351"/>
    </row>
    <row r="100" spans="1:37">
      <c r="A100" s="74">
        <v>81</v>
      </c>
      <c r="B100" s="252"/>
      <c r="C100" s="293" t="str">
        <f t="shared" si="23"/>
        <v/>
      </c>
      <c r="D100" s="294" t="str">
        <f t="shared" si="24"/>
        <v/>
      </c>
      <c r="E100" s="287"/>
      <c r="F100" s="293" t="str">
        <f t="shared" si="25"/>
        <v/>
      </c>
      <c r="G100" s="294" t="str">
        <f t="shared" si="26"/>
        <v/>
      </c>
      <c r="H100" s="290"/>
      <c r="I100" s="254" t="str">
        <f t="shared" ca="1" si="34"/>
        <v>1</v>
      </c>
      <c r="J100" s="254" t="str">
        <f t="shared" ca="1" si="35"/>
        <v>1</v>
      </c>
      <c r="K100" s="230" t="str">
        <f>IF(Giocatori!B89=0,"",Giocatori!B89)</f>
        <v>CACERES</v>
      </c>
      <c r="L100" s="230" t="str">
        <f>IF(Giocatori!A89=0,"",Giocatori!A89)</f>
        <v>D</v>
      </c>
      <c r="M100" s="230" t="str">
        <f>IF(Giocatori!C89=0,"",Giocatori!C89)</f>
        <v>Verona</v>
      </c>
      <c r="N100" s="69" t="str">
        <f t="shared" si="27"/>
        <v/>
      </c>
      <c r="O100" t="str">
        <f t="shared" si="28"/>
        <v>CACERES</v>
      </c>
      <c r="P100" s="7">
        <f t="shared" ca="1" si="36"/>
        <v>100</v>
      </c>
      <c r="Q100" s="7" t="str">
        <f t="shared" ca="1" si="29"/>
        <v>CACERES</v>
      </c>
      <c r="Z100" s="256"/>
      <c r="AA100" s="219"/>
      <c r="AB100" s="293" t="str">
        <f t="shared" si="30"/>
        <v/>
      </c>
      <c r="AC100" s="294" t="str">
        <f t="shared" si="31"/>
        <v/>
      </c>
      <c r="AD100" s="219"/>
      <c r="AE100" s="219"/>
      <c r="AF100" s="293" t="str">
        <f>IF(AA100="","",VLOOKUP(AA100,Asta!$B:$H,7,FALSE))</f>
        <v/>
      </c>
      <c r="AG100" s="294" t="str">
        <f t="shared" si="32"/>
        <v/>
      </c>
      <c r="AH100" t="str">
        <f t="shared" si="33"/>
        <v/>
      </c>
      <c r="AI100" s="254" t="str">
        <f t="shared" ca="1" si="37"/>
        <v>81</v>
      </c>
      <c r="AJ100" s="254" t="str">
        <f t="shared" ca="1" si="38"/>
        <v>81</v>
      </c>
      <c r="AK100" s="351"/>
    </row>
    <row r="101" spans="1:37">
      <c r="A101" s="74">
        <v>82</v>
      </c>
      <c r="B101" s="252"/>
      <c r="C101" s="293" t="str">
        <f t="shared" si="23"/>
        <v/>
      </c>
      <c r="D101" s="294" t="str">
        <f t="shared" si="24"/>
        <v/>
      </c>
      <c r="E101" s="287"/>
      <c r="F101" s="293" t="str">
        <f t="shared" si="25"/>
        <v/>
      </c>
      <c r="G101" s="294" t="str">
        <f t="shared" si="26"/>
        <v/>
      </c>
      <c r="H101" s="290"/>
      <c r="I101" s="254" t="str">
        <f t="shared" ca="1" si="34"/>
        <v>1</v>
      </c>
      <c r="J101" s="254" t="str">
        <f t="shared" ca="1" si="35"/>
        <v>1</v>
      </c>
      <c r="K101" s="230" t="str">
        <f>IF(Giocatori!B90=0,"",Giocatori!B90)</f>
        <v>CAICEDO</v>
      </c>
      <c r="L101" s="230" t="str">
        <f>IF(Giocatori!A90=0,"",Giocatori!A90)</f>
        <v>A</v>
      </c>
      <c r="M101" s="230" t="str">
        <f>IF(Giocatori!C90=0,"",Giocatori!C90)</f>
        <v>Lazio</v>
      </c>
      <c r="N101" s="69" t="str">
        <f t="shared" si="27"/>
        <v/>
      </c>
      <c r="O101" t="str">
        <f t="shared" si="28"/>
        <v>CAICEDO</v>
      </c>
      <c r="P101" s="7">
        <f t="shared" ca="1" si="36"/>
        <v>101</v>
      </c>
      <c r="Q101" s="7" t="str">
        <f t="shared" ca="1" si="29"/>
        <v>CAICEDO</v>
      </c>
      <c r="Z101" s="256"/>
      <c r="AA101" s="219"/>
      <c r="AB101" s="293" t="str">
        <f t="shared" si="30"/>
        <v/>
      </c>
      <c r="AC101" s="294" t="str">
        <f t="shared" si="31"/>
        <v/>
      </c>
      <c r="AD101" s="219"/>
      <c r="AE101" s="219"/>
      <c r="AF101" s="293" t="str">
        <f>IF(AA101="","",VLOOKUP(AA101,Asta!$B:$H,7,FALSE))</f>
        <v/>
      </c>
      <c r="AG101" s="294" t="str">
        <f t="shared" si="32"/>
        <v/>
      </c>
      <c r="AH101" t="str">
        <f t="shared" si="33"/>
        <v/>
      </c>
      <c r="AI101" s="254" t="str">
        <f t="shared" ca="1" si="37"/>
        <v>82</v>
      </c>
      <c r="AJ101" s="254" t="str">
        <f t="shared" ca="1" si="38"/>
        <v>82</v>
      </c>
      <c r="AK101" s="351"/>
    </row>
    <row r="102" spans="1:37">
      <c r="A102" s="74">
        <v>83</v>
      </c>
      <c r="B102" s="252"/>
      <c r="C102" s="293" t="str">
        <f t="shared" si="23"/>
        <v/>
      </c>
      <c r="D102" s="294" t="str">
        <f t="shared" si="24"/>
        <v/>
      </c>
      <c r="E102" s="287"/>
      <c r="F102" s="293" t="str">
        <f t="shared" si="25"/>
        <v/>
      </c>
      <c r="G102" s="294" t="str">
        <f t="shared" si="26"/>
        <v/>
      </c>
      <c r="H102" s="290"/>
      <c r="I102" s="254" t="str">
        <f t="shared" ca="1" si="34"/>
        <v>1</v>
      </c>
      <c r="J102" s="254" t="str">
        <f t="shared" ca="1" si="35"/>
        <v>1</v>
      </c>
      <c r="K102" s="230" t="str">
        <f>IF(Giocatori!B91=0,"",Giocatori!B91)</f>
        <v>CALABRIA</v>
      </c>
      <c r="L102" s="230" t="str">
        <f>IF(Giocatori!A91=0,"",Giocatori!A91)</f>
        <v>D</v>
      </c>
      <c r="M102" s="230" t="str">
        <f>IF(Giocatori!C91=0,"",Giocatori!C91)</f>
        <v>Milan</v>
      </c>
      <c r="N102" s="69" t="str">
        <f t="shared" si="27"/>
        <v/>
      </c>
      <c r="O102" t="str">
        <f t="shared" si="28"/>
        <v>CALABRIA</v>
      </c>
      <c r="P102" s="7">
        <f t="shared" ca="1" si="36"/>
        <v>102</v>
      </c>
      <c r="Q102" s="7" t="str">
        <f t="shared" ca="1" si="29"/>
        <v>CALABRIA</v>
      </c>
      <c r="Z102" s="256"/>
      <c r="AA102" s="219"/>
      <c r="AB102" s="293" t="str">
        <f t="shared" si="30"/>
        <v/>
      </c>
      <c r="AC102" s="294" t="str">
        <f t="shared" si="31"/>
        <v/>
      </c>
      <c r="AD102" s="219"/>
      <c r="AE102" s="219"/>
      <c r="AF102" s="293" t="str">
        <f>IF(AA102="","",VLOOKUP(AA102,Asta!$B:$H,7,FALSE))</f>
        <v/>
      </c>
      <c r="AG102" s="294" t="str">
        <f t="shared" si="32"/>
        <v/>
      </c>
      <c r="AH102" t="str">
        <f t="shared" si="33"/>
        <v/>
      </c>
      <c r="AI102" s="254" t="str">
        <f t="shared" ca="1" si="37"/>
        <v>83</v>
      </c>
      <c r="AJ102" s="254" t="str">
        <f t="shared" ca="1" si="38"/>
        <v>83</v>
      </c>
      <c r="AK102" s="351"/>
    </row>
    <row r="103" spans="1:37">
      <c r="A103" s="74">
        <v>84</v>
      </c>
      <c r="B103" s="252"/>
      <c r="C103" s="293" t="str">
        <f t="shared" si="23"/>
        <v/>
      </c>
      <c r="D103" s="294" t="str">
        <f t="shared" si="24"/>
        <v/>
      </c>
      <c r="E103" s="287"/>
      <c r="F103" s="293" t="str">
        <f t="shared" si="25"/>
        <v/>
      </c>
      <c r="G103" s="294" t="str">
        <f t="shared" si="26"/>
        <v/>
      </c>
      <c r="H103" s="290"/>
      <c r="I103" s="254" t="str">
        <f t="shared" ca="1" si="34"/>
        <v>1</v>
      </c>
      <c r="J103" s="254" t="str">
        <f t="shared" ca="1" si="35"/>
        <v>1</v>
      </c>
      <c r="K103" s="230" t="str">
        <f>IF(Giocatori!B92=0,"",Giocatori!B92)</f>
        <v>CALDARA</v>
      </c>
      <c r="L103" s="230" t="str">
        <f>IF(Giocatori!A92=0,"",Giocatori!A92)</f>
        <v>D</v>
      </c>
      <c r="M103" s="230" t="str">
        <f>IF(Giocatori!C92=0,"",Giocatori!C92)</f>
        <v>Atalanta</v>
      </c>
      <c r="N103" s="69" t="str">
        <f t="shared" si="27"/>
        <v/>
      </c>
      <c r="O103" t="str">
        <f t="shared" si="28"/>
        <v>CALDARA</v>
      </c>
      <c r="P103" s="7">
        <f t="shared" ca="1" si="36"/>
        <v>103</v>
      </c>
      <c r="Q103" s="7" t="str">
        <f t="shared" ca="1" si="29"/>
        <v>CALDARA</v>
      </c>
      <c r="Z103" s="256"/>
      <c r="AA103" s="219"/>
      <c r="AB103" s="293" t="str">
        <f t="shared" si="30"/>
        <v/>
      </c>
      <c r="AC103" s="294" t="str">
        <f t="shared" si="31"/>
        <v/>
      </c>
      <c r="AD103" s="219"/>
      <c r="AE103" s="219"/>
      <c r="AF103" s="293" t="str">
        <f>IF(AA103="","",VLOOKUP(AA103,Asta!$B:$H,7,FALSE))</f>
        <v/>
      </c>
      <c r="AG103" s="294" t="str">
        <f t="shared" si="32"/>
        <v/>
      </c>
      <c r="AH103" t="str">
        <f t="shared" si="33"/>
        <v/>
      </c>
      <c r="AI103" s="254" t="str">
        <f t="shared" ca="1" si="37"/>
        <v>84</v>
      </c>
      <c r="AJ103" s="254" t="str">
        <f t="shared" ca="1" si="38"/>
        <v>84</v>
      </c>
      <c r="AK103" s="351"/>
    </row>
    <row r="104" spans="1:37">
      <c r="A104" s="74">
        <v>85</v>
      </c>
      <c r="B104" s="252"/>
      <c r="C104" s="293" t="str">
        <f t="shared" si="23"/>
        <v/>
      </c>
      <c r="D104" s="294" t="str">
        <f t="shared" si="24"/>
        <v/>
      </c>
      <c r="E104" s="287"/>
      <c r="F104" s="293" t="str">
        <f t="shared" si="25"/>
        <v/>
      </c>
      <c r="G104" s="294" t="str">
        <f t="shared" si="26"/>
        <v/>
      </c>
      <c r="H104" s="290"/>
      <c r="I104" s="254" t="str">
        <f t="shared" ca="1" si="34"/>
        <v>1</v>
      </c>
      <c r="J104" s="254" t="str">
        <f t="shared" ca="1" si="35"/>
        <v>1</v>
      </c>
      <c r="K104" s="230" t="str">
        <f>IF(Giocatori!B93=0,"",Giocatori!B93)</f>
        <v>CALHANOGLU</v>
      </c>
      <c r="L104" s="230" t="str">
        <f>IF(Giocatori!A93=0,"",Giocatori!A93)</f>
        <v>C</v>
      </c>
      <c r="M104" s="230" t="str">
        <f>IF(Giocatori!C93=0,"",Giocatori!C93)</f>
        <v>Milan</v>
      </c>
      <c r="N104" s="69" t="str">
        <f t="shared" si="27"/>
        <v/>
      </c>
      <c r="O104" t="str">
        <f t="shared" si="28"/>
        <v>CALHANOGLU</v>
      </c>
      <c r="P104" s="7">
        <f t="shared" ca="1" si="36"/>
        <v>104</v>
      </c>
      <c r="Q104" s="7" t="str">
        <f t="shared" ca="1" si="29"/>
        <v>CALHANOGLU</v>
      </c>
      <c r="Z104" s="256"/>
      <c r="AA104" s="219"/>
      <c r="AB104" s="293" t="str">
        <f t="shared" si="30"/>
        <v/>
      </c>
      <c r="AC104" s="294" t="str">
        <f t="shared" si="31"/>
        <v/>
      </c>
      <c r="AD104" s="219"/>
      <c r="AE104" s="219"/>
      <c r="AF104" s="293" t="str">
        <f>IF(AA104="","",VLOOKUP(AA104,Asta!$B:$H,7,FALSE))</f>
        <v/>
      </c>
      <c r="AG104" s="294" t="str">
        <f t="shared" si="32"/>
        <v/>
      </c>
      <c r="AH104" t="str">
        <f t="shared" si="33"/>
        <v/>
      </c>
      <c r="AI104" s="254" t="str">
        <f t="shared" ca="1" si="37"/>
        <v>85</v>
      </c>
      <c r="AJ104" s="254" t="str">
        <f t="shared" ca="1" si="38"/>
        <v>85</v>
      </c>
      <c r="AK104" s="351"/>
    </row>
    <row r="105" spans="1:37">
      <c r="A105" s="74">
        <v>86</v>
      </c>
      <c r="B105" s="252"/>
      <c r="C105" s="293" t="str">
        <f t="shared" si="23"/>
        <v/>
      </c>
      <c r="D105" s="294" t="str">
        <f t="shared" si="24"/>
        <v/>
      </c>
      <c r="E105" s="287"/>
      <c r="F105" s="293" t="str">
        <f t="shared" si="25"/>
        <v/>
      </c>
      <c r="G105" s="294" t="str">
        <f t="shared" si="26"/>
        <v/>
      </c>
      <c r="H105" s="290"/>
      <c r="I105" s="254" t="str">
        <f t="shared" ca="1" si="34"/>
        <v>1</v>
      </c>
      <c r="J105" s="254" t="str">
        <f t="shared" ca="1" si="35"/>
        <v>1</v>
      </c>
      <c r="K105" s="230" t="str">
        <f>IF(Giocatori!B94=0,"",Giocatori!B94)</f>
        <v>CALLEJON</v>
      </c>
      <c r="L105" s="230" t="str">
        <f>IF(Giocatori!A94=0,"",Giocatori!A94)</f>
        <v>A</v>
      </c>
      <c r="M105" s="230" t="str">
        <f>IF(Giocatori!C94=0,"",Giocatori!C94)</f>
        <v>Napoli</v>
      </c>
      <c r="N105" s="69" t="str">
        <f t="shared" si="27"/>
        <v/>
      </c>
      <c r="O105" t="str">
        <f t="shared" si="28"/>
        <v>CALLEJON</v>
      </c>
      <c r="P105" s="7">
        <f t="shared" ca="1" si="36"/>
        <v>105</v>
      </c>
      <c r="Q105" s="7" t="str">
        <f t="shared" ca="1" si="29"/>
        <v>CALLEJON</v>
      </c>
      <c r="Z105" s="256"/>
      <c r="AA105" s="219"/>
      <c r="AB105" s="293" t="str">
        <f t="shared" si="30"/>
        <v/>
      </c>
      <c r="AC105" s="294" t="str">
        <f t="shared" si="31"/>
        <v/>
      </c>
      <c r="AD105" s="219"/>
      <c r="AE105" s="219"/>
      <c r="AF105" s="293" t="str">
        <f>IF(AA105="","",VLOOKUP(AA105,Asta!$B:$H,7,FALSE))</f>
        <v/>
      </c>
      <c r="AG105" s="294" t="str">
        <f t="shared" si="32"/>
        <v/>
      </c>
      <c r="AH105" t="str">
        <f t="shared" si="33"/>
        <v/>
      </c>
      <c r="AI105" s="254" t="str">
        <f t="shared" ca="1" si="37"/>
        <v>86</v>
      </c>
      <c r="AJ105" s="254" t="str">
        <f t="shared" ca="1" si="38"/>
        <v>86</v>
      </c>
      <c r="AK105" s="351"/>
    </row>
    <row r="106" spans="1:37">
      <c r="A106" s="74">
        <v>87</v>
      </c>
      <c r="B106" s="252"/>
      <c r="C106" s="293" t="str">
        <f t="shared" si="23"/>
        <v/>
      </c>
      <c r="D106" s="294" t="str">
        <f t="shared" si="24"/>
        <v/>
      </c>
      <c r="E106" s="287"/>
      <c r="F106" s="293" t="str">
        <f t="shared" si="25"/>
        <v/>
      </c>
      <c r="G106" s="294" t="str">
        <f t="shared" si="26"/>
        <v/>
      </c>
      <c r="H106" s="290"/>
      <c r="I106" s="254" t="str">
        <f t="shared" ca="1" si="34"/>
        <v>1</v>
      </c>
      <c r="J106" s="254" t="str">
        <f t="shared" ca="1" si="35"/>
        <v>1</v>
      </c>
      <c r="K106" s="230" t="str">
        <f>IF(Giocatori!B95=0,"",Giocatori!B95)</f>
        <v>CANCELO</v>
      </c>
      <c r="L106" s="230" t="str">
        <f>IF(Giocatori!A95=0,"",Giocatori!A95)</f>
        <v>D</v>
      </c>
      <c r="M106" s="230" t="str">
        <f>IF(Giocatori!C95=0,"",Giocatori!C95)</f>
        <v>Inter</v>
      </c>
      <c r="N106" s="69" t="str">
        <f t="shared" si="27"/>
        <v/>
      </c>
      <c r="O106" t="str">
        <f t="shared" si="28"/>
        <v>CANCELO</v>
      </c>
      <c r="P106" s="7">
        <f t="shared" ca="1" si="36"/>
        <v>106</v>
      </c>
      <c r="Q106" s="7" t="str">
        <f t="shared" ca="1" si="29"/>
        <v>CANCELO</v>
      </c>
      <c r="Z106" s="256"/>
      <c r="AA106" s="219"/>
      <c r="AB106" s="293" t="str">
        <f t="shared" si="30"/>
        <v/>
      </c>
      <c r="AC106" s="294" t="str">
        <f t="shared" si="31"/>
        <v/>
      </c>
      <c r="AD106" s="219"/>
      <c r="AE106" s="219"/>
      <c r="AF106" s="293" t="str">
        <f>IF(AA106="","",VLOOKUP(AA106,Asta!$B:$H,7,FALSE))</f>
        <v/>
      </c>
      <c r="AG106" s="294" t="str">
        <f t="shared" si="32"/>
        <v/>
      </c>
      <c r="AH106" t="str">
        <f t="shared" si="33"/>
        <v/>
      </c>
      <c r="AI106" s="254" t="str">
        <f t="shared" ca="1" si="37"/>
        <v>87</v>
      </c>
      <c r="AJ106" s="254" t="str">
        <f t="shared" ca="1" si="38"/>
        <v>87</v>
      </c>
      <c r="AK106" s="351"/>
    </row>
    <row r="107" spans="1:37">
      <c r="A107" s="74">
        <v>88</v>
      </c>
      <c r="B107" s="252"/>
      <c r="C107" s="293" t="str">
        <f t="shared" si="23"/>
        <v/>
      </c>
      <c r="D107" s="294" t="str">
        <f t="shared" si="24"/>
        <v/>
      </c>
      <c r="E107" s="287"/>
      <c r="F107" s="293" t="str">
        <f t="shared" si="25"/>
        <v/>
      </c>
      <c r="G107" s="294" t="str">
        <f t="shared" si="26"/>
        <v/>
      </c>
      <c r="H107" s="290"/>
      <c r="I107" s="254" t="str">
        <f t="shared" ca="1" si="34"/>
        <v>1</v>
      </c>
      <c r="J107" s="254" t="str">
        <f t="shared" ca="1" si="35"/>
        <v>1</v>
      </c>
      <c r="K107" s="230" t="str">
        <f>IF(Giocatori!B96=0,"",Giocatori!B96)</f>
        <v>CANDREVA</v>
      </c>
      <c r="L107" s="230" t="str">
        <f>IF(Giocatori!A96=0,"",Giocatori!A96)</f>
        <v>C</v>
      </c>
      <c r="M107" s="230" t="str">
        <f>IF(Giocatori!C96=0,"",Giocatori!C96)</f>
        <v>Inter</v>
      </c>
      <c r="N107" s="69" t="str">
        <f t="shared" si="27"/>
        <v/>
      </c>
      <c r="O107" t="str">
        <f t="shared" si="28"/>
        <v>CANDREVA</v>
      </c>
      <c r="P107" s="7">
        <f t="shared" ca="1" si="36"/>
        <v>107</v>
      </c>
      <c r="Q107" s="7" t="str">
        <f t="shared" ca="1" si="29"/>
        <v>CANDREVA</v>
      </c>
      <c r="Z107" s="256"/>
      <c r="AA107" s="219"/>
      <c r="AB107" s="293" t="str">
        <f t="shared" si="30"/>
        <v/>
      </c>
      <c r="AC107" s="294" t="str">
        <f t="shared" si="31"/>
        <v/>
      </c>
      <c r="AD107" s="219"/>
      <c r="AE107" s="219"/>
      <c r="AF107" s="293" t="str">
        <f>IF(AA107="","",VLOOKUP(AA107,Asta!$B:$H,7,FALSE))</f>
        <v/>
      </c>
      <c r="AG107" s="294" t="str">
        <f t="shared" si="32"/>
        <v/>
      </c>
      <c r="AH107" t="str">
        <f t="shared" si="33"/>
        <v/>
      </c>
      <c r="AI107" s="254" t="str">
        <f t="shared" ca="1" si="37"/>
        <v>88</v>
      </c>
      <c r="AJ107" s="254" t="str">
        <f t="shared" ca="1" si="38"/>
        <v>88</v>
      </c>
      <c r="AK107" s="351"/>
    </row>
    <row r="108" spans="1:37">
      <c r="A108" s="74">
        <v>89</v>
      </c>
      <c r="B108" s="252"/>
      <c r="C108" s="293" t="str">
        <f t="shared" si="23"/>
        <v/>
      </c>
      <c r="D108" s="294" t="str">
        <f t="shared" si="24"/>
        <v/>
      </c>
      <c r="E108" s="287"/>
      <c r="F108" s="293" t="str">
        <f t="shared" si="25"/>
        <v/>
      </c>
      <c r="G108" s="294" t="str">
        <f t="shared" si="26"/>
        <v/>
      </c>
      <c r="H108" s="290"/>
      <c r="I108" s="254" t="str">
        <f t="shared" ca="1" si="34"/>
        <v>1</v>
      </c>
      <c r="J108" s="254" t="str">
        <f t="shared" ca="1" si="35"/>
        <v>1</v>
      </c>
      <c r="K108" s="230" t="str">
        <f>IF(Giocatori!B97=0,"",Giocatori!B97)</f>
        <v>CANNAVARO</v>
      </c>
      <c r="L108" s="230" t="str">
        <f>IF(Giocatori!A97=0,"",Giocatori!A97)</f>
        <v>D</v>
      </c>
      <c r="M108" s="230" t="str">
        <f>IF(Giocatori!C97=0,"",Giocatori!C97)</f>
        <v>Sassuolo</v>
      </c>
      <c r="N108" s="69" t="str">
        <f t="shared" si="27"/>
        <v/>
      </c>
      <c r="O108" t="str">
        <f t="shared" si="28"/>
        <v>CANNAVARO</v>
      </c>
      <c r="P108" s="7">
        <f t="shared" ca="1" si="36"/>
        <v>108</v>
      </c>
      <c r="Q108" s="7" t="str">
        <f t="shared" ca="1" si="29"/>
        <v>CANNAVARO</v>
      </c>
      <c r="Z108" s="256"/>
      <c r="AA108" s="219"/>
      <c r="AB108" s="293" t="str">
        <f t="shared" si="30"/>
        <v/>
      </c>
      <c r="AC108" s="294" t="str">
        <f t="shared" si="31"/>
        <v/>
      </c>
      <c r="AD108" s="219"/>
      <c r="AE108" s="219"/>
      <c r="AF108" s="293" t="str">
        <f>IF(AA108="","",VLOOKUP(AA108,Asta!$B:$H,7,FALSE))</f>
        <v/>
      </c>
      <c r="AG108" s="294" t="str">
        <f t="shared" si="32"/>
        <v/>
      </c>
      <c r="AH108" t="str">
        <f t="shared" si="33"/>
        <v/>
      </c>
      <c r="AI108" s="254" t="str">
        <f t="shared" ca="1" si="37"/>
        <v>89</v>
      </c>
      <c r="AJ108" s="254" t="str">
        <f t="shared" ca="1" si="38"/>
        <v>89</v>
      </c>
      <c r="AK108" s="351"/>
    </row>
    <row r="109" spans="1:37">
      <c r="A109" s="74">
        <v>90</v>
      </c>
      <c r="B109" s="252"/>
      <c r="C109" s="293" t="str">
        <f t="shared" si="23"/>
        <v/>
      </c>
      <c r="D109" s="294" t="str">
        <f t="shared" si="24"/>
        <v/>
      </c>
      <c r="E109" s="287"/>
      <c r="F109" s="293" t="str">
        <f t="shared" si="25"/>
        <v/>
      </c>
      <c r="G109" s="294" t="str">
        <f t="shared" si="26"/>
        <v/>
      </c>
      <c r="H109" s="290"/>
      <c r="I109" s="254" t="str">
        <f t="shared" ca="1" si="34"/>
        <v>1</v>
      </c>
      <c r="J109" s="254" t="str">
        <f t="shared" ca="1" si="35"/>
        <v>1</v>
      </c>
      <c r="K109" s="230" t="str">
        <f>IF(Giocatori!B98=0,"",Giocatori!B98)</f>
        <v>CAPEZZI</v>
      </c>
      <c r="L109" s="230" t="str">
        <f>IF(Giocatori!A98=0,"",Giocatori!A98)</f>
        <v>C</v>
      </c>
      <c r="M109" s="230" t="str">
        <f>IF(Giocatori!C98=0,"",Giocatori!C98)</f>
        <v>Sampdoria</v>
      </c>
      <c r="N109" s="69" t="str">
        <f t="shared" si="27"/>
        <v/>
      </c>
      <c r="O109" t="str">
        <f t="shared" si="28"/>
        <v>CAPEZZI</v>
      </c>
      <c r="P109" s="7">
        <f t="shared" ca="1" si="36"/>
        <v>109</v>
      </c>
      <c r="Q109" s="7" t="str">
        <f t="shared" ca="1" si="29"/>
        <v>CAPEZZI</v>
      </c>
      <c r="Z109" s="256"/>
      <c r="AA109" s="219"/>
      <c r="AB109" s="293" t="str">
        <f t="shared" si="30"/>
        <v/>
      </c>
      <c r="AC109" s="294" t="str">
        <f t="shared" si="31"/>
        <v/>
      </c>
      <c r="AD109" s="219"/>
      <c r="AE109" s="219"/>
      <c r="AF109" s="293" t="str">
        <f>IF(AA109="","",VLOOKUP(AA109,Asta!$B:$H,7,FALSE))</f>
        <v/>
      </c>
      <c r="AG109" s="294" t="str">
        <f t="shared" si="32"/>
        <v/>
      </c>
      <c r="AH109" t="str">
        <f t="shared" si="33"/>
        <v/>
      </c>
      <c r="AI109" s="254" t="str">
        <f t="shared" ca="1" si="37"/>
        <v>90</v>
      </c>
      <c r="AJ109" s="254" t="str">
        <f t="shared" ca="1" si="38"/>
        <v>90</v>
      </c>
      <c r="AK109" s="351"/>
    </row>
    <row r="110" spans="1:37">
      <c r="A110" s="74">
        <v>91</v>
      </c>
      <c r="B110" s="252"/>
      <c r="C110" s="293" t="str">
        <f t="shared" si="23"/>
        <v/>
      </c>
      <c r="D110" s="294" t="str">
        <f t="shared" si="24"/>
        <v/>
      </c>
      <c r="E110" s="287"/>
      <c r="F110" s="293" t="str">
        <f t="shared" si="25"/>
        <v/>
      </c>
      <c r="G110" s="294" t="str">
        <f t="shared" si="26"/>
        <v/>
      </c>
      <c r="H110" s="290"/>
      <c r="I110" s="254" t="str">
        <f t="shared" ca="1" si="34"/>
        <v>1</v>
      </c>
      <c r="J110" s="254" t="str">
        <f t="shared" ca="1" si="35"/>
        <v>1</v>
      </c>
      <c r="K110" s="230" t="str">
        <f>IF(Giocatori!B99=0,"",Giocatori!B99)</f>
        <v>CAPRARI</v>
      </c>
      <c r="L110" s="230" t="str">
        <f>IF(Giocatori!A99=0,"",Giocatori!A99)</f>
        <v>A</v>
      </c>
      <c r="M110" s="230" t="str">
        <f>IF(Giocatori!C99=0,"",Giocatori!C99)</f>
        <v>Sampdoria</v>
      </c>
      <c r="N110" s="69" t="str">
        <f t="shared" si="27"/>
        <v/>
      </c>
      <c r="O110" t="str">
        <f t="shared" si="28"/>
        <v>CAPRARI</v>
      </c>
      <c r="P110" s="7">
        <f t="shared" ca="1" si="36"/>
        <v>110</v>
      </c>
      <c r="Q110" s="7" t="str">
        <f t="shared" ca="1" si="29"/>
        <v>CAPRARI</v>
      </c>
      <c r="Z110" s="256"/>
      <c r="AA110" s="219"/>
      <c r="AB110" s="293" t="str">
        <f t="shared" si="30"/>
        <v/>
      </c>
      <c r="AC110" s="294" t="str">
        <f t="shared" si="31"/>
        <v/>
      </c>
      <c r="AD110" s="219"/>
      <c r="AE110" s="219"/>
      <c r="AF110" s="293" t="str">
        <f>IF(AA110="","",VLOOKUP(AA110,Asta!$B:$H,7,FALSE))</f>
        <v/>
      </c>
      <c r="AG110" s="294" t="str">
        <f t="shared" si="32"/>
        <v/>
      </c>
      <c r="AH110" t="str">
        <f t="shared" si="33"/>
        <v/>
      </c>
      <c r="AI110" s="254" t="str">
        <f t="shared" ca="1" si="37"/>
        <v>91</v>
      </c>
      <c r="AJ110" s="254" t="str">
        <f t="shared" ca="1" si="38"/>
        <v>91</v>
      </c>
      <c r="AK110" s="351"/>
    </row>
    <row r="111" spans="1:37">
      <c r="A111" s="74">
        <v>92</v>
      </c>
      <c r="B111" s="252"/>
      <c r="C111" s="293" t="str">
        <f t="shared" si="23"/>
        <v/>
      </c>
      <c r="D111" s="294" t="str">
        <f t="shared" si="24"/>
        <v/>
      </c>
      <c r="E111" s="287"/>
      <c r="F111" s="293" t="str">
        <f t="shared" si="25"/>
        <v/>
      </c>
      <c r="G111" s="294" t="str">
        <f t="shared" si="26"/>
        <v/>
      </c>
      <c r="H111" s="290"/>
      <c r="I111" s="254" t="str">
        <f t="shared" ca="1" si="34"/>
        <v>1</v>
      </c>
      <c r="J111" s="254" t="str">
        <f t="shared" ca="1" si="35"/>
        <v>1</v>
      </c>
      <c r="K111" s="230" t="str">
        <f>IF(Giocatori!B100=0,"",Giocatori!B100)</f>
        <v>CAPUANO</v>
      </c>
      <c r="L111" s="230" t="str">
        <f>IF(Giocatori!A100=0,"",Giocatori!A100)</f>
        <v>D</v>
      </c>
      <c r="M111" s="230" t="str">
        <f>IF(Giocatori!C100=0,"",Giocatori!C100)</f>
        <v>Cagliari</v>
      </c>
      <c r="N111" s="69" t="str">
        <f t="shared" si="27"/>
        <v/>
      </c>
      <c r="O111" t="str">
        <f t="shared" si="28"/>
        <v>CAPUANO</v>
      </c>
      <c r="P111" s="7">
        <f t="shared" ca="1" si="36"/>
        <v>111</v>
      </c>
      <c r="Q111" s="7" t="str">
        <f t="shared" ca="1" si="29"/>
        <v>CAPUANO</v>
      </c>
      <c r="Z111" s="256"/>
      <c r="AA111" s="219"/>
      <c r="AB111" s="293" t="str">
        <f t="shared" si="30"/>
        <v/>
      </c>
      <c r="AC111" s="294" t="str">
        <f t="shared" si="31"/>
        <v/>
      </c>
      <c r="AD111" s="219"/>
      <c r="AE111" s="219"/>
      <c r="AF111" s="293" t="str">
        <f>IF(AA111="","",VLOOKUP(AA111,Asta!$B:$H,7,FALSE))</f>
        <v/>
      </c>
      <c r="AG111" s="294" t="str">
        <f t="shared" si="32"/>
        <v/>
      </c>
      <c r="AH111" t="str">
        <f t="shared" si="33"/>
        <v/>
      </c>
      <c r="AI111" s="254" t="str">
        <f t="shared" ca="1" si="37"/>
        <v>92</v>
      </c>
      <c r="AJ111" s="254" t="str">
        <f t="shared" ca="1" si="38"/>
        <v>92</v>
      </c>
      <c r="AK111" s="351"/>
    </row>
    <row r="112" spans="1:37">
      <c r="A112" s="74">
        <v>93</v>
      </c>
      <c r="B112" s="252"/>
      <c r="C112" s="293" t="str">
        <f t="shared" si="23"/>
        <v/>
      </c>
      <c r="D112" s="294" t="str">
        <f t="shared" si="24"/>
        <v/>
      </c>
      <c r="E112" s="287"/>
      <c r="F112" s="293" t="str">
        <f t="shared" si="25"/>
        <v/>
      </c>
      <c r="G112" s="294" t="str">
        <f t="shared" si="26"/>
        <v/>
      </c>
      <c r="H112" s="290"/>
      <c r="I112" s="254" t="str">
        <f t="shared" ca="1" si="34"/>
        <v>1</v>
      </c>
      <c r="J112" s="254" t="str">
        <f t="shared" ca="1" si="35"/>
        <v>1</v>
      </c>
      <c r="K112" s="230" t="str">
        <f>IF(Giocatori!B101=0,"",Giocatori!B101)</f>
        <v>CARACCIOLO A</v>
      </c>
      <c r="L112" s="230" t="str">
        <f>IF(Giocatori!A101=0,"",Giocatori!A101)</f>
        <v>D</v>
      </c>
      <c r="M112" s="230" t="str">
        <f>IF(Giocatori!C101=0,"",Giocatori!C101)</f>
        <v>Verona</v>
      </c>
      <c r="N112" s="69" t="str">
        <f t="shared" si="27"/>
        <v/>
      </c>
      <c r="O112" t="str">
        <f t="shared" si="28"/>
        <v>CARACCIOLO A</v>
      </c>
      <c r="P112" s="7">
        <f t="shared" ca="1" si="36"/>
        <v>112</v>
      </c>
      <c r="Q112" s="7" t="str">
        <f t="shared" ca="1" si="29"/>
        <v>CARACCIOLO A</v>
      </c>
      <c r="Z112" s="256"/>
      <c r="AA112" s="219"/>
      <c r="AB112" s="293" t="str">
        <f t="shared" si="30"/>
        <v/>
      </c>
      <c r="AC112" s="294" t="str">
        <f t="shared" si="31"/>
        <v/>
      </c>
      <c r="AD112" s="219"/>
      <c r="AE112" s="219"/>
      <c r="AF112" s="293" t="str">
        <f>IF(AA112="","",VLOOKUP(AA112,Asta!$B:$H,7,FALSE))</f>
        <v/>
      </c>
      <c r="AG112" s="294" t="str">
        <f t="shared" si="32"/>
        <v/>
      </c>
      <c r="AH112" t="str">
        <f t="shared" si="33"/>
        <v/>
      </c>
      <c r="AI112" s="254" t="str">
        <f t="shared" ca="1" si="37"/>
        <v>93</v>
      </c>
      <c r="AJ112" s="254" t="str">
        <f t="shared" ca="1" si="38"/>
        <v>93</v>
      </c>
      <c r="AK112" s="351"/>
    </row>
    <row r="113" spans="1:37">
      <c r="A113" s="74">
        <v>94</v>
      </c>
      <c r="B113" s="252"/>
      <c r="C113" s="293" t="str">
        <f t="shared" si="23"/>
        <v/>
      </c>
      <c r="D113" s="294" t="str">
        <f t="shared" si="24"/>
        <v/>
      </c>
      <c r="E113" s="287"/>
      <c r="F113" s="293" t="str">
        <f t="shared" si="25"/>
        <v/>
      </c>
      <c r="G113" s="294" t="str">
        <f t="shared" si="26"/>
        <v/>
      </c>
      <c r="H113" s="290"/>
      <c r="I113" s="254" t="str">
        <f t="shared" ca="1" si="34"/>
        <v>1</v>
      </c>
      <c r="J113" s="254" t="str">
        <f t="shared" ca="1" si="35"/>
        <v>1</v>
      </c>
      <c r="K113" s="230" t="str">
        <f>IF(Giocatori!B102=0,"",Giocatori!B102)</f>
        <v>CASSATA</v>
      </c>
      <c r="L113" s="230" t="str">
        <f>IF(Giocatori!A102=0,"",Giocatori!A102)</f>
        <v>C</v>
      </c>
      <c r="M113" s="230" t="str">
        <f>IF(Giocatori!C102=0,"",Giocatori!C102)</f>
        <v>Sassuolo</v>
      </c>
      <c r="N113" s="69" t="str">
        <f t="shared" si="27"/>
        <v/>
      </c>
      <c r="O113" t="str">
        <f t="shared" si="28"/>
        <v>CASSATA</v>
      </c>
      <c r="P113" s="7">
        <f t="shared" ca="1" si="36"/>
        <v>113</v>
      </c>
      <c r="Q113" s="7" t="str">
        <f t="shared" ca="1" si="29"/>
        <v>CASSATA</v>
      </c>
      <c r="Z113" s="256"/>
      <c r="AA113" s="219"/>
      <c r="AB113" s="293" t="str">
        <f t="shared" si="30"/>
        <v/>
      </c>
      <c r="AC113" s="294" t="str">
        <f t="shared" si="31"/>
        <v/>
      </c>
      <c r="AD113" s="219"/>
      <c r="AE113" s="219"/>
      <c r="AF113" s="293" t="str">
        <f>IF(AA113="","",VLOOKUP(AA113,Asta!$B:$H,7,FALSE))</f>
        <v/>
      </c>
      <c r="AG113" s="294" t="str">
        <f t="shared" si="32"/>
        <v/>
      </c>
      <c r="AH113" t="str">
        <f t="shared" si="33"/>
        <v/>
      </c>
      <c r="AI113" s="254" t="str">
        <f t="shared" ca="1" si="37"/>
        <v>94</v>
      </c>
      <c r="AJ113" s="254" t="str">
        <f t="shared" ca="1" si="38"/>
        <v>94</v>
      </c>
      <c r="AK113" s="351"/>
    </row>
    <row r="114" spans="1:37">
      <c r="A114" s="74">
        <v>95</v>
      </c>
      <c r="B114" s="252"/>
      <c r="C114" s="293" t="str">
        <f t="shared" si="23"/>
        <v/>
      </c>
      <c r="D114" s="294" t="str">
        <f t="shared" si="24"/>
        <v/>
      </c>
      <c r="E114" s="287"/>
      <c r="F114" s="293" t="str">
        <f t="shared" si="25"/>
        <v/>
      </c>
      <c r="G114" s="294" t="str">
        <f t="shared" si="26"/>
        <v/>
      </c>
      <c r="H114" s="290"/>
      <c r="I114" s="254" t="str">
        <f t="shared" ca="1" si="34"/>
        <v>1</v>
      </c>
      <c r="J114" s="254" t="str">
        <f t="shared" ca="1" si="35"/>
        <v>1</v>
      </c>
      <c r="K114" s="230" t="str">
        <f>IF(Giocatori!B103=0,"",Giocatori!B103)</f>
        <v>CASTAGNE</v>
      </c>
      <c r="L114" s="230" t="str">
        <f>IF(Giocatori!A103=0,"",Giocatori!A103)</f>
        <v>D</v>
      </c>
      <c r="M114" s="230" t="str">
        <f>IF(Giocatori!C103=0,"",Giocatori!C103)</f>
        <v>Atalanta</v>
      </c>
      <c r="N114" s="69" t="str">
        <f t="shared" si="27"/>
        <v/>
      </c>
      <c r="O114" t="str">
        <f t="shared" si="28"/>
        <v>CASTAGNE</v>
      </c>
      <c r="P114" s="7">
        <f t="shared" ca="1" si="36"/>
        <v>114</v>
      </c>
      <c r="Q114" s="7" t="str">
        <f t="shared" ca="1" si="29"/>
        <v>CASTAGNE</v>
      </c>
      <c r="Z114" s="256"/>
      <c r="AA114" s="219"/>
      <c r="AB114" s="293" t="str">
        <f t="shared" si="30"/>
        <v/>
      </c>
      <c r="AC114" s="294" t="str">
        <f t="shared" si="31"/>
        <v/>
      </c>
      <c r="AD114" s="219"/>
      <c r="AE114" s="219"/>
      <c r="AF114" s="293" t="str">
        <f>IF(AA114="","",VLOOKUP(AA114,Asta!$B:$H,7,FALSE))</f>
        <v/>
      </c>
      <c r="AG114" s="294" t="str">
        <f t="shared" si="32"/>
        <v/>
      </c>
      <c r="AH114" t="str">
        <f t="shared" si="33"/>
        <v/>
      </c>
      <c r="AI114" s="254" t="str">
        <f t="shared" ca="1" si="37"/>
        <v>95</v>
      </c>
      <c r="AJ114" s="254" t="str">
        <f t="shared" ca="1" si="38"/>
        <v>95</v>
      </c>
      <c r="AK114" s="351"/>
    </row>
    <row r="115" spans="1:37">
      <c r="A115" s="74">
        <v>96</v>
      </c>
      <c r="B115" s="252"/>
      <c r="C115" s="293" t="str">
        <f t="shared" si="23"/>
        <v/>
      </c>
      <c r="D115" s="294" t="str">
        <f t="shared" si="24"/>
        <v/>
      </c>
      <c r="E115" s="287"/>
      <c r="F115" s="293" t="str">
        <f t="shared" si="25"/>
        <v/>
      </c>
      <c r="G115" s="294" t="str">
        <f t="shared" si="26"/>
        <v/>
      </c>
      <c r="H115" s="290"/>
      <c r="I115" s="254" t="str">
        <f t="shared" ca="1" si="34"/>
        <v>1</v>
      </c>
      <c r="J115" s="254" t="str">
        <f t="shared" ca="1" si="35"/>
        <v>1</v>
      </c>
      <c r="K115" s="230" t="str">
        <f>IF(Giocatori!B104=0,"",Giocatori!B104)</f>
        <v>CASTAN</v>
      </c>
      <c r="L115" s="230" t="str">
        <f>IF(Giocatori!A104=0,"",Giocatori!A104)</f>
        <v>D</v>
      </c>
      <c r="M115" s="230" t="str">
        <f>IF(Giocatori!C104=0,"",Giocatori!C104)</f>
        <v>Roma</v>
      </c>
      <c r="N115" s="69" t="str">
        <f t="shared" si="27"/>
        <v/>
      </c>
      <c r="O115" t="str">
        <f t="shared" si="28"/>
        <v>CASTAN</v>
      </c>
      <c r="P115" s="7">
        <f t="shared" ca="1" si="36"/>
        <v>115</v>
      </c>
      <c r="Q115" s="7" t="str">
        <f t="shared" ca="1" si="29"/>
        <v>CASTAN</v>
      </c>
      <c r="Z115" s="256"/>
      <c r="AA115" s="219"/>
      <c r="AB115" s="293" t="str">
        <f t="shared" si="30"/>
        <v/>
      </c>
      <c r="AC115" s="294" t="str">
        <f t="shared" si="31"/>
        <v/>
      </c>
      <c r="AD115" s="219"/>
      <c r="AE115" s="219"/>
      <c r="AF115" s="293" t="str">
        <f>IF(AA115="","",VLOOKUP(AA115,Asta!$B:$H,7,FALSE))</f>
        <v/>
      </c>
      <c r="AG115" s="294" t="str">
        <f t="shared" si="32"/>
        <v/>
      </c>
      <c r="AH115" t="str">
        <f t="shared" si="33"/>
        <v/>
      </c>
      <c r="AI115" s="254" t="str">
        <f t="shared" ca="1" si="37"/>
        <v>96</v>
      </c>
      <c r="AJ115" s="254" t="str">
        <f t="shared" ca="1" si="38"/>
        <v>96</v>
      </c>
      <c r="AK115" s="351"/>
    </row>
    <row r="116" spans="1:37">
      <c r="A116" s="74">
        <v>97</v>
      </c>
      <c r="B116" s="252"/>
      <c r="C116" s="293" t="str">
        <f t="shared" ref="C116:C147" si="39">IF(B116&lt;&gt;"",VLOOKUP(B116,$K:$M,2,FALSE),"")</f>
        <v/>
      </c>
      <c r="D116" s="294" t="str">
        <f t="shared" ref="D116:D147" si="40">IF(B116&lt;&gt;"",VLOOKUP(B116,$K:$M,3,FALSE),"")</f>
        <v/>
      </c>
      <c r="E116" s="287"/>
      <c r="F116" s="293" t="str">
        <f t="shared" si="25"/>
        <v/>
      </c>
      <c r="G116" s="294" t="str">
        <f t="shared" si="26"/>
        <v/>
      </c>
      <c r="H116" s="290"/>
      <c r="I116" s="254" t="str">
        <f t="shared" ca="1" si="34"/>
        <v>1</v>
      </c>
      <c r="J116" s="254" t="str">
        <f t="shared" ca="1" si="35"/>
        <v>1</v>
      </c>
      <c r="K116" s="230" t="str">
        <f>IF(Giocatori!B105=0,"",Giocatori!B105)</f>
        <v>CASTRO</v>
      </c>
      <c r="L116" s="230" t="str">
        <f>IF(Giocatori!A105=0,"",Giocatori!A105)</f>
        <v>C</v>
      </c>
      <c r="M116" s="230" t="str">
        <f>IF(Giocatori!C105=0,"",Giocatori!C105)</f>
        <v>Chievo</v>
      </c>
      <c r="N116" s="69" t="str">
        <f t="shared" si="27"/>
        <v/>
      </c>
      <c r="O116" t="str">
        <f t="shared" si="28"/>
        <v>CASTRO</v>
      </c>
      <c r="P116" s="7">
        <f t="shared" ca="1" si="36"/>
        <v>116</v>
      </c>
      <c r="Q116" s="7" t="str">
        <f t="shared" ca="1" si="29"/>
        <v>CASTRO</v>
      </c>
      <c r="Z116" s="256"/>
      <c r="AA116" s="219"/>
      <c r="AB116" s="293" t="str">
        <f t="shared" si="30"/>
        <v/>
      </c>
      <c r="AC116" s="294" t="str">
        <f t="shared" si="31"/>
        <v/>
      </c>
      <c r="AD116" s="219"/>
      <c r="AE116" s="219"/>
      <c r="AF116" s="293" t="str">
        <f>IF(AA116="","",VLOOKUP(AA116,Asta!$B:$H,7,FALSE))</f>
        <v/>
      </c>
      <c r="AG116" s="294" t="str">
        <f t="shared" si="32"/>
        <v/>
      </c>
      <c r="AH116" t="str">
        <f t="shared" si="33"/>
        <v/>
      </c>
      <c r="AI116" s="254" t="str">
        <f t="shared" ca="1" si="37"/>
        <v>97</v>
      </c>
      <c r="AJ116" s="254" t="str">
        <f t="shared" ca="1" si="38"/>
        <v>97</v>
      </c>
      <c r="AK116" s="351"/>
    </row>
    <row r="117" spans="1:37">
      <c r="A117" s="74">
        <v>98</v>
      </c>
      <c r="B117" s="252"/>
      <c r="C117" s="293" t="str">
        <f t="shared" si="39"/>
        <v/>
      </c>
      <c r="D117" s="294" t="str">
        <f t="shared" si="40"/>
        <v/>
      </c>
      <c r="E117" s="287"/>
      <c r="F117" s="293" t="str">
        <f t="shared" si="25"/>
        <v/>
      </c>
      <c r="G117" s="294" t="str">
        <f t="shared" si="26"/>
        <v/>
      </c>
      <c r="H117" s="290"/>
      <c r="I117" s="254" t="str">
        <f t="shared" ca="1" si="34"/>
        <v>1</v>
      </c>
      <c r="J117" s="254" t="str">
        <f t="shared" ca="1" si="35"/>
        <v>1</v>
      </c>
      <c r="K117" s="230" t="str">
        <f>IF(Giocatori!B106=0,"",Giocatori!B106)</f>
        <v>CATALDI</v>
      </c>
      <c r="L117" s="230" t="str">
        <f>IF(Giocatori!A106=0,"",Giocatori!A106)</f>
        <v>C</v>
      </c>
      <c r="M117" s="230" t="str">
        <f>IF(Giocatori!C106=0,"",Giocatori!C106)</f>
        <v>Benevento</v>
      </c>
      <c r="N117" s="69" t="str">
        <f t="shared" si="27"/>
        <v/>
      </c>
      <c r="O117" t="str">
        <f t="shared" si="28"/>
        <v>CATALDI</v>
      </c>
      <c r="P117" s="7">
        <f t="shared" ca="1" si="36"/>
        <v>117</v>
      </c>
      <c r="Q117" s="7" t="str">
        <f t="shared" ca="1" si="29"/>
        <v>CATALDI</v>
      </c>
      <c r="Z117" s="256"/>
      <c r="AA117" s="219"/>
      <c r="AB117" s="293" t="str">
        <f t="shared" si="30"/>
        <v/>
      </c>
      <c r="AC117" s="294" t="str">
        <f t="shared" si="31"/>
        <v/>
      </c>
      <c r="AD117" s="219"/>
      <c r="AE117" s="219"/>
      <c r="AF117" s="293" t="str">
        <f>IF(AA117="","",VLOOKUP(AA117,Asta!$B:$H,7,FALSE))</f>
        <v/>
      </c>
      <c r="AG117" s="294" t="str">
        <f t="shared" si="32"/>
        <v/>
      </c>
      <c r="AH117" t="str">
        <f t="shared" si="33"/>
        <v/>
      </c>
      <c r="AI117" s="254" t="str">
        <f t="shared" ca="1" si="37"/>
        <v>98</v>
      </c>
      <c r="AJ117" s="254" t="str">
        <f t="shared" ca="1" si="38"/>
        <v>98</v>
      </c>
      <c r="AK117" s="351"/>
    </row>
    <row r="118" spans="1:37">
      <c r="A118" s="74">
        <v>99</v>
      </c>
      <c r="B118" s="252"/>
      <c r="C118" s="293" t="str">
        <f t="shared" si="39"/>
        <v/>
      </c>
      <c r="D118" s="294" t="str">
        <f t="shared" si="40"/>
        <v/>
      </c>
      <c r="E118" s="287"/>
      <c r="F118" s="293" t="str">
        <f t="shared" si="25"/>
        <v/>
      </c>
      <c r="G118" s="294" t="str">
        <f t="shared" si="26"/>
        <v/>
      </c>
      <c r="H118" s="290"/>
      <c r="I118" s="254" t="str">
        <f t="shared" ca="1" si="34"/>
        <v>1</v>
      </c>
      <c r="J118" s="254" t="str">
        <f t="shared" ca="1" si="35"/>
        <v>1</v>
      </c>
      <c r="K118" s="230" t="str">
        <f>IF(Giocatori!B107=0,"",Giocatori!B107)</f>
        <v>CECCHERINI</v>
      </c>
      <c r="L118" s="230" t="str">
        <f>IF(Giocatori!A107=0,"",Giocatori!A107)</f>
        <v>D</v>
      </c>
      <c r="M118" s="230" t="str">
        <f>IF(Giocatori!C107=0,"",Giocatori!C107)</f>
        <v>Crotone</v>
      </c>
      <c r="N118" s="69" t="str">
        <f t="shared" si="27"/>
        <v/>
      </c>
      <c r="O118" t="str">
        <f t="shared" si="28"/>
        <v>CECCHERINI</v>
      </c>
      <c r="P118" s="7">
        <f t="shared" ca="1" si="36"/>
        <v>118</v>
      </c>
      <c r="Q118" s="7" t="str">
        <f t="shared" ca="1" si="29"/>
        <v>CECCHERINI</v>
      </c>
      <c r="Z118" s="256"/>
      <c r="AA118" s="219"/>
      <c r="AB118" s="293" t="str">
        <f t="shared" si="30"/>
        <v/>
      </c>
      <c r="AC118" s="294" t="str">
        <f t="shared" si="31"/>
        <v/>
      </c>
      <c r="AD118" s="219"/>
      <c r="AE118" s="219"/>
      <c r="AF118" s="293" t="str">
        <f>IF(AA118="","",VLOOKUP(AA118,Asta!$B:$H,7,FALSE))</f>
        <v/>
      </c>
      <c r="AG118" s="294" t="str">
        <f t="shared" si="32"/>
        <v/>
      </c>
      <c r="AH118" t="str">
        <f t="shared" si="33"/>
        <v/>
      </c>
      <c r="AI118" s="254" t="str">
        <f t="shared" ca="1" si="37"/>
        <v>99</v>
      </c>
      <c r="AJ118" s="254" t="str">
        <f t="shared" ca="1" si="38"/>
        <v>99</v>
      </c>
      <c r="AK118" s="351"/>
    </row>
    <row r="119" spans="1:37">
      <c r="A119" s="74">
        <v>100</v>
      </c>
      <c r="B119" s="252"/>
      <c r="C119" s="293" t="str">
        <f t="shared" si="39"/>
        <v/>
      </c>
      <c r="D119" s="294" t="str">
        <f t="shared" si="40"/>
        <v/>
      </c>
      <c r="E119" s="287"/>
      <c r="F119" s="293" t="str">
        <f t="shared" si="25"/>
        <v/>
      </c>
      <c r="G119" s="294" t="str">
        <f t="shared" si="26"/>
        <v/>
      </c>
      <c r="H119" s="290"/>
      <c r="I119" s="254" t="str">
        <f t="shared" ca="1" si="34"/>
        <v>1</v>
      </c>
      <c r="J119" s="254" t="str">
        <f t="shared" ca="1" si="35"/>
        <v>1</v>
      </c>
      <c r="K119" s="230" t="str">
        <f>IF(Giocatori!B108=0,"",Giocatori!B108)</f>
        <v>CENTURION</v>
      </c>
      <c r="L119" s="230" t="str">
        <f>IF(Giocatori!A108=0,"",Giocatori!A108)</f>
        <v>A</v>
      </c>
      <c r="M119" s="230" t="str">
        <f>IF(Giocatori!C108=0,"",Giocatori!C108)</f>
        <v>Genoa</v>
      </c>
      <c r="N119" s="69" t="str">
        <f t="shared" si="27"/>
        <v/>
      </c>
      <c r="O119" t="str">
        <f t="shared" si="28"/>
        <v>CENTURION</v>
      </c>
      <c r="P119" s="7">
        <f t="shared" ca="1" si="36"/>
        <v>119</v>
      </c>
      <c r="Q119" s="7" t="str">
        <f t="shared" ca="1" si="29"/>
        <v>CENTURION</v>
      </c>
      <c r="Z119" s="256"/>
      <c r="AA119" s="219"/>
      <c r="AB119" s="293" t="str">
        <f t="shared" si="30"/>
        <v/>
      </c>
      <c r="AC119" s="294" t="str">
        <f t="shared" si="31"/>
        <v/>
      </c>
      <c r="AD119" s="219"/>
      <c r="AE119" s="219"/>
      <c r="AF119" s="293" t="str">
        <f>IF(AA119="","",VLOOKUP(AA119,Asta!$B:$H,7,FALSE))</f>
        <v/>
      </c>
      <c r="AG119" s="294" t="str">
        <f t="shared" si="32"/>
        <v/>
      </c>
      <c r="AH119" t="str">
        <f t="shared" si="33"/>
        <v/>
      </c>
      <c r="AI119" s="254" t="str">
        <f t="shared" ca="1" si="37"/>
        <v>100</v>
      </c>
      <c r="AJ119" s="254" t="str">
        <f t="shared" ca="1" si="38"/>
        <v>100</v>
      </c>
      <c r="AK119" s="351"/>
    </row>
    <row r="120" spans="1:37">
      <c r="A120" s="74">
        <v>101</v>
      </c>
      <c r="B120" s="252"/>
      <c r="C120" s="293" t="str">
        <f t="shared" si="39"/>
        <v/>
      </c>
      <c r="D120" s="294" t="str">
        <f t="shared" si="40"/>
        <v/>
      </c>
      <c r="E120" s="287"/>
      <c r="F120" s="293" t="str">
        <f t="shared" si="25"/>
        <v/>
      </c>
      <c r="G120" s="294" t="str">
        <f t="shared" si="26"/>
        <v/>
      </c>
      <c r="H120" s="290"/>
      <c r="I120" s="254" t="str">
        <f t="shared" ca="1" si="34"/>
        <v>1</v>
      </c>
      <c r="J120" s="254" t="str">
        <f t="shared" ca="1" si="35"/>
        <v>1</v>
      </c>
      <c r="K120" s="230" t="str">
        <f>IF(Giocatori!B109=0,"",Giocatori!B109)</f>
        <v>CEPPITELLI</v>
      </c>
      <c r="L120" s="230" t="str">
        <f>IF(Giocatori!A109=0,"",Giocatori!A109)</f>
        <v>D</v>
      </c>
      <c r="M120" s="230" t="str">
        <f>IF(Giocatori!C109=0,"",Giocatori!C109)</f>
        <v>Cagliari</v>
      </c>
      <c r="N120" s="69" t="str">
        <f t="shared" si="27"/>
        <v/>
      </c>
      <c r="O120" t="str">
        <f t="shared" si="28"/>
        <v>CEPPITELLI</v>
      </c>
      <c r="P120" s="7">
        <f t="shared" ca="1" si="36"/>
        <v>120</v>
      </c>
      <c r="Q120" s="7" t="str">
        <f t="shared" ca="1" si="29"/>
        <v>CEPPITELLI</v>
      </c>
      <c r="Z120" s="256"/>
      <c r="AA120" s="219"/>
      <c r="AB120" s="293" t="str">
        <f t="shared" si="30"/>
        <v/>
      </c>
      <c r="AC120" s="294" t="str">
        <f t="shared" si="31"/>
        <v/>
      </c>
      <c r="AD120" s="219"/>
      <c r="AE120" s="219"/>
      <c r="AF120" s="293" t="str">
        <f>IF(AA120="","",VLOOKUP(AA120,Asta!$B:$H,7,FALSE))</f>
        <v/>
      </c>
      <c r="AG120" s="294" t="str">
        <f t="shared" si="32"/>
        <v/>
      </c>
      <c r="AH120" t="str">
        <f t="shared" si="33"/>
        <v/>
      </c>
      <c r="AI120" s="254" t="str">
        <f t="shared" ca="1" si="37"/>
        <v>101</v>
      </c>
      <c r="AJ120" s="254" t="str">
        <f t="shared" ca="1" si="38"/>
        <v>101</v>
      </c>
      <c r="AK120" s="351"/>
    </row>
    <row r="121" spans="1:37">
      <c r="A121" s="74">
        <v>102</v>
      </c>
      <c r="B121" s="252"/>
      <c r="C121" s="293" t="str">
        <f t="shared" si="39"/>
        <v/>
      </c>
      <c r="D121" s="294" t="str">
        <f t="shared" si="40"/>
        <v/>
      </c>
      <c r="E121" s="287"/>
      <c r="F121" s="293" t="str">
        <f t="shared" si="25"/>
        <v/>
      </c>
      <c r="G121" s="294" t="str">
        <f t="shared" si="26"/>
        <v/>
      </c>
      <c r="H121" s="290"/>
      <c r="I121" s="254" t="str">
        <f t="shared" ca="1" si="34"/>
        <v>1</v>
      </c>
      <c r="J121" s="254" t="str">
        <f t="shared" ca="1" si="35"/>
        <v>1</v>
      </c>
      <c r="K121" s="230" t="str">
        <f>IF(Giocatori!B110=0,"",Giocatori!B110)</f>
        <v>CERCI</v>
      </c>
      <c r="L121" s="230" t="str">
        <f>IF(Giocatori!A110=0,"",Giocatori!A110)</f>
        <v>A</v>
      </c>
      <c r="M121" s="230" t="str">
        <f>IF(Giocatori!C110=0,"",Giocatori!C110)</f>
        <v>Verona</v>
      </c>
      <c r="N121" s="69" t="str">
        <f t="shared" si="27"/>
        <v/>
      </c>
      <c r="O121" t="str">
        <f t="shared" si="28"/>
        <v>CERCI</v>
      </c>
      <c r="P121" s="7">
        <f t="shared" ca="1" si="36"/>
        <v>121</v>
      </c>
      <c r="Q121" s="7" t="str">
        <f t="shared" ca="1" si="29"/>
        <v>CERCI</v>
      </c>
      <c r="Z121" s="256"/>
      <c r="AA121" s="219"/>
      <c r="AB121" s="293" t="str">
        <f t="shared" si="30"/>
        <v/>
      </c>
      <c r="AC121" s="294" t="str">
        <f t="shared" si="31"/>
        <v/>
      </c>
      <c r="AD121" s="219"/>
      <c r="AE121" s="219"/>
      <c r="AF121" s="293" t="str">
        <f>IF(AA121="","",VLOOKUP(AA121,Asta!$B:$H,7,FALSE))</f>
        <v/>
      </c>
      <c r="AG121" s="294" t="str">
        <f t="shared" si="32"/>
        <v/>
      </c>
      <c r="AH121" t="str">
        <f t="shared" si="33"/>
        <v/>
      </c>
      <c r="AI121" s="254" t="str">
        <f t="shared" ca="1" si="37"/>
        <v>102</v>
      </c>
      <c r="AJ121" s="254" t="str">
        <f t="shared" ca="1" si="38"/>
        <v>102</v>
      </c>
      <c r="AK121" s="351"/>
    </row>
    <row r="122" spans="1:37">
      <c r="A122" s="74">
        <v>103</v>
      </c>
      <c r="B122" s="252"/>
      <c r="C122" s="293" t="str">
        <f t="shared" si="39"/>
        <v/>
      </c>
      <c r="D122" s="294" t="str">
        <f t="shared" si="40"/>
        <v/>
      </c>
      <c r="E122" s="287"/>
      <c r="F122" s="293" t="str">
        <f t="shared" si="25"/>
        <v/>
      </c>
      <c r="G122" s="294" t="str">
        <f t="shared" si="26"/>
        <v/>
      </c>
      <c r="H122" s="290"/>
      <c r="I122" s="254" t="str">
        <f t="shared" ca="1" si="34"/>
        <v>1</v>
      </c>
      <c r="J122" s="254" t="str">
        <f t="shared" ca="1" si="35"/>
        <v>1</v>
      </c>
      <c r="K122" s="230" t="str">
        <f>IF(Giocatori!B111=0,"",Giocatori!B111)</f>
        <v>CEROFOLINI</v>
      </c>
      <c r="L122" s="230" t="str">
        <f>IF(Giocatori!A111=0,"",Giocatori!A111)</f>
        <v>P</v>
      </c>
      <c r="M122" s="230" t="str">
        <f>IF(Giocatori!C111=0,"",Giocatori!C111)</f>
        <v>Fiorentina</v>
      </c>
      <c r="N122" s="69" t="str">
        <f t="shared" si="27"/>
        <v/>
      </c>
      <c r="O122" t="str">
        <f t="shared" si="28"/>
        <v>CEROFOLINI</v>
      </c>
      <c r="P122" s="7">
        <f t="shared" ca="1" si="36"/>
        <v>122</v>
      </c>
      <c r="Q122" s="7" t="str">
        <f t="shared" ca="1" si="29"/>
        <v>CEROFOLINI</v>
      </c>
      <c r="Z122" s="256"/>
      <c r="AA122" s="219"/>
      <c r="AB122" s="293" t="str">
        <f t="shared" si="30"/>
        <v/>
      </c>
      <c r="AC122" s="294" t="str">
        <f t="shared" si="31"/>
        <v/>
      </c>
      <c r="AD122" s="219"/>
      <c r="AE122" s="219"/>
      <c r="AF122" s="293" t="str">
        <f>IF(AA122="","",VLOOKUP(AA122,Asta!$B:$H,7,FALSE))</f>
        <v/>
      </c>
      <c r="AG122" s="294" t="str">
        <f t="shared" si="32"/>
        <v/>
      </c>
      <c r="AH122" t="str">
        <f t="shared" si="33"/>
        <v/>
      </c>
      <c r="AI122" s="254" t="str">
        <f t="shared" ca="1" si="37"/>
        <v>103</v>
      </c>
      <c r="AJ122" s="254" t="str">
        <f t="shared" ca="1" si="38"/>
        <v>103</v>
      </c>
      <c r="AK122" s="351"/>
    </row>
    <row r="123" spans="1:37">
      <c r="A123" s="74">
        <v>104</v>
      </c>
      <c r="B123" s="252"/>
      <c r="C123" s="293" t="str">
        <f t="shared" si="39"/>
        <v/>
      </c>
      <c r="D123" s="294" t="str">
        <f t="shared" si="40"/>
        <v/>
      </c>
      <c r="E123" s="287"/>
      <c r="F123" s="293" t="str">
        <f t="shared" si="25"/>
        <v/>
      </c>
      <c r="G123" s="294" t="str">
        <f t="shared" si="26"/>
        <v/>
      </c>
      <c r="H123" s="290"/>
      <c r="I123" s="254" t="str">
        <f t="shared" ca="1" si="34"/>
        <v>1</v>
      </c>
      <c r="J123" s="254" t="str">
        <f t="shared" ca="1" si="35"/>
        <v>1</v>
      </c>
      <c r="K123" s="230" t="str">
        <f>IF(Giocatori!B112=0,"",Giocatori!B112)</f>
        <v>CESAR</v>
      </c>
      <c r="L123" s="230" t="str">
        <f>IF(Giocatori!A112=0,"",Giocatori!A112)</f>
        <v>D</v>
      </c>
      <c r="M123" s="230" t="str">
        <f>IF(Giocatori!C112=0,"",Giocatori!C112)</f>
        <v>Chievo</v>
      </c>
      <c r="N123" s="69" t="str">
        <f t="shared" si="27"/>
        <v/>
      </c>
      <c r="O123" t="str">
        <f t="shared" si="28"/>
        <v>CESAR</v>
      </c>
      <c r="P123" s="7">
        <f t="shared" ca="1" si="36"/>
        <v>123</v>
      </c>
      <c r="Q123" s="7" t="str">
        <f t="shared" ca="1" si="29"/>
        <v>CESAR</v>
      </c>
      <c r="Z123" s="256"/>
      <c r="AA123" s="219"/>
      <c r="AB123" s="293" t="str">
        <f t="shared" si="30"/>
        <v/>
      </c>
      <c r="AC123" s="294" t="str">
        <f t="shared" si="31"/>
        <v/>
      </c>
      <c r="AD123" s="219"/>
      <c r="AE123" s="219"/>
      <c r="AF123" s="293" t="str">
        <f>IF(AA123="","",VLOOKUP(AA123,Asta!$B:$H,7,FALSE))</f>
        <v/>
      </c>
      <c r="AG123" s="294" t="str">
        <f t="shared" si="32"/>
        <v/>
      </c>
      <c r="AH123" t="str">
        <f t="shared" si="33"/>
        <v/>
      </c>
      <c r="AI123" s="254" t="str">
        <f t="shared" ca="1" si="37"/>
        <v>104</v>
      </c>
      <c r="AJ123" s="254" t="str">
        <f t="shared" ca="1" si="38"/>
        <v>104</v>
      </c>
      <c r="AK123" s="351"/>
    </row>
    <row r="124" spans="1:37">
      <c r="A124" s="74">
        <v>105</v>
      </c>
      <c r="B124" s="252"/>
      <c r="C124" s="293" t="str">
        <f t="shared" si="39"/>
        <v/>
      </c>
      <c r="D124" s="294" t="str">
        <f t="shared" si="40"/>
        <v/>
      </c>
      <c r="E124" s="287"/>
      <c r="F124" s="293" t="str">
        <f t="shared" si="25"/>
        <v/>
      </c>
      <c r="G124" s="294" t="str">
        <f t="shared" si="26"/>
        <v/>
      </c>
      <c r="H124" s="290"/>
      <c r="I124" s="254" t="str">
        <f t="shared" ca="1" si="34"/>
        <v>1</v>
      </c>
      <c r="J124" s="254" t="str">
        <f t="shared" ca="1" si="35"/>
        <v>1</v>
      </c>
      <c r="K124" s="230" t="str">
        <f>IF(Giocatori!B113=0,"",Giocatori!B113)</f>
        <v>CHERUBIN</v>
      </c>
      <c r="L124" s="230" t="str">
        <f>IF(Giocatori!A113=0,"",Giocatori!A113)</f>
        <v>D</v>
      </c>
      <c r="M124" s="230" t="str">
        <f>IF(Giocatori!C113=0,"",Giocatori!C113)</f>
        <v>Verona</v>
      </c>
      <c r="N124" s="69" t="str">
        <f t="shared" si="27"/>
        <v/>
      </c>
      <c r="O124" t="str">
        <f t="shared" si="28"/>
        <v>CHERUBIN</v>
      </c>
      <c r="P124" s="7">
        <f t="shared" ca="1" si="36"/>
        <v>124</v>
      </c>
      <c r="Q124" s="7" t="str">
        <f t="shared" ca="1" si="29"/>
        <v>CHERUBIN</v>
      </c>
      <c r="Z124" s="256"/>
      <c r="AA124" s="219"/>
      <c r="AB124" s="293" t="str">
        <f t="shared" si="30"/>
        <v/>
      </c>
      <c r="AC124" s="294" t="str">
        <f t="shared" si="31"/>
        <v/>
      </c>
      <c r="AD124" s="219"/>
      <c r="AE124" s="219"/>
      <c r="AF124" s="293" t="str">
        <f>IF(AA124="","",VLOOKUP(AA124,Asta!$B:$H,7,FALSE))</f>
        <v/>
      </c>
      <c r="AG124" s="294" t="str">
        <f t="shared" si="32"/>
        <v/>
      </c>
      <c r="AH124" t="str">
        <f t="shared" si="33"/>
        <v/>
      </c>
      <c r="AI124" s="254" t="str">
        <f t="shared" ca="1" si="37"/>
        <v>105</v>
      </c>
      <c r="AJ124" s="254" t="str">
        <f t="shared" ca="1" si="38"/>
        <v>105</v>
      </c>
      <c r="AK124" s="351"/>
    </row>
    <row r="125" spans="1:37">
      <c r="A125" s="74">
        <v>106</v>
      </c>
      <c r="B125" s="252"/>
      <c r="C125" s="293" t="str">
        <f t="shared" si="39"/>
        <v/>
      </c>
      <c r="D125" s="294" t="str">
        <f t="shared" si="40"/>
        <v/>
      </c>
      <c r="E125" s="287"/>
      <c r="F125" s="293" t="str">
        <f t="shared" si="25"/>
        <v/>
      </c>
      <c r="G125" s="294" t="str">
        <f t="shared" si="26"/>
        <v/>
      </c>
      <c r="H125" s="290"/>
      <c r="I125" s="254" t="str">
        <f t="shared" ca="1" si="34"/>
        <v>1</v>
      </c>
      <c r="J125" s="254" t="str">
        <f t="shared" ca="1" si="35"/>
        <v>1</v>
      </c>
      <c r="K125" s="230" t="str">
        <f>IF(Giocatori!B114=0,"",Giocatori!B114)</f>
        <v>CHIBSAH</v>
      </c>
      <c r="L125" s="230" t="str">
        <f>IF(Giocatori!A114=0,"",Giocatori!A114)</f>
        <v>C</v>
      </c>
      <c r="M125" s="230" t="str">
        <f>IF(Giocatori!C114=0,"",Giocatori!C114)</f>
        <v>Benevento</v>
      </c>
      <c r="N125" s="69" t="str">
        <f t="shared" si="27"/>
        <v/>
      </c>
      <c r="O125" t="str">
        <f t="shared" si="28"/>
        <v>CHIBSAH</v>
      </c>
      <c r="P125" s="7">
        <f t="shared" ca="1" si="36"/>
        <v>125</v>
      </c>
      <c r="Q125" s="7" t="str">
        <f t="shared" ca="1" si="29"/>
        <v>CHIBSAH</v>
      </c>
      <c r="Z125" s="256"/>
      <c r="AA125" s="219"/>
      <c r="AB125" s="293" t="str">
        <f t="shared" si="30"/>
        <v/>
      </c>
      <c r="AC125" s="294" t="str">
        <f t="shared" si="31"/>
        <v/>
      </c>
      <c r="AD125" s="219"/>
      <c r="AE125" s="219"/>
      <c r="AF125" s="293" t="str">
        <f>IF(AA125="","",VLOOKUP(AA125,Asta!$B:$H,7,FALSE))</f>
        <v/>
      </c>
      <c r="AG125" s="294" t="str">
        <f t="shared" si="32"/>
        <v/>
      </c>
      <c r="AH125" t="str">
        <f t="shared" si="33"/>
        <v/>
      </c>
      <c r="AI125" s="254" t="str">
        <f t="shared" ca="1" si="37"/>
        <v>106</v>
      </c>
      <c r="AJ125" s="254" t="str">
        <f t="shared" ca="1" si="38"/>
        <v>106</v>
      </c>
      <c r="AK125" s="351"/>
    </row>
    <row r="126" spans="1:37">
      <c r="A126" s="74">
        <v>107</v>
      </c>
      <c r="B126" s="252"/>
      <c r="C126" s="293" t="str">
        <f t="shared" si="39"/>
        <v/>
      </c>
      <c r="D126" s="294" t="str">
        <f t="shared" si="40"/>
        <v/>
      </c>
      <c r="E126" s="287"/>
      <c r="F126" s="293" t="str">
        <f t="shared" si="25"/>
        <v/>
      </c>
      <c r="G126" s="294" t="str">
        <f t="shared" si="26"/>
        <v/>
      </c>
      <c r="H126" s="290"/>
      <c r="I126" s="254" t="str">
        <f t="shared" ca="1" si="34"/>
        <v>1</v>
      </c>
      <c r="J126" s="254" t="str">
        <f t="shared" ca="1" si="35"/>
        <v>1</v>
      </c>
      <c r="K126" s="230" t="str">
        <f>IF(Giocatori!B115=0,"",Giocatori!B115)</f>
        <v>CHIELLINI</v>
      </c>
      <c r="L126" s="230" t="str">
        <f>IF(Giocatori!A115=0,"",Giocatori!A115)</f>
        <v>D</v>
      </c>
      <c r="M126" s="230" t="str">
        <f>IF(Giocatori!C115=0,"",Giocatori!C115)</f>
        <v>Juventus</v>
      </c>
      <c r="N126" s="69" t="str">
        <f t="shared" si="27"/>
        <v/>
      </c>
      <c r="O126" t="str">
        <f t="shared" si="28"/>
        <v>CHIELLINI</v>
      </c>
      <c r="P126" s="7">
        <f t="shared" ca="1" si="36"/>
        <v>126</v>
      </c>
      <c r="Q126" s="7" t="str">
        <f t="shared" ca="1" si="29"/>
        <v>CHIELLINI</v>
      </c>
      <c r="Z126" s="256"/>
      <c r="AA126" s="219"/>
      <c r="AB126" s="293" t="str">
        <f t="shared" si="30"/>
        <v/>
      </c>
      <c r="AC126" s="294" t="str">
        <f t="shared" si="31"/>
        <v/>
      </c>
      <c r="AD126" s="219"/>
      <c r="AE126" s="219"/>
      <c r="AF126" s="293" t="str">
        <f>IF(AA126="","",VLOOKUP(AA126,Asta!$B:$H,7,FALSE))</f>
        <v/>
      </c>
      <c r="AG126" s="294" t="str">
        <f t="shared" si="32"/>
        <v/>
      </c>
      <c r="AH126" t="str">
        <f t="shared" si="33"/>
        <v/>
      </c>
      <c r="AI126" s="254" t="str">
        <f t="shared" ca="1" si="37"/>
        <v>107</v>
      </c>
      <c r="AJ126" s="254" t="str">
        <f t="shared" ca="1" si="38"/>
        <v>107</v>
      </c>
      <c r="AK126" s="351"/>
    </row>
    <row r="127" spans="1:37">
      <c r="A127" s="74">
        <v>108</v>
      </c>
      <c r="B127" s="252"/>
      <c r="C127" s="293" t="str">
        <f t="shared" si="39"/>
        <v/>
      </c>
      <c r="D127" s="294" t="str">
        <f t="shared" si="40"/>
        <v/>
      </c>
      <c r="E127" s="287"/>
      <c r="F127" s="293" t="str">
        <f t="shared" si="25"/>
        <v/>
      </c>
      <c r="G127" s="294" t="str">
        <f t="shared" si="26"/>
        <v/>
      </c>
      <c r="H127" s="290"/>
      <c r="I127" s="254" t="str">
        <f t="shared" ca="1" si="34"/>
        <v>1</v>
      </c>
      <c r="J127" s="254" t="str">
        <f t="shared" ca="1" si="35"/>
        <v>1</v>
      </c>
      <c r="K127" s="230" t="str">
        <f>IF(Giocatori!B116=0,"",Giocatori!B116)</f>
        <v>CHIESA</v>
      </c>
      <c r="L127" s="230" t="str">
        <f>IF(Giocatori!A116=0,"",Giocatori!A116)</f>
        <v>C</v>
      </c>
      <c r="M127" s="230" t="str">
        <f>IF(Giocatori!C116=0,"",Giocatori!C116)</f>
        <v>Fiorentina</v>
      </c>
      <c r="N127" s="69" t="str">
        <f t="shared" si="27"/>
        <v/>
      </c>
      <c r="O127" t="str">
        <f t="shared" si="28"/>
        <v>CHIESA</v>
      </c>
      <c r="P127" s="7">
        <f t="shared" ca="1" si="36"/>
        <v>127</v>
      </c>
      <c r="Q127" s="7" t="str">
        <f t="shared" ca="1" si="29"/>
        <v>CHIESA</v>
      </c>
      <c r="Z127" s="256"/>
      <c r="AA127" s="219"/>
      <c r="AB127" s="293" t="str">
        <f t="shared" si="30"/>
        <v/>
      </c>
      <c r="AC127" s="294" t="str">
        <f t="shared" si="31"/>
        <v/>
      </c>
      <c r="AD127" s="219"/>
      <c r="AE127" s="219"/>
      <c r="AF127" s="293" t="str">
        <f>IF(AA127="","",VLOOKUP(AA127,Asta!$B:$H,7,FALSE))</f>
        <v/>
      </c>
      <c r="AG127" s="294" t="str">
        <f t="shared" si="32"/>
        <v/>
      </c>
      <c r="AH127" t="str">
        <f t="shared" si="33"/>
        <v/>
      </c>
      <c r="AI127" s="254" t="str">
        <f t="shared" ca="1" si="37"/>
        <v>108</v>
      </c>
      <c r="AJ127" s="254" t="str">
        <f t="shared" ca="1" si="38"/>
        <v>108</v>
      </c>
      <c r="AK127" s="351"/>
    </row>
    <row r="128" spans="1:37">
      <c r="A128" s="74">
        <v>109</v>
      </c>
      <c r="B128" s="252"/>
      <c r="C128" s="293" t="str">
        <f t="shared" si="39"/>
        <v/>
      </c>
      <c r="D128" s="294" t="str">
        <f t="shared" si="40"/>
        <v/>
      </c>
      <c r="E128" s="287"/>
      <c r="F128" s="293" t="str">
        <f t="shared" si="25"/>
        <v/>
      </c>
      <c r="G128" s="294" t="str">
        <f t="shared" si="26"/>
        <v/>
      </c>
      <c r="H128" s="290"/>
      <c r="I128" s="254" t="str">
        <f t="shared" ca="1" si="34"/>
        <v>1</v>
      </c>
      <c r="J128" s="254" t="str">
        <f t="shared" ca="1" si="35"/>
        <v>1</v>
      </c>
      <c r="K128" s="230" t="str">
        <f>IF(Giocatori!B117=0,"",Giocatori!B117)</f>
        <v>CHIRICHES</v>
      </c>
      <c r="L128" s="230" t="str">
        <f>IF(Giocatori!A117=0,"",Giocatori!A117)</f>
        <v>D</v>
      </c>
      <c r="M128" s="230" t="str">
        <f>IF(Giocatori!C117=0,"",Giocatori!C117)</f>
        <v>Napoli</v>
      </c>
      <c r="N128" s="69" t="str">
        <f t="shared" si="27"/>
        <v/>
      </c>
      <c r="O128" t="str">
        <f t="shared" si="28"/>
        <v>CHIRICHES</v>
      </c>
      <c r="P128" s="7">
        <f t="shared" ca="1" si="36"/>
        <v>128</v>
      </c>
      <c r="Q128" s="7" t="str">
        <f t="shared" ca="1" si="29"/>
        <v>CHIRICHES</v>
      </c>
      <c r="Z128" s="256"/>
      <c r="AA128" s="219"/>
      <c r="AB128" s="293" t="str">
        <f t="shared" si="30"/>
        <v/>
      </c>
      <c r="AC128" s="294" t="str">
        <f t="shared" si="31"/>
        <v/>
      </c>
      <c r="AD128" s="219"/>
      <c r="AE128" s="219"/>
      <c r="AF128" s="293" t="str">
        <f>IF(AA128="","",VLOOKUP(AA128,Asta!$B:$H,7,FALSE))</f>
        <v/>
      </c>
      <c r="AG128" s="294" t="str">
        <f t="shared" si="32"/>
        <v/>
      </c>
      <c r="AH128" t="str">
        <f t="shared" si="33"/>
        <v/>
      </c>
      <c r="AI128" s="254" t="str">
        <f t="shared" ca="1" si="37"/>
        <v>109</v>
      </c>
      <c r="AJ128" s="254" t="str">
        <f t="shared" ca="1" si="38"/>
        <v>109</v>
      </c>
      <c r="AK128" s="351"/>
    </row>
    <row r="129" spans="1:37">
      <c r="A129" s="74">
        <v>110</v>
      </c>
      <c r="B129" s="252"/>
      <c r="C129" s="293" t="str">
        <f t="shared" si="39"/>
        <v/>
      </c>
      <c r="D129" s="294" t="str">
        <f t="shared" si="40"/>
        <v/>
      </c>
      <c r="E129" s="287"/>
      <c r="F129" s="293" t="str">
        <f t="shared" si="25"/>
        <v/>
      </c>
      <c r="G129" s="294" t="str">
        <f t="shared" si="26"/>
        <v/>
      </c>
      <c r="H129" s="290"/>
      <c r="I129" s="254" t="str">
        <f t="shared" ca="1" si="34"/>
        <v>1</v>
      </c>
      <c r="J129" s="254" t="str">
        <f t="shared" ca="1" si="35"/>
        <v>1</v>
      </c>
      <c r="K129" s="230" t="str">
        <f>IF(Giocatori!B118=0,"",Giocatori!B118)</f>
        <v>CICIRETTI</v>
      </c>
      <c r="L129" s="230" t="str">
        <f>IF(Giocatori!A118=0,"",Giocatori!A118)</f>
        <v>C</v>
      </c>
      <c r="M129" s="230" t="str">
        <f>IF(Giocatori!C118=0,"",Giocatori!C118)</f>
        <v>Benevento</v>
      </c>
      <c r="N129" s="69" t="str">
        <f t="shared" si="27"/>
        <v/>
      </c>
      <c r="O129" t="str">
        <f t="shared" si="28"/>
        <v>CICIRETTI</v>
      </c>
      <c r="P129" s="7">
        <f t="shared" ca="1" si="36"/>
        <v>129</v>
      </c>
      <c r="Q129" s="7" t="str">
        <f t="shared" ca="1" si="29"/>
        <v>CICIRETTI</v>
      </c>
      <c r="Z129" s="256"/>
      <c r="AA129" s="219"/>
      <c r="AB129" s="293" t="str">
        <f t="shared" si="30"/>
        <v/>
      </c>
      <c r="AC129" s="294" t="str">
        <f t="shared" si="31"/>
        <v/>
      </c>
      <c r="AD129" s="219"/>
      <c r="AE129" s="219"/>
      <c r="AF129" s="293" t="str">
        <f>IF(AA129="","",VLOOKUP(AA129,Asta!$B:$H,7,FALSE))</f>
        <v/>
      </c>
      <c r="AG129" s="294" t="str">
        <f t="shared" si="32"/>
        <v/>
      </c>
      <c r="AH129" t="str">
        <f t="shared" si="33"/>
        <v/>
      </c>
      <c r="AI129" s="254" t="str">
        <f t="shared" ca="1" si="37"/>
        <v>110</v>
      </c>
      <c r="AJ129" s="254" t="str">
        <f t="shared" ca="1" si="38"/>
        <v>110</v>
      </c>
      <c r="AK129" s="351"/>
    </row>
    <row r="130" spans="1:37">
      <c r="A130" s="74">
        <v>111</v>
      </c>
      <c r="B130" s="252"/>
      <c r="C130" s="293" t="str">
        <f t="shared" si="39"/>
        <v/>
      </c>
      <c r="D130" s="294" t="str">
        <f t="shared" si="40"/>
        <v/>
      </c>
      <c r="E130" s="287"/>
      <c r="F130" s="293" t="str">
        <f t="shared" si="25"/>
        <v/>
      </c>
      <c r="G130" s="294" t="str">
        <f t="shared" si="26"/>
        <v/>
      </c>
      <c r="H130" s="290"/>
      <c r="I130" s="254" t="str">
        <f t="shared" ca="1" si="34"/>
        <v>1</v>
      </c>
      <c r="J130" s="254" t="str">
        <f t="shared" ca="1" si="35"/>
        <v>1</v>
      </c>
      <c r="K130" s="230" t="str">
        <f>IF(Giocatori!B119=0,"",Giocatori!B119)</f>
        <v>CIGARINI</v>
      </c>
      <c r="L130" s="230" t="str">
        <f>IF(Giocatori!A119=0,"",Giocatori!A119)</f>
        <v>C</v>
      </c>
      <c r="M130" s="230" t="str">
        <f>IF(Giocatori!C119=0,"",Giocatori!C119)</f>
        <v>Cagliari</v>
      </c>
      <c r="N130" s="69" t="str">
        <f t="shared" si="27"/>
        <v/>
      </c>
      <c r="O130" t="str">
        <f t="shared" si="28"/>
        <v>CIGARINI</v>
      </c>
      <c r="P130" s="7">
        <f t="shared" ca="1" si="36"/>
        <v>130</v>
      </c>
      <c r="Q130" s="7" t="str">
        <f t="shared" ca="1" si="29"/>
        <v>CIGARINI</v>
      </c>
      <c r="Z130" s="256"/>
      <c r="AA130" s="219"/>
      <c r="AB130" s="293" t="str">
        <f t="shared" si="30"/>
        <v/>
      </c>
      <c r="AC130" s="294" t="str">
        <f t="shared" si="31"/>
        <v/>
      </c>
      <c r="AD130" s="219"/>
      <c r="AE130" s="219"/>
      <c r="AF130" s="293" t="str">
        <f>IF(AA130="","",VLOOKUP(AA130,Asta!$B:$H,7,FALSE))</f>
        <v/>
      </c>
      <c r="AG130" s="294" t="str">
        <f t="shared" si="32"/>
        <v/>
      </c>
      <c r="AH130" t="str">
        <f t="shared" si="33"/>
        <v/>
      </c>
      <c r="AI130" s="254" t="str">
        <f t="shared" ca="1" si="37"/>
        <v>111</v>
      </c>
      <c r="AJ130" s="254" t="str">
        <f t="shared" ca="1" si="38"/>
        <v>111</v>
      </c>
      <c r="AK130" s="351"/>
    </row>
    <row r="131" spans="1:37">
      <c r="A131" s="74">
        <v>112</v>
      </c>
      <c r="B131" s="252"/>
      <c r="C131" s="293" t="str">
        <f t="shared" si="39"/>
        <v/>
      </c>
      <c r="D131" s="294" t="str">
        <f t="shared" si="40"/>
        <v/>
      </c>
      <c r="E131" s="287"/>
      <c r="F131" s="293" t="str">
        <f t="shared" si="25"/>
        <v/>
      </c>
      <c r="G131" s="294" t="str">
        <f t="shared" si="26"/>
        <v/>
      </c>
      <c r="H131" s="290"/>
      <c r="I131" s="254" t="str">
        <f t="shared" ca="1" si="34"/>
        <v>1</v>
      </c>
      <c r="J131" s="254" t="str">
        <f t="shared" ca="1" si="35"/>
        <v>1</v>
      </c>
      <c r="K131" s="230" t="str">
        <f>IF(Giocatori!B120=0,"",Giocatori!B120)</f>
        <v>CODA M</v>
      </c>
      <c r="L131" s="230" t="str">
        <f>IF(Giocatori!A120=0,"",Giocatori!A120)</f>
        <v>A</v>
      </c>
      <c r="M131" s="230" t="str">
        <f>IF(Giocatori!C120=0,"",Giocatori!C120)</f>
        <v>Benevento</v>
      </c>
      <c r="N131" s="69" t="str">
        <f t="shared" si="27"/>
        <v/>
      </c>
      <c r="O131" t="str">
        <f t="shared" si="28"/>
        <v>CODA M</v>
      </c>
      <c r="P131" s="7">
        <f t="shared" ca="1" si="36"/>
        <v>131</v>
      </c>
      <c r="Q131" s="7" t="str">
        <f t="shared" ca="1" si="29"/>
        <v>CODA M</v>
      </c>
      <c r="Z131" s="256"/>
      <c r="AA131" s="219"/>
      <c r="AB131" s="293" t="str">
        <f t="shared" si="30"/>
        <v/>
      </c>
      <c r="AC131" s="294" t="str">
        <f t="shared" si="31"/>
        <v/>
      </c>
      <c r="AD131" s="219"/>
      <c r="AE131" s="219"/>
      <c r="AF131" s="293" t="str">
        <f>IF(AA131="","",VLOOKUP(AA131,Asta!$B:$H,7,FALSE))</f>
        <v/>
      </c>
      <c r="AG131" s="294" t="str">
        <f t="shared" si="32"/>
        <v/>
      </c>
      <c r="AH131" t="str">
        <f t="shared" si="33"/>
        <v/>
      </c>
      <c r="AI131" s="254" t="str">
        <f t="shared" ca="1" si="37"/>
        <v>112</v>
      </c>
      <c r="AJ131" s="254" t="str">
        <f t="shared" ca="1" si="38"/>
        <v>112</v>
      </c>
      <c r="AK131" s="351"/>
    </row>
    <row r="132" spans="1:37">
      <c r="A132" s="74">
        <v>113</v>
      </c>
      <c r="B132" s="252"/>
      <c r="C132" s="293" t="str">
        <f t="shared" si="39"/>
        <v/>
      </c>
      <c r="D132" s="294" t="str">
        <f t="shared" si="40"/>
        <v/>
      </c>
      <c r="E132" s="287"/>
      <c r="F132" s="293" t="str">
        <f t="shared" si="25"/>
        <v/>
      </c>
      <c r="G132" s="294" t="str">
        <f t="shared" si="26"/>
        <v/>
      </c>
      <c r="H132" s="290"/>
      <c r="I132" s="254" t="str">
        <f t="shared" ca="1" si="34"/>
        <v>1</v>
      </c>
      <c r="J132" s="254" t="str">
        <f t="shared" ca="1" si="35"/>
        <v>1</v>
      </c>
      <c r="K132" s="230" t="str">
        <f>IF(Giocatori!B121=0,"",Giocatori!B121)</f>
        <v>COFIE</v>
      </c>
      <c r="L132" s="230" t="str">
        <f>IF(Giocatori!A121=0,"",Giocatori!A121)</f>
        <v>C</v>
      </c>
      <c r="M132" s="230" t="str">
        <f>IF(Giocatori!C121=0,"",Giocatori!C121)</f>
        <v>Genoa</v>
      </c>
      <c r="N132" s="69" t="str">
        <f t="shared" si="27"/>
        <v/>
      </c>
      <c r="O132" t="str">
        <f t="shared" si="28"/>
        <v>COFIE</v>
      </c>
      <c r="P132" s="7">
        <f t="shared" ca="1" si="36"/>
        <v>132</v>
      </c>
      <c r="Q132" s="7" t="str">
        <f t="shared" ca="1" si="29"/>
        <v>COFIE</v>
      </c>
      <c r="Z132" s="256"/>
      <c r="AA132" s="219"/>
      <c r="AB132" s="293" t="str">
        <f t="shared" si="30"/>
        <v/>
      </c>
      <c r="AC132" s="294" t="str">
        <f t="shared" si="31"/>
        <v/>
      </c>
      <c r="AD132" s="219"/>
      <c r="AE132" s="219"/>
      <c r="AF132" s="293" t="str">
        <f>IF(AA132="","",VLOOKUP(AA132,Asta!$B:$H,7,FALSE))</f>
        <v/>
      </c>
      <c r="AG132" s="294" t="str">
        <f t="shared" si="32"/>
        <v/>
      </c>
      <c r="AH132" t="str">
        <f t="shared" si="33"/>
        <v/>
      </c>
      <c r="AI132" s="254" t="str">
        <f t="shared" ca="1" si="37"/>
        <v>113</v>
      </c>
      <c r="AJ132" s="254" t="str">
        <f t="shared" ca="1" si="38"/>
        <v>113</v>
      </c>
      <c r="AK132" s="351"/>
    </row>
    <row r="133" spans="1:37">
      <c r="A133" s="74">
        <v>114</v>
      </c>
      <c r="B133" s="252"/>
      <c r="C133" s="293" t="str">
        <f t="shared" si="39"/>
        <v/>
      </c>
      <c r="D133" s="294" t="str">
        <f t="shared" si="40"/>
        <v/>
      </c>
      <c r="E133" s="287"/>
      <c r="F133" s="293" t="str">
        <f t="shared" si="25"/>
        <v/>
      </c>
      <c r="G133" s="294" t="str">
        <f t="shared" si="26"/>
        <v/>
      </c>
      <c r="H133" s="290"/>
      <c r="I133" s="254" t="str">
        <f t="shared" ca="1" si="34"/>
        <v>1</v>
      </c>
      <c r="J133" s="254" t="str">
        <f t="shared" ca="1" si="35"/>
        <v>1</v>
      </c>
      <c r="K133" s="230" t="str">
        <f>IF(Giocatori!B122=0,"",Giocatori!B122)</f>
        <v>CONFENTE</v>
      </c>
      <c r="L133" s="230" t="str">
        <f>IF(Giocatori!A122=0,"",Giocatori!A122)</f>
        <v>P</v>
      </c>
      <c r="M133" s="230" t="str">
        <f>IF(Giocatori!C122=0,"",Giocatori!C122)</f>
        <v>Chievo</v>
      </c>
      <c r="N133" s="69" t="str">
        <f t="shared" si="27"/>
        <v/>
      </c>
      <c r="O133" t="str">
        <f t="shared" si="28"/>
        <v>CONFENTE</v>
      </c>
      <c r="P133" s="7">
        <f t="shared" ca="1" si="36"/>
        <v>133</v>
      </c>
      <c r="Q133" s="7" t="str">
        <f t="shared" ca="1" si="29"/>
        <v>CONFENTE</v>
      </c>
      <c r="Z133" s="256"/>
      <c r="AA133" s="219"/>
      <c r="AB133" s="293" t="str">
        <f t="shared" si="30"/>
        <v/>
      </c>
      <c r="AC133" s="294" t="str">
        <f t="shared" si="31"/>
        <v/>
      </c>
      <c r="AD133" s="219"/>
      <c r="AE133" s="219"/>
      <c r="AF133" s="293" t="str">
        <f>IF(AA133="","",VLOOKUP(AA133,Asta!$B:$H,7,FALSE))</f>
        <v/>
      </c>
      <c r="AG133" s="294" t="str">
        <f t="shared" si="32"/>
        <v/>
      </c>
      <c r="AH133" t="str">
        <f t="shared" si="33"/>
        <v/>
      </c>
      <c r="AI133" s="254" t="str">
        <f t="shared" ca="1" si="37"/>
        <v>114</v>
      </c>
      <c r="AJ133" s="254" t="str">
        <f t="shared" ca="1" si="38"/>
        <v>114</v>
      </c>
      <c r="AK133" s="351"/>
    </row>
    <row r="134" spans="1:37">
      <c r="A134" s="74">
        <v>115</v>
      </c>
      <c r="B134" s="252"/>
      <c r="C134" s="293" t="str">
        <f t="shared" si="39"/>
        <v/>
      </c>
      <c r="D134" s="294" t="str">
        <f t="shared" si="40"/>
        <v/>
      </c>
      <c r="E134" s="287"/>
      <c r="F134" s="293" t="str">
        <f t="shared" si="25"/>
        <v/>
      </c>
      <c r="G134" s="294" t="str">
        <f t="shared" si="26"/>
        <v/>
      </c>
      <c r="H134" s="290"/>
      <c r="I134" s="254" t="str">
        <f t="shared" ca="1" si="34"/>
        <v>1</v>
      </c>
      <c r="J134" s="254" t="str">
        <f t="shared" ca="1" si="35"/>
        <v>1</v>
      </c>
      <c r="K134" s="230" t="str">
        <f>IF(Giocatori!B123=0,"",Giocatori!B123)</f>
        <v>CONSIGLI</v>
      </c>
      <c r="L134" s="230" t="str">
        <f>IF(Giocatori!A123=0,"",Giocatori!A123)</f>
        <v>P</v>
      </c>
      <c r="M134" s="230" t="str">
        <f>IF(Giocatori!C123=0,"",Giocatori!C123)</f>
        <v>Sassuolo</v>
      </c>
      <c r="N134" s="69" t="str">
        <f t="shared" si="27"/>
        <v/>
      </c>
      <c r="O134" t="str">
        <f t="shared" si="28"/>
        <v>CONSIGLI</v>
      </c>
      <c r="P134" s="7">
        <f t="shared" ca="1" si="36"/>
        <v>134</v>
      </c>
      <c r="Q134" s="7" t="str">
        <f t="shared" ca="1" si="29"/>
        <v>CONSIGLI</v>
      </c>
      <c r="Z134" s="256"/>
      <c r="AA134" s="219"/>
      <c r="AB134" s="293" t="str">
        <f t="shared" si="30"/>
        <v/>
      </c>
      <c r="AC134" s="294" t="str">
        <f t="shared" si="31"/>
        <v/>
      </c>
      <c r="AD134" s="219"/>
      <c r="AE134" s="219"/>
      <c r="AF134" s="293" t="str">
        <f>IF(AA134="","",VLOOKUP(AA134,Asta!$B:$H,7,FALSE))</f>
        <v/>
      </c>
      <c r="AG134" s="294" t="str">
        <f t="shared" si="32"/>
        <v/>
      </c>
      <c r="AH134" t="str">
        <f t="shared" si="33"/>
        <v/>
      </c>
      <c r="AI134" s="254" t="str">
        <f t="shared" ca="1" si="37"/>
        <v>115</v>
      </c>
      <c r="AJ134" s="254" t="str">
        <f t="shared" ca="1" si="38"/>
        <v>115</v>
      </c>
      <c r="AK134" s="351"/>
    </row>
    <row r="135" spans="1:37">
      <c r="A135" s="74">
        <v>116</v>
      </c>
      <c r="B135" s="252"/>
      <c r="C135" s="293" t="str">
        <f t="shared" si="39"/>
        <v/>
      </c>
      <c r="D135" s="294" t="str">
        <f t="shared" si="40"/>
        <v/>
      </c>
      <c r="E135" s="287"/>
      <c r="F135" s="293" t="str">
        <f t="shared" si="25"/>
        <v/>
      </c>
      <c r="G135" s="294" t="str">
        <f t="shared" si="26"/>
        <v/>
      </c>
      <c r="H135" s="290"/>
      <c r="I135" s="254" t="str">
        <f t="shared" ca="1" si="34"/>
        <v>1</v>
      </c>
      <c r="J135" s="254" t="str">
        <f t="shared" ca="1" si="35"/>
        <v>1</v>
      </c>
      <c r="K135" s="230" t="str">
        <f>IF(Giocatori!B124=0,"",Giocatori!B124)</f>
        <v>CONTI</v>
      </c>
      <c r="L135" s="230" t="str">
        <f>IF(Giocatori!A124=0,"",Giocatori!A124)</f>
        <v>D</v>
      </c>
      <c r="M135" s="230" t="str">
        <f>IF(Giocatori!C124=0,"",Giocatori!C124)</f>
        <v>Milan</v>
      </c>
      <c r="N135" s="69" t="str">
        <f t="shared" si="27"/>
        <v/>
      </c>
      <c r="O135" t="str">
        <f t="shared" si="28"/>
        <v>CONTI</v>
      </c>
      <c r="P135" s="7">
        <f t="shared" ca="1" si="36"/>
        <v>135</v>
      </c>
      <c r="Q135" s="7" t="str">
        <f t="shared" ca="1" si="29"/>
        <v>CONTI</v>
      </c>
      <c r="Z135" s="256"/>
      <c r="AA135" s="219"/>
      <c r="AB135" s="293" t="str">
        <f t="shared" si="30"/>
        <v/>
      </c>
      <c r="AC135" s="294" t="str">
        <f t="shared" si="31"/>
        <v/>
      </c>
      <c r="AD135" s="219"/>
      <c r="AE135" s="219"/>
      <c r="AF135" s="293" t="str">
        <f>IF(AA135="","",VLOOKUP(AA135,Asta!$B:$H,7,FALSE))</f>
        <v/>
      </c>
      <c r="AG135" s="294" t="str">
        <f t="shared" si="32"/>
        <v/>
      </c>
      <c r="AH135" t="str">
        <f t="shared" si="33"/>
        <v/>
      </c>
      <c r="AI135" s="254" t="str">
        <f t="shared" ca="1" si="37"/>
        <v>116</v>
      </c>
      <c r="AJ135" s="254" t="str">
        <f t="shared" ca="1" si="38"/>
        <v>116</v>
      </c>
      <c r="AK135" s="351"/>
    </row>
    <row r="136" spans="1:37">
      <c r="A136" s="74">
        <v>117</v>
      </c>
      <c r="B136" s="252"/>
      <c r="C136" s="293" t="str">
        <f t="shared" si="39"/>
        <v/>
      </c>
      <c r="D136" s="294" t="str">
        <f t="shared" si="40"/>
        <v/>
      </c>
      <c r="E136" s="287"/>
      <c r="F136" s="293" t="str">
        <f t="shared" si="25"/>
        <v/>
      </c>
      <c r="G136" s="294" t="str">
        <f t="shared" si="26"/>
        <v/>
      </c>
      <c r="H136" s="290"/>
      <c r="I136" s="254" t="str">
        <f t="shared" ca="1" si="34"/>
        <v>1</v>
      </c>
      <c r="J136" s="254" t="str">
        <f t="shared" ca="1" si="35"/>
        <v>1</v>
      </c>
      <c r="K136" s="230" t="str">
        <f>IF(Giocatori!B125=0,"",Giocatori!B125)</f>
        <v>COPPOLA</v>
      </c>
      <c r="L136" s="230" t="str">
        <f>IF(Giocatori!A125=0,"",Giocatori!A125)</f>
        <v>P</v>
      </c>
      <c r="M136" s="230" t="str">
        <f>IF(Giocatori!C125=0,"",Giocatori!C125)</f>
        <v>Verona</v>
      </c>
      <c r="N136" s="69" t="str">
        <f t="shared" si="27"/>
        <v/>
      </c>
      <c r="O136" t="str">
        <f t="shared" si="28"/>
        <v>COPPOLA</v>
      </c>
      <c r="P136" s="7">
        <f t="shared" ca="1" si="36"/>
        <v>136</v>
      </c>
      <c r="Q136" s="7" t="str">
        <f t="shared" ca="1" si="29"/>
        <v>COPPOLA</v>
      </c>
      <c r="Z136" s="256"/>
      <c r="AA136" s="219"/>
      <c r="AB136" s="293" t="str">
        <f t="shared" si="30"/>
        <v/>
      </c>
      <c r="AC136" s="294" t="str">
        <f t="shared" si="31"/>
        <v/>
      </c>
      <c r="AD136" s="219"/>
      <c r="AE136" s="219"/>
      <c r="AF136" s="293" t="str">
        <f>IF(AA136="","",VLOOKUP(AA136,Asta!$B:$H,7,FALSE))</f>
        <v/>
      </c>
      <c r="AG136" s="294" t="str">
        <f t="shared" si="32"/>
        <v/>
      </c>
      <c r="AH136" t="str">
        <f t="shared" si="33"/>
        <v/>
      </c>
      <c r="AI136" s="254" t="str">
        <f t="shared" ca="1" si="37"/>
        <v>117</v>
      </c>
      <c r="AJ136" s="254" t="str">
        <f t="shared" ca="1" si="38"/>
        <v>117</v>
      </c>
      <c r="AK136" s="351"/>
    </row>
    <row r="137" spans="1:37">
      <c r="A137" s="74">
        <v>118</v>
      </c>
      <c r="B137" s="252"/>
      <c r="C137" s="293" t="str">
        <f t="shared" si="39"/>
        <v/>
      </c>
      <c r="D137" s="294" t="str">
        <f t="shared" si="40"/>
        <v/>
      </c>
      <c r="E137" s="287"/>
      <c r="F137" s="293" t="str">
        <f t="shared" si="25"/>
        <v/>
      </c>
      <c r="G137" s="294" t="str">
        <f t="shared" si="26"/>
        <v/>
      </c>
      <c r="H137" s="290"/>
      <c r="I137" s="254" t="str">
        <f t="shared" ca="1" si="34"/>
        <v>1</v>
      </c>
      <c r="J137" s="254" t="str">
        <f t="shared" ca="1" si="35"/>
        <v>1</v>
      </c>
      <c r="K137" s="230" t="str">
        <f>IF(Giocatori!B126=0,"",Giocatori!B126)</f>
        <v>CORDAZ</v>
      </c>
      <c r="L137" s="230" t="str">
        <f>IF(Giocatori!A126=0,"",Giocatori!A126)</f>
        <v>P</v>
      </c>
      <c r="M137" s="230" t="str">
        <f>IF(Giocatori!C126=0,"",Giocatori!C126)</f>
        <v>Crotone</v>
      </c>
      <c r="N137" s="69" t="str">
        <f t="shared" si="27"/>
        <v/>
      </c>
      <c r="O137" t="str">
        <f t="shared" si="28"/>
        <v>CORDAZ</v>
      </c>
      <c r="P137" s="7">
        <f t="shared" ca="1" si="36"/>
        <v>137</v>
      </c>
      <c r="Q137" s="7" t="str">
        <f t="shared" ca="1" si="29"/>
        <v>CORDAZ</v>
      </c>
      <c r="Z137" s="256"/>
      <c r="AA137" s="219"/>
      <c r="AB137" s="293" t="str">
        <f t="shared" si="30"/>
        <v/>
      </c>
      <c r="AC137" s="294" t="str">
        <f t="shared" si="31"/>
        <v/>
      </c>
      <c r="AD137" s="219"/>
      <c r="AE137" s="219"/>
      <c r="AF137" s="293" t="str">
        <f>IF(AA137="","",VLOOKUP(AA137,Asta!$B:$H,7,FALSE))</f>
        <v/>
      </c>
      <c r="AG137" s="294" t="str">
        <f t="shared" si="32"/>
        <v/>
      </c>
      <c r="AH137" t="str">
        <f t="shared" si="33"/>
        <v/>
      </c>
      <c r="AI137" s="254" t="str">
        <f t="shared" ca="1" si="37"/>
        <v>118</v>
      </c>
      <c r="AJ137" s="254" t="str">
        <f t="shared" ca="1" si="38"/>
        <v>118</v>
      </c>
      <c r="AK137" s="351"/>
    </row>
    <row r="138" spans="1:37">
      <c r="A138" s="74">
        <v>119</v>
      </c>
      <c r="B138" s="252"/>
      <c r="C138" s="293" t="str">
        <f t="shared" si="39"/>
        <v/>
      </c>
      <c r="D138" s="294" t="str">
        <f t="shared" si="40"/>
        <v/>
      </c>
      <c r="E138" s="287"/>
      <c r="F138" s="293" t="str">
        <f t="shared" si="25"/>
        <v/>
      </c>
      <c r="G138" s="294" t="str">
        <f t="shared" si="26"/>
        <v/>
      </c>
      <c r="H138" s="290"/>
      <c r="I138" s="254" t="str">
        <f t="shared" ca="1" si="34"/>
        <v>1</v>
      </c>
      <c r="J138" s="254" t="str">
        <f t="shared" ca="1" si="35"/>
        <v>1</v>
      </c>
      <c r="K138" s="230" t="str">
        <f>IF(Giocatori!B127=0,"",Giocatori!B127)</f>
        <v>CORNELIUS</v>
      </c>
      <c r="L138" s="230" t="str">
        <f>IF(Giocatori!A127=0,"",Giocatori!A127)</f>
        <v>A</v>
      </c>
      <c r="M138" s="230" t="str">
        <f>IF(Giocatori!C127=0,"",Giocatori!C127)</f>
        <v>Atalanta</v>
      </c>
      <c r="N138" s="69" t="str">
        <f t="shared" si="27"/>
        <v/>
      </c>
      <c r="O138" t="str">
        <f t="shared" si="28"/>
        <v>CORNELIUS</v>
      </c>
      <c r="P138" s="7">
        <f t="shared" ca="1" si="36"/>
        <v>138</v>
      </c>
      <c r="Q138" s="7" t="str">
        <f t="shared" ca="1" si="29"/>
        <v>CORNELIUS</v>
      </c>
      <c r="Z138" s="256"/>
      <c r="AA138" s="219"/>
      <c r="AB138" s="293" t="str">
        <f t="shared" si="30"/>
        <v/>
      </c>
      <c r="AC138" s="294" t="str">
        <f t="shared" si="31"/>
        <v/>
      </c>
      <c r="AD138" s="219"/>
      <c r="AE138" s="219"/>
      <c r="AF138" s="293" t="str">
        <f>IF(AA138="","",VLOOKUP(AA138,Asta!$B:$H,7,FALSE))</f>
        <v/>
      </c>
      <c r="AG138" s="294" t="str">
        <f t="shared" si="32"/>
        <v/>
      </c>
      <c r="AH138" t="str">
        <f t="shared" si="33"/>
        <v/>
      </c>
      <c r="AI138" s="254" t="str">
        <f t="shared" ca="1" si="37"/>
        <v>119</v>
      </c>
      <c r="AJ138" s="254" t="str">
        <f t="shared" ca="1" si="38"/>
        <v>119</v>
      </c>
      <c r="AK138" s="351"/>
    </row>
    <row r="139" spans="1:37">
      <c r="A139" s="74">
        <v>120</v>
      </c>
      <c r="B139" s="252"/>
      <c r="C139" s="293" t="str">
        <f t="shared" si="39"/>
        <v/>
      </c>
      <c r="D139" s="294" t="str">
        <f t="shared" si="40"/>
        <v/>
      </c>
      <c r="E139" s="287"/>
      <c r="F139" s="293" t="str">
        <f t="shared" si="25"/>
        <v/>
      </c>
      <c r="G139" s="294" t="str">
        <f t="shared" si="26"/>
        <v/>
      </c>
      <c r="H139" s="290"/>
      <c r="I139" s="254" t="str">
        <f t="shared" ca="1" si="34"/>
        <v>1</v>
      </c>
      <c r="J139" s="254" t="str">
        <f t="shared" ca="1" si="35"/>
        <v>1</v>
      </c>
      <c r="K139" s="230" t="str">
        <f>IF(Giocatori!B128=0,"",Giocatori!B128)</f>
        <v>COSSU</v>
      </c>
      <c r="L139" s="230" t="str">
        <f>IF(Giocatori!A128=0,"",Giocatori!A128)</f>
        <v>C</v>
      </c>
      <c r="M139" s="230" t="str">
        <f>IF(Giocatori!C128=0,"",Giocatori!C128)</f>
        <v>Cagliari</v>
      </c>
      <c r="N139" s="69" t="str">
        <f t="shared" si="27"/>
        <v/>
      </c>
      <c r="O139" t="str">
        <f t="shared" si="28"/>
        <v>COSSU</v>
      </c>
      <c r="P139" s="7">
        <f t="shared" ca="1" si="36"/>
        <v>139</v>
      </c>
      <c r="Q139" s="7" t="str">
        <f t="shared" ca="1" si="29"/>
        <v>COSSU</v>
      </c>
      <c r="Z139" s="256"/>
      <c r="AA139" s="219"/>
      <c r="AB139" s="293" t="str">
        <f t="shared" si="30"/>
        <v/>
      </c>
      <c r="AC139" s="294" t="str">
        <f t="shared" si="31"/>
        <v/>
      </c>
      <c r="AD139" s="219"/>
      <c r="AE139" s="219"/>
      <c r="AF139" s="293" t="str">
        <f>IF(AA139="","",VLOOKUP(AA139,Asta!$B:$H,7,FALSE))</f>
        <v/>
      </c>
      <c r="AG139" s="294" t="str">
        <f t="shared" si="32"/>
        <v/>
      </c>
      <c r="AH139" t="str">
        <f t="shared" si="33"/>
        <v/>
      </c>
      <c r="AI139" s="254" t="str">
        <f t="shared" ca="1" si="37"/>
        <v>120</v>
      </c>
      <c r="AJ139" s="254" t="str">
        <f t="shared" ca="1" si="38"/>
        <v>120</v>
      </c>
      <c r="AK139" s="351"/>
    </row>
    <row r="140" spans="1:37">
      <c r="A140" s="74">
        <v>121</v>
      </c>
      <c r="B140" s="252"/>
      <c r="C140" s="293" t="str">
        <f t="shared" si="39"/>
        <v/>
      </c>
      <c r="D140" s="294" t="str">
        <f t="shared" si="40"/>
        <v/>
      </c>
      <c r="E140" s="287"/>
      <c r="F140" s="293" t="str">
        <f t="shared" si="25"/>
        <v/>
      </c>
      <c r="G140" s="294" t="str">
        <f t="shared" si="26"/>
        <v/>
      </c>
      <c r="H140" s="290"/>
      <c r="I140" s="254" t="str">
        <f t="shared" ca="1" si="34"/>
        <v>1</v>
      </c>
      <c r="J140" s="254" t="str">
        <f t="shared" ca="1" si="35"/>
        <v>1</v>
      </c>
      <c r="K140" s="230" t="str">
        <f>IF(Giocatori!B129=0,"",Giocatori!B129)</f>
        <v>COSTA</v>
      </c>
      <c r="L140" s="230" t="str">
        <f>IF(Giocatori!A129=0,"",Giocatori!A129)</f>
        <v>D</v>
      </c>
      <c r="M140" s="230" t="str">
        <f>IF(Giocatori!C129=0,"",Giocatori!C129)</f>
        <v>Benevento</v>
      </c>
      <c r="N140" s="69" t="str">
        <f t="shared" si="27"/>
        <v/>
      </c>
      <c r="O140" t="str">
        <f t="shared" si="28"/>
        <v>COSTA</v>
      </c>
      <c r="P140" s="7">
        <f t="shared" ca="1" si="36"/>
        <v>140</v>
      </c>
      <c r="Q140" s="7" t="str">
        <f t="shared" ca="1" si="29"/>
        <v>COSTA</v>
      </c>
      <c r="Z140" s="256"/>
      <c r="AA140" s="219"/>
      <c r="AB140" s="293" t="str">
        <f t="shared" si="30"/>
        <v/>
      </c>
      <c r="AC140" s="294" t="str">
        <f t="shared" si="31"/>
        <v/>
      </c>
      <c r="AD140" s="219"/>
      <c r="AE140" s="219"/>
      <c r="AF140" s="293" t="str">
        <f>IF(AA140="","",VLOOKUP(AA140,Asta!$B:$H,7,FALSE))</f>
        <v/>
      </c>
      <c r="AG140" s="294" t="str">
        <f t="shared" si="32"/>
        <v/>
      </c>
      <c r="AH140" t="str">
        <f t="shared" si="33"/>
        <v/>
      </c>
      <c r="AI140" s="254" t="str">
        <f t="shared" ca="1" si="37"/>
        <v>121</v>
      </c>
      <c r="AJ140" s="254" t="str">
        <f t="shared" ca="1" si="38"/>
        <v>121</v>
      </c>
      <c r="AK140" s="351"/>
    </row>
    <row r="141" spans="1:37">
      <c r="A141" s="74">
        <v>122</v>
      </c>
      <c r="B141" s="252"/>
      <c r="C141" s="293" t="str">
        <f t="shared" si="39"/>
        <v/>
      </c>
      <c r="D141" s="294" t="str">
        <f t="shared" si="40"/>
        <v/>
      </c>
      <c r="E141" s="287"/>
      <c r="F141" s="293" t="str">
        <f t="shared" si="25"/>
        <v/>
      </c>
      <c r="G141" s="294" t="str">
        <f t="shared" si="26"/>
        <v/>
      </c>
      <c r="H141" s="290"/>
      <c r="I141" s="254" t="str">
        <f t="shared" ca="1" si="34"/>
        <v>1</v>
      </c>
      <c r="J141" s="254" t="str">
        <f t="shared" ca="1" si="35"/>
        <v>1</v>
      </c>
      <c r="K141" s="230" t="str">
        <f>IF(Giocatori!B130=0,"",Giocatori!B130)</f>
        <v>COSTA F</v>
      </c>
      <c r="L141" s="230" t="str">
        <f>IF(Giocatori!A130=0,"",Giocatori!A130)</f>
        <v>D</v>
      </c>
      <c r="M141" s="230" t="str">
        <f>IF(Giocatori!C130=0,"",Giocatori!C130)</f>
        <v>SPAL</v>
      </c>
      <c r="N141" s="69" t="str">
        <f t="shared" si="27"/>
        <v/>
      </c>
      <c r="O141" t="str">
        <f t="shared" si="28"/>
        <v>COSTA F</v>
      </c>
      <c r="P141" s="7">
        <f t="shared" ca="1" si="36"/>
        <v>141</v>
      </c>
      <c r="Q141" s="7" t="str">
        <f t="shared" ca="1" si="29"/>
        <v>COSTA F</v>
      </c>
      <c r="Z141" s="256"/>
      <c r="AA141" s="219"/>
      <c r="AB141" s="293" t="str">
        <f t="shared" si="30"/>
        <v/>
      </c>
      <c r="AC141" s="294" t="str">
        <f t="shared" si="31"/>
        <v/>
      </c>
      <c r="AD141" s="219"/>
      <c r="AE141" s="219"/>
      <c r="AF141" s="293" t="str">
        <f>IF(AA141="","",VLOOKUP(AA141,Asta!$B:$H,7,FALSE))</f>
        <v/>
      </c>
      <c r="AG141" s="294" t="str">
        <f t="shared" si="32"/>
        <v/>
      </c>
      <c r="AH141" t="str">
        <f t="shared" si="33"/>
        <v/>
      </c>
      <c r="AI141" s="254" t="str">
        <f t="shared" ca="1" si="37"/>
        <v>122</v>
      </c>
      <c r="AJ141" s="254" t="str">
        <f t="shared" ca="1" si="38"/>
        <v>122</v>
      </c>
      <c r="AK141" s="351"/>
    </row>
    <row r="142" spans="1:37">
      <c r="A142" s="74">
        <v>123</v>
      </c>
      <c r="B142" s="252"/>
      <c r="C142" s="293" t="str">
        <f t="shared" si="39"/>
        <v/>
      </c>
      <c r="D142" s="294" t="str">
        <f t="shared" si="40"/>
        <v/>
      </c>
      <c r="E142" s="287"/>
      <c r="F142" s="293" t="str">
        <f t="shared" si="25"/>
        <v/>
      </c>
      <c r="G142" s="294" t="str">
        <f t="shared" si="26"/>
        <v/>
      </c>
      <c r="H142" s="290"/>
      <c r="I142" s="254" t="str">
        <f t="shared" ca="1" si="34"/>
        <v>1</v>
      </c>
      <c r="J142" s="254" t="str">
        <f t="shared" ca="1" si="35"/>
        <v>1</v>
      </c>
      <c r="K142" s="230" t="str">
        <f>IF(Giocatori!B131=0,"",Giocatori!B131)</f>
        <v>COTTICELLI</v>
      </c>
      <c r="L142" s="230" t="str">
        <f>IF(Giocatori!A131=0,"",Giocatori!A131)</f>
        <v>P</v>
      </c>
      <c r="M142" s="230" t="str">
        <f>IF(Giocatori!C131=0,"",Giocatori!C131)</f>
        <v>Benevento</v>
      </c>
      <c r="N142" s="69" t="str">
        <f t="shared" si="27"/>
        <v/>
      </c>
      <c r="O142" t="str">
        <f t="shared" si="28"/>
        <v>COTTICELLI</v>
      </c>
      <c r="P142" s="7">
        <f t="shared" ca="1" si="36"/>
        <v>142</v>
      </c>
      <c r="Q142" s="7" t="str">
        <f t="shared" ca="1" si="29"/>
        <v>COTTICELLI</v>
      </c>
      <c r="Z142" s="256"/>
      <c r="AA142" s="219"/>
      <c r="AB142" s="293" t="str">
        <f t="shared" si="30"/>
        <v/>
      </c>
      <c r="AC142" s="294" t="str">
        <f t="shared" si="31"/>
        <v/>
      </c>
      <c r="AD142" s="219"/>
      <c r="AE142" s="219"/>
      <c r="AF142" s="293" t="str">
        <f>IF(AA142="","",VLOOKUP(AA142,Asta!$B:$H,7,FALSE))</f>
        <v/>
      </c>
      <c r="AG142" s="294" t="str">
        <f t="shared" si="32"/>
        <v/>
      </c>
      <c r="AH142" t="str">
        <f t="shared" si="33"/>
        <v/>
      </c>
      <c r="AI142" s="254" t="str">
        <f t="shared" ca="1" si="37"/>
        <v>123</v>
      </c>
      <c r="AJ142" s="254" t="str">
        <f t="shared" ca="1" si="38"/>
        <v>123</v>
      </c>
      <c r="AK142" s="351"/>
    </row>
    <row r="143" spans="1:37">
      <c r="A143" s="74">
        <v>124</v>
      </c>
      <c r="B143" s="252"/>
      <c r="C143" s="293" t="str">
        <f t="shared" si="39"/>
        <v/>
      </c>
      <c r="D143" s="294" t="str">
        <f t="shared" si="40"/>
        <v/>
      </c>
      <c r="E143" s="287"/>
      <c r="F143" s="293" t="str">
        <f t="shared" si="25"/>
        <v/>
      </c>
      <c r="G143" s="294" t="str">
        <f t="shared" si="26"/>
        <v/>
      </c>
      <c r="H143" s="290"/>
      <c r="I143" s="254" t="str">
        <f t="shared" ca="1" si="34"/>
        <v>1</v>
      </c>
      <c r="J143" s="254" t="str">
        <f t="shared" ca="1" si="35"/>
        <v>1</v>
      </c>
      <c r="K143" s="230" t="str">
        <f>IF(Giocatori!B132=0,"",Giocatori!B132)</f>
        <v>CRAGNO</v>
      </c>
      <c r="L143" s="230" t="str">
        <f>IF(Giocatori!A132=0,"",Giocatori!A132)</f>
        <v>P</v>
      </c>
      <c r="M143" s="230" t="str">
        <f>IF(Giocatori!C132=0,"",Giocatori!C132)</f>
        <v>Cagliari</v>
      </c>
      <c r="N143" s="69" t="str">
        <f t="shared" si="27"/>
        <v/>
      </c>
      <c r="O143" t="str">
        <f t="shared" si="28"/>
        <v>CRAGNO</v>
      </c>
      <c r="P143" s="7">
        <f t="shared" ca="1" si="36"/>
        <v>143</v>
      </c>
      <c r="Q143" s="7" t="str">
        <f t="shared" ca="1" si="29"/>
        <v>CRAGNO</v>
      </c>
      <c r="Z143" s="256"/>
      <c r="AA143" s="219"/>
      <c r="AB143" s="293" t="str">
        <f t="shared" si="30"/>
        <v/>
      </c>
      <c r="AC143" s="294" t="str">
        <f t="shared" si="31"/>
        <v/>
      </c>
      <c r="AD143" s="219"/>
      <c r="AE143" s="219"/>
      <c r="AF143" s="293" t="str">
        <f>IF(AA143="","",VLOOKUP(AA143,Asta!$B:$H,7,FALSE))</f>
        <v/>
      </c>
      <c r="AG143" s="294" t="str">
        <f t="shared" si="32"/>
        <v/>
      </c>
      <c r="AH143" t="str">
        <f t="shared" si="33"/>
        <v/>
      </c>
      <c r="AI143" s="254" t="str">
        <f t="shared" ca="1" si="37"/>
        <v>124</v>
      </c>
      <c r="AJ143" s="254" t="str">
        <f t="shared" ca="1" si="38"/>
        <v>124</v>
      </c>
      <c r="AK143" s="351"/>
    </row>
    <row r="144" spans="1:37">
      <c r="A144" s="74">
        <v>125</v>
      </c>
      <c r="B144" s="252"/>
      <c r="C144" s="293" t="str">
        <f t="shared" si="39"/>
        <v/>
      </c>
      <c r="D144" s="294" t="str">
        <f t="shared" si="40"/>
        <v/>
      </c>
      <c r="E144" s="287"/>
      <c r="F144" s="293" t="str">
        <f t="shared" si="25"/>
        <v/>
      </c>
      <c r="G144" s="294" t="str">
        <f t="shared" si="26"/>
        <v/>
      </c>
      <c r="H144" s="290"/>
      <c r="I144" s="254" t="str">
        <f t="shared" ca="1" si="34"/>
        <v>1</v>
      </c>
      <c r="J144" s="254" t="str">
        <f t="shared" ca="1" si="35"/>
        <v>1</v>
      </c>
      <c r="K144" s="230" t="str">
        <f>IF(Giocatori!B133=0,"",Giocatori!B133)</f>
        <v>CRECCO</v>
      </c>
      <c r="L144" s="230" t="str">
        <f>IF(Giocatori!A133=0,"",Giocatori!A133)</f>
        <v>C</v>
      </c>
      <c r="M144" s="230" t="str">
        <f>IF(Giocatori!C133=0,"",Giocatori!C133)</f>
        <v>Lazio</v>
      </c>
      <c r="N144" s="69" t="str">
        <f t="shared" si="27"/>
        <v/>
      </c>
      <c r="O144" t="str">
        <f t="shared" si="28"/>
        <v>CRECCO</v>
      </c>
      <c r="P144" s="7">
        <f t="shared" ca="1" si="36"/>
        <v>144</v>
      </c>
      <c r="Q144" s="7" t="str">
        <f t="shared" ca="1" si="29"/>
        <v>CRECCO</v>
      </c>
      <c r="Z144" s="256"/>
      <c r="AA144" s="219"/>
      <c r="AB144" s="293" t="str">
        <f t="shared" si="30"/>
        <v/>
      </c>
      <c r="AC144" s="294" t="str">
        <f t="shared" si="31"/>
        <v/>
      </c>
      <c r="AD144" s="219"/>
      <c r="AE144" s="219"/>
      <c r="AF144" s="293" t="str">
        <f>IF(AA144="","",VLOOKUP(AA144,Asta!$B:$H,7,FALSE))</f>
        <v/>
      </c>
      <c r="AG144" s="294" t="str">
        <f t="shared" si="32"/>
        <v/>
      </c>
      <c r="AH144" t="str">
        <f t="shared" si="33"/>
        <v/>
      </c>
      <c r="AI144" s="254" t="str">
        <f t="shared" ca="1" si="37"/>
        <v>125</v>
      </c>
      <c r="AJ144" s="254" t="str">
        <f t="shared" ca="1" si="38"/>
        <v>125</v>
      </c>
      <c r="AK144" s="351"/>
    </row>
    <row r="145" spans="1:37">
      <c r="A145" s="74">
        <v>126</v>
      </c>
      <c r="B145" s="252"/>
      <c r="C145" s="293" t="str">
        <f t="shared" si="39"/>
        <v/>
      </c>
      <c r="D145" s="294" t="str">
        <f t="shared" si="40"/>
        <v/>
      </c>
      <c r="E145" s="287"/>
      <c r="F145" s="293" t="str">
        <f t="shared" si="25"/>
        <v/>
      </c>
      <c r="G145" s="294" t="str">
        <f t="shared" si="26"/>
        <v/>
      </c>
      <c r="H145" s="290"/>
      <c r="I145" s="254" t="str">
        <f t="shared" ca="1" si="34"/>
        <v>1</v>
      </c>
      <c r="J145" s="254" t="str">
        <f t="shared" ca="1" si="35"/>
        <v>1</v>
      </c>
      <c r="K145" s="230" t="str">
        <f>IF(Giocatori!B134=0,"",Giocatori!B134)</f>
        <v>CREMONESI</v>
      </c>
      <c r="L145" s="230" t="str">
        <f>IF(Giocatori!A134=0,"",Giocatori!A134)</f>
        <v>D</v>
      </c>
      <c r="M145" s="230" t="str">
        <f>IF(Giocatori!C134=0,"",Giocatori!C134)</f>
        <v>SPAL</v>
      </c>
      <c r="N145" s="69" t="str">
        <f t="shared" si="27"/>
        <v/>
      </c>
      <c r="O145" t="str">
        <f t="shared" si="28"/>
        <v>CREMONESI</v>
      </c>
      <c r="P145" s="7">
        <f t="shared" ca="1" si="36"/>
        <v>145</v>
      </c>
      <c r="Q145" s="7" t="str">
        <f t="shared" ca="1" si="29"/>
        <v>CREMONESI</v>
      </c>
      <c r="Z145" s="256"/>
      <c r="AA145" s="219"/>
      <c r="AB145" s="293" t="str">
        <f t="shared" si="30"/>
        <v/>
      </c>
      <c r="AC145" s="294" t="str">
        <f t="shared" si="31"/>
        <v/>
      </c>
      <c r="AD145" s="219"/>
      <c r="AE145" s="219"/>
      <c r="AF145" s="293" t="str">
        <f>IF(AA145="","",VLOOKUP(AA145,Asta!$B:$H,7,FALSE))</f>
        <v/>
      </c>
      <c r="AG145" s="294" t="str">
        <f t="shared" si="32"/>
        <v/>
      </c>
      <c r="AH145" t="str">
        <f t="shared" si="33"/>
        <v/>
      </c>
      <c r="AI145" s="254" t="str">
        <f t="shared" ca="1" si="37"/>
        <v>126</v>
      </c>
      <c r="AJ145" s="254" t="str">
        <f t="shared" ca="1" si="38"/>
        <v>126</v>
      </c>
      <c r="AK145" s="351"/>
    </row>
    <row r="146" spans="1:37">
      <c r="A146" s="74">
        <v>127</v>
      </c>
      <c r="B146" s="252"/>
      <c r="C146" s="293" t="str">
        <f t="shared" si="39"/>
        <v/>
      </c>
      <c r="D146" s="294" t="str">
        <f t="shared" si="40"/>
        <v/>
      </c>
      <c r="E146" s="287"/>
      <c r="F146" s="293" t="str">
        <f t="shared" si="25"/>
        <v/>
      </c>
      <c r="G146" s="294" t="str">
        <f t="shared" si="26"/>
        <v/>
      </c>
      <c r="H146" s="290"/>
      <c r="I146" s="254" t="str">
        <f t="shared" ca="1" si="34"/>
        <v>1</v>
      </c>
      <c r="J146" s="254" t="str">
        <f t="shared" ca="1" si="35"/>
        <v>1</v>
      </c>
      <c r="K146" s="230" t="str">
        <f>IF(Giocatori!B135=0,"",Giocatori!B135)</f>
        <v>CRISETIG</v>
      </c>
      <c r="L146" s="230" t="str">
        <f>IF(Giocatori!A135=0,"",Giocatori!A135)</f>
        <v>C</v>
      </c>
      <c r="M146" s="230" t="str">
        <f>IF(Giocatori!C135=0,"",Giocatori!C135)</f>
        <v>Bologna</v>
      </c>
      <c r="N146" s="69" t="str">
        <f t="shared" si="27"/>
        <v/>
      </c>
      <c r="O146" t="str">
        <f t="shared" si="28"/>
        <v>CRISETIG</v>
      </c>
      <c r="P146" s="7">
        <f t="shared" ca="1" si="36"/>
        <v>146</v>
      </c>
      <c r="Q146" s="7" t="str">
        <f t="shared" ca="1" si="29"/>
        <v>CRISETIG</v>
      </c>
      <c r="Z146" s="256"/>
      <c r="AA146" s="219"/>
      <c r="AB146" s="293" t="str">
        <f t="shared" si="30"/>
        <v/>
      </c>
      <c r="AC146" s="294" t="str">
        <f t="shared" si="31"/>
        <v/>
      </c>
      <c r="AD146" s="219"/>
      <c r="AE146" s="219"/>
      <c r="AF146" s="293" t="str">
        <f>IF(AA146="","",VLOOKUP(AA146,Asta!$B:$H,7,FALSE))</f>
        <v/>
      </c>
      <c r="AG146" s="294" t="str">
        <f t="shared" si="32"/>
        <v/>
      </c>
      <c r="AH146" t="str">
        <f t="shared" si="33"/>
        <v/>
      </c>
      <c r="AI146" s="254" t="str">
        <f t="shared" ca="1" si="37"/>
        <v>127</v>
      </c>
      <c r="AJ146" s="254" t="str">
        <f t="shared" ca="1" si="38"/>
        <v>127</v>
      </c>
      <c r="AK146" s="351"/>
    </row>
    <row r="147" spans="1:37">
      <c r="A147" s="74">
        <v>128</v>
      </c>
      <c r="B147" s="252"/>
      <c r="C147" s="293" t="str">
        <f t="shared" si="39"/>
        <v/>
      </c>
      <c r="D147" s="294" t="str">
        <f t="shared" si="40"/>
        <v/>
      </c>
      <c r="E147" s="287"/>
      <c r="F147" s="293" t="str">
        <f t="shared" si="25"/>
        <v/>
      </c>
      <c r="G147" s="294" t="str">
        <f t="shared" si="26"/>
        <v/>
      </c>
      <c r="H147" s="290"/>
      <c r="I147" s="254" t="str">
        <f t="shared" ca="1" si="34"/>
        <v>1</v>
      </c>
      <c r="J147" s="254" t="str">
        <f t="shared" ca="1" si="35"/>
        <v>1</v>
      </c>
      <c r="K147" s="230" t="str">
        <f>IF(Giocatori!B136=0,"",Giocatori!B136)</f>
        <v>CRISTANTE</v>
      </c>
      <c r="L147" s="230" t="str">
        <f>IF(Giocatori!A136=0,"",Giocatori!A136)</f>
        <v>C</v>
      </c>
      <c r="M147" s="230" t="str">
        <f>IF(Giocatori!C136=0,"",Giocatori!C136)</f>
        <v>Atalanta</v>
      </c>
      <c r="N147" s="69" t="str">
        <f t="shared" si="27"/>
        <v/>
      </c>
      <c r="O147" t="str">
        <f t="shared" si="28"/>
        <v>CRISTANTE</v>
      </c>
      <c r="P147" s="7">
        <f t="shared" ca="1" si="36"/>
        <v>147</v>
      </c>
      <c r="Q147" s="7" t="str">
        <f t="shared" ca="1" si="29"/>
        <v>CRISTANTE</v>
      </c>
      <c r="Z147" s="256"/>
      <c r="AA147" s="219"/>
      <c r="AB147" s="293" t="str">
        <f t="shared" si="30"/>
        <v/>
      </c>
      <c r="AC147" s="294" t="str">
        <f t="shared" si="31"/>
        <v/>
      </c>
      <c r="AD147" s="219"/>
      <c r="AE147" s="219"/>
      <c r="AF147" s="293" t="str">
        <f>IF(AA147="","",VLOOKUP(AA147,Asta!$B:$H,7,FALSE))</f>
        <v/>
      </c>
      <c r="AG147" s="294" t="str">
        <f t="shared" si="32"/>
        <v/>
      </c>
      <c r="AH147" t="str">
        <f t="shared" si="33"/>
        <v/>
      </c>
      <c r="AI147" s="254" t="str">
        <f t="shared" ca="1" si="37"/>
        <v>128</v>
      </c>
      <c r="AJ147" s="254" t="str">
        <f t="shared" ca="1" si="38"/>
        <v>128</v>
      </c>
      <c r="AK147" s="351"/>
    </row>
    <row r="148" spans="1:37">
      <c r="A148" s="74">
        <v>129</v>
      </c>
      <c r="B148" s="252"/>
      <c r="C148" s="293" t="str">
        <f t="shared" ref="C148:C163" si="41">IF(B148&lt;&gt;"",VLOOKUP(B148,$K:$M,2,FALSE),"")</f>
        <v/>
      </c>
      <c r="D148" s="294" t="str">
        <f t="shared" ref="D148:D163" si="42">IF(B148&lt;&gt;"",VLOOKUP(B148,$K:$M,3,FALSE),"")</f>
        <v/>
      </c>
      <c r="E148" s="287"/>
      <c r="F148" s="293" t="str">
        <f t="shared" ref="F148:F211" si="43">IF(B148="","",IF(ISNA(VLOOKUP(B148,$AA$20:$AE$807,5,FALSE)),"",VLOOKUP(B148,$AA$20:$AE$807,5,FALSE)))</f>
        <v/>
      </c>
      <c r="G148" s="294" t="str">
        <f t="shared" ref="G148:G211" si="44">IF(B148="","",IF(F148="",IF(E148="","",E148),F148))</f>
        <v/>
      </c>
      <c r="H148" s="290"/>
      <c r="I148" s="254" t="str">
        <f t="shared" ca="1" si="34"/>
        <v>1</v>
      </c>
      <c r="J148" s="254" t="str">
        <f t="shared" ca="1" si="35"/>
        <v>1</v>
      </c>
      <c r="K148" s="230" t="str">
        <f>IF(Giocatori!B137=0,"",Giocatori!B137)</f>
        <v>CRISTOFORO</v>
      </c>
      <c r="L148" s="230" t="str">
        <f>IF(Giocatori!A137=0,"",Giocatori!A137)</f>
        <v>C</v>
      </c>
      <c r="M148" s="230" t="str">
        <f>IF(Giocatori!C137=0,"",Giocatori!C137)</f>
        <v>Fiorentina</v>
      </c>
      <c r="N148" s="69" t="str">
        <f t="shared" ref="N148:N211" si="45">IF(B148=0,"",B148)</f>
        <v/>
      </c>
      <c r="O148" t="str">
        <f t="shared" ref="O148:O211" si="46">IF(ISNA(VLOOKUP(K148,$N$20:$N$720,1,FALSE)),K148,"")</f>
        <v>CRISTOFORO</v>
      </c>
      <c r="P148" s="7">
        <f t="shared" ca="1" si="36"/>
        <v>148</v>
      </c>
      <c r="Q148" s="7" t="str">
        <f t="shared" ref="Q148:Q211" ca="1" si="47">IF(ISERROR(INDEX($O$6:$O$720,MATCH(ROW(),$P$6:$P$720,FALSE))),"",INDEX($O$6:$O$720,MATCH(ROW(),$P$6:$P$720,FALSE)))</f>
        <v>CRISTOFORO</v>
      </c>
      <c r="Z148" s="256"/>
      <c r="AA148" s="219"/>
      <c r="AB148" s="293" t="str">
        <f t="shared" ref="AB148:AB211" si="48">IF(AA148&lt;&gt;"",VLOOKUP(AA148,$K:$M,2,FALSE),"")</f>
        <v/>
      </c>
      <c r="AC148" s="294" t="str">
        <f t="shared" ref="AC148:AC211" si="49">IF(AA148&lt;&gt;"",VLOOKUP(AA148,$K:$M,3,FALSE),"")</f>
        <v/>
      </c>
      <c r="AD148" s="219"/>
      <c r="AE148" s="219"/>
      <c r="AF148" s="293" t="str">
        <f>IF(AA148="","",VLOOKUP(AA148,Asta!$B:$H,7,FALSE))</f>
        <v/>
      </c>
      <c r="AG148" s="294" t="str">
        <f t="shared" ref="AG148:AG211" si="50">IF(AD148="","",IF(AD148=$Y$20,-AF148,IF(AD148=$Y$21,AF148)))</f>
        <v/>
      </c>
      <c r="AH148" t="str">
        <f t="shared" ref="AH148:AH211" si="51">IF(AG148="","",-AG148)</f>
        <v/>
      </c>
      <c r="AI148" s="254" t="str">
        <f t="shared" ca="1" si="37"/>
        <v>129</v>
      </c>
      <c r="AJ148" s="254" t="str">
        <f t="shared" ca="1" si="38"/>
        <v>129</v>
      </c>
      <c r="AK148" s="351"/>
    </row>
    <row r="149" spans="1:37">
      <c r="A149" s="74">
        <v>130</v>
      </c>
      <c r="B149" s="252"/>
      <c r="C149" s="293" t="str">
        <f t="shared" si="41"/>
        <v/>
      </c>
      <c r="D149" s="294" t="str">
        <f t="shared" si="42"/>
        <v/>
      </c>
      <c r="E149" s="287"/>
      <c r="F149" s="293" t="str">
        <f t="shared" si="43"/>
        <v/>
      </c>
      <c r="G149" s="294" t="str">
        <f t="shared" si="44"/>
        <v/>
      </c>
      <c r="H149" s="290"/>
      <c r="I149" s="254" t="str">
        <f t="shared" ref="I149:I212" ca="1" si="52">G149&amp;C149&amp;COUNTIFS(INDIRECT("$C$19:$C$" &amp; ROW()-1),"="&amp;C149,INDIRECT("$G$19:$G$" &amp; ROW()-1),"="&amp;G149)+1</f>
        <v>1</v>
      </c>
      <c r="J149" s="254" t="str">
        <f t="shared" ref="J149:J212" ca="1" si="53">G149&amp;COUNTIFS(INDIRECT("$G$19:$G$" &amp; ROW()-1),"="&amp;G149)+1</f>
        <v>1</v>
      </c>
      <c r="K149" s="230" t="str">
        <f>IF(Giocatori!B138=0,"",Giocatori!B138)</f>
        <v>CROCIATA</v>
      </c>
      <c r="L149" s="230" t="str">
        <f>IF(Giocatori!A138=0,"",Giocatori!A138)</f>
        <v>C</v>
      </c>
      <c r="M149" s="230" t="str">
        <f>IF(Giocatori!C138=0,"",Giocatori!C138)</f>
        <v>Crotone</v>
      </c>
      <c r="N149" s="69" t="str">
        <f t="shared" si="45"/>
        <v/>
      </c>
      <c r="O149" t="str">
        <f t="shared" si="46"/>
        <v>CROCIATA</v>
      </c>
      <c r="P149" s="7">
        <f t="shared" ref="P149:P212" ca="1" si="54">ROW()-COUNTBLANK(INDIRECT("$O$20:O"&amp;ROW()))</f>
        <v>149</v>
      </c>
      <c r="Q149" s="7" t="str">
        <f t="shared" ca="1" si="47"/>
        <v>CROCIATA</v>
      </c>
      <c r="Z149" s="256"/>
      <c r="AA149" s="219"/>
      <c r="AB149" s="293" t="str">
        <f t="shared" si="48"/>
        <v/>
      </c>
      <c r="AC149" s="294" t="str">
        <f t="shared" si="49"/>
        <v/>
      </c>
      <c r="AD149" s="219"/>
      <c r="AE149" s="219"/>
      <c r="AF149" s="293" t="str">
        <f>IF(AA149="","",VLOOKUP(AA149,Asta!$B:$H,7,FALSE))</f>
        <v/>
      </c>
      <c r="AG149" s="294" t="str">
        <f t="shared" si="50"/>
        <v/>
      </c>
      <c r="AH149" t="str">
        <f t="shared" si="51"/>
        <v/>
      </c>
      <c r="AI149" s="254" t="str">
        <f t="shared" ref="AI149:AI212" ca="1" si="55">Z149&amp;COUNTIFS(INDIRECT("$Z$20:$Z$" &amp; ROW()-1),"="&amp;Z149)+1</f>
        <v>130</v>
      </c>
      <c r="AJ149" s="254" t="str">
        <f t="shared" ref="AJ149:AJ212" ca="1" si="56">AE149&amp;COUNTIFS(INDIRECT("$AE$20:$AE$" &amp; ROW()-1),"="&amp;AE149)+1</f>
        <v>130</v>
      </c>
      <c r="AK149" s="351"/>
    </row>
    <row r="150" spans="1:37">
      <c r="A150" s="74">
        <v>131</v>
      </c>
      <c r="B150" s="252"/>
      <c r="C150" s="295" t="str">
        <f t="shared" si="41"/>
        <v/>
      </c>
      <c r="D150" s="296" t="str">
        <f t="shared" si="42"/>
        <v/>
      </c>
      <c r="E150" s="287"/>
      <c r="F150" s="295" t="str">
        <f t="shared" si="43"/>
        <v/>
      </c>
      <c r="G150" s="296" t="str">
        <f t="shared" si="44"/>
        <v/>
      </c>
      <c r="H150" s="290"/>
      <c r="I150" s="254" t="str">
        <f t="shared" ca="1" si="52"/>
        <v>1</v>
      </c>
      <c r="J150" s="254" t="str">
        <f t="shared" ca="1" si="53"/>
        <v>1</v>
      </c>
      <c r="K150" s="230" t="str">
        <f>IF(Giocatori!B139=0,"",Giocatori!B139)</f>
        <v>CROSTA</v>
      </c>
      <c r="L150" s="230" t="str">
        <f>IF(Giocatori!A139=0,"",Giocatori!A139)</f>
        <v>P</v>
      </c>
      <c r="M150" s="230" t="str">
        <f>IF(Giocatori!C139=0,"",Giocatori!C139)</f>
        <v>Cagliari</v>
      </c>
      <c r="N150" s="69" t="str">
        <f t="shared" si="45"/>
        <v/>
      </c>
      <c r="O150" t="str">
        <f t="shared" si="46"/>
        <v>CROSTA</v>
      </c>
      <c r="P150" s="7">
        <f t="shared" ca="1" si="54"/>
        <v>150</v>
      </c>
      <c r="Q150" s="7" t="str">
        <f t="shared" ca="1" si="47"/>
        <v>CROSTA</v>
      </c>
      <c r="Z150" s="256"/>
      <c r="AA150" s="219"/>
      <c r="AB150" s="295" t="str">
        <f t="shared" si="48"/>
        <v/>
      </c>
      <c r="AC150" s="296" t="str">
        <f t="shared" si="49"/>
        <v/>
      </c>
      <c r="AD150" s="219"/>
      <c r="AE150" s="219"/>
      <c r="AF150" s="295" t="str">
        <f>IF(AA150="","",VLOOKUP(AA150,Asta!$B:$H,7,FALSE))</f>
        <v/>
      </c>
      <c r="AG150" s="296" t="str">
        <f t="shared" si="50"/>
        <v/>
      </c>
      <c r="AH150" t="str">
        <f t="shared" si="51"/>
        <v/>
      </c>
      <c r="AI150" s="254" t="str">
        <f t="shared" ca="1" si="55"/>
        <v>131</v>
      </c>
      <c r="AJ150" s="254" t="str">
        <f t="shared" ca="1" si="56"/>
        <v>131</v>
      </c>
      <c r="AK150" s="351"/>
    </row>
    <row r="151" spans="1:37">
      <c r="A151" s="74">
        <v>132</v>
      </c>
      <c r="B151" s="252"/>
      <c r="C151" s="295" t="str">
        <f t="shared" si="41"/>
        <v/>
      </c>
      <c r="D151" s="296" t="str">
        <f t="shared" si="42"/>
        <v/>
      </c>
      <c r="E151" s="287"/>
      <c r="F151" s="295" t="str">
        <f t="shared" si="43"/>
        <v/>
      </c>
      <c r="G151" s="296" t="str">
        <f t="shared" si="44"/>
        <v/>
      </c>
      <c r="H151" s="290"/>
      <c r="I151" s="254" t="str">
        <f t="shared" ca="1" si="52"/>
        <v>1</v>
      </c>
      <c r="J151" s="254" t="str">
        <f t="shared" ca="1" si="53"/>
        <v>1</v>
      </c>
      <c r="K151" s="230" t="str">
        <f>IF(Giocatori!B140=0,"",Giocatori!B140)</f>
        <v>CUADRADO</v>
      </c>
      <c r="L151" s="230" t="str">
        <f>IF(Giocatori!A140=0,"",Giocatori!A140)</f>
        <v>C</v>
      </c>
      <c r="M151" s="230" t="str">
        <f>IF(Giocatori!C140=0,"",Giocatori!C140)</f>
        <v>Juventus</v>
      </c>
      <c r="N151" s="69" t="str">
        <f t="shared" si="45"/>
        <v/>
      </c>
      <c r="O151" t="str">
        <f t="shared" si="46"/>
        <v>CUADRADO</v>
      </c>
      <c r="P151" s="7">
        <f t="shared" ca="1" si="54"/>
        <v>151</v>
      </c>
      <c r="Q151" s="7" t="str">
        <f t="shared" ca="1" si="47"/>
        <v>CUADRADO</v>
      </c>
      <c r="Z151" s="256"/>
      <c r="AA151" s="219"/>
      <c r="AB151" s="295" t="str">
        <f t="shared" si="48"/>
        <v/>
      </c>
      <c r="AC151" s="296" t="str">
        <f t="shared" si="49"/>
        <v/>
      </c>
      <c r="AD151" s="219"/>
      <c r="AE151" s="219"/>
      <c r="AF151" s="295" t="str">
        <f>IF(AA151="","",VLOOKUP(AA151,Asta!$B:$H,7,FALSE))</f>
        <v/>
      </c>
      <c r="AG151" s="296" t="str">
        <f t="shared" si="50"/>
        <v/>
      </c>
      <c r="AH151" t="str">
        <f t="shared" si="51"/>
        <v/>
      </c>
      <c r="AI151" s="254" t="str">
        <f t="shared" ca="1" si="55"/>
        <v>132</v>
      </c>
      <c r="AJ151" s="254" t="str">
        <f t="shared" ca="1" si="56"/>
        <v>132</v>
      </c>
      <c r="AK151" s="351"/>
    </row>
    <row r="152" spans="1:37">
      <c r="A152" s="74">
        <v>133</v>
      </c>
      <c r="B152" s="252"/>
      <c r="C152" s="293" t="str">
        <f t="shared" si="41"/>
        <v/>
      </c>
      <c r="D152" s="294" t="str">
        <f t="shared" si="42"/>
        <v/>
      </c>
      <c r="E152" s="287"/>
      <c r="F152" s="293" t="str">
        <f t="shared" si="43"/>
        <v/>
      </c>
      <c r="G152" s="294" t="str">
        <f t="shared" si="44"/>
        <v/>
      </c>
      <c r="H152" s="290"/>
      <c r="I152" s="254" t="str">
        <f t="shared" ca="1" si="52"/>
        <v>1</v>
      </c>
      <c r="J152" s="254" t="str">
        <f t="shared" ca="1" si="53"/>
        <v>1</v>
      </c>
      <c r="K152" s="230" t="str">
        <f>IF(Giocatori!B141=0,"",Giocatori!B141)</f>
        <v>CUTRONE</v>
      </c>
      <c r="L152" s="230" t="str">
        <f>IF(Giocatori!A141=0,"",Giocatori!A141)</f>
        <v>A</v>
      </c>
      <c r="M152" s="230" t="str">
        <f>IF(Giocatori!C141=0,"",Giocatori!C141)</f>
        <v>Milan</v>
      </c>
      <c r="N152" s="69" t="str">
        <f t="shared" si="45"/>
        <v/>
      </c>
      <c r="O152" t="str">
        <f t="shared" si="46"/>
        <v>CUTRONE</v>
      </c>
      <c r="P152" s="7">
        <f t="shared" ca="1" si="54"/>
        <v>152</v>
      </c>
      <c r="Q152" s="7" t="str">
        <f t="shared" ca="1" si="47"/>
        <v>CUTRONE</v>
      </c>
      <c r="Z152" s="256"/>
      <c r="AA152" s="219"/>
      <c r="AB152" s="293" t="str">
        <f t="shared" si="48"/>
        <v/>
      </c>
      <c r="AC152" s="294" t="str">
        <f t="shared" si="49"/>
        <v/>
      </c>
      <c r="AD152" s="219"/>
      <c r="AE152" s="219"/>
      <c r="AF152" s="293" t="str">
        <f>IF(AA152="","",VLOOKUP(AA152,Asta!$B:$H,7,FALSE))</f>
        <v/>
      </c>
      <c r="AG152" s="294" t="str">
        <f t="shared" si="50"/>
        <v/>
      </c>
      <c r="AH152" t="str">
        <f t="shared" si="51"/>
        <v/>
      </c>
      <c r="AI152" s="254" t="str">
        <f t="shared" ca="1" si="55"/>
        <v>133</v>
      </c>
      <c r="AJ152" s="254" t="str">
        <f t="shared" ca="1" si="56"/>
        <v>133</v>
      </c>
      <c r="AK152" s="351"/>
    </row>
    <row r="153" spans="1:37">
      <c r="A153" s="74">
        <v>134</v>
      </c>
      <c r="B153" s="252"/>
      <c r="C153" s="293" t="str">
        <f t="shared" si="41"/>
        <v/>
      </c>
      <c r="D153" s="294" t="str">
        <f t="shared" si="42"/>
        <v/>
      </c>
      <c r="E153" s="287"/>
      <c r="F153" s="293" t="str">
        <f t="shared" si="43"/>
        <v/>
      </c>
      <c r="G153" s="294" t="str">
        <f t="shared" si="44"/>
        <v/>
      </c>
      <c r="H153" s="290"/>
      <c r="I153" s="254" t="str">
        <f t="shared" ca="1" si="52"/>
        <v>1</v>
      </c>
      <c r="J153" s="254" t="str">
        <f t="shared" ca="1" si="53"/>
        <v>1</v>
      </c>
      <c r="K153" s="230" t="str">
        <f>IF(Giocatori!B142=0,"",Giocatori!B142)</f>
        <v>DA COSTA</v>
      </c>
      <c r="L153" s="230" t="str">
        <f>IF(Giocatori!A142=0,"",Giocatori!A142)</f>
        <v>P</v>
      </c>
      <c r="M153" s="230" t="str">
        <f>IF(Giocatori!C142=0,"",Giocatori!C142)</f>
        <v>Bologna</v>
      </c>
      <c r="N153" s="69" t="str">
        <f t="shared" si="45"/>
        <v/>
      </c>
      <c r="O153" t="str">
        <f t="shared" si="46"/>
        <v>DA COSTA</v>
      </c>
      <c r="P153" s="7">
        <f t="shared" ca="1" si="54"/>
        <v>153</v>
      </c>
      <c r="Q153" s="7" t="str">
        <f t="shared" ca="1" si="47"/>
        <v>DA COSTA</v>
      </c>
      <c r="Z153" s="256"/>
      <c r="AA153" s="219"/>
      <c r="AB153" s="293" t="str">
        <f t="shared" si="48"/>
        <v/>
      </c>
      <c r="AC153" s="294" t="str">
        <f t="shared" si="49"/>
        <v/>
      </c>
      <c r="AD153" s="219"/>
      <c r="AE153" s="219"/>
      <c r="AF153" s="293" t="str">
        <f>IF(AA153="","",VLOOKUP(AA153,Asta!$B:$H,7,FALSE))</f>
        <v/>
      </c>
      <c r="AG153" s="294" t="str">
        <f t="shared" si="50"/>
        <v/>
      </c>
      <c r="AH153" t="str">
        <f t="shared" si="51"/>
        <v/>
      </c>
      <c r="AI153" s="254" t="str">
        <f t="shared" ca="1" si="55"/>
        <v>134</v>
      </c>
      <c r="AJ153" s="254" t="str">
        <f t="shared" ca="1" si="56"/>
        <v>134</v>
      </c>
      <c r="AK153" s="351"/>
    </row>
    <row r="154" spans="1:37">
      <c r="A154" s="74">
        <v>135</v>
      </c>
      <c r="B154" s="252"/>
      <c r="C154" s="293" t="str">
        <f t="shared" si="41"/>
        <v/>
      </c>
      <c r="D154" s="294" t="str">
        <f t="shared" si="42"/>
        <v/>
      </c>
      <c r="E154" s="287"/>
      <c r="F154" s="293" t="str">
        <f t="shared" si="43"/>
        <v/>
      </c>
      <c r="G154" s="294" t="str">
        <f t="shared" si="44"/>
        <v/>
      </c>
      <c r="H154" s="290"/>
      <c r="I154" s="254" t="str">
        <f t="shared" ca="1" si="52"/>
        <v>1</v>
      </c>
      <c r="J154" s="254" t="str">
        <f t="shared" ca="1" si="53"/>
        <v>1</v>
      </c>
      <c r="K154" s="230" t="str">
        <f>IF(Giocatori!B143=0,"",Giocatori!B143)</f>
        <v>DAINELLI</v>
      </c>
      <c r="L154" s="230" t="str">
        <f>IF(Giocatori!A143=0,"",Giocatori!A143)</f>
        <v>D</v>
      </c>
      <c r="M154" s="230" t="str">
        <f>IF(Giocatori!C143=0,"",Giocatori!C143)</f>
        <v>Chievo</v>
      </c>
      <c r="N154" s="69" t="str">
        <f t="shared" si="45"/>
        <v/>
      </c>
      <c r="O154" t="str">
        <f t="shared" si="46"/>
        <v>DAINELLI</v>
      </c>
      <c r="P154" s="7">
        <f t="shared" ca="1" si="54"/>
        <v>154</v>
      </c>
      <c r="Q154" s="7" t="str">
        <f t="shared" ca="1" si="47"/>
        <v>DAINELLI</v>
      </c>
      <c r="Z154" s="256"/>
      <c r="AA154" s="219"/>
      <c r="AB154" s="293" t="str">
        <f t="shared" si="48"/>
        <v/>
      </c>
      <c r="AC154" s="294" t="str">
        <f t="shared" si="49"/>
        <v/>
      </c>
      <c r="AD154" s="219"/>
      <c r="AE154" s="219"/>
      <c r="AF154" s="293" t="str">
        <f>IF(AA154="","",VLOOKUP(AA154,Asta!$B:$H,7,FALSE))</f>
        <v/>
      </c>
      <c r="AG154" s="294" t="str">
        <f t="shared" si="50"/>
        <v/>
      </c>
      <c r="AH154" t="str">
        <f t="shared" si="51"/>
        <v/>
      </c>
      <c r="AI154" s="254" t="str">
        <f t="shared" ca="1" si="55"/>
        <v>135</v>
      </c>
      <c r="AJ154" s="254" t="str">
        <f t="shared" ca="1" si="56"/>
        <v>135</v>
      </c>
      <c r="AK154" s="351"/>
    </row>
    <row r="155" spans="1:37">
      <c r="A155" s="74">
        <v>136</v>
      </c>
      <c r="B155" s="252"/>
      <c r="C155" s="293" t="str">
        <f t="shared" si="41"/>
        <v/>
      </c>
      <c r="D155" s="294" t="str">
        <f t="shared" si="42"/>
        <v/>
      </c>
      <c r="E155" s="287"/>
      <c r="F155" s="293" t="str">
        <f t="shared" si="43"/>
        <v/>
      </c>
      <c r="G155" s="294" t="str">
        <f t="shared" si="44"/>
        <v/>
      </c>
      <c r="H155" s="290"/>
      <c r="I155" s="254" t="str">
        <f t="shared" ca="1" si="52"/>
        <v>1</v>
      </c>
      <c r="J155" s="254" t="str">
        <f t="shared" ca="1" si="53"/>
        <v>1</v>
      </c>
      <c r="K155" s="230" t="str">
        <f>IF(Giocatori!B144=0,"",Giocatori!B144)</f>
        <v>DALBERT</v>
      </c>
      <c r="L155" s="230" t="str">
        <f>IF(Giocatori!A144=0,"",Giocatori!A144)</f>
        <v>D</v>
      </c>
      <c r="M155" s="230" t="str">
        <f>IF(Giocatori!C144=0,"",Giocatori!C144)</f>
        <v>Inter</v>
      </c>
      <c r="N155" s="69" t="str">
        <f t="shared" si="45"/>
        <v/>
      </c>
      <c r="O155" t="str">
        <f t="shared" si="46"/>
        <v>DALBERT</v>
      </c>
      <c r="P155" s="7">
        <f t="shared" ca="1" si="54"/>
        <v>155</v>
      </c>
      <c r="Q155" s="7" t="str">
        <f t="shared" ca="1" si="47"/>
        <v>DALBERT</v>
      </c>
      <c r="Z155" s="256"/>
      <c r="AA155" s="219"/>
      <c r="AB155" s="293" t="str">
        <f t="shared" si="48"/>
        <v/>
      </c>
      <c r="AC155" s="294" t="str">
        <f t="shared" si="49"/>
        <v/>
      </c>
      <c r="AD155" s="219"/>
      <c r="AE155" s="219"/>
      <c r="AF155" s="293" t="str">
        <f>IF(AA155="","",VLOOKUP(AA155,Asta!$B:$H,7,FALSE))</f>
        <v/>
      </c>
      <c r="AG155" s="294" t="str">
        <f t="shared" si="50"/>
        <v/>
      </c>
      <c r="AH155" t="str">
        <f t="shared" si="51"/>
        <v/>
      </c>
      <c r="AI155" s="254" t="str">
        <f t="shared" ca="1" si="55"/>
        <v>136</v>
      </c>
      <c r="AJ155" s="254" t="str">
        <f t="shared" ca="1" si="56"/>
        <v>136</v>
      </c>
      <c r="AK155" s="351"/>
    </row>
    <row r="156" spans="1:37">
      <c r="A156" s="74">
        <v>137</v>
      </c>
      <c r="B156" s="252"/>
      <c r="C156" s="293" t="str">
        <f t="shared" si="41"/>
        <v/>
      </c>
      <c r="D156" s="294" t="str">
        <f t="shared" si="42"/>
        <v/>
      </c>
      <c r="E156" s="287"/>
      <c r="F156" s="293" t="str">
        <f t="shared" si="43"/>
        <v/>
      </c>
      <c r="G156" s="294" t="str">
        <f t="shared" si="44"/>
        <v/>
      </c>
      <c r="H156" s="290"/>
      <c r="I156" s="254" t="str">
        <f t="shared" ca="1" si="52"/>
        <v>1</v>
      </c>
      <c r="J156" s="254" t="str">
        <f t="shared" ca="1" si="53"/>
        <v>1</v>
      </c>
      <c r="K156" s="230" t="str">
        <f>IF(Giocatori!B145=0,"",Giocatori!B145)</f>
        <v>D'ALESSANDRO</v>
      </c>
      <c r="L156" s="230" t="str">
        <f>IF(Giocatori!A145=0,"",Giocatori!A145)</f>
        <v>C</v>
      </c>
      <c r="M156" s="230" t="str">
        <f>IF(Giocatori!C145=0,"",Giocatori!C145)</f>
        <v>Benevento</v>
      </c>
      <c r="N156" s="69" t="str">
        <f t="shared" si="45"/>
        <v/>
      </c>
      <c r="O156" t="str">
        <f t="shared" si="46"/>
        <v>D'ALESSANDRO</v>
      </c>
      <c r="P156" s="7">
        <f t="shared" ca="1" si="54"/>
        <v>156</v>
      </c>
      <c r="Q156" s="7" t="str">
        <f t="shared" ca="1" si="47"/>
        <v>D'ALESSANDRO</v>
      </c>
      <c r="Z156" s="256"/>
      <c r="AA156" s="219"/>
      <c r="AB156" s="293" t="str">
        <f t="shared" si="48"/>
        <v/>
      </c>
      <c r="AC156" s="294" t="str">
        <f t="shared" si="49"/>
        <v/>
      </c>
      <c r="AD156" s="219"/>
      <c r="AE156" s="219"/>
      <c r="AF156" s="293" t="str">
        <f>IF(AA156="","",VLOOKUP(AA156,Asta!$B:$H,7,FALSE))</f>
        <v/>
      </c>
      <c r="AG156" s="294" t="str">
        <f t="shared" si="50"/>
        <v/>
      </c>
      <c r="AH156" t="str">
        <f t="shared" si="51"/>
        <v/>
      </c>
      <c r="AI156" s="254" t="str">
        <f t="shared" ca="1" si="55"/>
        <v>137</v>
      </c>
      <c r="AJ156" s="254" t="str">
        <f t="shared" ca="1" si="56"/>
        <v>137</v>
      </c>
      <c r="AK156" s="351"/>
    </row>
    <row r="157" spans="1:37">
      <c r="A157" s="74">
        <v>138</v>
      </c>
      <c r="B157" s="252"/>
      <c r="C157" s="293" t="str">
        <f t="shared" si="41"/>
        <v/>
      </c>
      <c r="D157" s="294" t="str">
        <f t="shared" si="42"/>
        <v/>
      </c>
      <c r="E157" s="287"/>
      <c r="F157" s="293" t="str">
        <f t="shared" si="43"/>
        <v/>
      </c>
      <c r="G157" s="294" t="str">
        <f t="shared" si="44"/>
        <v/>
      </c>
      <c r="H157" s="290"/>
      <c r="I157" s="254" t="str">
        <f t="shared" ca="1" si="52"/>
        <v>1</v>
      </c>
      <c r="J157" s="254" t="str">
        <f t="shared" ca="1" si="53"/>
        <v>1</v>
      </c>
      <c r="K157" s="230" t="str">
        <f>IF(Giocatori!B146=0,"",Giocatori!B146)</f>
        <v>D'AMBROSIO</v>
      </c>
      <c r="L157" s="230" t="str">
        <f>IF(Giocatori!A146=0,"",Giocatori!A146)</f>
        <v>D</v>
      </c>
      <c r="M157" s="230" t="str">
        <f>IF(Giocatori!C146=0,"",Giocatori!C146)</f>
        <v>Inter</v>
      </c>
      <c r="N157" s="69" t="str">
        <f t="shared" si="45"/>
        <v/>
      </c>
      <c r="O157" t="str">
        <f t="shared" si="46"/>
        <v>D'AMBROSIO</v>
      </c>
      <c r="P157" s="7">
        <f t="shared" ca="1" si="54"/>
        <v>157</v>
      </c>
      <c r="Q157" s="7" t="str">
        <f t="shared" ca="1" si="47"/>
        <v>D'AMBROSIO</v>
      </c>
      <c r="Z157" s="256"/>
      <c r="AA157" s="219"/>
      <c r="AB157" s="293" t="str">
        <f t="shared" si="48"/>
        <v/>
      </c>
      <c r="AC157" s="294" t="str">
        <f t="shared" si="49"/>
        <v/>
      </c>
      <c r="AD157" s="219"/>
      <c r="AE157" s="219"/>
      <c r="AF157" s="293" t="str">
        <f>IF(AA157="","",VLOOKUP(AA157,Asta!$B:$H,7,FALSE))</f>
        <v/>
      </c>
      <c r="AG157" s="294" t="str">
        <f t="shared" si="50"/>
        <v/>
      </c>
      <c r="AH157" t="str">
        <f t="shared" si="51"/>
        <v/>
      </c>
      <c r="AI157" s="254" t="str">
        <f t="shared" ca="1" si="55"/>
        <v>138</v>
      </c>
      <c r="AJ157" s="254" t="str">
        <f t="shared" ca="1" si="56"/>
        <v>138</v>
      </c>
      <c r="AK157" s="351"/>
    </row>
    <row r="158" spans="1:37">
      <c r="A158" s="74">
        <v>139</v>
      </c>
      <c r="B158" s="252"/>
      <c r="C158" s="293" t="str">
        <f t="shared" si="41"/>
        <v/>
      </c>
      <c r="D158" s="294" t="str">
        <f t="shared" si="42"/>
        <v/>
      </c>
      <c r="E158" s="287"/>
      <c r="F158" s="293" t="str">
        <f t="shared" si="43"/>
        <v/>
      </c>
      <c r="G158" s="294" t="str">
        <f t="shared" si="44"/>
        <v/>
      </c>
      <c r="H158" s="290"/>
      <c r="I158" s="254" t="str">
        <f t="shared" ca="1" si="52"/>
        <v>1</v>
      </c>
      <c r="J158" s="254" t="str">
        <f t="shared" ca="1" si="53"/>
        <v>1</v>
      </c>
      <c r="K158" s="230" t="str">
        <f>IF(Giocatori!B147=0,"",Giocatori!B147)</f>
        <v>DANILO</v>
      </c>
      <c r="L158" s="230" t="str">
        <f>IF(Giocatori!A147=0,"",Giocatori!A147)</f>
        <v>D</v>
      </c>
      <c r="M158" s="230" t="str">
        <f>IF(Giocatori!C147=0,"",Giocatori!C147)</f>
        <v>Udinese</v>
      </c>
      <c r="N158" s="69" t="str">
        <f t="shared" si="45"/>
        <v/>
      </c>
      <c r="O158" t="str">
        <f t="shared" si="46"/>
        <v>DANILO</v>
      </c>
      <c r="P158" s="7">
        <f t="shared" ca="1" si="54"/>
        <v>158</v>
      </c>
      <c r="Q158" s="7" t="str">
        <f t="shared" ca="1" si="47"/>
        <v>DANILO</v>
      </c>
      <c r="Z158" s="256"/>
      <c r="AA158" s="219"/>
      <c r="AB158" s="293" t="str">
        <f t="shared" si="48"/>
        <v/>
      </c>
      <c r="AC158" s="294" t="str">
        <f t="shared" si="49"/>
        <v/>
      </c>
      <c r="AD158" s="219"/>
      <c r="AE158" s="219"/>
      <c r="AF158" s="293" t="str">
        <f>IF(AA158="","",VLOOKUP(AA158,Asta!$B:$H,7,FALSE))</f>
        <v/>
      </c>
      <c r="AG158" s="294" t="str">
        <f t="shared" si="50"/>
        <v/>
      </c>
      <c r="AH158" t="str">
        <f t="shared" si="51"/>
        <v/>
      </c>
      <c r="AI158" s="254" t="str">
        <f t="shared" ca="1" si="55"/>
        <v>139</v>
      </c>
      <c r="AJ158" s="254" t="str">
        <f t="shared" ca="1" si="56"/>
        <v>139</v>
      </c>
      <c r="AK158" s="351"/>
    </row>
    <row r="159" spans="1:37">
      <c r="A159" s="74">
        <v>140</v>
      </c>
      <c r="B159" s="252"/>
      <c r="C159" s="293" t="str">
        <f t="shared" si="41"/>
        <v/>
      </c>
      <c r="D159" s="294" t="str">
        <f t="shared" si="42"/>
        <v/>
      </c>
      <c r="E159" s="287"/>
      <c r="F159" s="293" t="str">
        <f t="shared" si="43"/>
        <v/>
      </c>
      <c r="G159" s="294" t="str">
        <f t="shared" si="44"/>
        <v/>
      </c>
      <c r="H159" s="290"/>
      <c r="I159" s="254" t="str">
        <f t="shared" ca="1" si="52"/>
        <v>1</v>
      </c>
      <c r="J159" s="254" t="str">
        <f t="shared" ca="1" si="53"/>
        <v>1</v>
      </c>
      <c r="K159" s="230" t="str">
        <f>IF(Giocatori!B148=0,"",Giocatori!B148)</f>
        <v>DE MAIO</v>
      </c>
      <c r="L159" s="230" t="str">
        <f>IF(Giocatori!A148=0,"",Giocatori!A148)</f>
        <v>D</v>
      </c>
      <c r="M159" s="230" t="str">
        <f>IF(Giocatori!C148=0,"",Giocatori!C148)</f>
        <v>Bologna</v>
      </c>
      <c r="N159" s="69" t="str">
        <f t="shared" si="45"/>
        <v/>
      </c>
      <c r="O159" t="str">
        <f t="shared" si="46"/>
        <v>DE MAIO</v>
      </c>
      <c r="P159" s="7">
        <f t="shared" ca="1" si="54"/>
        <v>159</v>
      </c>
      <c r="Q159" s="7" t="str">
        <f t="shared" ca="1" si="47"/>
        <v>DE MAIO</v>
      </c>
      <c r="Z159" s="256"/>
      <c r="AA159" s="219"/>
      <c r="AB159" s="293" t="str">
        <f t="shared" si="48"/>
        <v/>
      </c>
      <c r="AC159" s="294" t="str">
        <f t="shared" si="49"/>
        <v/>
      </c>
      <c r="AD159" s="219"/>
      <c r="AE159" s="219"/>
      <c r="AF159" s="293" t="str">
        <f>IF(AA159="","",VLOOKUP(AA159,Asta!$B:$H,7,FALSE))</f>
        <v/>
      </c>
      <c r="AG159" s="294" t="str">
        <f t="shared" si="50"/>
        <v/>
      </c>
      <c r="AH159" t="str">
        <f t="shared" si="51"/>
        <v/>
      </c>
      <c r="AI159" s="254" t="str">
        <f t="shared" ca="1" si="55"/>
        <v>140</v>
      </c>
      <c r="AJ159" s="254" t="str">
        <f t="shared" ca="1" si="56"/>
        <v>140</v>
      </c>
      <c r="AK159" s="351"/>
    </row>
    <row r="160" spans="1:37">
      <c r="A160" s="74">
        <v>141</v>
      </c>
      <c r="B160" s="252"/>
      <c r="C160" s="293" t="str">
        <f t="shared" si="41"/>
        <v/>
      </c>
      <c r="D160" s="294" t="str">
        <f t="shared" si="42"/>
        <v/>
      </c>
      <c r="E160" s="287"/>
      <c r="F160" s="293" t="str">
        <f t="shared" si="43"/>
        <v/>
      </c>
      <c r="G160" s="294" t="str">
        <f t="shared" si="44"/>
        <v/>
      </c>
      <c r="H160" s="290"/>
      <c r="I160" s="254" t="str">
        <f t="shared" ca="1" si="52"/>
        <v>1</v>
      </c>
      <c r="J160" s="254" t="str">
        <f t="shared" ca="1" si="53"/>
        <v>1</v>
      </c>
      <c r="K160" s="230" t="str">
        <f>IF(Giocatori!B149=0,"",Giocatori!B149)</f>
        <v>DE PAUL</v>
      </c>
      <c r="L160" s="230" t="str">
        <f>IF(Giocatori!A149=0,"",Giocatori!A149)</f>
        <v>C</v>
      </c>
      <c r="M160" s="230" t="str">
        <f>IF(Giocatori!C149=0,"",Giocatori!C149)</f>
        <v>Udinese</v>
      </c>
      <c r="N160" s="69" t="str">
        <f t="shared" si="45"/>
        <v/>
      </c>
      <c r="O160" t="str">
        <f t="shared" si="46"/>
        <v>DE PAUL</v>
      </c>
      <c r="P160" s="7">
        <f t="shared" ca="1" si="54"/>
        <v>160</v>
      </c>
      <c r="Q160" s="7" t="str">
        <f t="shared" ca="1" si="47"/>
        <v>DE PAUL</v>
      </c>
      <c r="Z160" s="256"/>
      <c r="AA160" s="219"/>
      <c r="AB160" s="293" t="str">
        <f t="shared" si="48"/>
        <v/>
      </c>
      <c r="AC160" s="294" t="str">
        <f t="shared" si="49"/>
        <v/>
      </c>
      <c r="AD160" s="219"/>
      <c r="AE160" s="219"/>
      <c r="AF160" s="293" t="str">
        <f>IF(AA160="","",VLOOKUP(AA160,Asta!$B:$H,7,FALSE))</f>
        <v/>
      </c>
      <c r="AG160" s="294" t="str">
        <f t="shared" si="50"/>
        <v/>
      </c>
      <c r="AH160" t="str">
        <f t="shared" si="51"/>
        <v/>
      </c>
      <c r="AI160" s="254" t="str">
        <f t="shared" ca="1" si="55"/>
        <v>141</v>
      </c>
      <c r="AJ160" s="254" t="str">
        <f t="shared" ca="1" si="56"/>
        <v>141</v>
      </c>
      <c r="AK160" s="351"/>
    </row>
    <row r="161" spans="1:37">
      <c r="A161" s="74">
        <v>142</v>
      </c>
      <c r="B161" s="252"/>
      <c r="C161" s="293" t="str">
        <f t="shared" si="41"/>
        <v/>
      </c>
      <c r="D161" s="294" t="str">
        <f t="shared" si="42"/>
        <v/>
      </c>
      <c r="E161" s="287"/>
      <c r="F161" s="293" t="str">
        <f t="shared" si="43"/>
        <v/>
      </c>
      <c r="G161" s="294" t="str">
        <f t="shared" si="44"/>
        <v/>
      </c>
      <c r="H161" s="290"/>
      <c r="I161" s="254" t="str">
        <f t="shared" ca="1" si="52"/>
        <v>1</v>
      </c>
      <c r="J161" s="254" t="str">
        <f t="shared" ca="1" si="53"/>
        <v>1</v>
      </c>
      <c r="K161" s="230" t="str">
        <f>IF(Giocatori!B150=0,"",Giocatori!B150)</f>
        <v>DE ROON</v>
      </c>
      <c r="L161" s="230" t="str">
        <f>IF(Giocatori!A150=0,"",Giocatori!A150)</f>
        <v>C</v>
      </c>
      <c r="M161" s="230" t="str">
        <f>IF(Giocatori!C150=0,"",Giocatori!C150)</f>
        <v>Atalanta</v>
      </c>
      <c r="N161" s="69" t="str">
        <f t="shared" si="45"/>
        <v/>
      </c>
      <c r="O161" t="str">
        <f t="shared" si="46"/>
        <v>DE ROON</v>
      </c>
      <c r="P161" s="7">
        <f t="shared" ca="1" si="54"/>
        <v>161</v>
      </c>
      <c r="Q161" s="7" t="str">
        <f t="shared" ca="1" si="47"/>
        <v>DE ROON</v>
      </c>
      <c r="Z161" s="256"/>
      <c r="AA161" s="219"/>
      <c r="AB161" s="293" t="str">
        <f t="shared" si="48"/>
        <v/>
      </c>
      <c r="AC161" s="294" t="str">
        <f t="shared" si="49"/>
        <v/>
      </c>
      <c r="AD161" s="219"/>
      <c r="AE161" s="219"/>
      <c r="AF161" s="293" t="str">
        <f>IF(AA161="","",VLOOKUP(AA161,Asta!$B:$H,7,FALSE))</f>
        <v/>
      </c>
      <c r="AG161" s="294" t="str">
        <f t="shared" si="50"/>
        <v/>
      </c>
      <c r="AH161" t="str">
        <f t="shared" si="51"/>
        <v/>
      </c>
      <c r="AI161" s="254" t="str">
        <f t="shared" ca="1" si="55"/>
        <v>142</v>
      </c>
      <c r="AJ161" s="254" t="str">
        <f t="shared" ca="1" si="56"/>
        <v>142</v>
      </c>
      <c r="AK161" s="351"/>
    </row>
    <row r="162" spans="1:37">
      <c r="A162" s="74">
        <v>143</v>
      </c>
      <c r="B162" s="252"/>
      <c r="C162" s="293" t="str">
        <f t="shared" si="41"/>
        <v/>
      </c>
      <c r="D162" s="294" t="str">
        <f t="shared" si="42"/>
        <v/>
      </c>
      <c r="E162" s="287"/>
      <c r="F162" s="293" t="str">
        <f t="shared" si="43"/>
        <v/>
      </c>
      <c r="G162" s="294" t="str">
        <f t="shared" si="44"/>
        <v/>
      </c>
      <c r="H162" s="290"/>
      <c r="I162" s="254" t="str">
        <f t="shared" ca="1" si="52"/>
        <v>1</v>
      </c>
      <c r="J162" s="254" t="str">
        <f t="shared" ca="1" si="53"/>
        <v>1</v>
      </c>
      <c r="K162" s="230" t="str">
        <f>IF(Giocatori!B151=0,"",Giocatori!B151)</f>
        <v>DE ROSSI</v>
      </c>
      <c r="L162" s="230" t="str">
        <f>IF(Giocatori!A151=0,"",Giocatori!A151)</f>
        <v>C</v>
      </c>
      <c r="M162" s="230" t="str">
        <f>IF(Giocatori!C151=0,"",Giocatori!C151)</f>
        <v>Roma</v>
      </c>
      <c r="N162" s="69" t="str">
        <f t="shared" si="45"/>
        <v/>
      </c>
      <c r="O162" t="str">
        <f t="shared" si="46"/>
        <v>DE ROSSI</v>
      </c>
      <c r="P162" s="7">
        <f t="shared" ca="1" si="54"/>
        <v>162</v>
      </c>
      <c r="Q162" s="7" t="str">
        <f t="shared" ca="1" si="47"/>
        <v>DE ROSSI</v>
      </c>
      <c r="Z162" s="256"/>
      <c r="AA162" s="219"/>
      <c r="AB162" s="293" t="str">
        <f t="shared" si="48"/>
        <v/>
      </c>
      <c r="AC162" s="294" t="str">
        <f t="shared" si="49"/>
        <v/>
      </c>
      <c r="AD162" s="219"/>
      <c r="AE162" s="219"/>
      <c r="AF162" s="293" t="str">
        <f>IF(AA162="","",VLOOKUP(AA162,Asta!$B:$H,7,FALSE))</f>
        <v/>
      </c>
      <c r="AG162" s="294" t="str">
        <f t="shared" si="50"/>
        <v/>
      </c>
      <c r="AH162" t="str">
        <f t="shared" si="51"/>
        <v/>
      </c>
      <c r="AI162" s="254" t="str">
        <f t="shared" ca="1" si="55"/>
        <v>143</v>
      </c>
      <c r="AJ162" s="254" t="str">
        <f t="shared" ca="1" si="56"/>
        <v>143</v>
      </c>
      <c r="AK162" s="351"/>
    </row>
    <row r="163" spans="1:37">
      <c r="A163" s="74">
        <v>144</v>
      </c>
      <c r="B163" s="252"/>
      <c r="C163" s="293" t="str">
        <f t="shared" si="41"/>
        <v/>
      </c>
      <c r="D163" s="294" t="str">
        <f t="shared" si="42"/>
        <v/>
      </c>
      <c r="E163" s="287"/>
      <c r="F163" s="293" t="str">
        <f t="shared" si="43"/>
        <v/>
      </c>
      <c r="G163" s="294" t="str">
        <f t="shared" si="44"/>
        <v/>
      </c>
      <c r="H163" s="290"/>
      <c r="I163" s="254" t="str">
        <f t="shared" ca="1" si="52"/>
        <v>1</v>
      </c>
      <c r="J163" s="254" t="str">
        <f t="shared" ca="1" si="53"/>
        <v>1</v>
      </c>
      <c r="K163" s="230" t="str">
        <f>IF(Giocatori!B152=0,"",Giocatori!B152)</f>
        <v>DE SCIGLIO</v>
      </c>
      <c r="L163" s="230" t="str">
        <f>IF(Giocatori!A152=0,"",Giocatori!A152)</f>
        <v>D</v>
      </c>
      <c r="M163" s="230" t="str">
        <f>IF(Giocatori!C152=0,"",Giocatori!C152)</f>
        <v>Juventus</v>
      </c>
      <c r="N163" s="69" t="str">
        <f t="shared" si="45"/>
        <v/>
      </c>
      <c r="O163" t="str">
        <f t="shared" si="46"/>
        <v>DE SCIGLIO</v>
      </c>
      <c r="P163" s="7">
        <f t="shared" ca="1" si="54"/>
        <v>163</v>
      </c>
      <c r="Q163" s="7" t="str">
        <f t="shared" ca="1" si="47"/>
        <v>DE SCIGLIO</v>
      </c>
      <c r="Z163" s="256"/>
      <c r="AA163" s="219"/>
      <c r="AB163" s="293" t="str">
        <f t="shared" si="48"/>
        <v/>
      </c>
      <c r="AC163" s="294" t="str">
        <f t="shared" si="49"/>
        <v/>
      </c>
      <c r="AD163" s="219"/>
      <c r="AE163" s="219"/>
      <c r="AF163" s="293" t="str">
        <f>IF(AA163="","",VLOOKUP(AA163,Asta!$B:$H,7,FALSE))</f>
        <v/>
      </c>
      <c r="AG163" s="294" t="str">
        <f t="shared" si="50"/>
        <v/>
      </c>
      <c r="AH163" t="str">
        <f t="shared" si="51"/>
        <v/>
      </c>
      <c r="AI163" s="254" t="str">
        <f t="shared" ca="1" si="55"/>
        <v>144</v>
      </c>
      <c r="AJ163" s="254" t="str">
        <f t="shared" ca="1" si="56"/>
        <v>144</v>
      </c>
      <c r="AK163" s="351"/>
    </row>
    <row r="164" spans="1:37">
      <c r="A164" s="74">
        <v>145</v>
      </c>
      <c r="B164" s="252"/>
      <c r="C164" s="293" t="str">
        <f t="shared" ref="C164" si="57">IF(B164&lt;&gt;"",VLOOKUP(B164,$K:$M,2,FALSE),"")</f>
        <v/>
      </c>
      <c r="D164" s="294" t="str">
        <f t="shared" ref="D164" si="58">IF(B164&lt;&gt;"",VLOOKUP(B164,$K:$M,3,FALSE),"")</f>
        <v/>
      </c>
      <c r="E164" s="287"/>
      <c r="F164" s="293" t="str">
        <f t="shared" si="43"/>
        <v/>
      </c>
      <c r="G164" s="294" t="str">
        <f t="shared" si="44"/>
        <v/>
      </c>
      <c r="H164" s="290"/>
      <c r="I164" s="254" t="str">
        <f t="shared" ca="1" si="52"/>
        <v>1</v>
      </c>
      <c r="J164" s="254" t="str">
        <f t="shared" ca="1" si="53"/>
        <v>1</v>
      </c>
      <c r="K164" s="230" t="str">
        <f>IF(Giocatori!B153=0,"",Giocatori!B153)</f>
        <v>DE SILVESTRI</v>
      </c>
      <c r="L164" s="230" t="str">
        <f>IF(Giocatori!A153=0,"",Giocatori!A153)</f>
        <v>D</v>
      </c>
      <c r="M164" s="230" t="str">
        <f>IF(Giocatori!C153=0,"",Giocatori!C153)</f>
        <v>Torino</v>
      </c>
      <c r="N164" s="69" t="str">
        <f t="shared" si="45"/>
        <v/>
      </c>
      <c r="O164" t="str">
        <f t="shared" si="46"/>
        <v>DE SILVESTRI</v>
      </c>
      <c r="P164" s="7">
        <f t="shared" ca="1" si="54"/>
        <v>164</v>
      </c>
      <c r="Q164" s="7" t="str">
        <f t="shared" ca="1" si="47"/>
        <v>DE SILVESTRI</v>
      </c>
      <c r="Z164" s="256"/>
      <c r="AA164" s="219"/>
      <c r="AB164" s="293" t="str">
        <f t="shared" si="48"/>
        <v/>
      </c>
      <c r="AC164" s="294" t="str">
        <f t="shared" si="49"/>
        <v/>
      </c>
      <c r="AD164" s="219"/>
      <c r="AE164" s="219"/>
      <c r="AF164" s="293" t="str">
        <f>IF(AA164="","",VLOOKUP(AA164,Asta!$B:$H,7,FALSE))</f>
        <v/>
      </c>
      <c r="AG164" s="294" t="str">
        <f t="shared" si="50"/>
        <v/>
      </c>
      <c r="AH164" t="str">
        <f t="shared" si="51"/>
        <v/>
      </c>
      <c r="AI164" s="254" t="str">
        <f t="shared" ca="1" si="55"/>
        <v>145</v>
      </c>
      <c r="AJ164" s="254" t="str">
        <f t="shared" ca="1" si="56"/>
        <v>145</v>
      </c>
      <c r="AK164" s="351"/>
    </row>
    <row r="165" spans="1:37">
      <c r="A165" s="74">
        <v>146</v>
      </c>
      <c r="B165" s="252"/>
      <c r="C165" s="293" t="str">
        <f t="shared" ref="C165:C228" si="59">IF(B165&lt;&gt;"",VLOOKUP(B165,$K:$M,2,FALSE),"")</f>
        <v/>
      </c>
      <c r="D165" s="294" t="str">
        <f t="shared" ref="D165:D228" si="60">IF(B165&lt;&gt;"",VLOOKUP(B165,$K:$M,3,FALSE),"")</f>
        <v/>
      </c>
      <c r="E165" s="287"/>
      <c r="F165" s="293" t="str">
        <f t="shared" si="43"/>
        <v/>
      </c>
      <c r="G165" s="294" t="str">
        <f t="shared" si="44"/>
        <v/>
      </c>
      <c r="H165" s="290"/>
      <c r="I165" s="254" t="str">
        <f t="shared" ca="1" si="52"/>
        <v>1</v>
      </c>
      <c r="J165" s="254" t="str">
        <f t="shared" ca="1" si="53"/>
        <v>1</v>
      </c>
      <c r="K165" s="230" t="str">
        <f>IF(Giocatori!B154=0,"",Giocatori!B154)</f>
        <v>DE VRIJ</v>
      </c>
      <c r="L165" s="230" t="str">
        <f>IF(Giocatori!A154=0,"",Giocatori!A154)</f>
        <v>D</v>
      </c>
      <c r="M165" s="230" t="str">
        <f>IF(Giocatori!C154=0,"",Giocatori!C154)</f>
        <v>Lazio</v>
      </c>
      <c r="N165" s="69" t="str">
        <f t="shared" si="45"/>
        <v/>
      </c>
      <c r="O165" t="str">
        <f t="shared" si="46"/>
        <v>DE VRIJ</v>
      </c>
      <c r="P165" s="7">
        <f t="shared" ca="1" si="54"/>
        <v>165</v>
      </c>
      <c r="Q165" s="7" t="str">
        <f t="shared" ca="1" si="47"/>
        <v>DE VRIJ</v>
      </c>
      <c r="Z165" s="256"/>
      <c r="AA165" s="219"/>
      <c r="AB165" s="293" t="str">
        <f t="shared" si="48"/>
        <v/>
      </c>
      <c r="AC165" s="294" t="str">
        <f t="shared" si="49"/>
        <v/>
      </c>
      <c r="AD165" s="219"/>
      <c r="AE165" s="219"/>
      <c r="AF165" s="293" t="str">
        <f>IF(AA165="","",VLOOKUP(AA165,Asta!$B:$H,7,FALSE))</f>
        <v/>
      </c>
      <c r="AG165" s="294" t="str">
        <f t="shared" si="50"/>
        <v/>
      </c>
      <c r="AH165" t="str">
        <f t="shared" si="51"/>
        <v/>
      </c>
      <c r="AI165" s="254" t="str">
        <f t="shared" ca="1" si="55"/>
        <v>146</v>
      </c>
      <c r="AJ165" s="254" t="str">
        <f t="shared" ca="1" si="56"/>
        <v>146</v>
      </c>
      <c r="AK165" s="351"/>
    </row>
    <row r="166" spans="1:37">
      <c r="A166" s="74">
        <v>147</v>
      </c>
      <c r="B166" s="252"/>
      <c r="C166" s="293" t="str">
        <f t="shared" si="59"/>
        <v/>
      </c>
      <c r="D166" s="294" t="str">
        <f t="shared" si="60"/>
        <v/>
      </c>
      <c r="E166" s="287"/>
      <c r="F166" s="293" t="str">
        <f t="shared" si="43"/>
        <v/>
      </c>
      <c r="G166" s="294" t="str">
        <f t="shared" si="44"/>
        <v/>
      </c>
      <c r="H166" s="290"/>
      <c r="I166" s="254" t="str">
        <f t="shared" ca="1" si="52"/>
        <v>1</v>
      </c>
      <c r="J166" s="254" t="str">
        <f t="shared" ca="1" si="53"/>
        <v>1</v>
      </c>
      <c r="K166" s="230" t="str">
        <f>IF(Giocatori!B155=0,"",Giocatori!B155)</f>
        <v>DEFREL</v>
      </c>
      <c r="L166" s="230" t="str">
        <f>IF(Giocatori!A155=0,"",Giocatori!A155)</f>
        <v>A</v>
      </c>
      <c r="M166" s="230" t="str">
        <f>IF(Giocatori!C155=0,"",Giocatori!C155)</f>
        <v>Roma</v>
      </c>
      <c r="N166" s="69" t="str">
        <f t="shared" si="45"/>
        <v/>
      </c>
      <c r="O166" t="str">
        <f t="shared" si="46"/>
        <v>DEFREL</v>
      </c>
      <c r="P166" s="7">
        <f t="shared" ca="1" si="54"/>
        <v>166</v>
      </c>
      <c r="Q166" s="7" t="str">
        <f t="shared" ca="1" si="47"/>
        <v>DEFREL</v>
      </c>
      <c r="Z166" s="256"/>
      <c r="AA166" s="219"/>
      <c r="AB166" s="293" t="str">
        <f t="shared" si="48"/>
        <v/>
      </c>
      <c r="AC166" s="294" t="str">
        <f t="shared" si="49"/>
        <v/>
      </c>
      <c r="AD166" s="219"/>
      <c r="AE166" s="219"/>
      <c r="AF166" s="293" t="str">
        <f>IF(AA166="","",VLOOKUP(AA166,Asta!$B:$H,7,FALSE))</f>
        <v/>
      </c>
      <c r="AG166" s="294" t="str">
        <f t="shared" si="50"/>
        <v/>
      </c>
      <c r="AH166" t="str">
        <f t="shared" si="51"/>
        <v/>
      </c>
      <c r="AI166" s="254" t="str">
        <f t="shared" ca="1" si="55"/>
        <v>147</v>
      </c>
      <c r="AJ166" s="254" t="str">
        <f t="shared" ca="1" si="56"/>
        <v>147</v>
      </c>
      <c r="AK166" s="351"/>
    </row>
    <row r="167" spans="1:37">
      <c r="A167" s="74">
        <v>148</v>
      </c>
      <c r="B167" s="252"/>
      <c r="C167" s="293" t="str">
        <f t="shared" si="59"/>
        <v/>
      </c>
      <c r="D167" s="294" t="str">
        <f t="shared" si="60"/>
        <v/>
      </c>
      <c r="E167" s="287"/>
      <c r="F167" s="293" t="str">
        <f t="shared" si="43"/>
        <v/>
      </c>
      <c r="G167" s="294" t="str">
        <f t="shared" si="44"/>
        <v/>
      </c>
      <c r="H167" s="290"/>
      <c r="I167" s="254" t="str">
        <f t="shared" ca="1" si="52"/>
        <v>1</v>
      </c>
      <c r="J167" s="254" t="str">
        <f t="shared" ca="1" si="53"/>
        <v>1</v>
      </c>
      <c r="K167" s="230" t="str">
        <f>IF(Giocatori!B156=0,"",Giocatori!B156)</f>
        <v>DEIOLA</v>
      </c>
      <c r="L167" s="230" t="str">
        <f>IF(Giocatori!A156=0,"",Giocatori!A156)</f>
        <v>C</v>
      </c>
      <c r="M167" s="230" t="str">
        <f>IF(Giocatori!C156=0,"",Giocatori!C156)</f>
        <v>Cagliari</v>
      </c>
      <c r="N167" s="69" t="str">
        <f t="shared" si="45"/>
        <v/>
      </c>
      <c r="O167" t="str">
        <f t="shared" si="46"/>
        <v>DEIOLA</v>
      </c>
      <c r="P167" s="7">
        <f t="shared" ca="1" si="54"/>
        <v>167</v>
      </c>
      <c r="Q167" s="7" t="str">
        <f t="shared" ca="1" si="47"/>
        <v>DEIOLA</v>
      </c>
      <c r="Z167" s="256"/>
      <c r="AA167" s="219"/>
      <c r="AB167" s="293" t="str">
        <f t="shared" si="48"/>
        <v/>
      </c>
      <c r="AC167" s="294" t="str">
        <f t="shared" si="49"/>
        <v/>
      </c>
      <c r="AD167" s="219"/>
      <c r="AE167" s="219"/>
      <c r="AF167" s="293" t="str">
        <f>IF(AA167="","",VLOOKUP(AA167,Asta!$B:$H,7,FALSE))</f>
        <v/>
      </c>
      <c r="AG167" s="294" t="str">
        <f t="shared" si="50"/>
        <v/>
      </c>
      <c r="AH167" t="str">
        <f t="shared" si="51"/>
        <v/>
      </c>
      <c r="AI167" s="254" t="str">
        <f t="shared" ca="1" si="55"/>
        <v>148</v>
      </c>
      <c r="AJ167" s="254" t="str">
        <f t="shared" ca="1" si="56"/>
        <v>148</v>
      </c>
      <c r="AK167" s="351"/>
    </row>
    <row r="168" spans="1:37">
      <c r="A168" s="74">
        <v>149</v>
      </c>
      <c r="B168" s="252"/>
      <c r="C168" s="293" t="str">
        <f t="shared" si="59"/>
        <v/>
      </c>
      <c r="D168" s="294" t="str">
        <f t="shared" si="60"/>
        <v/>
      </c>
      <c r="E168" s="287"/>
      <c r="F168" s="293" t="str">
        <f t="shared" si="43"/>
        <v/>
      </c>
      <c r="G168" s="294" t="str">
        <f t="shared" si="44"/>
        <v/>
      </c>
      <c r="H168" s="290"/>
      <c r="I168" s="254" t="str">
        <f t="shared" ca="1" si="52"/>
        <v>1</v>
      </c>
      <c r="J168" s="254" t="str">
        <f t="shared" ca="1" si="53"/>
        <v>1</v>
      </c>
      <c r="K168" s="230" t="str">
        <f>IF(Giocatori!B157=0,"",Giocatori!B157)</f>
        <v>DEL PINTO</v>
      </c>
      <c r="L168" s="230" t="str">
        <f>IF(Giocatori!A157=0,"",Giocatori!A157)</f>
        <v>C</v>
      </c>
      <c r="M168" s="230" t="str">
        <f>IF(Giocatori!C157=0,"",Giocatori!C157)</f>
        <v>Benevento</v>
      </c>
      <c r="N168" s="69" t="str">
        <f t="shared" si="45"/>
        <v/>
      </c>
      <c r="O168" t="str">
        <f t="shared" si="46"/>
        <v>DEL PINTO</v>
      </c>
      <c r="P168" s="7">
        <f t="shared" ca="1" si="54"/>
        <v>168</v>
      </c>
      <c r="Q168" s="7" t="str">
        <f t="shared" ca="1" si="47"/>
        <v>DEL PINTO</v>
      </c>
      <c r="Z168" s="256"/>
      <c r="AA168" s="219"/>
      <c r="AB168" s="293" t="str">
        <f t="shared" si="48"/>
        <v/>
      </c>
      <c r="AC168" s="294" t="str">
        <f t="shared" si="49"/>
        <v/>
      </c>
      <c r="AD168" s="219"/>
      <c r="AE168" s="219"/>
      <c r="AF168" s="293" t="str">
        <f>IF(AA168="","",VLOOKUP(AA168,Asta!$B:$H,7,FALSE))</f>
        <v/>
      </c>
      <c r="AG168" s="294" t="str">
        <f t="shared" si="50"/>
        <v/>
      </c>
      <c r="AH168" t="str">
        <f t="shared" si="51"/>
        <v/>
      </c>
      <c r="AI168" s="254" t="str">
        <f t="shared" ca="1" si="55"/>
        <v>149</v>
      </c>
      <c r="AJ168" s="254" t="str">
        <f t="shared" ca="1" si="56"/>
        <v>149</v>
      </c>
      <c r="AK168" s="351"/>
    </row>
    <row r="169" spans="1:37">
      <c r="A169" s="74">
        <v>150</v>
      </c>
      <c r="B169" s="252"/>
      <c r="C169" s="293" t="str">
        <f t="shared" si="59"/>
        <v/>
      </c>
      <c r="D169" s="294" t="str">
        <f t="shared" si="60"/>
        <v/>
      </c>
      <c r="E169" s="287"/>
      <c r="F169" s="293" t="str">
        <f t="shared" si="43"/>
        <v/>
      </c>
      <c r="G169" s="294" t="str">
        <f t="shared" si="44"/>
        <v/>
      </c>
      <c r="H169" s="290"/>
      <c r="I169" s="254" t="str">
        <f t="shared" ca="1" si="52"/>
        <v>1</v>
      </c>
      <c r="J169" s="254" t="str">
        <f t="shared" ca="1" si="53"/>
        <v>1</v>
      </c>
      <c r="K169" s="230" t="str">
        <f>IF(Giocatori!B158=0,"",Giocatori!B158)</f>
        <v>DELLA GIOVANNA</v>
      </c>
      <c r="L169" s="230" t="str">
        <f>IF(Giocatori!A158=0,"",Giocatori!A158)</f>
        <v>D</v>
      </c>
      <c r="M169" s="230" t="str">
        <f>IF(Giocatori!C158=0,"",Giocatori!C158)</f>
        <v>SPAL</v>
      </c>
      <c r="N169" s="69" t="str">
        <f t="shared" si="45"/>
        <v/>
      </c>
      <c r="O169" t="str">
        <f t="shared" si="46"/>
        <v>DELLA GIOVANNA</v>
      </c>
      <c r="P169" s="7">
        <f t="shared" ca="1" si="54"/>
        <v>169</v>
      </c>
      <c r="Q169" s="7" t="str">
        <f t="shared" ca="1" si="47"/>
        <v>DELLA GIOVANNA</v>
      </c>
      <c r="Z169" s="256"/>
      <c r="AA169" s="219"/>
      <c r="AB169" s="293" t="str">
        <f t="shared" si="48"/>
        <v/>
      </c>
      <c r="AC169" s="294" t="str">
        <f t="shared" si="49"/>
        <v/>
      </c>
      <c r="AD169" s="219"/>
      <c r="AE169" s="219"/>
      <c r="AF169" s="293" t="str">
        <f>IF(AA169="","",VLOOKUP(AA169,Asta!$B:$H,7,FALSE))</f>
        <v/>
      </c>
      <c r="AG169" s="294" t="str">
        <f t="shared" si="50"/>
        <v/>
      </c>
      <c r="AH169" t="str">
        <f t="shared" si="51"/>
        <v/>
      </c>
      <c r="AI169" s="254" t="str">
        <f t="shared" ca="1" si="55"/>
        <v>150</v>
      </c>
      <c r="AJ169" s="254" t="str">
        <f t="shared" ca="1" si="56"/>
        <v>150</v>
      </c>
      <c r="AK169" s="351"/>
    </row>
    <row r="170" spans="1:37">
      <c r="A170" s="74">
        <v>151</v>
      </c>
      <c r="B170" s="252"/>
      <c r="C170" s="293" t="str">
        <f t="shared" si="59"/>
        <v/>
      </c>
      <c r="D170" s="294" t="str">
        <f t="shared" si="60"/>
        <v/>
      </c>
      <c r="E170" s="287"/>
      <c r="F170" s="293" t="str">
        <f t="shared" si="43"/>
        <v/>
      </c>
      <c r="G170" s="294" t="str">
        <f t="shared" si="44"/>
        <v/>
      </c>
      <c r="H170" s="290"/>
      <c r="I170" s="254" t="str">
        <f t="shared" ca="1" si="52"/>
        <v>1</v>
      </c>
      <c r="J170" s="254" t="str">
        <f t="shared" ca="1" si="53"/>
        <v>1</v>
      </c>
      <c r="K170" s="230" t="str">
        <f>IF(Giocatori!B159=0,"",Giocatori!B159)</f>
        <v>DELL'ORCO</v>
      </c>
      <c r="L170" s="230" t="str">
        <f>IF(Giocatori!A159=0,"",Giocatori!A159)</f>
        <v>D</v>
      </c>
      <c r="M170" s="230" t="str">
        <f>IF(Giocatori!C159=0,"",Giocatori!C159)</f>
        <v>Sassuolo</v>
      </c>
      <c r="N170" s="69" t="str">
        <f t="shared" si="45"/>
        <v/>
      </c>
      <c r="O170" t="str">
        <f t="shared" si="46"/>
        <v>DELL'ORCO</v>
      </c>
      <c r="P170" s="7">
        <f t="shared" ca="1" si="54"/>
        <v>170</v>
      </c>
      <c r="Q170" s="7" t="str">
        <f t="shared" ca="1" si="47"/>
        <v>DELL'ORCO</v>
      </c>
      <c r="Z170" s="256"/>
      <c r="AA170" s="219"/>
      <c r="AB170" s="293" t="str">
        <f t="shared" si="48"/>
        <v/>
      </c>
      <c r="AC170" s="294" t="str">
        <f t="shared" si="49"/>
        <v/>
      </c>
      <c r="AD170" s="219"/>
      <c r="AE170" s="219"/>
      <c r="AF170" s="293" t="str">
        <f>IF(AA170="","",VLOOKUP(AA170,Asta!$B:$H,7,FALSE))</f>
        <v/>
      </c>
      <c r="AG170" s="294" t="str">
        <f t="shared" si="50"/>
        <v/>
      </c>
      <c r="AH170" t="str">
        <f t="shared" si="51"/>
        <v/>
      </c>
      <c r="AI170" s="254" t="str">
        <f t="shared" ca="1" si="55"/>
        <v>151</v>
      </c>
      <c r="AJ170" s="254" t="str">
        <f t="shared" ca="1" si="56"/>
        <v>151</v>
      </c>
      <c r="AK170" s="351"/>
    </row>
    <row r="171" spans="1:37">
      <c r="A171" s="74">
        <v>152</v>
      </c>
      <c r="B171" s="252"/>
      <c r="C171" s="293" t="str">
        <f t="shared" si="59"/>
        <v/>
      </c>
      <c r="D171" s="294" t="str">
        <f t="shared" si="60"/>
        <v/>
      </c>
      <c r="E171" s="287"/>
      <c r="F171" s="293" t="str">
        <f t="shared" si="43"/>
        <v/>
      </c>
      <c r="G171" s="294" t="str">
        <f t="shared" si="44"/>
        <v/>
      </c>
      <c r="H171" s="290"/>
      <c r="I171" s="254" t="str">
        <f t="shared" ca="1" si="52"/>
        <v>1</v>
      </c>
      <c r="J171" s="254" t="str">
        <f t="shared" ca="1" si="53"/>
        <v>1</v>
      </c>
      <c r="K171" s="230" t="str">
        <f>IF(Giocatori!B160=0,"",Giocatori!B160)</f>
        <v>DEPAOLI</v>
      </c>
      <c r="L171" s="230" t="str">
        <f>IF(Giocatori!A160=0,"",Giocatori!A160)</f>
        <v>D</v>
      </c>
      <c r="M171" s="230" t="str">
        <f>IF(Giocatori!C160=0,"",Giocatori!C160)</f>
        <v>Chievo</v>
      </c>
      <c r="N171" s="69" t="str">
        <f t="shared" si="45"/>
        <v/>
      </c>
      <c r="O171" t="str">
        <f t="shared" si="46"/>
        <v>DEPAOLI</v>
      </c>
      <c r="P171" s="7">
        <f t="shared" ca="1" si="54"/>
        <v>171</v>
      </c>
      <c r="Q171" s="7" t="str">
        <f t="shared" ca="1" si="47"/>
        <v>DEPAOLI</v>
      </c>
      <c r="Z171" s="256"/>
      <c r="AA171" s="219"/>
      <c r="AB171" s="293" t="str">
        <f t="shared" si="48"/>
        <v/>
      </c>
      <c r="AC171" s="294" t="str">
        <f t="shared" si="49"/>
        <v/>
      </c>
      <c r="AD171" s="219"/>
      <c r="AE171" s="219"/>
      <c r="AF171" s="293" t="str">
        <f>IF(AA171="","",VLOOKUP(AA171,Asta!$B:$H,7,FALSE))</f>
        <v/>
      </c>
      <c r="AG171" s="294" t="str">
        <f t="shared" si="50"/>
        <v/>
      </c>
      <c r="AH171" t="str">
        <f t="shared" si="51"/>
        <v/>
      </c>
      <c r="AI171" s="254" t="str">
        <f t="shared" ca="1" si="55"/>
        <v>152</v>
      </c>
      <c r="AJ171" s="254" t="str">
        <f t="shared" ca="1" si="56"/>
        <v>152</v>
      </c>
      <c r="AK171" s="351"/>
    </row>
    <row r="172" spans="1:37">
      <c r="A172" s="74">
        <v>153</v>
      </c>
      <c r="B172" s="252"/>
      <c r="C172" s="293" t="str">
        <f t="shared" si="59"/>
        <v/>
      </c>
      <c r="D172" s="294" t="str">
        <f t="shared" si="60"/>
        <v/>
      </c>
      <c r="E172" s="287"/>
      <c r="F172" s="293" t="str">
        <f t="shared" si="43"/>
        <v/>
      </c>
      <c r="G172" s="294" t="str">
        <f t="shared" si="44"/>
        <v/>
      </c>
      <c r="H172" s="290"/>
      <c r="I172" s="254" t="str">
        <f t="shared" ca="1" si="52"/>
        <v>1</v>
      </c>
      <c r="J172" s="254" t="str">
        <f t="shared" ca="1" si="53"/>
        <v>1</v>
      </c>
      <c r="K172" s="230" t="str">
        <f>IF(Giocatori!B161=0,"",Giocatori!B161)</f>
        <v>DESSENA</v>
      </c>
      <c r="L172" s="230" t="str">
        <f>IF(Giocatori!A161=0,"",Giocatori!A161)</f>
        <v>C</v>
      </c>
      <c r="M172" s="230" t="str">
        <f>IF(Giocatori!C161=0,"",Giocatori!C161)</f>
        <v>Cagliari</v>
      </c>
      <c r="N172" s="69" t="str">
        <f t="shared" si="45"/>
        <v/>
      </c>
      <c r="O172" t="str">
        <f t="shared" si="46"/>
        <v>DESSENA</v>
      </c>
      <c r="P172" s="7">
        <f t="shared" ca="1" si="54"/>
        <v>172</v>
      </c>
      <c r="Q172" s="7" t="str">
        <f t="shared" ca="1" si="47"/>
        <v>DESSENA</v>
      </c>
      <c r="Z172" s="256"/>
      <c r="AA172" s="219"/>
      <c r="AB172" s="293" t="str">
        <f t="shared" si="48"/>
        <v/>
      </c>
      <c r="AC172" s="294" t="str">
        <f t="shared" si="49"/>
        <v/>
      </c>
      <c r="AD172" s="219"/>
      <c r="AE172" s="219"/>
      <c r="AF172" s="293" t="str">
        <f>IF(AA172="","",VLOOKUP(AA172,Asta!$B:$H,7,FALSE))</f>
        <v/>
      </c>
      <c r="AG172" s="294" t="str">
        <f t="shared" si="50"/>
        <v/>
      </c>
      <c r="AH172" t="str">
        <f t="shared" si="51"/>
        <v/>
      </c>
      <c r="AI172" s="254" t="str">
        <f t="shared" ca="1" si="55"/>
        <v>153</v>
      </c>
      <c r="AJ172" s="254" t="str">
        <f t="shared" ca="1" si="56"/>
        <v>153</v>
      </c>
      <c r="AK172" s="351"/>
    </row>
    <row r="173" spans="1:37">
      <c r="A173" s="74">
        <v>154</v>
      </c>
      <c r="B173" s="252"/>
      <c r="C173" s="293" t="str">
        <f t="shared" si="59"/>
        <v/>
      </c>
      <c r="D173" s="294" t="str">
        <f t="shared" si="60"/>
        <v/>
      </c>
      <c r="E173" s="287"/>
      <c r="F173" s="293" t="str">
        <f t="shared" si="43"/>
        <v/>
      </c>
      <c r="G173" s="294" t="str">
        <f t="shared" si="44"/>
        <v/>
      </c>
      <c r="H173" s="290"/>
      <c r="I173" s="254" t="str">
        <f t="shared" ca="1" si="52"/>
        <v>1</v>
      </c>
      <c r="J173" s="254" t="str">
        <f t="shared" ca="1" si="53"/>
        <v>1</v>
      </c>
      <c r="K173" s="230" t="str">
        <f>IF(Giocatori!B162=0,"",Giocatori!B162)</f>
        <v>DESTRO</v>
      </c>
      <c r="L173" s="230" t="str">
        <f>IF(Giocatori!A162=0,"",Giocatori!A162)</f>
        <v>A</v>
      </c>
      <c r="M173" s="230" t="str">
        <f>IF(Giocatori!C162=0,"",Giocatori!C162)</f>
        <v>Bologna</v>
      </c>
      <c r="N173" s="69" t="str">
        <f t="shared" si="45"/>
        <v/>
      </c>
      <c r="O173" t="str">
        <f t="shared" si="46"/>
        <v>DESTRO</v>
      </c>
      <c r="P173" s="7">
        <f t="shared" ca="1" si="54"/>
        <v>173</v>
      </c>
      <c r="Q173" s="7" t="str">
        <f t="shared" ca="1" si="47"/>
        <v>DESTRO</v>
      </c>
      <c r="Z173" s="256"/>
      <c r="AA173" s="219"/>
      <c r="AB173" s="293" t="str">
        <f t="shared" si="48"/>
        <v/>
      </c>
      <c r="AC173" s="294" t="str">
        <f t="shared" si="49"/>
        <v/>
      </c>
      <c r="AD173" s="219"/>
      <c r="AE173" s="219"/>
      <c r="AF173" s="293" t="str">
        <f>IF(AA173="","",VLOOKUP(AA173,Asta!$B:$H,7,FALSE))</f>
        <v/>
      </c>
      <c r="AG173" s="294" t="str">
        <f t="shared" si="50"/>
        <v/>
      </c>
      <c r="AH173" t="str">
        <f t="shared" si="51"/>
        <v/>
      </c>
      <c r="AI173" s="254" t="str">
        <f t="shared" ca="1" si="55"/>
        <v>154</v>
      </c>
      <c r="AJ173" s="254" t="str">
        <f t="shared" ca="1" si="56"/>
        <v>154</v>
      </c>
      <c r="AK173" s="351"/>
    </row>
    <row r="174" spans="1:37">
      <c r="A174" s="74">
        <v>155</v>
      </c>
      <c r="B174" s="252"/>
      <c r="C174" s="293" t="str">
        <f t="shared" si="59"/>
        <v/>
      </c>
      <c r="D174" s="294" t="str">
        <f t="shared" si="60"/>
        <v/>
      </c>
      <c r="E174" s="287"/>
      <c r="F174" s="293" t="str">
        <f t="shared" si="43"/>
        <v/>
      </c>
      <c r="G174" s="294" t="str">
        <f t="shared" si="44"/>
        <v/>
      </c>
      <c r="H174" s="290"/>
      <c r="I174" s="254" t="str">
        <f t="shared" ca="1" si="52"/>
        <v>1</v>
      </c>
      <c r="J174" s="254" t="str">
        <f t="shared" ca="1" si="53"/>
        <v>1</v>
      </c>
      <c r="K174" s="230" t="str">
        <f>IF(Giocatori!B163=0,"",Giocatori!B163)</f>
        <v>DI CHIARA</v>
      </c>
      <c r="L174" s="230" t="str">
        <f>IF(Giocatori!A163=0,"",Giocatori!A163)</f>
        <v>D</v>
      </c>
      <c r="M174" s="230" t="str">
        <f>IF(Giocatori!C163=0,"",Giocatori!C163)</f>
        <v>Benevento</v>
      </c>
      <c r="N174" s="69" t="str">
        <f t="shared" si="45"/>
        <v/>
      </c>
      <c r="O174" t="str">
        <f t="shared" si="46"/>
        <v>DI CHIARA</v>
      </c>
      <c r="P174" s="7">
        <f t="shared" ca="1" si="54"/>
        <v>174</v>
      </c>
      <c r="Q174" s="7" t="str">
        <f t="shared" ca="1" si="47"/>
        <v>DI CHIARA</v>
      </c>
      <c r="Z174" s="256"/>
      <c r="AA174" s="219"/>
      <c r="AB174" s="293" t="str">
        <f t="shared" si="48"/>
        <v/>
      </c>
      <c r="AC174" s="294" t="str">
        <f t="shared" si="49"/>
        <v/>
      </c>
      <c r="AD174" s="219"/>
      <c r="AE174" s="219"/>
      <c r="AF174" s="293" t="str">
        <f>IF(AA174="","",VLOOKUP(AA174,Asta!$B:$H,7,FALSE))</f>
        <v/>
      </c>
      <c r="AG174" s="294" t="str">
        <f t="shared" si="50"/>
        <v/>
      </c>
      <c r="AH174" t="str">
        <f t="shared" si="51"/>
        <v/>
      </c>
      <c r="AI174" s="254" t="str">
        <f t="shared" ca="1" si="55"/>
        <v>155</v>
      </c>
      <c r="AJ174" s="254" t="str">
        <f t="shared" ca="1" si="56"/>
        <v>155</v>
      </c>
      <c r="AK174" s="351"/>
    </row>
    <row r="175" spans="1:37">
      <c r="A175" s="74">
        <v>156</v>
      </c>
      <c r="B175" s="252"/>
      <c r="C175" s="293" t="str">
        <f t="shared" si="59"/>
        <v/>
      </c>
      <c r="D175" s="294" t="str">
        <f t="shared" si="60"/>
        <v/>
      </c>
      <c r="E175" s="287"/>
      <c r="F175" s="293" t="str">
        <f t="shared" si="43"/>
        <v/>
      </c>
      <c r="G175" s="294" t="str">
        <f t="shared" si="44"/>
        <v/>
      </c>
      <c r="H175" s="290"/>
      <c r="I175" s="254" t="str">
        <f t="shared" ca="1" si="52"/>
        <v>1</v>
      </c>
      <c r="J175" s="254" t="str">
        <f t="shared" ca="1" si="53"/>
        <v>1</v>
      </c>
      <c r="K175" s="230" t="str">
        <f>IF(Giocatori!B164=0,"",Giocatori!B164)</f>
        <v>DI FRANCESCO F</v>
      </c>
      <c r="L175" s="230" t="str">
        <f>IF(Giocatori!A164=0,"",Giocatori!A164)</f>
        <v>A</v>
      </c>
      <c r="M175" s="230" t="str">
        <f>IF(Giocatori!C164=0,"",Giocatori!C164)</f>
        <v>Bologna</v>
      </c>
      <c r="N175" s="69" t="str">
        <f t="shared" si="45"/>
        <v/>
      </c>
      <c r="O175" t="str">
        <f t="shared" si="46"/>
        <v>DI FRANCESCO F</v>
      </c>
      <c r="P175" s="7">
        <f t="shared" ca="1" si="54"/>
        <v>175</v>
      </c>
      <c r="Q175" s="7" t="str">
        <f t="shared" ca="1" si="47"/>
        <v>DI FRANCESCO F</v>
      </c>
      <c r="Z175" s="256"/>
      <c r="AA175" s="219"/>
      <c r="AB175" s="293" t="str">
        <f t="shared" si="48"/>
        <v/>
      </c>
      <c r="AC175" s="294" t="str">
        <f t="shared" si="49"/>
        <v/>
      </c>
      <c r="AD175" s="219"/>
      <c r="AE175" s="219"/>
      <c r="AF175" s="293" t="str">
        <f>IF(AA175="","",VLOOKUP(AA175,Asta!$B:$H,7,FALSE))</f>
        <v/>
      </c>
      <c r="AG175" s="294" t="str">
        <f t="shared" si="50"/>
        <v/>
      </c>
      <c r="AH175" t="str">
        <f t="shared" si="51"/>
        <v/>
      </c>
      <c r="AI175" s="254" t="str">
        <f t="shared" ca="1" si="55"/>
        <v>156</v>
      </c>
      <c r="AJ175" s="254" t="str">
        <f t="shared" ca="1" si="56"/>
        <v>156</v>
      </c>
      <c r="AK175" s="351"/>
    </row>
    <row r="176" spans="1:37">
      <c r="A176" s="74">
        <v>157</v>
      </c>
      <c r="B176" s="252"/>
      <c r="C176" s="295" t="str">
        <f t="shared" si="59"/>
        <v/>
      </c>
      <c r="D176" s="296" t="str">
        <f t="shared" si="60"/>
        <v/>
      </c>
      <c r="E176" s="287"/>
      <c r="F176" s="295" t="str">
        <f t="shared" si="43"/>
        <v/>
      </c>
      <c r="G176" s="296" t="str">
        <f t="shared" si="44"/>
        <v/>
      </c>
      <c r="H176" s="290"/>
      <c r="I176" s="254" t="str">
        <f t="shared" ca="1" si="52"/>
        <v>1</v>
      </c>
      <c r="J176" s="254" t="str">
        <f t="shared" ca="1" si="53"/>
        <v>1</v>
      </c>
      <c r="K176" s="230" t="str">
        <f>IF(Giocatori!B165=0,"",Giocatori!B165)</f>
        <v>DI GENNARO D</v>
      </c>
      <c r="L176" s="230" t="str">
        <f>IF(Giocatori!A165=0,"",Giocatori!A165)</f>
        <v>C</v>
      </c>
      <c r="M176" s="230" t="str">
        <f>IF(Giocatori!C165=0,"",Giocatori!C165)</f>
        <v>Lazio</v>
      </c>
      <c r="N176" s="69" t="str">
        <f t="shared" si="45"/>
        <v/>
      </c>
      <c r="O176" t="str">
        <f t="shared" si="46"/>
        <v>DI GENNARO D</v>
      </c>
      <c r="P176" s="7">
        <f t="shared" ca="1" si="54"/>
        <v>176</v>
      </c>
      <c r="Q176" s="7" t="str">
        <f t="shared" ca="1" si="47"/>
        <v>DI GENNARO D</v>
      </c>
      <c r="Z176" s="256"/>
      <c r="AA176" s="219"/>
      <c r="AB176" s="295" t="str">
        <f t="shared" si="48"/>
        <v/>
      </c>
      <c r="AC176" s="296" t="str">
        <f t="shared" si="49"/>
        <v/>
      </c>
      <c r="AD176" s="219"/>
      <c r="AE176" s="219"/>
      <c r="AF176" s="295" t="str">
        <f>IF(AA176="","",VLOOKUP(AA176,Asta!$B:$H,7,FALSE))</f>
        <v/>
      </c>
      <c r="AG176" s="296" t="str">
        <f t="shared" si="50"/>
        <v/>
      </c>
      <c r="AH176" t="str">
        <f t="shared" si="51"/>
        <v/>
      </c>
      <c r="AI176" s="254" t="str">
        <f t="shared" ca="1" si="55"/>
        <v>157</v>
      </c>
      <c r="AJ176" s="254" t="str">
        <f t="shared" ca="1" si="56"/>
        <v>157</v>
      </c>
      <c r="AK176" s="351"/>
    </row>
    <row r="177" spans="1:37">
      <c r="A177" s="74">
        <v>158</v>
      </c>
      <c r="B177" s="252"/>
      <c r="C177" s="293" t="str">
        <f t="shared" si="59"/>
        <v/>
      </c>
      <c r="D177" s="294" t="str">
        <f t="shared" si="60"/>
        <v/>
      </c>
      <c r="E177" s="287"/>
      <c r="F177" s="293" t="str">
        <f t="shared" si="43"/>
        <v/>
      </c>
      <c r="G177" s="294" t="str">
        <f t="shared" si="44"/>
        <v/>
      </c>
      <c r="H177" s="290"/>
      <c r="I177" s="254" t="str">
        <f t="shared" ca="1" si="52"/>
        <v>1</v>
      </c>
      <c r="J177" s="254" t="str">
        <f t="shared" ca="1" si="53"/>
        <v>1</v>
      </c>
      <c r="K177" s="230" t="str">
        <f>IF(Giocatori!B166=0,"",Giocatori!B166)</f>
        <v>DIAWARA</v>
      </c>
      <c r="L177" s="230" t="str">
        <f>IF(Giocatori!A166=0,"",Giocatori!A166)</f>
        <v>C</v>
      </c>
      <c r="M177" s="230" t="str">
        <f>IF(Giocatori!C166=0,"",Giocatori!C166)</f>
        <v>Napoli</v>
      </c>
      <c r="N177" s="69" t="str">
        <f t="shared" si="45"/>
        <v/>
      </c>
      <c r="O177" t="str">
        <f t="shared" si="46"/>
        <v>DIAWARA</v>
      </c>
      <c r="P177" s="7">
        <f t="shared" ca="1" si="54"/>
        <v>177</v>
      </c>
      <c r="Q177" s="7" t="str">
        <f t="shared" ca="1" si="47"/>
        <v>DIAWARA</v>
      </c>
      <c r="Z177" s="256"/>
      <c r="AA177" s="219"/>
      <c r="AB177" s="293" t="str">
        <f t="shared" si="48"/>
        <v/>
      </c>
      <c r="AC177" s="294" t="str">
        <f t="shared" si="49"/>
        <v/>
      </c>
      <c r="AD177" s="219"/>
      <c r="AE177" s="219"/>
      <c r="AF177" s="293" t="str">
        <f>IF(AA177="","",VLOOKUP(AA177,Asta!$B:$H,7,FALSE))</f>
        <v/>
      </c>
      <c r="AG177" s="294" t="str">
        <f t="shared" si="50"/>
        <v/>
      </c>
      <c r="AH177" t="str">
        <f t="shared" si="51"/>
        <v/>
      </c>
      <c r="AI177" s="254" t="str">
        <f t="shared" ca="1" si="55"/>
        <v>158</v>
      </c>
      <c r="AJ177" s="254" t="str">
        <f t="shared" ca="1" si="56"/>
        <v>158</v>
      </c>
      <c r="AK177" s="351"/>
    </row>
    <row r="178" spans="1:37">
      <c r="A178" s="74">
        <v>159</v>
      </c>
      <c r="B178" s="252"/>
      <c r="C178" s="293" t="str">
        <f t="shared" si="59"/>
        <v/>
      </c>
      <c r="D178" s="294" t="str">
        <f t="shared" si="60"/>
        <v/>
      </c>
      <c r="E178" s="287"/>
      <c r="F178" s="293" t="str">
        <f t="shared" si="43"/>
        <v/>
      </c>
      <c r="G178" s="294" t="str">
        <f t="shared" si="44"/>
        <v/>
      </c>
      <c r="H178" s="290"/>
      <c r="I178" s="254" t="str">
        <f t="shared" ca="1" si="52"/>
        <v>1</v>
      </c>
      <c r="J178" s="254" t="str">
        <f t="shared" ca="1" si="53"/>
        <v>1</v>
      </c>
      <c r="K178" s="230" t="str">
        <f>IF(Giocatori!B167=0,"",Giocatori!B167)</f>
        <v>DJIMSITI</v>
      </c>
      <c r="L178" s="230" t="str">
        <f>IF(Giocatori!A167=0,"",Giocatori!A167)</f>
        <v>D</v>
      </c>
      <c r="M178" s="230" t="str">
        <f>IF(Giocatori!C167=0,"",Giocatori!C167)</f>
        <v>Benevento</v>
      </c>
      <c r="N178" s="69" t="str">
        <f t="shared" si="45"/>
        <v/>
      </c>
      <c r="O178" t="str">
        <f t="shared" si="46"/>
        <v>DJIMSITI</v>
      </c>
      <c r="P178" s="7">
        <f t="shared" ca="1" si="54"/>
        <v>178</v>
      </c>
      <c r="Q178" s="7" t="str">
        <f t="shared" ca="1" si="47"/>
        <v>DJIMSITI</v>
      </c>
      <c r="Z178" s="256"/>
      <c r="AA178" s="219"/>
      <c r="AB178" s="293" t="str">
        <f t="shared" si="48"/>
        <v/>
      </c>
      <c r="AC178" s="294" t="str">
        <f t="shared" si="49"/>
        <v/>
      </c>
      <c r="AD178" s="219"/>
      <c r="AE178" s="219"/>
      <c r="AF178" s="293" t="str">
        <f>IF(AA178="","",VLOOKUP(AA178,Asta!$B:$H,7,FALSE))</f>
        <v/>
      </c>
      <c r="AG178" s="294" t="str">
        <f t="shared" si="50"/>
        <v/>
      </c>
      <c r="AH178" t="str">
        <f t="shared" si="51"/>
        <v/>
      </c>
      <c r="AI178" s="254" t="str">
        <f t="shared" ca="1" si="55"/>
        <v>159</v>
      </c>
      <c r="AJ178" s="254" t="str">
        <f t="shared" ca="1" si="56"/>
        <v>159</v>
      </c>
      <c r="AK178" s="351"/>
    </row>
    <row r="179" spans="1:37">
      <c r="A179" s="74">
        <v>160</v>
      </c>
      <c r="B179" s="252"/>
      <c r="C179" s="293" t="str">
        <f t="shared" si="59"/>
        <v/>
      </c>
      <c r="D179" s="294" t="str">
        <f t="shared" si="60"/>
        <v/>
      </c>
      <c r="E179" s="287"/>
      <c r="F179" s="293" t="str">
        <f t="shared" si="43"/>
        <v/>
      </c>
      <c r="G179" s="294" t="str">
        <f t="shared" si="44"/>
        <v/>
      </c>
      <c r="H179" s="290"/>
      <c r="I179" s="254" t="str">
        <f t="shared" ca="1" si="52"/>
        <v>1</v>
      </c>
      <c r="J179" s="254" t="str">
        <f t="shared" ca="1" si="53"/>
        <v>1</v>
      </c>
      <c r="K179" s="230" t="str">
        <f>IF(Giocatori!B168=0,"",Giocatori!B168)</f>
        <v>DJORDJEVIC</v>
      </c>
      <c r="L179" s="230" t="str">
        <f>IF(Giocatori!A168=0,"",Giocatori!A168)</f>
        <v>A</v>
      </c>
      <c r="M179" s="230" t="str">
        <f>IF(Giocatori!C168=0,"",Giocatori!C168)</f>
        <v>Lazio</v>
      </c>
      <c r="N179" s="69" t="str">
        <f t="shared" si="45"/>
        <v/>
      </c>
      <c r="O179" t="str">
        <f t="shared" si="46"/>
        <v>DJORDJEVIC</v>
      </c>
      <c r="P179" s="7">
        <f t="shared" ca="1" si="54"/>
        <v>179</v>
      </c>
      <c r="Q179" s="7" t="str">
        <f t="shared" ca="1" si="47"/>
        <v>DJORDJEVIC</v>
      </c>
      <c r="Z179" s="256"/>
      <c r="AA179" s="219"/>
      <c r="AB179" s="293" t="str">
        <f t="shared" si="48"/>
        <v/>
      </c>
      <c r="AC179" s="294" t="str">
        <f t="shared" si="49"/>
        <v/>
      </c>
      <c r="AD179" s="219"/>
      <c r="AE179" s="219"/>
      <c r="AF179" s="293" t="str">
        <f>IF(AA179="","",VLOOKUP(AA179,Asta!$B:$H,7,FALSE))</f>
        <v/>
      </c>
      <c r="AG179" s="294" t="str">
        <f t="shared" si="50"/>
        <v/>
      </c>
      <c r="AH179" t="str">
        <f t="shared" si="51"/>
        <v/>
      </c>
      <c r="AI179" s="254" t="str">
        <f t="shared" ca="1" si="55"/>
        <v>160</v>
      </c>
      <c r="AJ179" s="254" t="str">
        <f t="shared" ca="1" si="56"/>
        <v>160</v>
      </c>
      <c r="AK179" s="351"/>
    </row>
    <row r="180" spans="1:37">
      <c r="A180" s="74">
        <v>161</v>
      </c>
      <c r="B180" s="252"/>
      <c r="C180" s="293" t="str">
        <f t="shared" si="59"/>
        <v/>
      </c>
      <c r="D180" s="294" t="str">
        <f t="shared" si="60"/>
        <v/>
      </c>
      <c r="E180" s="287"/>
      <c r="F180" s="293" t="str">
        <f t="shared" si="43"/>
        <v/>
      </c>
      <c r="G180" s="294" t="str">
        <f t="shared" si="44"/>
        <v/>
      </c>
      <c r="H180" s="290"/>
      <c r="I180" s="254" t="str">
        <f t="shared" ca="1" si="52"/>
        <v>1</v>
      </c>
      <c r="J180" s="254" t="str">
        <f t="shared" ca="1" si="53"/>
        <v>1</v>
      </c>
      <c r="K180" s="230" t="str">
        <f>IF(Giocatori!B169=0,"",Giocatori!B169)</f>
        <v>DJURICIC</v>
      </c>
      <c r="L180" s="230" t="str">
        <f>IF(Giocatori!A169=0,"",Giocatori!A169)</f>
        <v>C</v>
      </c>
      <c r="M180" s="230" t="str">
        <f>IF(Giocatori!C169=0,"",Giocatori!C169)</f>
        <v>Sampdoria</v>
      </c>
      <c r="N180" s="69" t="str">
        <f t="shared" si="45"/>
        <v/>
      </c>
      <c r="O180" t="str">
        <f t="shared" si="46"/>
        <v>DJURICIC</v>
      </c>
      <c r="P180" s="7">
        <f t="shared" ca="1" si="54"/>
        <v>180</v>
      </c>
      <c r="Q180" s="7" t="str">
        <f t="shared" ca="1" si="47"/>
        <v>DJURICIC</v>
      </c>
      <c r="Z180" s="256"/>
      <c r="AA180" s="219"/>
      <c r="AB180" s="293" t="str">
        <f t="shared" si="48"/>
        <v/>
      </c>
      <c r="AC180" s="294" t="str">
        <f t="shared" si="49"/>
        <v/>
      </c>
      <c r="AD180" s="219"/>
      <c r="AE180" s="219"/>
      <c r="AF180" s="293" t="str">
        <f>IF(AA180="","",VLOOKUP(AA180,Asta!$B:$H,7,FALSE))</f>
        <v/>
      </c>
      <c r="AG180" s="294" t="str">
        <f t="shared" si="50"/>
        <v/>
      </c>
      <c r="AH180" t="str">
        <f t="shared" si="51"/>
        <v/>
      </c>
      <c r="AI180" s="254" t="str">
        <f t="shared" ca="1" si="55"/>
        <v>161</v>
      </c>
      <c r="AJ180" s="254" t="str">
        <f t="shared" ca="1" si="56"/>
        <v>161</v>
      </c>
      <c r="AK180" s="351"/>
    </row>
    <row r="181" spans="1:37">
      <c r="A181" s="74">
        <v>162</v>
      </c>
      <c r="B181" s="252"/>
      <c r="C181" s="293" t="str">
        <f t="shared" si="59"/>
        <v/>
      </c>
      <c r="D181" s="294" t="str">
        <f t="shared" si="60"/>
        <v/>
      </c>
      <c r="E181" s="287"/>
      <c r="F181" s="293" t="str">
        <f t="shared" si="43"/>
        <v/>
      </c>
      <c r="G181" s="294" t="str">
        <f t="shared" si="44"/>
        <v/>
      </c>
      <c r="H181" s="290"/>
      <c r="I181" s="254" t="str">
        <f t="shared" ca="1" si="52"/>
        <v>1</v>
      </c>
      <c r="J181" s="254" t="str">
        <f t="shared" ca="1" si="53"/>
        <v>1</v>
      </c>
      <c r="K181" s="230" t="str">
        <f>IF(Giocatori!B170=0,"",Giocatori!B170)</f>
        <v>DODO'</v>
      </c>
      <c r="L181" s="230" t="str">
        <f>IF(Giocatori!A170=0,"",Giocatori!A170)</f>
        <v>D</v>
      </c>
      <c r="M181" s="230" t="str">
        <f>IF(Giocatori!C170=0,"",Giocatori!C170)</f>
        <v>Sampdoria</v>
      </c>
      <c r="N181" s="69" t="str">
        <f t="shared" si="45"/>
        <v/>
      </c>
      <c r="O181" t="str">
        <f t="shared" si="46"/>
        <v>DODO'</v>
      </c>
      <c r="P181" s="7">
        <f t="shared" ca="1" si="54"/>
        <v>181</v>
      </c>
      <c r="Q181" s="7" t="str">
        <f t="shared" ca="1" si="47"/>
        <v>DODO'</v>
      </c>
      <c r="Z181" s="256"/>
      <c r="AA181" s="219"/>
      <c r="AB181" s="293" t="str">
        <f t="shared" si="48"/>
        <v/>
      </c>
      <c r="AC181" s="294" t="str">
        <f t="shared" si="49"/>
        <v/>
      </c>
      <c r="AD181" s="219"/>
      <c r="AE181" s="219"/>
      <c r="AF181" s="293" t="str">
        <f>IF(AA181="","",VLOOKUP(AA181,Asta!$B:$H,7,FALSE))</f>
        <v/>
      </c>
      <c r="AG181" s="294" t="str">
        <f t="shared" si="50"/>
        <v/>
      </c>
      <c r="AH181" t="str">
        <f t="shared" si="51"/>
        <v/>
      </c>
      <c r="AI181" s="254" t="str">
        <f t="shared" ca="1" si="55"/>
        <v>162</v>
      </c>
      <c r="AJ181" s="254" t="str">
        <f t="shared" ca="1" si="56"/>
        <v>162</v>
      </c>
      <c r="AK181" s="351"/>
    </row>
    <row r="182" spans="1:37">
      <c r="A182" s="74">
        <v>163</v>
      </c>
      <c r="B182" s="252"/>
      <c r="C182" s="293" t="str">
        <f t="shared" si="59"/>
        <v/>
      </c>
      <c r="D182" s="294" t="str">
        <f t="shared" si="60"/>
        <v/>
      </c>
      <c r="E182" s="287"/>
      <c r="F182" s="293" t="str">
        <f t="shared" si="43"/>
        <v/>
      </c>
      <c r="G182" s="294" t="str">
        <f t="shared" si="44"/>
        <v/>
      </c>
      <c r="H182" s="290"/>
      <c r="I182" s="254" t="str">
        <f t="shared" ca="1" si="52"/>
        <v>1</v>
      </c>
      <c r="J182" s="254" t="str">
        <f t="shared" ca="1" si="53"/>
        <v>1</v>
      </c>
      <c r="K182" s="230" t="str">
        <f>IF(Giocatori!B171=0,"",Giocatori!B171)</f>
        <v>DONNARUMMA A</v>
      </c>
      <c r="L182" s="230" t="str">
        <f>IF(Giocatori!A171=0,"",Giocatori!A171)</f>
        <v>P</v>
      </c>
      <c r="M182" s="230" t="str">
        <f>IF(Giocatori!C171=0,"",Giocatori!C171)</f>
        <v>Milan</v>
      </c>
      <c r="N182" s="69" t="str">
        <f t="shared" si="45"/>
        <v/>
      </c>
      <c r="O182" t="str">
        <f t="shared" si="46"/>
        <v>DONNARUMMA A</v>
      </c>
      <c r="P182" s="7">
        <f t="shared" ca="1" si="54"/>
        <v>182</v>
      </c>
      <c r="Q182" s="7" t="str">
        <f t="shared" ca="1" si="47"/>
        <v>DONNARUMMA A</v>
      </c>
      <c r="Z182" s="256"/>
      <c r="AA182" s="219"/>
      <c r="AB182" s="293" t="str">
        <f t="shared" si="48"/>
        <v/>
      </c>
      <c r="AC182" s="294" t="str">
        <f t="shared" si="49"/>
        <v/>
      </c>
      <c r="AD182" s="219"/>
      <c r="AE182" s="219"/>
      <c r="AF182" s="293" t="str">
        <f>IF(AA182="","",VLOOKUP(AA182,Asta!$B:$H,7,FALSE))</f>
        <v/>
      </c>
      <c r="AG182" s="294" t="str">
        <f t="shared" si="50"/>
        <v/>
      </c>
      <c r="AH182" t="str">
        <f t="shared" si="51"/>
        <v/>
      </c>
      <c r="AI182" s="254" t="str">
        <f t="shared" ca="1" si="55"/>
        <v>163</v>
      </c>
      <c r="AJ182" s="254" t="str">
        <f t="shared" ca="1" si="56"/>
        <v>163</v>
      </c>
      <c r="AK182" s="351"/>
    </row>
    <row r="183" spans="1:37">
      <c r="A183" s="74">
        <v>164</v>
      </c>
      <c r="B183" s="252"/>
      <c r="C183" s="293" t="str">
        <f t="shared" si="59"/>
        <v/>
      </c>
      <c r="D183" s="294" t="str">
        <f t="shared" si="60"/>
        <v/>
      </c>
      <c r="E183" s="287"/>
      <c r="F183" s="293" t="str">
        <f t="shared" si="43"/>
        <v/>
      </c>
      <c r="G183" s="294" t="str">
        <f t="shared" si="44"/>
        <v/>
      </c>
      <c r="H183" s="290"/>
      <c r="I183" s="254" t="str">
        <f t="shared" ca="1" si="52"/>
        <v>1</v>
      </c>
      <c r="J183" s="254" t="str">
        <f t="shared" ca="1" si="53"/>
        <v>1</v>
      </c>
      <c r="K183" s="230" t="str">
        <f>IF(Giocatori!B172=0,"",Giocatori!B172)</f>
        <v>DONNARUMMA G</v>
      </c>
      <c r="L183" s="230" t="str">
        <f>IF(Giocatori!A172=0,"",Giocatori!A172)</f>
        <v>P</v>
      </c>
      <c r="M183" s="230" t="str">
        <f>IF(Giocatori!C172=0,"",Giocatori!C172)</f>
        <v>Milan</v>
      </c>
      <c r="N183" s="69" t="str">
        <f t="shared" si="45"/>
        <v/>
      </c>
      <c r="O183" t="str">
        <f t="shared" si="46"/>
        <v>DONNARUMMA G</v>
      </c>
      <c r="P183" s="7">
        <f t="shared" ca="1" si="54"/>
        <v>183</v>
      </c>
      <c r="Q183" s="7" t="str">
        <f t="shared" ca="1" si="47"/>
        <v>DONNARUMMA G</v>
      </c>
      <c r="Z183" s="256"/>
      <c r="AA183" s="219"/>
      <c r="AB183" s="293" t="str">
        <f t="shared" si="48"/>
        <v/>
      </c>
      <c r="AC183" s="294" t="str">
        <f t="shared" si="49"/>
        <v/>
      </c>
      <c r="AD183" s="219"/>
      <c r="AE183" s="219"/>
      <c r="AF183" s="293" t="str">
        <f>IF(AA183="","",VLOOKUP(AA183,Asta!$B:$H,7,FALSE))</f>
        <v/>
      </c>
      <c r="AG183" s="294" t="str">
        <f t="shared" si="50"/>
        <v/>
      </c>
      <c r="AH183" t="str">
        <f t="shared" si="51"/>
        <v/>
      </c>
      <c r="AI183" s="254" t="str">
        <f t="shared" ca="1" si="55"/>
        <v>164</v>
      </c>
      <c r="AJ183" s="254" t="str">
        <f t="shared" ca="1" si="56"/>
        <v>164</v>
      </c>
      <c r="AK183" s="351"/>
    </row>
    <row r="184" spans="1:37">
      <c r="A184" s="74">
        <v>165</v>
      </c>
      <c r="B184" s="252"/>
      <c r="C184" s="293" t="str">
        <f t="shared" si="59"/>
        <v/>
      </c>
      <c r="D184" s="294" t="str">
        <f t="shared" si="60"/>
        <v/>
      </c>
      <c r="E184" s="287"/>
      <c r="F184" s="293" t="str">
        <f t="shared" si="43"/>
        <v/>
      </c>
      <c r="G184" s="294" t="str">
        <f t="shared" si="44"/>
        <v/>
      </c>
      <c r="H184" s="290"/>
      <c r="I184" s="254" t="str">
        <f t="shared" ca="1" si="52"/>
        <v>1</v>
      </c>
      <c r="J184" s="254" t="str">
        <f t="shared" ca="1" si="53"/>
        <v>1</v>
      </c>
      <c r="K184" s="230" t="str">
        <f>IF(Giocatori!B173=0,"",Giocatori!B173)</f>
        <v>DONSAH</v>
      </c>
      <c r="L184" s="230" t="str">
        <f>IF(Giocatori!A173=0,"",Giocatori!A173)</f>
        <v>C</v>
      </c>
      <c r="M184" s="230" t="str">
        <f>IF(Giocatori!C173=0,"",Giocatori!C173)</f>
        <v>Bologna</v>
      </c>
      <c r="N184" s="69" t="str">
        <f t="shared" si="45"/>
        <v/>
      </c>
      <c r="O184" t="str">
        <f t="shared" si="46"/>
        <v>DONSAH</v>
      </c>
      <c r="P184" s="7">
        <f t="shared" ca="1" si="54"/>
        <v>184</v>
      </c>
      <c r="Q184" s="7" t="str">
        <f t="shared" ca="1" si="47"/>
        <v>DONSAH</v>
      </c>
      <c r="Z184" s="256"/>
      <c r="AA184" s="219"/>
      <c r="AB184" s="293" t="str">
        <f t="shared" si="48"/>
        <v/>
      </c>
      <c r="AC184" s="294" t="str">
        <f t="shared" si="49"/>
        <v/>
      </c>
      <c r="AD184" s="219"/>
      <c r="AE184" s="219"/>
      <c r="AF184" s="293" t="str">
        <f>IF(AA184="","",VLOOKUP(AA184,Asta!$B:$H,7,FALSE))</f>
        <v/>
      </c>
      <c r="AG184" s="294" t="str">
        <f t="shared" si="50"/>
        <v/>
      </c>
      <c r="AH184" t="str">
        <f t="shared" si="51"/>
        <v/>
      </c>
      <c r="AI184" s="254" t="str">
        <f t="shared" ca="1" si="55"/>
        <v>165</v>
      </c>
      <c r="AJ184" s="254" t="str">
        <f t="shared" ca="1" si="56"/>
        <v>165</v>
      </c>
      <c r="AK184" s="351"/>
    </row>
    <row r="185" spans="1:37">
      <c r="A185" s="74">
        <v>166</v>
      </c>
      <c r="B185" s="252"/>
      <c r="C185" s="293" t="str">
        <f t="shared" si="59"/>
        <v/>
      </c>
      <c r="D185" s="294" t="str">
        <f t="shared" si="60"/>
        <v/>
      </c>
      <c r="E185" s="287"/>
      <c r="F185" s="293" t="str">
        <f t="shared" si="43"/>
        <v/>
      </c>
      <c r="G185" s="294" t="str">
        <f t="shared" si="44"/>
        <v/>
      </c>
      <c r="H185" s="290"/>
      <c r="I185" s="254" t="str">
        <f t="shared" ca="1" si="52"/>
        <v>1</v>
      </c>
      <c r="J185" s="254" t="str">
        <f t="shared" ca="1" si="53"/>
        <v>1</v>
      </c>
      <c r="K185" s="230" t="str">
        <f>IF(Giocatori!B174=0,"",Giocatori!B174)</f>
        <v>DOUGLAS COSTA</v>
      </c>
      <c r="L185" s="230" t="str">
        <f>IF(Giocatori!A174=0,"",Giocatori!A174)</f>
        <v>C</v>
      </c>
      <c r="M185" s="230" t="str">
        <f>IF(Giocatori!C174=0,"",Giocatori!C174)</f>
        <v>Juventus</v>
      </c>
      <c r="N185" s="69" t="str">
        <f t="shared" si="45"/>
        <v/>
      </c>
      <c r="O185" t="str">
        <f t="shared" si="46"/>
        <v>DOUGLAS COSTA</v>
      </c>
      <c r="P185" s="7">
        <f t="shared" ca="1" si="54"/>
        <v>185</v>
      </c>
      <c r="Q185" s="7" t="str">
        <f t="shared" ca="1" si="47"/>
        <v>DOUGLAS COSTA</v>
      </c>
      <c r="Z185" s="256"/>
      <c r="AA185" s="219"/>
      <c r="AB185" s="293" t="str">
        <f t="shared" si="48"/>
        <v/>
      </c>
      <c r="AC185" s="294" t="str">
        <f t="shared" si="49"/>
        <v/>
      </c>
      <c r="AD185" s="219"/>
      <c r="AE185" s="219"/>
      <c r="AF185" s="293" t="str">
        <f>IF(AA185="","",VLOOKUP(AA185,Asta!$B:$H,7,FALSE))</f>
        <v/>
      </c>
      <c r="AG185" s="294" t="str">
        <f t="shared" si="50"/>
        <v/>
      </c>
      <c r="AH185" t="str">
        <f t="shared" si="51"/>
        <v/>
      </c>
      <c r="AI185" s="254" t="str">
        <f t="shared" ca="1" si="55"/>
        <v>166</v>
      </c>
      <c r="AJ185" s="254" t="str">
        <f t="shared" ca="1" si="56"/>
        <v>166</v>
      </c>
      <c r="AK185" s="351"/>
    </row>
    <row r="186" spans="1:37">
      <c r="A186" s="74">
        <v>167</v>
      </c>
      <c r="B186" s="252"/>
      <c r="C186" s="293" t="str">
        <f t="shared" si="59"/>
        <v/>
      </c>
      <c r="D186" s="294" t="str">
        <f t="shared" si="60"/>
        <v/>
      </c>
      <c r="E186" s="287"/>
      <c r="F186" s="293" t="str">
        <f t="shared" si="43"/>
        <v/>
      </c>
      <c r="G186" s="294" t="str">
        <f t="shared" si="44"/>
        <v/>
      </c>
      <c r="H186" s="290"/>
      <c r="I186" s="254" t="str">
        <f t="shared" ca="1" si="52"/>
        <v>1</v>
      </c>
      <c r="J186" s="254" t="str">
        <f t="shared" ca="1" si="53"/>
        <v>1</v>
      </c>
      <c r="K186" s="230" t="str">
        <f>IF(Giocatori!B175=0,"",Giocatori!B175)</f>
        <v>DRAGOWSKI</v>
      </c>
      <c r="L186" s="230" t="str">
        <f>IF(Giocatori!A175=0,"",Giocatori!A175)</f>
        <v>P</v>
      </c>
      <c r="M186" s="230" t="str">
        <f>IF(Giocatori!C175=0,"",Giocatori!C175)</f>
        <v>Fiorentina</v>
      </c>
      <c r="N186" s="69" t="str">
        <f t="shared" si="45"/>
        <v/>
      </c>
      <c r="O186" t="str">
        <f t="shared" si="46"/>
        <v>DRAGOWSKI</v>
      </c>
      <c r="P186" s="7">
        <f t="shared" ca="1" si="54"/>
        <v>186</v>
      </c>
      <c r="Q186" s="7" t="str">
        <f t="shared" ca="1" si="47"/>
        <v>DRAGOWSKI</v>
      </c>
      <c r="Z186" s="256"/>
      <c r="AA186" s="219"/>
      <c r="AB186" s="293" t="str">
        <f t="shared" si="48"/>
        <v/>
      </c>
      <c r="AC186" s="294" t="str">
        <f t="shared" si="49"/>
        <v/>
      </c>
      <c r="AD186" s="219"/>
      <c r="AE186" s="219"/>
      <c r="AF186" s="293" t="str">
        <f>IF(AA186="","",VLOOKUP(AA186,Asta!$B:$H,7,FALSE))</f>
        <v/>
      </c>
      <c r="AG186" s="294" t="str">
        <f t="shared" si="50"/>
        <v/>
      </c>
      <c r="AH186" t="str">
        <f t="shared" si="51"/>
        <v/>
      </c>
      <c r="AI186" s="254" t="str">
        <f t="shared" ca="1" si="55"/>
        <v>167</v>
      </c>
      <c r="AJ186" s="254" t="str">
        <f t="shared" ca="1" si="56"/>
        <v>167</v>
      </c>
      <c r="AK186" s="351"/>
    </row>
    <row r="187" spans="1:37">
      <c r="A187" s="74">
        <v>168</v>
      </c>
      <c r="B187" s="252"/>
      <c r="C187" s="293" t="str">
        <f t="shared" si="59"/>
        <v/>
      </c>
      <c r="D187" s="294" t="str">
        <f t="shared" si="60"/>
        <v/>
      </c>
      <c r="E187" s="287"/>
      <c r="F187" s="293" t="str">
        <f t="shared" si="43"/>
        <v/>
      </c>
      <c r="G187" s="294" t="str">
        <f t="shared" si="44"/>
        <v/>
      </c>
      <c r="H187" s="290"/>
      <c r="I187" s="254" t="str">
        <f t="shared" ca="1" si="52"/>
        <v>1</v>
      </c>
      <c r="J187" s="254" t="str">
        <f t="shared" ca="1" si="53"/>
        <v>1</v>
      </c>
      <c r="K187" s="230" t="str">
        <f>IF(Giocatori!B176=0,"",Giocatori!B176)</f>
        <v>DRAME'</v>
      </c>
      <c r="L187" s="230" t="str">
        <f>IF(Giocatori!A176=0,"",Giocatori!A176)</f>
        <v>D</v>
      </c>
      <c r="M187" s="230" t="str">
        <f>IF(Giocatori!C176=0,"",Giocatori!C176)</f>
        <v>Atalanta</v>
      </c>
      <c r="N187" s="69" t="str">
        <f t="shared" si="45"/>
        <v/>
      </c>
      <c r="O187" t="str">
        <f t="shared" si="46"/>
        <v>DRAME'</v>
      </c>
      <c r="P187" s="7">
        <f t="shared" ca="1" si="54"/>
        <v>187</v>
      </c>
      <c r="Q187" s="7" t="str">
        <f t="shared" ca="1" si="47"/>
        <v>DRAME'</v>
      </c>
      <c r="Z187" s="256"/>
      <c r="AA187" s="219"/>
      <c r="AB187" s="293" t="str">
        <f t="shared" si="48"/>
        <v/>
      </c>
      <c r="AC187" s="294" t="str">
        <f t="shared" si="49"/>
        <v/>
      </c>
      <c r="AD187" s="219"/>
      <c r="AE187" s="219"/>
      <c r="AF187" s="293" t="str">
        <f>IF(AA187="","",VLOOKUP(AA187,Asta!$B:$H,7,FALSE))</f>
        <v/>
      </c>
      <c r="AG187" s="294" t="str">
        <f t="shared" si="50"/>
        <v/>
      </c>
      <c r="AH187" t="str">
        <f t="shared" si="51"/>
        <v/>
      </c>
      <c r="AI187" s="254" t="str">
        <f t="shared" ca="1" si="55"/>
        <v>168</v>
      </c>
      <c r="AJ187" s="254" t="str">
        <f t="shared" ca="1" si="56"/>
        <v>168</v>
      </c>
      <c r="AK187" s="351"/>
    </row>
    <row r="188" spans="1:37">
      <c r="A188" s="74">
        <v>169</v>
      </c>
      <c r="B188" s="252"/>
      <c r="C188" s="293" t="str">
        <f t="shared" si="59"/>
        <v/>
      </c>
      <c r="D188" s="294" t="str">
        <f t="shared" si="60"/>
        <v/>
      </c>
      <c r="E188" s="287"/>
      <c r="F188" s="293" t="str">
        <f t="shared" si="43"/>
        <v/>
      </c>
      <c r="G188" s="294" t="str">
        <f t="shared" si="44"/>
        <v/>
      </c>
      <c r="H188" s="290"/>
      <c r="I188" s="254" t="str">
        <f t="shared" ca="1" si="52"/>
        <v>1</v>
      </c>
      <c r="J188" s="254" t="str">
        <f t="shared" ca="1" si="53"/>
        <v>1</v>
      </c>
      <c r="K188" s="230" t="str">
        <f>IF(Giocatori!B177=0,"",Giocatori!B177)</f>
        <v>DUNCAN</v>
      </c>
      <c r="L188" s="230" t="str">
        <f>IF(Giocatori!A177=0,"",Giocatori!A177)</f>
        <v>C</v>
      </c>
      <c r="M188" s="230" t="str">
        <f>IF(Giocatori!C177=0,"",Giocatori!C177)</f>
        <v>Sassuolo</v>
      </c>
      <c r="N188" s="69" t="str">
        <f t="shared" si="45"/>
        <v/>
      </c>
      <c r="O188" t="str">
        <f t="shared" si="46"/>
        <v>DUNCAN</v>
      </c>
      <c r="P188" s="7">
        <f t="shared" ca="1" si="54"/>
        <v>188</v>
      </c>
      <c r="Q188" s="7" t="str">
        <f t="shared" ca="1" si="47"/>
        <v>DUNCAN</v>
      </c>
      <c r="Z188" s="256"/>
      <c r="AA188" s="219"/>
      <c r="AB188" s="293" t="str">
        <f t="shared" si="48"/>
        <v/>
      </c>
      <c r="AC188" s="294" t="str">
        <f t="shared" si="49"/>
        <v/>
      </c>
      <c r="AD188" s="219"/>
      <c r="AE188" s="219"/>
      <c r="AF188" s="293" t="str">
        <f>IF(AA188="","",VLOOKUP(AA188,Asta!$B:$H,7,FALSE))</f>
        <v/>
      </c>
      <c r="AG188" s="294" t="str">
        <f t="shared" si="50"/>
        <v/>
      </c>
      <c r="AH188" t="str">
        <f t="shared" si="51"/>
        <v/>
      </c>
      <c r="AI188" s="254" t="str">
        <f t="shared" ca="1" si="55"/>
        <v>169</v>
      </c>
      <c r="AJ188" s="254" t="str">
        <f t="shared" ca="1" si="56"/>
        <v>169</v>
      </c>
      <c r="AK188" s="351"/>
    </row>
    <row r="189" spans="1:37">
      <c r="A189" s="74">
        <v>170</v>
      </c>
      <c r="B189" s="252"/>
      <c r="C189" s="293" t="str">
        <f t="shared" si="59"/>
        <v/>
      </c>
      <c r="D189" s="294" t="str">
        <f t="shared" si="60"/>
        <v/>
      </c>
      <c r="E189" s="287"/>
      <c r="F189" s="293" t="str">
        <f t="shared" si="43"/>
        <v/>
      </c>
      <c r="G189" s="294" t="str">
        <f t="shared" si="44"/>
        <v/>
      </c>
      <c r="H189" s="290"/>
      <c r="I189" s="254" t="str">
        <f t="shared" ca="1" si="52"/>
        <v>1</v>
      </c>
      <c r="J189" s="254" t="str">
        <f t="shared" ca="1" si="53"/>
        <v>1</v>
      </c>
      <c r="K189" s="230" t="str">
        <f>IF(Giocatori!B178=0,"",Giocatori!B178)</f>
        <v>DYBALA</v>
      </c>
      <c r="L189" s="230" t="str">
        <f>IF(Giocatori!A178=0,"",Giocatori!A178)</f>
        <v>A</v>
      </c>
      <c r="M189" s="230" t="str">
        <f>IF(Giocatori!C178=0,"",Giocatori!C178)</f>
        <v>Juventus</v>
      </c>
      <c r="N189" s="69" t="str">
        <f t="shared" si="45"/>
        <v/>
      </c>
      <c r="O189" t="str">
        <f t="shared" si="46"/>
        <v>DYBALA</v>
      </c>
      <c r="P189" s="7">
        <f t="shared" ca="1" si="54"/>
        <v>189</v>
      </c>
      <c r="Q189" s="7" t="str">
        <f t="shared" ca="1" si="47"/>
        <v>DYBALA</v>
      </c>
      <c r="Z189" s="256"/>
      <c r="AA189" s="219"/>
      <c r="AB189" s="293" t="str">
        <f t="shared" si="48"/>
        <v/>
      </c>
      <c r="AC189" s="294" t="str">
        <f t="shared" si="49"/>
        <v/>
      </c>
      <c r="AD189" s="219"/>
      <c r="AE189" s="219"/>
      <c r="AF189" s="293" t="str">
        <f>IF(AA189="","",VLOOKUP(AA189,Asta!$B:$H,7,FALSE))</f>
        <v/>
      </c>
      <c r="AG189" s="294" t="str">
        <f t="shared" si="50"/>
        <v/>
      </c>
      <c r="AH189" t="str">
        <f t="shared" si="51"/>
        <v/>
      </c>
      <c r="AI189" s="254" t="str">
        <f t="shared" ca="1" si="55"/>
        <v>170</v>
      </c>
      <c r="AJ189" s="254" t="str">
        <f t="shared" ca="1" si="56"/>
        <v>170</v>
      </c>
      <c r="AK189" s="351"/>
    </row>
    <row r="190" spans="1:37">
      <c r="A190" s="74">
        <v>171</v>
      </c>
      <c r="B190" s="252"/>
      <c r="C190" s="293" t="str">
        <f t="shared" si="59"/>
        <v/>
      </c>
      <c r="D190" s="294" t="str">
        <f t="shared" si="60"/>
        <v/>
      </c>
      <c r="E190" s="287"/>
      <c r="F190" s="293" t="str">
        <f t="shared" si="43"/>
        <v/>
      </c>
      <c r="G190" s="294" t="str">
        <f t="shared" si="44"/>
        <v/>
      </c>
      <c r="H190" s="290"/>
      <c r="I190" s="254" t="str">
        <f t="shared" ca="1" si="52"/>
        <v>1</v>
      </c>
      <c r="J190" s="254" t="str">
        <f t="shared" ca="1" si="53"/>
        <v>1</v>
      </c>
      <c r="K190" s="230" t="str">
        <f>IF(Giocatori!B179=0,"",Giocatori!B179)</f>
        <v>DZEKO</v>
      </c>
      <c r="L190" s="230" t="str">
        <f>IF(Giocatori!A179=0,"",Giocatori!A179)</f>
        <v>A</v>
      </c>
      <c r="M190" s="230" t="str">
        <f>IF(Giocatori!C179=0,"",Giocatori!C179)</f>
        <v>Roma</v>
      </c>
      <c r="N190" s="69" t="str">
        <f t="shared" si="45"/>
        <v/>
      </c>
      <c r="O190" t="str">
        <f t="shared" si="46"/>
        <v>DZEKO</v>
      </c>
      <c r="P190" s="7">
        <f t="shared" ca="1" si="54"/>
        <v>190</v>
      </c>
      <c r="Q190" s="7" t="str">
        <f t="shared" ca="1" si="47"/>
        <v>DZEKO</v>
      </c>
      <c r="Z190" s="256"/>
      <c r="AA190" s="219"/>
      <c r="AB190" s="293" t="str">
        <f t="shared" si="48"/>
        <v/>
      </c>
      <c r="AC190" s="294" t="str">
        <f t="shared" si="49"/>
        <v/>
      </c>
      <c r="AD190" s="219"/>
      <c r="AE190" s="219"/>
      <c r="AF190" s="293" t="str">
        <f>IF(AA190="","",VLOOKUP(AA190,Asta!$B:$H,7,FALSE))</f>
        <v/>
      </c>
      <c r="AG190" s="294" t="str">
        <f t="shared" si="50"/>
        <v/>
      </c>
      <c r="AH190" t="str">
        <f t="shared" si="51"/>
        <v/>
      </c>
      <c r="AI190" s="254" t="str">
        <f t="shared" ca="1" si="55"/>
        <v>171</v>
      </c>
      <c r="AJ190" s="254" t="str">
        <f t="shared" ca="1" si="56"/>
        <v>171</v>
      </c>
      <c r="AK190" s="351"/>
    </row>
    <row r="191" spans="1:37">
      <c r="A191" s="74">
        <v>172</v>
      </c>
      <c r="B191" s="252"/>
      <c r="C191" s="293" t="str">
        <f t="shared" si="59"/>
        <v/>
      </c>
      <c r="D191" s="294" t="str">
        <f t="shared" si="60"/>
        <v/>
      </c>
      <c r="E191" s="287"/>
      <c r="F191" s="293" t="str">
        <f t="shared" si="43"/>
        <v/>
      </c>
      <c r="G191" s="294" t="str">
        <f t="shared" si="44"/>
        <v/>
      </c>
      <c r="H191" s="290"/>
      <c r="I191" s="254" t="str">
        <f t="shared" ca="1" si="52"/>
        <v>1</v>
      </c>
      <c r="J191" s="254" t="str">
        <f t="shared" ca="1" si="53"/>
        <v>1</v>
      </c>
      <c r="K191" s="230" t="str">
        <f>IF(Giocatori!B180=0,"",Giocatori!B180)</f>
        <v>EDER</v>
      </c>
      <c r="L191" s="230" t="str">
        <f>IF(Giocatori!A180=0,"",Giocatori!A180)</f>
        <v>A</v>
      </c>
      <c r="M191" s="230" t="str">
        <f>IF(Giocatori!C180=0,"",Giocatori!C180)</f>
        <v>Inter</v>
      </c>
      <c r="N191" s="69" t="str">
        <f t="shared" si="45"/>
        <v/>
      </c>
      <c r="O191" t="str">
        <f t="shared" si="46"/>
        <v>EDER</v>
      </c>
      <c r="P191" s="7">
        <f t="shared" ca="1" si="54"/>
        <v>191</v>
      </c>
      <c r="Q191" s="7" t="str">
        <f t="shared" ca="1" si="47"/>
        <v>EDER</v>
      </c>
      <c r="Z191" s="256"/>
      <c r="AA191" s="219"/>
      <c r="AB191" s="293" t="str">
        <f t="shared" si="48"/>
        <v/>
      </c>
      <c r="AC191" s="294" t="str">
        <f t="shared" si="49"/>
        <v/>
      </c>
      <c r="AD191" s="219"/>
      <c r="AE191" s="219"/>
      <c r="AF191" s="293" t="str">
        <f>IF(AA191="","",VLOOKUP(AA191,Asta!$B:$H,7,FALSE))</f>
        <v/>
      </c>
      <c r="AG191" s="294" t="str">
        <f t="shared" si="50"/>
        <v/>
      </c>
      <c r="AH191" t="str">
        <f t="shared" si="51"/>
        <v/>
      </c>
      <c r="AI191" s="254" t="str">
        <f t="shared" ca="1" si="55"/>
        <v>172</v>
      </c>
      <c r="AJ191" s="254" t="str">
        <f t="shared" ca="1" si="56"/>
        <v>172</v>
      </c>
      <c r="AK191" s="351"/>
    </row>
    <row r="192" spans="1:37">
      <c r="A192" s="74">
        <v>173</v>
      </c>
      <c r="B192" s="252"/>
      <c r="C192" s="293" t="str">
        <f t="shared" si="59"/>
        <v/>
      </c>
      <c r="D192" s="294" t="str">
        <f t="shared" si="60"/>
        <v/>
      </c>
      <c r="E192" s="287"/>
      <c r="F192" s="293" t="str">
        <f t="shared" si="43"/>
        <v/>
      </c>
      <c r="G192" s="294" t="str">
        <f t="shared" si="44"/>
        <v/>
      </c>
      <c r="H192" s="290"/>
      <c r="I192" s="254" t="str">
        <f t="shared" ca="1" si="52"/>
        <v>1</v>
      </c>
      <c r="J192" s="254" t="str">
        <f t="shared" ca="1" si="53"/>
        <v>1</v>
      </c>
      <c r="K192" s="230" t="str">
        <f>IF(Giocatori!B181=0,"",Giocatori!B181)</f>
        <v>EDERA</v>
      </c>
      <c r="L192" s="230" t="str">
        <f>IF(Giocatori!A181=0,"",Giocatori!A181)</f>
        <v>A</v>
      </c>
      <c r="M192" s="230" t="str">
        <f>IF(Giocatori!C181=0,"",Giocatori!C181)</f>
        <v>Torino</v>
      </c>
      <c r="N192" s="69" t="str">
        <f t="shared" si="45"/>
        <v/>
      </c>
      <c r="O192" t="str">
        <f t="shared" si="46"/>
        <v>EDERA</v>
      </c>
      <c r="P192" s="7">
        <f t="shared" ca="1" si="54"/>
        <v>192</v>
      </c>
      <c r="Q192" s="7" t="str">
        <f t="shared" ca="1" si="47"/>
        <v>EDERA</v>
      </c>
      <c r="Z192" s="256"/>
      <c r="AA192" s="219"/>
      <c r="AB192" s="293" t="str">
        <f t="shared" si="48"/>
        <v/>
      </c>
      <c r="AC192" s="294" t="str">
        <f t="shared" si="49"/>
        <v/>
      </c>
      <c r="AD192" s="219"/>
      <c r="AE192" s="219"/>
      <c r="AF192" s="293" t="str">
        <f>IF(AA192="","",VLOOKUP(AA192,Asta!$B:$H,7,FALSE))</f>
        <v/>
      </c>
      <c r="AG192" s="294" t="str">
        <f t="shared" si="50"/>
        <v/>
      </c>
      <c r="AH192" t="str">
        <f t="shared" si="51"/>
        <v/>
      </c>
      <c r="AI192" s="254" t="str">
        <f t="shared" ca="1" si="55"/>
        <v>173</v>
      </c>
      <c r="AJ192" s="254" t="str">
        <f t="shared" ca="1" si="56"/>
        <v>173</v>
      </c>
      <c r="AK192" s="351"/>
    </row>
    <row r="193" spans="1:37">
      <c r="A193" s="74">
        <v>174</v>
      </c>
      <c r="B193" s="252"/>
      <c r="C193" s="293" t="str">
        <f t="shared" si="59"/>
        <v/>
      </c>
      <c r="D193" s="294" t="str">
        <f t="shared" si="60"/>
        <v/>
      </c>
      <c r="E193" s="287"/>
      <c r="F193" s="293" t="str">
        <f t="shared" si="43"/>
        <v/>
      </c>
      <c r="G193" s="294" t="str">
        <f t="shared" si="44"/>
        <v/>
      </c>
      <c r="H193" s="290"/>
      <c r="I193" s="254" t="str">
        <f t="shared" ca="1" si="52"/>
        <v>1</v>
      </c>
      <c r="J193" s="254" t="str">
        <f t="shared" ca="1" si="53"/>
        <v>1</v>
      </c>
      <c r="K193" s="230" t="str">
        <f>IF(Giocatori!B182=0,"",Giocatori!B182)</f>
        <v>EL SHAARAWY</v>
      </c>
      <c r="L193" s="230" t="str">
        <f>IF(Giocatori!A182=0,"",Giocatori!A182)</f>
        <v>A</v>
      </c>
      <c r="M193" s="230" t="str">
        <f>IF(Giocatori!C182=0,"",Giocatori!C182)</f>
        <v>Roma</v>
      </c>
      <c r="N193" s="69" t="str">
        <f t="shared" si="45"/>
        <v/>
      </c>
      <c r="O193" t="str">
        <f t="shared" si="46"/>
        <v>EL SHAARAWY</v>
      </c>
      <c r="P193" s="7">
        <f t="shared" ca="1" si="54"/>
        <v>193</v>
      </c>
      <c r="Q193" s="7" t="str">
        <f t="shared" ca="1" si="47"/>
        <v>EL SHAARAWY</v>
      </c>
      <c r="Z193" s="256"/>
      <c r="AA193" s="219"/>
      <c r="AB193" s="293" t="str">
        <f t="shared" si="48"/>
        <v/>
      </c>
      <c r="AC193" s="294" t="str">
        <f t="shared" si="49"/>
        <v/>
      </c>
      <c r="AD193" s="219"/>
      <c r="AE193" s="219"/>
      <c r="AF193" s="293" t="str">
        <f>IF(AA193="","",VLOOKUP(AA193,Asta!$B:$H,7,FALSE))</f>
        <v/>
      </c>
      <c r="AG193" s="294" t="str">
        <f t="shared" si="50"/>
        <v/>
      </c>
      <c r="AH193" t="str">
        <f t="shared" si="51"/>
        <v/>
      </c>
      <c r="AI193" s="254" t="str">
        <f t="shared" ca="1" si="55"/>
        <v>174</v>
      </c>
      <c r="AJ193" s="254" t="str">
        <f t="shared" ca="1" si="56"/>
        <v>174</v>
      </c>
      <c r="AK193" s="351"/>
    </row>
    <row r="194" spans="1:37">
      <c r="A194" s="74">
        <v>175</v>
      </c>
      <c r="B194" s="252"/>
      <c r="C194" s="293" t="str">
        <f t="shared" si="59"/>
        <v/>
      </c>
      <c r="D194" s="294" t="str">
        <f t="shared" si="60"/>
        <v/>
      </c>
      <c r="E194" s="287"/>
      <c r="F194" s="293" t="str">
        <f t="shared" si="43"/>
        <v/>
      </c>
      <c r="G194" s="294" t="str">
        <f t="shared" si="44"/>
        <v/>
      </c>
      <c r="H194" s="290"/>
      <c r="I194" s="254" t="str">
        <f t="shared" ca="1" si="52"/>
        <v>1</v>
      </c>
      <c r="J194" s="254" t="str">
        <f t="shared" ca="1" si="53"/>
        <v>1</v>
      </c>
      <c r="K194" s="230" t="str">
        <f>IF(Giocatori!B183=0,"",Giocatori!B183)</f>
        <v>EMERSON</v>
      </c>
      <c r="L194" s="230" t="str">
        <f>IF(Giocatori!A183=0,"",Giocatori!A183)</f>
        <v>D</v>
      </c>
      <c r="M194" s="230" t="str">
        <f>IF(Giocatori!C183=0,"",Giocatori!C183)</f>
        <v>Roma</v>
      </c>
      <c r="N194" s="69" t="str">
        <f t="shared" si="45"/>
        <v/>
      </c>
      <c r="O194" t="str">
        <f t="shared" si="46"/>
        <v>EMERSON</v>
      </c>
      <c r="P194" s="7">
        <f t="shared" ca="1" si="54"/>
        <v>194</v>
      </c>
      <c r="Q194" s="7" t="str">
        <f t="shared" ca="1" si="47"/>
        <v>EMERSON</v>
      </c>
      <c r="Z194" s="256"/>
      <c r="AA194" s="219"/>
      <c r="AB194" s="293" t="str">
        <f t="shared" si="48"/>
        <v/>
      </c>
      <c r="AC194" s="294" t="str">
        <f t="shared" si="49"/>
        <v/>
      </c>
      <c r="AD194" s="219"/>
      <c r="AE194" s="219"/>
      <c r="AF194" s="293" t="str">
        <f>IF(AA194="","",VLOOKUP(AA194,Asta!$B:$H,7,FALSE))</f>
        <v/>
      </c>
      <c r="AG194" s="294" t="str">
        <f t="shared" si="50"/>
        <v/>
      </c>
      <c r="AH194" t="str">
        <f t="shared" si="51"/>
        <v/>
      </c>
      <c r="AI194" s="254" t="str">
        <f t="shared" ca="1" si="55"/>
        <v>175</v>
      </c>
      <c r="AJ194" s="254" t="str">
        <f t="shared" ca="1" si="56"/>
        <v>175</v>
      </c>
      <c r="AK194" s="351"/>
    </row>
    <row r="195" spans="1:37">
      <c r="A195" s="74">
        <v>176</v>
      </c>
      <c r="B195" s="252"/>
      <c r="C195" s="293" t="str">
        <f t="shared" si="59"/>
        <v/>
      </c>
      <c r="D195" s="294" t="str">
        <f t="shared" si="60"/>
        <v/>
      </c>
      <c r="E195" s="287"/>
      <c r="F195" s="293" t="str">
        <f t="shared" si="43"/>
        <v/>
      </c>
      <c r="G195" s="294" t="str">
        <f t="shared" si="44"/>
        <v/>
      </c>
      <c r="H195" s="290"/>
      <c r="I195" s="254" t="str">
        <f t="shared" ca="1" si="52"/>
        <v>1</v>
      </c>
      <c r="J195" s="254" t="str">
        <f t="shared" ca="1" si="53"/>
        <v>1</v>
      </c>
      <c r="K195" s="230" t="str">
        <f>IF(Giocatori!B184=0,"",Giocatori!B184)</f>
        <v>EWANDRO</v>
      </c>
      <c r="L195" s="230" t="str">
        <f>IF(Giocatori!A184=0,"",Giocatori!A184)</f>
        <v>C</v>
      </c>
      <c r="M195" s="230" t="str">
        <f>IF(Giocatori!C184=0,"",Giocatori!C184)</f>
        <v>Udinese</v>
      </c>
      <c r="N195" s="69" t="str">
        <f t="shared" si="45"/>
        <v/>
      </c>
      <c r="O195" t="str">
        <f t="shared" si="46"/>
        <v>EWANDRO</v>
      </c>
      <c r="P195" s="7">
        <f t="shared" ca="1" si="54"/>
        <v>195</v>
      </c>
      <c r="Q195" s="7" t="str">
        <f t="shared" ca="1" si="47"/>
        <v>EWANDRO</v>
      </c>
      <c r="Z195" s="256"/>
      <c r="AA195" s="219"/>
      <c r="AB195" s="293" t="str">
        <f t="shared" si="48"/>
        <v/>
      </c>
      <c r="AC195" s="294" t="str">
        <f t="shared" si="49"/>
        <v/>
      </c>
      <c r="AD195" s="219"/>
      <c r="AE195" s="219"/>
      <c r="AF195" s="293" t="str">
        <f>IF(AA195="","",VLOOKUP(AA195,Asta!$B:$H,7,FALSE))</f>
        <v/>
      </c>
      <c r="AG195" s="294" t="str">
        <f t="shared" si="50"/>
        <v/>
      </c>
      <c r="AH195" t="str">
        <f t="shared" si="51"/>
        <v/>
      </c>
      <c r="AI195" s="254" t="str">
        <f t="shared" ca="1" si="55"/>
        <v>176</v>
      </c>
      <c r="AJ195" s="254" t="str">
        <f t="shared" ca="1" si="56"/>
        <v>176</v>
      </c>
      <c r="AK195" s="351"/>
    </row>
    <row r="196" spans="1:37">
      <c r="A196" s="74">
        <v>177</v>
      </c>
      <c r="B196" s="252"/>
      <c r="C196" s="293" t="str">
        <f t="shared" si="59"/>
        <v/>
      </c>
      <c r="D196" s="294" t="str">
        <f t="shared" si="60"/>
        <v/>
      </c>
      <c r="E196" s="287"/>
      <c r="F196" s="293" t="str">
        <f t="shared" si="43"/>
        <v/>
      </c>
      <c r="G196" s="294" t="str">
        <f t="shared" si="44"/>
        <v/>
      </c>
      <c r="H196" s="290"/>
      <c r="I196" s="254" t="str">
        <f t="shared" ca="1" si="52"/>
        <v>1</v>
      </c>
      <c r="J196" s="254" t="str">
        <f t="shared" ca="1" si="53"/>
        <v>1</v>
      </c>
      <c r="K196" s="230" t="str">
        <f>IF(Giocatori!B185=0,"",Giocatori!B185)</f>
        <v>EYSSERIC</v>
      </c>
      <c r="L196" s="230" t="str">
        <f>IF(Giocatori!A185=0,"",Giocatori!A185)</f>
        <v>C</v>
      </c>
      <c r="M196" s="230" t="str">
        <f>IF(Giocatori!C185=0,"",Giocatori!C185)</f>
        <v>Fiorentina</v>
      </c>
      <c r="N196" s="69" t="str">
        <f t="shared" si="45"/>
        <v/>
      </c>
      <c r="O196" t="str">
        <f t="shared" si="46"/>
        <v>EYSSERIC</v>
      </c>
      <c r="P196" s="7">
        <f t="shared" ca="1" si="54"/>
        <v>196</v>
      </c>
      <c r="Q196" s="7" t="str">
        <f t="shared" ca="1" si="47"/>
        <v>EYSSERIC</v>
      </c>
      <c r="Z196" s="256"/>
      <c r="AA196" s="219"/>
      <c r="AB196" s="293" t="str">
        <f t="shared" si="48"/>
        <v/>
      </c>
      <c r="AC196" s="294" t="str">
        <f t="shared" si="49"/>
        <v/>
      </c>
      <c r="AD196" s="219"/>
      <c r="AE196" s="219"/>
      <c r="AF196" s="293" t="str">
        <f>IF(AA196="","",VLOOKUP(AA196,Asta!$B:$H,7,FALSE))</f>
        <v/>
      </c>
      <c r="AG196" s="294" t="str">
        <f t="shared" si="50"/>
        <v/>
      </c>
      <c r="AH196" t="str">
        <f t="shared" si="51"/>
        <v/>
      </c>
      <c r="AI196" s="254" t="str">
        <f t="shared" ca="1" si="55"/>
        <v>177</v>
      </c>
      <c r="AJ196" s="254" t="str">
        <f t="shared" ca="1" si="56"/>
        <v>177</v>
      </c>
      <c r="AK196" s="351"/>
    </row>
    <row r="197" spans="1:37">
      <c r="A197" s="74">
        <v>178</v>
      </c>
      <c r="B197" s="252"/>
      <c r="C197" s="293" t="str">
        <f t="shared" si="59"/>
        <v/>
      </c>
      <c r="D197" s="294" t="str">
        <f t="shared" si="60"/>
        <v/>
      </c>
      <c r="E197" s="287"/>
      <c r="F197" s="293" t="str">
        <f t="shared" si="43"/>
        <v/>
      </c>
      <c r="G197" s="294" t="str">
        <f t="shared" si="44"/>
        <v/>
      </c>
      <c r="H197" s="290"/>
      <c r="I197" s="254" t="str">
        <f t="shared" ca="1" si="52"/>
        <v>1</v>
      </c>
      <c r="J197" s="254" t="str">
        <f t="shared" ca="1" si="53"/>
        <v>1</v>
      </c>
      <c r="K197" s="230" t="str">
        <f>IF(Giocatori!B186=0,"",Giocatori!B186)</f>
        <v>FALCINELLI</v>
      </c>
      <c r="L197" s="230" t="str">
        <f>IF(Giocatori!A186=0,"",Giocatori!A186)</f>
        <v>A</v>
      </c>
      <c r="M197" s="230" t="str">
        <f>IF(Giocatori!C186=0,"",Giocatori!C186)</f>
        <v>Sassuolo</v>
      </c>
      <c r="N197" s="69" t="str">
        <f t="shared" si="45"/>
        <v/>
      </c>
      <c r="O197" t="str">
        <f t="shared" si="46"/>
        <v>FALCINELLI</v>
      </c>
      <c r="P197" s="7">
        <f t="shared" ca="1" si="54"/>
        <v>197</v>
      </c>
      <c r="Q197" s="7" t="str">
        <f t="shared" ca="1" si="47"/>
        <v>FALCINELLI</v>
      </c>
      <c r="Z197" s="256"/>
      <c r="AA197" s="219"/>
      <c r="AB197" s="293" t="str">
        <f t="shared" si="48"/>
        <v/>
      </c>
      <c r="AC197" s="294" t="str">
        <f t="shared" si="49"/>
        <v/>
      </c>
      <c r="AD197" s="219"/>
      <c r="AE197" s="219"/>
      <c r="AF197" s="293" t="str">
        <f>IF(AA197="","",VLOOKUP(AA197,Asta!$B:$H,7,FALSE))</f>
        <v/>
      </c>
      <c r="AG197" s="294" t="str">
        <f t="shared" si="50"/>
        <v/>
      </c>
      <c r="AH197" t="str">
        <f t="shared" si="51"/>
        <v/>
      </c>
      <c r="AI197" s="254" t="str">
        <f t="shared" ca="1" si="55"/>
        <v>178</v>
      </c>
      <c r="AJ197" s="254" t="str">
        <f t="shared" ca="1" si="56"/>
        <v>178</v>
      </c>
      <c r="AK197" s="351"/>
    </row>
    <row r="198" spans="1:37">
      <c r="A198" s="74">
        <v>179</v>
      </c>
      <c r="B198" s="252"/>
      <c r="C198" s="293" t="str">
        <f t="shared" si="59"/>
        <v/>
      </c>
      <c r="D198" s="294" t="str">
        <f t="shared" si="60"/>
        <v/>
      </c>
      <c r="E198" s="287"/>
      <c r="F198" s="293" t="str">
        <f t="shared" si="43"/>
        <v/>
      </c>
      <c r="G198" s="294" t="str">
        <f t="shared" si="44"/>
        <v/>
      </c>
      <c r="H198" s="290"/>
      <c r="I198" s="254" t="str">
        <f t="shared" ca="1" si="52"/>
        <v>1</v>
      </c>
      <c r="J198" s="254" t="str">
        <f t="shared" ca="1" si="53"/>
        <v>1</v>
      </c>
      <c r="K198" s="230" t="str">
        <f>IF(Giocatori!B187=0,"",Giocatori!B187)</f>
        <v>FALLETTI</v>
      </c>
      <c r="L198" s="230" t="str">
        <f>IF(Giocatori!A187=0,"",Giocatori!A187)</f>
        <v>C</v>
      </c>
      <c r="M198" s="230" t="str">
        <f>IF(Giocatori!C187=0,"",Giocatori!C187)</f>
        <v>Bologna</v>
      </c>
      <c r="N198" s="69" t="str">
        <f t="shared" si="45"/>
        <v/>
      </c>
      <c r="O198" t="str">
        <f t="shared" si="46"/>
        <v>FALLETTI</v>
      </c>
      <c r="P198" s="7">
        <f t="shared" ca="1" si="54"/>
        <v>198</v>
      </c>
      <c r="Q198" s="7" t="str">
        <f t="shared" ca="1" si="47"/>
        <v>FALLETTI</v>
      </c>
      <c r="Z198" s="256"/>
      <c r="AA198" s="219"/>
      <c r="AB198" s="293" t="str">
        <f t="shared" si="48"/>
        <v/>
      </c>
      <c r="AC198" s="294" t="str">
        <f t="shared" si="49"/>
        <v/>
      </c>
      <c r="AD198" s="219"/>
      <c r="AE198" s="219"/>
      <c r="AF198" s="293" t="str">
        <f>IF(AA198="","",VLOOKUP(AA198,Asta!$B:$H,7,FALSE))</f>
        <v/>
      </c>
      <c r="AG198" s="294" t="str">
        <f t="shared" si="50"/>
        <v/>
      </c>
      <c r="AH198" t="str">
        <f t="shared" si="51"/>
        <v/>
      </c>
      <c r="AI198" s="254" t="str">
        <f t="shared" ca="1" si="55"/>
        <v>179</v>
      </c>
      <c r="AJ198" s="254" t="str">
        <f t="shared" ca="1" si="56"/>
        <v>179</v>
      </c>
      <c r="AK198" s="351"/>
    </row>
    <row r="199" spans="1:37">
      <c r="A199" s="74">
        <v>180</v>
      </c>
      <c r="B199" s="252"/>
      <c r="C199" s="293" t="str">
        <f t="shared" si="59"/>
        <v/>
      </c>
      <c r="D199" s="294" t="str">
        <f t="shared" si="60"/>
        <v/>
      </c>
      <c r="E199" s="287"/>
      <c r="F199" s="293" t="str">
        <f t="shared" si="43"/>
        <v/>
      </c>
      <c r="G199" s="294" t="str">
        <f t="shared" si="44"/>
        <v/>
      </c>
      <c r="H199" s="290"/>
      <c r="I199" s="254" t="str">
        <f t="shared" ca="1" si="52"/>
        <v>1</v>
      </c>
      <c r="J199" s="254" t="str">
        <f t="shared" ca="1" si="53"/>
        <v>1</v>
      </c>
      <c r="K199" s="230" t="str">
        <f>IF(Giocatori!B188=0,"",Giocatori!B188)</f>
        <v>FARAGO'</v>
      </c>
      <c r="L199" s="230" t="str">
        <f>IF(Giocatori!A188=0,"",Giocatori!A188)</f>
        <v>C</v>
      </c>
      <c r="M199" s="230" t="str">
        <f>IF(Giocatori!C188=0,"",Giocatori!C188)</f>
        <v>Cagliari</v>
      </c>
      <c r="N199" s="69" t="str">
        <f t="shared" si="45"/>
        <v/>
      </c>
      <c r="O199" t="str">
        <f t="shared" si="46"/>
        <v>FARAGO'</v>
      </c>
      <c r="P199" s="7">
        <f t="shared" ca="1" si="54"/>
        <v>199</v>
      </c>
      <c r="Q199" s="7" t="str">
        <f t="shared" ca="1" si="47"/>
        <v>FARAGO'</v>
      </c>
      <c r="Z199" s="256"/>
      <c r="AA199" s="219"/>
      <c r="AB199" s="293" t="str">
        <f t="shared" si="48"/>
        <v/>
      </c>
      <c r="AC199" s="294" t="str">
        <f t="shared" si="49"/>
        <v/>
      </c>
      <c r="AD199" s="219"/>
      <c r="AE199" s="219"/>
      <c r="AF199" s="293" t="str">
        <f>IF(AA199="","",VLOOKUP(AA199,Asta!$B:$H,7,FALSE))</f>
        <v/>
      </c>
      <c r="AG199" s="294" t="str">
        <f t="shared" si="50"/>
        <v/>
      </c>
      <c r="AH199" t="str">
        <f t="shared" si="51"/>
        <v/>
      </c>
      <c r="AI199" s="254" t="str">
        <f t="shared" ca="1" si="55"/>
        <v>180</v>
      </c>
      <c r="AJ199" s="254" t="str">
        <f t="shared" ca="1" si="56"/>
        <v>180</v>
      </c>
      <c r="AK199" s="351"/>
    </row>
    <row r="200" spans="1:37">
      <c r="A200" s="74">
        <v>181</v>
      </c>
      <c r="B200" s="252"/>
      <c r="C200" s="293" t="str">
        <f t="shared" si="59"/>
        <v/>
      </c>
      <c r="D200" s="294" t="str">
        <f t="shared" si="60"/>
        <v/>
      </c>
      <c r="E200" s="287"/>
      <c r="F200" s="293" t="str">
        <f t="shared" si="43"/>
        <v/>
      </c>
      <c r="G200" s="294" t="str">
        <f t="shared" si="44"/>
        <v/>
      </c>
      <c r="H200" s="290"/>
      <c r="I200" s="254" t="str">
        <f t="shared" ca="1" si="52"/>
        <v>1</v>
      </c>
      <c r="J200" s="254" t="str">
        <f t="shared" ca="1" si="53"/>
        <v>1</v>
      </c>
      <c r="K200" s="230" t="str">
        <f>IF(Giocatori!B189=0,"",Giocatori!B189)</f>
        <v>FARAONI</v>
      </c>
      <c r="L200" s="230" t="str">
        <f>IF(Giocatori!A189=0,"",Giocatori!A189)</f>
        <v>D</v>
      </c>
      <c r="M200" s="230" t="str">
        <f>IF(Giocatori!C189=0,"",Giocatori!C189)</f>
        <v>Crotone</v>
      </c>
      <c r="N200" s="69" t="str">
        <f t="shared" si="45"/>
        <v/>
      </c>
      <c r="O200" t="str">
        <f t="shared" si="46"/>
        <v>FARAONI</v>
      </c>
      <c r="P200" s="7">
        <f t="shared" ca="1" si="54"/>
        <v>200</v>
      </c>
      <c r="Q200" s="7" t="str">
        <f t="shared" ca="1" si="47"/>
        <v>FARAONI</v>
      </c>
      <c r="Z200" s="256"/>
      <c r="AA200" s="219"/>
      <c r="AB200" s="293" t="str">
        <f t="shared" si="48"/>
        <v/>
      </c>
      <c r="AC200" s="294" t="str">
        <f t="shared" si="49"/>
        <v/>
      </c>
      <c r="AD200" s="219"/>
      <c r="AE200" s="219"/>
      <c r="AF200" s="293" t="str">
        <f>IF(AA200="","",VLOOKUP(AA200,Asta!$B:$H,7,FALSE))</f>
        <v/>
      </c>
      <c r="AG200" s="294" t="str">
        <f t="shared" si="50"/>
        <v/>
      </c>
      <c r="AH200" t="str">
        <f t="shared" si="51"/>
        <v/>
      </c>
      <c r="AI200" s="254" t="str">
        <f t="shared" ca="1" si="55"/>
        <v>181</v>
      </c>
      <c r="AJ200" s="254" t="str">
        <f t="shared" ca="1" si="56"/>
        <v>181</v>
      </c>
      <c r="AK200" s="351"/>
    </row>
    <row r="201" spans="1:37">
      <c r="A201" s="74">
        <v>182</v>
      </c>
      <c r="B201" s="252"/>
      <c r="C201" s="293" t="str">
        <f t="shared" si="59"/>
        <v/>
      </c>
      <c r="D201" s="294" t="str">
        <f t="shared" si="60"/>
        <v/>
      </c>
      <c r="E201" s="287"/>
      <c r="F201" s="293" t="str">
        <f t="shared" si="43"/>
        <v/>
      </c>
      <c r="G201" s="294" t="str">
        <f t="shared" si="44"/>
        <v/>
      </c>
      <c r="H201" s="290"/>
      <c r="I201" s="254" t="str">
        <f t="shared" ca="1" si="52"/>
        <v>1</v>
      </c>
      <c r="J201" s="254" t="str">
        <f t="shared" ca="1" si="53"/>
        <v>1</v>
      </c>
      <c r="K201" s="230" t="str">
        <f>IF(Giocatori!B190=0,"",Giocatori!B190)</f>
        <v>FARES</v>
      </c>
      <c r="L201" s="230" t="str">
        <f>IF(Giocatori!A190=0,"",Giocatori!A190)</f>
        <v>C</v>
      </c>
      <c r="M201" s="230" t="str">
        <f>IF(Giocatori!C190=0,"",Giocatori!C190)</f>
        <v>Verona</v>
      </c>
      <c r="N201" s="69" t="str">
        <f t="shared" si="45"/>
        <v/>
      </c>
      <c r="O201" t="str">
        <f t="shared" si="46"/>
        <v>FARES</v>
      </c>
      <c r="P201" s="7">
        <f t="shared" ca="1" si="54"/>
        <v>201</v>
      </c>
      <c r="Q201" s="7" t="str">
        <f t="shared" ca="1" si="47"/>
        <v>FARES</v>
      </c>
      <c r="Z201" s="256"/>
      <c r="AA201" s="219"/>
      <c r="AB201" s="293" t="str">
        <f t="shared" si="48"/>
        <v/>
      </c>
      <c r="AC201" s="294" t="str">
        <f t="shared" si="49"/>
        <v/>
      </c>
      <c r="AD201" s="219"/>
      <c r="AE201" s="219"/>
      <c r="AF201" s="293" t="str">
        <f>IF(AA201="","",VLOOKUP(AA201,Asta!$B:$H,7,FALSE))</f>
        <v/>
      </c>
      <c r="AG201" s="294" t="str">
        <f t="shared" si="50"/>
        <v/>
      </c>
      <c r="AH201" t="str">
        <f t="shared" si="51"/>
        <v/>
      </c>
      <c r="AI201" s="254" t="str">
        <f t="shared" ca="1" si="55"/>
        <v>182</v>
      </c>
      <c r="AJ201" s="254" t="str">
        <f t="shared" ca="1" si="56"/>
        <v>182</v>
      </c>
      <c r="AK201" s="351"/>
    </row>
    <row r="202" spans="1:37">
      <c r="A202" s="74">
        <v>183</v>
      </c>
      <c r="B202" s="252"/>
      <c r="C202" s="293" t="str">
        <f t="shared" si="59"/>
        <v/>
      </c>
      <c r="D202" s="294" t="str">
        <f t="shared" si="60"/>
        <v/>
      </c>
      <c r="E202" s="287"/>
      <c r="F202" s="293" t="str">
        <f t="shared" si="43"/>
        <v/>
      </c>
      <c r="G202" s="294" t="str">
        <f t="shared" si="44"/>
        <v/>
      </c>
      <c r="H202" s="290"/>
      <c r="I202" s="254" t="str">
        <f t="shared" ca="1" si="52"/>
        <v>1</v>
      </c>
      <c r="J202" s="254" t="str">
        <f t="shared" ca="1" si="53"/>
        <v>1</v>
      </c>
      <c r="K202" s="230" t="str">
        <f>IF(Giocatori!B191=0,"",Giocatori!B191)</f>
        <v>FARIAS</v>
      </c>
      <c r="L202" s="230" t="str">
        <f>IF(Giocatori!A191=0,"",Giocatori!A191)</f>
        <v>A</v>
      </c>
      <c r="M202" s="230" t="str">
        <f>IF(Giocatori!C191=0,"",Giocatori!C191)</f>
        <v>Cagliari</v>
      </c>
      <c r="N202" s="69" t="str">
        <f t="shared" si="45"/>
        <v/>
      </c>
      <c r="O202" t="str">
        <f t="shared" si="46"/>
        <v>FARIAS</v>
      </c>
      <c r="P202" s="7">
        <f t="shared" ca="1" si="54"/>
        <v>202</v>
      </c>
      <c r="Q202" s="7" t="str">
        <f t="shared" ca="1" si="47"/>
        <v>FARIAS</v>
      </c>
      <c r="Z202" s="256"/>
      <c r="AA202" s="219"/>
      <c r="AB202" s="293" t="str">
        <f t="shared" si="48"/>
        <v/>
      </c>
      <c r="AC202" s="294" t="str">
        <f t="shared" si="49"/>
        <v/>
      </c>
      <c r="AD202" s="219"/>
      <c r="AE202" s="219"/>
      <c r="AF202" s="293" t="str">
        <f>IF(AA202="","",VLOOKUP(AA202,Asta!$B:$H,7,FALSE))</f>
        <v/>
      </c>
      <c r="AG202" s="294" t="str">
        <f t="shared" si="50"/>
        <v/>
      </c>
      <c r="AH202" t="str">
        <f t="shared" si="51"/>
        <v/>
      </c>
      <c r="AI202" s="254" t="str">
        <f t="shared" ca="1" si="55"/>
        <v>183</v>
      </c>
      <c r="AJ202" s="254" t="str">
        <f t="shared" ca="1" si="56"/>
        <v>183</v>
      </c>
      <c r="AK202" s="351"/>
    </row>
    <row r="203" spans="1:37">
      <c r="A203" s="74">
        <v>184</v>
      </c>
      <c r="B203" s="252"/>
      <c r="C203" s="293" t="str">
        <f t="shared" si="59"/>
        <v/>
      </c>
      <c r="D203" s="294" t="str">
        <f t="shared" si="60"/>
        <v/>
      </c>
      <c r="E203" s="287"/>
      <c r="F203" s="293" t="str">
        <f t="shared" si="43"/>
        <v/>
      </c>
      <c r="G203" s="294" t="str">
        <f t="shared" si="44"/>
        <v/>
      </c>
      <c r="H203" s="290"/>
      <c r="I203" s="254" t="str">
        <f t="shared" ca="1" si="52"/>
        <v>1</v>
      </c>
      <c r="J203" s="254" t="str">
        <f t="shared" ca="1" si="53"/>
        <v>1</v>
      </c>
      <c r="K203" s="230" t="str">
        <f>IF(Giocatori!B192=0,"",Giocatori!B192)</f>
        <v>FAZIO</v>
      </c>
      <c r="L203" s="230" t="str">
        <f>IF(Giocatori!A192=0,"",Giocatori!A192)</f>
        <v>D</v>
      </c>
      <c r="M203" s="230" t="str">
        <f>IF(Giocatori!C192=0,"",Giocatori!C192)</f>
        <v>Roma</v>
      </c>
      <c r="N203" s="69" t="str">
        <f t="shared" si="45"/>
        <v/>
      </c>
      <c r="O203" t="str">
        <f t="shared" si="46"/>
        <v>FAZIO</v>
      </c>
      <c r="P203" s="7">
        <f t="shared" ca="1" si="54"/>
        <v>203</v>
      </c>
      <c r="Q203" s="7" t="str">
        <f t="shared" ca="1" si="47"/>
        <v>FAZIO</v>
      </c>
      <c r="Z203" s="256"/>
      <c r="AA203" s="219"/>
      <c r="AB203" s="293" t="str">
        <f t="shared" si="48"/>
        <v/>
      </c>
      <c r="AC203" s="294" t="str">
        <f t="shared" si="49"/>
        <v/>
      </c>
      <c r="AD203" s="219"/>
      <c r="AE203" s="219"/>
      <c r="AF203" s="293" t="str">
        <f>IF(AA203="","",VLOOKUP(AA203,Asta!$B:$H,7,FALSE))</f>
        <v/>
      </c>
      <c r="AG203" s="294" t="str">
        <f t="shared" si="50"/>
        <v/>
      </c>
      <c r="AH203" t="str">
        <f t="shared" si="51"/>
        <v/>
      </c>
      <c r="AI203" s="254" t="str">
        <f t="shared" ca="1" si="55"/>
        <v>184</v>
      </c>
      <c r="AJ203" s="254" t="str">
        <f t="shared" ca="1" si="56"/>
        <v>184</v>
      </c>
      <c r="AK203" s="351"/>
    </row>
    <row r="204" spans="1:37">
      <c r="A204" s="74">
        <v>185</v>
      </c>
      <c r="B204" s="252"/>
      <c r="C204" s="293" t="str">
        <f t="shared" si="59"/>
        <v/>
      </c>
      <c r="D204" s="294" t="str">
        <f t="shared" si="60"/>
        <v/>
      </c>
      <c r="E204" s="287"/>
      <c r="F204" s="293" t="str">
        <f t="shared" si="43"/>
        <v/>
      </c>
      <c r="G204" s="294" t="str">
        <f t="shared" si="44"/>
        <v/>
      </c>
      <c r="H204" s="290"/>
      <c r="I204" s="254" t="str">
        <f t="shared" ca="1" si="52"/>
        <v>1</v>
      </c>
      <c r="J204" s="254" t="str">
        <f t="shared" ca="1" si="53"/>
        <v>1</v>
      </c>
      <c r="K204" s="230" t="str">
        <f>IF(Giocatori!B193=0,"",Giocatori!B193)</f>
        <v>FELICIOLI</v>
      </c>
      <c r="L204" s="230" t="str">
        <f>IF(Giocatori!A193=0,"",Giocatori!A193)</f>
        <v>D</v>
      </c>
      <c r="M204" s="230" t="str">
        <f>IF(Giocatori!C193=0,"",Giocatori!C193)</f>
        <v>Verona</v>
      </c>
      <c r="N204" s="69" t="str">
        <f t="shared" si="45"/>
        <v/>
      </c>
      <c r="O204" t="str">
        <f t="shared" si="46"/>
        <v>FELICIOLI</v>
      </c>
      <c r="P204" s="7">
        <f t="shared" ca="1" si="54"/>
        <v>204</v>
      </c>
      <c r="Q204" s="7" t="str">
        <f t="shared" ca="1" si="47"/>
        <v>FELICIOLI</v>
      </c>
      <c r="Z204" s="256"/>
      <c r="AA204" s="219"/>
      <c r="AB204" s="293" t="str">
        <f t="shared" si="48"/>
        <v/>
      </c>
      <c r="AC204" s="294" t="str">
        <f t="shared" si="49"/>
        <v/>
      </c>
      <c r="AD204" s="219"/>
      <c r="AE204" s="219"/>
      <c r="AF204" s="293" t="str">
        <f>IF(AA204="","",VLOOKUP(AA204,Asta!$B:$H,7,FALSE))</f>
        <v/>
      </c>
      <c r="AG204" s="294" t="str">
        <f t="shared" si="50"/>
        <v/>
      </c>
      <c r="AH204" t="str">
        <f t="shared" si="51"/>
        <v/>
      </c>
      <c r="AI204" s="254" t="str">
        <f t="shared" ca="1" si="55"/>
        <v>185</v>
      </c>
      <c r="AJ204" s="254" t="str">
        <f t="shared" ca="1" si="56"/>
        <v>185</v>
      </c>
      <c r="AK204" s="351"/>
    </row>
    <row r="205" spans="1:37">
      <c r="A205" s="74">
        <v>186</v>
      </c>
      <c r="B205" s="252"/>
      <c r="C205" s="293" t="str">
        <f t="shared" si="59"/>
        <v/>
      </c>
      <c r="D205" s="294" t="str">
        <f t="shared" si="60"/>
        <v/>
      </c>
      <c r="E205" s="287"/>
      <c r="F205" s="293" t="str">
        <f t="shared" si="43"/>
        <v/>
      </c>
      <c r="G205" s="294" t="str">
        <f t="shared" si="44"/>
        <v/>
      </c>
      <c r="H205" s="290"/>
      <c r="I205" s="254" t="str">
        <f t="shared" ca="1" si="52"/>
        <v>1</v>
      </c>
      <c r="J205" s="254" t="str">
        <f t="shared" ca="1" si="53"/>
        <v>1</v>
      </c>
      <c r="K205" s="230" t="str">
        <f>IF(Giocatori!B194=0,"",Giocatori!B194)</f>
        <v>FELIPE</v>
      </c>
      <c r="L205" s="230" t="str">
        <f>IF(Giocatori!A194=0,"",Giocatori!A194)</f>
        <v>D</v>
      </c>
      <c r="M205" s="230" t="str">
        <f>IF(Giocatori!C194=0,"",Giocatori!C194)</f>
        <v>SPAL</v>
      </c>
      <c r="N205" s="69" t="str">
        <f t="shared" si="45"/>
        <v/>
      </c>
      <c r="O205" t="str">
        <f t="shared" si="46"/>
        <v>FELIPE</v>
      </c>
      <c r="P205" s="7">
        <f t="shared" ca="1" si="54"/>
        <v>205</v>
      </c>
      <c r="Q205" s="7" t="str">
        <f t="shared" ca="1" si="47"/>
        <v>FELIPE</v>
      </c>
      <c r="Z205" s="256"/>
      <c r="AA205" s="219"/>
      <c r="AB205" s="293" t="str">
        <f t="shared" si="48"/>
        <v/>
      </c>
      <c r="AC205" s="294" t="str">
        <f t="shared" si="49"/>
        <v/>
      </c>
      <c r="AD205" s="219"/>
      <c r="AE205" s="219"/>
      <c r="AF205" s="293" t="str">
        <f>IF(AA205="","",VLOOKUP(AA205,Asta!$B:$H,7,FALSE))</f>
        <v/>
      </c>
      <c r="AG205" s="294" t="str">
        <f t="shared" si="50"/>
        <v/>
      </c>
      <c r="AH205" t="str">
        <f t="shared" si="51"/>
        <v/>
      </c>
      <c r="AI205" s="254" t="str">
        <f t="shared" ca="1" si="55"/>
        <v>186</v>
      </c>
      <c r="AJ205" s="254" t="str">
        <f t="shared" ca="1" si="56"/>
        <v>186</v>
      </c>
      <c r="AK205" s="351"/>
    </row>
    <row r="206" spans="1:37">
      <c r="A206" s="74">
        <v>187</v>
      </c>
      <c r="B206" s="252"/>
      <c r="C206" s="293" t="str">
        <f t="shared" si="59"/>
        <v/>
      </c>
      <c r="D206" s="294" t="str">
        <f t="shared" si="60"/>
        <v/>
      </c>
      <c r="E206" s="287"/>
      <c r="F206" s="293" t="str">
        <f t="shared" si="43"/>
        <v/>
      </c>
      <c r="G206" s="294" t="str">
        <f t="shared" si="44"/>
        <v/>
      </c>
      <c r="H206" s="290"/>
      <c r="I206" s="254" t="str">
        <f t="shared" ca="1" si="52"/>
        <v>1</v>
      </c>
      <c r="J206" s="254" t="str">
        <f t="shared" ca="1" si="53"/>
        <v>1</v>
      </c>
      <c r="K206" s="230" t="str">
        <f>IF(Giocatori!B195=0,"",Giocatori!B195)</f>
        <v>FELIPE ANDERSON</v>
      </c>
      <c r="L206" s="230" t="str">
        <f>IF(Giocatori!A195=0,"",Giocatori!A195)</f>
        <v>C</v>
      </c>
      <c r="M206" s="230" t="str">
        <f>IF(Giocatori!C195=0,"",Giocatori!C195)</f>
        <v>Lazio</v>
      </c>
      <c r="N206" s="69" t="str">
        <f t="shared" si="45"/>
        <v/>
      </c>
      <c r="O206" t="str">
        <f t="shared" si="46"/>
        <v>FELIPE ANDERSON</v>
      </c>
      <c r="P206" s="7">
        <f t="shared" ca="1" si="54"/>
        <v>206</v>
      </c>
      <c r="Q206" s="7" t="str">
        <f t="shared" ca="1" si="47"/>
        <v>FELIPE ANDERSON</v>
      </c>
      <c r="Z206" s="256"/>
      <c r="AA206" s="219"/>
      <c r="AB206" s="293" t="str">
        <f t="shared" si="48"/>
        <v/>
      </c>
      <c r="AC206" s="294" t="str">
        <f t="shared" si="49"/>
        <v/>
      </c>
      <c r="AD206" s="219"/>
      <c r="AE206" s="219"/>
      <c r="AF206" s="293" t="str">
        <f>IF(AA206="","",VLOOKUP(AA206,Asta!$B:$H,7,FALSE))</f>
        <v/>
      </c>
      <c r="AG206" s="294" t="str">
        <f t="shared" si="50"/>
        <v/>
      </c>
      <c r="AH206" t="str">
        <f t="shared" si="51"/>
        <v/>
      </c>
      <c r="AI206" s="254" t="str">
        <f t="shared" ca="1" si="55"/>
        <v>187</v>
      </c>
      <c r="AJ206" s="254" t="str">
        <f t="shared" ca="1" si="56"/>
        <v>187</v>
      </c>
      <c r="AK206" s="351"/>
    </row>
    <row r="207" spans="1:37">
      <c r="A207" s="74">
        <v>188</v>
      </c>
      <c r="B207" s="252"/>
      <c r="C207" s="293" t="str">
        <f t="shared" si="59"/>
        <v/>
      </c>
      <c r="D207" s="294" t="str">
        <f t="shared" si="60"/>
        <v/>
      </c>
      <c r="E207" s="287"/>
      <c r="F207" s="293" t="str">
        <f t="shared" si="43"/>
        <v/>
      </c>
      <c r="G207" s="294" t="str">
        <f t="shared" si="44"/>
        <v/>
      </c>
      <c r="H207" s="290"/>
      <c r="I207" s="254" t="str">
        <f t="shared" ca="1" si="52"/>
        <v>1</v>
      </c>
      <c r="J207" s="254" t="str">
        <f t="shared" ca="1" si="53"/>
        <v>1</v>
      </c>
      <c r="K207" s="230" t="str">
        <f>IF(Giocatori!B196=0,"",Giocatori!B196)</f>
        <v>FERNANDEZ M</v>
      </c>
      <c r="L207" s="230" t="str">
        <f>IF(Giocatori!A196=0,"",Giocatori!A196)</f>
        <v>C</v>
      </c>
      <c r="M207" s="230" t="str">
        <f>IF(Giocatori!C196=0,"",Giocatori!C196)</f>
        <v>Fiorentina</v>
      </c>
      <c r="N207" s="69" t="str">
        <f t="shared" si="45"/>
        <v/>
      </c>
      <c r="O207" t="str">
        <f t="shared" si="46"/>
        <v>FERNANDEZ M</v>
      </c>
      <c r="P207" s="7">
        <f t="shared" ca="1" si="54"/>
        <v>207</v>
      </c>
      <c r="Q207" s="7" t="str">
        <f t="shared" ca="1" si="47"/>
        <v>FERNANDEZ M</v>
      </c>
      <c r="Z207" s="256"/>
      <c r="AA207" s="219"/>
      <c r="AB207" s="293" t="str">
        <f t="shared" si="48"/>
        <v/>
      </c>
      <c r="AC207" s="294" t="str">
        <f t="shared" si="49"/>
        <v/>
      </c>
      <c r="AD207" s="219"/>
      <c r="AE207" s="219"/>
      <c r="AF207" s="293" t="str">
        <f>IF(AA207="","",VLOOKUP(AA207,Asta!$B:$H,7,FALSE))</f>
        <v/>
      </c>
      <c r="AG207" s="294" t="str">
        <f t="shared" si="50"/>
        <v/>
      </c>
      <c r="AH207" t="str">
        <f t="shared" si="51"/>
        <v/>
      </c>
      <c r="AI207" s="254" t="str">
        <f t="shared" ca="1" si="55"/>
        <v>188</v>
      </c>
      <c r="AJ207" s="254" t="str">
        <f t="shared" ca="1" si="56"/>
        <v>188</v>
      </c>
      <c r="AK207" s="351"/>
    </row>
    <row r="208" spans="1:37">
      <c r="A208" s="74">
        <v>189</v>
      </c>
      <c r="B208" s="252"/>
      <c r="C208" s="293" t="str">
        <f t="shared" si="59"/>
        <v/>
      </c>
      <c r="D208" s="294" t="str">
        <f t="shared" si="60"/>
        <v/>
      </c>
      <c r="E208" s="287"/>
      <c r="F208" s="293" t="str">
        <f t="shared" si="43"/>
        <v/>
      </c>
      <c r="G208" s="294" t="str">
        <f t="shared" si="44"/>
        <v/>
      </c>
      <c r="H208" s="290"/>
      <c r="I208" s="254" t="str">
        <f t="shared" ca="1" si="52"/>
        <v>1</v>
      </c>
      <c r="J208" s="254" t="str">
        <f t="shared" ca="1" si="53"/>
        <v>1</v>
      </c>
      <c r="K208" s="230" t="str">
        <f>IF(Giocatori!B197=0,"",Giocatori!B197)</f>
        <v>FERRARI A</v>
      </c>
      <c r="L208" s="230" t="str">
        <f>IF(Giocatori!A197=0,"",Giocatori!A197)</f>
        <v>D</v>
      </c>
      <c r="M208" s="230" t="str">
        <f>IF(Giocatori!C197=0,"",Giocatori!C197)</f>
        <v>Verona</v>
      </c>
      <c r="N208" s="69" t="str">
        <f t="shared" si="45"/>
        <v/>
      </c>
      <c r="O208" t="str">
        <f t="shared" si="46"/>
        <v>FERRARI A</v>
      </c>
      <c r="P208" s="7">
        <f t="shared" ca="1" si="54"/>
        <v>208</v>
      </c>
      <c r="Q208" s="7" t="str">
        <f t="shared" ca="1" si="47"/>
        <v>FERRARI A</v>
      </c>
      <c r="Z208" s="256"/>
      <c r="AA208" s="219"/>
      <c r="AB208" s="293" t="str">
        <f t="shared" si="48"/>
        <v/>
      </c>
      <c r="AC208" s="294" t="str">
        <f t="shared" si="49"/>
        <v/>
      </c>
      <c r="AD208" s="219"/>
      <c r="AE208" s="219"/>
      <c r="AF208" s="293" t="str">
        <f>IF(AA208="","",VLOOKUP(AA208,Asta!$B:$H,7,FALSE))</f>
        <v/>
      </c>
      <c r="AG208" s="294" t="str">
        <f t="shared" si="50"/>
        <v/>
      </c>
      <c r="AH208" t="str">
        <f t="shared" si="51"/>
        <v/>
      </c>
      <c r="AI208" s="254" t="str">
        <f t="shared" ca="1" si="55"/>
        <v>189</v>
      </c>
      <c r="AJ208" s="254" t="str">
        <f t="shared" ca="1" si="56"/>
        <v>189</v>
      </c>
      <c r="AK208" s="351"/>
    </row>
    <row r="209" spans="1:37">
      <c r="A209" s="74">
        <v>190</v>
      </c>
      <c r="B209" s="252"/>
      <c r="C209" s="293" t="str">
        <f t="shared" si="59"/>
        <v/>
      </c>
      <c r="D209" s="294" t="str">
        <f t="shared" si="60"/>
        <v/>
      </c>
      <c r="E209" s="287"/>
      <c r="F209" s="293" t="str">
        <f t="shared" si="43"/>
        <v/>
      </c>
      <c r="G209" s="294" t="str">
        <f t="shared" si="44"/>
        <v/>
      </c>
      <c r="H209" s="290"/>
      <c r="I209" s="254" t="str">
        <f t="shared" ca="1" si="52"/>
        <v>1</v>
      </c>
      <c r="J209" s="254" t="str">
        <f t="shared" ca="1" si="53"/>
        <v>1</v>
      </c>
      <c r="K209" s="230" t="str">
        <f>IF(Giocatori!B198=0,"",Giocatori!B198)</f>
        <v>FERRARI G</v>
      </c>
      <c r="L209" s="230" t="str">
        <f>IF(Giocatori!A198=0,"",Giocatori!A198)</f>
        <v>D</v>
      </c>
      <c r="M209" s="230" t="str">
        <f>IF(Giocatori!C198=0,"",Giocatori!C198)</f>
        <v>Sampdoria</v>
      </c>
      <c r="N209" s="69" t="str">
        <f t="shared" si="45"/>
        <v/>
      </c>
      <c r="O209" t="str">
        <f t="shared" si="46"/>
        <v>FERRARI G</v>
      </c>
      <c r="P209" s="7">
        <f t="shared" ca="1" si="54"/>
        <v>209</v>
      </c>
      <c r="Q209" s="7" t="str">
        <f t="shared" ca="1" si="47"/>
        <v>FERRARI G</v>
      </c>
      <c r="Z209" s="256"/>
      <c r="AA209" s="219"/>
      <c r="AB209" s="293" t="str">
        <f t="shared" si="48"/>
        <v/>
      </c>
      <c r="AC209" s="294" t="str">
        <f t="shared" si="49"/>
        <v/>
      </c>
      <c r="AD209" s="219"/>
      <c r="AE209" s="219"/>
      <c r="AF209" s="293" t="str">
        <f>IF(AA209="","",VLOOKUP(AA209,Asta!$B:$H,7,FALSE))</f>
        <v/>
      </c>
      <c r="AG209" s="294" t="str">
        <f t="shared" si="50"/>
        <v/>
      </c>
      <c r="AH209" t="str">
        <f t="shared" si="51"/>
        <v/>
      </c>
      <c r="AI209" s="254" t="str">
        <f t="shared" ca="1" si="55"/>
        <v>190</v>
      </c>
      <c r="AJ209" s="254" t="str">
        <f t="shared" ca="1" si="56"/>
        <v>190</v>
      </c>
      <c r="AK209" s="351"/>
    </row>
    <row r="210" spans="1:37">
      <c r="A210" s="74">
        <v>191</v>
      </c>
      <c r="B210" s="252"/>
      <c r="C210" s="293" t="str">
        <f t="shared" si="59"/>
        <v/>
      </c>
      <c r="D210" s="294" t="str">
        <f t="shared" si="60"/>
        <v/>
      </c>
      <c r="E210" s="287"/>
      <c r="F210" s="293" t="str">
        <f t="shared" si="43"/>
        <v/>
      </c>
      <c r="G210" s="294" t="str">
        <f t="shared" si="44"/>
        <v/>
      </c>
      <c r="H210" s="290"/>
      <c r="I210" s="254" t="str">
        <f t="shared" ca="1" si="52"/>
        <v>1</v>
      </c>
      <c r="J210" s="254" t="str">
        <f t="shared" ca="1" si="53"/>
        <v>1</v>
      </c>
      <c r="K210" s="230" t="str">
        <f>IF(Giocatori!B199=0,"",Giocatori!B199)</f>
        <v>FESTA</v>
      </c>
      <c r="L210" s="230" t="str">
        <f>IF(Giocatori!A199=0,"",Giocatori!A199)</f>
        <v>P</v>
      </c>
      <c r="M210" s="230" t="str">
        <f>IF(Giocatori!C199=0,"",Giocatori!C199)</f>
        <v>Crotone</v>
      </c>
      <c r="N210" s="69" t="str">
        <f t="shared" si="45"/>
        <v/>
      </c>
      <c r="O210" t="str">
        <f t="shared" si="46"/>
        <v>FESTA</v>
      </c>
      <c r="P210" s="7">
        <f t="shared" ca="1" si="54"/>
        <v>210</v>
      </c>
      <c r="Q210" s="7" t="str">
        <f t="shared" ca="1" si="47"/>
        <v>FESTA</v>
      </c>
      <c r="Z210" s="256"/>
      <c r="AA210" s="219"/>
      <c r="AB210" s="293" t="str">
        <f t="shared" si="48"/>
        <v/>
      </c>
      <c r="AC210" s="294" t="str">
        <f t="shared" si="49"/>
        <v/>
      </c>
      <c r="AD210" s="219"/>
      <c r="AE210" s="219"/>
      <c r="AF210" s="293" t="str">
        <f>IF(AA210="","",VLOOKUP(AA210,Asta!$B:$H,7,FALSE))</f>
        <v/>
      </c>
      <c r="AG210" s="294" t="str">
        <f t="shared" si="50"/>
        <v/>
      </c>
      <c r="AH210" t="str">
        <f t="shared" si="51"/>
        <v/>
      </c>
      <c r="AI210" s="254" t="str">
        <f t="shared" ca="1" si="55"/>
        <v>191</v>
      </c>
      <c r="AJ210" s="254" t="str">
        <f t="shared" ca="1" si="56"/>
        <v>191</v>
      </c>
      <c r="AK210" s="351"/>
    </row>
    <row r="211" spans="1:37">
      <c r="A211" s="74">
        <v>192</v>
      </c>
      <c r="B211" s="252"/>
      <c r="C211" s="293" t="str">
        <f t="shared" si="59"/>
        <v/>
      </c>
      <c r="D211" s="294" t="str">
        <f t="shared" si="60"/>
        <v/>
      </c>
      <c r="E211" s="287"/>
      <c r="F211" s="293" t="str">
        <f t="shared" si="43"/>
        <v/>
      </c>
      <c r="G211" s="294" t="str">
        <f t="shared" si="44"/>
        <v/>
      </c>
      <c r="H211" s="290"/>
      <c r="I211" s="254" t="str">
        <f t="shared" ca="1" si="52"/>
        <v>1</v>
      </c>
      <c r="J211" s="254" t="str">
        <f t="shared" ca="1" si="53"/>
        <v>1</v>
      </c>
      <c r="K211" s="230" t="str">
        <f>IF(Giocatori!B200=0,"",Giocatori!B200)</f>
        <v>FLOCCARI</v>
      </c>
      <c r="L211" s="230" t="str">
        <f>IF(Giocatori!A200=0,"",Giocatori!A200)</f>
        <v>A</v>
      </c>
      <c r="M211" s="230" t="str">
        <f>IF(Giocatori!C200=0,"",Giocatori!C200)</f>
        <v>SPAL</v>
      </c>
      <c r="N211" s="69" t="str">
        <f t="shared" si="45"/>
        <v/>
      </c>
      <c r="O211" t="str">
        <f t="shared" si="46"/>
        <v>FLOCCARI</v>
      </c>
      <c r="P211" s="7">
        <f t="shared" ca="1" si="54"/>
        <v>211</v>
      </c>
      <c r="Q211" s="7" t="str">
        <f t="shared" ca="1" si="47"/>
        <v>FLOCCARI</v>
      </c>
      <c r="Z211" s="256"/>
      <c r="AA211" s="219"/>
      <c r="AB211" s="293" t="str">
        <f t="shared" si="48"/>
        <v/>
      </c>
      <c r="AC211" s="294" t="str">
        <f t="shared" si="49"/>
        <v/>
      </c>
      <c r="AD211" s="219"/>
      <c r="AE211" s="219"/>
      <c r="AF211" s="293" t="str">
        <f>IF(AA211="","",VLOOKUP(AA211,Asta!$B:$H,7,FALSE))</f>
        <v/>
      </c>
      <c r="AG211" s="294" t="str">
        <f t="shared" si="50"/>
        <v/>
      </c>
      <c r="AH211" t="str">
        <f t="shared" si="51"/>
        <v/>
      </c>
      <c r="AI211" s="254" t="str">
        <f t="shared" ca="1" si="55"/>
        <v>192</v>
      </c>
      <c r="AJ211" s="254" t="str">
        <f t="shared" ca="1" si="56"/>
        <v>192</v>
      </c>
      <c r="AK211" s="351"/>
    </row>
    <row r="212" spans="1:37">
      <c r="A212" s="74">
        <v>193</v>
      </c>
      <c r="B212" s="252"/>
      <c r="C212" s="293" t="str">
        <f t="shared" si="59"/>
        <v/>
      </c>
      <c r="D212" s="294" t="str">
        <f t="shared" si="60"/>
        <v/>
      </c>
      <c r="E212" s="287"/>
      <c r="F212" s="293" t="str">
        <f t="shared" ref="F212:F275" si="61">IF(B212="","",IF(ISNA(VLOOKUP(B212,$AA$20:$AE$807,5,FALSE)),"",VLOOKUP(B212,$AA$20:$AE$807,5,FALSE)))</f>
        <v/>
      </c>
      <c r="G212" s="294" t="str">
        <f t="shared" ref="G212:G275" si="62">IF(B212="","",IF(F212="",IF(E212="","",E212),F212))</f>
        <v/>
      </c>
      <c r="H212" s="290"/>
      <c r="I212" s="254" t="str">
        <f t="shared" ca="1" si="52"/>
        <v>1</v>
      </c>
      <c r="J212" s="254" t="str">
        <f t="shared" ca="1" si="53"/>
        <v>1</v>
      </c>
      <c r="K212" s="230" t="str">
        <f>IF(Giocatori!B201=0,"",Giocatori!B201)</f>
        <v>FLORENZI</v>
      </c>
      <c r="L212" s="230" t="str">
        <f>IF(Giocatori!A201=0,"",Giocatori!A201)</f>
        <v>D</v>
      </c>
      <c r="M212" s="230" t="str">
        <f>IF(Giocatori!C201=0,"",Giocatori!C201)</f>
        <v>Roma</v>
      </c>
      <c r="N212" s="69" t="str">
        <f t="shared" ref="N212:N275" si="63">IF(B212=0,"",B212)</f>
        <v/>
      </c>
      <c r="O212" t="str">
        <f t="shared" ref="O212:O275" si="64">IF(ISNA(VLOOKUP(K212,$N$20:$N$720,1,FALSE)),K212,"")</f>
        <v>FLORENZI</v>
      </c>
      <c r="P212" s="7">
        <f t="shared" ca="1" si="54"/>
        <v>212</v>
      </c>
      <c r="Q212" s="7" t="str">
        <f t="shared" ref="Q212:Q275" ca="1" si="65">IF(ISERROR(INDEX($O$6:$O$720,MATCH(ROW(),$P$6:$P$720,FALSE))),"",INDEX($O$6:$O$720,MATCH(ROW(),$P$6:$P$720,FALSE)))</f>
        <v>FLORENZI</v>
      </c>
      <c r="Z212" s="256"/>
      <c r="AA212" s="219"/>
      <c r="AB212" s="293" t="str">
        <f t="shared" ref="AB212:AB275" si="66">IF(AA212&lt;&gt;"",VLOOKUP(AA212,$K:$M,2,FALSE),"")</f>
        <v/>
      </c>
      <c r="AC212" s="294" t="str">
        <f t="shared" ref="AC212:AC275" si="67">IF(AA212&lt;&gt;"",VLOOKUP(AA212,$K:$M,3,FALSE),"")</f>
        <v/>
      </c>
      <c r="AD212" s="219"/>
      <c r="AE212" s="219"/>
      <c r="AF212" s="293" t="str">
        <f>IF(AA212="","",VLOOKUP(AA212,Asta!$B:$H,7,FALSE))</f>
        <v/>
      </c>
      <c r="AG212" s="294" t="str">
        <f t="shared" ref="AG212:AG275" si="68">IF(AD212="","",IF(AD212=$Y$20,-AF212,IF(AD212=$Y$21,AF212)))</f>
        <v/>
      </c>
      <c r="AH212" t="str">
        <f t="shared" ref="AH212:AH275" si="69">IF(AG212="","",-AG212)</f>
        <v/>
      </c>
      <c r="AI212" s="254" t="str">
        <f t="shared" ca="1" si="55"/>
        <v>193</v>
      </c>
      <c r="AJ212" s="254" t="str">
        <f t="shared" ca="1" si="56"/>
        <v>193</v>
      </c>
      <c r="AK212" s="351"/>
    </row>
    <row r="213" spans="1:37">
      <c r="A213" s="74">
        <v>194</v>
      </c>
      <c r="B213" s="252"/>
      <c r="C213" s="293" t="str">
        <f t="shared" si="59"/>
        <v/>
      </c>
      <c r="D213" s="294" t="str">
        <f t="shared" si="60"/>
        <v/>
      </c>
      <c r="E213" s="287"/>
      <c r="F213" s="293" t="str">
        <f t="shared" si="61"/>
        <v/>
      </c>
      <c r="G213" s="294" t="str">
        <f t="shared" si="62"/>
        <v/>
      </c>
      <c r="H213" s="290"/>
      <c r="I213" s="254" t="str">
        <f t="shared" ref="I213:I276" ca="1" si="70">G213&amp;C213&amp;COUNTIFS(INDIRECT("$C$19:$C$" &amp; ROW()-1),"="&amp;C213,INDIRECT("$G$19:$G$" &amp; ROW()-1),"="&amp;G213)+1</f>
        <v>1</v>
      </c>
      <c r="J213" s="254" t="str">
        <f t="shared" ref="J213:J276" ca="1" si="71">G213&amp;COUNTIFS(INDIRECT("$G$19:$G$" &amp; ROW()-1),"="&amp;G213)+1</f>
        <v>1</v>
      </c>
      <c r="K213" s="230" t="str">
        <f>IF(Giocatori!B202=0,"",Giocatori!B202)</f>
        <v>FOFANA</v>
      </c>
      <c r="L213" s="230" t="str">
        <f>IF(Giocatori!A202=0,"",Giocatori!A202)</f>
        <v>C</v>
      </c>
      <c r="M213" s="230" t="str">
        <f>IF(Giocatori!C202=0,"",Giocatori!C202)</f>
        <v>Udinese</v>
      </c>
      <c r="N213" s="69" t="str">
        <f t="shared" si="63"/>
        <v/>
      </c>
      <c r="O213" t="str">
        <f t="shared" si="64"/>
        <v>FOFANA</v>
      </c>
      <c r="P213" s="7">
        <f t="shared" ref="P213:P276" ca="1" si="72">ROW()-COUNTBLANK(INDIRECT("$O$20:O"&amp;ROW()))</f>
        <v>213</v>
      </c>
      <c r="Q213" s="7" t="str">
        <f t="shared" ca="1" si="65"/>
        <v>FOFANA</v>
      </c>
      <c r="Z213" s="256"/>
      <c r="AA213" s="219"/>
      <c r="AB213" s="293" t="str">
        <f t="shared" si="66"/>
        <v/>
      </c>
      <c r="AC213" s="294" t="str">
        <f t="shared" si="67"/>
        <v/>
      </c>
      <c r="AD213" s="219"/>
      <c r="AE213" s="219"/>
      <c r="AF213" s="293" t="str">
        <f>IF(AA213="","",VLOOKUP(AA213,Asta!$B:$H,7,FALSE))</f>
        <v/>
      </c>
      <c r="AG213" s="294" t="str">
        <f t="shared" si="68"/>
        <v/>
      </c>
      <c r="AH213" t="str">
        <f t="shared" si="69"/>
        <v/>
      </c>
      <c r="AI213" s="254" t="str">
        <f t="shared" ref="AI213:AI276" ca="1" si="73">Z213&amp;COUNTIFS(INDIRECT("$Z$20:$Z$" &amp; ROW()-1),"="&amp;Z213)+1</f>
        <v>194</v>
      </c>
      <c r="AJ213" s="254" t="str">
        <f t="shared" ref="AJ213:AJ276" ca="1" si="74">AE213&amp;COUNTIFS(INDIRECT("$AE$20:$AE$" &amp; ROW()-1),"="&amp;AE213)+1</f>
        <v>194</v>
      </c>
      <c r="AK213" s="351"/>
    </row>
    <row r="214" spans="1:37">
      <c r="A214" s="74">
        <v>195</v>
      </c>
      <c r="B214" s="252"/>
      <c r="C214" s="293" t="str">
        <f t="shared" si="59"/>
        <v/>
      </c>
      <c r="D214" s="294" t="str">
        <f t="shared" si="60"/>
        <v/>
      </c>
      <c r="E214" s="287"/>
      <c r="F214" s="293" t="str">
        <f t="shared" si="61"/>
        <v/>
      </c>
      <c r="G214" s="294" t="str">
        <f t="shared" si="62"/>
        <v/>
      </c>
      <c r="H214" s="290"/>
      <c r="I214" s="254" t="str">
        <f t="shared" ca="1" si="70"/>
        <v>1</v>
      </c>
      <c r="J214" s="254" t="str">
        <f t="shared" ca="1" si="71"/>
        <v>1</v>
      </c>
      <c r="K214" s="230" t="str">
        <f>IF(Giocatori!B203=0,"",Giocatori!B203)</f>
        <v>FOSSATI</v>
      </c>
      <c r="L214" s="230" t="str">
        <f>IF(Giocatori!A203=0,"",Giocatori!A203)</f>
        <v>C</v>
      </c>
      <c r="M214" s="230" t="str">
        <f>IF(Giocatori!C203=0,"",Giocatori!C203)</f>
        <v>Verona</v>
      </c>
      <c r="N214" s="69" t="str">
        <f t="shared" si="63"/>
        <v/>
      </c>
      <c r="O214" t="str">
        <f t="shared" si="64"/>
        <v>FOSSATI</v>
      </c>
      <c r="P214" s="7">
        <f t="shared" ca="1" si="72"/>
        <v>214</v>
      </c>
      <c r="Q214" s="7" t="str">
        <f t="shared" ca="1" si="65"/>
        <v>FOSSATI</v>
      </c>
      <c r="Z214" s="256"/>
      <c r="AA214" s="219"/>
      <c r="AB214" s="293" t="str">
        <f t="shared" si="66"/>
        <v/>
      </c>
      <c r="AC214" s="294" t="str">
        <f t="shared" si="67"/>
        <v/>
      </c>
      <c r="AD214" s="219"/>
      <c r="AE214" s="219"/>
      <c r="AF214" s="293" t="str">
        <f>IF(AA214="","",VLOOKUP(AA214,Asta!$B:$H,7,FALSE))</f>
        <v/>
      </c>
      <c r="AG214" s="294" t="str">
        <f t="shared" si="68"/>
        <v/>
      </c>
      <c r="AH214" t="str">
        <f t="shared" si="69"/>
        <v/>
      </c>
      <c r="AI214" s="254" t="str">
        <f t="shared" ca="1" si="73"/>
        <v>195</v>
      </c>
      <c r="AJ214" s="254" t="str">
        <f t="shared" ca="1" si="74"/>
        <v>195</v>
      </c>
      <c r="AK214" s="351"/>
    </row>
    <row r="215" spans="1:37">
      <c r="A215" s="74">
        <v>196</v>
      </c>
      <c r="B215" s="252"/>
      <c r="C215" s="293" t="str">
        <f t="shared" si="59"/>
        <v/>
      </c>
      <c r="D215" s="294" t="str">
        <f t="shared" si="60"/>
        <v/>
      </c>
      <c r="E215" s="287"/>
      <c r="F215" s="293" t="str">
        <f t="shared" si="61"/>
        <v/>
      </c>
      <c r="G215" s="294" t="str">
        <f t="shared" si="62"/>
        <v/>
      </c>
      <c r="H215" s="290"/>
      <c r="I215" s="254" t="str">
        <f t="shared" ca="1" si="70"/>
        <v>1</v>
      </c>
      <c r="J215" s="254" t="str">
        <f t="shared" ca="1" si="71"/>
        <v>1</v>
      </c>
      <c r="K215" s="230" t="str">
        <f>IF(Giocatori!B204=0,"",Giocatori!B204)</f>
        <v>FREULER</v>
      </c>
      <c r="L215" s="230" t="str">
        <f>IF(Giocatori!A204=0,"",Giocatori!A204)</f>
        <v>C</v>
      </c>
      <c r="M215" s="230" t="str">
        <f>IF(Giocatori!C204=0,"",Giocatori!C204)</f>
        <v>Atalanta</v>
      </c>
      <c r="N215" s="69" t="str">
        <f t="shared" si="63"/>
        <v/>
      </c>
      <c r="O215" t="str">
        <f t="shared" si="64"/>
        <v>FREULER</v>
      </c>
      <c r="P215" s="7">
        <f t="shared" ca="1" si="72"/>
        <v>215</v>
      </c>
      <c r="Q215" s="7" t="str">
        <f t="shared" ca="1" si="65"/>
        <v>FREULER</v>
      </c>
      <c r="Z215" s="256"/>
      <c r="AA215" s="219"/>
      <c r="AB215" s="293" t="str">
        <f t="shared" si="66"/>
        <v/>
      </c>
      <c r="AC215" s="294" t="str">
        <f t="shared" si="67"/>
        <v/>
      </c>
      <c r="AD215" s="219"/>
      <c r="AE215" s="219"/>
      <c r="AF215" s="293" t="str">
        <f>IF(AA215="","",VLOOKUP(AA215,Asta!$B:$H,7,FALSE))</f>
        <v/>
      </c>
      <c r="AG215" s="294" t="str">
        <f t="shared" si="68"/>
        <v/>
      </c>
      <c r="AH215" t="str">
        <f t="shared" si="69"/>
        <v/>
      </c>
      <c r="AI215" s="254" t="str">
        <f t="shared" ca="1" si="73"/>
        <v>196</v>
      </c>
      <c r="AJ215" s="254" t="str">
        <f t="shared" ca="1" si="74"/>
        <v>196</v>
      </c>
      <c r="AK215" s="351"/>
    </row>
    <row r="216" spans="1:37">
      <c r="A216" s="74">
        <v>197</v>
      </c>
      <c r="B216" s="252"/>
      <c r="C216" s="293" t="str">
        <f t="shared" si="59"/>
        <v/>
      </c>
      <c r="D216" s="294" t="str">
        <f t="shared" si="60"/>
        <v/>
      </c>
      <c r="E216" s="287"/>
      <c r="F216" s="293" t="str">
        <f t="shared" si="61"/>
        <v/>
      </c>
      <c r="G216" s="294" t="str">
        <f t="shared" si="62"/>
        <v/>
      </c>
      <c r="H216" s="290"/>
      <c r="I216" s="254" t="str">
        <f t="shared" ca="1" si="70"/>
        <v>1</v>
      </c>
      <c r="J216" s="254" t="str">
        <f t="shared" ca="1" si="71"/>
        <v>1</v>
      </c>
      <c r="K216" s="230" t="str">
        <f>IF(Giocatori!B205=0,"",Giocatori!B205)</f>
        <v>FREY</v>
      </c>
      <c r="L216" s="230" t="str">
        <f>IF(Giocatori!A205=0,"",Giocatori!A205)</f>
        <v>D</v>
      </c>
      <c r="M216" s="230" t="str">
        <f>IF(Giocatori!C205=0,"",Giocatori!C205)</f>
        <v>Chievo</v>
      </c>
      <c r="N216" s="69" t="str">
        <f t="shared" si="63"/>
        <v/>
      </c>
      <c r="O216" t="str">
        <f t="shared" si="64"/>
        <v>FREY</v>
      </c>
      <c r="P216" s="7">
        <f t="shared" ca="1" si="72"/>
        <v>216</v>
      </c>
      <c r="Q216" s="7" t="str">
        <f t="shared" ca="1" si="65"/>
        <v>FREY</v>
      </c>
      <c r="Z216" s="256"/>
      <c r="AA216" s="219"/>
      <c r="AB216" s="293" t="str">
        <f t="shared" si="66"/>
        <v/>
      </c>
      <c r="AC216" s="294" t="str">
        <f t="shared" si="67"/>
        <v/>
      </c>
      <c r="AD216" s="219"/>
      <c r="AE216" s="219"/>
      <c r="AF216" s="293" t="str">
        <f>IF(AA216="","",VLOOKUP(AA216,Asta!$B:$H,7,FALSE))</f>
        <v/>
      </c>
      <c r="AG216" s="294" t="str">
        <f t="shared" si="68"/>
        <v/>
      </c>
      <c r="AH216" t="str">
        <f t="shared" si="69"/>
        <v/>
      </c>
      <c r="AI216" s="254" t="str">
        <f t="shared" ca="1" si="73"/>
        <v>197</v>
      </c>
      <c r="AJ216" s="254" t="str">
        <f t="shared" ca="1" si="74"/>
        <v>197</v>
      </c>
      <c r="AK216" s="351"/>
    </row>
    <row r="217" spans="1:37">
      <c r="A217" s="74">
        <v>198</v>
      </c>
      <c r="B217" s="252"/>
      <c r="C217" s="293" t="str">
        <f t="shared" si="59"/>
        <v/>
      </c>
      <c r="D217" s="294" t="str">
        <f t="shared" si="60"/>
        <v/>
      </c>
      <c r="E217" s="287"/>
      <c r="F217" s="293" t="str">
        <f t="shared" si="61"/>
        <v/>
      </c>
      <c r="G217" s="294" t="str">
        <f t="shared" si="62"/>
        <v/>
      </c>
      <c r="H217" s="290"/>
      <c r="I217" s="254" t="str">
        <f t="shared" ca="1" si="70"/>
        <v>1</v>
      </c>
      <c r="J217" s="254" t="str">
        <f t="shared" ca="1" si="71"/>
        <v>1</v>
      </c>
      <c r="K217" s="230" t="str">
        <f>IF(Giocatori!B206=0,"",Giocatori!B206)</f>
        <v>GABRIEL</v>
      </c>
      <c r="L217" s="230" t="str">
        <f>IF(Giocatori!A206=0,"",Giocatori!A206)</f>
        <v>P</v>
      </c>
      <c r="M217" s="230" t="str">
        <f>IF(Giocatori!C206=0,"",Giocatori!C206)</f>
        <v>Milan</v>
      </c>
      <c r="N217" s="69" t="str">
        <f t="shared" si="63"/>
        <v/>
      </c>
      <c r="O217" t="str">
        <f t="shared" si="64"/>
        <v>GABRIEL</v>
      </c>
      <c r="P217" s="7">
        <f t="shared" ca="1" si="72"/>
        <v>217</v>
      </c>
      <c r="Q217" s="7" t="str">
        <f t="shared" ca="1" si="65"/>
        <v>GABRIEL</v>
      </c>
      <c r="Z217" s="256"/>
      <c r="AA217" s="219"/>
      <c r="AB217" s="293" t="str">
        <f t="shared" si="66"/>
        <v/>
      </c>
      <c r="AC217" s="294" t="str">
        <f t="shared" si="67"/>
        <v/>
      </c>
      <c r="AD217" s="219"/>
      <c r="AE217" s="219"/>
      <c r="AF217" s="293" t="str">
        <f>IF(AA217="","",VLOOKUP(AA217,Asta!$B:$H,7,FALSE))</f>
        <v/>
      </c>
      <c r="AG217" s="294" t="str">
        <f t="shared" si="68"/>
        <v/>
      </c>
      <c r="AH217" t="str">
        <f t="shared" si="69"/>
        <v/>
      </c>
      <c r="AI217" s="254" t="str">
        <f t="shared" ca="1" si="73"/>
        <v>198</v>
      </c>
      <c r="AJ217" s="254" t="str">
        <f t="shared" ca="1" si="74"/>
        <v>198</v>
      </c>
      <c r="AK217" s="351"/>
    </row>
    <row r="218" spans="1:37">
      <c r="A218" s="74">
        <v>199</v>
      </c>
      <c r="B218" s="252"/>
      <c r="C218" s="293" t="str">
        <f t="shared" si="59"/>
        <v/>
      </c>
      <c r="D218" s="294" t="str">
        <f t="shared" si="60"/>
        <v/>
      </c>
      <c r="E218" s="287"/>
      <c r="F218" s="293" t="str">
        <f t="shared" si="61"/>
        <v/>
      </c>
      <c r="G218" s="294" t="str">
        <f t="shared" si="62"/>
        <v/>
      </c>
      <c r="H218" s="290"/>
      <c r="I218" s="254" t="str">
        <f t="shared" ca="1" si="70"/>
        <v>1</v>
      </c>
      <c r="J218" s="254" t="str">
        <f t="shared" ca="1" si="71"/>
        <v>1</v>
      </c>
      <c r="K218" s="230" t="str">
        <f>IF(Giocatori!B207=0,"",Giocatori!B207)</f>
        <v>GAGLIARDINI</v>
      </c>
      <c r="L218" s="230" t="str">
        <f>IF(Giocatori!A207=0,"",Giocatori!A207)</f>
        <v>C</v>
      </c>
      <c r="M218" s="230" t="str">
        <f>IF(Giocatori!C207=0,"",Giocatori!C207)</f>
        <v>Inter</v>
      </c>
      <c r="N218" s="69" t="str">
        <f t="shared" si="63"/>
        <v/>
      </c>
      <c r="O218" t="str">
        <f t="shared" si="64"/>
        <v>GAGLIARDINI</v>
      </c>
      <c r="P218" s="7">
        <f t="shared" ca="1" si="72"/>
        <v>218</v>
      </c>
      <c r="Q218" s="7" t="str">
        <f t="shared" ca="1" si="65"/>
        <v>GAGLIARDINI</v>
      </c>
      <c r="Z218" s="256"/>
      <c r="AA218" s="219"/>
      <c r="AB218" s="293" t="str">
        <f t="shared" si="66"/>
        <v/>
      </c>
      <c r="AC218" s="294" t="str">
        <f t="shared" si="67"/>
        <v/>
      </c>
      <c r="AD218" s="219"/>
      <c r="AE218" s="219"/>
      <c r="AF218" s="293" t="str">
        <f>IF(AA218="","",VLOOKUP(AA218,Asta!$B:$H,7,FALSE))</f>
        <v/>
      </c>
      <c r="AG218" s="294" t="str">
        <f t="shared" si="68"/>
        <v/>
      </c>
      <c r="AH218" t="str">
        <f t="shared" si="69"/>
        <v/>
      </c>
      <c r="AI218" s="254" t="str">
        <f t="shared" ca="1" si="73"/>
        <v>199</v>
      </c>
      <c r="AJ218" s="254" t="str">
        <f t="shared" ca="1" si="74"/>
        <v>199</v>
      </c>
      <c r="AK218" s="351"/>
    </row>
    <row r="219" spans="1:37">
      <c r="A219" s="74">
        <v>200</v>
      </c>
      <c r="B219" s="252"/>
      <c r="C219" s="293" t="str">
        <f t="shared" si="59"/>
        <v/>
      </c>
      <c r="D219" s="294" t="str">
        <f t="shared" si="60"/>
        <v/>
      </c>
      <c r="E219" s="287"/>
      <c r="F219" s="293" t="str">
        <f t="shared" si="61"/>
        <v/>
      </c>
      <c r="G219" s="294" t="str">
        <f t="shared" si="62"/>
        <v/>
      </c>
      <c r="H219" s="290"/>
      <c r="I219" s="254" t="str">
        <f t="shared" ca="1" si="70"/>
        <v>1</v>
      </c>
      <c r="J219" s="254" t="str">
        <f t="shared" ca="1" si="71"/>
        <v>1</v>
      </c>
      <c r="K219" s="230" t="str">
        <f>IF(Giocatori!B208=0,"",Giocatori!B208)</f>
        <v>GALABINOV</v>
      </c>
      <c r="L219" s="230" t="str">
        <f>IF(Giocatori!A208=0,"",Giocatori!A208)</f>
        <v>A</v>
      </c>
      <c r="M219" s="230" t="str">
        <f>IF(Giocatori!C208=0,"",Giocatori!C208)</f>
        <v>Genoa</v>
      </c>
      <c r="N219" s="69" t="str">
        <f t="shared" si="63"/>
        <v/>
      </c>
      <c r="O219" t="str">
        <f t="shared" si="64"/>
        <v>GALABINOV</v>
      </c>
      <c r="P219" s="7">
        <f t="shared" ca="1" si="72"/>
        <v>219</v>
      </c>
      <c r="Q219" s="7" t="str">
        <f t="shared" ca="1" si="65"/>
        <v>GALABINOV</v>
      </c>
      <c r="Z219" s="256"/>
      <c r="AA219" s="219"/>
      <c r="AB219" s="293" t="str">
        <f t="shared" si="66"/>
        <v/>
      </c>
      <c r="AC219" s="294" t="str">
        <f t="shared" si="67"/>
        <v/>
      </c>
      <c r="AD219" s="219"/>
      <c r="AE219" s="219"/>
      <c r="AF219" s="293" t="str">
        <f>IF(AA219="","",VLOOKUP(AA219,Asta!$B:$H,7,FALSE))</f>
        <v/>
      </c>
      <c r="AG219" s="294" t="str">
        <f t="shared" si="68"/>
        <v/>
      </c>
      <c r="AH219" t="str">
        <f t="shared" si="69"/>
        <v/>
      </c>
      <c r="AI219" s="254" t="str">
        <f t="shared" ca="1" si="73"/>
        <v>200</v>
      </c>
      <c r="AJ219" s="254" t="str">
        <f t="shared" ca="1" si="74"/>
        <v>200</v>
      </c>
      <c r="AK219" s="351"/>
    </row>
    <row r="220" spans="1:37">
      <c r="A220" s="74">
        <v>201</v>
      </c>
      <c r="B220" s="252"/>
      <c r="C220" s="293" t="str">
        <f t="shared" si="59"/>
        <v/>
      </c>
      <c r="D220" s="294" t="str">
        <f t="shared" si="60"/>
        <v/>
      </c>
      <c r="E220" s="287"/>
      <c r="F220" s="293" t="str">
        <f t="shared" si="61"/>
        <v/>
      </c>
      <c r="G220" s="294" t="str">
        <f t="shared" si="62"/>
        <v/>
      </c>
      <c r="H220" s="290"/>
      <c r="I220" s="254" t="str">
        <f t="shared" ca="1" si="70"/>
        <v>1</v>
      </c>
      <c r="J220" s="254" t="str">
        <f t="shared" ca="1" si="71"/>
        <v>1</v>
      </c>
      <c r="K220" s="230" t="str">
        <f>IF(Giocatori!B209=0,"",Giocatori!B209)</f>
        <v>GAMBERINI</v>
      </c>
      <c r="L220" s="230" t="str">
        <f>IF(Giocatori!A209=0,"",Giocatori!A209)</f>
        <v>D</v>
      </c>
      <c r="M220" s="230" t="str">
        <f>IF(Giocatori!C209=0,"",Giocatori!C209)</f>
        <v>Chievo</v>
      </c>
      <c r="N220" s="69" t="str">
        <f t="shared" si="63"/>
        <v/>
      </c>
      <c r="O220" t="str">
        <f t="shared" si="64"/>
        <v>GAMBERINI</v>
      </c>
      <c r="P220" s="7">
        <f t="shared" ca="1" si="72"/>
        <v>220</v>
      </c>
      <c r="Q220" s="7" t="str">
        <f t="shared" ca="1" si="65"/>
        <v>GAMBERINI</v>
      </c>
      <c r="Z220" s="256"/>
      <c r="AA220" s="219"/>
      <c r="AB220" s="293" t="str">
        <f t="shared" si="66"/>
        <v/>
      </c>
      <c r="AC220" s="294" t="str">
        <f t="shared" si="67"/>
        <v/>
      </c>
      <c r="AD220" s="219"/>
      <c r="AE220" s="219"/>
      <c r="AF220" s="293" t="str">
        <f>IF(AA220="","",VLOOKUP(AA220,Asta!$B:$H,7,FALSE))</f>
        <v/>
      </c>
      <c r="AG220" s="294" t="str">
        <f t="shared" si="68"/>
        <v/>
      </c>
      <c r="AH220" t="str">
        <f t="shared" si="69"/>
        <v/>
      </c>
      <c r="AI220" s="254" t="str">
        <f t="shared" ca="1" si="73"/>
        <v>201</v>
      </c>
      <c r="AJ220" s="254" t="str">
        <f t="shared" ca="1" si="74"/>
        <v>201</v>
      </c>
      <c r="AK220" s="351"/>
    </row>
    <row r="221" spans="1:37">
      <c r="A221" s="74">
        <v>202</v>
      </c>
      <c r="B221" s="252"/>
      <c r="C221" s="293" t="str">
        <f t="shared" si="59"/>
        <v/>
      </c>
      <c r="D221" s="294" t="str">
        <f t="shared" si="60"/>
        <v/>
      </c>
      <c r="E221" s="287"/>
      <c r="F221" s="293" t="str">
        <f t="shared" si="61"/>
        <v/>
      </c>
      <c r="G221" s="294" t="str">
        <f t="shared" si="62"/>
        <v/>
      </c>
      <c r="H221" s="290"/>
      <c r="I221" s="254" t="str">
        <f t="shared" ca="1" si="70"/>
        <v>1</v>
      </c>
      <c r="J221" s="254" t="str">
        <f t="shared" ca="1" si="71"/>
        <v>1</v>
      </c>
      <c r="K221" s="230" t="str">
        <f>IF(Giocatori!B210=0,"",Giocatori!B210)</f>
        <v>GARRITANO</v>
      </c>
      <c r="L221" s="230" t="str">
        <f>IF(Giocatori!A210=0,"",Giocatori!A210)</f>
        <v>C</v>
      </c>
      <c r="M221" s="230" t="str">
        <f>IF(Giocatori!C210=0,"",Giocatori!C210)</f>
        <v>Chievo</v>
      </c>
      <c r="N221" s="69" t="str">
        <f t="shared" si="63"/>
        <v/>
      </c>
      <c r="O221" t="str">
        <f t="shared" si="64"/>
        <v>GARRITANO</v>
      </c>
      <c r="P221" s="7">
        <f t="shared" ca="1" si="72"/>
        <v>221</v>
      </c>
      <c r="Q221" s="7" t="str">
        <f t="shared" ca="1" si="65"/>
        <v>GARRITANO</v>
      </c>
      <c r="Z221" s="256"/>
      <c r="AA221" s="219"/>
      <c r="AB221" s="293" t="str">
        <f t="shared" si="66"/>
        <v/>
      </c>
      <c r="AC221" s="294" t="str">
        <f t="shared" si="67"/>
        <v/>
      </c>
      <c r="AD221" s="219"/>
      <c r="AE221" s="219"/>
      <c r="AF221" s="293" t="str">
        <f>IF(AA221="","",VLOOKUP(AA221,Asta!$B:$H,7,FALSE))</f>
        <v/>
      </c>
      <c r="AG221" s="294" t="str">
        <f t="shared" si="68"/>
        <v/>
      </c>
      <c r="AH221" t="str">
        <f t="shared" si="69"/>
        <v/>
      </c>
      <c r="AI221" s="254" t="str">
        <f t="shared" ca="1" si="73"/>
        <v>202</v>
      </c>
      <c r="AJ221" s="254" t="str">
        <f t="shared" ca="1" si="74"/>
        <v>202</v>
      </c>
      <c r="AK221" s="351"/>
    </row>
    <row r="222" spans="1:37">
      <c r="A222" s="74">
        <v>203</v>
      </c>
      <c r="B222" s="252"/>
      <c r="C222" s="293" t="str">
        <f t="shared" si="59"/>
        <v/>
      </c>
      <c r="D222" s="294" t="str">
        <f t="shared" si="60"/>
        <v/>
      </c>
      <c r="E222" s="287"/>
      <c r="F222" s="293" t="str">
        <f t="shared" si="61"/>
        <v/>
      </c>
      <c r="G222" s="294" t="str">
        <f t="shared" si="62"/>
        <v/>
      </c>
      <c r="H222" s="290"/>
      <c r="I222" s="254" t="str">
        <f t="shared" ca="1" si="70"/>
        <v>1</v>
      </c>
      <c r="J222" s="254" t="str">
        <f t="shared" ca="1" si="71"/>
        <v>1</v>
      </c>
      <c r="K222" s="230" t="str">
        <f>IF(Giocatori!B211=0,"",Giocatori!B211)</f>
        <v>GASPAR</v>
      </c>
      <c r="L222" s="230" t="str">
        <f>IF(Giocatori!A211=0,"",Giocatori!A211)</f>
        <v>D</v>
      </c>
      <c r="M222" s="230" t="str">
        <f>IF(Giocatori!C211=0,"",Giocatori!C211)</f>
        <v>Fiorentina</v>
      </c>
      <c r="N222" s="69" t="str">
        <f t="shared" si="63"/>
        <v/>
      </c>
      <c r="O222" t="str">
        <f t="shared" si="64"/>
        <v>GASPAR</v>
      </c>
      <c r="P222" s="7">
        <f t="shared" ca="1" si="72"/>
        <v>222</v>
      </c>
      <c r="Q222" s="7" t="str">
        <f t="shared" ca="1" si="65"/>
        <v>GASPAR</v>
      </c>
      <c r="Z222" s="256"/>
      <c r="AA222" s="219"/>
      <c r="AB222" s="293" t="str">
        <f t="shared" si="66"/>
        <v/>
      </c>
      <c r="AC222" s="294" t="str">
        <f t="shared" si="67"/>
        <v/>
      </c>
      <c r="AD222" s="219"/>
      <c r="AE222" s="219"/>
      <c r="AF222" s="293" t="str">
        <f>IF(AA222="","",VLOOKUP(AA222,Asta!$B:$H,7,FALSE))</f>
        <v/>
      </c>
      <c r="AG222" s="294" t="str">
        <f t="shared" si="68"/>
        <v/>
      </c>
      <c r="AH222" t="str">
        <f t="shared" si="69"/>
        <v/>
      </c>
      <c r="AI222" s="254" t="str">
        <f t="shared" ca="1" si="73"/>
        <v>203</v>
      </c>
      <c r="AJ222" s="254" t="str">
        <f t="shared" ca="1" si="74"/>
        <v>203</v>
      </c>
      <c r="AK222" s="351"/>
    </row>
    <row r="223" spans="1:37">
      <c r="A223" s="74">
        <v>204</v>
      </c>
      <c r="B223" s="252"/>
      <c r="C223" s="293" t="str">
        <f t="shared" si="59"/>
        <v/>
      </c>
      <c r="D223" s="294" t="str">
        <f t="shared" si="60"/>
        <v/>
      </c>
      <c r="E223" s="287"/>
      <c r="F223" s="293" t="str">
        <f t="shared" si="61"/>
        <v/>
      </c>
      <c r="G223" s="294" t="str">
        <f t="shared" si="62"/>
        <v/>
      </c>
      <c r="H223" s="290"/>
      <c r="I223" s="254" t="str">
        <f t="shared" ca="1" si="70"/>
        <v>1</v>
      </c>
      <c r="J223" s="254" t="str">
        <f t="shared" ca="1" si="71"/>
        <v>1</v>
      </c>
      <c r="K223" s="230" t="str">
        <f>IF(Giocatori!B212=0,"",Giocatori!B212)</f>
        <v>GAUDINO</v>
      </c>
      <c r="L223" s="230" t="str">
        <f>IF(Giocatori!A212=0,"",Giocatori!A212)</f>
        <v>C</v>
      </c>
      <c r="M223" s="230" t="str">
        <f>IF(Giocatori!C212=0,"",Giocatori!C212)</f>
        <v>Chievo</v>
      </c>
      <c r="N223" s="69" t="str">
        <f t="shared" si="63"/>
        <v/>
      </c>
      <c r="O223" t="str">
        <f t="shared" si="64"/>
        <v>GAUDINO</v>
      </c>
      <c r="P223" s="7">
        <f t="shared" ca="1" si="72"/>
        <v>223</v>
      </c>
      <c r="Q223" s="7" t="str">
        <f t="shared" ca="1" si="65"/>
        <v>GAUDINO</v>
      </c>
      <c r="Z223" s="256"/>
      <c r="AA223" s="219"/>
      <c r="AB223" s="293" t="str">
        <f t="shared" si="66"/>
        <v/>
      </c>
      <c r="AC223" s="294" t="str">
        <f t="shared" si="67"/>
        <v/>
      </c>
      <c r="AD223" s="219"/>
      <c r="AE223" s="219"/>
      <c r="AF223" s="293" t="str">
        <f>IF(AA223="","",VLOOKUP(AA223,Asta!$B:$H,7,FALSE))</f>
        <v/>
      </c>
      <c r="AG223" s="294" t="str">
        <f t="shared" si="68"/>
        <v/>
      </c>
      <c r="AH223" t="str">
        <f t="shared" si="69"/>
        <v/>
      </c>
      <c r="AI223" s="254" t="str">
        <f t="shared" ca="1" si="73"/>
        <v>204</v>
      </c>
      <c r="AJ223" s="254" t="str">
        <f t="shared" ca="1" si="74"/>
        <v>204</v>
      </c>
      <c r="AK223" s="351"/>
    </row>
    <row r="224" spans="1:37">
      <c r="A224" s="74">
        <v>205</v>
      </c>
      <c r="B224" s="252"/>
      <c r="C224" s="293" t="str">
        <f t="shared" si="59"/>
        <v/>
      </c>
      <c r="D224" s="294" t="str">
        <f t="shared" si="60"/>
        <v/>
      </c>
      <c r="E224" s="287"/>
      <c r="F224" s="293" t="str">
        <f t="shared" si="61"/>
        <v/>
      </c>
      <c r="G224" s="294" t="str">
        <f t="shared" si="62"/>
        <v/>
      </c>
      <c r="H224" s="290"/>
      <c r="I224" s="254" t="str">
        <f t="shared" ca="1" si="70"/>
        <v>1</v>
      </c>
      <c r="J224" s="254" t="str">
        <f t="shared" ca="1" si="71"/>
        <v>1</v>
      </c>
      <c r="K224" s="230" t="str">
        <f>IF(Giocatori!B213=0,"",Giocatori!B213)</f>
        <v>GAZZOLA</v>
      </c>
      <c r="L224" s="230" t="str">
        <f>IF(Giocatori!A213=0,"",Giocatori!A213)</f>
        <v>D</v>
      </c>
      <c r="M224" s="230" t="str">
        <f>IF(Giocatori!C213=0,"",Giocatori!C213)</f>
        <v>Sassuolo</v>
      </c>
      <c r="N224" s="69" t="str">
        <f t="shared" si="63"/>
        <v/>
      </c>
      <c r="O224" t="str">
        <f t="shared" si="64"/>
        <v>GAZZOLA</v>
      </c>
      <c r="P224" s="7">
        <f t="shared" ca="1" si="72"/>
        <v>224</v>
      </c>
      <c r="Q224" s="7" t="str">
        <f t="shared" ca="1" si="65"/>
        <v>GAZZOLA</v>
      </c>
      <c r="Z224" s="256"/>
      <c r="AA224" s="219"/>
      <c r="AB224" s="293" t="str">
        <f t="shared" si="66"/>
        <v/>
      </c>
      <c r="AC224" s="294" t="str">
        <f t="shared" si="67"/>
        <v/>
      </c>
      <c r="AD224" s="219"/>
      <c r="AE224" s="219"/>
      <c r="AF224" s="293" t="str">
        <f>IF(AA224="","",VLOOKUP(AA224,Asta!$B:$H,7,FALSE))</f>
        <v/>
      </c>
      <c r="AG224" s="294" t="str">
        <f t="shared" si="68"/>
        <v/>
      </c>
      <c r="AH224" t="str">
        <f t="shared" si="69"/>
        <v/>
      </c>
      <c r="AI224" s="254" t="str">
        <f t="shared" ca="1" si="73"/>
        <v>205</v>
      </c>
      <c r="AJ224" s="254" t="str">
        <f t="shared" ca="1" si="74"/>
        <v>205</v>
      </c>
      <c r="AK224" s="351"/>
    </row>
    <row r="225" spans="1:37">
      <c r="A225" s="74">
        <v>206</v>
      </c>
      <c r="B225" s="252"/>
      <c r="C225" s="293" t="str">
        <f t="shared" si="59"/>
        <v/>
      </c>
      <c r="D225" s="294" t="str">
        <f t="shared" si="60"/>
        <v/>
      </c>
      <c r="E225" s="287"/>
      <c r="F225" s="293" t="str">
        <f t="shared" si="61"/>
        <v/>
      </c>
      <c r="G225" s="294" t="str">
        <f t="shared" si="62"/>
        <v/>
      </c>
      <c r="H225" s="290"/>
      <c r="I225" s="254" t="str">
        <f t="shared" ca="1" si="70"/>
        <v>1</v>
      </c>
      <c r="J225" s="254" t="str">
        <f t="shared" ca="1" si="71"/>
        <v>1</v>
      </c>
      <c r="K225" s="230" t="str">
        <f>IF(Giocatori!B214=0,"",Giocatori!B214)</f>
        <v>GENTILETTI</v>
      </c>
      <c r="L225" s="230" t="str">
        <f>IF(Giocatori!A214=0,"",Giocatori!A214)</f>
        <v>D</v>
      </c>
      <c r="M225" s="230" t="str">
        <f>IF(Giocatori!C214=0,"",Giocatori!C214)</f>
        <v>Genoa</v>
      </c>
      <c r="N225" s="69" t="str">
        <f t="shared" si="63"/>
        <v/>
      </c>
      <c r="O225" t="str">
        <f t="shared" si="64"/>
        <v>GENTILETTI</v>
      </c>
      <c r="P225" s="7">
        <f t="shared" ca="1" si="72"/>
        <v>225</v>
      </c>
      <c r="Q225" s="7" t="str">
        <f t="shared" ca="1" si="65"/>
        <v>GENTILETTI</v>
      </c>
      <c r="Z225" s="256"/>
      <c r="AA225" s="219"/>
      <c r="AB225" s="293" t="str">
        <f t="shared" si="66"/>
        <v/>
      </c>
      <c r="AC225" s="294" t="str">
        <f t="shared" si="67"/>
        <v/>
      </c>
      <c r="AD225" s="219"/>
      <c r="AE225" s="219"/>
      <c r="AF225" s="293" t="str">
        <f>IF(AA225="","",VLOOKUP(AA225,Asta!$B:$H,7,FALSE))</f>
        <v/>
      </c>
      <c r="AG225" s="294" t="str">
        <f t="shared" si="68"/>
        <v/>
      </c>
      <c r="AH225" t="str">
        <f t="shared" si="69"/>
        <v/>
      </c>
      <c r="AI225" s="254" t="str">
        <f t="shared" ca="1" si="73"/>
        <v>206</v>
      </c>
      <c r="AJ225" s="254" t="str">
        <f t="shared" ca="1" si="74"/>
        <v>206</v>
      </c>
      <c r="AK225" s="351"/>
    </row>
    <row r="226" spans="1:37">
      <c r="A226" s="74">
        <v>207</v>
      </c>
      <c r="B226" s="252"/>
      <c r="C226" s="293" t="str">
        <f t="shared" si="59"/>
        <v/>
      </c>
      <c r="D226" s="294" t="str">
        <f t="shared" si="60"/>
        <v/>
      </c>
      <c r="E226" s="287"/>
      <c r="F226" s="293" t="str">
        <f t="shared" si="61"/>
        <v/>
      </c>
      <c r="G226" s="294" t="str">
        <f t="shared" si="62"/>
        <v/>
      </c>
      <c r="H226" s="290"/>
      <c r="I226" s="254" t="str">
        <f t="shared" ca="1" si="70"/>
        <v>1</v>
      </c>
      <c r="J226" s="254" t="str">
        <f t="shared" ca="1" si="71"/>
        <v>1</v>
      </c>
      <c r="K226" s="230" t="str">
        <f>IF(Giocatori!B215=0,"",Giocatori!B215)</f>
        <v>GERSON</v>
      </c>
      <c r="L226" s="230" t="str">
        <f>IF(Giocatori!A215=0,"",Giocatori!A215)</f>
        <v>C</v>
      </c>
      <c r="M226" s="230" t="str">
        <f>IF(Giocatori!C215=0,"",Giocatori!C215)</f>
        <v>Roma</v>
      </c>
      <c r="N226" s="69" t="str">
        <f t="shared" si="63"/>
        <v/>
      </c>
      <c r="O226" t="str">
        <f t="shared" si="64"/>
        <v>GERSON</v>
      </c>
      <c r="P226" s="7">
        <f t="shared" ca="1" si="72"/>
        <v>226</v>
      </c>
      <c r="Q226" s="7" t="str">
        <f t="shared" ca="1" si="65"/>
        <v>GERSON</v>
      </c>
      <c r="Z226" s="256"/>
      <c r="AA226" s="219"/>
      <c r="AB226" s="293" t="str">
        <f t="shared" si="66"/>
        <v/>
      </c>
      <c r="AC226" s="294" t="str">
        <f t="shared" si="67"/>
        <v/>
      </c>
      <c r="AD226" s="219"/>
      <c r="AE226" s="219"/>
      <c r="AF226" s="293" t="str">
        <f>IF(AA226="","",VLOOKUP(AA226,Asta!$B:$H,7,FALSE))</f>
        <v/>
      </c>
      <c r="AG226" s="294" t="str">
        <f t="shared" si="68"/>
        <v/>
      </c>
      <c r="AH226" t="str">
        <f t="shared" si="69"/>
        <v/>
      </c>
      <c r="AI226" s="254" t="str">
        <f t="shared" ca="1" si="73"/>
        <v>207</v>
      </c>
      <c r="AJ226" s="254" t="str">
        <f t="shared" ca="1" si="74"/>
        <v>207</v>
      </c>
      <c r="AK226" s="351"/>
    </row>
    <row r="227" spans="1:37">
      <c r="A227" s="74">
        <v>208</v>
      </c>
      <c r="B227" s="252"/>
      <c r="C227" s="293" t="str">
        <f t="shared" si="59"/>
        <v/>
      </c>
      <c r="D227" s="294" t="str">
        <f t="shared" si="60"/>
        <v/>
      </c>
      <c r="E227" s="287"/>
      <c r="F227" s="293" t="str">
        <f t="shared" si="61"/>
        <v/>
      </c>
      <c r="G227" s="294" t="str">
        <f t="shared" si="62"/>
        <v/>
      </c>
      <c r="H227" s="290"/>
      <c r="I227" s="254" t="str">
        <f t="shared" ca="1" si="70"/>
        <v>1</v>
      </c>
      <c r="J227" s="254" t="str">
        <f t="shared" ca="1" si="71"/>
        <v>1</v>
      </c>
      <c r="K227" s="230" t="str">
        <f>IF(Giocatori!B216=0,"",Giocatori!B216)</f>
        <v>GHOULAM</v>
      </c>
      <c r="L227" s="230" t="str">
        <f>IF(Giocatori!A216=0,"",Giocatori!A216)</f>
        <v>D</v>
      </c>
      <c r="M227" s="230" t="str">
        <f>IF(Giocatori!C216=0,"",Giocatori!C216)</f>
        <v>Napoli</v>
      </c>
      <c r="N227" s="69" t="str">
        <f t="shared" si="63"/>
        <v/>
      </c>
      <c r="O227" t="str">
        <f t="shared" si="64"/>
        <v>GHOULAM</v>
      </c>
      <c r="P227" s="7">
        <f t="shared" ca="1" si="72"/>
        <v>227</v>
      </c>
      <c r="Q227" s="7" t="str">
        <f t="shared" ca="1" si="65"/>
        <v>GHOULAM</v>
      </c>
      <c r="Z227" s="256"/>
      <c r="AA227" s="219"/>
      <c r="AB227" s="293" t="str">
        <f t="shared" si="66"/>
        <v/>
      </c>
      <c r="AC227" s="294" t="str">
        <f t="shared" si="67"/>
        <v/>
      </c>
      <c r="AD227" s="219"/>
      <c r="AE227" s="219"/>
      <c r="AF227" s="293" t="str">
        <f>IF(AA227="","",VLOOKUP(AA227,Asta!$B:$H,7,FALSE))</f>
        <v/>
      </c>
      <c r="AG227" s="294" t="str">
        <f t="shared" si="68"/>
        <v/>
      </c>
      <c r="AH227" t="str">
        <f t="shared" si="69"/>
        <v/>
      </c>
      <c r="AI227" s="254" t="str">
        <f t="shared" ca="1" si="73"/>
        <v>208</v>
      </c>
      <c r="AJ227" s="254" t="str">
        <f t="shared" ca="1" si="74"/>
        <v>208</v>
      </c>
      <c r="AK227" s="351"/>
    </row>
    <row r="228" spans="1:37">
      <c r="A228" s="74">
        <v>209</v>
      </c>
      <c r="B228" s="252"/>
      <c r="C228" s="293" t="str">
        <f t="shared" si="59"/>
        <v/>
      </c>
      <c r="D228" s="294" t="str">
        <f t="shared" si="60"/>
        <v/>
      </c>
      <c r="E228" s="287"/>
      <c r="F228" s="293" t="str">
        <f t="shared" si="61"/>
        <v/>
      </c>
      <c r="G228" s="294" t="str">
        <f t="shared" si="62"/>
        <v/>
      </c>
      <c r="H228" s="290"/>
      <c r="I228" s="254" t="str">
        <f t="shared" ca="1" si="70"/>
        <v>1</v>
      </c>
      <c r="J228" s="254" t="str">
        <f t="shared" ca="1" si="71"/>
        <v>1</v>
      </c>
      <c r="K228" s="230" t="str">
        <f>IF(Giocatori!B217=0,"",Giocatori!B217)</f>
        <v>GIACCHERINI</v>
      </c>
      <c r="L228" s="230" t="str">
        <f>IF(Giocatori!A217=0,"",Giocatori!A217)</f>
        <v>C</v>
      </c>
      <c r="M228" s="230" t="str">
        <f>IF(Giocatori!C217=0,"",Giocatori!C217)</f>
        <v>Napoli</v>
      </c>
      <c r="N228" s="69" t="str">
        <f t="shared" si="63"/>
        <v/>
      </c>
      <c r="O228" t="str">
        <f t="shared" si="64"/>
        <v>GIACCHERINI</v>
      </c>
      <c r="P228" s="7">
        <f t="shared" ca="1" si="72"/>
        <v>228</v>
      </c>
      <c r="Q228" s="7" t="str">
        <f t="shared" ca="1" si="65"/>
        <v>GIACCHERINI</v>
      </c>
      <c r="Z228" s="256"/>
      <c r="AA228" s="219"/>
      <c r="AB228" s="293" t="str">
        <f t="shared" si="66"/>
        <v/>
      </c>
      <c r="AC228" s="294" t="str">
        <f t="shared" si="67"/>
        <v/>
      </c>
      <c r="AD228" s="219"/>
      <c r="AE228" s="219"/>
      <c r="AF228" s="293" t="str">
        <f>IF(AA228="","",VLOOKUP(AA228,Asta!$B:$H,7,FALSE))</f>
        <v/>
      </c>
      <c r="AG228" s="294" t="str">
        <f t="shared" si="68"/>
        <v/>
      </c>
      <c r="AH228" t="str">
        <f t="shared" si="69"/>
        <v/>
      </c>
      <c r="AI228" s="254" t="str">
        <f t="shared" ca="1" si="73"/>
        <v>209</v>
      </c>
      <c r="AJ228" s="254" t="str">
        <f t="shared" ca="1" si="74"/>
        <v>209</v>
      </c>
      <c r="AK228" s="351"/>
    </row>
    <row r="229" spans="1:37">
      <c r="A229" s="74">
        <v>210</v>
      </c>
      <c r="B229" s="252"/>
      <c r="C229" s="293" t="str">
        <f t="shared" ref="C229:C292" si="75">IF(B229&lt;&gt;"",VLOOKUP(B229,$K:$M,2,FALSE),"")</f>
        <v/>
      </c>
      <c r="D229" s="294" t="str">
        <f t="shared" ref="D229:D292" si="76">IF(B229&lt;&gt;"",VLOOKUP(B229,$K:$M,3,FALSE),"")</f>
        <v/>
      </c>
      <c r="E229" s="287"/>
      <c r="F229" s="293" t="str">
        <f t="shared" si="61"/>
        <v/>
      </c>
      <c r="G229" s="294" t="str">
        <f t="shared" si="62"/>
        <v/>
      </c>
      <c r="H229" s="290"/>
      <c r="I229" s="254" t="str">
        <f t="shared" ca="1" si="70"/>
        <v>1</v>
      </c>
      <c r="J229" s="254" t="str">
        <f t="shared" ca="1" si="71"/>
        <v>1</v>
      </c>
      <c r="K229" s="230" t="str">
        <f>IF(Giocatori!B218=0,"",Giocatori!B218)</f>
        <v>GIANNETTI</v>
      </c>
      <c r="L229" s="230" t="str">
        <f>IF(Giocatori!A218=0,"",Giocatori!A218)</f>
        <v>A</v>
      </c>
      <c r="M229" s="230" t="str">
        <f>IF(Giocatori!C218=0,"",Giocatori!C218)</f>
        <v>Cagliari</v>
      </c>
      <c r="N229" s="69" t="str">
        <f t="shared" si="63"/>
        <v/>
      </c>
      <c r="O229" t="str">
        <f t="shared" si="64"/>
        <v>GIANNETTI</v>
      </c>
      <c r="P229" s="7">
        <f t="shared" ca="1" si="72"/>
        <v>229</v>
      </c>
      <c r="Q229" s="7" t="str">
        <f t="shared" ca="1" si="65"/>
        <v>GIANNETTI</v>
      </c>
      <c r="Z229" s="256"/>
      <c r="AA229" s="219"/>
      <c r="AB229" s="293" t="str">
        <f t="shared" si="66"/>
        <v/>
      </c>
      <c r="AC229" s="294" t="str">
        <f t="shared" si="67"/>
        <v/>
      </c>
      <c r="AD229" s="219"/>
      <c r="AE229" s="219"/>
      <c r="AF229" s="293" t="str">
        <f>IF(AA229="","",VLOOKUP(AA229,Asta!$B:$H,7,FALSE))</f>
        <v/>
      </c>
      <c r="AG229" s="294" t="str">
        <f t="shared" si="68"/>
        <v/>
      </c>
      <c r="AH229" t="str">
        <f t="shared" si="69"/>
        <v/>
      </c>
      <c r="AI229" s="254" t="str">
        <f t="shared" ca="1" si="73"/>
        <v>210</v>
      </c>
      <c r="AJ229" s="254" t="str">
        <f t="shared" ca="1" si="74"/>
        <v>210</v>
      </c>
      <c r="AK229" s="351"/>
    </row>
    <row r="230" spans="1:37">
      <c r="A230" s="74">
        <v>211</v>
      </c>
      <c r="B230" s="252"/>
      <c r="C230" s="293" t="str">
        <f t="shared" si="75"/>
        <v/>
      </c>
      <c r="D230" s="294" t="str">
        <f t="shared" si="76"/>
        <v/>
      </c>
      <c r="E230" s="287"/>
      <c r="F230" s="293" t="str">
        <f t="shared" si="61"/>
        <v/>
      </c>
      <c r="G230" s="294" t="str">
        <f t="shared" si="62"/>
        <v/>
      </c>
      <c r="H230" s="290"/>
      <c r="I230" s="254" t="str">
        <f t="shared" ca="1" si="70"/>
        <v>1</v>
      </c>
      <c r="J230" s="254" t="str">
        <f t="shared" ca="1" si="71"/>
        <v>1</v>
      </c>
      <c r="K230" s="230" t="str">
        <f>IF(Giocatori!B219=0,"",Giocatori!B219)</f>
        <v>GIL DIAS</v>
      </c>
      <c r="L230" s="230" t="str">
        <f>IF(Giocatori!A219=0,"",Giocatori!A219)</f>
        <v>C</v>
      </c>
      <c r="M230" s="230" t="str">
        <f>IF(Giocatori!C219=0,"",Giocatori!C219)</f>
        <v>Fiorentina</v>
      </c>
      <c r="N230" s="69" t="str">
        <f t="shared" si="63"/>
        <v/>
      </c>
      <c r="O230" t="str">
        <f t="shared" si="64"/>
        <v>GIL DIAS</v>
      </c>
      <c r="P230" s="7">
        <f t="shared" ca="1" si="72"/>
        <v>230</v>
      </c>
      <c r="Q230" s="7" t="str">
        <f t="shared" ca="1" si="65"/>
        <v>GIL DIAS</v>
      </c>
      <c r="Z230" s="256"/>
      <c r="AA230" s="219"/>
      <c r="AB230" s="293" t="str">
        <f t="shared" si="66"/>
        <v/>
      </c>
      <c r="AC230" s="294" t="str">
        <f t="shared" si="67"/>
        <v/>
      </c>
      <c r="AD230" s="219"/>
      <c r="AE230" s="219"/>
      <c r="AF230" s="293" t="str">
        <f>IF(AA230="","",VLOOKUP(AA230,Asta!$B:$H,7,FALSE))</f>
        <v/>
      </c>
      <c r="AG230" s="294" t="str">
        <f t="shared" si="68"/>
        <v/>
      </c>
      <c r="AH230" t="str">
        <f t="shared" si="69"/>
        <v/>
      </c>
      <c r="AI230" s="254" t="str">
        <f t="shared" ca="1" si="73"/>
        <v>211</v>
      </c>
      <c r="AJ230" s="254" t="str">
        <f t="shared" ca="1" si="74"/>
        <v>211</v>
      </c>
      <c r="AK230" s="351"/>
    </row>
    <row r="231" spans="1:37">
      <c r="A231" s="74">
        <v>212</v>
      </c>
      <c r="B231" s="252"/>
      <c r="C231" s="295" t="str">
        <f t="shared" si="75"/>
        <v/>
      </c>
      <c r="D231" s="296" t="str">
        <f t="shared" si="76"/>
        <v/>
      </c>
      <c r="E231" s="287"/>
      <c r="F231" s="295" t="str">
        <f t="shared" si="61"/>
        <v/>
      </c>
      <c r="G231" s="296" t="str">
        <f t="shared" si="62"/>
        <v/>
      </c>
      <c r="H231" s="290"/>
      <c r="I231" s="254" t="str">
        <f t="shared" ca="1" si="70"/>
        <v>1</v>
      </c>
      <c r="J231" s="254" t="str">
        <f t="shared" ca="1" si="71"/>
        <v>1</v>
      </c>
      <c r="K231" s="230" t="str">
        <f>IF(Giocatori!B220=0,"",Giocatori!B220)</f>
        <v>GNOUKOURI</v>
      </c>
      <c r="L231" s="230" t="str">
        <f>IF(Giocatori!A220=0,"",Giocatori!A220)</f>
        <v>C</v>
      </c>
      <c r="M231" s="230" t="str">
        <f>IF(Giocatori!C220=0,"",Giocatori!C220)</f>
        <v>Inter</v>
      </c>
      <c r="N231" s="69" t="str">
        <f t="shared" si="63"/>
        <v/>
      </c>
      <c r="O231" t="str">
        <f t="shared" si="64"/>
        <v>GNOUKOURI</v>
      </c>
      <c r="P231" s="7">
        <f t="shared" ca="1" si="72"/>
        <v>231</v>
      </c>
      <c r="Q231" s="7" t="str">
        <f t="shared" ca="1" si="65"/>
        <v>GNOUKOURI</v>
      </c>
      <c r="Z231" s="256"/>
      <c r="AA231" s="219"/>
      <c r="AB231" s="295" t="str">
        <f t="shared" si="66"/>
        <v/>
      </c>
      <c r="AC231" s="296" t="str">
        <f t="shared" si="67"/>
        <v/>
      </c>
      <c r="AD231" s="219"/>
      <c r="AE231" s="219"/>
      <c r="AF231" s="295" t="str">
        <f>IF(AA231="","",VLOOKUP(AA231,Asta!$B:$H,7,FALSE))</f>
        <v/>
      </c>
      <c r="AG231" s="296" t="str">
        <f t="shared" si="68"/>
        <v/>
      </c>
      <c r="AH231" t="str">
        <f t="shared" si="69"/>
        <v/>
      </c>
      <c r="AI231" s="254" t="str">
        <f t="shared" ca="1" si="73"/>
        <v>212</v>
      </c>
      <c r="AJ231" s="254" t="str">
        <f t="shared" ca="1" si="74"/>
        <v>212</v>
      </c>
      <c r="AK231" s="351"/>
    </row>
    <row r="232" spans="1:37">
      <c r="A232" s="74">
        <v>213</v>
      </c>
      <c r="B232" s="252"/>
      <c r="C232" s="293" t="str">
        <f t="shared" si="75"/>
        <v/>
      </c>
      <c r="D232" s="294" t="str">
        <f t="shared" si="76"/>
        <v/>
      </c>
      <c r="E232" s="287"/>
      <c r="F232" s="293" t="str">
        <f t="shared" si="61"/>
        <v/>
      </c>
      <c r="G232" s="294" t="str">
        <f t="shared" si="62"/>
        <v/>
      </c>
      <c r="H232" s="290"/>
      <c r="I232" s="254" t="str">
        <f t="shared" ca="1" si="70"/>
        <v>1</v>
      </c>
      <c r="J232" s="254" t="str">
        <f t="shared" ca="1" si="71"/>
        <v>1</v>
      </c>
      <c r="K232" s="230" t="str">
        <f>IF(Giocatori!B221=0,"",Giocatori!B221)</f>
        <v>GOBBI</v>
      </c>
      <c r="L232" s="230" t="str">
        <f>IF(Giocatori!A221=0,"",Giocatori!A221)</f>
        <v>D</v>
      </c>
      <c r="M232" s="230" t="str">
        <f>IF(Giocatori!C221=0,"",Giocatori!C221)</f>
        <v>Chievo</v>
      </c>
      <c r="N232" s="69" t="str">
        <f t="shared" si="63"/>
        <v/>
      </c>
      <c r="O232" t="str">
        <f t="shared" si="64"/>
        <v>GOBBI</v>
      </c>
      <c r="P232" s="7">
        <f t="shared" ca="1" si="72"/>
        <v>232</v>
      </c>
      <c r="Q232" s="7" t="str">
        <f t="shared" ca="1" si="65"/>
        <v>GOBBI</v>
      </c>
      <c r="Z232" s="256"/>
      <c r="AA232" s="219"/>
      <c r="AB232" s="293" t="str">
        <f t="shared" si="66"/>
        <v/>
      </c>
      <c r="AC232" s="294" t="str">
        <f t="shared" si="67"/>
        <v/>
      </c>
      <c r="AD232" s="219"/>
      <c r="AE232" s="219"/>
      <c r="AF232" s="293" t="str">
        <f>IF(AA232="","",VLOOKUP(AA232,Asta!$B:$H,7,FALSE))</f>
        <v/>
      </c>
      <c r="AG232" s="294" t="str">
        <f t="shared" si="68"/>
        <v/>
      </c>
      <c r="AH232" t="str">
        <f t="shared" si="69"/>
        <v/>
      </c>
      <c r="AI232" s="254" t="str">
        <f t="shared" ca="1" si="73"/>
        <v>213</v>
      </c>
      <c r="AJ232" s="254" t="str">
        <f t="shared" ca="1" si="74"/>
        <v>213</v>
      </c>
      <c r="AK232" s="351"/>
    </row>
    <row r="233" spans="1:37">
      <c r="A233" s="74">
        <v>214</v>
      </c>
      <c r="B233" s="252"/>
      <c r="C233" s="293" t="str">
        <f t="shared" si="75"/>
        <v/>
      </c>
      <c r="D233" s="294" t="str">
        <f t="shared" si="76"/>
        <v/>
      </c>
      <c r="E233" s="287"/>
      <c r="F233" s="293" t="str">
        <f t="shared" si="61"/>
        <v/>
      </c>
      <c r="G233" s="294" t="str">
        <f t="shared" si="62"/>
        <v/>
      </c>
      <c r="H233" s="290"/>
      <c r="I233" s="254" t="str">
        <f t="shared" ca="1" si="70"/>
        <v>1</v>
      </c>
      <c r="J233" s="254" t="str">
        <f t="shared" ca="1" si="71"/>
        <v>1</v>
      </c>
      <c r="K233" s="230" t="str">
        <f>IF(Giocatori!B222=0,"",Giocatori!B222)</f>
        <v>GOLDANIGA</v>
      </c>
      <c r="L233" s="230" t="str">
        <f>IF(Giocatori!A222=0,"",Giocatori!A222)</f>
        <v>D</v>
      </c>
      <c r="M233" s="230" t="str">
        <f>IF(Giocatori!C222=0,"",Giocatori!C222)</f>
        <v>Sassuolo</v>
      </c>
      <c r="N233" s="69" t="str">
        <f t="shared" si="63"/>
        <v/>
      </c>
      <c r="O233" t="str">
        <f t="shared" si="64"/>
        <v>GOLDANIGA</v>
      </c>
      <c r="P233" s="7">
        <f t="shared" ca="1" si="72"/>
        <v>233</v>
      </c>
      <c r="Q233" s="7" t="str">
        <f t="shared" ca="1" si="65"/>
        <v>GOLDANIGA</v>
      </c>
      <c r="Z233" s="256"/>
      <c r="AA233" s="219"/>
      <c r="AB233" s="293" t="str">
        <f t="shared" si="66"/>
        <v/>
      </c>
      <c r="AC233" s="294" t="str">
        <f t="shared" si="67"/>
        <v/>
      </c>
      <c r="AD233" s="219"/>
      <c r="AE233" s="219"/>
      <c r="AF233" s="293" t="str">
        <f>IF(AA233="","",VLOOKUP(AA233,Asta!$B:$H,7,FALSE))</f>
        <v/>
      </c>
      <c r="AG233" s="294" t="str">
        <f t="shared" si="68"/>
        <v/>
      </c>
      <c r="AH233" t="str">
        <f t="shared" si="69"/>
        <v/>
      </c>
      <c r="AI233" s="254" t="str">
        <f t="shared" ca="1" si="73"/>
        <v>214</v>
      </c>
      <c r="AJ233" s="254" t="str">
        <f t="shared" ca="1" si="74"/>
        <v>214</v>
      </c>
      <c r="AK233" s="351"/>
    </row>
    <row r="234" spans="1:37">
      <c r="A234" s="74">
        <v>215</v>
      </c>
      <c r="B234" s="252"/>
      <c r="C234" s="293" t="str">
        <f t="shared" si="75"/>
        <v/>
      </c>
      <c r="D234" s="294" t="str">
        <f t="shared" si="76"/>
        <v/>
      </c>
      <c r="E234" s="287"/>
      <c r="F234" s="293" t="str">
        <f t="shared" si="61"/>
        <v/>
      </c>
      <c r="G234" s="294" t="str">
        <f t="shared" si="62"/>
        <v/>
      </c>
      <c r="H234" s="290"/>
      <c r="I234" s="254" t="str">
        <f t="shared" ca="1" si="70"/>
        <v>1</v>
      </c>
      <c r="J234" s="254" t="str">
        <f t="shared" ca="1" si="71"/>
        <v>1</v>
      </c>
      <c r="K234" s="230" t="str">
        <f>IF(Giocatori!B223=0,"",Giocatori!B223)</f>
        <v>GOLLINI</v>
      </c>
      <c r="L234" s="230" t="str">
        <f>IF(Giocatori!A223=0,"",Giocatori!A223)</f>
        <v>P</v>
      </c>
      <c r="M234" s="230" t="str">
        <f>IF(Giocatori!C223=0,"",Giocatori!C223)</f>
        <v>Atalanta</v>
      </c>
      <c r="N234" s="69" t="str">
        <f t="shared" si="63"/>
        <v/>
      </c>
      <c r="O234" t="str">
        <f t="shared" si="64"/>
        <v>GOLLINI</v>
      </c>
      <c r="P234" s="7">
        <f t="shared" ca="1" si="72"/>
        <v>234</v>
      </c>
      <c r="Q234" s="7" t="str">
        <f t="shared" ca="1" si="65"/>
        <v>GOLLINI</v>
      </c>
      <c r="Z234" s="256"/>
      <c r="AA234" s="219"/>
      <c r="AB234" s="293" t="str">
        <f t="shared" si="66"/>
        <v/>
      </c>
      <c r="AC234" s="294" t="str">
        <f t="shared" si="67"/>
        <v/>
      </c>
      <c r="AD234" s="219"/>
      <c r="AE234" s="219"/>
      <c r="AF234" s="293" t="str">
        <f>IF(AA234="","",VLOOKUP(AA234,Asta!$B:$H,7,FALSE))</f>
        <v/>
      </c>
      <c r="AG234" s="294" t="str">
        <f t="shared" si="68"/>
        <v/>
      </c>
      <c r="AH234" t="str">
        <f t="shared" si="69"/>
        <v/>
      </c>
      <c r="AI234" s="254" t="str">
        <f t="shared" ca="1" si="73"/>
        <v>215</v>
      </c>
      <c r="AJ234" s="254" t="str">
        <f t="shared" ca="1" si="74"/>
        <v>215</v>
      </c>
      <c r="AK234" s="351"/>
    </row>
    <row r="235" spans="1:37">
      <c r="A235" s="74">
        <v>216</v>
      </c>
      <c r="B235" s="252"/>
      <c r="C235" s="293" t="str">
        <f t="shared" si="75"/>
        <v/>
      </c>
      <c r="D235" s="294" t="str">
        <f t="shared" si="76"/>
        <v/>
      </c>
      <c r="E235" s="287"/>
      <c r="F235" s="293" t="str">
        <f t="shared" si="61"/>
        <v/>
      </c>
      <c r="G235" s="294" t="str">
        <f t="shared" si="62"/>
        <v/>
      </c>
      <c r="H235" s="290"/>
      <c r="I235" s="254" t="str">
        <f t="shared" ca="1" si="70"/>
        <v>1</v>
      </c>
      <c r="J235" s="254" t="str">
        <f t="shared" ca="1" si="71"/>
        <v>1</v>
      </c>
      <c r="K235" s="230" t="str">
        <f>IF(Giocatori!B224=0,"",Giocatori!B224)</f>
        <v>GOMEZ A</v>
      </c>
      <c r="L235" s="230" t="str">
        <f>IF(Giocatori!A224=0,"",Giocatori!A224)</f>
        <v>A</v>
      </c>
      <c r="M235" s="230" t="str">
        <f>IF(Giocatori!C224=0,"",Giocatori!C224)</f>
        <v>Atalanta</v>
      </c>
      <c r="N235" s="69" t="str">
        <f t="shared" si="63"/>
        <v/>
      </c>
      <c r="O235" t="str">
        <f t="shared" si="64"/>
        <v>GOMEZ A</v>
      </c>
      <c r="P235" s="7">
        <f t="shared" ca="1" si="72"/>
        <v>235</v>
      </c>
      <c r="Q235" s="7" t="str">
        <f t="shared" ca="1" si="65"/>
        <v>GOMEZ A</v>
      </c>
      <c r="Z235" s="256"/>
      <c r="AA235" s="219"/>
      <c r="AB235" s="293" t="str">
        <f t="shared" si="66"/>
        <v/>
      </c>
      <c r="AC235" s="294" t="str">
        <f t="shared" si="67"/>
        <v/>
      </c>
      <c r="AD235" s="219"/>
      <c r="AE235" s="219"/>
      <c r="AF235" s="293" t="str">
        <f>IF(AA235="","",VLOOKUP(AA235,Asta!$B:$H,7,FALSE))</f>
        <v/>
      </c>
      <c r="AG235" s="294" t="str">
        <f t="shared" si="68"/>
        <v/>
      </c>
      <c r="AH235" t="str">
        <f t="shared" si="69"/>
        <v/>
      </c>
      <c r="AI235" s="254" t="str">
        <f t="shared" ca="1" si="73"/>
        <v>216</v>
      </c>
      <c r="AJ235" s="254" t="str">
        <f t="shared" ca="1" si="74"/>
        <v>216</v>
      </c>
      <c r="AK235" s="351"/>
    </row>
    <row r="236" spans="1:37">
      <c r="A236" s="74">
        <v>217</v>
      </c>
      <c r="B236" s="252"/>
      <c r="C236" s="293" t="str">
        <f t="shared" si="75"/>
        <v/>
      </c>
      <c r="D236" s="294" t="str">
        <f t="shared" si="76"/>
        <v/>
      </c>
      <c r="E236" s="287"/>
      <c r="F236" s="293" t="str">
        <f t="shared" si="61"/>
        <v/>
      </c>
      <c r="G236" s="294" t="str">
        <f t="shared" si="62"/>
        <v/>
      </c>
      <c r="H236" s="290"/>
      <c r="I236" s="254" t="str">
        <f t="shared" ca="1" si="70"/>
        <v>1</v>
      </c>
      <c r="J236" s="254" t="str">
        <f t="shared" ca="1" si="71"/>
        <v>1</v>
      </c>
      <c r="K236" s="230" t="str">
        <f>IF(Giocatori!B225=0,"",Giocatori!B225)</f>
        <v>GOMEZ G</v>
      </c>
      <c r="L236" s="230" t="str">
        <f>IF(Giocatori!A225=0,"",Giocatori!A225)</f>
        <v>D</v>
      </c>
      <c r="M236" s="230" t="str">
        <f>IF(Giocatori!C225=0,"",Giocatori!C225)</f>
        <v>Milan</v>
      </c>
      <c r="N236" s="69" t="str">
        <f t="shared" si="63"/>
        <v/>
      </c>
      <c r="O236" t="str">
        <f t="shared" si="64"/>
        <v>GOMEZ G</v>
      </c>
      <c r="P236" s="7">
        <f t="shared" ca="1" si="72"/>
        <v>236</v>
      </c>
      <c r="Q236" s="7" t="str">
        <f t="shared" ca="1" si="65"/>
        <v>GOMEZ G</v>
      </c>
      <c r="Z236" s="256"/>
      <c r="AA236" s="219"/>
      <c r="AB236" s="293" t="str">
        <f t="shared" si="66"/>
        <v/>
      </c>
      <c r="AC236" s="294" t="str">
        <f t="shared" si="67"/>
        <v/>
      </c>
      <c r="AD236" s="219"/>
      <c r="AE236" s="219"/>
      <c r="AF236" s="293" t="str">
        <f>IF(AA236="","",VLOOKUP(AA236,Asta!$B:$H,7,FALSE))</f>
        <v/>
      </c>
      <c r="AG236" s="294" t="str">
        <f t="shared" si="68"/>
        <v/>
      </c>
      <c r="AH236" t="str">
        <f t="shared" si="69"/>
        <v/>
      </c>
      <c r="AI236" s="254" t="str">
        <f t="shared" ca="1" si="73"/>
        <v>217</v>
      </c>
      <c r="AJ236" s="254" t="str">
        <f t="shared" ca="1" si="74"/>
        <v>217</v>
      </c>
      <c r="AK236" s="351"/>
    </row>
    <row r="237" spans="1:37">
      <c r="A237" s="74">
        <v>218</v>
      </c>
      <c r="B237" s="252"/>
      <c r="C237" s="293" t="str">
        <f t="shared" si="75"/>
        <v/>
      </c>
      <c r="D237" s="294" t="str">
        <f t="shared" si="76"/>
        <v/>
      </c>
      <c r="E237" s="287"/>
      <c r="F237" s="293" t="str">
        <f t="shared" si="61"/>
        <v/>
      </c>
      <c r="G237" s="294" t="str">
        <f t="shared" si="62"/>
        <v/>
      </c>
      <c r="H237" s="290"/>
      <c r="I237" s="254" t="str">
        <f t="shared" ca="1" si="70"/>
        <v>1</v>
      </c>
      <c r="J237" s="254" t="str">
        <f t="shared" ca="1" si="71"/>
        <v>1</v>
      </c>
      <c r="K237" s="230" t="str">
        <f>IF(Giocatori!B226=0,"",Giocatori!B226)</f>
        <v>GOMIS A</v>
      </c>
      <c r="L237" s="230" t="str">
        <f>IF(Giocatori!A226=0,"",Giocatori!A226)</f>
        <v>P</v>
      </c>
      <c r="M237" s="230" t="str">
        <f>IF(Giocatori!C226=0,"",Giocatori!C226)</f>
        <v>SPAL</v>
      </c>
      <c r="N237" s="69" t="str">
        <f t="shared" si="63"/>
        <v/>
      </c>
      <c r="O237" t="str">
        <f t="shared" si="64"/>
        <v>GOMIS A</v>
      </c>
      <c r="P237" s="7">
        <f t="shared" ca="1" si="72"/>
        <v>237</v>
      </c>
      <c r="Q237" s="7" t="str">
        <f t="shared" ca="1" si="65"/>
        <v>GOMIS A</v>
      </c>
      <c r="Z237" s="256"/>
      <c r="AA237" s="219"/>
      <c r="AB237" s="293" t="str">
        <f t="shared" si="66"/>
        <v/>
      </c>
      <c r="AC237" s="294" t="str">
        <f t="shared" si="67"/>
        <v/>
      </c>
      <c r="AD237" s="219"/>
      <c r="AE237" s="219"/>
      <c r="AF237" s="293" t="str">
        <f>IF(AA237="","",VLOOKUP(AA237,Asta!$B:$H,7,FALSE))</f>
        <v/>
      </c>
      <c r="AG237" s="294" t="str">
        <f t="shared" si="68"/>
        <v/>
      </c>
      <c r="AH237" t="str">
        <f t="shared" si="69"/>
        <v/>
      </c>
      <c r="AI237" s="254" t="str">
        <f t="shared" ca="1" si="73"/>
        <v>218</v>
      </c>
      <c r="AJ237" s="254" t="str">
        <f t="shared" ca="1" si="74"/>
        <v>218</v>
      </c>
      <c r="AK237" s="351"/>
    </row>
    <row r="238" spans="1:37">
      <c r="A238" s="74">
        <v>219</v>
      </c>
      <c r="B238" s="252"/>
      <c r="C238" s="293" t="str">
        <f t="shared" si="75"/>
        <v/>
      </c>
      <c r="D238" s="294" t="str">
        <f t="shared" si="76"/>
        <v/>
      </c>
      <c r="E238" s="287"/>
      <c r="F238" s="293" t="str">
        <f t="shared" si="61"/>
        <v/>
      </c>
      <c r="G238" s="294" t="str">
        <f t="shared" si="62"/>
        <v/>
      </c>
      <c r="H238" s="290"/>
      <c r="I238" s="254" t="str">
        <f t="shared" ca="1" si="70"/>
        <v>1</v>
      </c>
      <c r="J238" s="254" t="str">
        <f t="shared" ca="1" si="71"/>
        <v>1</v>
      </c>
      <c r="K238" s="230" t="str">
        <f>IF(Giocatori!B227=0,"",Giocatori!B227)</f>
        <v>GONALONS</v>
      </c>
      <c r="L238" s="230" t="str">
        <f>IF(Giocatori!A227=0,"",Giocatori!A227)</f>
        <v>C</v>
      </c>
      <c r="M238" s="230" t="str">
        <f>IF(Giocatori!C227=0,"",Giocatori!C227)</f>
        <v>Roma</v>
      </c>
      <c r="N238" s="69" t="str">
        <f t="shared" si="63"/>
        <v/>
      </c>
      <c r="O238" t="str">
        <f t="shared" si="64"/>
        <v>GONALONS</v>
      </c>
      <c r="P238" s="7">
        <f t="shared" ca="1" si="72"/>
        <v>238</v>
      </c>
      <c r="Q238" s="7" t="str">
        <f t="shared" ca="1" si="65"/>
        <v>GONALONS</v>
      </c>
      <c r="Z238" s="256"/>
      <c r="AA238" s="219"/>
      <c r="AB238" s="293" t="str">
        <f t="shared" si="66"/>
        <v/>
      </c>
      <c r="AC238" s="294" t="str">
        <f t="shared" si="67"/>
        <v/>
      </c>
      <c r="AD238" s="219"/>
      <c r="AE238" s="219"/>
      <c r="AF238" s="293" t="str">
        <f>IF(AA238="","",VLOOKUP(AA238,Asta!$B:$H,7,FALSE))</f>
        <v/>
      </c>
      <c r="AG238" s="294" t="str">
        <f t="shared" si="68"/>
        <v/>
      </c>
      <c r="AH238" t="str">
        <f t="shared" si="69"/>
        <v/>
      </c>
      <c r="AI238" s="254" t="str">
        <f t="shared" ca="1" si="73"/>
        <v>219</v>
      </c>
      <c r="AJ238" s="254" t="str">
        <f t="shared" ca="1" si="74"/>
        <v>219</v>
      </c>
      <c r="AK238" s="351"/>
    </row>
    <row r="239" spans="1:37">
      <c r="A239" s="74">
        <v>220</v>
      </c>
      <c r="B239" s="252"/>
      <c r="C239" s="293" t="str">
        <f t="shared" si="75"/>
        <v/>
      </c>
      <c r="D239" s="294" t="str">
        <f t="shared" si="76"/>
        <v/>
      </c>
      <c r="E239" s="287"/>
      <c r="F239" s="293" t="str">
        <f t="shared" si="61"/>
        <v/>
      </c>
      <c r="G239" s="294" t="str">
        <f t="shared" si="62"/>
        <v/>
      </c>
      <c r="H239" s="290"/>
      <c r="I239" s="254" t="str">
        <f t="shared" ca="1" si="70"/>
        <v>1</v>
      </c>
      <c r="J239" s="254" t="str">
        <f t="shared" ca="1" si="71"/>
        <v>1</v>
      </c>
      <c r="K239" s="230" t="str">
        <f>IF(Giocatori!B228=0,"",Giocatori!B228)</f>
        <v>GONZALEZ G</v>
      </c>
      <c r="L239" s="230" t="str">
        <f>IF(Giocatori!A228=0,"",Giocatori!A228)</f>
        <v>D</v>
      </c>
      <c r="M239" s="230" t="str">
        <f>IF(Giocatori!C228=0,"",Giocatori!C228)</f>
        <v>Bologna</v>
      </c>
      <c r="N239" s="69" t="str">
        <f t="shared" si="63"/>
        <v/>
      </c>
      <c r="O239" t="str">
        <f t="shared" si="64"/>
        <v>GONZALEZ G</v>
      </c>
      <c r="P239" s="7">
        <f t="shared" ca="1" si="72"/>
        <v>239</v>
      </c>
      <c r="Q239" s="7" t="str">
        <f t="shared" ca="1" si="65"/>
        <v>GONZALEZ G</v>
      </c>
      <c r="Z239" s="256"/>
      <c r="AA239" s="219"/>
      <c r="AB239" s="293" t="str">
        <f t="shared" si="66"/>
        <v/>
      </c>
      <c r="AC239" s="294" t="str">
        <f t="shared" si="67"/>
        <v/>
      </c>
      <c r="AD239" s="219"/>
      <c r="AE239" s="219"/>
      <c r="AF239" s="293" t="str">
        <f>IF(AA239="","",VLOOKUP(AA239,Asta!$B:$H,7,FALSE))</f>
        <v/>
      </c>
      <c r="AG239" s="294" t="str">
        <f t="shared" si="68"/>
        <v/>
      </c>
      <c r="AH239" t="str">
        <f t="shared" si="69"/>
        <v/>
      </c>
      <c r="AI239" s="254" t="str">
        <f t="shared" ca="1" si="73"/>
        <v>220</v>
      </c>
      <c r="AJ239" s="254" t="str">
        <f t="shared" ca="1" si="74"/>
        <v>220</v>
      </c>
      <c r="AK239" s="351"/>
    </row>
    <row r="240" spans="1:37">
      <c r="A240" s="74">
        <v>221</v>
      </c>
      <c r="B240" s="252"/>
      <c r="C240" s="293" t="str">
        <f t="shared" si="75"/>
        <v/>
      </c>
      <c r="D240" s="294" t="str">
        <f t="shared" si="76"/>
        <v/>
      </c>
      <c r="E240" s="287"/>
      <c r="F240" s="293" t="str">
        <f t="shared" si="61"/>
        <v/>
      </c>
      <c r="G240" s="294" t="str">
        <f t="shared" si="62"/>
        <v/>
      </c>
      <c r="H240" s="290"/>
      <c r="I240" s="254" t="str">
        <f t="shared" ca="1" si="70"/>
        <v>1</v>
      </c>
      <c r="J240" s="254" t="str">
        <f t="shared" ca="1" si="71"/>
        <v>1</v>
      </c>
      <c r="K240" s="230" t="str">
        <f>IF(Giocatori!B229=0,"",Giocatori!B229)</f>
        <v>GOSENS</v>
      </c>
      <c r="L240" s="230" t="str">
        <f>IF(Giocatori!A229=0,"",Giocatori!A229)</f>
        <v>D</v>
      </c>
      <c r="M240" s="230" t="str">
        <f>IF(Giocatori!C229=0,"",Giocatori!C229)</f>
        <v>Atalanta</v>
      </c>
      <c r="N240" s="69" t="str">
        <f t="shared" si="63"/>
        <v/>
      </c>
      <c r="O240" t="str">
        <f t="shared" si="64"/>
        <v>GOSENS</v>
      </c>
      <c r="P240" s="7">
        <f t="shared" ca="1" si="72"/>
        <v>240</v>
      </c>
      <c r="Q240" s="7" t="str">
        <f t="shared" ca="1" si="65"/>
        <v>GOSENS</v>
      </c>
      <c r="Z240" s="256"/>
      <c r="AA240" s="219"/>
      <c r="AB240" s="293" t="str">
        <f t="shared" si="66"/>
        <v/>
      </c>
      <c r="AC240" s="294" t="str">
        <f t="shared" si="67"/>
        <v/>
      </c>
      <c r="AD240" s="219"/>
      <c r="AE240" s="219"/>
      <c r="AF240" s="293" t="str">
        <f>IF(AA240="","",VLOOKUP(AA240,Asta!$B:$H,7,FALSE))</f>
        <v/>
      </c>
      <c r="AG240" s="294" t="str">
        <f t="shared" si="68"/>
        <v/>
      </c>
      <c r="AH240" t="str">
        <f t="shared" si="69"/>
        <v/>
      </c>
      <c r="AI240" s="254" t="str">
        <f t="shared" ca="1" si="73"/>
        <v>221</v>
      </c>
      <c r="AJ240" s="254" t="str">
        <f t="shared" ca="1" si="74"/>
        <v>221</v>
      </c>
      <c r="AK240" s="351"/>
    </row>
    <row r="241" spans="1:37">
      <c r="A241" s="74">
        <v>222</v>
      </c>
      <c r="B241" s="252"/>
      <c r="C241" s="293" t="str">
        <f t="shared" si="75"/>
        <v/>
      </c>
      <c r="D241" s="294" t="str">
        <f t="shared" si="76"/>
        <v/>
      </c>
      <c r="E241" s="287"/>
      <c r="F241" s="293" t="str">
        <f t="shared" si="61"/>
        <v/>
      </c>
      <c r="G241" s="294" t="str">
        <f t="shared" si="62"/>
        <v/>
      </c>
      <c r="H241" s="290"/>
      <c r="I241" s="254" t="str">
        <f t="shared" ca="1" si="70"/>
        <v>1</v>
      </c>
      <c r="J241" s="254" t="str">
        <f t="shared" ca="1" si="71"/>
        <v>1</v>
      </c>
      <c r="K241" s="230" t="str">
        <f>IF(Giocatori!B230=0,"",Giocatori!B230)</f>
        <v>GRASSI</v>
      </c>
      <c r="L241" s="230" t="str">
        <f>IF(Giocatori!A230=0,"",Giocatori!A230)</f>
        <v>C</v>
      </c>
      <c r="M241" s="230" t="str">
        <f>IF(Giocatori!C230=0,"",Giocatori!C230)</f>
        <v>SPAL</v>
      </c>
      <c r="N241" s="69" t="str">
        <f t="shared" si="63"/>
        <v/>
      </c>
      <c r="O241" t="str">
        <f t="shared" si="64"/>
        <v>GRASSI</v>
      </c>
      <c r="P241" s="7">
        <f t="shared" ca="1" si="72"/>
        <v>241</v>
      </c>
      <c r="Q241" s="7" t="str">
        <f t="shared" ca="1" si="65"/>
        <v>GRASSI</v>
      </c>
      <c r="Z241" s="256"/>
      <c r="AA241" s="219"/>
      <c r="AB241" s="293" t="str">
        <f t="shared" si="66"/>
        <v/>
      </c>
      <c r="AC241" s="294" t="str">
        <f t="shared" si="67"/>
        <v/>
      </c>
      <c r="AD241" s="219"/>
      <c r="AE241" s="219"/>
      <c r="AF241" s="293" t="str">
        <f>IF(AA241="","",VLOOKUP(AA241,Asta!$B:$H,7,FALSE))</f>
        <v/>
      </c>
      <c r="AG241" s="294" t="str">
        <f t="shared" si="68"/>
        <v/>
      </c>
      <c r="AH241" t="str">
        <f t="shared" si="69"/>
        <v/>
      </c>
      <c r="AI241" s="254" t="str">
        <f t="shared" ca="1" si="73"/>
        <v>222</v>
      </c>
      <c r="AJ241" s="254" t="str">
        <f t="shared" ca="1" si="74"/>
        <v>222</v>
      </c>
      <c r="AK241" s="351"/>
    </row>
    <row r="242" spans="1:37">
      <c r="A242" s="74">
        <v>223</v>
      </c>
      <c r="B242" s="252"/>
      <c r="C242" s="293" t="str">
        <f t="shared" si="75"/>
        <v/>
      </c>
      <c r="D242" s="294" t="str">
        <f t="shared" si="76"/>
        <v/>
      </c>
      <c r="E242" s="287"/>
      <c r="F242" s="293" t="str">
        <f t="shared" si="61"/>
        <v/>
      </c>
      <c r="G242" s="294" t="str">
        <f t="shared" si="62"/>
        <v/>
      </c>
      <c r="H242" s="290"/>
      <c r="I242" s="254" t="str">
        <f t="shared" ca="1" si="70"/>
        <v>1</v>
      </c>
      <c r="J242" s="254" t="str">
        <f t="shared" ca="1" si="71"/>
        <v>1</v>
      </c>
      <c r="K242" s="230" t="str">
        <f>IF(Giocatori!B231=0,"",Giocatori!B231)</f>
        <v>GRAVILLON</v>
      </c>
      <c r="L242" s="230" t="str">
        <f>IF(Giocatori!A231=0,"",Giocatori!A231)</f>
        <v>D</v>
      </c>
      <c r="M242" s="230" t="str">
        <f>IF(Giocatori!C231=0,"",Giocatori!C231)</f>
        <v>Benevento</v>
      </c>
      <c r="N242" s="69" t="str">
        <f t="shared" si="63"/>
        <v/>
      </c>
      <c r="O242" t="str">
        <f t="shared" si="64"/>
        <v>GRAVILLON</v>
      </c>
      <c r="P242" s="7">
        <f t="shared" ca="1" si="72"/>
        <v>242</v>
      </c>
      <c r="Q242" s="7" t="str">
        <f t="shared" ca="1" si="65"/>
        <v>GRAVILLON</v>
      </c>
      <c r="Z242" s="256"/>
      <c r="AA242" s="219"/>
      <c r="AB242" s="293" t="str">
        <f t="shared" si="66"/>
        <v/>
      </c>
      <c r="AC242" s="294" t="str">
        <f t="shared" si="67"/>
        <v/>
      </c>
      <c r="AD242" s="219"/>
      <c r="AE242" s="219"/>
      <c r="AF242" s="293" t="str">
        <f>IF(AA242="","",VLOOKUP(AA242,Asta!$B:$H,7,FALSE))</f>
        <v/>
      </c>
      <c r="AG242" s="294" t="str">
        <f t="shared" si="68"/>
        <v/>
      </c>
      <c r="AH242" t="str">
        <f t="shared" si="69"/>
        <v/>
      </c>
      <c r="AI242" s="254" t="str">
        <f t="shared" ca="1" si="73"/>
        <v>223</v>
      </c>
      <c r="AJ242" s="254" t="str">
        <f t="shared" ca="1" si="74"/>
        <v>223</v>
      </c>
      <c r="AK242" s="351"/>
    </row>
    <row r="243" spans="1:37">
      <c r="A243" s="74">
        <v>224</v>
      </c>
      <c r="B243" s="252"/>
      <c r="C243" s="293" t="str">
        <f t="shared" si="75"/>
        <v/>
      </c>
      <c r="D243" s="294" t="str">
        <f t="shared" si="76"/>
        <v/>
      </c>
      <c r="E243" s="287"/>
      <c r="F243" s="293" t="str">
        <f t="shared" si="61"/>
        <v/>
      </c>
      <c r="G243" s="294" t="str">
        <f t="shared" si="62"/>
        <v/>
      </c>
      <c r="H243" s="290"/>
      <c r="I243" s="254" t="str">
        <f t="shared" ca="1" si="70"/>
        <v>1</v>
      </c>
      <c r="J243" s="254" t="str">
        <f t="shared" ca="1" si="71"/>
        <v>1</v>
      </c>
      <c r="K243" s="230" t="str">
        <f>IF(Giocatori!B232=0,"",Giocatori!B232)</f>
        <v>GUERRIERI</v>
      </c>
      <c r="L243" s="230" t="str">
        <f>IF(Giocatori!A232=0,"",Giocatori!A232)</f>
        <v>P</v>
      </c>
      <c r="M243" s="230" t="str">
        <f>IF(Giocatori!C232=0,"",Giocatori!C232)</f>
        <v>Lazio</v>
      </c>
      <c r="N243" s="69" t="str">
        <f t="shared" si="63"/>
        <v/>
      </c>
      <c r="O243" t="str">
        <f t="shared" si="64"/>
        <v>GUERRIERI</v>
      </c>
      <c r="P243" s="7">
        <f t="shared" ca="1" si="72"/>
        <v>243</v>
      </c>
      <c r="Q243" s="7" t="str">
        <f t="shared" ca="1" si="65"/>
        <v>GUERRIERI</v>
      </c>
      <c r="Z243" s="256"/>
      <c r="AA243" s="219"/>
      <c r="AB243" s="293" t="str">
        <f t="shared" si="66"/>
        <v/>
      </c>
      <c r="AC243" s="294" t="str">
        <f t="shared" si="67"/>
        <v/>
      </c>
      <c r="AD243" s="219"/>
      <c r="AE243" s="219"/>
      <c r="AF243" s="293" t="str">
        <f>IF(AA243="","",VLOOKUP(AA243,Asta!$B:$H,7,FALSE))</f>
        <v/>
      </c>
      <c r="AG243" s="294" t="str">
        <f t="shared" si="68"/>
        <v/>
      </c>
      <c r="AH243" t="str">
        <f t="shared" si="69"/>
        <v/>
      </c>
      <c r="AI243" s="254" t="str">
        <f t="shared" ca="1" si="73"/>
        <v>224</v>
      </c>
      <c r="AJ243" s="254" t="str">
        <f t="shared" ca="1" si="74"/>
        <v>224</v>
      </c>
      <c r="AK243" s="351"/>
    </row>
    <row r="244" spans="1:37">
      <c r="A244" s="74">
        <v>225</v>
      </c>
      <c r="B244" s="252"/>
      <c r="C244" s="293" t="str">
        <f t="shared" si="75"/>
        <v/>
      </c>
      <c r="D244" s="294" t="str">
        <f t="shared" si="76"/>
        <v/>
      </c>
      <c r="E244" s="287"/>
      <c r="F244" s="293" t="str">
        <f t="shared" si="61"/>
        <v/>
      </c>
      <c r="G244" s="294" t="str">
        <f t="shared" si="62"/>
        <v/>
      </c>
      <c r="H244" s="290"/>
      <c r="I244" s="254" t="str">
        <f t="shared" ca="1" si="70"/>
        <v>1</v>
      </c>
      <c r="J244" s="254" t="str">
        <f t="shared" ca="1" si="71"/>
        <v>1</v>
      </c>
      <c r="K244" s="230" t="str">
        <f>IF(Giocatori!B233=0,"",Giocatori!B233)</f>
        <v>GUSTAFSON</v>
      </c>
      <c r="L244" s="230" t="str">
        <f>IF(Giocatori!A233=0,"",Giocatori!A233)</f>
        <v>C</v>
      </c>
      <c r="M244" s="230" t="str">
        <f>IF(Giocatori!C233=0,"",Giocatori!C233)</f>
        <v>Torino</v>
      </c>
      <c r="N244" s="69" t="str">
        <f t="shared" si="63"/>
        <v/>
      </c>
      <c r="O244" t="str">
        <f t="shared" si="64"/>
        <v>GUSTAFSON</v>
      </c>
      <c r="P244" s="7">
        <f t="shared" ca="1" si="72"/>
        <v>244</v>
      </c>
      <c r="Q244" s="7" t="str">
        <f t="shared" ca="1" si="65"/>
        <v>GUSTAFSON</v>
      </c>
      <c r="Z244" s="256"/>
      <c r="AA244" s="219"/>
      <c r="AB244" s="293" t="str">
        <f t="shared" si="66"/>
        <v/>
      </c>
      <c r="AC244" s="294" t="str">
        <f t="shared" si="67"/>
        <v/>
      </c>
      <c r="AD244" s="219"/>
      <c r="AE244" s="219"/>
      <c r="AF244" s="293" t="str">
        <f>IF(AA244="","",VLOOKUP(AA244,Asta!$B:$H,7,FALSE))</f>
        <v/>
      </c>
      <c r="AG244" s="294" t="str">
        <f t="shared" si="68"/>
        <v/>
      </c>
      <c r="AH244" t="str">
        <f t="shared" si="69"/>
        <v/>
      </c>
      <c r="AI244" s="254" t="str">
        <f t="shared" ca="1" si="73"/>
        <v>225</v>
      </c>
      <c r="AJ244" s="254" t="str">
        <f t="shared" ca="1" si="74"/>
        <v>225</v>
      </c>
      <c r="AK244" s="351"/>
    </row>
    <row r="245" spans="1:37">
      <c r="A245" s="74">
        <v>226</v>
      </c>
      <c r="B245" s="252"/>
      <c r="C245" s="293" t="str">
        <f t="shared" si="75"/>
        <v/>
      </c>
      <c r="D245" s="294" t="str">
        <f t="shared" si="76"/>
        <v/>
      </c>
      <c r="E245" s="287"/>
      <c r="F245" s="293" t="str">
        <f t="shared" si="61"/>
        <v/>
      </c>
      <c r="G245" s="294" t="str">
        <f t="shared" si="62"/>
        <v/>
      </c>
      <c r="H245" s="290"/>
      <c r="I245" s="254" t="str">
        <f t="shared" ca="1" si="70"/>
        <v>1</v>
      </c>
      <c r="J245" s="254" t="str">
        <f t="shared" ca="1" si="71"/>
        <v>1</v>
      </c>
      <c r="K245" s="230" t="str">
        <f>IF(Giocatori!B234=0,"",Giocatori!B234)</f>
        <v>GYAMFI</v>
      </c>
      <c r="L245" s="230" t="str">
        <f>IF(Giocatori!A234=0,"",Giocatori!A234)</f>
        <v>D</v>
      </c>
      <c r="M245" s="230" t="str">
        <f>IF(Giocatori!C234=0,"",Giocatori!C234)</f>
        <v>Benevento</v>
      </c>
      <c r="N245" s="69" t="str">
        <f t="shared" si="63"/>
        <v/>
      </c>
      <c r="O245" t="str">
        <f t="shared" si="64"/>
        <v>GYAMFI</v>
      </c>
      <c r="P245" s="7">
        <f t="shared" ca="1" si="72"/>
        <v>245</v>
      </c>
      <c r="Q245" s="7" t="str">
        <f t="shared" ca="1" si="65"/>
        <v>GYAMFI</v>
      </c>
      <c r="Z245" s="256"/>
      <c r="AA245" s="219"/>
      <c r="AB245" s="293" t="str">
        <f t="shared" si="66"/>
        <v/>
      </c>
      <c r="AC245" s="294" t="str">
        <f t="shared" si="67"/>
        <v/>
      </c>
      <c r="AD245" s="219"/>
      <c r="AE245" s="219"/>
      <c r="AF245" s="293" t="str">
        <f>IF(AA245="","",VLOOKUP(AA245,Asta!$B:$H,7,FALSE))</f>
        <v/>
      </c>
      <c r="AG245" s="294" t="str">
        <f t="shared" si="68"/>
        <v/>
      </c>
      <c r="AH245" t="str">
        <f t="shared" si="69"/>
        <v/>
      </c>
      <c r="AI245" s="254" t="str">
        <f t="shared" ca="1" si="73"/>
        <v>226</v>
      </c>
      <c r="AJ245" s="254" t="str">
        <f t="shared" ca="1" si="74"/>
        <v>226</v>
      </c>
      <c r="AK245" s="351"/>
    </row>
    <row r="246" spans="1:37">
      <c r="A246" s="74">
        <v>227</v>
      </c>
      <c r="B246" s="252"/>
      <c r="C246" s="293" t="str">
        <f t="shared" si="75"/>
        <v/>
      </c>
      <c r="D246" s="294" t="str">
        <f t="shared" si="76"/>
        <v/>
      </c>
      <c r="E246" s="287"/>
      <c r="F246" s="293" t="str">
        <f t="shared" si="61"/>
        <v/>
      </c>
      <c r="G246" s="294" t="str">
        <f t="shared" si="62"/>
        <v/>
      </c>
      <c r="H246" s="290"/>
      <c r="I246" s="254" t="str">
        <f t="shared" ca="1" si="70"/>
        <v>1</v>
      </c>
      <c r="J246" s="254" t="str">
        <f t="shared" ca="1" si="71"/>
        <v>1</v>
      </c>
      <c r="K246" s="230" t="str">
        <f>IF(Giocatori!B235=0,"",Giocatori!B235)</f>
        <v>HAAS</v>
      </c>
      <c r="L246" s="230" t="str">
        <f>IF(Giocatori!A235=0,"",Giocatori!A235)</f>
        <v>C</v>
      </c>
      <c r="M246" s="230" t="str">
        <f>IF(Giocatori!C235=0,"",Giocatori!C235)</f>
        <v>Atalanta</v>
      </c>
      <c r="N246" s="69" t="str">
        <f t="shared" si="63"/>
        <v/>
      </c>
      <c r="O246" t="str">
        <f t="shared" si="64"/>
        <v>HAAS</v>
      </c>
      <c r="P246" s="7">
        <f t="shared" ca="1" si="72"/>
        <v>246</v>
      </c>
      <c r="Q246" s="7" t="str">
        <f t="shared" ca="1" si="65"/>
        <v>HAAS</v>
      </c>
      <c r="Z246" s="256"/>
      <c r="AA246" s="219"/>
      <c r="AB246" s="293" t="str">
        <f t="shared" si="66"/>
        <v/>
      </c>
      <c r="AC246" s="294" t="str">
        <f t="shared" si="67"/>
        <v/>
      </c>
      <c r="AD246" s="219"/>
      <c r="AE246" s="219"/>
      <c r="AF246" s="293" t="str">
        <f>IF(AA246="","",VLOOKUP(AA246,Asta!$B:$H,7,FALSE))</f>
        <v/>
      </c>
      <c r="AG246" s="294" t="str">
        <f t="shared" si="68"/>
        <v/>
      </c>
      <c r="AH246" t="str">
        <f t="shared" si="69"/>
        <v/>
      </c>
      <c r="AI246" s="254" t="str">
        <f t="shared" ca="1" si="73"/>
        <v>227</v>
      </c>
      <c r="AJ246" s="254" t="str">
        <f t="shared" ca="1" si="74"/>
        <v>227</v>
      </c>
      <c r="AK246" s="351"/>
    </row>
    <row r="247" spans="1:37">
      <c r="A247" s="74">
        <v>228</v>
      </c>
      <c r="B247" s="252"/>
      <c r="C247" s="293" t="str">
        <f t="shared" si="75"/>
        <v/>
      </c>
      <c r="D247" s="294" t="str">
        <f t="shared" si="76"/>
        <v/>
      </c>
      <c r="E247" s="287"/>
      <c r="F247" s="293" t="str">
        <f t="shared" si="61"/>
        <v/>
      </c>
      <c r="G247" s="294" t="str">
        <f t="shared" si="62"/>
        <v/>
      </c>
      <c r="H247" s="290"/>
      <c r="I247" s="254" t="str">
        <f t="shared" ca="1" si="70"/>
        <v>1</v>
      </c>
      <c r="J247" s="254" t="str">
        <f t="shared" ca="1" si="71"/>
        <v>1</v>
      </c>
      <c r="K247" s="230" t="str">
        <f>IF(Giocatori!B236=0,"",Giocatori!B236)</f>
        <v>HAGI</v>
      </c>
      <c r="L247" s="230" t="str">
        <f>IF(Giocatori!A236=0,"",Giocatori!A236)</f>
        <v>C</v>
      </c>
      <c r="M247" s="230" t="str">
        <f>IF(Giocatori!C236=0,"",Giocatori!C236)</f>
        <v>Fiorentina</v>
      </c>
      <c r="N247" s="69" t="str">
        <f t="shared" si="63"/>
        <v/>
      </c>
      <c r="O247" t="str">
        <f t="shared" si="64"/>
        <v>HAGI</v>
      </c>
      <c r="P247" s="7">
        <f t="shared" ca="1" si="72"/>
        <v>247</v>
      </c>
      <c r="Q247" s="7" t="str">
        <f t="shared" ca="1" si="65"/>
        <v>HAGI</v>
      </c>
      <c r="Z247" s="256"/>
      <c r="AA247" s="219"/>
      <c r="AB247" s="293" t="str">
        <f t="shared" si="66"/>
        <v/>
      </c>
      <c r="AC247" s="294" t="str">
        <f t="shared" si="67"/>
        <v/>
      </c>
      <c r="AD247" s="219"/>
      <c r="AE247" s="219"/>
      <c r="AF247" s="293" t="str">
        <f>IF(AA247="","",VLOOKUP(AA247,Asta!$B:$H,7,FALSE))</f>
        <v/>
      </c>
      <c r="AG247" s="294" t="str">
        <f t="shared" si="68"/>
        <v/>
      </c>
      <c r="AH247" t="str">
        <f t="shared" si="69"/>
        <v/>
      </c>
      <c r="AI247" s="254" t="str">
        <f t="shared" ca="1" si="73"/>
        <v>228</v>
      </c>
      <c r="AJ247" s="254" t="str">
        <f t="shared" ca="1" si="74"/>
        <v>228</v>
      </c>
      <c r="AK247" s="351"/>
    </row>
    <row r="248" spans="1:37">
      <c r="A248" s="74">
        <v>229</v>
      </c>
      <c r="B248" s="252"/>
      <c r="C248" s="293" t="str">
        <f t="shared" si="75"/>
        <v/>
      </c>
      <c r="D248" s="294" t="str">
        <f t="shared" si="76"/>
        <v/>
      </c>
      <c r="E248" s="287"/>
      <c r="F248" s="293" t="str">
        <f t="shared" si="61"/>
        <v/>
      </c>
      <c r="G248" s="294" t="str">
        <f t="shared" si="62"/>
        <v/>
      </c>
      <c r="H248" s="290"/>
      <c r="I248" s="254" t="str">
        <f t="shared" ca="1" si="70"/>
        <v>1</v>
      </c>
      <c r="J248" s="254" t="str">
        <f t="shared" ca="1" si="71"/>
        <v>1</v>
      </c>
      <c r="K248" s="230" t="str">
        <f>IF(Giocatori!B237=0,"",Giocatori!B237)</f>
        <v>HALLFREDSSON</v>
      </c>
      <c r="L248" s="230" t="str">
        <f>IF(Giocatori!A237=0,"",Giocatori!A237)</f>
        <v>C</v>
      </c>
      <c r="M248" s="230" t="str">
        <f>IF(Giocatori!C237=0,"",Giocatori!C237)</f>
        <v>Udinese</v>
      </c>
      <c r="N248" s="69" t="str">
        <f t="shared" si="63"/>
        <v/>
      </c>
      <c r="O248" t="str">
        <f t="shared" si="64"/>
        <v>HALLFREDSSON</v>
      </c>
      <c r="P248" s="7">
        <f t="shared" ca="1" si="72"/>
        <v>248</v>
      </c>
      <c r="Q248" s="7" t="str">
        <f t="shared" ca="1" si="65"/>
        <v>HALLFREDSSON</v>
      </c>
      <c r="Z248" s="256"/>
      <c r="AA248" s="219"/>
      <c r="AB248" s="293" t="str">
        <f t="shared" si="66"/>
        <v/>
      </c>
      <c r="AC248" s="294" t="str">
        <f t="shared" si="67"/>
        <v/>
      </c>
      <c r="AD248" s="219"/>
      <c r="AE248" s="219"/>
      <c r="AF248" s="293" t="str">
        <f>IF(AA248="","",VLOOKUP(AA248,Asta!$B:$H,7,FALSE))</f>
        <v/>
      </c>
      <c r="AG248" s="294" t="str">
        <f t="shared" si="68"/>
        <v/>
      </c>
      <c r="AH248" t="str">
        <f t="shared" si="69"/>
        <v/>
      </c>
      <c r="AI248" s="254" t="str">
        <f t="shared" ca="1" si="73"/>
        <v>229</v>
      </c>
      <c r="AJ248" s="254" t="str">
        <f t="shared" ca="1" si="74"/>
        <v>229</v>
      </c>
      <c r="AK248" s="351"/>
    </row>
    <row r="249" spans="1:37">
      <c r="A249" s="74">
        <v>230</v>
      </c>
      <c r="B249" s="252"/>
      <c r="C249" s="293" t="str">
        <f t="shared" si="75"/>
        <v/>
      </c>
      <c r="D249" s="294" t="str">
        <f t="shared" si="76"/>
        <v/>
      </c>
      <c r="E249" s="287"/>
      <c r="F249" s="293" t="str">
        <f t="shared" si="61"/>
        <v/>
      </c>
      <c r="G249" s="294" t="str">
        <f t="shared" si="62"/>
        <v/>
      </c>
      <c r="H249" s="290"/>
      <c r="I249" s="254" t="str">
        <f t="shared" ca="1" si="70"/>
        <v>1</v>
      </c>
      <c r="J249" s="254" t="str">
        <f t="shared" ca="1" si="71"/>
        <v>1</v>
      </c>
      <c r="K249" s="230" t="str">
        <f>IF(Giocatori!B238=0,"",Giocatori!B238)</f>
        <v>HAMSIK</v>
      </c>
      <c r="L249" s="230" t="str">
        <f>IF(Giocatori!A238=0,"",Giocatori!A238)</f>
        <v>C</v>
      </c>
      <c r="M249" s="230" t="str">
        <f>IF(Giocatori!C238=0,"",Giocatori!C238)</f>
        <v>Napoli</v>
      </c>
      <c r="N249" s="69" t="str">
        <f t="shared" si="63"/>
        <v/>
      </c>
      <c r="O249" t="str">
        <f t="shared" si="64"/>
        <v>HAMSIK</v>
      </c>
      <c r="P249" s="7">
        <f t="shared" ca="1" si="72"/>
        <v>249</v>
      </c>
      <c r="Q249" s="7" t="str">
        <f t="shared" ca="1" si="65"/>
        <v>HAMSIK</v>
      </c>
      <c r="Z249" s="256"/>
      <c r="AA249" s="219"/>
      <c r="AB249" s="293" t="str">
        <f t="shared" si="66"/>
        <v/>
      </c>
      <c r="AC249" s="294" t="str">
        <f t="shared" si="67"/>
        <v/>
      </c>
      <c r="AD249" s="219"/>
      <c r="AE249" s="219"/>
      <c r="AF249" s="293" t="str">
        <f>IF(AA249="","",VLOOKUP(AA249,Asta!$B:$H,7,FALSE))</f>
        <v/>
      </c>
      <c r="AG249" s="294" t="str">
        <f t="shared" si="68"/>
        <v/>
      </c>
      <c r="AH249" t="str">
        <f t="shared" si="69"/>
        <v/>
      </c>
      <c r="AI249" s="254" t="str">
        <f t="shared" ca="1" si="73"/>
        <v>230</v>
      </c>
      <c r="AJ249" s="254" t="str">
        <f t="shared" ca="1" si="74"/>
        <v>230</v>
      </c>
      <c r="AK249" s="351"/>
    </row>
    <row r="250" spans="1:37">
      <c r="A250" s="74">
        <v>231</v>
      </c>
      <c r="B250" s="252"/>
      <c r="C250" s="293" t="str">
        <f t="shared" si="75"/>
        <v/>
      </c>
      <c r="D250" s="294" t="str">
        <f t="shared" si="76"/>
        <v/>
      </c>
      <c r="E250" s="287"/>
      <c r="F250" s="293" t="str">
        <f t="shared" si="61"/>
        <v/>
      </c>
      <c r="G250" s="294" t="str">
        <f t="shared" si="62"/>
        <v/>
      </c>
      <c r="H250" s="290"/>
      <c r="I250" s="254" t="str">
        <f t="shared" ca="1" si="70"/>
        <v>1</v>
      </c>
      <c r="J250" s="254" t="str">
        <f t="shared" ca="1" si="71"/>
        <v>1</v>
      </c>
      <c r="K250" s="230" t="str">
        <f>IF(Giocatori!B239=0,"",Giocatori!B239)</f>
        <v>HANDANOVIC</v>
      </c>
      <c r="L250" s="230" t="str">
        <f>IF(Giocatori!A239=0,"",Giocatori!A239)</f>
        <v>P</v>
      </c>
      <c r="M250" s="230" t="str">
        <f>IF(Giocatori!C239=0,"",Giocatori!C239)</f>
        <v>Inter</v>
      </c>
      <c r="N250" s="69" t="str">
        <f t="shared" si="63"/>
        <v/>
      </c>
      <c r="O250" t="str">
        <f t="shared" si="64"/>
        <v>HANDANOVIC</v>
      </c>
      <c r="P250" s="7">
        <f t="shared" ca="1" si="72"/>
        <v>250</v>
      </c>
      <c r="Q250" s="7" t="str">
        <f t="shared" ca="1" si="65"/>
        <v>HANDANOVIC</v>
      </c>
      <c r="Z250" s="256"/>
      <c r="AA250" s="219"/>
      <c r="AB250" s="293" t="str">
        <f t="shared" si="66"/>
        <v/>
      </c>
      <c r="AC250" s="294" t="str">
        <f t="shared" si="67"/>
        <v/>
      </c>
      <c r="AD250" s="219"/>
      <c r="AE250" s="219"/>
      <c r="AF250" s="293" t="str">
        <f>IF(AA250="","",VLOOKUP(AA250,Asta!$B:$H,7,FALSE))</f>
        <v/>
      </c>
      <c r="AG250" s="294" t="str">
        <f t="shared" si="68"/>
        <v/>
      </c>
      <c r="AH250" t="str">
        <f t="shared" si="69"/>
        <v/>
      </c>
      <c r="AI250" s="254" t="str">
        <f t="shared" ca="1" si="73"/>
        <v>231</v>
      </c>
      <c r="AJ250" s="254" t="str">
        <f t="shared" ca="1" si="74"/>
        <v>231</v>
      </c>
      <c r="AK250" s="351"/>
    </row>
    <row r="251" spans="1:37">
      <c r="A251" s="74">
        <v>232</v>
      </c>
      <c r="B251" s="252"/>
      <c r="C251" s="293" t="str">
        <f t="shared" si="75"/>
        <v/>
      </c>
      <c r="D251" s="294" t="str">
        <f t="shared" si="76"/>
        <v/>
      </c>
      <c r="E251" s="287"/>
      <c r="F251" s="293" t="str">
        <f t="shared" si="61"/>
        <v/>
      </c>
      <c r="G251" s="294" t="str">
        <f t="shared" si="62"/>
        <v/>
      </c>
      <c r="H251" s="290"/>
      <c r="I251" s="254" t="str">
        <f t="shared" ca="1" si="70"/>
        <v>1</v>
      </c>
      <c r="J251" s="254" t="str">
        <f t="shared" ca="1" si="71"/>
        <v>1</v>
      </c>
      <c r="K251" s="230" t="str">
        <f>IF(Giocatori!B240=0,"",Giocatori!B240)</f>
        <v>HATEBOER</v>
      </c>
      <c r="L251" s="230" t="str">
        <f>IF(Giocatori!A240=0,"",Giocatori!A240)</f>
        <v>D</v>
      </c>
      <c r="M251" s="230" t="str">
        <f>IF(Giocatori!C240=0,"",Giocatori!C240)</f>
        <v>Atalanta</v>
      </c>
      <c r="N251" s="69" t="str">
        <f t="shared" si="63"/>
        <v/>
      </c>
      <c r="O251" t="str">
        <f t="shared" si="64"/>
        <v>HATEBOER</v>
      </c>
      <c r="P251" s="7">
        <f t="shared" ca="1" si="72"/>
        <v>251</v>
      </c>
      <c r="Q251" s="7" t="str">
        <f t="shared" ca="1" si="65"/>
        <v>HATEBOER</v>
      </c>
      <c r="Z251" s="256"/>
      <c r="AA251" s="219"/>
      <c r="AB251" s="293" t="str">
        <f t="shared" si="66"/>
        <v/>
      </c>
      <c r="AC251" s="294" t="str">
        <f t="shared" si="67"/>
        <v/>
      </c>
      <c r="AD251" s="219"/>
      <c r="AE251" s="219"/>
      <c r="AF251" s="293" t="str">
        <f>IF(AA251="","",VLOOKUP(AA251,Asta!$B:$H,7,FALSE))</f>
        <v/>
      </c>
      <c r="AG251" s="294" t="str">
        <f t="shared" si="68"/>
        <v/>
      </c>
      <c r="AH251" t="str">
        <f t="shared" si="69"/>
        <v/>
      </c>
      <c r="AI251" s="254" t="str">
        <f t="shared" ca="1" si="73"/>
        <v>232</v>
      </c>
      <c r="AJ251" s="254" t="str">
        <f t="shared" ca="1" si="74"/>
        <v>232</v>
      </c>
      <c r="AK251" s="351"/>
    </row>
    <row r="252" spans="1:37">
      <c r="A252" s="74">
        <v>233</v>
      </c>
      <c r="B252" s="252"/>
      <c r="C252" s="293" t="str">
        <f t="shared" si="75"/>
        <v/>
      </c>
      <c r="D252" s="294" t="str">
        <f t="shared" si="76"/>
        <v/>
      </c>
      <c r="E252" s="287"/>
      <c r="F252" s="293" t="str">
        <f t="shared" si="61"/>
        <v/>
      </c>
      <c r="G252" s="294" t="str">
        <f t="shared" si="62"/>
        <v/>
      </c>
      <c r="H252" s="290"/>
      <c r="I252" s="254" t="str">
        <f t="shared" ca="1" si="70"/>
        <v>1</v>
      </c>
      <c r="J252" s="254" t="str">
        <f t="shared" ca="1" si="71"/>
        <v>1</v>
      </c>
      <c r="K252" s="230" t="str">
        <f>IF(Giocatori!B241=0,"",Giocatori!B241)</f>
        <v>HECTOR MORENO</v>
      </c>
      <c r="L252" s="230" t="str">
        <f>IF(Giocatori!A241=0,"",Giocatori!A241)</f>
        <v>D</v>
      </c>
      <c r="M252" s="230" t="str">
        <f>IF(Giocatori!C241=0,"",Giocatori!C241)</f>
        <v>Roma</v>
      </c>
      <c r="N252" s="69" t="str">
        <f t="shared" si="63"/>
        <v/>
      </c>
      <c r="O252" t="str">
        <f t="shared" si="64"/>
        <v>HECTOR MORENO</v>
      </c>
      <c r="P252" s="7">
        <f t="shared" ca="1" si="72"/>
        <v>252</v>
      </c>
      <c r="Q252" s="7" t="str">
        <f t="shared" ca="1" si="65"/>
        <v>HECTOR MORENO</v>
      </c>
      <c r="Z252" s="256"/>
      <c r="AA252" s="219"/>
      <c r="AB252" s="293" t="str">
        <f t="shared" si="66"/>
        <v/>
      </c>
      <c r="AC252" s="294" t="str">
        <f t="shared" si="67"/>
        <v/>
      </c>
      <c r="AD252" s="219"/>
      <c r="AE252" s="219"/>
      <c r="AF252" s="293" t="str">
        <f>IF(AA252="","",VLOOKUP(AA252,Asta!$B:$H,7,FALSE))</f>
        <v/>
      </c>
      <c r="AG252" s="294" t="str">
        <f t="shared" si="68"/>
        <v/>
      </c>
      <c r="AH252" t="str">
        <f t="shared" si="69"/>
        <v/>
      </c>
      <c r="AI252" s="254" t="str">
        <f t="shared" ca="1" si="73"/>
        <v>233</v>
      </c>
      <c r="AJ252" s="254" t="str">
        <f t="shared" ca="1" si="74"/>
        <v>233</v>
      </c>
      <c r="AK252" s="351"/>
    </row>
    <row r="253" spans="1:37">
      <c r="A253" s="74">
        <v>234</v>
      </c>
      <c r="B253" s="252"/>
      <c r="C253" s="293" t="str">
        <f t="shared" si="75"/>
        <v/>
      </c>
      <c r="D253" s="294" t="str">
        <f t="shared" si="76"/>
        <v/>
      </c>
      <c r="E253" s="287"/>
      <c r="F253" s="293" t="str">
        <f t="shared" si="61"/>
        <v/>
      </c>
      <c r="G253" s="294" t="str">
        <f t="shared" si="62"/>
        <v/>
      </c>
      <c r="H253" s="290"/>
      <c r="I253" s="254" t="str">
        <f t="shared" ca="1" si="70"/>
        <v>1</v>
      </c>
      <c r="J253" s="254" t="str">
        <f t="shared" ca="1" si="71"/>
        <v>1</v>
      </c>
      <c r="K253" s="230" t="str">
        <f>IF(Giocatori!B242=0,"",Giocatori!B242)</f>
        <v>HELANDER</v>
      </c>
      <c r="L253" s="230" t="str">
        <f>IF(Giocatori!A242=0,"",Giocatori!A242)</f>
        <v>D</v>
      </c>
      <c r="M253" s="230" t="str">
        <f>IF(Giocatori!C242=0,"",Giocatori!C242)</f>
        <v>Bologna</v>
      </c>
      <c r="N253" s="69" t="str">
        <f t="shared" si="63"/>
        <v/>
      </c>
      <c r="O253" t="str">
        <f t="shared" si="64"/>
        <v>HELANDER</v>
      </c>
      <c r="P253" s="7">
        <f t="shared" ca="1" si="72"/>
        <v>253</v>
      </c>
      <c r="Q253" s="7" t="str">
        <f t="shared" ca="1" si="65"/>
        <v>HELANDER</v>
      </c>
      <c r="Z253" s="256"/>
      <c r="AA253" s="219"/>
      <c r="AB253" s="293" t="str">
        <f t="shared" si="66"/>
        <v/>
      </c>
      <c r="AC253" s="294" t="str">
        <f t="shared" si="67"/>
        <v/>
      </c>
      <c r="AD253" s="219"/>
      <c r="AE253" s="219"/>
      <c r="AF253" s="293" t="str">
        <f>IF(AA253="","",VLOOKUP(AA253,Asta!$B:$H,7,FALSE))</f>
        <v/>
      </c>
      <c r="AG253" s="294" t="str">
        <f t="shared" si="68"/>
        <v/>
      </c>
      <c r="AH253" t="str">
        <f t="shared" si="69"/>
        <v/>
      </c>
      <c r="AI253" s="254" t="str">
        <f t="shared" ca="1" si="73"/>
        <v>234</v>
      </c>
      <c r="AJ253" s="254" t="str">
        <f t="shared" ca="1" si="74"/>
        <v>234</v>
      </c>
      <c r="AK253" s="351"/>
    </row>
    <row r="254" spans="1:37">
      <c r="A254" s="74">
        <v>235</v>
      </c>
      <c r="B254" s="252"/>
      <c r="C254" s="293" t="str">
        <f t="shared" si="75"/>
        <v/>
      </c>
      <c r="D254" s="294" t="str">
        <f t="shared" si="76"/>
        <v/>
      </c>
      <c r="E254" s="287"/>
      <c r="F254" s="293" t="str">
        <f t="shared" si="61"/>
        <v/>
      </c>
      <c r="G254" s="294" t="str">
        <f t="shared" si="62"/>
        <v/>
      </c>
      <c r="H254" s="290"/>
      <c r="I254" s="254" t="str">
        <f t="shared" ca="1" si="70"/>
        <v>1</v>
      </c>
      <c r="J254" s="254" t="str">
        <f t="shared" ca="1" si="71"/>
        <v>1</v>
      </c>
      <c r="K254" s="230" t="str">
        <f>IF(Giocatori!B243=0,"",Giocatori!B243)</f>
        <v>HETEMAJ</v>
      </c>
      <c r="L254" s="230" t="str">
        <f>IF(Giocatori!A243=0,"",Giocatori!A243)</f>
        <v>C</v>
      </c>
      <c r="M254" s="230" t="str">
        <f>IF(Giocatori!C243=0,"",Giocatori!C243)</f>
        <v>Chievo</v>
      </c>
      <c r="N254" s="69" t="str">
        <f t="shared" si="63"/>
        <v/>
      </c>
      <c r="O254" t="str">
        <f t="shared" si="64"/>
        <v>HETEMAJ</v>
      </c>
      <c r="P254" s="7">
        <f t="shared" ca="1" si="72"/>
        <v>254</v>
      </c>
      <c r="Q254" s="7" t="str">
        <f t="shared" ca="1" si="65"/>
        <v>HETEMAJ</v>
      </c>
      <c r="Z254" s="256"/>
      <c r="AA254" s="219"/>
      <c r="AB254" s="293" t="str">
        <f t="shared" si="66"/>
        <v/>
      </c>
      <c r="AC254" s="294" t="str">
        <f t="shared" si="67"/>
        <v/>
      </c>
      <c r="AD254" s="219"/>
      <c r="AE254" s="219"/>
      <c r="AF254" s="293" t="str">
        <f>IF(AA254="","",VLOOKUP(AA254,Asta!$B:$H,7,FALSE))</f>
        <v/>
      </c>
      <c r="AG254" s="294" t="str">
        <f t="shared" si="68"/>
        <v/>
      </c>
      <c r="AH254" t="str">
        <f t="shared" si="69"/>
        <v/>
      </c>
      <c r="AI254" s="254" t="str">
        <f t="shared" ca="1" si="73"/>
        <v>235</v>
      </c>
      <c r="AJ254" s="254" t="str">
        <f t="shared" ca="1" si="74"/>
        <v>235</v>
      </c>
      <c r="AK254" s="351"/>
    </row>
    <row r="255" spans="1:37">
      <c r="A255" s="74">
        <v>236</v>
      </c>
      <c r="B255" s="252"/>
      <c r="C255" s="293" t="str">
        <f t="shared" si="75"/>
        <v/>
      </c>
      <c r="D255" s="294" t="str">
        <f t="shared" si="76"/>
        <v/>
      </c>
      <c r="E255" s="287"/>
      <c r="F255" s="293" t="str">
        <f t="shared" si="61"/>
        <v/>
      </c>
      <c r="G255" s="294" t="str">
        <f t="shared" si="62"/>
        <v/>
      </c>
      <c r="H255" s="290"/>
      <c r="I255" s="254" t="str">
        <f t="shared" ca="1" si="70"/>
        <v>1</v>
      </c>
      <c r="J255" s="254" t="str">
        <f t="shared" ca="1" si="71"/>
        <v>1</v>
      </c>
      <c r="K255" s="230" t="str">
        <f>IF(Giocatori!B244=0,"",Giocatori!B244)</f>
        <v>HEURTAUX</v>
      </c>
      <c r="L255" s="230" t="str">
        <f>IF(Giocatori!A244=0,"",Giocatori!A244)</f>
        <v>D</v>
      </c>
      <c r="M255" s="230" t="str">
        <f>IF(Giocatori!C244=0,"",Giocatori!C244)</f>
        <v>Verona</v>
      </c>
      <c r="N255" s="69" t="str">
        <f t="shared" si="63"/>
        <v/>
      </c>
      <c r="O255" t="str">
        <f t="shared" si="64"/>
        <v>HEURTAUX</v>
      </c>
      <c r="P255" s="7">
        <f t="shared" ca="1" si="72"/>
        <v>255</v>
      </c>
      <c r="Q255" s="7" t="str">
        <f t="shared" ca="1" si="65"/>
        <v>HEURTAUX</v>
      </c>
      <c r="Z255" s="256"/>
      <c r="AA255" s="219"/>
      <c r="AB255" s="293" t="str">
        <f t="shared" si="66"/>
        <v/>
      </c>
      <c r="AC255" s="294" t="str">
        <f t="shared" si="67"/>
        <v/>
      </c>
      <c r="AD255" s="219"/>
      <c r="AE255" s="219"/>
      <c r="AF255" s="293" t="str">
        <f>IF(AA255="","",VLOOKUP(AA255,Asta!$B:$H,7,FALSE))</f>
        <v/>
      </c>
      <c r="AG255" s="294" t="str">
        <f t="shared" si="68"/>
        <v/>
      </c>
      <c r="AH255" t="str">
        <f t="shared" si="69"/>
        <v/>
      </c>
      <c r="AI255" s="254" t="str">
        <f t="shared" ca="1" si="73"/>
        <v>236</v>
      </c>
      <c r="AJ255" s="254" t="str">
        <f t="shared" ca="1" si="74"/>
        <v>236</v>
      </c>
      <c r="AK255" s="351"/>
    </row>
    <row r="256" spans="1:37">
      <c r="A256" s="74">
        <v>237</v>
      </c>
      <c r="B256" s="252"/>
      <c r="C256" s="293" t="str">
        <f t="shared" si="75"/>
        <v/>
      </c>
      <c r="D256" s="294" t="str">
        <f t="shared" si="76"/>
        <v/>
      </c>
      <c r="E256" s="287"/>
      <c r="F256" s="293" t="str">
        <f t="shared" si="61"/>
        <v/>
      </c>
      <c r="G256" s="294" t="str">
        <f t="shared" si="62"/>
        <v/>
      </c>
      <c r="H256" s="290"/>
      <c r="I256" s="254" t="str">
        <f t="shared" ca="1" si="70"/>
        <v>1</v>
      </c>
      <c r="J256" s="254" t="str">
        <f t="shared" ca="1" si="71"/>
        <v>1</v>
      </c>
      <c r="K256" s="230" t="str">
        <f>IF(Giocatori!B245=0,"",Giocatori!B245)</f>
        <v>HIGUAIN</v>
      </c>
      <c r="L256" s="230" t="str">
        <f>IF(Giocatori!A245=0,"",Giocatori!A245)</f>
        <v>A</v>
      </c>
      <c r="M256" s="230" t="str">
        <f>IF(Giocatori!C245=0,"",Giocatori!C245)</f>
        <v>Juventus</v>
      </c>
      <c r="N256" s="69" t="str">
        <f t="shared" si="63"/>
        <v/>
      </c>
      <c r="O256" t="str">
        <f t="shared" si="64"/>
        <v>HIGUAIN</v>
      </c>
      <c r="P256" s="7">
        <f t="shared" ca="1" si="72"/>
        <v>256</v>
      </c>
      <c r="Q256" s="7" t="str">
        <f t="shared" ca="1" si="65"/>
        <v>HIGUAIN</v>
      </c>
      <c r="Z256" s="256"/>
      <c r="AA256" s="219"/>
      <c r="AB256" s="293" t="str">
        <f t="shared" si="66"/>
        <v/>
      </c>
      <c r="AC256" s="294" t="str">
        <f t="shared" si="67"/>
        <v/>
      </c>
      <c r="AD256" s="219"/>
      <c r="AE256" s="219"/>
      <c r="AF256" s="293" t="str">
        <f>IF(AA256="","",VLOOKUP(AA256,Asta!$B:$H,7,FALSE))</f>
        <v/>
      </c>
      <c r="AG256" s="294" t="str">
        <f t="shared" si="68"/>
        <v/>
      </c>
      <c r="AH256" t="str">
        <f t="shared" si="69"/>
        <v/>
      </c>
      <c r="AI256" s="254" t="str">
        <f t="shared" ca="1" si="73"/>
        <v>237</v>
      </c>
      <c r="AJ256" s="254" t="str">
        <f t="shared" ca="1" si="74"/>
        <v>237</v>
      </c>
      <c r="AK256" s="351"/>
    </row>
    <row r="257" spans="1:37">
      <c r="A257" s="74">
        <v>238</v>
      </c>
      <c r="B257" s="252"/>
      <c r="C257" s="293" t="str">
        <f t="shared" si="75"/>
        <v/>
      </c>
      <c r="D257" s="294" t="str">
        <f t="shared" si="76"/>
        <v/>
      </c>
      <c r="E257" s="287"/>
      <c r="F257" s="293" t="str">
        <f t="shared" si="61"/>
        <v/>
      </c>
      <c r="G257" s="294" t="str">
        <f t="shared" si="62"/>
        <v/>
      </c>
      <c r="H257" s="290"/>
      <c r="I257" s="254" t="str">
        <f t="shared" ca="1" si="70"/>
        <v>1</v>
      </c>
      <c r="J257" s="254" t="str">
        <f t="shared" ca="1" si="71"/>
        <v>1</v>
      </c>
      <c r="K257" s="230" t="str">
        <f>IF(Giocatori!B246=0,"",Giocatori!B246)</f>
        <v>HOWEDES</v>
      </c>
      <c r="L257" s="230" t="str">
        <f>IF(Giocatori!A246=0,"",Giocatori!A246)</f>
        <v>D</v>
      </c>
      <c r="M257" s="230" t="str">
        <f>IF(Giocatori!C246=0,"",Giocatori!C246)</f>
        <v>Juventus</v>
      </c>
      <c r="N257" s="69" t="str">
        <f t="shared" si="63"/>
        <v/>
      </c>
      <c r="O257" t="str">
        <f t="shared" si="64"/>
        <v>HOWEDES</v>
      </c>
      <c r="P257" s="7">
        <f t="shared" ca="1" si="72"/>
        <v>257</v>
      </c>
      <c r="Q257" s="7" t="str">
        <f t="shared" ca="1" si="65"/>
        <v>HOWEDES</v>
      </c>
      <c r="Z257" s="256"/>
      <c r="AA257" s="219"/>
      <c r="AB257" s="293" t="str">
        <f t="shared" si="66"/>
        <v/>
      </c>
      <c r="AC257" s="294" t="str">
        <f t="shared" si="67"/>
        <v/>
      </c>
      <c r="AD257" s="219"/>
      <c r="AE257" s="219"/>
      <c r="AF257" s="293" t="str">
        <f>IF(AA257="","",VLOOKUP(AA257,Asta!$B:$H,7,FALSE))</f>
        <v/>
      </c>
      <c r="AG257" s="294" t="str">
        <f t="shared" si="68"/>
        <v/>
      </c>
      <c r="AH257" t="str">
        <f t="shared" si="69"/>
        <v/>
      </c>
      <c r="AI257" s="254" t="str">
        <f t="shared" ca="1" si="73"/>
        <v>238</v>
      </c>
      <c r="AJ257" s="254" t="str">
        <f t="shared" ca="1" si="74"/>
        <v>238</v>
      </c>
      <c r="AK257" s="351"/>
    </row>
    <row r="258" spans="1:37">
      <c r="A258" s="74">
        <v>239</v>
      </c>
      <c r="B258" s="252"/>
      <c r="C258" s="295" t="str">
        <f t="shared" si="75"/>
        <v/>
      </c>
      <c r="D258" s="296" t="str">
        <f t="shared" si="76"/>
        <v/>
      </c>
      <c r="E258" s="287"/>
      <c r="F258" s="295" t="str">
        <f t="shared" si="61"/>
        <v/>
      </c>
      <c r="G258" s="296" t="str">
        <f t="shared" si="62"/>
        <v/>
      </c>
      <c r="H258" s="290"/>
      <c r="I258" s="254" t="str">
        <f t="shared" ca="1" si="70"/>
        <v>1</v>
      </c>
      <c r="J258" s="254" t="str">
        <f t="shared" ca="1" si="71"/>
        <v>1</v>
      </c>
      <c r="K258" s="230" t="str">
        <f>IF(Giocatori!B247=0,"",Giocatori!B247)</f>
        <v>HRISTOV</v>
      </c>
      <c r="L258" s="230" t="str">
        <f>IF(Giocatori!A247=0,"",Giocatori!A247)</f>
        <v>D</v>
      </c>
      <c r="M258" s="230" t="str">
        <f>IF(Giocatori!C247=0,"",Giocatori!C247)</f>
        <v>Fiorentina</v>
      </c>
      <c r="N258" s="69" t="str">
        <f t="shared" si="63"/>
        <v/>
      </c>
      <c r="O258" t="str">
        <f t="shared" si="64"/>
        <v>HRISTOV</v>
      </c>
      <c r="P258" s="7">
        <f t="shared" ca="1" si="72"/>
        <v>258</v>
      </c>
      <c r="Q258" s="7" t="str">
        <f t="shared" ca="1" si="65"/>
        <v>HRISTOV</v>
      </c>
      <c r="Z258" s="256"/>
      <c r="AA258" s="219"/>
      <c r="AB258" s="295" t="str">
        <f t="shared" si="66"/>
        <v/>
      </c>
      <c r="AC258" s="296" t="str">
        <f t="shared" si="67"/>
        <v/>
      </c>
      <c r="AD258" s="219"/>
      <c r="AE258" s="219"/>
      <c r="AF258" s="295" t="str">
        <f>IF(AA258="","",VLOOKUP(AA258,Asta!$B:$H,7,FALSE))</f>
        <v/>
      </c>
      <c r="AG258" s="296" t="str">
        <f t="shared" si="68"/>
        <v/>
      </c>
      <c r="AH258" t="str">
        <f t="shared" si="69"/>
        <v/>
      </c>
      <c r="AI258" s="254" t="str">
        <f t="shared" ca="1" si="73"/>
        <v>239</v>
      </c>
      <c r="AJ258" s="254" t="str">
        <f t="shared" ca="1" si="74"/>
        <v>239</v>
      </c>
      <c r="AK258" s="351"/>
    </row>
    <row r="259" spans="1:37">
      <c r="A259" s="74">
        <v>240</v>
      </c>
      <c r="B259" s="252"/>
      <c r="C259" s="293" t="str">
        <f t="shared" si="75"/>
        <v/>
      </c>
      <c r="D259" s="294" t="str">
        <f t="shared" si="76"/>
        <v/>
      </c>
      <c r="E259" s="287"/>
      <c r="F259" s="293" t="str">
        <f t="shared" si="61"/>
        <v/>
      </c>
      <c r="G259" s="294" t="str">
        <f t="shared" si="62"/>
        <v/>
      </c>
      <c r="H259" s="290"/>
      <c r="I259" s="254" t="str">
        <f t="shared" ca="1" si="70"/>
        <v>1</v>
      </c>
      <c r="J259" s="254" t="str">
        <f t="shared" ca="1" si="71"/>
        <v>1</v>
      </c>
      <c r="K259" s="230" t="str">
        <f>IF(Giocatori!B248=0,"",Giocatori!B248)</f>
        <v>HYSAJ</v>
      </c>
      <c r="L259" s="230" t="str">
        <f>IF(Giocatori!A248=0,"",Giocatori!A248)</f>
        <v>D</v>
      </c>
      <c r="M259" s="230" t="str">
        <f>IF(Giocatori!C248=0,"",Giocatori!C248)</f>
        <v>Napoli</v>
      </c>
      <c r="N259" s="69" t="str">
        <f t="shared" si="63"/>
        <v/>
      </c>
      <c r="O259" t="str">
        <f t="shared" si="64"/>
        <v>HYSAJ</v>
      </c>
      <c r="P259" s="7">
        <f t="shared" ca="1" si="72"/>
        <v>259</v>
      </c>
      <c r="Q259" s="7" t="str">
        <f t="shared" ca="1" si="65"/>
        <v>HYSAJ</v>
      </c>
      <c r="Z259" s="256"/>
      <c r="AA259" s="219"/>
      <c r="AB259" s="293" t="str">
        <f t="shared" si="66"/>
        <v/>
      </c>
      <c r="AC259" s="294" t="str">
        <f t="shared" si="67"/>
        <v/>
      </c>
      <c r="AD259" s="219"/>
      <c r="AE259" s="219"/>
      <c r="AF259" s="293" t="str">
        <f>IF(AA259="","",VLOOKUP(AA259,Asta!$B:$H,7,FALSE))</f>
        <v/>
      </c>
      <c r="AG259" s="294" t="str">
        <f t="shared" si="68"/>
        <v/>
      </c>
      <c r="AH259" t="str">
        <f t="shared" si="69"/>
        <v/>
      </c>
      <c r="AI259" s="254" t="str">
        <f t="shared" ca="1" si="73"/>
        <v>240</v>
      </c>
      <c r="AJ259" s="254" t="str">
        <f t="shared" ca="1" si="74"/>
        <v>240</v>
      </c>
      <c r="AK259" s="351"/>
    </row>
    <row r="260" spans="1:37">
      <c r="A260" s="74">
        <v>241</v>
      </c>
      <c r="B260" s="252"/>
      <c r="C260" s="293" t="str">
        <f t="shared" si="75"/>
        <v/>
      </c>
      <c r="D260" s="294" t="str">
        <f t="shared" si="76"/>
        <v/>
      </c>
      <c r="E260" s="287"/>
      <c r="F260" s="293" t="str">
        <f t="shared" si="61"/>
        <v/>
      </c>
      <c r="G260" s="294" t="str">
        <f t="shared" si="62"/>
        <v/>
      </c>
      <c r="H260" s="290"/>
      <c r="I260" s="254" t="str">
        <f t="shared" ca="1" si="70"/>
        <v>1</v>
      </c>
      <c r="J260" s="254" t="str">
        <f t="shared" ca="1" si="71"/>
        <v>1</v>
      </c>
      <c r="K260" s="230" t="str">
        <f>IF(Giocatori!B249=0,"",Giocatori!B249)</f>
        <v>IAGO FALQUE</v>
      </c>
      <c r="L260" s="230" t="str">
        <f>IF(Giocatori!A249=0,"",Giocatori!A249)</f>
        <v>C</v>
      </c>
      <c r="M260" s="230" t="str">
        <f>IF(Giocatori!C249=0,"",Giocatori!C249)</f>
        <v>Torino</v>
      </c>
      <c r="N260" s="69" t="str">
        <f t="shared" si="63"/>
        <v/>
      </c>
      <c r="O260" t="str">
        <f t="shared" si="64"/>
        <v>IAGO FALQUE</v>
      </c>
      <c r="P260" s="7">
        <f t="shared" ca="1" si="72"/>
        <v>260</v>
      </c>
      <c r="Q260" s="7" t="str">
        <f t="shared" ca="1" si="65"/>
        <v>IAGO FALQUE</v>
      </c>
      <c r="Z260" s="256"/>
      <c r="AA260" s="219"/>
      <c r="AB260" s="293" t="str">
        <f t="shared" si="66"/>
        <v/>
      </c>
      <c r="AC260" s="294" t="str">
        <f t="shared" si="67"/>
        <v/>
      </c>
      <c r="AD260" s="219"/>
      <c r="AE260" s="219"/>
      <c r="AF260" s="293" t="str">
        <f>IF(AA260="","",VLOOKUP(AA260,Asta!$B:$H,7,FALSE))</f>
        <v/>
      </c>
      <c r="AG260" s="294" t="str">
        <f t="shared" si="68"/>
        <v/>
      </c>
      <c r="AH260" t="str">
        <f t="shared" si="69"/>
        <v/>
      </c>
      <c r="AI260" s="254" t="str">
        <f t="shared" ca="1" si="73"/>
        <v>241</v>
      </c>
      <c r="AJ260" s="254" t="str">
        <f t="shared" ca="1" si="74"/>
        <v>241</v>
      </c>
      <c r="AK260" s="351"/>
    </row>
    <row r="261" spans="1:37">
      <c r="A261" s="74">
        <v>242</v>
      </c>
      <c r="B261" s="252"/>
      <c r="C261" s="293" t="str">
        <f t="shared" si="75"/>
        <v/>
      </c>
      <c r="D261" s="294" t="str">
        <f t="shared" si="76"/>
        <v/>
      </c>
      <c r="E261" s="287"/>
      <c r="F261" s="293" t="str">
        <f t="shared" si="61"/>
        <v/>
      </c>
      <c r="G261" s="294" t="str">
        <f t="shared" si="62"/>
        <v/>
      </c>
      <c r="H261" s="290"/>
      <c r="I261" s="254" t="str">
        <f t="shared" ca="1" si="70"/>
        <v>1</v>
      </c>
      <c r="J261" s="254" t="str">
        <f t="shared" ca="1" si="71"/>
        <v>1</v>
      </c>
      <c r="K261" s="230" t="str">
        <f>IF(Giocatori!B250=0,"",Giocatori!B250)</f>
        <v>ICARDI</v>
      </c>
      <c r="L261" s="230" t="str">
        <f>IF(Giocatori!A250=0,"",Giocatori!A250)</f>
        <v>A</v>
      </c>
      <c r="M261" s="230" t="str">
        <f>IF(Giocatori!C250=0,"",Giocatori!C250)</f>
        <v>Inter</v>
      </c>
      <c r="N261" s="69" t="str">
        <f t="shared" si="63"/>
        <v/>
      </c>
      <c r="O261" t="str">
        <f t="shared" si="64"/>
        <v>ICARDI</v>
      </c>
      <c r="P261" s="7">
        <f t="shared" ca="1" si="72"/>
        <v>261</v>
      </c>
      <c r="Q261" s="7" t="str">
        <f t="shared" ca="1" si="65"/>
        <v>ICARDI</v>
      </c>
      <c r="Z261" s="256"/>
      <c r="AA261" s="219"/>
      <c r="AB261" s="293" t="str">
        <f t="shared" si="66"/>
        <v/>
      </c>
      <c r="AC261" s="294" t="str">
        <f t="shared" si="67"/>
        <v/>
      </c>
      <c r="AD261" s="219"/>
      <c r="AE261" s="219"/>
      <c r="AF261" s="293" t="str">
        <f>IF(AA261="","",VLOOKUP(AA261,Asta!$B:$H,7,FALSE))</f>
        <v/>
      </c>
      <c r="AG261" s="294" t="str">
        <f t="shared" si="68"/>
        <v/>
      </c>
      <c r="AH261" t="str">
        <f t="shared" si="69"/>
        <v/>
      </c>
      <c r="AI261" s="254" t="str">
        <f t="shared" ca="1" si="73"/>
        <v>242</v>
      </c>
      <c r="AJ261" s="254" t="str">
        <f t="shared" ca="1" si="74"/>
        <v>242</v>
      </c>
      <c r="AK261" s="351"/>
    </row>
    <row r="262" spans="1:37">
      <c r="A262" s="74">
        <v>243</v>
      </c>
      <c r="B262" s="252"/>
      <c r="C262" s="293" t="str">
        <f t="shared" si="75"/>
        <v/>
      </c>
      <c r="D262" s="294" t="str">
        <f t="shared" si="76"/>
        <v/>
      </c>
      <c r="E262" s="287"/>
      <c r="F262" s="293" t="str">
        <f t="shared" si="61"/>
        <v/>
      </c>
      <c r="G262" s="294" t="str">
        <f t="shared" si="62"/>
        <v/>
      </c>
      <c r="H262" s="290"/>
      <c r="I262" s="254" t="str">
        <f t="shared" ca="1" si="70"/>
        <v>1</v>
      </c>
      <c r="J262" s="254" t="str">
        <f t="shared" ca="1" si="71"/>
        <v>1</v>
      </c>
      <c r="K262" s="230" t="str">
        <f>IF(Giocatori!B251=0,"",Giocatori!B251)</f>
        <v>ICHAZO</v>
      </c>
      <c r="L262" s="230" t="str">
        <f>IF(Giocatori!A251=0,"",Giocatori!A251)</f>
        <v>P</v>
      </c>
      <c r="M262" s="230" t="str">
        <f>IF(Giocatori!C251=0,"",Giocatori!C251)</f>
        <v>Torino</v>
      </c>
      <c r="N262" s="69" t="str">
        <f t="shared" si="63"/>
        <v/>
      </c>
      <c r="O262" t="str">
        <f t="shared" si="64"/>
        <v>ICHAZO</v>
      </c>
      <c r="P262" s="7">
        <f t="shared" ca="1" si="72"/>
        <v>262</v>
      </c>
      <c r="Q262" s="7" t="str">
        <f t="shared" ca="1" si="65"/>
        <v>ICHAZO</v>
      </c>
      <c r="Z262" s="256"/>
      <c r="AA262" s="219"/>
      <c r="AB262" s="293" t="str">
        <f t="shared" si="66"/>
        <v/>
      </c>
      <c r="AC262" s="294" t="str">
        <f t="shared" si="67"/>
        <v/>
      </c>
      <c r="AD262" s="219"/>
      <c r="AE262" s="219"/>
      <c r="AF262" s="293" t="str">
        <f>IF(AA262="","",VLOOKUP(AA262,Asta!$B:$H,7,FALSE))</f>
        <v/>
      </c>
      <c r="AG262" s="294" t="str">
        <f t="shared" si="68"/>
        <v/>
      </c>
      <c r="AH262" t="str">
        <f t="shared" si="69"/>
        <v/>
      </c>
      <c r="AI262" s="254" t="str">
        <f t="shared" ca="1" si="73"/>
        <v>243</v>
      </c>
      <c r="AJ262" s="254" t="str">
        <f t="shared" ca="1" si="74"/>
        <v>243</v>
      </c>
      <c r="AK262" s="351"/>
    </row>
    <row r="263" spans="1:37">
      <c r="A263" s="74">
        <v>244</v>
      </c>
      <c r="B263" s="252"/>
      <c r="C263" s="293" t="str">
        <f t="shared" si="75"/>
        <v/>
      </c>
      <c r="D263" s="294" t="str">
        <f t="shared" si="76"/>
        <v/>
      </c>
      <c r="E263" s="287"/>
      <c r="F263" s="293" t="str">
        <f t="shared" si="61"/>
        <v/>
      </c>
      <c r="G263" s="294" t="str">
        <f t="shared" si="62"/>
        <v/>
      </c>
      <c r="H263" s="290"/>
      <c r="I263" s="254" t="str">
        <f t="shared" ca="1" si="70"/>
        <v>1</v>
      </c>
      <c r="J263" s="254" t="str">
        <f t="shared" ca="1" si="71"/>
        <v>1</v>
      </c>
      <c r="K263" s="230" t="str">
        <f>IF(Giocatori!B252=0,"",Giocatori!B252)</f>
        <v>IEMMELLO</v>
      </c>
      <c r="L263" s="230" t="str">
        <f>IF(Giocatori!A252=0,"",Giocatori!A252)</f>
        <v>A</v>
      </c>
      <c r="M263" s="230" t="str">
        <f>IF(Giocatori!C252=0,"",Giocatori!C252)</f>
        <v>Benevento</v>
      </c>
      <c r="N263" s="69" t="str">
        <f t="shared" si="63"/>
        <v/>
      </c>
      <c r="O263" t="str">
        <f t="shared" si="64"/>
        <v>IEMMELLO</v>
      </c>
      <c r="P263" s="7">
        <f t="shared" ca="1" si="72"/>
        <v>263</v>
      </c>
      <c r="Q263" s="7" t="str">
        <f t="shared" ca="1" si="65"/>
        <v>IEMMELLO</v>
      </c>
      <c r="Z263" s="256"/>
      <c r="AA263" s="219"/>
      <c r="AB263" s="293" t="str">
        <f t="shared" si="66"/>
        <v/>
      </c>
      <c r="AC263" s="294" t="str">
        <f t="shared" si="67"/>
        <v/>
      </c>
      <c r="AD263" s="219"/>
      <c r="AE263" s="219"/>
      <c r="AF263" s="293" t="str">
        <f>IF(AA263="","",VLOOKUP(AA263,Asta!$B:$H,7,FALSE))</f>
        <v/>
      </c>
      <c r="AG263" s="294" t="str">
        <f t="shared" si="68"/>
        <v/>
      </c>
      <c r="AH263" t="str">
        <f t="shared" si="69"/>
        <v/>
      </c>
      <c r="AI263" s="254" t="str">
        <f t="shared" ca="1" si="73"/>
        <v>244</v>
      </c>
      <c r="AJ263" s="254" t="str">
        <f t="shared" ca="1" si="74"/>
        <v>244</v>
      </c>
      <c r="AK263" s="351"/>
    </row>
    <row r="264" spans="1:37">
      <c r="A264" s="74">
        <v>245</v>
      </c>
      <c r="B264" s="252"/>
      <c r="C264" s="293" t="str">
        <f t="shared" si="75"/>
        <v/>
      </c>
      <c r="D264" s="294" t="str">
        <f t="shared" si="76"/>
        <v/>
      </c>
      <c r="E264" s="287"/>
      <c r="F264" s="293" t="str">
        <f t="shared" si="61"/>
        <v/>
      </c>
      <c r="G264" s="294" t="str">
        <f t="shared" si="62"/>
        <v/>
      </c>
      <c r="H264" s="290"/>
      <c r="I264" s="254" t="str">
        <f t="shared" ca="1" si="70"/>
        <v>1</v>
      </c>
      <c r="J264" s="254" t="str">
        <f t="shared" ca="1" si="71"/>
        <v>1</v>
      </c>
      <c r="K264" s="230" t="str">
        <f>IF(Giocatori!B253=0,"",Giocatori!B253)</f>
        <v>ILICIC</v>
      </c>
      <c r="L264" s="230" t="str">
        <f>IF(Giocatori!A253=0,"",Giocatori!A253)</f>
        <v>C</v>
      </c>
      <c r="M264" s="230" t="str">
        <f>IF(Giocatori!C253=0,"",Giocatori!C253)</f>
        <v>Atalanta</v>
      </c>
      <c r="N264" s="69" t="str">
        <f t="shared" si="63"/>
        <v/>
      </c>
      <c r="O264" t="str">
        <f t="shared" si="64"/>
        <v>ILICIC</v>
      </c>
      <c r="P264" s="7">
        <f t="shared" ca="1" si="72"/>
        <v>264</v>
      </c>
      <c r="Q264" s="7" t="str">
        <f t="shared" ca="1" si="65"/>
        <v>ILICIC</v>
      </c>
      <c r="Z264" s="256"/>
      <c r="AA264" s="219"/>
      <c r="AB264" s="293" t="str">
        <f t="shared" si="66"/>
        <v/>
      </c>
      <c r="AC264" s="294" t="str">
        <f t="shared" si="67"/>
        <v/>
      </c>
      <c r="AD264" s="219"/>
      <c r="AE264" s="219"/>
      <c r="AF264" s="293" t="str">
        <f>IF(AA264="","",VLOOKUP(AA264,Asta!$B:$H,7,FALSE))</f>
        <v/>
      </c>
      <c r="AG264" s="294" t="str">
        <f t="shared" si="68"/>
        <v/>
      </c>
      <c r="AH264" t="str">
        <f t="shared" si="69"/>
        <v/>
      </c>
      <c r="AI264" s="254" t="str">
        <f t="shared" ca="1" si="73"/>
        <v>245</v>
      </c>
      <c r="AJ264" s="254" t="str">
        <f t="shared" ca="1" si="74"/>
        <v>245</v>
      </c>
      <c r="AK264" s="351"/>
    </row>
    <row r="265" spans="1:37">
      <c r="A265" s="74">
        <v>246</v>
      </c>
      <c r="B265" s="252"/>
      <c r="C265" s="293" t="str">
        <f t="shared" si="75"/>
        <v/>
      </c>
      <c r="D265" s="294" t="str">
        <f t="shared" si="76"/>
        <v/>
      </c>
      <c r="E265" s="287"/>
      <c r="F265" s="293" t="str">
        <f t="shared" si="61"/>
        <v/>
      </c>
      <c r="G265" s="294" t="str">
        <f t="shared" si="62"/>
        <v/>
      </c>
      <c r="H265" s="290"/>
      <c r="I265" s="254" t="str">
        <f t="shared" ca="1" si="70"/>
        <v>1</v>
      </c>
      <c r="J265" s="254" t="str">
        <f t="shared" ca="1" si="71"/>
        <v>1</v>
      </c>
      <c r="K265" s="230" t="str">
        <f>IF(Giocatori!B254=0,"",Giocatori!B254)</f>
        <v>IMMOBILE</v>
      </c>
      <c r="L265" s="230" t="str">
        <f>IF(Giocatori!A254=0,"",Giocatori!A254)</f>
        <v>A</v>
      </c>
      <c r="M265" s="230" t="str">
        <f>IF(Giocatori!C254=0,"",Giocatori!C254)</f>
        <v>Lazio</v>
      </c>
      <c r="N265" s="69" t="str">
        <f t="shared" si="63"/>
        <v/>
      </c>
      <c r="O265" t="str">
        <f t="shared" si="64"/>
        <v>IMMOBILE</v>
      </c>
      <c r="P265" s="7">
        <f t="shared" ca="1" si="72"/>
        <v>265</v>
      </c>
      <c r="Q265" s="7" t="str">
        <f t="shared" ca="1" si="65"/>
        <v>IMMOBILE</v>
      </c>
      <c r="Z265" s="256"/>
      <c r="AA265" s="219"/>
      <c r="AB265" s="293" t="str">
        <f t="shared" si="66"/>
        <v/>
      </c>
      <c r="AC265" s="294" t="str">
        <f t="shared" si="67"/>
        <v/>
      </c>
      <c r="AD265" s="219"/>
      <c r="AE265" s="219"/>
      <c r="AF265" s="293" t="str">
        <f>IF(AA265="","",VLOOKUP(AA265,Asta!$B:$H,7,FALSE))</f>
        <v/>
      </c>
      <c r="AG265" s="294" t="str">
        <f t="shared" si="68"/>
        <v/>
      </c>
      <c r="AH265" t="str">
        <f t="shared" si="69"/>
        <v/>
      </c>
      <c r="AI265" s="254" t="str">
        <f t="shared" ca="1" si="73"/>
        <v>246</v>
      </c>
      <c r="AJ265" s="254" t="str">
        <f t="shared" ca="1" si="74"/>
        <v>246</v>
      </c>
      <c r="AK265" s="351"/>
    </row>
    <row r="266" spans="1:37">
      <c r="A266" s="74">
        <v>247</v>
      </c>
      <c r="B266" s="252"/>
      <c r="C266" s="293" t="str">
        <f t="shared" si="75"/>
        <v/>
      </c>
      <c r="D266" s="294" t="str">
        <f t="shared" si="76"/>
        <v/>
      </c>
      <c r="E266" s="287"/>
      <c r="F266" s="293" t="str">
        <f t="shared" si="61"/>
        <v/>
      </c>
      <c r="G266" s="294" t="str">
        <f t="shared" si="62"/>
        <v/>
      </c>
      <c r="H266" s="290"/>
      <c r="I266" s="254" t="str">
        <f t="shared" ca="1" si="70"/>
        <v>1</v>
      </c>
      <c r="J266" s="254" t="str">
        <f t="shared" ca="1" si="71"/>
        <v>1</v>
      </c>
      <c r="K266" s="230" t="str">
        <f>IF(Giocatori!B255=0,"",Giocatori!B255)</f>
        <v>INGELSSON</v>
      </c>
      <c r="L266" s="230" t="str">
        <f>IF(Giocatori!A255=0,"",Giocatori!A255)</f>
        <v>C</v>
      </c>
      <c r="M266" s="230" t="str">
        <f>IF(Giocatori!C255=0,"",Giocatori!C255)</f>
        <v>Udinese</v>
      </c>
      <c r="N266" s="69" t="str">
        <f t="shared" si="63"/>
        <v/>
      </c>
      <c r="O266" t="str">
        <f t="shared" si="64"/>
        <v>INGELSSON</v>
      </c>
      <c r="P266" s="7">
        <f t="shared" ca="1" si="72"/>
        <v>266</v>
      </c>
      <c r="Q266" s="7" t="str">
        <f t="shared" ca="1" si="65"/>
        <v>INGELSSON</v>
      </c>
      <c r="Z266" s="256"/>
      <c r="AA266" s="219"/>
      <c r="AB266" s="293" t="str">
        <f t="shared" si="66"/>
        <v/>
      </c>
      <c r="AC266" s="294" t="str">
        <f t="shared" si="67"/>
        <v/>
      </c>
      <c r="AD266" s="219"/>
      <c r="AE266" s="219"/>
      <c r="AF266" s="293" t="str">
        <f>IF(AA266="","",VLOOKUP(AA266,Asta!$B:$H,7,FALSE))</f>
        <v/>
      </c>
      <c r="AG266" s="294" t="str">
        <f t="shared" si="68"/>
        <v/>
      </c>
      <c r="AH266" t="str">
        <f t="shared" si="69"/>
        <v/>
      </c>
      <c r="AI266" s="254" t="str">
        <f t="shared" ca="1" si="73"/>
        <v>247</v>
      </c>
      <c r="AJ266" s="254" t="str">
        <f t="shared" ca="1" si="74"/>
        <v>247</v>
      </c>
      <c r="AK266" s="351"/>
    </row>
    <row r="267" spans="1:37">
      <c r="A267" s="74">
        <v>248</v>
      </c>
      <c r="B267" s="252"/>
      <c r="C267" s="293" t="str">
        <f t="shared" si="75"/>
        <v/>
      </c>
      <c r="D267" s="294" t="str">
        <f t="shared" si="76"/>
        <v/>
      </c>
      <c r="E267" s="287"/>
      <c r="F267" s="293" t="str">
        <f t="shared" si="61"/>
        <v/>
      </c>
      <c r="G267" s="294" t="str">
        <f t="shared" si="62"/>
        <v/>
      </c>
      <c r="H267" s="290"/>
      <c r="I267" s="254" t="str">
        <f t="shared" ca="1" si="70"/>
        <v>1</v>
      </c>
      <c r="J267" s="254" t="str">
        <f t="shared" ca="1" si="71"/>
        <v>1</v>
      </c>
      <c r="K267" s="230" t="str">
        <f>IF(Giocatori!B256=0,"",Giocatori!B256)</f>
        <v>INGLESE</v>
      </c>
      <c r="L267" s="230" t="str">
        <f>IF(Giocatori!A256=0,"",Giocatori!A256)</f>
        <v>A</v>
      </c>
      <c r="M267" s="230" t="str">
        <f>IF(Giocatori!C256=0,"",Giocatori!C256)</f>
        <v>Chievo</v>
      </c>
      <c r="N267" s="69" t="str">
        <f t="shared" si="63"/>
        <v/>
      </c>
      <c r="O267" t="str">
        <f t="shared" si="64"/>
        <v>INGLESE</v>
      </c>
      <c r="P267" s="7">
        <f t="shared" ca="1" si="72"/>
        <v>267</v>
      </c>
      <c r="Q267" s="7" t="str">
        <f t="shared" ca="1" si="65"/>
        <v>INGLESE</v>
      </c>
      <c r="Z267" s="256"/>
      <c r="AA267" s="219"/>
      <c r="AB267" s="293" t="str">
        <f t="shared" si="66"/>
        <v/>
      </c>
      <c r="AC267" s="294" t="str">
        <f t="shared" si="67"/>
        <v/>
      </c>
      <c r="AD267" s="219"/>
      <c r="AE267" s="219"/>
      <c r="AF267" s="293" t="str">
        <f>IF(AA267="","",VLOOKUP(AA267,Asta!$B:$H,7,FALSE))</f>
        <v/>
      </c>
      <c r="AG267" s="294" t="str">
        <f t="shared" si="68"/>
        <v/>
      </c>
      <c r="AH267" t="str">
        <f t="shared" si="69"/>
        <v/>
      </c>
      <c r="AI267" s="254" t="str">
        <f t="shared" ca="1" si="73"/>
        <v>248</v>
      </c>
      <c r="AJ267" s="254" t="str">
        <f t="shared" ca="1" si="74"/>
        <v>248</v>
      </c>
      <c r="AK267" s="351"/>
    </row>
    <row r="268" spans="1:37">
      <c r="A268" s="74">
        <v>249</v>
      </c>
      <c r="B268" s="252"/>
      <c r="C268" s="293" t="str">
        <f t="shared" si="75"/>
        <v/>
      </c>
      <c r="D268" s="294" t="str">
        <f t="shared" si="76"/>
        <v/>
      </c>
      <c r="E268" s="287"/>
      <c r="F268" s="293" t="str">
        <f t="shared" si="61"/>
        <v/>
      </c>
      <c r="G268" s="294" t="str">
        <f t="shared" si="62"/>
        <v/>
      </c>
      <c r="H268" s="290"/>
      <c r="I268" s="254" t="str">
        <f t="shared" ca="1" si="70"/>
        <v>1</v>
      </c>
      <c r="J268" s="254" t="str">
        <f t="shared" ca="1" si="71"/>
        <v>1</v>
      </c>
      <c r="K268" s="230" t="str">
        <f>IF(Giocatori!B257=0,"",Giocatori!B257)</f>
        <v>INSIGNE</v>
      </c>
      <c r="L268" s="230" t="str">
        <f>IF(Giocatori!A257=0,"",Giocatori!A257)</f>
        <v>A</v>
      </c>
      <c r="M268" s="230" t="str">
        <f>IF(Giocatori!C257=0,"",Giocatori!C257)</f>
        <v>Napoli</v>
      </c>
      <c r="N268" s="69" t="str">
        <f t="shared" si="63"/>
        <v/>
      </c>
      <c r="O268" t="str">
        <f t="shared" si="64"/>
        <v>INSIGNE</v>
      </c>
      <c r="P268" s="7">
        <f t="shared" ca="1" si="72"/>
        <v>268</v>
      </c>
      <c r="Q268" s="7" t="str">
        <f t="shared" ca="1" si="65"/>
        <v>INSIGNE</v>
      </c>
      <c r="Z268" s="256"/>
      <c r="AA268" s="219"/>
      <c r="AB268" s="293" t="str">
        <f t="shared" si="66"/>
        <v/>
      </c>
      <c r="AC268" s="294" t="str">
        <f t="shared" si="67"/>
        <v/>
      </c>
      <c r="AD268" s="219"/>
      <c r="AE268" s="219"/>
      <c r="AF268" s="293" t="str">
        <f>IF(AA268="","",VLOOKUP(AA268,Asta!$B:$H,7,FALSE))</f>
        <v/>
      </c>
      <c r="AG268" s="294" t="str">
        <f t="shared" si="68"/>
        <v/>
      </c>
      <c r="AH268" t="str">
        <f t="shared" si="69"/>
        <v/>
      </c>
      <c r="AI268" s="254" t="str">
        <f t="shared" ca="1" si="73"/>
        <v>249</v>
      </c>
      <c r="AJ268" s="254" t="str">
        <f t="shared" ca="1" si="74"/>
        <v>249</v>
      </c>
      <c r="AK268" s="351"/>
    </row>
    <row r="269" spans="1:37">
      <c r="A269" s="74">
        <v>250</v>
      </c>
      <c r="B269" s="252"/>
      <c r="C269" s="293" t="str">
        <f t="shared" si="75"/>
        <v/>
      </c>
      <c r="D269" s="294" t="str">
        <f t="shared" si="76"/>
        <v/>
      </c>
      <c r="E269" s="287"/>
      <c r="F269" s="293" t="str">
        <f t="shared" si="61"/>
        <v/>
      </c>
      <c r="G269" s="294" t="str">
        <f t="shared" si="62"/>
        <v/>
      </c>
      <c r="H269" s="290"/>
      <c r="I269" s="254" t="str">
        <f t="shared" ca="1" si="70"/>
        <v>1</v>
      </c>
      <c r="J269" s="254" t="str">
        <f t="shared" ca="1" si="71"/>
        <v>1</v>
      </c>
      <c r="K269" s="230" t="str">
        <f>IF(Giocatori!B258=0,"",Giocatori!B258)</f>
        <v>IONITA</v>
      </c>
      <c r="L269" s="230" t="str">
        <f>IF(Giocatori!A258=0,"",Giocatori!A258)</f>
        <v>C</v>
      </c>
      <c r="M269" s="230" t="str">
        <f>IF(Giocatori!C258=0,"",Giocatori!C258)</f>
        <v>Cagliari</v>
      </c>
      <c r="N269" s="69" t="str">
        <f t="shared" si="63"/>
        <v/>
      </c>
      <c r="O269" t="str">
        <f t="shared" si="64"/>
        <v>IONITA</v>
      </c>
      <c r="P269" s="7">
        <f t="shared" ca="1" si="72"/>
        <v>269</v>
      </c>
      <c r="Q269" s="7" t="str">
        <f t="shared" ca="1" si="65"/>
        <v>IONITA</v>
      </c>
      <c r="Z269" s="256"/>
      <c r="AA269" s="219"/>
      <c r="AB269" s="293" t="str">
        <f t="shared" si="66"/>
        <v/>
      </c>
      <c r="AC269" s="294" t="str">
        <f t="shared" si="67"/>
        <v/>
      </c>
      <c r="AD269" s="219"/>
      <c r="AE269" s="219"/>
      <c r="AF269" s="293" t="str">
        <f>IF(AA269="","",VLOOKUP(AA269,Asta!$B:$H,7,FALSE))</f>
        <v/>
      </c>
      <c r="AG269" s="294" t="str">
        <f t="shared" si="68"/>
        <v/>
      </c>
      <c r="AH269" t="str">
        <f t="shared" si="69"/>
        <v/>
      </c>
      <c r="AI269" s="254" t="str">
        <f t="shared" ca="1" si="73"/>
        <v>250</v>
      </c>
      <c r="AJ269" s="254" t="str">
        <f t="shared" ca="1" si="74"/>
        <v>250</v>
      </c>
      <c r="AK269" s="351"/>
    </row>
    <row r="270" spans="1:37">
      <c r="A270" s="74">
        <v>251</v>
      </c>
      <c r="B270" s="252"/>
      <c r="C270" s="293" t="str">
        <f t="shared" si="75"/>
        <v/>
      </c>
      <c r="D270" s="294" t="str">
        <f t="shared" si="76"/>
        <v/>
      </c>
      <c r="E270" s="287"/>
      <c r="F270" s="293" t="str">
        <f t="shared" si="61"/>
        <v/>
      </c>
      <c r="G270" s="294" t="str">
        <f t="shared" si="62"/>
        <v/>
      </c>
      <c r="H270" s="290"/>
      <c r="I270" s="254" t="str">
        <f t="shared" ca="1" si="70"/>
        <v>1</v>
      </c>
      <c r="J270" s="254" t="str">
        <f t="shared" ca="1" si="71"/>
        <v>1</v>
      </c>
      <c r="K270" s="230" t="str">
        <f>IF(Giocatori!B259=0,"",Giocatori!B259)</f>
        <v>IZCO</v>
      </c>
      <c r="L270" s="230" t="str">
        <f>IF(Giocatori!A259=0,"",Giocatori!A259)</f>
        <v>C</v>
      </c>
      <c r="M270" s="230" t="str">
        <f>IF(Giocatori!C259=0,"",Giocatori!C259)</f>
        <v>Crotone</v>
      </c>
      <c r="N270" s="69" t="str">
        <f t="shared" si="63"/>
        <v/>
      </c>
      <c r="O270" t="str">
        <f t="shared" si="64"/>
        <v>IZCO</v>
      </c>
      <c r="P270" s="7">
        <f t="shared" ca="1" si="72"/>
        <v>270</v>
      </c>
      <c r="Q270" s="7" t="str">
        <f t="shared" ca="1" si="65"/>
        <v>IZCO</v>
      </c>
      <c r="Z270" s="256"/>
      <c r="AA270" s="219"/>
      <c r="AB270" s="293" t="str">
        <f t="shared" si="66"/>
        <v/>
      </c>
      <c r="AC270" s="294" t="str">
        <f t="shared" si="67"/>
        <v/>
      </c>
      <c r="AD270" s="219"/>
      <c r="AE270" s="219"/>
      <c r="AF270" s="293" t="str">
        <f>IF(AA270="","",VLOOKUP(AA270,Asta!$B:$H,7,FALSE))</f>
        <v/>
      </c>
      <c r="AG270" s="294" t="str">
        <f t="shared" si="68"/>
        <v/>
      </c>
      <c r="AH270" t="str">
        <f t="shared" si="69"/>
        <v/>
      </c>
      <c r="AI270" s="254" t="str">
        <f t="shared" ca="1" si="73"/>
        <v>251</v>
      </c>
      <c r="AJ270" s="254" t="str">
        <f t="shared" ca="1" si="74"/>
        <v>251</v>
      </c>
      <c r="AK270" s="351"/>
    </row>
    <row r="271" spans="1:37">
      <c r="A271" s="74">
        <v>252</v>
      </c>
      <c r="B271" s="252"/>
      <c r="C271" s="293" t="str">
        <f t="shared" si="75"/>
        <v/>
      </c>
      <c r="D271" s="294" t="str">
        <f t="shared" si="76"/>
        <v/>
      </c>
      <c r="E271" s="287"/>
      <c r="F271" s="293" t="str">
        <f t="shared" si="61"/>
        <v/>
      </c>
      <c r="G271" s="294" t="str">
        <f t="shared" si="62"/>
        <v/>
      </c>
      <c r="H271" s="290"/>
      <c r="I271" s="254" t="str">
        <f t="shared" ca="1" si="70"/>
        <v>1</v>
      </c>
      <c r="J271" s="254" t="str">
        <f t="shared" ca="1" si="71"/>
        <v>1</v>
      </c>
      <c r="K271" s="230" t="str">
        <f>IF(Giocatori!B260=0,"",Giocatori!B260)</f>
        <v>IZZO</v>
      </c>
      <c r="L271" s="230" t="str">
        <f>IF(Giocatori!A260=0,"",Giocatori!A260)</f>
        <v>D</v>
      </c>
      <c r="M271" s="230" t="str">
        <f>IF(Giocatori!C260=0,"",Giocatori!C260)</f>
        <v>Genoa</v>
      </c>
      <c r="N271" s="69" t="str">
        <f t="shared" si="63"/>
        <v/>
      </c>
      <c r="O271" t="str">
        <f t="shared" si="64"/>
        <v>IZZO</v>
      </c>
      <c r="P271" s="7">
        <f t="shared" ca="1" si="72"/>
        <v>271</v>
      </c>
      <c r="Q271" s="7" t="str">
        <f t="shared" ca="1" si="65"/>
        <v>IZZO</v>
      </c>
      <c r="Z271" s="256"/>
      <c r="AA271" s="219"/>
      <c r="AB271" s="293" t="str">
        <f t="shared" si="66"/>
        <v/>
      </c>
      <c r="AC271" s="294" t="str">
        <f t="shared" si="67"/>
        <v/>
      </c>
      <c r="AD271" s="219"/>
      <c r="AE271" s="219"/>
      <c r="AF271" s="293" t="str">
        <f>IF(AA271="","",VLOOKUP(AA271,Asta!$B:$H,7,FALSE))</f>
        <v/>
      </c>
      <c r="AG271" s="294" t="str">
        <f t="shared" si="68"/>
        <v/>
      </c>
      <c r="AH271" t="str">
        <f t="shared" si="69"/>
        <v/>
      </c>
      <c r="AI271" s="254" t="str">
        <f t="shared" ca="1" si="73"/>
        <v>252</v>
      </c>
      <c r="AJ271" s="254" t="str">
        <f t="shared" ca="1" si="74"/>
        <v>252</v>
      </c>
      <c r="AK271" s="351"/>
    </row>
    <row r="272" spans="1:37">
      <c r="A272" s="74">
        <v>253</v>
      </c>
      <c r="B272" s="252"/>
      <c r="C272" s="293" t="str">
        <f t="shared" si="75"/>
        <v/>
      </c>
      <c r="D272" s="294" t="str">
        <f t="shared" si="76"/>
        <v/>
      </c>
      <c r="E272" s="287"/>
      <c r="F272" s="293" t="str">
        <f t="shared" si="61"/>
        <v/>
      </c>
      <c r="G272" s="294" t="str">
        <f t="shared" si="62"/>
        <v/>
      </c>
      <c r="H272" s="290"/>
      <c r="I272" s="254" t="str">
        <f t="shared" ca="1" si="70"/>
        <v>1</v>
      </c>
      <c r="J272" s="254" t="str">
        <f t="shared" ca="1" si="71"/>
        <v>1</v>
      </c>
      <c r="K272" s="230" t="str">
        <f>IF(Giocatori!B261=0,"",Giocatori!B261)</f>
        <v>JANKTO</v>
      </c>
      <c r="L272" s="230" t="str">
        <f>IF(Giocatori!A261=0,"",Giocatori!A261)</f>
        <v>C</v>
      </c>
      <c r="M272" s="230" t="str">
        <f>IF(Giocatori!C261=0,"",Giocatori!C261)</f>
        <v>Udinese</v>
      </c>
      <c r="N272" s="69" t="str">
        <f t="shared" si="63"/>
        <v/>
      </c>
      <c r="O272" t="str">
        <f t="shared" si="64"/>
        <v>JANKTO</v>
      </c>
      <c r="P272" s="7">
        <f t="shared" ca="1" si="72"/>
        <v>272</v>
      </c>
      <c r="Q272" s="7" t="str">
        <f t="shared" ca="1" si="65"/>
        <v>JANKTO</v>
      </c>
      <c r="Z272" s="256"/>
      <c r="AA272" s="219"/>
      <c r="AB272" s="293" t="str">
        <f t="shared" si="66"/>
        <v/>
      </c>
      <c r="AC272" s="294" t="str">
        <f t="shared" si="67"/>
        <v/>
      </c>
      <c r="AD272" s="219"/>
      <c r="AE272" s="219"/>
      <c r="AF272" s="293" t="str">
        <f>IF(AA272="","",VLOOKUP(AA272,Asta!$B:$H,7,FALSE))</f>
        <v/>
      </c>
      <c r="AG272" s="294" t="str">
        <f t="shared" si="68"/>
        <v/>
      </c>
      <c r="AH272" t="str">
        <f t="shared" si="69"/>
        <v/>
      </c>
      <c r="AI272" s="254" t="str">
        <f t="shared" ca="1" si="73"/>
        <v>253</v>
      </c>
      <c r="AJ272" s="254" t="str">
        <f t="shared" ca="1" si="74"/>
        <v>253</v>
      </c>
      <c r="AK272" s="351"/>
    </row>
    <row r="273" spans="1:37">
      <c r="A273" s="74">
        <v>254</v>
      </c>
      <c r="B273" s="252"/>
      <c r="C273" s="293" t="str">
        <f t="shared" si="75"/>
        <v/>
      </c>
      <c r="D273" s="294" t="str">
        <f t="shared" si="76"/>
        <v/>
      </c>
      <c r="E273" s="287"/>
      <c r="F273" s="293" t="str">
        <f t="shared" si="61"/>
        <v/>
      </c>
      <c r="G273" s="294" t="str">
        <f t="shared" si="62"/>
        <v/>
      </c>
      <c r="H273" s="290"/>
      <c r="I273" s="254" t="str">
        <f t="shared" ca="1" si="70"/>
        <v>1</v>
      </c>
      <c r="J273" s="254" t="str">
        <f t="shared" ca="1" si="71"/>
        <v>1</v>
      </c>
      <c r="K273" s="230" t="str">
        <f>IF(Giocatori!B262=0,"",Giocatori!B262)</f>
        <v>JAROSZYNSKI</v>
      </c>
      <c r="L273" s="230" t="str">
        <f>IF(Giocatori!A262=0,"",Giocatori!A262)</f>
        <v>D</v>
      </c>
      <c r="M273" s="230" t="str">
        <f>IF(Giocatori!C262=0,"",Giocatori!C262)</f>
        <v>Chievo</v>
      </c>
      <c r="N273" s="69" t="str">
        <f t="shared" si="63"/>
        <v/>
      </c>
      <c r="O273" t="str">
        <f t="shared" si="64"/>
        <v>JAROSZYNSKI</v>
      </c>
      <c r="P273" s="7">
        <f t="shared" ca="1" si="72"/>
        <v>273</v>
      </c>
      <c r="Q273" s="7" t="str">
        <f t="shared" ca="1" si="65"/>
        <v>JAROSZYNSKI</v>
      </c>
      <c r="Z273" s="256"/>
      <c r="AA273" s="219"/>
      <c r="AB273" s="293" t="str">
        <f t="shared" si="66"/>
        <v/>
      </c>
      <c r="AC273" s="294" t="str">
        <f t="shared" si="67"/>
        <v/>
      </c>
      <c r="AD273" s="219"/>
      <c r="AE273" s="219"/>
      <c r="AF273" s="293" t="str">
        <f>IF(AA273="","",VLOOKUP(AA273,Asta!$B:$H,7,FALSE))</f>
        <v/>
      </c>
      <c r="AG273" s="294" t="str">
        <f t="shared" si="68"/>
        <v/>
      </c>
      <c r="AH273" t="str">
        <f t="shared" si="69"/>
        <v/>
      </c>
      <c r="AI273" s="254" t="str">
        <f t="shared" ca="1" si="73"/>
        <v>254</v>
      </c>
      <c r="AJ273" s="254" t="str">
        <f t="shared" ca="1" si="74"/>
        <v>254</v>
      </c>
      <c r="AK273" s="351"/>
    </row>
    <row r="274" spans="1:37">
      <c r="A274" s="74">
        <v>255</v>
      </c>
      <c r="B274" s="252"/>
      <c r="C274" s="293" t="str">
        <f t="shared" si="75"/>
        <v/>
      </c>
      <c r="D274" s="294" t="str">
        <f t="shared" si="76"/>
        <v/>
      </c>
      <c r="E274" s="287"/>
      <c r="F274" s="293" t="str">
        <f t="shared" si="61"/>
        <v/>
      </c>
      <c r="G274" s="294" t="str">
        <f t="shared" si="62"/>
        <v/>
      </c>
      <c r="H274" s="290"/>
      <c r="I274" s="254" t="str">
        <f t="shared" ca="1" si="70"/>
        <v>1</v>
      </c>
      <c r="J274" s="254" t="str">
        <f t="shared" ca="1" si="71"/>
        <v>1</v>
      </c>
      <c r="K274" s="230" t="str">
        <f>IF(Giocatori!B263=0,"",Giocatori!B263)</f>
        <v>JOAO MARIO</v>
      </c>
      <c r="L274" s="230" t="str">
        <f>IF(Giocatori!A263=0,"",Giocatori!A263)</f>
        <v>C</v>
      </c>
      <c r="M274" s="230" t="str">
        <f>IF(Giocatori!C263=0,"",Giocatori!C263)</f>
        <v>Inter</v>
      </c>
      <c r="N274" s="69" t="str">
        <f t="shared" si="63"/>
        <v/>
      </c>
      <c r="O274" t="str">
        <f t="shared" si="64"/>
        <v>JOAO MARIO</v>
      </c>
      <c r="P274" s="7">
        <f t="shared" ca="1" si="72"/>
        <v>274</v>
      </c>
      <c r="Q274" s="7" t="str">
        <f t="shared" ca="1" si="65"/>
        <v>JOAO MARIO</v>
      </c>
      <c r="Z274" s="256"/>
      <c r="AA274" s="219"/>
      <c r="AB274" s="293" t="str">
        <f t="shared" si="66"/>
        <v/>
      </c>
      <c r="AC274" s="294" t="str">
        <f t="shared" si="67"/>
        <v/>
      </c>
      <c r="AD274" s="219"/>
      <c r="AE274" s="219"/>
      <c r="AF274" s="293" t="str">
        <f>IF(AA274="","",VLOOKUP(AA274,Asta!$B:$H,7,FALSE))</f>
        <v/>
      </c>
      <c r="AG274" s="294" t="str">
        <f t="shared" si="68"/>
        <v/>
      </c>
      <c r="AH274" t="str">
        <f t="shared" si="69"/>
        <v/>
      </c>
      <c r="AI274" s="254" t="str">
        <f t="shared" ca="1" si="73"/>
        <v>255</v>
      </c>
      <c r="AJ274" s="254" t="str">
        <f t="shared" ca="1" si="74"/>
        <v>255</v>
      </c>
      <c r="AK274" s="351"/>
    </row>
    <row r="275" spans="1:37">
      <c r="A275" s="74">
        <v>256</v>
      </c>
      <c r="B275" s="252"/>
      <c r="C275" s="293" t="str">
        <f t="shared" si="75"/>
        <v/>
      </c>
      <c r="D275" s="294" t="str">
        <f t="shared" si="76"/>
        <v/>
      </c>
      <c r="E275" s="287"/>
      <c r="F275" s="293" t="str">
        <f t="shared" si="61"/>
        <v/>
      </c>
      <c r="G275" s="294" t="str">
        <f t="shared" si="62"/>
        <v/>
      </c>
      <c r="H275" s="290"/>
      <c r="I275" s="254" t="str">
        <f t="shared" ca="1" si="70"/>
        <v>1</v>
      </c>
      <c r="J275" s="254" t="str">
        <f t="shared" ca="1" si="71"/>
        <v>1</v>
      </c>
      <c r="K275" s="230" t="str">
        <f>IF(Giocatori!B264=0,"",Giocatori!B264)</f>
        <v>JOAO PEDRO</v>
      </c>
      <c r="L275" s="230" t="str">
        <f>IF(Giocatori!A264=0,"",Giocatori!A264)</f>
        <v>C</v>
      </c>
      <c r="M275" s="230" t="str">
        <f>IF(Giocatori!C264=0,"",Giocatori!C264)</f>
        <v>Cagliari</v>
      </c>
      <c r="N275" s="69" t="str">
        <f t="shared" si="63"/>
        <v/>
      </c>
      <c r="O275" t="str">
        <f t="shared" si="64"/>
        <v>JOAO PEDRO</v>
      </c>
      <c r="P275" s="7">
        <f t="shared" ca="1" si="72"/>
        <v>275</v>
      </c>
      <c r="Q275" s="7" t="str">
        <f t="shared" ca="1" si="65"/>
        <v>JOAO PEDRO</v>
      </c>
      <c r="Z275" s="256"/>
      <c r="AA275" s="219"/>
      <c r="AB275" s="293" t="str">
        <f t="shared" si="66"/>
        <v/>
      </c>
      <c r="AC275" s="294" t="str">
        <f t="shared" si="67"/>
        <v/>
      </c>
      <c r="AD275" s="219"/>
      <c r="AE275" s="219"/>
      <c r="AF275" s="293" t="str">
        <f>IF(AA275="","",VLOOKUP(AA275,Asta!$B:$H,7,FALSE))</f>
        <v/>
      </c>
      <c r="AG275" s="294" t="str">
        <f t="shared" si="68"/>
        <v/>
      </c>
      <c r="AH275" t="str">
        <f t="shared" si="69"/>
        <v/>
      </c>
      <c r="AI275" s="254" t="str">
        <f t="shared" ca="1" si="73"/>
        <v>256</v>
      </c>
      <c r="AJ275" s="254" t="str">
        <f t="shared" ca="1" si="74"/>
        <v>256</v>
      </c>
      <c r="AK275" s="351"/>
    </row>
    <row r="276" spans="1:37">
      <c r="A276" s="74">
        <v>257</v>
      </c>
      <c r="B276" s="252"/>
      <c r="C276" s="293" t="str">
        <f t="shared" si="75"/>
        <v/>
      </c>
      <c r="D276" s="294" t="str">
        <f t="shared" si="76"/>
        <v/>
      </c>
      <c r="E276" s="287"/>
      <c r="F276" s="293" t="str">
        <f t="shared" ref="F276:F339" si="77">IF(B276="","",IF(ISNA(VLOOKUP(B276,$AA$20:$AE$807,5,FALSE)),"",VLOOKUP(B276,$AA$20:$AE$807,5,FALSE)))</f>
        <v/>
      </c>
      <c r="G276" s="294" t="str">
        <f t="shared" ref="G276:G339" si="78">IF(B276="","",IF(F276="",IF(E276="","",E276),F276))</f>
        <v/>
      </c>
      <c r="H276" s="290"/>
      <c r="I276" s="254" t="str">
        <f t="shared" ca="1" si="70"/>
        <v>1</v>
      </c>
      <c r="J276" s="254" t="str">
        <f t="shared" ca="1" si="71"/>
        <v>1</v>
      </c>
      <c r="K276" s="230" t="str">
        <f>IF(Giocatori!B265=0,"",Giocatori!B265)</f>
        <v>JOAO SCHMIDT</v>
      </c>
      <c r="L276" s="230" t="str">
        <f>IF(Giocatori!A265=0,"",Giocatori!A265)</f>
        <v>C</v>
      </c>
      <c r="M276" s="230" t="str">
        <f>IF(Giocatori!C265=0,"",Giocatori!C265)</f>
        <v>Atalanta</v>
      </c>
      <c r="N276" s="69" t="str">
        <f t="shared" ref="N276:N339" si="79">IF(B276=0,"",B276)</f>
        <v/>
      </c>
      <c r="O276" t="str">
        <f t="shared" ref="O276:O339" si="80">IF(ISNA(VLOOKUP(K276,$N$20:$N$720,1,FALSE)),K276,"")</f>
        <v>JOAO SCHMIDT</v>
      </c>
      <c r="P276" s="7">
        <f t="shared" ca="1" si="72"/>
        <v>276</v>
      </c>
      <c r="Q276" s="7" t="str">
        <f t="shared" ref="Q276:Q339" ca="1" si="81">IF(ISERROR(INDEX($O$6:$O$720,MATCH(ROW(),$P$6:$P$720,FALSE))),"",INDEX($O$6:$O$720,MATCH(ROW(),$P$6:$P$720,FALSE)))</f>
        <v>JOAO SCHMIDT</v>
      </c>
      <c r="Z276" s="256"/>
      <c r="AA276" s="219"/>
      <c r="AB276" s="293" t="str">
        <f t="shared" ref="AB276:AB339" si="82">IF(AA276&lt;&gt;"",VLOOKUP(AA276,$K:$M,2,FALSE),"")</f>
        <v/>
      </c>
      <c r="AC276" s="294" t="str">
        <f t="shared" ref="AC276:AC339" si="83">IF(AA276&lt;&gt;"",VLOOKUP(AA276,$K:$M,3,FALSE),"")</f>
        <v/>
      </c>
      <c r="AD276" s="219"/>
      <c r="AE276" s="219"/>
      <c r="AF276" s="293" t="str">
        <f>IF(AA276="","",VLOOKUP(AA276,Asta!$B:$H,7,FALSE))</f>
        <v/>
      </c>
      <c r="AG276" s="294" t="str">
        <f t="shared" ref="AG276:AG339" si="84">IF(AD276="","",IF(AD276=$Y$20,-AF276,IF(AD276=$Y$21,AF276)))</f>
        <v/>
      </c>
      <c r="AH276" t="str">
        <f t="shared" ref="AH276:AH339" si="85">IF(AG276="","",-AG276)</f>
        <v/>
      </c>
      <c r="AI276" s="254" t="str">
        <f t="shared" ca="1" si="73"/>
        <v>257</v>
      </c>
      <c r="AJ276" s="254" t="str">
        <f t="shared" ca="1" si="74"/>
        <v>257</v>
      </c>
      <c r="AK276" s="351"/>
    </row>
    <row r="277" spans="1:37">
      <c r="A277" s="74">
        <v>258</v>
      </c>
      <c r="B277" s="252"/>
      <c r="C277" s="293" t="str">
        <f t="shared" si="75"/>
        <v/>
      </c>
      <c r="D277" s="294" t="str">
        <f t="shared" si="76"/>
        <v/>
      </c>
      <c r="E277" s="287"/>
      <c r="F277" s="293" t="str">
        <f t="shared" si="77"/>
        <v/>
      </c>
      <c r="G277" s="294" t="str">
        <f t="shared" si="78"/>
        <v/>
      </c>
      <c r="H277" s="290"/>
      <c r="I277" s="254" t="str">
        <f t="shared" ref="I277:I340" ca="1" si="86">G277&amp;C277&amp;COUNTIFS(INDIRECT("$C$19:$C$" &amp; ROW()-1),"="&amp;C277,INDIRECT("$G$19:$G$" &amp; ROW()-1),"="&amp;G277)+1</f>
        <v>1</v>
      </c>
      <c r="J277" s="254" t="str">
        <f t="shared" ref="J277:J340" ca="1" si="87">G277&amp;COUNTIFS(INDIRECT("$G$19:$G$" &amp; ROW()-1),"="&amp;G277)+1</f>
        <v>1</v>
      </c>
      <c r="K277" s="230" t="str">
        <f>IF(Giocatori!B266=0,"",Giocatori!B266)</f>
        <v>JORGINHO</v>
      </c>
      <c r="L277" s="230" t="str">
        <f>IF(Giocatori!A266=0,"",Giocatori!A266)</f>
        <v>C</v>
      </c>
      <c r="M277" s="230" t="str">
        <f>IF(Giocatori!C266=0,"",Giocatori!C266)</f>
        <v>Napoli</v>
      </c>
      <c r="N277" s="69" t="str">
        <f t="shared" si="79"/>
        <v/>
      </c>
      <c r="O277" t="str">
        <f t="shared" si="80"/>
        <v>JORGINHO</v>
      </c>
      <c r="P277" s="7">
        <f t="shared" ref="P277:P340" ca="1" si="88">ROW()-COUNTBLANK(INDIRECT("$O$20:O"&amp;ROW()))</f>
        <v>277</v>
      </c>
      <c r="Q277" s="7" t="str">
        <f t="shared" ca="1" si="81"/>
        <v>JORGINHO</v>
      </c>
      <c r="Z277" s="256"/>
      <c r="AA277" s="219"/>
      <c r="AB277" s="293" t="str">
        <f t="shared" si="82"/>
        <v/>
      </c>
      <c r="AC277" s="294" t="str">
        <f t="shared" si="83"/>
        <v/>
      </c>
      <c r="AD277" s="219"/>
      <c r="AE277" s="219"/>
      <c r="AF277" s="293" t="str">
        <f>IF(AA277="","",VLOOKUP(AA277,Asta!$B:$H,7,FALSE))</f>
        <v/>
      </c>
      <c r="AG277" s="294" t="str">
        <f t="shared" si="84"/>
        <v/>
      </c>
      <c r="AH277" t="str">
        <f t="shared" si="85"/>
        <v/>
      </c>
      <c r="AI277" s="254" t="str">
        <f t="shared" ref="AI277:AI340" ca="1" si="89">Z277&amp;COUNTIFS(INDIRECT("$Z$20:$Z$" &amp; ROW()-1),"="&amp;Z277)+1</f>
        <v>258</v>
      </c>
      <c r="AJ277" s="254" t="str">
        <f t="shared" ref="AJ277:AJ340" ca="1" si="90">AE277&amp;COUNTIFS(INDIRECT("$AE$20:$AE$" &amp; ROW()-1),"="&amp;AE277)+1</f>
        <v>258</v>
      </c>
      <c r="AK277" s="351"/>
    </row>
    <row r="278" spans="1:37">
      <c r="A278" s="74">
        <v>259</v>
      </c>
      <c r="B278" s="252"/>
      <c r="C278" s="293" t="str">
        <f t="shared" si="75"/>
        <v/>
      </c>
      <c r="D278" s="294" t="str">
        <f t="shared" si="76"/>
        <v/>
      </c>
      <c r="E278" s="287"/>
      <c r="F278" s="293" t="str">
        <f t="shared" si="77"/>
        <v/>
      </c>
      <c r="G278" s="294" t="str">
        <f t="shared" si="78"/>
        <v/>
      </c>
      <c r="H278" s="290"/>
      <c r="I278" s="254" t="str">
        <f t="shared" ca="1" si="86"/>
        <v>1</v>
      </c>
      <c r="J278" s="254" t="str">
        <f t="shared" ca="1" si="87"/>
        <v>1</v>
      </c>
      <c r="K278" s="230" t="str">
        <f>IF(Giocatori!B267=0,"",Giocatori!B267)</f>
        <v>JOSE' SOSA</v>
      </c>
      <c r="L278" s="230" t="str">
        <f>IF(Giocatori!A267=0,"",Giocatori!A267)</f>
        <v>C</v>
      </c>
      <c r="M278" s="230" t="str">
        <f>IF(Giocatori!C267=0,"",Giocatori!C267)</f>
        <v>Milan</v>
      </c>
      <c r="N278" s="69" t="str">
        <f t="shared" si="79"/>
        <v/>
      </c>
      <c r="O278" t="str">
        <f t="shared" si="80"/>
        <v>JOSE' SOSA</v>
      </c>
      <c r="P278" s="7">
        <f t="shared" ca="1" si="88"/>
        <v>278</v>
      </c>
      <c r="Q278" s="7" t="str">
        <f t="shared" ca="1" si="81"/>
        <v>JOSE' SOSA</v>
      </c>
      <c r="Z278" s="256"/>
      <c r="AA278" s="219"/>
      <c r="AB278" s="293" t="str">
        <f t="shared" si="82"/>
        <v/>
      </c>
      <c r="AC278" s="294" t="str">
        <f t="shared" si="83"/>
        <v/>
      </c>
      <c r="AD278" s="219"/>
      <c r="AE278" s="219"/>
      <c r="AF278" s="293" t="str">
        <f>IF(AA278="","",VLOOKUP(AA278,Asta!$B:$H,7,FALSE))</f>
        <v/>
      </c>
      <c r="AG278" s="294" t="str">
        <f t="shared" si="84"/>
        <v/>
      </c>
      <c r="AH278" t="str">
        <f t="shared" si="85"/>
        <v/>
      </c>
      <c r="AI278" s="254" t="str">
        <f t="shared" ca="1" si="89"/>
        <v>259</v>
      </c>
      <c r="AJ278" s="254" t="str">
        <f t="shared" ca="1" si="90"/>
        <v>259</v>
      </c>
      <c r="AK278" s="351"/>
    </row>
    <row r="279" spans="1:37">
      <c r="A279" s="74">
        <v>260</v>
      </c>
      <c r="B279" s="252"/>
      <c r="C279" s="293" t="str">
        <f t="shared" si="75"/>
        <v/>
      </c>
      <c r="D279" s="294" t="str">
        <f t="shared" si="76"/>
        <v/>
      </c>
      <c r="E279" s="287"/>
      <c r="F279" s="293" t="str">
        <f t="shared" si="77"/>
        <v/>
      </c>
      <c r="G279" s="294" t="str">
        <f t="shared" si="78"/>
        <v/>
      </c>
      <c r="H279" s="290"/>
      <c r="I279" s="254" t="str">
        <f t="shared" ca="1" si="86"/>
        <v>1</v>
      </c>
      <c r="J279" s="254" t="str">
        <f t="shared" ca="1" si="87"/>
        <v>1</v>
      </c>
      <c r="K279" s="230" t="str">
        <f>IF(Giocatori!B268=0,"",Giocatori!B268)</f>
        <v>JUAN JESUS</v>
      </c>
      <c r="L279" s="230" t="str">
        <f>IF(Giocatori!A268=0,"",Giocatori!A268)</f>
        <v>D</v>
      </c>
      <c r="M279" s="230" t="str">
        <f>IF(Giocatori!C268=0,"",Giocatori!C268)</f>
        <v>Roma</v>
      </c>
      <c r="N279" s="69" t="str">
        <f t="shared" si="79"/>
        <v/>
      </c>
      <c r="O279" t="str">
        <f t="shared" si="80"/>
        <v>JUAN JESUS</v>
      </c>
      <c r="P279" s="7">
        <f t="shared" ca="1" si="88"/>
        <v>279</v>
      </c>
      <c r="Q279" s="7" t="str">
        <f t="shared" ca="1" si="81"/>
        <v>JUAN JESUS</v>
      </c>
      <c r="Z279" s="256"/>
      <c r="AA279" s="219"/>
      <c r="AB279" s="293" t="str">
        <f t="shared" si="82"/>
        <v/>
      </c>
      <c r="AC279" s="294" t="str">
        <f t="shared" si="83"/>
        <v/>
      </c>
      <c r="AD279" s="219"/>
      <c r="AE279" s="219"/>
      <c r="AF279" s="293" t="str">
        <f>IF(AA279="","",VLOOKUP(AA279,Asta!$B:$H,7,FALSE))</f>
        <v/>
      </c>
      <c r="AG279" s="294" t="str">
        <f t="shared" si="84"/>
        <v/>
      </c>
      <c r="AH279" t="str">
        <f t="shared" si="85"/>
        <v/>
      </c>
      <c r="AI279" s="254" t="str">
        <f t="shared" ca="1" si="89"/>
        <v>260</v>
      </c>
      <c r="AJ279" s="254" t="str">
        <f t="shared" ca="1" si="90"/>
        <v>260</v>
      </c>
      <c r="AK279" s="351"/>
    </row>
    <row r="280" spans="1:37">
      <c r="A280" s="74">
        <v>261</v>
      </c>
      <c r="B280" s="252"/>
      <c r="C280" s="293" t="str">
        <f t="shared" si="75"/>
        <v/>
      </c>
      <c r="D280" s="294" t="str">
        <f t="shared" si="76"/>
        <v/>
      </c>
      <c r="E280" s="287"/>
      <c r="F280" s="293" t="str">
        <f t="shared" si="77"/>
        <v/>
      </c>
      <c r="G280" s="294" t="str">
        <f t="shared" si="78"/>
        <v/>
      </c>
      <c r="H280" s="290"/>
      <c r="I280" s="254" t="str">
        <f t="shared" ca="1" si="86"/>
        <v>1</v>
      </c>
      <c r="J280" s="254" t="str">
        <f t="shared" ca="1" si="87"/>
        <v>1</v>
      </c>
      <c r="K280" s="230" t="str">
        <f>IF(Giocatori!B269=0,"",Giocatori!B269)</f>
        <v>KALINIC</v>
      </c>
      <c r="L280" s="230" t="str">
        <f>IF(Giocatori!A269=0,"",Giocatori!A269)</f>
        <v>A</v>
      </c>
      <c r="M280" s="230" t="str">
        <f>IF(Giocatori!C269=0,"",Giocatori!C269)</f>
        <v>Milan</v>
      </c>
      <c r="N280" s="69" t="str">
        <f t="shared" si="79"/>
        <v/>
      </c>
      <c r="O280" t="str">
        <f t="shared" si="80"/>
        <v>KALINIC</v>
      </c>
      <c r="P280" s="7">
        <f t="shared" ca="1" si="88"/>
        <v>280</v>
      </c>
      <c r="Q280" s="7" t="str">
        <f t="shared" ca="1" si="81"/>
        <v>KALINIC</v>
      </c>
      <c r="Z280" s="256"/>
      <c r="AA280" s="219"/>
      <c r="AB280" s="293" t="str">
        <f t="shared" si="82"/>
        <v/>
      </c>
      <c r="AC280" s="294" t="str">
        <f t="shared" si="83"/>
        <v/>
      </c>
      <c r="AD280" s="219"/>
      <c r="AE280" s="219"/>
      <c r="AF280" s="293" t="str">
        <f>IF(AA280="","",VLOOKUP(AA280,Asta!$B:$H,7,FALSE))</f>
        <v/>
      </c>
      <c r="AG280" s="294" t="str">
        <f t="shared" si="84"/>
        <v/>
      </c>
      <c r="AH280" t="str">
        <f t="shared" si="85"/>
        <v/>
      </c>
      <c r="AI280" s="254" t="str">
        <f t="shared" ca="1" si="89"/>
        <v>261</v>
      </c>
      <c r="AJ280" s="254" t="str">
        <f t="shared" ca="1" si="90"/>
        <v>261</v>
      </c>
      <c r="AK280" s="351"/>
    </row>
    <row r="281" spans="1:37">
      <c r="A281" s="74">
        <v>262</v>
      </c>
      <c r="B281" s="252"/>
      <c r="C281" s="293" t="str">
        <f t="shared" si="75"/>
        <v/>
      </c>
      <c r="D281" s="294" t="str">
        <f t="shared" si="76"/>
        <v/>
      </c>
      <c r="E281" s="287"/>
      <c r="F281" s="293" t="str">
        <f t="shared" si="77"/>
        <v/>
      </c>
      <c r="G281" s="294" t="str">
        <f t="shared" si="78"/>
        <v/>
      </c>
      <c r="H281" s="290"/>
      <c r="I281" s="254" t="str">
        <f t="shared" ca="1" si="86"/>
        <v>1</v>
      </c>
      <c r="J281" s="254" t="str">
        <f t="shared" ca="1" si="87"/>
        <v>1</v>
      </c>
      <c r="K281" s="230" t="str">
        <f>IF(Giocatori!B270=0,"",Giocatori!B270)</f>
        <v>KARAMOH</v>
      </c>
      <c r="L281" s="230" t="str">
        <f>IF(Giocatori!A270=0,"",Giocatori!A270)</f>
        <v>A</v>
      </c>
      <c r="M281" s="230" t="str">
        <f>IF(Giocatori!C270=0,"",Giocatori!C270)</f>
        <v>Inter</v>
      </c>
      <c r="N281" s="69" t="str">
        <f t="shared" si="79"/>
        <v/>
      </c>
      <c r="O281" t="str">
        <f t="shared" si="80"/>
        <v>KARAMOH</v>
      </c>
      <c r="P281" s="7">
        <f t="shared" ca="1" si="88"/>
        <v>281</v>
      </c>
      <c r="Q281" s="7" t="str">
        <f t="shared" ca="1" si="81"/>
        <v>KARAMOH</v>
      </c>
      <c r="Z281" s="256"/>
      <c r="AA281" s="219"/>
      <c r="AB281" s="293" t="str">
        <f t="shared" si="82"/>
        <v/>
      </c>
      <c r="AC281" s="294" t="str">
        <f t="shared" si="83"/>
        <v/>
      </c>
      <c r="AD281" s="219"/>
      <c r="AE281" s="219"/>
      <c r="AF281" s="293" t="str">
        <f>IF(AA281="","",VLOOKUP(AA281,Asta!$B:$H,7,FALSE))</f>
        <v/>
      </c>
      <c r="AG281" s="294" t="str">
        <f t="shared" si="84"/>
        <v/>
      </c>
      <c r="AH281" t="str">
        <f t="shared" si="85"/>
        <v/>
      </c>
      <c r="AI281" s="254" t="str">
        <f t="shared" ca="1" si="89"/>
        <v>262</v>
      </c>
      <c r="AJ281" s="254" t="str">
        <f t="shared" ca="1" si="90"/>
        <v>262</v>
      </c>
      <c r="AK281" s="351"/>
    </row>
    <row r="282" spans="1:37">
      <c r="A282" s="74">
        <v>263</v>
      </c>
      <c r="B282" s="252"/>
      <c r="C282" s="293" t="str">
        <f t="shared" si="75"/>
        <v/>
      </c>
      <c r="D282" s="294" t="str">
        <f t="shared" si="76"/>
        <v/>
      </c>
      <c r="E282" s="287"/>
      <c r="F282" s="293" t="str">
        <f t="shared" si="77"/>
        <v/>
      </c>
      <c r="G282" s="294" t="str">
        <f t="shared" si="78"/>
        <v/>
      </c>
      <c r="H282" s="290"/>
      <c r="I282" s="254" t="str">
        <f t="shared" ca="1" si="86"/>
        <v>1</v>
      </c>
      <c r="J282" s="254" t="str">
        <f t="shared" ca="1" si="87"/>
        <v>1</v>
      </c>
      <c r="K282" s="230" t="str">
        <f>IF(Giocatori!B271=0,"",Giocatori!B271)</f>
        <v>KARSDORP</v>
      </c>
      <c r="L282" s="230" t="str">
        <f>IF(Giocatori!A271=0,"",Giocatori!A271)</f>
        <v>D</v>
      </c>
      <c r="M282" s="230" t="str">
        <f>IF(Giocatori!C271=0,"",Giocatori!C271)</f>
        <v>Roma</v>
      </c>
      <c r="N282" s="69" t="str">
        <f t="shared" si="79"/>
        <v/>
      </c>
      <c r="O282" t="str">
        <f t="shared" si="80"/>
        <v>KARSDORP</v>
      </c>
      <c r="P282" s="7">
        <f t="shared" ca="1" si="88"/>
        <v>282</v>
      </c>
      <c r="Q282" s="7" t="str">
        <f t="shared" ca="1" si="81"/>
        <v>KARSDORP</v>
      </c>
      <c r="Z282" s="256"/>
      <c r="AA282" s="219"/>
      <c r="AB282" s="293" t="str">
        <f t="shared" si="82"/>
        <v/>
      </c>
      <c r="AC282" s="294" t="str">
        <f t="shared" si="83"/>
        <v/>
      </c>
      <c r="AD282" s="219"/>
      <c r="AE282" s="219"/>
      <c r="AF282" s="293" t="str">
        <f>IF(AA282="","",VLOOKUP(AA282,Asta!$B:$H,7,FALSE))</f>
        <v/>
      </c>
      <c r="AG282" s="294" t="str">
        <f t="shared" si="84"/>
        <v/>
      </c>
      <c r="AH282" t="str">
        <f t="shared" si="85"/>
        <v/>
      </c>
      <c r="AI282" s="254" t="str">
        <f t="shared" ca="1" si="89"/>
        <v>263</v>
      </c>
      <c r="AJ282" s="254" t="str">
        <f t="shared" ca="1" si="90"/>
        <v>263</v>
      </c>
      <c r="AK282" s="351"/>
    </row>
    <row r="283" spans="1:37">
      <c r="A283" s="74">
        <v>264</v>
      </c>
      <c r="B283" s="252"/>
      <c r="C283" s="293" t="str">
        <f t="shared" si="75"/>
        <v/>
      </c>
      <c r="D283" s="294" t="str">
        <f t="shared" si="76"/>
        <v/>
      </c>
      <c r="E283" s="287"/>
      <c r="F283" s="293" t="str">
        <f t="shared" si="77"/>
        <v/>
      </c>
      <c r="G283" s="294" t="str">
        <f t="shared" si="78"/>
        <v/>
      </c>
      <c r="H283" s="290"/>
      <c r="I283" s="254" t="str">
        <f t="shared" ca="1" si="86"/>
        <v>1</v>
      </c>
      <c r="J283" s="254" t="str">
        <f t="shared" ca="1" si="87"/>
        <v>1</v>
      </c>
      <c r="K283" s="230" t="str">
        <f>IF(Giocatori!B272=0,"",Giocatori!B272)</f>
        <v>KEAN</v>
      </c>
      <c r="L283" s="230" t="str">
        <f>IF(Giocatori!A272=0,"",Giocatori!A272)</f>
        <v>A</v>
      </c>
      <c r="M283" s="230" t="str">
        <f>IF(Giocatori!C272=0,"",Giocatori!C272)</f>
        <v>Verona</v>
      </c>
      <c r="N283" s="69" t="str">
        <f t="shared" si="79"/>
        <v/>
      </c>
      <c r="O283" t="str">
        <f t="shared" si="80"/>
        <v>KEAN</v>
      </c>
      <c r="P283" s="7">
        <f t="shared" ca="1" si="88"/>
        <v>283</v>
      </c>
      <c r="Q283" s="7" t="str">
        <f t="shared" ca="1" si="81"/>
        <v>KEAN</v>
      </c>
      <c r="Z283" s="256"/>
      <c r="AA283" s="219"/>
      <c r="AB283" s="293" t="str">
        <f t="shared" si="82"/>
        <v/>
      </c>
      <c r="AC283" s="294" t="str">
        <f t="shared" si="83"/>
        <v/>
      </c>
      <c r="AD283" s="219"/>
      <c r="AE283" s="219"/>
      <c r="AF283" s="293" t="str">
        <f>IF(AA283="","",VLOOKUP(AA283,Asta!$B:$H,7,FALSE))</f>
        <v/>
      </c>
      <c r="AG283" s="294" t="str">
        <f t="shared" si="84"/>
        <v/>
      </c>
      <c r="AH283" t="str">
        <f t="shared" si="85"/>
        <v/>
      </c>
      <c r="AI283" s="254" t="str">
        <f t="shared" ca="1" si="89"/>
        <v>264</v>
      </c>
      <c r="AJ283" s="254" t="str">
        <f t="shared" ca="1" si="90"/>
        <v>264</v>
      </c>
      <c r="AK283" s="351"/>
    </row>
    <row r="284" spans="1:37">
      <c r="A284" s="74">
        <v>265</v>
      </c>
      <c r="B284" s="252"/>
      <c r="C284" s="293" t="str">
        <f t="shared" si="75"/>
        <v/>
      </c>
      <c r="D284" s="294" t="str">
        <f t="shared" si="76"/>
        <v/>
      </c>
      <c r="E284" s="287"/>
      <c r="F284" s="293" t="str">
        <f t="shared" si="77"/>
        <v/>
      </c>
      <c r="G284" s="294" t="str">
        <f t="shared" si="78"/>
        <v/>
      </c>
      <c r="H284" s="290"/>
      <c r="I284" s="254" t="str">
        <f t="shared" ca="1" si="86"/>
        <v>1</v>
      </c>
      <c r="J284" s="254" t="str">
        <f t="shared" ca="1" si="87"/>
        <v>1</v>
      </c>
      <c r="K284" s="230" t="str">
        <f>IF(Giocatori!B273=0,"",Giocatori!B273)</f>
        <v>KEITA C</v>
      </c>
      <c r="L284" s="230" t="str">
        <f>IF(Giocatori!A273=0,"",Giocatori!A273)</f>
        <v>D</v>
      </c>
      <c r="M284" s="230" t="str">
        <f>IF(Giocatori!C273=0,"",Giocatori!C273)</f>
        <v>Bologna</v>
      </c>
      <c r="N284" s="69" t="str">
        <f t="shared" si="79"/>
        <v/>
      </c>
      <c r="O284" t="str">
        <f t="shared" si="80"/>
        <v>KEITA C</v>
      </c>
      <c r="P284" s="7">
        <f t="shared" ca="1" si="88"/>
        <v>284</v>
      </c>
      <c r="Q284" s="7" t="str">
        <f t="shared" ca="1" si="81"/>
        <v>KEITA C</v>
      </c>
      <c r="Z284" s="256"/>
      <c r="AA284" s="219"/>
      <c r="AB284" s="293" t="str">
        <f t="shared" si="82"/>
        <v/>
      </c>
      <c r="AC284" s="294" t="str">
        <f t="shared" si="83"/>
        <v/>
      </c>
      <c r="AD284" s="219"/>
      <c r="AE284" s="219"/>
      <c r="AF284" s="293" t="str">
        <f>IF(AA284="","",VLOOKUP(AA284,Asta!$B:$H,7,FALSE))</f>
        <v/>
      </c>
      <c r="AG284" s="294" t="str">
        <f t="shared" si="84"/>
        <v/>
      </c>
      <c r="AH284" t="str">
        <f t="shared" si="85"/>
        <v/>
      </c>
      <c r="AI284" s="254" t="str">
        <f t="shared" ca="1" si="89"/>
        <v>265</v>
      </c>
      <c r="AJ284" s="254" t="str">
        <f t="shared" ca="1" si="90"/>
        <v>265</v>
      </c>
      <c r="AK284" s="351"/>
    </row>
    <row r="285" spans="1:37">
      <c r="A285" s="74">
        <v>266</v>
      </c>
      <c r="B285" s="252"/>
      <c r="C285" s="293" t="str">
        <f t="shared" si="75"/>
        <v/>
      </c>
      <c r="D285" s="294" t="str">
        <f t="shared" si="76"/>
        <v/>
      </c>
      <c r="E285" s="287"/>
      <c r="F285" s="293" t="str">
        <f t="shared" si="77"/>
        <v/>
      </c>
      <c r="G285" s="294" t="str">
        <f t="shared" si="78"/>
        <v/>
      </c>
      <c r="H285" s="290"/>
      <c r="I285" s="254" t="str">
        <f t="shared" ca="1" si="86"/>
        <v>1</v>
      </c>
      <c r="J285" s="254" t="str">
        <f t="shared" ca="1" si="87"/>
        <v>1</v>
      </c>
      <c r="K285" s="230" t="str">
        <f>IF(Giocatori!B274=0,"",Giocatori!B274)</f>
        <v>KESSIE'</v>
      </c>
      <c r="L285" s="230" t="str">
        <f>IF(Giocatori!A274=0,"",Giocatori!A274)</f>
        <v>C</v>
      </c>
      <c r="M285" s="230" t="str">
        <f>IF(Giocatori!C274=0,"",Giocatori!C274)</f>
        <v>Milan</v>
      </c>
      <c r="N285" s="69" t="str">
        <f t="shared" si="79"/>
        <v/>
      </c>
      <c r="O285" t="str">
        <f t="shared" si="80"/>
        <v>KESSIE'</v>
      </c>
      <c r="P285" s="7">
        <f t="shared" ca="1" si="88"/>
        <v>285</v>
      </c>
      <c r="Q285" s="7" t="str">
        <f t="shared" ca="1" si="81"/>
        <v>KESSIE'</v>
      </c>
      <c r="Z285" s="256"/>
      <c r="AA285" s="219"/>
      <c r="AB285" s="293" t="str">
        <f t="shared" si="82"/>
        <v/>
      </c>
      <c r="AC285" s="294" t="str">
        <f t="shared" si="83"/>
        <v/>
      </c>
      <c r="AD285" s="219"/>
      <c r="AE285" s="219"/>
      <c r="AF285" s="293" t="str">
        <f>IF(AA285="","",VLOOKUP(AA285,Asta!$B:$H,7,FALSE))</f>
        <v/>
      </c>
      <c r="AG285" s="294" t="str">
        <f t="shared" si="84"/>
        <v/>
      </c>
      <c r="AH285" t="str">
        <f t="shared" si="85"/>
        <v/>
      </c>
      <c r="AI285" s="254" t="str">
        <f t="shared" ca="1" si="89"/>
        <v>266</v>
      </c>
      <c r="AJ285" s="254" t="str">
        <f t="shared" ca="1" si="90"/>
        <v>266</v>
      </c>
      <c r="AK285" s="351"/>
    </row>
    <row r="286" spans="1:37">
      <c r="A286" s="74">
        <v>267</v>
      </c>
      <c r="B286" s="252"/>
      <c r="C286" s="293" t="str">
        <f t="shared" si="75"/>
        <v/>
      </c>
      <c r="D286" s="294" t="str">
        <f t="shared" si="76"/>
        <v/>
      </c>
      <c r="E286" s="287"/>
      <c r="F286" s="293" t="str">
        <f t="shared" si="77"/>
        <v/>
      </c>
      <c r="G286" s="294" t="str">
        <f t="shared" si="78"/>
        <v/>
      </c>
      <c r="H286" s="290"/>
      <c r="I286" s="254" t="str">
        <f t="shared" ca="1" si="86"/>
        <v>1</v>
      </c>
      <c r="J286" s="254" t="str">
        <f t="shared" ca="1" si="87"/>
        <v>1</v>
      </c>
      <c r="K286" s="230" t="str">
        <f>IF(Giocatori!B275=0,"",Giocatori!B275)</f>
        <v>KHEDIRA</v>
      </c>
      <c r="L286" s="230" t="str">
        <f>IF(Giocatori!A275=0,"",Giocatori!A275)</f>
        <v>C</v>
      </c>
      <c r="M286" s="230" t="str">
        <f>IF(Giocatori!C275=0,"",Giocatori!C275)</f>
        <v>Juventus</v>
      </c>
      <c r="N286" s="69" t="str">
        <f t="shared" si="79"/>
        <v/>
      </c>
      <c r="O286" t="str">
        <f t="shared" si="80"/>
        <v>KHEDIRA</v>
      </c>
      <c r="P286" s="7">
        <f t="shared" ca="1" si="88"/>
        <v>286</v>
      </c>
      <c r="Q286" s="7" t="str">
        <f t="shared" ca="1" si="81"/>
        <v>KHEDIRA</v>
      </c>
      <c r="Z286" s="256"/>
      <c r="AA286" s="219"/>
      <c r="AB286" s="293" t="str">
        <f t="shared" si="82"/>
        <v/>
      </c>
      <c r="AC286" s="294" t="str">
        <f t="shared" si="83"/>
        <v/>
      </c>
      <c r="AD286" s="219"/>
      <c r="AE286" s="219"/>
      <c r="AF286" s="293" t="str">
        <f>IF(AA286="","",VLOOKUP(AA286,Asta!$B:$H,7,FALSE))</f>
        <v/>
      </c>
      <c r="AG286" s="294" t="str">
        <f t="shared" si="84"/>
        <v/>
      </c>
      <c r="AH286" t="str">
        <f t="shared" si="85"/>
        <v/>
      </c>
      <c r="AI286" s="254" t="str">
        <f t="shared" ca="1" si="89"/>
        <v>267</v>
      </c>
      <c r="AJ286" s="254" t="str">
        <f t="shared" ca="1" si="90"/>
        <v>267</v>
      </c>
      <c r="AK286" s="351"/>
    </row>
    <row r="287" spans="1:37">
      <c r="A287" s="74">
        <v>268</v>
      </c>
      <c r="B287" s="252"/>
      <c r="C287" s="293" t="str">
        <f t="shared" si="75"/>
        <v/>
      </c>
      <c r="D287" s="294" t="str">
        <f t="shared" si="76"/>
        <v/>
      </c>
      <c r="E287" s="287"/>
      <c r="F287" s="293" t="str">
        <f t="shared" si="77"/>
        <v/>
      </c>
      <c r="G287" s="294" t="str">
        <f t="shared" si="78"/>
        <v/>
      </c>
      <c r="H287" s="290"/>
      <c r="I287" s="254" t="str">
        <f t="shared" ca="1" si="86"/>
        <v>1</v>
      </c>
      <c r="J287" s="254" t="str">
        <f t="shared" ca="1" si="87"/>
        <v>1</v>
      </c>
      <c r="K287" s="230" t="str">
        <f>IF(Giocatori!B276=0,"",Giocatori!B276)</f>
        <v>KOLAROV</v>
      </c>
      <c r="L287" s="230" t="str">
        <f>IF(Giocatori!A276=0,"",Giocatori!A276)</f>
        <v>D</v>
      </c>
      <c r="M287" s="230" t="str">
        <f>IF(Giocatori!C276=0,"",Giocatori!C276)</f>
        <v>Roma</v>
      </c>
      <c r="N287" s="69" t="str">
        <f t="shared" si="79"/>
        <v/>
      </c>
      <c r="O287" t="str">
        <f t="shared" si="80"/>
        <v>KOLAROV</v>
      </c>
      <c r="P287" s="7">
        <f t="shared" ca="1" si="88"/>
        <v>287</v>
      </c>
      <c r="Q287" s="7" t="str">
        <f t="shared" ca="1" si="81"/>
        <v>KOLAROV</v>
      </c>
      <c r="Z287" s="256"/>
      <c r="AA287" s="219"/>
      <c r="AB287" s="293" t="str">
        <f t="shared" si="82"/>
        <v/>
      </c>
      <c r="AC287" s="294" t="str">
        <f t="shared" si="83"/>
        <v/>
      </c>
      <c r="AD287" s="219"/>
      <c r="AE287" s="219"/>
      <c r="AF287" s="293" t="str">
        <f>IF(AA287="","",VLOOKUP(AA287,Asta!$B:$H,7,FALSE))</f>
        <v/>
      </c>
      <c r="AG287" s="294" t="str">
        <f t="shared" si="84"/>
        <v/>
      </c>
      <c r="AH287" t="str">
        <f t="shared" si="85"/>
        <v/>
      </c>
      <c r="AI287" s="254" t="str">
        <f t="shared" ca="1" si="89"/>
        <v>268</v>
      </c>
      <c r="AJ287" s="254" t="str">
        <f t="shared" ca="1" si="90"/>
        <v>268</v>
      </c>
      <c r="AK287" s="351"/>
    </row>
    <row r="288" spans="1:37">
      <c r="A288" s="74">
        <v>269</v>
      </c>
      <c r="B288" s="252"/>
      <c r="C288" s="293" t="str">
        <f t="shared" si="75"/>
        <v/>
      </c>
      <c r="D288" s="294" t="str">
        <f t="shared" si="76"/>
        <v/>
      </c>
      <c r="E288" s="287"/>
      <c r="F288" s="293" t="str">
        <f t="shared" si="77"/>
        <v/>
      </c>
      <c r="G288" s="294" t="str">
        <f t="shared" si="78"/>
        <v/>
      </c>
      <c r="H288" s="290"/>
      <c r="I288" s="254" t="str">
        <f t="shared" ca="1" si="86"/>
        <v>1</v>
      </c>
      <c r="J288" s="254" t="str">
        <f t="shared" ca="1" si="87"/>
        <v>1</v>
      </c>
      <c r="K288" s="230" t="str">
        <f>IF(Giocatori!B277=0,"",Giocatori!B277)</f>
        <v>KONATE</v>
      </c>
      <c r="L288" s="230" t="str">
        <f>IF(Giocatori!A277=0,"",Giocatori!A277)</f>
        <v>D</v>
      </c>
      <c r="M288" s="230" t="str">
        <f>IF(Giocatori!C277=0,"",Giocatori!C277)</f>
        <v>SPAL</v>
      </c>
      <c r="N288" s="69" t="str">
        <f t="shared" si="79"/>
        <v/>
      </c>
      <c r="O288" t="str">
        <f t="shared" si="80"/>
        <v>KONATE</v>
      </c>
      <c r="P288" s="7">
        <f t="shared" ca="1" si="88"/>
        <v>288</v>
      </c>
      <c r="Q288" s="7" t="str">
        <f t="shared" ca="1" si="81"/>
        <v>KONATE</v>
      </c>
      <c r="Z288" s="256"/>
      <c r="AA288" s="219"/>
      <c r="AB288" s="293" t="str">
        <f t="shared" si="82"/>
        <v/>
      </c>
      <c r="AC288" s="294" t="str">
        <f t="shared" si="83"/>
        <v/>
      </c>
      <c r="AD288" s="219"/>
      <c r="AE288" s="219"/>
      <c r="AF288" s="293" t="str">
        <f>IF(AA288="","",VLOOKUP(AA288,Asta!$B:$H,7,FALSE))</f>
        <v/>
      </c>
      <c r="AG288" s="294" t="str">
        <f t="shared" si="84"/>
        <v/>
      </c>
      <c r="AH288" t="str">
        <f t="shared" si="85"/>
        <v/>
      </c>
      <c r="AI288" s="254" t="str">
        <f t="shared" ca="1" si="89"/>
        <v>269</v>
      </c>
      <c r="AJ288" s="254" t="str">
        <f t="shared" ca="1" si="90"/>
        <v>269</v>
      </c>
      <c r="AK288" s="351"/>
    </row>
    <row r="289" spans="1:37">
      <c r="A289" s="74">
        <v>270</v>
      </c>
      <c r="B289" s="252"/>
      <c r="C289" s="293" t="str">
        <f t="shared" si="75"/>
        <v/>
      </c>
      <c r="D289" s="294" t="str">
        <f t="shared" si="76"/>
        <v/>
      </c>
      <c r="E289" s="287"/>
      <c r="F289" s="293" t="str">
        <f t="shared" si="77"/>
        <v/>
      </c>
      <c r="G289" s="294" t="str">
        <f t="shared" si="78"/>
        <v/>
      </c>
      <c r="H289" s="290"/>
      <c r="I289" s="254" t="str">
        <f t="shared" ca="1" si="86"/>
        <v>1</v>
      </c>
      <c r="J289" s="254" t="str">
        <f t="shared" ca="1" si="87"/>
        <v>1</v>
      </c>
      <c r="K289" s="230" t="str">
        <f>IF(Giocatori!B278=0,"",Giocatori!B278)</f>
        <v>KOTNIK</v>
      </c>
      <c r="L289" s="230" t="str">
        <f>IF(Giocatori!A278=0,"",Giocatori!A278)</f>
        <v>A</v>
      </c>
      <c r="M289" s="230" t="str">
        <f>IF(Giocatori!C278=0,"",Giocatori!C278)</f>
        <v>Crotone</v>
      </c>
      <c r="N289" s="69" t="str">
        <f t="shared" si="79"/>
        <v/>
      </c>
      <c r="O289" t="str">
        <f t="shared" si="80"/>
        <v>KOTNIK</v>
      </c>
      <c r="P289" s="7">
        <f t="shared" ca="1" si="88"/>
        <v>289</v>
      </c>
      <c r="Q289" s="7" t="str">
        <f t="shared" ca="1" si="81"/>
        <v>KOTNIK</v>
      </c>
      <c r="Z289" s="256"/>
      <c r="AA289" s="219"/>
      <c r="AB289" s="293" t="str">
        <f t="shared" si="82"/>
        <v/>
      </c>
      <c r="AC289" s="294" t="str">
        <f t="shared" si="83"/>
        <v/>
      </c>
      <c r="AD289" s="219"/>
      <c r="AE289" s="219"/>
      <c r="AF289" s="293" t="str">
        <f>IF(AA289="","",VLOOKUP(AA289,Asta!$B:$H,7,FALSE))</f>
        <v/>
      </c>
      <c r="AG289" s="294" t="str">
        <f t="shared" si="84"/>
        <v/>
      </c>
      <c r="AH289" t="str">
        <f t="shared" si="85"/>
        <v/>
      </c>
      <c r="AI289" s="254" t="str">
        <f t="shared" ca="1" si="89"/>
        <v>270</v>
      </c>
      <c r="AJ289" s="254" t="str">
        <f t="shared" ca="1" si="90"/>
        <v>270</v>
      </c>
      <c r="AK289" s="351"/>
    </row>
    <row r="290" spans="1:37">
      <c r="A290" s="74">
        <v>271</v>
      </c>
      <c r="B290" s="252"/>
      <c r="C290" s="293" t="str">
        <f t="shared" si="75"/>
        <v/>
      </c>
      <c r="D290" s="294" t="str">
        <f t="shared" si="76"/>
        <v/>
      </c>
      <c r="E290" s="287"/>
      <c r="F290" s="293" t="str">
        <f t="shared" si="77"/>
        <v/>
      </c>
      <c r="G290" s="294" t="str">
        <f t="shared" si="78"/>
        <v/>
      </c>
      <c r="H290" s="290"/>
      <c r="I290" s="254" t="str">
        <f t="shared" ca="1" si="86"/>
        <v>1</v>
      </c>
      <c r="J290" s="254" t="str">
        <f t="shared" ca="1" si="87"/>
        <v>1</v>
      </c>
      <c r="K290" s="230" t="str">
        <f>IF(Giocatori!B279=0,"",Giocatori!B279)</f>
        <v>KOULIBALY</v>
      </c>
      <c r="L290" s="230" t="str">
        <f>IF(Giocatori!A279=0,"",Giocatori!A279)</f>
        <v>D</v>
      </c>
      <c r="M290" s="230" t="str">
        <f>IF(Giocatori!C279=0,"",Giocatori!C279)</f>
        <v>Napoli</v>
      </c>
      <c r="N290" s="69" t="str">
        <f t="shared" si="79"/>
        <v/>
      </c>
      <c r="O290" t="str">
        <f t="shared" si="80"/>
        <v>KOULIBALY</v>
      </c>
      <c r="P290" s="7">
        <f t="shared" ca="1" si="88"/>
        <v>290</v>
      </c>
      <c r="Q290" s="7" t="str">
        <f t="shared" ca="1" si="81"/>
        <v>KOULIBALY</v>
      </c>
      <c r="Z290" s="256"/>
      <c r="AA290" s="219"/>
      <c r="AB290" s="293" t="str">
        <f t="shared" si="82"/>
        <v/>
      </c>
      <c r="AC290" s="294" t="str">
        <f t="shared" si="83"/>
        <v/>
      </c>
      <c r="AD290" s="219"/>
      <c r="AE290" s="219"/>
      <c r="AF290" s="293" t="str">
        <f>IF(AA290="","",VLOOKUP(AA290,Asta!$B:$H,7,FALSE))</f>
        <v/>
      </c>
      <c r="AG290" s="294" t="str">
        <f t="shared" si="84"/>
        <v/>
      </c>
      <c r="AH290" t="str">
        <f t="shared" si="85"/>
        <v/>
      </c>
      <c r="AI290" s="254" t="str">
        <f t="shared" ca="1" si="89"/>
        <v>271</v>
      </c>
      <c r="AJ290" s="254" t="str">
        <f t="shared" ca="1" si="90"/>
        <v>271</v>
      </c>
      <c r="AK290" s="351"/>
    </row>
    <row r="291" spans="1:37">
      <c r="A291" s="74">
        <v>272</v>
      </c>
      <c r="B291" s="252"/>
      <c r="C291" s="293" t="str">
        <f t="shared" si="75"/>
        <v/>
      </c>
      <c r="D291" s="294" t="str">
        <f t="shared" si="76"/>
        <v/>
      </c>
      <c r="E291" s="287"/>
      <c r="F291" s="293" t="str">
        <f t="shared" si="77"/>
        <v/>
      </c>
      <c r="G291" s="294" t="str">
        <f t="shared" si="78"/>
        <v/>
      </c>
      <c r="H291" s="290"/>
      <c r="I291" s="254" t="str">
        <f t="shared" ca="1" si="86"/>
        <v>1</v>
      </c>
      <c r="J291" s="254" t="str">
        <f t="shared" ca="1" si="87"/>
        <v>1</v>
      </c>
      <c r="K291" s="230" t="str">
        <f>IF(Giocatori!B280=0,"",Giocatori!B280)</f>
        <v>KOWNACKI</v>
      </c>
      <c r="L291" s="230" t="str">
        <f>IF(Giocatori!A280=0,"",Giocatori!A280)</f>
        <v>A</v>
      </c>
      <c r="M291" s="230" t="str">
        <f>IF(Giocatori!C280=0,"",Giocatori!C280)</f>
        <v>Sampdoria</v>
      </c>
      <c r="N291" s="69" t="str">
        <f t="shared" si="79"/>
        <v/>
      </c>
      <c r="O291" t="str">
        <f t="shared" si="80"/>
        <v>KOWNACKI</v>
      </c>
      <c r="P291" s="7">
        <f t="shared" ca="1" si="88"/>
        <v>291</v>
      </c>
      <c r="Q291" s="7" t="str">
        <f t="shared" ca="1" si="81"/>
        <v>KOWNACKI</v>
      </c>
      <c r="Z291" s="256"/>
      <c r="AA291" s="219"/>
      <c r="AB291" s="293" t="str">
        <f t="shared" si="82"/>
        <v/>
      </c>
      <c r="AC291" s="294" t="str">
        <f t="shared" si="83"/>
        <v/>
      </c>
      <c r="AD291" s="219"/>
      <c r="AE291" s="219"/>
      <c r="AF291" s="293" t="str">
        <f>IF(AA291="","",VLOOKUP(AA291,Asta!$B:$H,7,FALSE))</f>
        <v/>
      </c>
      <c r="AG291" s="294" t="str">
        <f t="shared" si="84"/>
        <v/>
      </c>
      <c r="AH291" t="str">
        <f t="shared" si="85"/>
        <v/>
      </c>
      <c r="AI291" s="254" t="str">
        <f t="shared" ca="1" si="89"/>
        <v>272</v>
      </c>
      <c r="AJ291" s="254" t="str">
        <f t="shared" ca="1" si="90"/>
        <v>272</v>
      </c>
      <c r="AK291" s="351"/>
    </row>
    <row r="292" spans="1:37">
      <c r="A292" s="74">
        <v>273</v>
      </c>
      <c r="B292" s="252"/>
      <c r="C292" s="293" t="str">
        <f t="shared" si="75"/>
        <v/>
      </c>
      <c r="D292" s="294" t="str">
        <f t="shared" si="76"/>
        <v/>
      </c>
      <c r="E292" s="287"/>
      <c r="F292" s="293" t="str">
        <f t="shared" si="77"/>
        <v/>
      </c>
      <c r="G292" s="294" t="str">
        <f t="shared" si="78"/>
        <v/>
      </c>
      <c r="H292" s="290"/>
      <c r="I292" s="254" t="str">
        <f t="shared" ca="1" si="86"/>
        <v>1</v>
      </c>
      <c r="J292" s="254" t="str">
        <f t="shared" ca="1" si="87"/>
        <v>1</v>
      </c>
      <c r="K292" s="230" t="str">
        <f>IF(Giocatori!B281=0,"",Giocatori!B281)</f>
        <v>KRAFTH</v>
      </c>
      <c r="L292" s="230" t="str">
        <f>IF(Giocatori!A281=0,"",Giocatori!A281)</f>
        <v>D</v>
      </c>
      <c r="M292" s="230" t="str">
        <f>IF(Giocatori!C281=0,"",Giocatori!C281)</f>
        <v>Bologna</v>
      </c>
      <c r="N292" s="69" t="str">
        <f t="shared" si="79"/>
        <v/>
      </c>
      <c r="O292" t="str">
        <f t="shared" si="80"/>
        <v>KRAFTH</v>
      </c>
      <c r="P292" s="7">
        <f t="shared" ca="1" si="88"/>
        <v>292</v>
      </c>
      <c r="Q292" s="7" t="str">
        <f t="shared" ca="1" si="81"/>
        <v>KRAFTH</v>
      </c>
      <c r="Z292" s="256"/>
      <c r="AA292" s="219"/>
      <c r="AB292" s="293" t="str">
        <f t="shared" si="82"/>
        <v/>
      </c>
      <c r="AC292" s="294" t="str">
        <f t="shared" si="83"/>
        <v/>
      </c>
      <c r="AD292" s="219"/>
      <c r="AE292" s="219"/>
      <c r="AF292" s="293" t="str">
        <f>IF(AA292="","",VLOOKUP(AA292,Asta!$B:$H,7,FALSE))</f>
        <v/>
      </c>
      <c r="AG292" s="294" t="str">
        <f t="shared" si="84"/>
        <v/>
      </c>
      <c r="AH292" t="str">
        <f t="shared" si="85"/>
        <v/>
      </c>
      <c r="AI292" s="254" t="str">
        <f t="shared" ca="1" si="89"/>
        <v>273</v>
      </c>
      <c r="AJ292" s="254" t="str">
        <f t="shared" ca="1" si="90"/>
        <v>273</v>
      </c>
      <c r="AK292" s="351"/>
    </row>
    <row r="293" spans="1:37">
      <c r="A293" s="74">
        <v>274</v>
      </c>
      <c r="B293" s="252"/>
      <c r="C293" s="293" t="str">
        <f t="shared" ref="C293:C356" si="91">IF(B293&lt;&gt;"",VLOOKUP(B293,$K:$M,2,FALSE),"")</f>
        <v/>
      </c>
      <c r="D293" s="294" t="str">
        <f t="shared" ref="D293:D356" si="92">IF(B293&lt;&gt;"",VLOOKUP(B293,$K:$M,3,FALSE),"")</f>
        <v/>
      </c>
      <c r="E293" s="287"/>
      <c r="F293" s="293" t="str">
        <f t="shared" si="77"/>
        <v/>
      </c>
      <c r="G293" s="294" t="str">
        <f t="shared" si="78"/>
        <v/>
      </c>
      <c r="H293" s="290"/>
      <c r="I293" s="254" t="str">
        <f t="shared" ca="1" si="86"/>
        <v>1</v>
      </c>
      <c r="J293" s="254" t="str">
        <f t="shared" ca="1" si="87"/>
        <v>1</v>
      </c>
      <c r="K293" s="230" t="str">
        <f>IF(Giocatori!B282=0,"",Giocatori!B282)</f>
        <v>KRAGL</v>
      </c>
      <c r="L293" s="230" t="str">
        <f>IF(Giocatori!A282=0,"",Giocatori!A282)</f>
        <v>C</v>
      </c>
      <c r="M293" s="230" t="str">
        <f>IF(Giocatori!C282=0,"",Giocatori!C282)</f>
        <v>Crotone</v>
      </c>
      <c r="N293" s="69" t="str">
        <f t="shared" si="79"/>
        <v/>
      </c>
      <c r="O293" t="str">
        <f t="shared" si="80"/>
        <v>KRAGL</v>
      </c>
      <c r="P293" s="7">
        <f t="shared" ca="1" si="88"/>
        <v>293</v>
      </c>
      <c r="Q293" s="7" t="str">
        <f t="shared" ca="1" si="81"/>
        <v>KRAGL</v>
      </c>
      <c r="Z293" s="256"/>
      <c r="AA293" s="219"/>
      <c r="AB293" s="293" t="str">
        <f t="shared" si="82"/>
        <v/>
      </c>
      <c r="AC293" s="294" t="str">
        <f t="shared" si="83"/>
        <v/>
      </c>
      <c r="AD293" s="219"/>
      <c r="AE293" s="219"/>
      <c r="AF293" s="293" t="str">
        <f>IF(AA293="","",VLOOKUP(AA293,Asta!$B:$H,7,FALSE))</f>
        <v/>
      </c>
      <c r="AG293" s="294" t="str">
        <f t="shared" si="84"/>
        <v/>
      </c>
      <c r="AH293" t="str">
        <f t="shared" si="85"/>
        <v/>
      </c>
      <c r="AI293" s="254" t="str">
        <f t="shared" ca="1" si="89"/>
        <v>274</v>
      </c>
      <c r="AJ293" s="254" t="str">
        <f t="shared" ca="1" si="90"/>
        <v>274</v>
      </c>
      <c r="AK293" s="351"/>
    </row>
    <row r="294" spans="1:37">
      <c r="A294" s="74">
        <v>275</v>
      </c>
      <c r="B294" s="252"/>
      <c r="C294" s="293" t="str">
        <f t="shared" si="91"/>
        <v/>
      </c>
      <c r="D294" s="294" t="str">
        <f t="shared" si="92"/>
        <v/>
      </c>
      <c r="E294" s="287"/>
      <c r="F294" s="293" t="str">
        <f t="shared" si="77"/>
        <v/>
      </c>
      <c r="G294" s="294" t="str">
        <f t="shared" si="78"/>
        <v/>
      </c>
      <c r="H294" s="290"/>
      <c r="I294" s="254" t="str">
        <f t="shared" ca="1" si="86"/>
        <v>1</v>
      </c>
      <c r="J294" s="254" t="str">
        <f t="shared" ca="1" si="87"/>
        <v>1</v>
      </c>
      <c r="K294" s="230" t="str">
        <f>IF(Giocatori!B283=0,"",Giocatori!B283)</f>
        <v>KREJCI</v>
      </c>
      <c r="L294" s="230" t="str">
        <f>IF(Giocatori!A283=0,"",Giocatori!A283)</f>
        <v>C</v>
      </c>
      <c r="M294" s="230" t="str">
        <f>IF(Giocatori!C283=0,"",Giocatori!C283)</f>
        <v>Bologna</v>
      </c>
      <c r="N294" s="69" t="str">
        <f t="shared" si="79"/>
        <v/>
      </c>
      <c r="O294" t="str">
        <f t="shared" si="80"/>
        <v>KREJCI</v>
      </c>
      <c r="P294" s="7">
        <f t="shared" ca="1" si="88"/>
        <v>294</v>
      </c>
      <c r="Q294" s="7" t="str">
        <f t="shared" ca="1" si="81"/>
        <v>KREJCI</v>
      </c>
      <c r="Z294" s="256"/>
      <c r="AA294" s="219"/>
      <c r="AB294" s="293" t="str">
        <f t="shared" si="82"/>
        <v/>
      </c>
      <c r="AC294" s="294" t="str">
        <f t="shared" si="83"/>
        <v/>
      </c>
      <c r="AD294" s="219"/>
      <c r="AE294" s="219"/>
      <c r="AF294" s="293" t="str">
        <f>IF(AA294="","",VLOOKUP(AA294,Asta!$B:$H,7,FALSE))</f>
        <v/>
      </c>
      <c r="AG294" s="294" t="str">
        <f t="shared" si="84"/>
        <v/>
      </c>
      <c r="AH294" t="str">
        <f t="shared" si="85"/>
        <v/>
      </c>
      <c r="AI294" s="254" t="str">
        <f t="shared" ca="1" si="89"/>
        <v>275</v>
      </c>
      <c r="AJ294" s="254" t="str">
        <f t="shared" ca="1" si="90"/>
        <v>275</v>
      </c>
      <c r="AK294" s="351"/>
    </row>
    <row r="295" spans="1:37">
      <c r="A295" s="74">
        <v>276</v>
      </c>
      <c r="B295" s="252"/>
      <c r="C295" s="293" t="str">
        <f t="shared" si="91"/>
        <v/>
      </c>
      <c r="D295" s="294" t="str">
        <f t="shared" si="92"/>
        <v/>
      </c>
      <c r="E295" s="287"/>
      <c r="F295" s="293" t="str">
        <f t="shared" si="77"/>
        <v/>
      </c>
      <c r="G295" s="294" t="str">
        <f t="shared" si="78"/>
        <v/>
      </c>
      <c r="H295" s="290"/>
      <c r="I295" s="254" t="str">
        <f t="shared" ca="1" si="86"/>
        <v>1</v>
      </c>
      <c r="J295" s="254" t="str">
        <f t="shared" ca="1" si="87"/>
        <v>1</v>
      </c>
      <c r="K295" s="230" t="str">
        <f>IF(Giocatori!B284=0,"",Giocatori!B284)</f>
        <v>KURTIC</v>
      </c>
      <c r="L295" s="230" t="str">
        <f>IF(Giocatori!A284=0,"",Giocatori!A284)</f>
        <v>C</v>
      </c>
      <c r="M295" s="230" t="str">
        <f>IF(Giocatori!C284=0,"",Giocatori!C284)</f>
        <v>Atalanta</v>
      </c>
      <c r="N295" s="69" t="str">
        <f t="shared" si="79"/>
        <v/>
      </c>
      <c r="O295" t="str">
        <f t="shared" si="80"/>
        <v>KURTIC</v>
      </c>
      <c r="P295" s="7">
        <f t="shared" ca="1" si="88"/>
        <v>295</v>
      </c>
      <c r="Q295" s="7" t="str">
        <f t="shared" ca="1" si="81"/>
        <v>KURTIC</v>
      </c>
      <c r="Z295" s="256"/>
      <c r="AA295" s="219"/>
      <c r="AB295" s="293" t="str">
        <f t="shared" si="82"/>
        <v/>
      </c>
      <c r="AC295" s="294" t="str">
        <f t="shared" si="83"/>
        <v/>
      </c>
      <c r="AD295" s="219"/>
      <c r="AE295" s="219"/>
      <c r="AF295" s="293" t="str">
        <f>IF(AA295="","",VLOOKUP(AA295,Asta!$B:$H,7,FALSE))</f>
        <v/>
      </c>
      <c r="AG295" s="294" t="str">
        <f t="shared" si="84"/>
        <v/>
      </c>
      <c r="AH295" t="str">
        <f t="shared" si="85"/>
        <v/>
      </c>
      <c r="AI295" s="254" t="str">
        <f t="shared" ca="1" si="89"/>
        <v>276</v>
      </c>
      <c r="AJ295" s="254" t="str">
        <f t="shared" ca="1" si="90"/>
        <v>276</v>
      </c>
      <c r="AK295" s="351"/>
    </row>
    <row r="296" spans="1:37">
      <c r="A296" s="74">
        <v>277</v>
      </c>
      <c r="B296" s="252"/>
      <c r="C296" s="293" t="str">
        <f t="shared" si="91"/>
        <v/>
      </c>
      <c r="D296" s="294" t="str">
        <f t="shared" si="92"/>
        <v/>
      </c>
      <c r="E296" s="287"/>
      <c r="F296" s="293" t="str">
        <f t="shared" si="77"/>
        <v/>
      </c>
      <c r="G296" s="294" t="str">
        <f t="shared" si="78"/>
        <v/>
      </c>
      <c r="H296" s="290"/>
      <c r="I296" s="254" t="str">
        <f t="shared" ca="1" si="86"/>
        <v>1</v>
      </c>
      <c r="J296" s="254" t="str">
        <f t="shared" ca="1" si="87"/>
        <v>1</v>
      </c>
      <c r="K296" s="230" t="str">
        <f>IF(Giocatori!B285=0,"",Giocatori!B285)</f>
        <v>LAMANNA</v>
      </c>
      <c r="L296" s="230" t="str">
        <f>IF(Giocatori!A285=0,"",Giocatori!A285)</f>
        <v>P</v>
      </c>
      <c r="M296" s="230" t="str">
        <f>IF(Giocatori!C285=0,"",Giocatori!C285)</f>
        <v>Genoa</v>
      </c>
      <c r="N296" s="69" t="str">
        <f t="shared" si="79"/>
        <v/>
      </c>
      <c r="O296" t="str">
        <f t="shared" si="80"/>
        <v>LAMANNA</v>
      </c>
      <c r="P296" s="7">
        <f t="shared" ca="1" si="88"/>
        <v>296</v>
      </c>
      <c r="Q296" s="7" t="str">
        <f t="shared" ca="1" si="81"/>
        <v>LAMANNA</v>
      </c>
      <c r="Z296" s="256"/>
      <c r="AA296" s="219"/>
      <c r="AB296" s="293" t="str">
        <f t="shared" si="82"/>
        <v/>
      </c>
      <c r="AC296" s="294" t="str">
        <f t="shared" si="83"/>
        <v/>
      </c>
      <c r="AD296" s="219"/>
      <c r="AE296" s="219"/>
      <c r="AF296" s="293" t="str">
        <f>IF(AA296="","",VLOOKUP(AA296,Asta!$B:$H,7,FALSE))</f>
        <v/>
      </c>
      <c r="AG296" s="294" t="str">
        <f t="shared" si="84"/>
        <v/>
      </c>
      <c r="AH296" t="str">
        <f t="shared" si="85"/>
        <v/>
      </c>
      <c r="AI296" s="254" t="str">
        <f t="shared" ca="1" si="89"/>
        <v>277</v>
      </c>
      <c r="AJ296" s="254" t="str">
        <f t="shared" ca="1" si="90"/>
        <v>277</v>
      </c>
      <c r="AK296" s="351"/>
    </row>
    <row r="297" spans="1:37">
      <c r="A297" s="74">
        <v>278</v>
      </c>
      <c r="B297" s="252"/>
      <c r="C297" s="293" t="str">
        <f t="shared" si="91"/>
        <v/>
      </c>
      <c r="D297" s="294" t="str">
        <f t="shared" si="92"/>
        <v/>
      </c>
      <c r="E297" s="287"/>
      <c r="F297" s="293" t="str">
        <f t="shared" si="77"/>
        <v/>
      </c>
      <c r="G297" s="294" t="str">
        <f t="shared" si="78"/>
        <v/>
      </c>
      <c r="H297" s="290"/>
      <c r="I297" s="254" t="str">
        <f t="shared" ca="1" si="86"/>
        <v>1</v>
      </c>
      <c r="J297" s="254" t="str">
        <f t="shared" ca="1" si="87"/>
        <v>1</v>
      </c>
      <c r="K297" s="230" t="str">
        <f>IF(Giocatori!B286=0,"",Giocatori!B286)</f>
        <v>LAPADULA</v>
      </c>
      <c r="L297" s="230" t="str">
        <f>IF(Giocatori!A286=0,"",Giocatori!A286)</f>
        <v>A</v>
      </c>
      <c r="M297" s="230" t="str">
        <f>IF(Giocatori!C286=0,"",Giocatori!C286)</f>
        <v>Genoa</v>
      </c>
      <c r="N297" s="69" t="str">
        <f t="shared" si="79"/>
        <v/>
      </c>
      <c r="O297" t="str">
        <f t="shared" si="80"/>
        <v>LAPADULA</v>
      </c>
      <c r="P297" s="7">
        <f t="shared" ca="1" si="88"/>
        <v>297</v>
      </c>
      <c r="Q297" s="7" t="str">
        <f t="shared" ca="1" si="81"/>
        <v>LAPADULA</v>
      </c>
      <c r="Z297" s="256"/>
      <c r="AA297" s="219"/>
      <c r="AB297" s="293" t="str">
        <f t="shared" si="82"/>
        <v/>
      </c>
      <c r="AC297" s="294" t="str">
        <f t="shared" si="83"/>
        <v/>
      </c>
      <c r="AD297" s="219"/>
      <c r="AE297" s="219"/>
      <c r="AF297" s="293" t="str">
        <f>IF(AA297="","",VLOOKUP(AA297,Asta!$B:$H,7,FALSE))</f>
        <v/>
      </c>
      <c r="AG297" s="294" t="str">
        <f t="shared" si="84"/>
        <v/>
      </c>
      <c r="AH297" t="str">
        <f t="shared" si="85"/>
        <v/>
      </c>
      <c r="AI297" s="254" t="str">
        <f t="shared" ca="1" si="89"/>
        <v>278</v>
      </c>
      <c r="AJ297" s="254" t="str">
        <f t="shared" ca="1" si="90"/>
        <v>278</v>
      </c>
      <c r="AK297" s="351"/>
    </row>
    <row r="298" spans="1:37">
      <c r="A298" s="74">
        <v>279</v>
      </c>
      <c r="B298" s="252"/>
      <c r="C298" s="293" t="str">
        <f t="shared" si="91"/>
        <v/>
      </c>
      <c r="D298" s="294" t="str">
        <f t="shared" si="92"/>
        <v/>
      </c>
      <c r="E298" s="287"/>
      <c r="F298" s="293" t="str">
        <f t="shared" si="77"/>
        <v/>
      </c>
      <c r="G298" s="294" t="str">
        <f t="shared" si="78"/>
        <v/>
      </c>
      <c r="H298" s="290"/>
      <c r="I298" s="254" t="str">
        <f t="shared" ca="1" si="86"/>
        <v>1</v>
      </c>
      <c r="J298" s="254" t="str">
        <f t="shared" ca="1" si="87"/>
        <v>1</v>
      </c>
      <c r="K298" s="230" t="str">
        <f>IF(Giocatori!B287=0,"",Giocatori!B287)</f>
        <v>LASAGNA</v>
      </c>
      <c r="L298" s="230" t="str">
        <f>IF(Giocatori!A287=0,"",Giocatori!A287)</f>
        <v>A</v>
      </c>
      <c r="M298" s="230" t="str">
        <f>IF(Giocatori!C287=0,"",Giocatori!C287)</f>
        <v>Udinese</v>
      </c>
      <c r="N298" s="69" t="str">
        <f t="shared" si="79"/>
        <v/>
      </c>
      <c r="O298" t="str">
        <f t="shared" si="80"/>
        <v>LASAGNA</v>
      </c>
      <c r="P298" s="7">
        <f t="shared" ca="1" si="88"/>
        <v>298</v>
      </c>
      <c r="Q298" s="7" t="str">
        <f t="shared" ca="1" si="81"/>
        <v>LASAGNA</v>
      </c>
      <c r="Z298" s="256"/>
      <c r="AA298" s="219"/>
      <c r="AB298" s="293" t="str">
        <f t="shared" si="82"/>
        <v/>
      </c>
      <c r="AC298" s="294" t="str">
        <f t="shared" si="83"/>
        <v/>
      </c>
      <c r="AD298" s="219"/>
      <c r="AE298" s="219"/>
      <c r="AF298" s="293" t="str">
        <f>IF(AA298="","",VLOOKUP(AA298,Asta!$B:$H,7,FALSE))</f>
        <v/>
      </c>
      <c r="AG298" s="294" t="str">
        <f t="shared" si="84"/>
        <v/>
      </c>
      <c r="AH298" t="str">
        <f t="shared" si="85"/>
        <v/>
      </c>
      <c r="AI298" s="254" t="str">
        <f t="shared" ca="1" si="89"/>
        <v>279</v>
      </c>
      <c r="AJ298" s="254" t="str">
        <f t="shared" ca="1" si="90"/>
        <v>279</v>
      </c>
      <c r="AK298" s="351"/>
    </row>
    <row r="299" spans="1:37">
      <c r="A299" s="74">
        <v>280</v>
      </c>
      <c r="B299" s="252"/>
      <c r="C299" s="293" t="str">
        <f t="shared" si="91"/>
        <v/>
      </c>
      <c r="D299" s="294" t="str">
        <f t="shared" si="92"/>
        <v/>
      </c>
      <c r="E299" s="287"/>
      <c r="F299" s="293" t="str">
        <f t="shared" si="77"/>
        <v/>
      </c>
      <c r="G299" s="294" t="str">
        <f t="shared" si="78"/>
        <v/>
      </c>
      <c r="H299" s="290"/>
      <c r="I299" s="254" t="str">
        <f t="shared" ca="1" si="86"/>
        <v>1</v>
      </c>
      <c r="J299" s="254" t="str">
        <f t="shared" ca="1" si="87"/>
        <v>1</v>
      </c>
      <c r="K299" s="230" t="str">
        <f>IF(Giocatori!B288=0,"",Giocatori!B288)</f>
        <v>LAURINI</v>
      </c>
      <c r="L299" s="230" t="str">
        <f>IF(Giocatori!A288=0,"",Giocatori!A288)</f>
        <v>D</v>
      </c>
      <c r="M299" s="230" t="str">
        <f>IF(Giocatori!C288=0,"",Giocatori!C288)</f>
        <v>Fiorentina</v>
      </c>
      <c r="N299" s="69" t="str">
        <f t="shared" si="79"/>
        <v/>
      </c>
      <c r="O299" t="str">
        <f t="shared" si="80"/>
        <v>LAURINI</v>
      </c>
      <c r="P299" s="7">
        <f t="shared" ca="1" si="88"/>
        <v>299</v>
      </c>
      <c r="Q299" s="7" t="str">
        <f t="shared" ca="1" si="81"/>
        <v>LAURINI</v>
      </c>
      <c r="Z299" s="256"/>
      <c r="AA299" s="219"/>
      <c r="AB299" s="293" t="str">
        <f t="shared" si="82"/>
        <v/>
      </c>
      <c r="AC299" s="294" t="str">
        <f t="shared" si="83"/>
        <v/>
      </c>
      <c r="AD299" s="219"/>
      <c r="AE299" s="219"/>
      <c r="AF299" s="293" t="str">
        <f>IF(AA299="","",VLOOKUP(AA299,Asta!$B:$H,7,FALSE))</f>
        <v/>
      </c>
      <c r="AG299" s="294" t="str">
        <f t="shared" si="84"/>
        <v/>
      </c>
      <c r="AH299" t="str">
        <f t="shared" si="85"/>
        <v/>
      </c>
      <c r="AI299" s="254" t="str">
        <f t="shared" ca="1" si="89"/>
        <v>280</v>
      </c>
      <c r="AJ299" s="254" t="str">
        <f t="shared" ca="1" si="90"/>
        <v>280</v>
      </c>
      <c r="AK299" s="351"/>
    </row>
    <row r="300" spans="1:37">
      <c r="A300" s="74">
        <v>281</v>
      </c>
      <c r="B300" s="252"/>
      <c r="C300" s="293" t="str">
        <f t="shared" si="91"/>
        <v/>
      </c>
      <c r="D300" s="294" t="str">
        <f t="shared" si="92"/>
        <v/>
      </c>
      <c r="E300" s="287"/>
      <c r="F300" s="293" t="str">
        <f t="shared" si="77"/>
        <v/>
      </c>
      <c r="G300" s="294" t="str">
        <f t="shared" si="78"/>
        <v/>
      </c>
      <c r="H300" s="290"/>
      <c r="I300" s="254" t="str">
        <f t="shared" ca="1" si="86"/>
        <v>1</v>
      </c>
      <c r="J300" s="254" t="str">
        <f t="shared" ca="1" si="87"/>
        <v>1</v>
      </c>
      <c r="K300" s="230" t="str">
        <f>IF(Giocatori!B289=0,"",Giocatori!B289)</f>
        <v>LAXALT</v>
      </c>
      <c r="L300" s="230" t="str">
        <f>IF(Giocatori!A289=0,"",Giocatori!A289)</f>
        <v>C</v>
      </c>
      <c r="M300" s="230" t="str">
        <f>IF(Giocatori!C289=0,"",Giocatori!C289)</f>
        <v>Genoa</v>
      </c>
      <c r="N300" s="69" t="str">
        <f t="shared" si="79"/>
        <v/>
      </c>
      <c r="O300" t="str">
        <f t="shared" si="80"/>
        <v>LAXALT</v>
      </c>
      <c r="P300" s="7">
        <f t="shared" ca="1" si="88"/>
        <v>300</v>
      </c>
      <c r="Q300" s="7" t="str">
        <f t="shared" ca="1" si="81"/>
        <v>LAXALT</v>
      </c>
      <c r="Z300" s="256"/>
      <c r="AA300" s="219"/>
      <c r="AB300" s="293" t="str">
        <f t="shared" si="82"/>
        <v/>
      </c>
      <c r="AC300" s="294" t="str">
        <f t="shared" si="83"/>
        <v/>
      </c>
      <c r="AD300" s="219"/>
      <c r="AE300" s="219"/>
      <c r="AF300" s="293" t="str">
        <f>IF(AA300="","",VLOOKUP(AA300,Asta!$B:$H,7,FALSE))</f>
        <v/>
      </c>
      <c r="AG300" s="294" t="str">
        <f t="shared" si="84"/>
        <v/>
      </c>
      <c r="AH300" t="str">
        <f t="shared" si="85"/>
        <v/>
      </c>
      <c r="AI300" s="254" t="str">
        <f t="shared" ca="1" si="89"/>
        <v>281</v>
      </c>
      <c r="AJ300" s="254" t="str">
        <f t="shared" ca="1" si="90"/>
        <v>281</v>
      </c>
      <c r="AK300" s="351"/>
    </row>
    <row r="301" spans="1:37">
      <c r="A301" s="74">
        <v>282</v>
      </c>
      <c r="B301" s="252"/>
      <c r="C301" s="293" t="str">
        <f t="shared" si="91"/>
        <v/>
      </c>
      <c r="D301" s="294" t="str">
        <f t="shared" si="92"/>
        <v/>
      </c>
      <c r="E301" s="287"/>
      <c r="F301" s="293" t="str">
        <f t="shared" si="77"/>
        <v/>
      </c>
      <c r="G301" s="294" t="str">
        <f t="shared" si="78"/>
        <v/>
      </c>
      <c r="H301" s="290"/>
      <c r="I301" s="254" t="str">
        <f t="shared" ca="1" si="86"/>
        <v>1</v>
      </c>
      <c r="J301" s="254" t="str">
        <f t="shared" ca="1" si="87"/>
        <v>1</v>
      </c>
      <c r="K301" s="230" t="str">
        <f>IF(Giocatori!B290=0,"",Giocatori!B290)</f>
        <v>LAZAAR</v>
      </c>
      <c r="L301" s="230" t="str">
        <f>IF(Giocatori!A290=0,"",Giocatori!A290)</f>
        <v>D</v>
      </c>
      <c r="M301" s="230" t="str">
        <f>IF(Giocatori!C290=0,"",Giocatori!C290)</f>
        <v>Benevento</v>
      </c>
      <c r="N301" s="69" t="str">
        <f t="shared" si="79"/>
        <v/>
      </c>
      <c r="O301" t="str">
        <f t="shared" si="80"/>
        <v>LAZAAR</v>
      </c>
      <c r="P301" s="7">
        <f t="shared" ca="1" si="88"/>
        <v>301</v>
      </c>
      <c r="Q301" s="7" t="str">
        <f t="shared" ca="1" si="81"/>
        <v>LAZAAR</v>
      </c>
      <c r="Z301" s="256"/>
      <c r="AA301" s="219"/>
      <c r="AB301" s="293" t="str">
        <f t="shared" si="82"/>
        <v/>
      </c>
      <c r="AC301" s="294" t="str">
        <f t="shared" si="83"/>
        <v/>
      </c>
      <c r="AD301" s="219"/>
      <c r="AE301" s="219"/>
      <c r="AF301" s="293" t="str">
        <f>IF(AA301="","",VLOOKUP(AA301,Asta!$B:$H,7,FALSE))</f>
        <v/>
      </c>
      <c r="AG301" s="294" t="str">
        <f t="shared" si="84"/>
        <v/>
      </c>
      <c r="AH301" t="str">
        <f t="shared" si="85"/>
        <v/>
      </c>
      <c r="AI301" s="254" t="str">
        <f t="shared" ca="1" si="89"/>
        <v>282</v>
      </c>
      <c r="AJ301" s="254" t="str">
        <f t="shared" ca="1" si="90"/>
        <v>282</v>
      </c>
      <c r="AK301" s="351"/>
    </row>
    <row r="302" spans="1:37">
      <c r="A302" s="74">
        <v>283</v>
      </c>
      <c r="B302" s="252"/>
      <c r="C302" s="293" t="str">
        <f t="shared" si="91"/>
        <v/>
      </c>
      <c r="D302" s="294" t="str">
        <f t="shared" si="92"/>
        <v/>
      </c>
      <c r="E302" s="287"/>
      <c r="F302" s="293" t="str">
        <f t="shared" si="77"/>
        <v/>
      </c>
      <c r="G302" s="294" t="str">
        <f t="shared" si="78"/>
        <v/>
      </c>
      <c r="H302" s="290"/>
      <c r="I302" s="254" t="str">
        <f t="shared" ca="1" si="86"/>
        <v>1</v>
      </c>
      <c r="J302" s="254" t="str">
        <f t="shared" ca="1" si="87"/>
        <v>1</v>
      </c>
      <c r="K302" s="230" t="str">
        <f>IF(Giocatori!B291=0,"",Giocatori!B291)</f>
        <v>LAZOVIC</v>
      </c>
      <c r="L302" s="230" t="str">
        <f>IF(Giocatori!A291=0,"",Giocatori!A291)</f>
        <v>C</v>
      </c>
      <c r="M302" s="230" t="str">
        <f>IF(Giocatori!C291=0,"",Giocatori!C291)</f>
        <v>Genoa</v>
      </c>
      <c r="N302" s="69" t="str">
        <f t="shared" si="79"/>
        <v/>
      </c>
      <c r="O302" t="str">
        <f t="shared" si="80"/>
        <v>LAZOVIC</v>
      </c>
      <c r="P302" s="7">
        <f t="shared" ca="1" si="88"/>
        <v>302</v>
      </c>
      <c r="Q302" s="7" t="str">
        <f t="shared" ca="1" si="81"/>
        <v>LAZOVIC</v>
      </c>
      <c r="Z302" s="256"/>
      <c r="AA302" s="219"/>
      <c r="AB302" s="293" t="str">
        <f t="shared" si="82"/>
        <v/>
      </c>
      <c r="AC302" s="294" t="str">
        <f t="shared" si="83"/>
        <v/>
      </c>
      <c r="AD302" s="219"/>
      <c r="AE302" s="219"/>
      <c r="AF302" s="293" t="str">
        <f>IF(AA302="","",VLOOKUP(AA302,Asta!$B:$H,7,FALSE))</f>
        <v/>
      </c>
      <c r="AG302" s="294" t="str">
        <f t="shared" si="84"/>
        <v/>
      </c>
      <c r="AH302" t="str">
        <f t="shared" si="85"/>
        <v/>
      </c>
      <c r="AI302" s="254" t="str">
        <f t="shared" ca="1" si="89"/>
        <v>283</v>
      </c>
      <c r="AJ302" s="254" t="str">
        <f t="shared" ca="1" si="90"/>
        <v>283</v>
      </c>
      <c r="AK302" s="351"/>
    </row>
    <row r="303" spans="1:37">
      <c r="A303" s="74">
        <v>284</v>
      </c>
      <c r="B303" s="252"/>
      <c r="C303" s="293" t="str">
        <f t="shared" si="91"/>
        <v/>
      </c>
      <c r="D303" s="294" t="str">
        <f t="shared" si="92"/>
        <v/>
      </c>
      <c r="E303" s="287"/>
      <c r="F303" s="293" t="str">
        <f t="shared" si="77"/>
        <v/>
      </c>
      <c r="G303" s="294" t="str">
        <f t="shared" si="78"/>
        <v/>
      </c>
      <c r="H303" s="290"/>
      <c r="I303" s="254" t="str">
        <f t="shared" ca="1" si="86"/>
        <v>1</v>
      </c>
      <c r="J303" s="254" t="str">
        <f t="shared" ca="1" si="87"/>
        <v>1</v>
      </c>
      <c r="K303" s="230" t="str">
        <f>IF(Giocatori!B292=0,"",Giocatori!B292)</f>
        <v>LAZZARI M</v>
      </c>
      <c r="L303" s="230" t="str">
        <f>IF(Giocatori!A292=0,"",Giocatori!A292)</f>
        <v>C</v>
      </c>
      <c r="M303" s="230" t="str">
        <f>IF(Giocatori!C292=0,"",Giocatori!C292)</f>
        <v>SPAL</v>
      </c>
      <c r="N303" s="69" t="str">
        <f t="shared" si="79"/>
        <v/>
      </c>
      <c r="O303" t="str">
        <f t="shared" si="80"/>
        <v>LAZZARI M</v>
      </c>
      <c r="P303" s="7">
        <f t="shared" ca="1" si="88"/>
        <v>303</v>
      </c>
      <c r="Q303" s="7" t="str">
        <f t="shared" ca="1" si="81"/>
        <v>LAZZARI M</v>
      </c>
      <c r="Z303" s="256"/>
      <c r="AA303" s="219"/>
      <c r="AB303" s="293" t="str">
        <f t="shared" si="82"/>
        <v/>
      </c>
      <c r="AC303" s="294" t="str">
        <f t="shared" si="83"/>
        <v/>
      </c>
      <c r="AD303" s="219"/>
      <c r="AE303" s="219"/>
      <c r="AF303" s="293" t="str">
        <f>IF(AA303="","",VLOOKUP(AA303,Asta!$B:$H,7,FALSE))</f>
        <v/>
      </c>
      <c r="AG303" s="294" t="str">
        <f t="shared" si="84"/>
        <v/>
      </c>
      <c r="AH303" t="str">
        <f t="shared" si="85"/>
        <v/>
      </c>
      <c r="AI303" s="254" t="str">
        <f t="shared" ca="1" si="89"/>
        <v>284</v>
      </c>
      <c r="AJ303" s="254" t="str">
        <f t="shared" ca="1" si="90"/>
        <v>284</v>
      </c>
      <c r="AK303" s="351"/>
    </row>
    <row r="304" spans="1:37">
      <c r="A304" s="74">
        <v>285</v>
      </c>
      <c r="B304" s="252"/>
      <c r="C304" s="293" t="str">
        <f t="shared" si="91"/>
        <v/>
      </c>
      <c r="D304" s="294" t="str">
        <f t="shared" si="92"/>
        <v/>
      </c>
      <c r="E304" s="287"/>
      <c r="F304" s="293" t="str">
        <f t="shared" si="77"/>
        <v/>
      </c>
      <c r="G304" s="294" t="str">
        <f t="shared" si="78"/>
        <v/>
      </c>
      <c r="H304" s="290"/>
      <c r="I304" s="254" t="str">
        <f t="shared" ca="1" si="86"/>
        <v>1</v>
      </c>
      <c r="J304" s="254" t="str">
        <f t="shared" ca="1" si="87"/>
        <v>1</v>
      </c>
      <c r="K304" s="230" t="str">
        <f>IF(Giocatori!B293=0,"",Giocatori!B293)</f>
        <v>LEE</v>
      </c>
      <c r="L304" s="230" t="str">
        <f>IF(Giocatori!A293=0,"",Giocatori!A293)</f>
        <v>A</v>
      </c>
      <c r="M304" s="230" t="str">
        <f>IF(Giocatori!C293=0,"",Giocatori!C293)</f>
        <v>Verona</v>
      </c>
      <c r="N304" s="69" t="str">
        <f t="shared" si="79"/>
        <v/>
      </c>
      <c r="O304" t="str">
        <f t="shared" si="80"/>
        <v>LEE</v>
      </c>
      <c r="P304" s="7">
        <f t="shared" ca="1" si="88"/>
        <v>304</v>
      </c>
      <c r="Q304" s="7" t="str">
        <f t="shared" ca="1" si="81"/>
        <v>LEE</v>
      </c>
      <c r="Z304" s="256"/>
      <c r="AA304" s="219"/>
      <c r="AB304" s="293" t="str">
        <f t="shared" si="82"/>
        <v/>
      </c>
      <c r="AC304" s="294" t="str">
        <f t="shared" si="83"/>
        <v/>
      </c>
      <c r="AD304" s="219"/>
      <c r="AE304" s="219"/>
      <c r="AF304" s="293" t="str">
        <f>IF(AA304="","",VLOOKUP(AA304,Asta!$B:$H,7,FALSE))</f>
        <v/>
      </c>
      <c r="AG304" s="294" t="str">
        <f t="shared" si="84"/>
        <v/>
      </c>
      <c r="AH304" t="str">
        <f t="shared" si="85"/>
        <v/>
      </c>
      <c r="AI304" s="254" t="str">
        <f t="shared" ca="1" si="89"/>
        <v>285</v>
      </c>
      <c r="AJ304" s="254" t="str">
        <f t="shared" ca="1" si="90"/>
        <v>285</v>
      </c>
      <c r="AK304" s="351"/>
    </row>
    <row r="305" spans="1:37">
      <c r="A305" s="74">
        <v>286</v>
      </c>
      <c r="B305" s="252"/>
      <c r="C305" s="293" t="str">
        <f t="shared" si="91"/>
        <v/>
      </c>
      <c r="D305" s="294" t="str">
        <f t="shared" si="92"/>
        <v/>
      </c>
      <c r="E305" s="287"/>
      <c r="F305" s="293" t="str">
        <f t="shared" si="77"/>
        <v/>
      </c>
      <c r="G305" s="294" t="str">
        <f t="shared" si="78"/>
        <v/>
      </c>
      <c r="H305" s="290"/>
      <c r="I305" s="254" t="str">
        <f t="shared" ca="1" si="86"/>
        <v>1</v>
      </c>
      <c r="J305" s="254" t="str">
        <f t="shared" ca="1" si="87"/>
        <v>1</v>
      </c>
      <c r="K305" s="230" t="str">
        <f>IF(Giocatori!B294=0,"",Giocatori!B294)</f>
        <v>LETIZIA</v>
      </c>
      <c r="L305" s="230" t="str">
        <f>IF(Giocatori!A294=0,"",Giocatori!A294)</f>
        <v>D</v>
      </c>
      <c r="M305" s="230" t="str">
        <f>IF(Giocatori!C294=0,"",Giocatori!C294)</f>
        <v>Benevento</v>
      </c>
      <c r="N305" s="69" t="str">
        <f t="shared" si="79"/>
        <v/>
      </c>
      <c r="O305" t="str">
        <f t="shared" si="80"/>
        <v>LETIZIA</v>
      </c>
      <c r="P305" s="7">
        <f t="shared" ca="1" si="88"/>
        <v>305</v>
      </c>
      <c r="Q305" s="7" t="str">
        <f t="shared" ca="1" si="81"/>
        <v>LETIZIA</v>
      </c>
      <c r="Z305" s="256"/>
      <c r="AA305" s="219"/>
      <c r="AB305" s="293" t="str">
        <f t="shared" si="82"/>
        <v/>
      </c>
      <c r="AC305" s="294" t="str">
        <f t="shared" si="83"/>
        <v/>
      </c>
      <c r="AD305" s="219"/>
      <c r="AE305" s="219"/>
      <c r="AF305" s="293" t="str">
        <f>IF(AA305="","",VLOOKUP(AA305,Asta!$B:$H,7,FALSE))</f>
        <v/>
      </c>
      <c r="AG305" s="294" t="str">
        <f t="shared" si="84"/>
        <v/>
      </c>
      <c r="AH305" t="str">
        <f t="shared" si="85"/>
        <v/>
      </c>
      <c r="AI305" s="254" t="str">
        <f t="shared" ca="1" si="89"/>
        <v>286</v>
      </c>
      <c r="AJ305" s="254" t="str">
        <f t="shared" ca="1" si="90"/>
        <v>286</v>
      </c>
      <c r="AK305" s="351"/>
    </row>
    <row r="306" spans="1:37">
      <c r="A306" s="74">
        <v>287</v>
      </c>
      <c r="B306" s="252"/>
      <c r="C306" s="293" t="str">
        <f t="shared" si="91"/>
        <v/>
      </c>
      <c r="D306" s="294" t="str">
        <f t="shared" si="92"/>
        <v/>
      </c>
      <c r="E306" s="287"/>
      <c r="F306" s="293" t="str">
        <f t="shared" si="77"/>
        <v/>
      </c>
      <c r="G306" s="294" t="str">
        <f t="shared" si="78"/>
        <v/>
      </c>
      <c r="H306" s="290"/>
      <c r="I306" s="254" t="str">
        <f t="shared" ca="1" si="86"/>
        <v>1</v>
      </c>
      <c r="J306" s="254" t="str">
        <f t="shared" ca="1" si="87"/>
        <v>1</v>
      </c>
      <c r="K306" s="230" t="str">
        <f>IF(Giocatori!B295=0,"",Giocatori!B295)</f>
        <v>LETSCHERT</v>
      </c>
      <c r="L306" s="230" t="str">
        <f>IF(Giocatori!A295=0,"",Giocatori!A295)</f>
        <v>D</v>
      </c>
      <c r="M306" s="230" t="str">
        <f>IF(Giocatori!C295=0,"",Giocatori!C295)</f>
        <v>Sassuolo</v>
      </c>
      <c r="N306" s="69" t="str">
        <f t="shared" si="79"/>
        <v/>
      </c>
      <c r="O306" t="str">
        <f t="shared" si="80"/>
        <v>LETSCHERT</v>
      </c>
      <c r="P306" s="7">
        <f t="shared" ca="1" si="88"/>
        <v>306</v>
      </c>
      <c r="Q306" s="7" t="str">
        <f t="shared" ca="1" si="81"/>
        <v>LETSCHERT</v>
      </c>
      <c r="Z306" s="256"/>
      <c r="AA306" s="219"/>
      <c r="AB306" s="293" t="str">
        <f t="shared" si="82"/>
        <v/>
      </c>
      <c r="AC306" s="294" t="str">
        <f t="shared" si="83"/>
        <v/>
      </c>
      <c r="AD306" s="219"/>
      <c r="AE306" s="219"/>
      <c r="AF306" s="293" t="str">
        <f>IF(AA306="","",VLOOKUP(AA306,Asta!$B:$H,7,FALSE))</f>
        <v/>
      </c>
      <c r="AG306" s="294" t="str">
        <f t="shared" si="84"/>
        <v/>
      </c>
      <c r="AH306" t="str">
        <f t="shared" si="85"/>
        <v/>
      </c>
      <c r="AI306" s="254" t="str">
        <f t="shared" ca="1" si="89"/>
        <v>287</v>
      </c>
      <c r="AJ306" s="254" t="str">
        <f t="shared" ca="1" si="90"/>
        <v>287</v>
      </c>
      <c r="AK306" s="351"/>
    </row>
    <row r="307" spans="1:37">
      <c r="A307" s="74">
        <v>288</v>
      </c>
      <c r="B307" s="252"/>
      <c r="C307" s="293" t="str">
        <f t="shared" si="91"/>
        <v/>
      </c>
      <c r="D307" s="294" t="str">
        <f t="shared" si="92"/>
        <v/>
      </c>
      <c r="E307" s="287"/>
      <c r="F307" s="293" t="str">
        <f t="shared" si="77"/>
        <v/>
      </c>
      <c r="G307" s="294" t="str">
        <f t="shared" si="78"/>
        <v/>
      </c>
      <c r="H307" s="290"/>
      <c r="I307" s="254" t="str">
        <f t="shared" ca="1" si="86"/>
        <v>1</v>
      </c>
      <c r="J307" s="254" t="str">
        <f t="shared" ca="1" si="87"/>
        <v>1</v>
      </c>
      <c r="K307" s="230" t="str">
        <f>IF(Giocatori!B296=0,"",Giocatori!B296)</f>
        <v>LICHTSTEINER</v>
      </c>
      <c r="L307" s="230" t="str">
        <f>IF(Giocatori!A296=0,"",Giocatori!A296)</f>
        <v>D</v>
      </c>
      <c r="M307" s="230" t="str">
        <f>IF(Giocatori!C296=0,"",Giocatori!C296)</f>
        <v>Juventus</v>
      </c>
      <c r="N307" s="69" t="str">
        <f t="shared" si="79"/>
        <v/>
      </c>
      <c r="O307" t="str">
        <f t="shared" si="80"/>
        <v>LICHTSTEINER</v>
      </c>
      <c r="P307" s="7">
        <f t="shared" ca="1" si="88"/>
        <v>307</v>
      </c>
      <c r="Q307" s="7" t="str">
        <f t="shared" ca="1" si="81"/>
        <v>LICHTSTEINER</v>
      </c>
      <c r="Z307" s="256"/>
      <c r="AA307" s="219"/>
      <c r="AB307" s="293" t="str">
        <f t="shared" si="82"/>
        <v/>
      </c>
      <c r="AC307" s="294" t="str">
        <f t="shared" si="83"/>
        <v/>
      </c>
      <c r="AD307" s="219"/>
      <c r="AE307" s="219"/>
      <c r="AF307" s="293" t="str">
        <f>IF(AA307="","",VLOOKUP(AA307,Asta!$B:$H,7,FALSE))</f>
        <v/>
      </c>
      <c r="AG307" s="294" t="str">
        <f t="shared" si="84"/>
        <v/>
      </c>
      <c r="AH307" t="str">
        <f t="shared" si="85"/>
        <v/>
      </c>
      <c r="AI307" s="254" t="str">
        <f t="shared" ca="1" si="89"/>
        <v>288</v>
      </c>
      <c r="AJ307" s="254" t="str">
        <f t="shared" ca="1" si="90"/>
        <v>288</v>
      </c>
      <c r="AK307" s="351"/>
    </row>
    <row r="308" spans="1:37">
      <c r="A308" s="74">
        <v>289</v>
      </c>
      <c r="B308" s="252"/>
      <c r="C308" s="293" t="str">
        <f t="shared" si="91"/>
        <v/>
      </c>
      <c r="D308" s="294" t="str">
        <f t="shared" si="92"/>
        <v/>
      </c>
      <c r="E308" s="287"/>
      <c r="F308" s="293" t="str">
        <f t="shared" si="77"/>
        <v/>
      </c>
      <c r="G308" s="294" t="str">
        <f t="shared" si="78"/>
        <v/>
      </c>
      <c r="H308" s="290"/>
      <c r="I308" s="254" t="str">
        <f t="shared" ca="1" si="86"/>
        <v>1</v>
      </c>
      <c r="J308" s="254" t="str">
        <f t="shared" ca="1" si="87"/>
        <v>1</v>
      </c>
      <c r="K308" s="230" t="str">
        <f>IF(Giocatori!B297=0,"",Giocatori!B297)</f>
        <v>LINETTY</v>
      </c>
      <c r="L308" s="230" t="str">
        <f>IF(Giocatori!A297=0,"",Giocatori!A297)</f>
        <v>C</v>
      </c>
      <c r="M308" s="230" t="str">
        <f>IF(Giocatori!C297=0,"",Giocatori!C297)</f>
        <v>Sampdoria</v>
      </c>
      <c r="N308" s="69" t="str">
        <f t="shared" si="79"/>
        <v/>
      </c>
      <c r="O308" t="str">
        <f t="shared" si="80"/>
        <v>LINETTY</v>
      </c>
      <c r="P308" s="7">
        <f t="shared" ca="1" si="88"/>
        <v>308</v>
      </c>
      <c r="Q308" s="7" t="str">
        <f t="shared" ca="1" si="81"/>
        <v>LINETTY</v>
      </c>
      <c r="Z308" s="256"/>
      <c r="AA308" s="219"/>
      <c r="AB308" s="293" t="str">
        <f t="shared" si="82"/>
        <v/>
      </c>
      <c r="AC308" s="294" t="str">
        <f t="shared" si="83"/>
        <v/>
      </c>
      <c r="AD308" s="219"/>
      <c r="AE308" s="219"/>
      <c r="AF308" s="293" t="str">
        <f>IF(AA308="","",VLOOKUP(AA308,Asta!$B:$H,7,FALSE))</f>
        <v/>
      </c>
      <c r="AG308" s="294" t="str">
        <f t="shared" si="84"/>
        <v/>
      </c>
      <c r="AH308" t="str">
        <f t="shared" si="85"/>
        <v/>
      </c>
      <c r="AI308" s="254" t="str">
        <f t="shared" ca="1" si="89"/>
        <v>289</v>
      </c>
      <c r="AJ308" s="254" t="str">
        <f t="shared" ca="1" si="90"/>
        <v>289</v>
      </c>
      <c r="AK308" s="351"/>
    </row>
    <row r="309" spans="1:37">
      <c r="A309" s="74">
        <v>290</v>
      </c>
      <c r="B309" s="252"/>
      <c r="C309" s="293" t="str">
        <f t="shared" si="91"/>
        <v/>
      </c>
      <c r="D309" s="294" t="str">
        <f t="shared" si="92"/>
        <v/>
      </c>
      <c r="E309" s="287"/>
      <c r="F309" s="293" t="str">
        <f t="shared" si="77"/>
        <v/>
      </c>
      <c r="G309" s="294" t="str">
        <f t="shared" si="78"/>
        <v/>
      </c>
      <c r="H309" s="290"/>
      <c r="I309" s="254" t="str">
        <f t="shared" ca="1" si="86"/>
        <v>1</v>
      </c>
      <c r="J309" s="254" t="str">
        <f t="shared" ca="1" si="87"/>
        <v>1</v>
      </c>
      <c r="K309" s="230" t="str">
        <f>IF(Giocatori!B298=0,"",Giocatori!B298)</f>
        <v>LIROLA</v>
      </c>
      <c r="L309" s="230" t="str">
        <f>IF(Giocatori!A298=0,"",Giocatori!A298)</f>
        <v>D</v>
      </c>
      <c r="M309" s="230" t="str">
        <f>IF(Giocatori!C298=0,"",Giocatori!C298)</f>
        <v>Sassuolo</v>
      </c>
      <c r="N309" s="69" t="str">
        <f t="shared" si="79"/>
        <v/>
      </c>
      <c r="O309" t="str">
        <f t="shared" si="80"/>
        <v>LIROLA</v>
      </c>
      <c r="P309" s="7">
        <f t="shared" ca="1" si="88"/>
        <v>309</v>
      </c>
      <c r="Q309" s="7" t="str">
        <f t="shared" ca="1" si="81"/>
        <v>LIROLA</v>
      </c>
      <c r="Z309" s="256"/>
      <c r="AA309" s="219"/>
      <c r="AB309" s="293" t="str">
        <f t="shared" si="82"/>
        <v/>
      </c>
      <c r="AC309" s="294" t="str">
        <f t="shared" si="83"/>
        <v/>
      </c>
      <c r="AD309" s="219"/>
      <c r="AE309" s="219"/>
      <c r="AF309" s="293" t="str">
        <f>IF(AA309="","",VLOOKUP(AA309,Asta!$B:$H,7,FALSE))</f>
        <v/>
      </c>
      <c r="AG309" s="294" t="str">
        <f t="shared" si="84"/>
        <v/>
      </c>
      <c r="AH309" t="str">
        <f t="shared" si="85"/>
        <v/>
      </c>
      <c r="AI309" s="254" t="str">
        <f t="shared" ca="1" si="89"/>
        <v>290</v>
      </c>
      <c r="AJ309" s="254" t="str">
        <f t="shared" ca="1" si="90"/>
        <v>290</v>
      </c>
      <c r="AK309" s="351"/>
    </row>
    <row r="310" spans="1:37">
      <c r="A310" s="74">
        <v>291</v>
      </c>
      <c r="B310" s="252"/>
      <c r="C310" s="293" t="str">
        <f t="shared" si="91"/>
        <v/>
      </c>
      <c r="D310" s="294" t="str">
        <f t="shared" si="92"/>
        <v/>
      </c>
      <c r="E310" s="287"/>
      <c r="F310" s="293" t="str">
        <f t="shared" si="77"/>
        <v/>
      </c>
      <c r="G310" s="294" t="str">
        <f t="shared" si="78"/>
        <v/>
      </c>
      <c r="H310" s="290"/>
      <c r="I310" s="254" t="str">
        <f t="shared" ca="1" si="86"/>
        <v>1</v>
      </c>
      <c r="J310" s="254" t="str">
        <f t="shared" ca="1" si="87"/>
        <v>1</v>
      </c>
      <c r="K310" s="230" t="str">
        <f>IF(Giocatori!B299=0,"",Giocatori!B299)</f>
        <v>LJAJIC</v>
      </c>
      <c r="L310" s="230" t="str">
        <f>IF(Giocatori!A299=0,"",Giocatori!A299)</f>
        <v>C</v>
      </c>
      <c r="M310" s="230" t="str">
        <f>IF(Giocatori!C299=0,"",Giocatori!C299)</f>
        <v>Torino</v>
      </c>
      <c r="N310" s="69" t="str">
        <f t="shared" si="79"/>
        <v/>
      </c>
      <c r="O310" t="str">
        <f t="shared" si="80"/>
        <v>LJAJIC</v>
      </c>
      <c r="P310" s="7">
        <f t="shared" ca="1" si="88"/>
        <v>310</v>
      </c>
      <c r="Q310" s="7" t="str">
        <f t="shared" ca="1" si="81"/>
        <v>LJAJIC</v>
      </c>
      <c r="Z310" s="256"/>
      <c r="AA310" s="219"/>
      <c r="AB310" s="293" t="str">
        <f t="shared" si="82"/>
        <v/>
      </c>
      <c r="AC310" s="294" t="str">
        <f t="shared" si="83"/>
        <v/>
      </c>
      <c r="AD310" s="219"/>
      <c r="AE310" s="219"/>
      <c r="AF310" s="293" t="str">
        <f>IF(AA310="","",VLOOKUP(AA310,Asta!$B:$H,7,FALSE))</f>
        <v/>
      </c>
      <c r="AG310" s="294" t="str">
        <f t="shared" si="84"/>
        <v/>
      </c>
      <c r="AH310" t="str">
        <f t="shared" si="85"/>
        <v/>
      </c>
      <c r="AI310" s="254" t="str">
        <f t="shared" ca="1" si="89"/>
        <v>291</v>
      </c>
      <c r="AJ310" s="254" t="str">
        <f t="shared" ca="1" si="90"/>
        <v>291</v>
      </c>
      <c r="AK310" s="351"/>
    </row>
    <row r="311" spans="1:37">
      <c r="A311" s="74">
        <v>292</v>
      </c>
      <c r="B311" s="252"/>
      <c r="C311" s="293" t="str">
        <f t="shared" si="91"/>
        <v/>
      </c>
      <c r="D311" s="294" t="str">
        <f t="shared" si="92"/>
        <v/>
      </c>
      <c r="E311" s="287"/>
      <c r="F311" s="293" t="str">
        <f t="shared" si="77"/>
        <v/>
      </c>
      <c r="G311" s="294" t="str">
        <f t="shared" si="78"/>
        <v/>
      </c>
      <c r="H311" s="290"/>
      <c r="I311" s="254" t="str">
        <f t="shared" ca="1" si="86"/>
        <v>1</v>
      </c>
      <c r="J311" s="254" t="str">
        <f t="shared" ca="1" si="87"/>
        <v>1</v>
      </c>
      <c r="K311" s="230" t="str">
        <f>IF(Giocatori!B300=0,"",Giocatori!B300)</f>
        <v>LO FASO</v>
      </c>
      <c r="L311" s="230" t="str">
        <f>IF(Giocatori!A300=0,"",Giocatori!A300)</f>
        <v>A</v>
      </c>
      <c r="M311" s="230" t="str">
        <f>IF(Giocatori!C300=0,"",Giocatori!C300)</f>
        <v>Fiorentina</v>
      </c>
      <c r="N311" s="69" t="str">
        <f t="shared" si="79"/>
        <v/>
      </c>
      <c r="O311" t="str">
        <f t="shared" si="80"/>
        <v>LO FASO</v>
      </c>
      <c r="P311" s="7">
        <f t="shared" ca="1" si="88"/>
        <v>311</v>
      </c>
      <c r="Q311" s="7" t="str">
        <f t="shared" ca="1" si="81"/>
        <v>LO FASO</v>
      </c>
      <c r="Z311" s="256"/>
      <c r="AA311" s="219"/>
      <c r="AB311" s="293" t="str">
        <f t="shared" si="82"/>
        <v/>
      </c>
      <c r="AC311" s="294" t="str">
        <f t="shared" si="83"/>
        <v/>
      </c>
      <c r="AD311" s="219"/>
      <c r="AE311" s="219"/>
      <c r="AF311" s="293" t="str">
        <f>IF(AA311="","",VLOOKUP(AA311,Asta!$B:$H,7,FALSE))</f>
        <v/>
      </c>
      <c r="AG311" s="294" t="str">
        <f t="shared" si="84"/>
        <v/>
      </c>
      <c r="AH311" t="str">
        <f t="shared" si="85"/>
        <v/>
      </c>
      <c r="AI311" s="254" t="str">
        <f t="shared" ca="1" si="89"/>
        <v>292</v>
      </c>
      <c r="AJ311" s="254" t="str">
        <f t="shared" ca="1" si="90"/>
        <v>292</v>
      </c>
      <c r="AK311" s="351"/>
    </row>
    <row r="312" spans="1:37">
      <c r="A312" s="74">
        <v>293</v>
      </c>
      <c r="B312" s="252"/>
      <c r="C312" s="293" t="str">
        <f t="shared" si="91"/>
        <v/>
      </c>
      <c r="D312" s="294" t="str">
        <f t="shared" si="92"/>
        <v/>
      </c>
      <c r="E312" s="287"/>
      <c r="F312" s="293" t="str">
        <f t="shared" si="77"/>
        <v/>
      </c>
      <c r="G312" s="294" t="str">
        <f t="shared" si="78"/>
        <v/>
      </c>
      <c r="H312" s="290"/>
      <c r="I312" s="254" t="str">
        <f t="shared" ca="1" si="86"/>
        <v>1</v>
      </c>
      <c r="J312" s="254" t="str">
        <f t="shared" ca="1" si="87"/>
        <v>1</v>
      </c>
      <c r="K312" s="230" t="str">
        <f>IF(Giocatori!B301=0,"",Giocatori!B301)</f>
        <v>LOBONT</v>
      </c>
      <c r="L312" s="230" t="str">
        <f>IF(Giocatori!A301=0,"",Giocatori!A301)</f>
        <v>P</v>
      </c>
      <c r="M312" s="230" t="str">
        <f>IF(Giocatori!C301=0,"",Giocatori!C301)</f>
        <v>Roma</v>
      </c>
      <c r="N312" s="69" t="str">
        <f t="shared" si="79"/>
        <v/>
      </c>
      <c r="O312" t="str">
        <f t="shared" si="80"/>
        <v>LOBONT</v>
      </c>
      <c r="P312" s="7">
        <f t="shared" ca="1" si="88"/>
        <v>312</v>
      </c>
      <c r="Q312" s="7" t="str">
        <f t="shared" ca="1" si="81"/>
        <v>LOBONT</v>
      </c>
      <c r="Z312" s="256"/>
      <c r="AA312" s="219"/>
      <c r="AB312" s="293" t="str">
        <f t="shared" si="82"/>
        <v/>
      </c>
      <c r="AC312" s="294" t="str">
        <f t="shared" si="83"/>
        <v/>
      </c>
      <c r="AD312" s="219"/>
      <c r="AE312" s="219"/>
      <c r="AF312" s="293" t="str">
        <f>IF(AA312="","",VLOOKUP(AA312,Asta!$B:$H,7,FALSE))</f>
        <v/>
      </c>
      <c r="AG312" s="294" t="str">
        <f t="shared" si="84"/>
        <v/>
      </c>
      <c r="AH312" t="str">
        <f t="shared" si="85"/>
        <v/>
      </c>
      <c r="AI312" s="254" t="str">
        <f t="shared" ca="1" si="89"/>
        <v>293</v>
      </c>
      <c r="AJ312" s="254" t="str">
        <f t="shared" ca="1" si="90"/>
        <v>293</v>
      </c>
      <c r="AK312" s="351"/>
    </row>
    <row r="313" spans="1:37">
      <c r="A313" s="74">
        <v>294</v>
      </c>
      <c r="B313" s="252"/>
      <c r="C313" s="293" t="str">
        <f t="shared" si="91"/>
        <v/>
      </c>
      <c r="D313" s="294" t="str">
        <f t="shared" si="92"/>
        <v/>
      </c>
      <c r="E313" s="287"/>
      <c r="F313" s="293" t="str">
        <f t="shared" si="77"/>
        <v/>
      </c>
      <c r="G313" s="294" t="str">
        <f t="shared" si="78"/>
        <v/>
      </c>
      <c r="H313" s="290"/>
      <c r="I313" s="254" t="str">
        <f t="shared" ca="1" si="86"/>
        <v>1</v>
      </c>
      <c r="J313" s="254" t="str">
        <f t="shared" ca="1" si="87"/>
        <v>1</v>
      </c>
      <c r="K313" s="230" t="str">
        <f>IF(Giocatori!B302=0,"",Giocatori!B302)</f>
        <v>LOCATELLI M</v>
      </c>
      <c r="L313" s="230" t="str">
        <f>IF(Giocatori!A302=0,"",Giocatori!A302)</f>
        <v>C</v>
      </c>
      <c r="M313" s="230" t="str">
        <f>IF(Giocatori!C302=0,"",Giocatori!C302)</f>
        <v>Milan</v>
      </c>
      <c r="N313" s="69" t="str">
        <f t="shared" si="79"/>
        <v/>
      </c>
      <c r="O313" t="str">
        <f t="shared" si="80"/>
        <v>LOCATELLI M</v>
      </c>
      <c r="P313" s="7">
        <f t="shared" ca="1" si="88"/>
        <v>313</v>
      </c>
      <c r="Q313" s="7" t="str">
        <f t="shared" ca="1" si="81"/>
        <v>LOCATELLI M</v>
      </c>
      <c r="Z313" s="256"/>
      <c r="AA313" s="219"/>
      <c r="AB313" s="293" t="str">
        <f t="shared" si="82"/>
        <v/>
      </c>
      <c r="AC313" s="294" t="str">
        <f t="shared" si="83"/>
        <v/>
      </c>
      <c r="AD313" s="219"/>
      <c r="AE313" s="219"/>
      <c r="AF313" s="293" t="str">
        <f>IF(AA313="","",VLOOKUP(AA313,Asta!$B:$H,7,FALSE))</f>
        <v/>
      </c>
      <c r="AG313" s="294" t="str">
        <f t="shared" si="84"/>
        <v/>
      </c>
      <c r="AH313" t="str">
        <f t="shared" si="85"/>
        <v/>
      </c>
      <c r="AI313" s="254" t="str">
        <f t="shared" ca="1" si="89"/>
        <v>294</v>
      </c>
      <c r="AJ313" s="254" t="str">
        <f t="shared" ca="1" si="90"/>
        <v>294</v>
      </c>
      <c r="AK313" s="351"/>
    </row>
    <row r="314" spans="1:37">
      <c r="A314" s="74">
        <v>295</v>
      </c>
      <c r="B314" s="252"/>
      <c r="C314" s="293" t="str">
        <f t="shared" si="91"/>
        <v/>
      </c>
      <c r="D314" s="294" t="str">
        <f t="shared" si="92"/>
        <v/>
      </c>
      <c r="E314" s="287"/>
      <c r="F314" s="293" t="str">
        <f t="shared" si="77"/>
        <v/>
      </c>
      <c r="G314" s="294" t="str">
        <f t="shared" si="78"/>
        <v/>
      </c>
      <c r="H314" s="290"/>
      <c r="I314" s="254" t="str">
        <f t="shared" ca="1" si="86"/>
        <v>1</v>
      </c>
      <c r="J314" s="254" t="str">
        <f t="shared" ca="1" si="87"/>
        <v>1</v>
      </c>
      <c r="K314" s="230" t="str">
        <f>IF(Giocatori!B303=0,"",Giocatori!B303)</f>
        <v>LOMBARDI</v>
      </c>
      <c r="L314" s="230" t="str">
        <f>IF(Giocatori!A303=0,"",Giocatori!A303)</f>
        <v>A</v>
      </c>
      <c r="M314" s="230" t="str">
        <f>IF(Giocatori!C303=0,"",Giocatori!C303)</f>
        <v>Benevento</v>
      </c>
      <c r="N314" s="69" t="str">
        <f t="shared" si="79"/>
        <v/>
      </c>
      <c r="O314" t="str">
        <f t="shared" si="80"/>
        <v>LOMBARDI</v>
      </c>
      <c r="P314" s="7">
        <f t="shared" ca="1" si="88"/>
        <v>314</v>
      </c>
      <c r="Q314" s="7" t="str">
        <f t="shared" ca="1" si="81"/>
        <v>LOMBARDI</v>
      </c>
      <c r="Z314" s="256"/>
      <c r="AA314" s="219"/>
      <c r="AB314" s="293" t="str">
        <f t="shared" si="82"/>
        <v/>
      </c>
      <c r="AC314" s="294" t="str">
        <f t="shared" si="83"/>
        <v/>
      </c>
      <c r="AD314" s="219"/>
      <c r="AE314" s="219"/>
      <c r="AF314" s="293" t="str">
        <f>IF(AA314="","",VLOOKUP(AA314,Asta!$B:$H,7,FALSE))</f>
        <v/>
      </c>
      <c r="AG314" s="294" t="str">
        <f t="shared" si="84"/>
        <v/>
      </c>
      <c r="AH314" t="str">
        <f t="shared" si="85"/>
        <v/>
      </c>
      <c r="AI314" s="254" t="str">
        <f t="shared" ca="1" si="89"/>
        <v>295</v>
      </c>
      <c r="AJ314" s="254" t="str">
        <f t="shared" ca="1" si="90"/>
        <v>295</v>
      </c>
      <c r="AK314" s="351"/>
    </row>
    <row r="315" spans="1:37">
      <c r="A315" s="74">
        <v>296</v>
      </c>
      <c r="B315" s="252"/>
      <c r="C315" s="295" t="str">
        <f t="shared" si="91"/>
        <v/>
      </c>
      <c r="D315" s="296" t="str">
        <f t="shared" si="92"/>
        <v/>
      </c>
      <c r="E315" s="287"/>
      <c r="F315" s="295" t="str">
        <f t="shared" si="77"/>
        <v/>
      </c>
      <c r="G315" s="296" t="str">
        <f t="shared" si="78"/>
        <v/>
      </c>
      <c r="H315" s="290"/>
      <c r="I315" s="254" t="str">
        <f t="shared" ca="1" si="86"/>
        <v>1</v>
      </c>
      <c r="J315" s="254" t="str">
        <f t="shared" ca="1" si="87"/>
        <v>1</v>
      </c>
      <c r="K315" s="230" t="str">
        <f>IF(Giocatori!B304=0,"",Giocatori!B304)</f>
        <v>LUCAS LEIVA</v>
      </c>
      <c r="L315" s="230" t="str">
        <f>IF(Giocatori!A304=0,"",Giocatori!A304)</f>
        <v>C</v>
      </c>
      <c r="M315" s="230" t="str">
        <f>IF(Giocatori!C304=0,"",Giocatori!C304)</f>
        <v>Lazio</v>
      </c>
      <c r="N315" s="69" t="str">
        <f t="shared" si="79"/>
        <v/>
      </c>
      <c r="O315" t="str">
        <f t="shared" si="80"/>
        <v>LUCAS LEIVA</v>
      </c>
      <c r="P315" s="7">
        <f t="shared" ca="1" si="88"/>
        <v>315</v>
      </c>
      <c r="Q315" s="7" t="str">
        <f t="shared" ca="1" si="81"/>
        <v>LUCAS LEIVA</v>
      </c>
      <c r="Z315" s="256"/>
      <c r="AA315" s="219"/>
      <c r="AB315" s="295" t="str">
        <f t="shared" si="82"/>
        <v/>
      </c>
      <c r="AC315" s="296" t="str">
        <f t="shared" si="83"/>
        <v/>
      </c>
      <c r="AD315" s="219"/>
      <c r="AE315" s="219"/>
      <c r="AF315" s="295" t="str">
        <f>IF(AA315="","",VLOOKUP(AA315,Asta!$B:$H,7,FALSE))</f>
        <v/>
      </c>
      <c r="AG315" s="296" t="str">
        <f t="shared" si="84"/>
        <v/>
      </c>
      <c r="AH315" t="str">
        <f t="shared" si="85"/>
        <v/>
      </c>
      <c r="AI315" s="254" t="str">
        <f t="shared" ca="1" si="89"/>
        <v>296</v>
      </c>
      <c r="AJ315" s="254" t="str">
        <f t="shared" ca="1" si="90"/>
        <v>296</v>
      </c>
      <c r="AK315" s="351"/>
    </row>
    <row r="316" spans="1:37">
      <c r="A316" s="74">
        <v>297</v>
      </c>
      <c r="B316" s="252"/>
      <c r="C316" s="293" t="str">
        <f t="shared" si="91"/>
        <v/>
      </c>
      <c r="D316" s="294" t="str">
        <f t="shared" si="92"/>
        <v/>
      </c>
      <c r="E316" s="287"/>
      <c r="F316" s="293" t="str">
        <f t="shared" si="77"/>
        <v/>
      </c>
      <c r="G316" s="294" t="str">
        <f t="shared" si="78"/>
        <v/>
      </c>
      <c r="H316" s="290"/>
      <c r="I316" s="254" t="str">
        <f t="shared" ca="1" si="86"/>
        <v>1</v>
      </c>
      <c r="J316" s="254" t="str">
        <f t="shared" ca="1" si="87"/>
        <v>1</v>
      </c>
      <c r="K316" s="230" t="str">
        <f>IF(Giocatori!B305=0,"",Giocatori!B305)</f>
        <v>LUCIONI</v>
      </c>
      <c r="L316" s="230" t="str">
        <f>IF(Giocatori!A305=0,"",Giocatori!A305)</f>
        <v>D</v>
      </c>
      <c r="M316" s="230" t="str">
        <f>IF(Giocatori!C305=0,"",Giocatori!C305)</f>
        <v>Benevento</v>
      </c>
      <c r="N316" s="69" t="str">
        <f t="shared" si="79"/>
        <v/>
      </c>
      <c r="O316" t="str">
        <f t="shared" si="80"/>
        <v>LUCIONI</v>
      </c>
      <c r="P316" s="7">
        <f t="shared" ca="1" si="88"/>
        <v>316</v>
      </c>
      <c r="Q316" s="7" t="str">
        <f t="shared" ca="1" si="81"/>
        <v>LUCIONI</v>
      </c>
      <c r="Z316" s="256"/>
      <c r="AA316" s="219"/>
      <c r="AB316" s="293" t="str">
        <f t="shared" si="82"/>
        <v/>
      </c>
      <c r="AC316" s="294" t="str">
        <f t="shared" si="83"/>
        <v/>
      </c>
      <c r="AD316" s="219"/>
      <c r="AE316" s="219"/>
      <c r="AF316" s="293" t="str">
        <f>IF(AA316="","",VLOOKUP(AA316,Asta!$B:$H,7,FALSE))</f>
        <v/>
      </c>
      <c r="AG316" s="294" t="str">
        <f t="shared" si="84"/>
        <v/>
      </c>
      <c r="AH316" t="str">
        <f t="shared" si="85"/>
        <v/>
      </c>
      <c r="AI316" s="254" t="str">
        <f t="shared" ca="1" si="89"/>
        <v>297</v>
      </c>
      <c r="AJ316" s="254" t="str">
        <f t="shared" ca="1" si="90"/>
        <v>297</v>
      </c>
      <c r="AK316" s="351"/>
    </row>
    <row r="317" spans="1:37">
      <c r="A317" s="74">
        <v>298</v>
      </c>
      <c r="B317" s="252"/>
      <c r="C317" s="295" t="str">
        <f t="shared" si="91"/>
        <v/>
      </c>
      <c r="D317" s="296" t="str">
        <f t="shared" si="92"/>
        <v/>
      </c>
      <c r="E317" s="287"/>
      <c r="F317" s="295" t="str">
        <f t="shared" si="77"/>
        <v/>
      </c>
      <c r="G317" s="296" t="str">
        <f t="shared" si="78"/>
        <v/>
      </c>
      <c r="H317" s="290"/>
      <c r="I317" s="254" t="str">
        <f t="shared" ca="1" si="86"/>
        <v>1</v>
      </c>
      <c r="J317" s="254" t="str">
        <f t="shared" ca="1" si="87"/>
        <v>1</v>
      </c>
      <c r="K317" s="230" t="str">
        <f>IF(Giocatori!B306=0,"",Giocatori!B306)</f>
        <v>LUIS ALBERTO</v>
      </c>
      <c r="L317" s="230" t="str">
        <f>IF(Giocatori!A306=0,"",Giocatori!A306)</f>
        <v>C</v>
      </c>
      <c r="M317" s="230" t="str">
        <f>IF(Giocatori!C306=0,"",Giocatori!C306)</f>
        <v>Lazio</v>
      </c>
      <c r="N317" s="69" t="str">
        <f t="shared" si="79"/>
        <v/>
      </c>
      <c r="O317" t="str">
        <f t="shared" si="80"/>
        <v>LUIS ALBERTO</v>
      </c>
      <c r="P317" s="7">
        <f t="shared" ca="1" si="88"/>
        <v>317</v>
      </c>
      <c r="Q317" s="7" t="str">
        <f t="shared" ca="1" si="81"/>
        <v>LUIS ALBERTO</v>
      </c>
      <c r="Z317" s="256"/>
      <c r="AA317" s="219"/>
      <c r="AB317" s="295" t="str">
        <f t="shared" si="82"/>
        <v/>
      </c>
      <c r="AC317" s="296" t="str">
        <f t="shared" si="83"/>
        <v/>
      </c>
      <c r="AD317" s="219"/>
      <c r="AE317" s="219"/>
      <c r="AF317" s="295" t="str">
        <f>IF(AA317="","",VLOOKUP(AA317,Asta!$B:$H,7,FALSE))</f>
        <v/>
      </c>
      <c r="AG317" s="296" t="str">
        <f t="shared" si="84"/>
        <v/>
      </c>
      <c r="AH317" t="str">
        <f t="shared" si="85"/>
        <v/>
      </c>
      <c r="AI317" s="254" t="str">
        <f t="shared" ca="1" si="89"/>
        <v>298</v>
      </c>
      <c r="AJ317" s="254" t="str">
        <f t="shared" ca="1" si="90"/>
        <v>298</v>
      </c>
      <c r="AK317" s="351"/>
    </row>
    <row r="318" spans="1:37">
      <c r="A318" s="74">
        <v>299</v>
      </c>
      <c r="B318" s="252"/>
      <c r="C318" s="293" t="str">
        <f t="shared" si="91"/>
        <v/>
      </c>
      <c r="D318" s="294" t="str">
        <f t="shared" si="92"/>
        <v/>
      </c>
      <c r="E318" s="287"/>
      <c r="F318" s="293" t="str">
        <f t="shared" si="77"/>
        <v/>
      </c>
      <c r="G318" s="294" t="str">
        <f t="shared" si="78"/>
        <v/>
      </c>
      <c r="H318" s="290"/>
      <c r="I318" s="254" t="str">
        <f t="shared" ca="1" si="86"/>
        <v>1</v>
      </c>
      <c r="J318" s="254" t="str">
        <f t="shared" ca="1" si="87"/>
        <v>1</v>
      </c>
      <c r="K318" s="230" t="str">
        <f>IF(Giocatori!B307=0,"",Giocatori!B307)</f>
        <v>LUKAKU</v>
      </c>
      <c r="L318" s="230" t="str">
        <f>IF(Giocatori!A307=0,"",Giocatori!A307)</f>
        <v>D</v>
      </c>
      <c r="M318" s="230" t="str">
        <f>IF(Giocatori!C307=0,"",Giocatori!C307)</f>
        <v>Lazio</v>
      </c>
      <c r="N318" s="69" t="str">
        <f t="shared" si="79"/>
        <v/>
      </c>
      <c r="O318" t="str">
        <f t="shared" si="80"/>
        <v>LUKAKU</v>
      </c>
      <c r="P318" s="7">
        <f t="shared" ca="1" si="88"/>
        <v>318</v>
      </c>
      <c r="Q318" s="7" t="str">
        <f t="shared" ca="1" si="81"/>
        <v>LUKAKU</v>
      </c>
      <c r="Z318" s="256"/>
      <c r="AA318" s="219"/>
      <c r="AB318" s="293" t="str">
        <f t="shared" si="82"/>
        <v/>
      </c>
      <c r="AC318" s="294" t="str">
        <f t="shared" si="83"/>
        <v/>
      </c>
      <c r="AD318" s="219"/>
      <c r="AE318" s="219"/>
      <c r="AF318" s="293" t="str">
        <f>IF(AA318="","",VLOOKUP(AA318,Asta!$B:$H,7,FALSE))</f>
        <v/>
      </c>
      <c r="AG318" s="294" t="str">
        <f t="shared" si="84"/>
        <v/>
      </c>
      <c r="AH318" t="str">
        <f t="shared" si="85"/>
        <v/>
      </c>
      <c r="AI318" s="254" t="str">
        <f t="shared" ca="1" si="89"/>
        <v>299</v>
      </c>
      <c r="AJ318" s="254" t="str">
        <f t="shared" ca="1" si="90"/>
        <v>299</v>
      </c>
      <c r="AK318" s="351"/>
    </row>
    <row r="319" spans="1:37">
      <c r="A319" s="74">
        <v>300</v>
      </c>
      <c r="B319" s="252"/>
      <c r="C319" s="293" t="str">
        <f t="shared" si="91"/>
        <v/>
      </c>
      <c r="D319" s="294" t="str">
        <f t="shared" si="92"/>
        <v/>
      </c>
      <c r="E319" s="287"/>
      <c r="F319" s="293" t="str">
        <f t="shared" si="77"/>
        <v/>
      </c>
      <c r="G319" s="294" t="str">
        <f t="shared" si="78"/>
        <v/>
      </c>
      <c r="H319" s="290"/>
      <c r="I319" s="254" t="str">
        <f t="shared" ca="1" si="86"/>
        <v>1</v>
      </c>
      <c r="J319" s="254" t="str">
        <f t="shared" ca="1" si="87"/>
        <v>1</v>
      </c>
      <c r="K319" s="230" t="str">
        <f>IF(Giocatori!B308=0,"",Giocatori!B308)</f>
        <v>LULIC</v>
      </c>
      <c r="L319" s="230" t="str">
        <f>IF(Giocatori!A308=0,"",Giocatori!A308)</f>
        <v>C</v>
      </c>
      <c r="M319" s="230" t="str">
        <f>IF(Giocatori!C308=0,"",Giocatori!C308)</f>
        <v>Lazio</v>
      </c>
      <c r="N319" s="69" t="str">
        <f t="shared" si="79"/>
        <v/>
      </c>
      <c r="O319" t="str">
        <f t="shared" si="80"/>
        <v>LULIC</v>
      </c>
      <c r="P319" s="7">
        <f t="shared" ca="1" si="88"/>
        <v>319</v>
      </c>
      <c r="Q319" s="7" t="str">
        <f t="shared" ca="1" si="81"/>
        <v>LULIC</v>
      </c>
      <c r="Z319" s="256"/>
      <c r="AA319" s="219"/>
      <c r="AB319" s="293" t="str">
        <f t="shared" si="82"/>
        <v/>
      </c>
      <c r="AC319" s="294" t="str">
        <f t="shared" si="83"/>
        <v/>
      </c>
      <c r="AD319" s="219"/>
      <c r="AE319" s="219"/>
      <c r="AF319" s="293" t="str">
        <f>IF(AA319="","",VLOOKUP(AA319,Asta!$B:$H,7,FALSE))</f>
        <v/>
      </c>
      <c r="AG319" s="294" t="str">
        <f t="shared" si="84"/>
        <v/>
      </c>
      <c r="AH319" t="str">
        <f t="shared" si="85"/>
        <v/>
      </c>
      <c r="AI319" s="254" t="str">
        <f t="shared" ca="1" si="89"/>
        <v>300</v>
      </c>
      <c r="AJ319" s="254" t="str">
        <f t="shared" ca="1" si="90"/>
        <v>300</v>
      </c>
      <c r="AK319" s="351"/>
    </row>
    <row r="320" spans="1:37">
      <c r="A320" s="74">
        <v>301</v>
      </c>
      <c r="B320" s="252"/>
      <c r="C320" s="293" t="str">
        <f t="shared" si="91"/>
        <v/>
      </c>
      <c r="D320" s="294" t="str">
        <f t="shared" si="92"/>
        <v/>
      </c>
      <c r="E320" s="287"/>
      <c r="F320" s="293" t="str">
        <f t="shared" si="77"/>
        <v/>
      </c>
      <c r="G320" s="294" t="str">
        <f t="shared" si="78"/>
        <v/>
      </c>
      <c r="H320" s="290"/>
      <c r="I320" s="254" t="str">
        <f t="shared" ca="1" si="86"/>
        <v>1</v>
      </c>
      <c r="J320" s="254" t="str">
        <f t="shared" ca="1" si="87"/>
        <v>1</v>
      </c>
      <c r="K320" s="230" t="str">
        <f>IF(Giocatori!B309=0,"",Giocatori!B309)</f>
        <v>LYANCO</v>
      </c>
      <c r="L320" s="230" t="str">
        <f>IF(Giocatori!A309=0,"",Giocatori!A309)</f>
        <v>D</v>
      </c>
      <c r="M320" s="230" t="str">
        <f>IF(Giocatori!C309=0,"",Giocatori!C309)</f>
        <v>Torino</v>
      </c>
      <c r="N320" s="69" t="str">
        <f t="shared" si="79"/>
        <v/>
      </c>
      <c r="O320" t="str">
        <f t="shared" si="80"/>
        <v>LYANCO</v>
      </c>
      <c r="P320" s="7">
        <f t="shared" ca="1" si="88"/>
        <v>320</v>
      </c>
      <c r="Q320" s="7" t="str">
        <f t="shared" ca="1" si="81"/>
        <v>LYANCO</v>
      </c>
      <c r="Z320" s="256"/>
      <c r="AA320" s="219"/>
      <c r="AB320" s="293" t="str">
        <f t="shared" si="82"/>
        <v/>
      </c>
      <c r="AC320" s="294" t="str">
        <f t="shared" si="83"/>
        <v/>
      </c>
      <c r="AD320" s="219"/>
      <c r="AE320" s="219"/>
      <c r="AF320" s="293" t="str">
        <f>IF(AA320="","",VLOOKUP(AA320,Asta!$B:$H,7,FALSE))</f>
        <v/>
      </c>
      <c r="AG320" s="294" t="str">
        <f t="shared" si="84"/>
        <v/>
      </c>
      <c r="AH320" t="str">
        <f t="shared" si="85"/>
        <v/>
      </c>
      <c r="AI320" s="254" t="str">
        <f t="shared" ca="1" si="89"/>
        <v>301</v>
      </c>
      <c r="AJ320" s="254" t="str">
        <f t="shared" ca="1" si="90"/>
        <v>301</v>
      </c>
      <c r="AK320" s="351"/>
    </row>
    <row r="321" spans="1:37">
      <c r="A321" s="74">
        <v>302</v>
      </c>
      <c r="B321" s="252"/>
      <c r="C321" s="293" t="str">
        <f t="shared" si="91"/>
        <v/>
      </c>
      <c r="D321" s="294" t="str">
        <f t="shared" si="92"/>
        <v/>
      </c>
      <c r="E321" s="287"/>
      <c r="F321" s="293" t="str">
        <f t="shared" si="77"/>
        <v/>
      </c>
      <c r="G321" s="294" t="str">
        <f t="shared" si="78"/>
        <v/>
      </c>
      <c r="H321" s="290"/>
      <c r="I321" s="254" t="str">
        <f t="shared" ca="1" si="86"/>
        <v>1</v>
      </c>
      <c r="J321" s="254" t="str">
        <f t="shared" ca="1" si="87"/>
        <v>1</v>
      </c>
      <c r="K321" s="230" t="str">
        <f>IF(Giocatori!B310=0,"",Giocatori!B310)</f>
        <v>MAGGIO</v>
      </c>
      <c r="L321" s="230" t="str">
        <f>IF(Giocatori!A310=0,"",Giocatori!A310)</f>
        <v>D</v>
      </c>
      <c r="M321" s="230" t="str">
        <f>IF(Giocatori!C310=0,"",Giocatori!C310)</f>
        <v>Napoli</v>
      </c>
      <c r="N321" s="69" t="str">
        <f t="shared" si="79"/>
        <v/>
      </c>
      <c r="O321" t="str">
        <f t="shared" si="80"/>
        <v>MAGGIO</v>
      </c>
      <c r="P321" s="7">
        <f t="shared" ca="1" si="88"/>
        <v>321</v>
      </c>
      <c r="Q321" s="7" t="str">
        <f t="shared" ca="1" si="81"/>
        <v>MAGGIO</v>
      </c>
      <c r="Z321" s="256"/>
      <c r="AA321" s="219"/>
      <c r="AB321" s="293" t="str">
        <f t="shared" si="82"/>
        <v/>
      </c>
      <c r="AC321" s="294" t="str">
        <f t="shared" si="83"/>
        <v/>
      </c>
      <c r="AD321" s="219"/>
      <c r="AE321" s="219"/>
      <c r="AF321" s="293" t="str">
        <f>IF(AA321="","",VLOOKUP(AA321,Asta!$B:$H,7,FALSE))</f>
        <v/>
      </c>
      <c r="AG321" s="294" t="str">
        <f t="shared" si="84"/>
        <v/>
      </c>
      <c r="AH321" t="str">
        <f t="shared" si="85"/>
        <v/>
      </c>
      <c r="AI321" s="254" t="str">
        <f t="shared" ca="1" si="89"/>
        <v>302</v>
      </c>
      <c r="AJ321" s="254" t="str">
        <f t="shared" ca="1" si="90"/>
        <v>302</v>
      </c>
      <c r="AK321" s="351"/>
    </row>
    <row r="322" spans="1:37">
      <c r="A322" s="74">
        <v>303</v>
      </c>
      <c r="B322" s="252"/>
      <c r="C322" s="293" t="str">
        <f t="shared" si="91"/>
        <v/>
      </c>
      <c r="D322" s="294" t="str">
        <f t="shared" si="92"/>
        <v/>
      </c>
      <c r="E322" s="287"/>
      <c r="F322" s="293" t="str">
        <f t="shared" si="77"/>
        <v/>
      </c>
      <c r="G322" s="294" t="str">
        <f t="shared" si="78"/>
        <v/>
      </c>
      <c r="H322" s="290"/>
      <c r="I322" s="254" t="str">
        <f t="shared" ca="1" si="86"/>
        <v>1</v>
      </c>
      <c r="J322" s="254" t="str">
        <f t="shared" ca="1" si="87"/>
        <v>1</v>
      </c>
      <c r="K322" s="230" t="str">
        <f>IF(Giocatori!B311=0,"",Giocatori!B311)</f>
        <v>MAGNANELLI</v>
      </c>
      <c r="L322" s="230" t="str">
        <f>IF(Giocatori!A311=0,"",Giocatori!A311)</f>
        <v>C</v>
      </c>
      <c r="M322" s="230" t="str">
        <f>IF(Giocatori!C311=0,"",Giocatori!C311)</f>
        <v>Sassuolo</v>
      </c>
      <c r="N322" s="69" t="str">
        <f t="shared" si="79"/>
        <v/>
      </c>
      <c r="O322" t="str">
        <f t="shared" si="80"/>
        <v>MAGNANELLI</v>
      </c>
      <c r="P322" s="7">
        <f t="shared" ca="1" si="88"/>
        <v>322</v>
      </c>
      <c r="Q322" s="7" t="str">
        <f t="shared" ca="1" si="81"/>
        <v>MAGNANELLI</v>
      </c>
      <c r="Z322" s="256"/>
      <c r="AA322" s="219"/>
      <c r="AB322" s="293" t="str">
        <f t="shared" si="82"/>
        <v/>
      </c>
      <c r="AC322" s="294" t="str">
        <f t="shared" si="83"/>
        <v/>
      </c>
      <c r="AD322" s="219"/>
      <c r="AE322" s="219"/>
      <c r="AF322" s="293" t="str">
        <f>IF(AA322="","",VLOOKUP(AA322,Asta!$B:$H,7,FALSE))</f>
        <v/>
      </c>
      <c r="AG322" s="294" t="str">
        <f t="shared" si="84"/>
        <v/>
      </c>
      <c r="AH322" t="str">
        <f t="shared" si="85"/>
        <v/>
      </c>
      <c r="AI322" s="254" t="str">
        <f t="shared" ca="1" si="89"/>
        <v>303</v>
      </c>
      <c r="AJ322" s="254" t="str">
        <f t="shared" ca="1" si="90"/>
        <v>303</v>
      </c>
      <c r="AK322" s="351"/>
    </row>
    <row r="323" spans="1:37">
      <c r="A323" s="74">
        <v>304</v>
      </c>
      <c r="B323" s="252"/>
      <c r="C323" s="293" t="str">
        <f t="shared" si="91"/>
        <v/>
      </c>
      <c r="D323" s="294" t="str">
        <f t="shared" si="92"/>
        <v/>
      </c>
      <c r="E323" s="287"/>
      <c r="F323" s="293" t="str">
        <f t="shared" si="77"/>
        <v/>
      </c>
      <c r="G323" s="294" t="str">
        <f t="shared" si="78"/>
        <v/>
      </c>
      <c r="H323" s="290"/>
      <c r="I323" s="254" t="str">
        <f t="shared" ca="1" si="86"/>
        <v>1</v>
      </c>
      <c r="J323" s="254" t="str">
        <f t="shared" ca="1" si="87"/>
        <v>1</v>
      </c>
      <c r="K323" s="230" t="str">
        <f>IF(Giocatori!B312=0,"",Giocatori!B312)</f>
        <v>MAIETTA</v>
      </c>
      <c r="L323" s="230" t="str">
        <f>IF(Giocatori!A312=0,"",Giocatori!A312)</f>
        <v>D</v>
      </c>
      <c r="M323" s="230" t="str">
        <f>IF(Giocatori!C312=0,"",Giocatori!C312)</f>
        <v>Bologna</v>
      </c>
      <c r="N323" s="69" t="str">
        <f t="shared" si="79"/>
        <v/>
      </c>
      <c r="O323" t="str">
        <f t="shared" si="80"/>
        <v>MAIETTA</v>
      </c>
      <c r="P323" s="7">
        <f t="shared" ca="1" si="88"/>
        <v>323</v>
      </c>
      <c r="Q323" s="7" t="str">
        <f t="shared" ca="1" si="81"/>
        <v>MAIETTA</v>
      </c>
      <c r="Z323" s="256"/>
      <c r="AA323" s="219"/>
      <c r="AB323" s="293" t="str">
        <f t="shared" si="82"/>
        <v/>
      </c>
      <c r="AC323" s="294" t="str">
        <f t="shared" si="83"/>
        <v/>
      </c>
      <c r="AD323" s="219"/>
      <c r="AE323" s="219"/>
      <c r="AF323" s="293" t="str">
        <f>IF(AA323="","",VLOOKUP(AA323,Asta!$B:$H,7,FALSE))</f>
        <v/>
      </c>
      <c r="AG323" s="294" t="str">
        <f t="shared" si="84"/>
        <v/>
      </c>
      <c r="AH323" t="str">
        <f t="shared" si="85"/>
        <v/>
      </c>
      <c r="AI323" s="254" t="str">
        <f t="shared" ca="1" si="89"/>
        <v>304</v>
      </c>
      <c r="AJ323" s="254" t="str">
        <f t="shared" ca="1" si="90"/>
        <v>304</v>
      </c>
      <c r="AK323" s="351"/>
    </row>
    <row r="324" spans="1:37">
      <c r="A324" s="74">
        <v>305</v>
      </c>
      <c r="B324" s="252"/>
      <c r="C324" s="293" t="str">
        <f t="shared" si="91"/>
        <v/>
      </c>
      <c r="D324" s="294" t="str">
        <f t="shared" si="92"/>
        <v/>
      </c>
      <c r="E324" s="287"/>
      <c r="F324" s="293" t="str">
        <f t="shared" si="77"/>
        <v/>
      </c>
      <c r="G324" s="294" t="str">
        <f t="shared" si="78"/>
        <v/>
      </c>
      <c r="H324" s="290"/>
      <c r="I324" s="254" t="str">
        <f t="shared" ca="1" si="86"/>
        <v>1</v>
      </c>
      <c r="J324" s="254" t="str">
        <f t="shared" ca="1" si="87"/>
        <v>1</v>
      </c>
      <c r="K324" s="230" t="str">
        <f>IF(Giocatori!B313=0,"",Giocatori!B313)</f>
        <v>MAKSIMOVIC</v>
      </c>
      <c r="L324" s="230" t="str">
        <f>IF(Giocatori!A313=0,"",Giocatori!A313)</f>
        <v>D</v>
      </c>
      <c r="M324" s="230" t="str">
        <f>IF(Giocatori!C313=0,"",Giocatori!C313)</f>
        <v>Napoli</v>
      </c>
      <c r="N324" s="69" t="str">
        <f t="shared" si="79"/>
        <v/>
      </c>
      <c r="O324" t="str">
        <f t="shared" si="80"/>
        <v>MAKSIMOVIC</v>
      </c>
      <c r="P324" s="7">
        <f t="shared" ca="1" si="88"/>
        <v>324</v>
      </c>
      <c r="Q324" s="7" t="str">
        <f t="shared" ca="1" si="81"/>
        <v>MAKSIMOVIC</v>
      </c>
      <c r="Z324" s="256"/>
      <c r="AA324" s="219"/>
      <c r="AB324" s="293" t="str">
        <f t="shared" si="82"/>
        <v/>
      </c>
      <c r="AC324" s="294" t="str">
        <f t="shared" si="83"/>
        <v/>
      </c>
      <c r="AD324" s="219"/>
      <c r="AE324" s="219"/>
      <c r="AF324" s="293" t="str">
        <f>IF(AA324="","",VLOOKUP(AA324,Asta!$B:$H,7,FALSE))</f>
        <v/>
      </c>
      <c r="AG324" s="294" t="str">
        <f t="shared" si="84"/>
        <v/>
      </c>
      <c r="AH324" t="str">
        <f t="shared" si="85"/>
        <v/>
      </c>
      <c r="AI324" s="254" t="str">
        <f t="shared" ca="1" si="89"/>
        <v>305</v>
      </c>
      <c r="AJ324" s="254" t="str">
        <f t="shared" ca="1" si="90"/>
        <v>305</v>
      </c>
      <c r="AK324" s="351"/>
    </row>
    <row r="325" spans="1:37">
      <c r="A325" s="74">
        <v>306</v>
      </c>
      <c r="B325" s="252"/>
      <c r="C325" s="293" t="str">
        <f t="shared" si="91"/>
        <v/>
      </c>
      <c r="D325" s="294" t="str">
        <f t="shared" si="92"/>
        <v/>
      </c>
      <c r="E325" s="287"/>
      <c r="F325" s="293" t="str">
        <f t="shared" si="77"/>
        <v/>
      </c>
      <c r="G325" s="294" t="str">
        <f t="shared" si="78"/>
        <v/>
      </c>
      <c r="H325" s="290"/>
      <c r="I325" s="254" t="str">
        <f t="shared" ca="1" si="86"/>
        <v>1</v>
      </c>
      <c r="J325" s="254" t="str">
        <f t="shared" ca="1" si="87"/>
        <v>1</v>
      </c>
      <c r="K325" s="230" t="str">
        <f>IF(Giocatori!B314=0,"",Giocatori!B314)</f>
        <v>MALLE'</v>
      </c>
      <c r="L325" s="230" t="str">
        <f>IF(Giocatori!A314=0,"",Giocatori!A314)</f>
        <v>C</v>
      </c>
      <c r="M325" s="230" t="str">
        <f>IF(Giocatori!C314=0,"",Giocatori!C314)</f>
        <v>Udinese</v>
      </c>
      <c r="N325" s="69" t="str">
        <f t="shared" si="79"/>
        <v/>
      </c>
      <c r="O325" t="str">
        <f t="shared" si="80"/>
        <v>MALLE'</v>
      </c>
      <c r="P325" s="7">
        <f t="shared" ca="1" si="88"/>
        <v>325</v>
      </c>
      <c r="Q325" s="7" t="str">
        <f t="shared" ca="1" si="81"/>
        <v>MALLE'</v>
      </c>
      <c r="Z325" s="256"/>
      <c r="AA325" s="219"/>
      <c r="AB325" s="293" t="str">
        <f t="shared" si="82"/>
        <v/>
      </c>
      <c r="AC325" s="294" t="str">
        <f t="shared" si="83"/>
        <v/>
      </c>
      <c r="AD325" s="219"/>
      <c r="AE325" s="219"/>
      <c r="AF325" s="293" t="str">
        <f>IF(AA325="","",VLOOKUP(AA325,Asta!$B:$H,7,FALSE))</f>
        <v/>
      </c>
      <c r="AG325" s="294" t="str">
        <f t="shared" si="84"/>
        <v/>
      </c>
      <c r="AH325" t="str">
        <f t="shared" si="85"/>
        <v/>
      </c>
      <c r="AI325" s="254" t="str">
        <f t="shared" ca="1" si="89"/>
        <v>306</v>
      </c>
      <c r="AJ325" s="254" t="str">
        <f t="shared" ca="1" si="90"/>
        <v>306</v>
      </c>
      <c r="AK325" s="351"/>
    </row>
    <row r="326" spans="1:37">
      <c r="A326" s="74">
        <v>307</v>
      </c>
      <c r="B326" s="252"/>
      <c r="C326" s="293" t="str">
        <f t="shared" si="91"/>
        <v/>
      </c>
      <c r="D326" s="294" t="str">
        <f t="shared" si="92"/>
        <v/>
      </c>
      <c r="E326" s="287"/>
      <c r="F326" s="293" t="str">
        <f t="shared" si="77"/>
        <v/>
      </c>
      <c r="G326" s="294" t="str">
        <f t="shared" si="78"/>
        <v/>
      </c>
      <c r="H326" s="290"/>
      <c r="I326" s="254" t="str">
        <f t="shared" ca="1" si="86"/>
        <v>1</v>
      </c>
      <c r="J326" s="254" t="str">
        <f t="shared" ca="1" si="87"/>
        <v>1</v>
      </c>
      <c r="K326" s="230" t="str">
        <f>IF(Giocatori!B315=0,"",Giocatori!B315)</f>
        <v>MANCINI G</v>
      </c>
      <c r="L326" s="230" t="str">
        <f>IF(Giocatori!A315=0,"",Giocatori!A315)</f>
        <v>D</v>
      </c>
      <c r="M326" s="230" t="str">
        <f>IF(Giocatori!C315=0,"",Giocatori!C315)</f>
        <v>Atalanta</v>
      </c>
      <c r="N326" s="69" t="str">
        <f t="shared" si="79"/>
        <v/>
      </c>
      <c r="O326" t="str">
        <f t="shared" si="80"/>
        <v>MANCINI G</v>
      </c>
      <c r="P326" s="7">
        <f t="shared" ca="1" si="88"/>
        <v>326</v>
      </c>
      <c r="Q326" s="7" t="str">
        <f t="shared" ca="1" si="81"/>
        <v>MANCINI G</v>
      </c>
      <c r="Z326" s="256"/>
      <c r="AA326" s="219"/>
      <c r="AB326" s="293" t="str">
        <f t="shared" si="82"/>
        <v/>
      </c>
      <c r="AC326" s="294" t="str">
        <f t="shared" si="83"/>
        <v/>
      </c>
      <c r="AD326" s="219"/>
      <c r="AE326" s="219"/>
      <c r="AF326" s="293" t="str">
        <f>IF(AA326="","",VLOOKUP(AA326,Asta!$B:$H,7,FALSE))</f>
        <v/>
      </c>
      <c r="AG326" s="294" t="str">
        <f t="shared" si="84"/>
        <v/>
      </c>
      <c r="AH326" t="str">
        <f t="shared" si="85"/>
        <v/>
      </c>
      <c r="AI326" s="254" t="str">
        <f t="shared" ca="1" si="89"/>
        <v>307</v>
      </c>
      <c r="AJ326" s="254" t="str">
        <f t="shared" ca="1" si="90"/>
        <v>307</v>
      </c>
      <c r="AK326" s="351"/>
    </row>
    <row r="327" spans="1:37">
      <c r="A327" s="74">
        <v>308</v>
      </c>
      <c r="B327" s="252"/>
      <c r="C327" s="293" t="str">
        <f t="shared" si="91"/>
        <v/>
      </c>
      <c r="D327" s="294" t="str">
        <f t="shared" si="92"/>
        <v/>
      </c>
      <c r="E327" s="287"/>
      <c r="F327" s="293" t="str">
        <f t="shared" si="77"/>
        <v/>
      </c>
      <c r="G327" s="294" t="str">
        <f t="shared" si="78"/>
        <v/>
      </c>
      <c r="H327" s="290"/>
      <c r="I327" s="254" t="str">
        <f t="shared" ca="1" si="86"/>
        <v>1</v>
      </c>
      <c r="J327" s="254" t="str">
        <f t="shared" ca="1" si="87"/>
        <v>1</v>
      </c>
      <c r="K327" s="230" t="str">
        <f>IF(Giocatori!B316=0,"",Giocatori!B316)</f>
        <v>MANDRAGORA</v>
      </c>
      <c r="L327" s="230" t="str">
        <f>IF(Giocatori!A316=0,"",Giocatori!A316)</f>
        <v>C</v>
      </c>
      <c r="M327" s="230" t="str">
        <f>IF(Giocatori!C316=0,"",Giocatori!C316)</f>
        <v>Crotone</v>
      </c>
      <c r="N327" s="69" t="str">
        <f t="shared" si="79"/>
        <v/>
      </c>
      <c r="O327" t="str">
        <f t="shared" si="80"/>
        <v>MANDRAGORA</v>
      </c>
      <c r="P327" s="7">
        <f t="shared" ca="1" si="88"/>
        <v>327</v>
      </c>
      <c r="Q327" s="7" t="str">
        <f t="shared" ca="1" si="81"/>
        <v>MANDRAGORA</v>
      </c>
      <c r="Z327" s="256"/>
      <c r="AA327" s="219"/>
      <c r="AB327" s="293" t="str">
        <f t="shared" si="82"/>
        <v/>
      </c>
      <c r="AC327" s="294" t="str">
        <f t="shared" si="83"/>
        <v/>
      </c>
      <c r="AD327" s="219"/>
      <c r="AE327" s="219"/>
      <c r="AF327" s="293" t="str">
        <f>IF(AA327="","",VLOOKUP(AA327,Asta!$B:$H,7,FALSE))</f>
        <v/>
      </c>
      <c r="AG327" s="294" t="str">
        <f t="shared" si="84"/>
        <v/>
      </c>
      <c r="AH327" t="str">
        <f t="shared" si="85"/>
        <v/>
      </c>
      <c r="AI327" s="254" t="str">
        <f t="shared" ca="1" si="89"/>
        <v>308</v>
      </c>
      <c r="AJ327" s="254" t="str">
        <f t="shared" ca="1" si="90"/>
        <v>308</v>
      </c>
      <c r="AK327" s="351"/>
    </row>
    <row r="328" spans="1:37">
      <c r="A328" s="74">
        <v>309</v>
      </c>
      <c r="B328" s="252"/>
      <c r="C328" s="293" t="str">
        <f t="shared" si="91"/>
        <v/>
      </c>
      <c r="D328" s="294" t="str">
        <f t="shared" si="92"/>
        <v/>
      </c>
      <c r="E328" s="287"/>
      <c r="F328" s="293" t="str">
        <f t="shared" si="77"/>
        <v/>
      </c>
      <c r="G328" s="294" t="str">
        <f t="shared" si="78"/>
        <v/>
      </c>
      <c r="H328" s="290"/>
      <c r="I328" s="254" t="str">
        <f t="shared" ca="1" si="86"/>
        <v>1</v>
      </c>
      <c r="J328" s="254" t="str">
        <f t="shared" ca="1" si="87"/>
        <v>1</v>
      </c>
      <c r="K328" s="230" t="str">
        <f>IF(Giocatori!B317=0,"",Giocatori!B317)</f>
        <v>MANDZUKIC</v>
      </c>
      <c r="L328" s="230" t="str">
        <f>IF(Giocatori!A317=0,"",Giocatori!A317)</f>
        <v>A</v>
      </c>
      <c r="M328" s="230" t="str">
        <f>IF(Giocatori!C317=0,"",Giocatori!C317)</f>
        <v>Juventus</v>
      </c>
      <c r="N328" s="69" t="str">
        <f t="shared" si="79"/>
        <v/>
      </c>
      <c r="O328" t="str">
        <f t="shared" si="80"/>
        <v>MANDZUKIC</v>
      </c>
      <c r="P328" s="7">
        <f t="shared" ca="1" si="88"/>
        <v>328</v>
      </c>
      <c r="Q328" s="7" t="str">
        <f t="shared" ca="1" si="81"/>
        <v>MANDZUKIC</v>
      </c>
      <c r="Z328" s="256"/>
      <c r="AA328" s="219"/>
      <c r="AB328" s="293" t="str">
        <f t="shared" si="82"/>
        <v/>
      </c>
      <c r="AC328" s="294" t="str">
        <f t="shared" si="83"/>
        <v/>
      </c>
      <c r="AD328" s="219"/>
      <c r="AE328" s="219"/>
      <c r="AF328" s="293" t="str">
        <f>IF(AA328="","",VLOOKUP(AA328,Asta!$B:$H,7,FALSE))</f>
        <v/>
      </c>
      <c r="AG328" s="294" t="str">
        <f t="shared" si="84"/>
        <v/>
      </c>
      <c r="AH328" t="str">
        <f t="shared" si="85"/>
        <v/>
      </c>
      <c r="AI328" s="254" t="str">
        <f t="shared" ca="1" si="89"/>
        <v>309</v>
      </c>
      <c r="AJ328" s="254" t="str">
        <f t="shared" ca="1" si="90"/>
        <v>309</v>
      </c>
      <c r="AK328" s="351"/>
    </row>
    <row r="329" spans="1:37">
      <c r="A329" s="74">
        <v>310</v>
      </c>
      <c r="B329" s="252"/>
      <c r="C329" s="293" t="str">
        <f t="shared" si="91"/>
        <v/>
      </c>
      <c r="D329" s="294" t="str">
        <f t="shared" si="92"/>
        <v/>
      </c>
      <c r="E329" s="287"/>
      <c r="F329" s="293" t="str">
        <f t="shared" si="77"/>
        <v/>
      </c>
      <c r="G329" s="294" t="str">
        <f t="shared" si="78"/>
        <v/>
      </c>
      <c r="H329" s="290"/>
      <c r="I329" s="254" t="str">
        <f t="shared" ca="1" si="86"/>
        <v>1</v>
      </c>
      <c r="J329" s="254" t="str">
        <f t="shared" ca="1" si="87"/>
        <v>1</v>
      </c>
      <c r="K329" s="230" t="str">
        <f>IF(Giocatori!B318=0,"",Giocatori!B318)</f>
        <v>MANOLAS</v>
      </c>
      <c r="L329" s="230" t="str">
        <f>IF(Giocatori!A318=0,"",Giocatori!A318)</f>
        <v>D</v>
      </c>
      <c r="M329" s="230" t="str">
        <f>IF(Giocatori!C318=0,"",Giocatori!C318)</f>
        <v>Roma</v>
      </c>
      <c r="N329" s="69" t="str">
        <f t="shared" si="79"/>
        <v/>
      </c>
      <c r="O329" t="str">
        <f t="shared" si="80"/>
        <v>MANOLAS</v>
      </c>
      <c r="P329" s="7">
        <f t="shared" ca="1" si="88"/>
        <v>329</v>
      </c>
      <c r="Q329" s="7" t="str">
        <f t="shared" ca="1" si="81"/>
        <v>MANOLAS</v>
      </c>
      <c r="Z329" s="256"/>
      <c r="AA329" s="219"/>
      <c r="AB329" s="293" t="str">
        <f t="shared" si="82"/>
        <v/>
      </c>
      <c r="AC329" s="294" t="str">
        <f t="shared" si="83"/>
        <v/>
      </c>
      <c r="AD329" s="219"/>
      <c r="AE329" s="219"/>
      <c r="AF329" s="293" t="str">
        <f>IF(AA329="","",VLOOKUP(AA329,Asta!$B:$H,7,FALSE))</f>
        <v/>
      </c>
      <c r="AG329" s="294" t="str">
        <f t="shared" si="84"/>
        <v/>
      </c>
      <c r="AH329" t="str">
        <f t="shared" si="85"/>
        <v/>
      </c>
      <c r="AI329" s="254" t="str">
        <f t="shared" ca="1" si="89"/>
        <v>310</v>
      </c>
      <c r="AJ329" s="254" t="str">
        <f t="shared" ca="1" si="90"/>
        <v>310</v>
      </c>
      <c r="AK329" s="351"/>
    </row>
    <row r="330" spans="1:37">
      <c r="A330" s="74">
        <v>311</v>
      </c>
      <c r="B330" s="252"/>
      <c r="C330" s="293" t="str">
        <f t="shared" si="91"/>
        <v/>
      </c>
      <c r="D330" s="294" t="str">
        <f t="shared" si="92"/>
        <v/>
      </c>
      <c r="E330" s="287"/>
      <c r="F330" s="293" t="str">
        <f t="shared" si="77"/>
        <v/>
      </c>
      <c r="G330" s="294" t="str">
        <f t="shared" si="78"/>
        <v/>
      </c>
      <c r="H330" s="290"/>
      <c r="I330" s="254" t="str">
        <f t="shared" ca="1" si="86"/>
        <v>1</v>
      </c>
      <c r="J330" s="254" t="str">
        <f t="shared" ca="1" si="87"/>
        <v>1</v>
      </c>
      <c r="K330" s="230" t="str">
        <f>IF(Giocatori!B319=0,"",Giocatori!B319)</f>
        <v>MARCHEGIANI</v>
      </c>
      <c r="L330" s="230" t="str">
        <f>IF(Giocatori!A319=0,"",Giocatori!A319)</f>
        <v>P</v>
      </c>
      <c r="M330" s="230" t="str">
        <f>IF(Giocatori!C319=0,"",Giocatori!C319)</f>
        <v>SPAL</v>
      </c>
      <c r="N330" s="69" t="str">
        <f t="shared" si="79"/>
        <v/>
      </c>
      <c r="O330" t="str">
        <f t="shared" si="80"/>
        <v>MARCHEGIANI</v>
      </c>
      <c r="P330" s="7">
        <f t="shared" ca="1" si="88"/>
        <v>330</v>
      </c>
      <c r="Q330" s="7" t="str">
        <f t="shared" ca="1" si="81"/>
        <v>MARCHEGIANI</v>
      </c>
      <c r="Z330" s="256"/>
      <c r="AA330" s="219"/>
      <c r="AB330" s="293" t="str">
        <f t="shared" si="82"/>
        <v/>
      </c>
      <c r="AC330" s="294" t="str">
        <f t="shared" si="83"/>
        <v/>
      </c>
      <c r="AD330" s="219"/>
      <c r="AE330" s="219"/>
      <c r="AF330" s="293" t="str">
        <f>IF(AA330="","",VLOOKUP(AA330,Asta!$B:$H,7,FALSE))</f>
        <v/>
      </c>
      <c r="AG330" s="294" t="str">
        <f t="shared" si="84"/>
        <v/>
      </c>
      <c r="AH330" t="str">
        <f t="shared" si="85"/>
        <v/>
      </c>
      <c r="AI330" s="254" t="str">
        <f t="shared" ca="1" si="89"/>
        <v>311</v>
      </c>
      <c r="AJ330" s="254" t="str">
        <f t="shared" ca="1" si="90"/>
        <v>311</v>
      </c>
      <c r="AK330" s="351"/>
    </row>
    <row r="331" spans="1:37">
      <c r="A331" s="74">
        <v>312</v>
      </c>
      <c r="B331" s="252"/>
      <c r="C331" s="293" t="str">
        <f t="shared" si="91"/>
        <v/>
      </c>
      <c r="D331" s="294" t="str">
        <f t="shared" si="92"/>
        <v/>
      </c>
      <c r="E331" s="287"/>
      <c r="F331" s="293" t="str">
        <f t="shared" si="77"/>
        <v/>
      </c>
      <c r="G331" s="294" t="str">
        <f t="shared" si="78"/>
        <v/>
      </c>
      <c r="H331" s="290"/>
      <c r="I331" s="254" t="str">
        <f t="shared" ca="1" si="86"/>
        <v>1</v>
      </c>
      <c r="J331" s="254" t="str">
        <f t="shared" ca="1" si="87"/>
        <v>1</v>
      </c>
      <c r="K331" s="230" t="str">
        <f>IF(Giocatori!B320=0,"",Giocatori!B320)</f>
        <v>MARCHETTI</v>
      </c>
      <c r="L331" s="230" t="str">
        <f>IF(Giocatori!A320=0,"",Giocatori!A320)</f>
        <v>P</v>
      </c>
      <c r="M331" s="230" t="str">
        <f>IF(Giocatori!C320=0,"",Giocatori!C320)</f>
        <v>Lazio</v>
      </c>
      <c r="N331" s="69" t="str">
        <f t="shared" si="79"/>
        <v/>
      </c>
      <c r="O331" t="str">
        <f t="shared" si="80"/>
        <v>MARCHETTI</v>
      </c>
      <c r="P331" s="7">
        <f t="shared" ca="1" si="88"/>
        <v>331</v>
      </c>
      <c r="Q331" s="7" t="str">
        <f t="shared" ca="1" si="81"/>
        <v>MARCHETTI</v>
      </c>
      <c r="Z331" s="256"/>
      <c r="AA331" s="219"/>
      <c r="AB331" s="293" t="str">
        <f t="shared" si="82"/>
        <v/>
      </c>
      <c r="AC331" s="294" t="str">
        <f t="shared" si="83"/>
        <v/>
      </c>
      <c r="AD331" s="219"/>
      <c r="AE331" s="219"/>
      <c r="AF331" s="293" t="str">
        <f>IF(AA331="","",VLOOKUP(AA331,Asta!$B:$H,7,FALSE))</f>
        <v/>
      </c>
      <c r="AG331" s="294" t="str">
        <f t="shared" si="84"/>
        <v/>
      </c>
      <c r="AH331" t="str">
        <f t="shared" si="85"/>
        <v/>
      </c>
      <c r="AI331" s="254" t="str">
        <f t="shared" ca="1" si="89"/>
        <v>312</v>
      </c>
      <c r="AJ331" s="254" t="str">
        <f t="shared" ca="1" si="90"/>
        <v>312</v>
      </c>
      <c r="AK331" s="351"/>
    </row>
    <row r="332" spans="1:37">
      <c r="A332" s="74">
        <v>313</v>
      </c>
      <c r="B332" s="252"/>
      <c r="C332" s="293" t="str">
        <f t="shared" si="91"/>
        <v/>
      </c>
      <c r="D332" s="294" t="str">
        <f t="shared" si="92"/>
        <v/>
      </c>
      <c r="E332" s="287"/>
      <c r="F332" s="293" t="str">
        <f t="shared" si="77"/>
        <v/>
      </c>
      <c r="G332" s="294" t="str">
        <f t="shared" si="78"/>
        <v/>
      </c>
      <c r="H332" s="290"/>
      <c r="I332" s="254" t="str">
        <f t="shared" ca="1" si="86"/>
        <v>1</v>
      </c>
      <c r="J332" s="254" t="str">
        <f t="shared" ca="1" si="87"/>
        <v>1</v>
      </c>
      <c r="K332" s="230" t="str">
        <f>IF(Giocatori!B321=0,"",Giocatori!B321)</f>
        <v>MARCHISIO</v>
      </c>
      <c r="L332" s="230" t="str">
        <f>IF(Giocatori!A321=0,"",Giocatori!A321)</f>
        <v>C</v>
      </c>
      <c r="M332" s="230" t="str">
        <f>IF(Giocatori!C321=0,"",Giocatori!C321)</f>
        <v>Juventus</v>
      </c>
      <c r="N332" s="69" t="str">
        <f t="shared" si="79"/>
        <v/>
      </c>
      <c r="O332" t="str">
        <f t="shared" si="80"/>
        <v>MARCHISIO</v>
      </c>
      <c r="P332" s="7">
        <f t="shared" ca="1" si="88"/>
        <v>332</v>
      </c>
      <c r="Q332" s="7" t="str">
        <f t="shared" ca="1" si="81"/>
        <v>MARCHISIO</v>
      </c>
      <c r="Z332" s="256"/>
      <c r="AA332" s="219"/>
      <c r="AB332" s="293" t="str">
        <f t="shared" si="82"/>
        <v/>
      </c>
      <c r="AC332" s="294" t="str">
        <f t="shared" si="83"/>
        <v/>
      </c>
      <c r="AD332" s="219"/>
      <c r="AE332" s="219"/>
      <c r="AF332" s="293" t="str">
        <f>IF(AA332="","",VLOOKUP(AA332,Asta!$B:$H,7,FALSE))</f>
        <v/>
      </c>
      <c r="AG332" s="294" t="str">
        <f t="shared" si="84"/>
        <v/>
      </c>
      <c r="AH332" t="str">
        <f t="shared" si="85"/>
        <v/>
      </c>
      <c r="AI332" s="254" t="str">
        <f t="shared" ca="1" si="89"/>
        <v>313</v>
      </c>
      <c r="AJ332" s="254" t="str">
        <f t="shared" ca="1" si="90"/>
        <v>313</v>
      </c>
      <c r="AK332" s="351"/>
    </row>
    <row r="333" spans="1:37">
      <c r="A333" s="74">
        <v>314</v>
      </c>
      <c r="B333" s="252"/>
      <c r="C333" s="293" t="str">
        <f t="shared" si="91"/>
        <v/>
      </c>
      <c r="D333" s="294" t="str">
        <f t="shared" si="92"/>
        <v/>
      </c>
      <c r="E333" s="287"/>
      <c r="F333" s="293" t="str">
        <f t="shared" si="77"/>
        <v/>
      </c>
      <c r="G333" s="294" t="str">
        <f t="shared" si="78"/>
        <v/>
      </c>
      <c r="H333" s="290"/>
      <c r="I333" s="254" t="str">
        <f t="shared" ca="1" si="86"/>
        <v>1</v>
      </c>
      <c r="J333" s="254" t="str">
        <f t="shared" ca="1" si="87"/>
        <v>1</v>
      </c>
      <c r="K333" s="230" t="str">
        <f>IF(Giocatori!B322=0,"",Giocatori!B322)</f>
        <v>MARIO RUI</v>
      </c>
      <c r="L333" s="230" t="str">
        <f>IF(Giocatori!A322=0,"",Giocatori!A322)</f>
        <v>D</v>
      </c>
      <c r="M333" s="230" t="str">
        <f>IF(Giocatori!C322=0,"",Giocatori!C322)</f>
        <v>Napoli</v>
      </c>
      <c r="N333" s="69" t="str">
        <f t="shared" si="79"/>
        <v/>
      </c>
      <c r="O333" t="str">
        <f t="shared" si="80"/>
        <v>MARIO RUI</v>
      </c>
      <c r="P333" s="7">
        <f t="shared" ca="1" si="88"/>
        <v>333</v>
      </c>
      <c r="Q333" s="7" t="str">
        <f t="shared" ca="1" si="81"/>
        <v>MARIO RUI</v>
      </c>
      <c r="Z333" s="256"/>
      <c r="AA333" s="219"/>
      <c r="AB333" s="293" t="str">
        <f t="shared" si="82"/>
        <v/>
      </c>
      <c r="AC333" s="294" t="str">
        <f t="shared" si="83"/>
        <v/>
      </c>
      <c r="AD333" s="219"/>
      <c r="AE333" s="219"/>
      <c r="AF333" s="293" t="str">
        <f>IF(AA333="","",VLOOKUP(AA333,Asta!$B:$H,7,FALSE))</f>
        <v/>
      </c>
      <c r="AG333" s="294" t="str">
        <f t="shared" si="84"/>
        <v/>
      </c>
      <c r="AH333" t="str">
        <f t="shared" si="85"/>
        <v/>
      </c>
      <c r="AI333" s="254" t="str">
        <f t="shared" ca="1" si="89"/>
        <v>314</v>
      </c>
      <c r="AJ333" s="254" t="str">
        <f t="shared" ca="1" si="90"/>
        <v>314</v>
      </c>
      <c r="AK333" s="351"/>
    </row>
    <row r="334" spans="1:37">
      <c r="A334" s="74">
        <v>315</v>
      </c>
      <c r="B334" s="252"/>
      <c r="C334" s="293" t="str">
        <f t="shared" si="91"/>
        <v/>
      </c>
      <c r="D334" s="294" t="str">
        <f t="shared" si="92"/>
        <v/>
      </c>
      <c r="E334" s="287"/>
      <c r="F334" s="293" t="str">
        <f t="shared" si="77"/>
        <v/>
      </c>
      <c r="G334" s="294" t="str">
        <f t="shared" si="78"/>
        <v/>
      </c>
      <c r="H334" s="290"/>
      <c r="I334" s="254" t="str">
        <f t="shared" ca="1" si="86"/>
        <v>1</v>
      </c>
      <c r="J334" s="254" t="str">
        <f t="shared" ca="1" si="87"/>
        <v>1</v>
      </c>
      <c r="K334" s="230" t="str">
        <f>IF(Giocatori!B323=0,"",Giocatori!B323)</f>
        <v>MARSON</v>
      </c>
      <c r="L334" s="230" t="str">
        <f>IF(Giocatori!A323=0,"",Giocatori!A323)</f>
        <v>P</v>
      </c>
      <c r="M334" s="230" t="str">
        <f>IF(Giocatori!C323=0,"",Giocatori!C323)</f>
        <v>Sassuolo</v>
      </c>
      <c r="N334" s="69" t="str">
        <f t="shared" si="79"/>
        <v/>
      </c>
      <c r="O334" t="str">
        <f t="shared" si="80"/>
        <v>MARSON</v>
      </c>
      <c r="P334" s="7">
        <f t="shared" ca="1" si="88"/>
        <v>334</v>
      </c>
      <c r="Q334" s="7" t="str">
        <f t="shared" ca="1" si="81"/>
        <v>MARSON</v>
      </c>
      <c r="Z334" s="256"/>
      <c r="AA334" s="219"/>
      <c r="AB334" s="293" t="str">
        <f t="shared" si="82"/>
        <v/>
      </c>
      <c r="AC334" s="294" t="str">
        <f t="shared" si="83"/>
        <v/>
      </c>
      <c r="AD334" s="219"/>
      <c r="AE334" s="219"/>
      <c r="AF334" s="293" t="str">
        <f>IF(AA334="","",VLOOKUP(AA334,Asta!$B:$H,7,FALSE))</f>
        <v/>
      </c>
      <c r="AG334" s="294" t="str">
        <f t="shared" si="84"/>
        <v/>
      </c>
      <c r="AH334" t="str">
        <f t="shared" si="85"/>
        <v/>
      </c>
      <c r="AI334" s="254" t="str">
        <f t="shared" ca="1" si="89"/>
        <v>315</v>
      </c>
      <c r="AJ334" s="254" t="str">
        <f t="shared" ca="1" si="90"/>
        <v>315</v>
      </c>
      <c r="AK334" s="351"/>
    </row>
    <row r="335" spans="1:37">
      <c r="A335" s="74">
        <v>316</v>
      </c>
      <c r="B335" s="252"/>
      <c r="C335" s="293" t="str">
        <f t="shared" si="91"/>
        <v/>
      </c>
      <c r="D335" s="294" t="str">
        <f t="shared" si="92"/>
        <v/>
      </c>
      <c r="E335" s="287"/>
      <c r="F335" s="293" t="str">
        <f t="shared" si="77"/>
        <v/>
      </c>
      <c r="G335" s="294" t="str">
        <f t="shared" si="78"/>
        <v/>
      </c>
      <c r="H335" s="290"/>
      <c r="I335" s="254" t="str">
        <f t="shared" ca="1" si="86"/>
        <v>1</v>
      </c>
      <c r="J335" s="254" t="str">
        <f t="shared" ca="1" si="87"/>
        <v>1</v>
      </c>
      <c r="K335" s="230" t="str">
        <f>IF(Giocatori!B324=0,"",Giocatori!B324)</f>
        <v>MARTELLA</v>
      </c>
      <c r="L335" s="230" t="str">
        <f>IF(Giocatori!A324=0,"",Giocatori!A324)</f>
        <v>D</v>
      </c>
      <c r="M335" s="230" t="str">
        <f>IF(Giocatori!C324=0,"",Giocatori!C324)</f>
        <v>Crotone</v>
      </c>
      <c r="N335" s="69" t="str">
        <f t="shared" si="79"/>
        <v/>
      </c>
      <c r="O335" t="str">
        <f t="shared" si="80"/>
        <v>MARTELLA</v>
      </c>
      <c r="P335" s="7">
        <f t="shared" ca="1" si="88"/>
        <v>335</v>
      </c>
      <c r="Q335" s="7" t="str">
        <f t="shared" ca="1" si="81"/>
        <v>MARTELLA</v>
      </c>
      <c r="Z335" s="256"/>
      <c r="AA335" s="219"/>
      <c r="AB335" s="293" t="str">
        <f t="shared" si="82"/>
        <v/>
      </c>
      <c r="AC335" s="294" t="str">
        <f t="shared" si="83"/>
        <v/>
      </c>
      <c r="AD335" s="219"/>
      <c r="AE335" s="219"/>
      <c r="AF335" s="293" t="str">
        <f>IF(AA335="","",VLOOKUP(AA335,Asta!$B:$H,7,FALSE))</f>
        <v/>
      </c>
      <c r="AG335" s="294" t="str">
        <f t="shared" si="84"/>
        <v/>
      </c>
      <c r="AH335" t="str">
        <f t="shared" si="85"/>
        <v/>
      </c>
      <c r="AI335" s="254" t="str">
        <f t="shared" ca="1" si="89"/>
        <v>316</v>
      </c>
      <c r="AJ335" s="254" t="str">
        <f t="shared" ca="1" si="90"/>
        <v>316</v>
      </c>
      <c r="AK335" s="351"/>
    </row>
    <row r="336" spans="1:37">
      <c r="A336" s="74">
        <v>317</v>
      </c>
      <c r="B336" s="252"/>
      <c r="C336" s="293" t="str">
        <f t="shared" si="91"/>
        <v/>
      </c>
      <c r="D336" s="294" t="str">
        <f t="shared" si="92"/>
        <v/>
      </c>
      <c r="E336" s="287"/>
      <c r="F336" s="293" t="str">
        <f t="shared" si="77"/>
        <v/>
      </c>
      <c r="G336" s="294" t="str">
        <f t="shared" si="78"/>
        <v/>
      </c>
      <c r="H336" s="290"/>
      <c r="I336" s="254" t="str">
        <f t="shared" ca="1" si="86"/>
        <v>1</v>
      </c>
      <c r="J336" s="254" t="str">
        <f t="shared" ca="1" si="87"/>
        <v>1</v>
      </c>
      <c r="K336" s="230" t="str">
        <f>IF(Giocatori!B325=0,"",Giocatori!B325)</f>
        <v>MARUSIC</v>
      </c>
      <c r="L336" s="230" t="str">
        <f>IF(Giocatori!A325=0,"",Giocatori!A325)</f>
        <v>D</v>
      </c>
      <c r="M336" s="230" t="str">
        <f>IF(Giocatori!C325=0,"",Giocatori!C325)</f>
        <v>Lazio</v>
      </c>
      <c r="N336" s="69" t="str">
        <f t="shared" si="79"/>
        <v/>
      </c>
      <c r="O336" t="str">
        <f t="shared" si="80"/>
        <v>MARUSIC</v>
      </c>
      <c r="P336" s="7">
        <f t="shared" ca="1" si="88"/>
        <v>336</v>
      </c>
      <c r="Q336" s="7" t="str">
        <f t="shared" ca="1" si="81"/>
        <v>MARUSIC</v>
      </c>
      <c r="Z336" s="256"/>
      <c r="AA336" s="219"/>
      <c r="AB336" s="293" t="str">
        <f t="shared" si="82"/>
        <v/>
      </c>
      <c r="AC336" s="294" t="str">
        <f t="shared" si="83"/>
        <v/>
      </c>
      <c r="AD336" s="219"/>
      <c r="AE336" s="219"/>
      <c r="AF336" s="293" t="str">
        <f>IF(AA336="","",VLOOKUP(AA336,Asta!$B:$H,7,FALSE))</f>
        <v/>
      </c>
      <c r="AG336" s="294" t="str">
        <f t="shared" si="84"/>
        <v/>
      </c>
      <c r="AH336" t="str">
        <f t="shared" si="85"/>
        <v/>
      </c>
      <c r="AI336" s="254" t="str">
        <f t="shared" ca="1" si="89"/>
        <v>317</v>
      </c>
      <c r="AJ336" s="254" t="str">
        <f t="shared" ca="1" si="90"/>
        <v>317</v>
      </c>
      <c r="AK336" s="351"/>
    </row>
    <row r="337" spans="1:37">
      <c r="A337" s="74">
        <v>318</v>
      </c>
      <c r="B337" s="252"/>
      <c r="C337" s="293" t="str">
        <f t="shared" si="91"/>
        <v/>
      </c>
      <c r="D337" s="294" t="str">
        <f t="shared" si="92"/>
        <v/>
      </c>
      <c r="E337" s="287"/>
      <c r="F337" s="293" t="str">
        <f t="shared" si="77"/>
        <v/>
      </c>
      <c r="G337" s="294" t="str">
        <f t="shared" si="78"/>
        <v/>
      </c>
      <c r="H337" s="290"/>
      <c r="I337" s="254" t="str">
        <f t="shared" ca="1" si="86"/>
        <v>1</v>
      </c>
      <c r="J337" s="254" t="str">
        <f t="shared" ca="1" si="87"/>
        <v>1</v>
      </c>
      <c r="K337" s="230" t="str">
        <f>IF(Giocatori!B326=0,"",Giocatori!B326)</f>
        <v>MASIELLO A</v>
      </c>
      <c r="L337" s="230" t="str">
        <f>IF(Giocatori!A326=0,"",Giocatori!A326)</f>
        <v>D</v>
      </c>
      <c r="M337" s="230" t="str">
        <f>IF(Giocatori!C326=0,"",Giocatori!C326)</f>
        <v>Atalanta</v>
      </c>
      <c r="N337" s="69" t="str">
        <f t="shared" si="79"/>
        <v/>
      </c>
      <c r="O337" t="str">
        <f t="shared" si="80"/>
        <v>MASIELLO A</v>
      </c>
      <c r="P337" s="7">
        <f t="shared" ca="1" si="88"/>
        <v>337</v>
      </c>
      <c r="Q337" s="7" t="str">
        <f t="shared" ca="1" si="81"/>
        <v>MASIELLO A</v>
      </c>
      <c r="Z337" s="256"/>
      <c r="AA337" s="219"/>
      <c r="AB337" s="293" t="str">
        <f t="shared" si="82"/>
        <v/>
      </c>
      <c r="AC337" s="294" t="str">
        <f t="shared" si="83"/>
        <v/>
      </c>
      <c r="AD337" s="219"/>
      <c r="AE337" s="219"/>
      <c r="AF337" s="293" t="str">
        <f>IF(AA337="","",VLOOKUP(AA337,Asta!$B:$H,7,FALSE))</f>
        <v/>
      </c>
      <c r="AG337" s="294" t="str">
        <f t="shared" si="84"/>
        <v/>
      </c>
      <c r="AH337" t="str">
        <f t="shared" si="85"/>
        <v/>
      </c>
      <c r="AI337" s="254" t="str">
        <f t="shared" ca="1" si="89"/>
        <v>318</v>
      </c>
      <c r="AJ337" s="254" t="str">
        <f t="shared" ca="1" si="90"/>
        <v>318</v>
      </c>
      <c r="AK337" s="351"/>
    </row>
    <row r="338" spans="1:37">
      <c r="A338" s="74">
        <v>319</v>
      </c>
      <c r="B338" s="252"/>
      <c r="C338" s="293" t="str">
        <f t="shared" si="91"/>
        <v/>
      </c>
      <c r="D338" s="294" t="str">
        <f t="shared" si="92"/>
        <v/>
      </c>
      <c r="E338" s="287"/>
      <c r="F338" s="293" t="str">
        <f t="shared" si="77"/>
        <v/>
      </c>
      <c r="G338" s="294" t="str">
        <f t="shared" si="78"/>
        <v/>
      </c>
      <c r="H338" s="290"/>
      <c r="I338" s="254" t="str">
        <f t="shared" ca="1" si="86"/>
        <v>1</v>
      </c>
      <c r="J338" s="254" t="str">
        <f t="shared" ca="1" si="87"/>
        <v>1</v>
      </c>
      <c r="K338" s="230" t="str">
        <f>IF(Giocatori!B327=0,"",Giocatori!B327)</f>
        <v>MASINA</v>
      </c>
      <c r="L338" s="230" t="str">
        <f>IF(Giocatori!A327=0,"",Giocatori!A327)</f>
        <v>D</v>
      </c>
      <c r="M338" s="230" t="str">
        <f>IF(Giocatori!C327=0,"",Giocatori!C327)</f>
        <v>Bologna</v>
      </c>
      <c r="N338" s="69" t="str">
        <f t="shared" si="79"/>
        <v/>
      </c>
      <c r="O338" t="str">
        <f t="shared" si="80"/>
        <v>MASINA</v>
      </c>
      <c r="P338" s="7">
        <f t="shared" ca="1" si="88"/>
        <v>338</v>
      </c>
      <c r="Q338" s="7" t="str">
        <f t="shared" ca="1" si="81"/>
        <v>MASINA</v>
      </c>
      <c r="Z338" s="256"/>
      <c r="AA338" s="219"/>
      <c r="AB338" s="293" t="str">
        <f t="shared" si="82"/>
        <v/>
      </c>
      <c r="AC338" s="294" t="str">
        <f t="shared" si="83"/>
        <v/>
      </c>
      <c r="AD338" s="219"/>
      <c r="AE338" s="219"/>
      <c r="AF338" s="293" t="str">
        <f>IF(AA338="","",VLOOKUP(AA338,Asta!$B:$H,7,FALSE))</f>
        <v/>
      </c>
      <c r="AG338" s="294" t="str">
        <f t="shared" si="84"/>
        <v/>
      </c>
      <c r="AH338" t="str">
        <f t="shared" si="85"/>
        <v/>
      </c>
      <c r="AI338" s="254" t="str">
        <f t="shared" ca="1" si="89"/>
        <v>319</v>
      </c>
      <c r="AJ338" s="254" t="str">
        <f t="shared" ca="1" si="90"/>
        <v>319</v>
      </c>
      <c r="AK338" s="351"/>
    </row>
    <row r="339" spans="1:37">
      <c r="A339" s="74">
        <v>320</v>
      </c>
      <c r="B339" s="252"/>
      <c r="C339" s="293" t="str">
        <f t="shared" si="91"/>
        <v/>
      </c>
      <c r="D339" s="294" t="str">
        <f t="shared" si="92"/>
        <v/>
      </c>
      <c r="E339" s="287"/>
      <c r="F339" s="293" t="str">
        <f t="shared" si="77"/>
        <v/>
      </c>
      <c r="G339" s="294" t="str">
        <f t="shared" si="78"/>
        <v/>
      </c>
      <c r="H339" s="290"/>
      <c r="I339" s="254" t="str">
        <f t="shared" ca="1" si="86"/>
        <v>1</v>
      </c>
      <c r="J339" s="254" t="str">
        <f t="shared" ca="1" si="87"/>
        <v>1</v>
      </c>
      <c r="K339" s="230" t="str">
        <f>IF(Giocatori!B328=0,"",Giocatori!B328)</f>
        <v>MATOS</v>
      </c>
      <c r="L339" s="230" t="str">
        <f>IF(Giocatori!A328=0,"",Giocatori!A328)</f>
        <v>A</v>
      </c>
      <c r="M339" s="230" t="str">
        <f>IF(Giocatori!C328=0,"",Giocatori!C328)</f>
        <v>Udinese</v>
      </c>
      <c r="N339" s="69" t="str">
        <f t="shared" si="79"/>
        <v/>
      </c>
      <c r="O339" t="str">
        <f t="shared" si="80"/>
        <v>MATOS</v>
      </c>
      <c r="P339" s="7">
        <f t="shared" ca="1" si="88"/>
        <v>339</v>
      </c>
      <c r="Q339" s="7" t="str">
        <f t="shared" ca="1" si="81"/>
        <v>MATOS</v>
      </c>
      <c r="Z339" s="256"/>
      <c r="AA339" s="219"/>
      <c r="AB339" s="293" t="str">
        <f t="shared" si="82"/>
        <v/>
      </c>
      <c r="AC339" s="294" t="str">
        <f t="shared" si="83"/>
        <v/>
      </c>
      <c r="AD339" s="219"/>
      <c r="AE339" s="219"/>
      <c r="AF339" s="293" t="str">
        <f>IF(AA339="","",VLOOKUP(AA339,Asta!$B:$H,7,FALSE))</f>
        <v/>
      </c>
      <c r="AG339" s="294" t="str">
        <f t="shared" si="84"/>
        <v/>
      </c>
      <c r="AH339" t="str">
        <f t="shared" si="85"/>
        <v/>
      </c>
      <c r="AI339" s="254" t="str">
        <f t="shared" ca="1" si="89"/>
        <v>320</v>
      </c>
      <c r="AJ339" s="254" t="str">
        <f t="shared" ca="1" si="90"/>
        <v>320</v>
      </c>
      <c r="AK339" s="351"/>
    </row>
    <row r="340" spans="1:37">
      <c r="A340" s="74">
        <v>321</v>
      </c>
      <c r="B340" s="252"/>
      <c r="C340" s="293" t="str">
        <f t="shared" si="91"/>
        <v/>
      </c>
      <c r="D340" s="294" t="str">
        <f t="shared" si="92"/>
        <v/>
      </c>
      <c r="E340" s="287"/>
      <c r="F340" s="293" t="str">
        <f t="shared" ref="F340:F403" si="93">IF(B340="","",IF(ISNA(VLOOKUP(B340,$AA$20:$AE$807,5,FALSE)),"",VLOOKUP(B340,$AA$20:$AE$807,5,FALSE)))</f>
        <v/>
      </c>
      <c r="G340" s="294" t="str">
        <f t="shared" ref="G340:G403" si="94">IF(B340="","",IF(F340="",IF(E340="","",E340),F340))</f>
        <v/>
      </c>
      <c r="H340" s="290"/>
      <c r="I340" s="254" t="str">
        <f t="shared" ca="1" si="86"/>
        <v>1</v>
      </c>
      <c r="J340" s="254" t="str">
        <f t="shared" ca="1" si="87"/>
        <v>1</v>
      </c>
      <c r="K340" s="230" t="str">
        <f>IF(Giocatori!B329=0,"",Giocatori!B329)</f>
        <v>MATRI</v>
      </c>
      <c r="L340" s="230" t="str">
        <f>IF(Giocatori!A329=0,"",Giocatori!A329)</f>
        <v>A</v>
      </c>
      <c r="M340" s="230" t="str">
        <f>IF(Giocatori!C329=0,"",Giocatori!C329)</f>
        <v>Sassuolo</v>
      </c>
      <c r="N340" s="69" t="str">
        <f t="shared" ref="N340:N403" si="95">IF(B340=0,"",B340)</f>
        <v/>
      </c>
      <c r="O340" t="str">
        <f t="shared" ref="O340:O403" si="96">IF(ISNA(VLOOKUP(K340,$N$20:$N$720,1,FALSE)),K340,"")</f>
        <v>MATRI</v>
      </c>
      <c r="P340" s="7">
        <f t="shared" ca="1" si="88"/>
        <v>340</v>
      </c>
      <c r="Q340" s="7" t="str">
        <f t="shared" ref="Q340:Q403" ca="1" si="97">IF(ISERROR(INDEX($O$6:$O$720,MATCH(ROW(),$P$6:$P$720,FALSE))),"",INDEX($O$6:$O$720,MATCH(ROW(),$P$6:$P$720,FALSE)))</f>
        <v>MATRI</v>
      </c>
      <c r="Z340" s="256"/>
      <c r="AA340" s="219"/>
      <c r="AB340" s="293" t="str">
        <f t="shared" ref="AB340:AB403" si="98">IF(AA340&lt;&gt;"",VLOOKUP(AA340,$K:$M,2,FALSE),"")</f>
        <v/>
      </c>
      <c r="AC340" s="294" t="str">
        <f t="shared" ref="AC340:AC403" si="99">IF(AA340&lt;&gt;"",VLOOKUP(AA340,$K:$M,3,FALSE),"")</f>
        <v/>
      </c>
      <c r="AD340" s="219"/>
      <c r="AE340" s="219"/>
      <c r="AF340" s="293" t="str">
        <f>IF(AA340="","",VLOOKUP(AA340,Asta!$B:$H,7,FALSE))</f>
        <v/>
      </c>
      <c r="AG340" s="294" t="str">
        <f t="shared" ref="AG340:AG403" si="100">IF(AD340="","",IF(AD340=$Y$20,-AF340,IF(AD340=$Y$21,AF340)))</f>
        <v/>
      </c>
      <c r="AH340" t="str">
        <f t="shared" ref="AH340:AH403" si="101">IF(AG340="","",-AG340)</f>
        <v/>
      </c>
      <c r="AI340" s="254" t="str">
        <f t="shared" ca="1" si="89"/>
        <v>321</v>
      </c>
      <c r="AJ340" s="254" t="str">
        <f t="shared" ca="1" si="90"/>
        <v>321</v>
      </c>
      <c r="AK340" s="351"/>
    </row>
    <row r="341" spans="1:37">
      <c r="A341" s="74">
        <v>322</v>
      </c>
      <c r="B341" s="252"/>
      <c r="C341" s="293" t="str">
        <f t="shared" si="91"/>
        <v/>
      </c>
      <c r="D341" s="294" t="str">
        <f t="shared" si="92"/>
        <v/>
      </c>
      <c r="E341" s="287"/>
      <c r="F341" s="293" t="str">
        <f t="shared" si="93"/>
        <v/>
      </c>
      <c r="G341" s="294" t="str">
        <f t="shared" si="94"/>
        <v/>
      </c>
      <c r="H341" s="290"/>
      <c r="I341" s="254" t="str">
        <f t="shared" ref="I341:I404" ca="1" si="102">G341&amp;C341&amp;COUNTIFS(INDIRECT("$C$19:$C$" &amp; ROW()-1),"="&amp;C341,INDIRECT("$G$19:$G$" &amp; ROW()-1),"="&amp;G341)+1</f>
        <v>1</v>
      </c>
      <c r="J341" s="254" t="str">
        <f t="shared" ref="J341:J404" ca="1" si="103">G341&amp;COUNTIFS(INDIRECT("$G$19:$G$" &amp; ROW()-1),"="&amp;G341)+1</f>
        <v>1</v>
      </c>
      <c r="K341" s="230" t="str">
        <f>IF(Giocatori!B330=0,"",Giocatori!B330)</f>
        <v>MATTIELLO</v>
      </c>
      <c r="L341" s="230" t="str">
        <f>IF(Giocatori!A330=0,"",Giocatori!A330)</f>
        <v>D</v>
      </c>
      <c r="M341" s="230" t="str">
        <f>IF(Giocatori!C330=0,"",Giocatori!C330)</f>
        <v>SPAL</v>
      </c>
      <c r="N341" s="69" t="str">
        <f t="shared" si="95"/>
        <v/>
      </c>
      <c r="O341" t="str">
        <f t="shared" si="96"/>
        <v>MATTIELLO</v>
      </c>
      <c r="P341" s="7">
        <f t="shared" ref="P341:P404" ca="1" si="104">ROW()-COUNTBLANK(INDIRECT("$O$20:O"&amp;ROW()))</f>
        <v>341</v>
      </c>
      <c r="Q341" s="7" t="str">
        <f t="shared" ca="1" si="97"/>
        <v>MATTIELLO</v>
      </c>
      <c r="Z341" s="256"/>
      <c r="AA341" s="219"/>
      <c r="AB341" s="293" t="str">
        <f t="shared" si="98"/>
        <v/>
      </c>
      <c r="AC341" s="294" t="str">
        <f t="shared" si="99"/>
        <v/>
      </c>
      <c r="AD341" s="219"/>
      <c r="AE341" s="219"/>
      <c r="AF341" s="293" t="str">
        <f>IF(AA341="","",VLOOKUP(AA341,Asta!$B:$H,7,FALSE))</f>
        <v/>
      </c>
      <c r="AG341" s="294" t="str">
        <f t="shared" si="100"/>
        <v/>
      </c>
      <c r="AH341" t="str">
        <f t="shared" si="101"/>
        <v/>
      </c>
      <c r="AI341" s="254" t="str">
        <f t="shared" ref="AI341:AI404" ca="1" si="105">Z341&amp;COUNTIFS(INDIRECT("$Z$20:$Z$" &amp; ROW()-1),"="&amp;Z341)+1</f>
        <v>322</v>
      </c>
      <c r="AJ341" s="254" t="str">
        <f t="shared" ref="AJ341:AJ404" ca="1" si="106">AE341&amp;COUNTIFS(INDIRECT("$AE$20:$AE$" &amp; ROW()-1),"="&amp;AE341)+1</f>
        <v>322</v>
      </c>
      <c r="AK341" s="351"/>
    </row>
    <row r="342" spans="1:37">
      <c r="A342" s="74">
        <v>323</v>
      </c>
      <c r="B342" s="252"/>
      <c r="C342" s="293" t="str">
        <f t="shared" si="91"/>
        <v/>
      </c>
      <c r="D342" s="294" t="str">
        <f t="shared" si="92"/>
        <v/>
      </c>
      <c r="E342" s="287"/>
      <c r="F342" s="293" t="str">
        <f t="shared" si="93"/>
        <v/>
      </c>
      <c r="G342" s="294" t="str">
        <f t="shared" si="94"/>
        <v/>
      </c>
      <c r="H342" s="290"/>
      <c r="I342" s="254" t="str">
        <f t="shared" ca="1" si="102"/>
        <v>1</v>
      </c>
      <c r="J342" s="254" t="str">
        <f t="shared" ca="1" si="103"/>
        <v>1</v>
      </c>
      <c r="K342" s="230" t="str">
        <f>IF(Giocatori!B331=0,"",Giocatori!B331)</f>
        <v>MATUIDI</v>
      </c>
      <c r="L342" s="230" t="str">
        <f>IF(Giocatori!A331=0,"",Giocatori!A331)</f>
        <v>C</v>
      </c>
      <c r="M342" s="230" t="str">
        <f>IF(Giocatori!C331=0,"",Giocatori!C331)</f>
        <v>Juventus</v>
      </c>
      <c r="N342" s="69" t="str">
        <f t="shared" si="95"/>
        <v/>
      </c>
      <c r="O342" t="str">
        <f t="shared" si="96"/>
        <v>MATUIDI</v>
      </c>
      <c r="P342" s="7">
        <f t="shared" ca="1" si="104"/>
        <v>342</v>
      </c>
      <c r="Q342" s="7" t="str">
        <f t="shared" ca="1" si="97"/>
        <v>MATUIDI</v>
      </c>
      <c r="Z342" s="256"/>
      <c r="AA342" s="219"/>
      <c r="AB342" s="293" t="str">
        <f t="shared" si="98"/>
        <v/>
      </c>
      <c r="AC342" s="294" t="str">
        <f t="shared" si="99"/>
        <v/>
      </c>
      <c r="AD342" s="219"/>
      <c r="AE342" s="219"/>
      <c r="AF342" s="293" t="str">
        <f>IF(AA342="","",VLOOKUP(AA342,Asta!$B:$H,7,FALSE))</f>
        <v/>
      </c>
      <c r="AG342" s="294" t="str">
        <f t="shared" si="100"/>
        <v/>
      </c>
      <c r="AH342" t="str">
        <f t="shared" si="101"/>
        <v/>
      </c>
      <c r="AI342" s="254" t="str">
        <f t="shared" ca="1" si="105"/>
        <v>323</v>
      </c>
      <c r="AJ342" s="254" t="str">
        <f t="shared" ca="1" si="106"/>
        <v>323</v>
      </c>
      <c r="AK342" s="351"/>
    </row>
    <row r="343" spans="1:37">
      <c r="A343" s="74">
        <v>324</v>
      </c>
      <c r="B343" s="252"/>
      <c r="C343" s="293" t="str">
        <f t="shared" si="91"/>
        <v/>
      </c>
      <c r="D343" s="294" t="str">
        <f t="shared" si="92"/>
        <v/>
      </c>
      <c r="E343" s="287"/>
      <c r="F343" s="293" t="str">
        <f t="shared" si="93"/>
        <v/>
      </c>
      <c r="G343" s="294" t="str">
        <f t="shared" si="94"/>
        <v/>
      </c>
      <c r="H343" s="290"/>
      <c r="I343" s="254" t="str">
        <f t="shared" ca="1" si="102"/>
        <v>1</v>
      </c>
      <c r="J343" s="254" t="str">
        <f t="shared" ca="1" si="103"/>
        <v>1</v>
      </c>
      <c r="K343" s="230" t="str">
        <f>IF(Giocatori!B332=0,"",Giocatori!B332)</f>
        <v>MAURI J</v>
      </c>
      <c r="L343" s="230" t="str">
        <f>IF(Giocatori!A332=0,"",Giocatori!A332)</f>
        <v>C</v>
      </c>
      <c r="M343" s="230" t="str">
        <f>IF(Giocatori!C332=0,"",Giocatori!C332)</f>
        <v>Milan</v>
      </c>
      <c r="N343" s="69" t="str">
        <f t="shared" si="95"/>
        <v/>
      </c>
      <c r="O343" t="str">
        <f t="shared" si="96"/>
        <v>MAURI J</v>
      </c>
      <c r="P343" s="7">
        <f t="shared" ca="1" si="104"/>
        <v>343</v>
      </c>
      <c r="Q343" s="7" t="str">
        <f t="shared" ca="1" si="97"/>
        <v>MAURI J</v>
      </c>
      <c r="Z343" s="256"/>
      <c r="AA343" s="219"/>
      <c r="AB343" s="293" t="str">
        <f t="shared" si="98"/>
        <v/>
      </c>
      <c r="AC343" s="294" t="str">
        <f t="shared" si="99"/>
        <v/>
      </c>
      <c r="AD343" s="219"/>
      <c r="AE343" s="219"/>
      <c r="AF343" s="293" t="str">
        <f>IF(AA343="","",VLOOKUP(AA343,Asta!$B:$H,7,FALSE))</f>
        <v/>
      </c>
      <c r="AG343" s="294" t="str">
        <f t="shared" si="100"/>
        <v/>
      </c>
      <c r="AH343" t="str">
        <f t="shared" si="101"/>
        <v/>
      </c>
      <c r="AI343" s="254" t="str">
        <f t="shared" ca="1" si="105"/>
        <v>324</v>
      </c>
      <c r="AJ343" s="254" t="str">
        <f t="shared" ca="1" si="106"/>
        <v>324</v>
      </c>
      <c r="AK343" s="351"/>
    </row>
    <row r="344" spans="1:37">
      <c r="A344" s="74">
        <v>325</v>
      </c>
      <c r="B344" s="252"/>
      <c r="C344" s="293" t="str">
        <f t="shared" si="91"/>
        <v/>
      </c>
      <c r="D344" s="294" t="str">
        <f t="shared" si="92"/>
        <v/>
      </c>
      <c r="E344" s="287"/>
      <c r="F344" s="293" t="str">
        <f t="shared" si="93"/>
        <v/>
      </c>
      <c r="G344" s="294" t="str">
        <f t="shared" si="94"/>
        <v/>
      </c>
      <c r="H344" s="290"/>
      <c r="I344" s="254" t="str">
        <f t="shared" ca="1" si="102"/>
        <v>1</v>
      </c>
      <c r="J344" s="254" t="str">
        <f t="shared" ca="1" si="103"/>
        <v>1</v>
      </c>
      <c r="K344" s="230" t="str">
        <f>IF(Giocatori!B333=0,"",Giocatori!B333)</f>
        <v>MAXI LOPEZ</v>
      </c>
      <c r="L344" s="230" t="str">
        <f>IF(Giocatori!A333=0,"",Giocatori!A333)</f>
        <v>A</v>
      </c>
      <c r="M344" s="230" t="str">
        <f>IF(Giocatori!C333=0,"",Giocatori!C333)</f>
        <v>Udinese</v>
      </c>
      <c r="N344" s="69" t="str">
        <f t="shared" si="95"/>
        <v/>
      </c>
      <c r="O344" t="str">
        <f t="shared" si="96"/>
        <v>MAXI LOPEZ</v>
      </c>
      <c r="P344" s="7">
        <f t="shared" ca="1" si="104"/>
        <v>344</v>
      </c>
      <c r="Q344" s="7" t="str">
        <f t="shared" ca="1" si="97"/>
        <v>MAXI LOPEZ</v>
      </c>
      <c r="Z344" s="256"/>
      <c r="AA344" s="219"/>
      <c r="AB344" s="293" t="str">
        <f t="shared" si="98"/>
        <v/>
      </c>
      <c r="AC344" s="294" t="str">
        <f t="shared" si="99"/>
        <v/>
      </c>
      <c r="AD344" s="219"/>
      <c r="AE344" s="219"/>
      <c r="AF344" s="293" t="str">
        <f>IF(AA344="","",VLOOKUP(AA344,Asta!$B:$H,7,FALSE))</f>
        <v/>
      </c>
      <c r="AG344" s="294" t="str">
        <f t="shared" si="100"/>
        <v/>
      </c>
      <c r="AH344" t="str">
        <f t="shared" si="101"/>
        <v/>
      </c>
      <c r="AI344" s="254" t="str">
        <f t="shared" ca="1" si="105"/>
        <v>325</v>
      </c>
      <c r="AJ344" s="254" t="str">
        <f t="shared" ca="1" si="106"/>
        <v>325</v>
      </c>
      <c r="AK344" s="351"/>
    </row>
    <row r="345" spans="1:37">
      <c r="A345" s="74">
        <v>326</v>
      </c>
      <c r="B345" s="252"/>
      <c r="C345" s="293" t="str">
        <f t="shared" si="91"/>
        <v/>
      </c>
      <c r="D345" s="294" t="str">
        <f t="shared" si="92"/>
        <v/>
      </c>
      <c r="E345" s="287"/>
      <c r="F345" s="293" t="str">
        <f t="shared" si="93"/>
        <v/>
      </c>
      <c r="G345" s="294" t="str">
        <f t="shared" si="94"/>
        <v/>
      </c>
      <c r="H345" s="290"/>
      <c r="I345" s="254" t="str">
        <f t="shared" ca="1" si="102"/>
        <v>1</v>
      </c>
      <c r="J345" s="254" t="str">
        <f t="shared" ca="1" si="103"/>
        <v>1</v>
      </c>
      <c r="K345" s="230" t="str">
        <f>IF(Giocatori!B334=0,"",Giocatori!B334)</f>
        <v>MAZZITELLI</v>
      </c>
      <c r="L345" s="230" t="str">
        <f>IF(Giocatori!A334=0,"",Giocatori!A334)</f>
        <v>C</v>
      </c>
      <c r="M345" s="230" t="str">
        <f>IF(Giocatori!C334=0,"",Giocatori!C334)</f>
        <v>Sassuolo</v>
      </c>
      <c r="N345" s="69" t="str">
        <f t="shared" si="95"/>
        <v/>
      </c>
      <c r="O345" t="str">
        <f t="shared" si="96"/>
        <v>MAZZITELLI</v>
      </c>
      <c r="P345" s="7">
        <f t="shared" ca="1" si="104"/>
        <v>345</v>
      </c>
      <c r="Q345" s="7" t="str">
        <f t="shared" ca="1" si="97"/>
        <v>MAZZITELLI</v>
      </c>
      <c r="Z345" s="256"/>
      <c r="AA345" s="219"/>
      <c r="AB345" s="293" t="str">
        <f t="shared" si="98"/>
        <v/>
      </c>
      <c r="AC345" s="294" t="str">
        <f t="shared" si="99"/>
        <v/>
      </c>
      <c r="AD345" s="219"/>
      <c r="AE345" s="219"/>
      <c r="AF345" s="293" t="str">
        <f>IF(AA345="","",VLOOKUP(AA345,Asta!$B:$H,7,FALSE))</f>
        <v/>
      </c>
      <c r="AG345" s="294" t="str">
        <f t="shared" si="100"/>
        <v/>
      </c>
      <c r="AH345" t="str">
        <f t="shared" si="101"/>
        <v/>
      </c>
      <c r="AI345" s="254" t="str">
        <f t="shared" ca="1" si="105"/>
        <v>326</v>
      </c>
      <c r="AJ345" s="254" t="str">
        <f t="shared" ca="1" si="106"/>
        <v>326</v>
      </c>
      <c r="AK345" s="351"/>
    </row>
    <row r="346" spans="1:37">
      <c r="A346" s="74">
        <v>327</v>
      </c>
      <c r="B346" s="252"/>
      <c r="C346" s="293" t="str">
        <f t="shared" si="91"/>
        <v/>
      </c>
      <c r="D346" s="294" t="str">
        <f t="shared" si="92"/>
        <v/>
      </c>
      <c r="E346" s="287"/>
      <c r="F346" s="293" t="str">
        <f t="shared" si="93"/>
        <v/>
      </c>
      <c r="G346" s="294" t="str">
        <f t="shared" si="94"/>
        <v/>
      </c>
      <c r="H346" s="290"/>
      <c r="I346" s="254" t="str">
        <f t="shared" ca="1" si="102"/>
        <v>1</v>
      </c>
      <c r="J346" s="254" t="str">
        <f t="shared" ca="1" si="103"/>
        <v>1</v>
      </c>
      <c r="K346" s="230" t="str">
        <f>IF(Giocatori!B335=0,"",Giocatori!B335)</f>
        <v>MBAYE</v>
      </c>
      <c r="L346" s="230" t="str">
        <f>IF(Giocatori!A335=0,"",Giocatori!A335)</f>
        <v>D</v>
      </c>
      <c r="M346" s="230" t="str">
        <f>IF(Giocatori!C335=0,"",Giocatori!C335)</f>
        <v>Bologna</v>
      </c>
      <c r="N346" s="69" t="str">
        <f t="shared" si="95"/>
        <v/>
      </c>
      <c r="O346" t="str">
        <f t="shared" si="96"/>
        <v>MBAYE</v>
      </c>
      <c r="P346" s="7">
        <f t="shared" ca="1" si="104"/>
        <v>346</v>
      </c>
      <c r="Q346" s="7" t="str">
        <f t="shared" ca="1" si="97"/>
        <v>MBAYE</v>
      </c>
      <c r="Z346" s="256"/>
      <c r="AA346" s="219"/>
      <c r="AB346" s="293" t="str">
        <f t="shared" si="98"/>
        <v/>
      </c>
      <c r="AC346" s="294" t="str">
        <f t="shared" si="99"/>
        <v/>
      </c>
      <c r="AD346" s="219"/>
      <c r="AE346" s="219"/>
      <c r="AF346" s="293" t="str">
        <f>IF(AA346="","",VLOOKUP(AA346,Asta!$B:$H,7,FALSE))</f>
        <v/>
      </c>
      <c r="AG346" s="294" t="str">
        <f t="shared" si="100"/>
        <v/>
      </c>
      <c r="AH346" t="str">
        <f t="shared" si="101"/>
        <v/>
      </c>
      <c r="AI346" s="254" t="str">
        <f t="shared" ca="1" si="105"/>
        <v>327</v>
      </c>
      <c r="AJ346" s="254" t="str">
        <f t="shared" ca="1" si="106"/>
        <v>327</v>
      </c>
      <c r="AK346" s="351"/>
    </row>
    <row r="347" spans="1:37">
      <c r="A347" s="74">
        <v>328</v>
      </c>
      <c r="B347" s="252"/>
      <c r="C347" s="293" t="str">
        <f t="shared" si="91"/>
        <v/>
      </c>
      <c r="D347" s="294" t="str">
        <f t="shared" si="92"/>
        <v/>
      </c>
      <c r="E347" s="287"/>
      <c r="F347" s="293" t="str">
        <f t="shared" si="93"/>
        <v/>
      </c>
      <c r="G347" s="294" t="str">
        <f t="shared" si="94"/>
        <v/>
      </c>
      <c r="H347" s="290"/>
      <c r="I347" s="254" t="str">
        <f t="shared" ca="1" si="102"/>
        <v>1</v>
      </c>
      <c r="J347" s="254" t="str">
        <f t="shared" ca="1" si="103"/>
        <v>1</v>
      </c>
      <c r="K347" s="230" t="str">
        <f>IF(Giocatori!B336=0,"",Giocatori!B336)</f>
        <v>MEGGIORINI</v>
      </c>
      <c r="L347" s="230" t="str">
        <f>IF(Giocatori!A336=0,"",Giocatori!A336)</f>
        <v>A</v>
      </c>
      <c r="M347" s="230" t="str">
        <f>IF(Giocatori!C336=0,"",Giocatori!C336)</f>
        <v>Chievo</v>
      </c>
      <c r="N347" s="69" t="str">
        <f t="shared" si="95"/>
        <v/>
      </c>
      <c r="O347" t="str">
        <f t="shared" si="96"/>
        <v>MEGGIORINI</v>
      </c>
      <c r="P347" s="7">
        <f t="shared" ca="1" si="104"/>
        <v>347</v>
      </c>
      <c r="Q347" s="7" t="str">
        <f t="shared" ca="1" si="97"/>
        <v>MEGGIORINI</v>
      </c>
      <c r="Z347" s="256"/>
      <c r="AA347" s="219"/>
      <c r="AB347" s="293" t="str">
        <f t="shared" si="98"/>
        <v/>
      </c>
      <c r="AC347" s="294" t="str">
        <f t="shared" si="99"/>
        <v/>
      </c>
      <c r="AD347" s="219"/>
      <c r="AE347" s="219"/>
      <c r="AF347" s="293" t="str">
        <f>IF(AA347="","",VLOOKUP(AA347,Asta!$B:$H,7,FALSE))</f>
        <v/>
      </c>
      <c r="AG347" s="294" t="str">
        <f t="shared" si="100"/>
        <v/>
      </c>
      <c r="AH347" t="str">
        <f t="shared" si="101"/>
        <v/>
      </c>
      <c r="AI347" s="254" t="str">
        <f t="shared" ca="1" si="105"/>
        <v>328</v>
      </c>
      <c r="AJ347" s="254" t="str">
        <f t="shared" ca="1" si="106"/>
        <v>328</v>
      </c>
      <c r="AK347" s="351"/>
    </row>
    <row r="348" spans="1:37">
      <c r="A348" s="74">
        <v>329</v>
      </c>
      <c r="B348" s="252"/>
      <c r="C348" s="293" t="str">
        <f t="shared" si="91"/>
        <v/>
      </c>
      <c r="D348" s="294" t="str">
        <f t="shared" si="92"/>
        <v/>
      </c>
      <c r="E348" s="287"/>
      <c r="F348" s="293" t="str">
        <f t="shared" si="93"/>
        <v/>
      </c>
      <c r="G348" s="294" t="str">
        <f t="shared" si="94"/>
        <v/>
      </c>
      <c r="H348" s="290"/>
      <c r="I348" s="254" t="str">
        <f t="shared" ca="1" si="102"/>
        <v>1</v>
      </c>
      <c r="J348" s="254" t="str">
        <f t="shared" ca="1" si="103"/>
        <v>1</v>
      </c>
      <c r="K348" s="230" t="str">
        <f>IF(Giocatori!B337=0,"",Giocatori!B337)</f>
        <v>MELARA</v>
      </c>
      <c r="L348" s="230" t="str">
        <f>IF(Giocatori!A337=0,"",Giocatori!A337)</f>
        <v>C</v>
      </c>
      <c r="M348" s="230" t="str">
        <f>IF(Giocatori!C337=0,"",Giocatori!C337)</f>
        <v>Benevento</v>
      </c>
      <c r="N348" s="69" t="str">
        <f t="shared" si="95"/>
        <v/>
      </c>
      <c r="O348" t="str">
        <f t="shared" si="96"/>
        <v>MELARA</v>
      </c>
      <c r="P348" s="7">
        <f t="shared" ca="1" si="104"/>
        <v>348</v>
      </c>
      <c r="Q348" s="7" t="str">
        <f t="shared" ca="1" si="97"/>
        <v>MELARA</v>
      </c>
      <c r="Z348" s="256"/>
      <c r="AA348" s="219"/>
      <c r="AB348" s="293" t="str">
        <f t="shared" si="98"/>
        <v/>
      </c>
      <c r="AC348" s="294" t="str">
        <f t="shared" si="99"/>
        <v/>
      </c>
      <c r="AD348" s="219"/>
      <c r="AE348" s="219"/>
      <c r="AF348" s="293" t="str">
        <f>IF(AA348="","",VLOOKUP(AA348,Asta!$B:$H,7,FALSE))</f>
        <v/>
      </c>
      <c r="AG348" s="294" t="str">
        <f t="shared" si="100"/>
        <v/>
      </c>
      <c r="AH348" t="str">
        <f t="shared" si="101"/>
        <v/>
      </c>
      <c r="AI348" s="254" t="str">
        <f t="shared" ca="1" si="105"/>
        <v>329</v>
      </c>
      <c r="AJ348" s="254" t="str">
        <f t="shared" ca="1" si="106"/>
        <v>329</v>
      </c>
      <c r="AK348" s="351"/>
    </row>
    <row r="349" spans="1:37">
      <c r="A349" s="74">
        <v>330</v>
      </c>
      <c r="B349" s="252"/>
      <c r="C349" s="293" t="str">
        <f t="shared" si="91"/>
        <v/>
      </c>
      <c r="D349" s="294" t="str">
        <f t="shared" si="92"/>
        <v/>
      </c>
      <c r="E349" s="287"/>
      <c r="F349" s="293" t="str">
        <f t="shared" si="93"/>
        <v/>
      </c>
      <c r="G349" s="294" t="str">
        <f t="shared" si="94"/>
        <v/>
      </c>
      <c r="H349" s="290"/>
      <c r="I349" s="254" t="str">
        <f t="shared" ca="1" si="102"/>
        <v>1</v>
      </c>
      <c r="J349" s="254" t="str">
        <f t="shared" ca="1" si="103"/>
        <v>1</v>
      </c>
      <c r="K349" s="230" t="str">
        <f>IF(Giocatori!B338=0,"",Giocatori!B338)</f>
        <v>MELCHIORRI</v>
      </c>
      <c r="L349" s="230" t="str">
        <f>IF(Giocatori!A338=0,"",Giocatori!A338)</f>
        <v>A</v>
      </c>
      <c r="M349" s="230" t="str">
        <f>IF(Giocatori!C338=0,"",Giocatori!C338)</f>
        <v>Cagliari</v>
      </c>
      <c r="N349" s="69" t="str">
        <f t="shared" si="95"/>
        <v/>
      </c>
      <c r="O349" t="str">
        <f t="shared" si="96"/>
        <v>MELCHIORRI</v>
      </c>
      <c r="P349" s="7">
        <f t="shared" ca="1" si="104"/>
        <v>349</v>
      </c>
      <c r="Q349" s="7" t="str">
        <f t="shared" ca="1" si="97"/>
        <v>MELCHIORRI</v>
      </c>
      <c r="Z349" s="256"/>
      <c r="AA349" s="219"/>
      <c r="AB349" s="293" t="str">
        <f t="shared" si="98"/>
        <v/>
      </c>
      <c r="AC349" s="294" t="str">
        <f t="shared" si="99"/>
        <v/>
      </c>
      <c r="AD349" s="219"/>
      <c r="AE349" s="219"/>
      <c r="AF349" s="293" t="str">
        <f>IF(AA349="","",VLOOKUP(AA349,Asta!$B:$H,7,FALSE))</f>
        <v/>
      </c>
      <c r="AG349" s="294" t="str">
        <f t="shared" si="100"/>
        <v/>
      </c>
      <c r="AH349" t="str">
        <f t="shared" si="101"/>
        <v/>
      </c>
      <c r="AI349" s="254" t="str">
        <f t="shared" ca="1" si="105"/>
        <v>330</v>
      </c>
      <c r="AJ349" s="254" t="str">
        <f t="shared" ca="1" si="106"/>
        <v>330</v>
      </c>
      <c r="AK349" s="351"/>
    </row>
    <row r="350" spans="1:37">
      <c r="A350" s="74">
        <v>331</v>
      </c>
      <c r="B350" s="252"/>
      <c r="C350" s="293" t="str">
        <f t="shared" si="91"/>
        <v/>
      </c>
      <c r="D350" s="294" t="str">
        <f t="shared" si="92"/>
        <v/>
      </c>
      <c r="E350" s="287"/>
      <c r="F350" s="293" t="str">
        <f t="shared" si="93"/>
        <v/>
      </c>
      <c r="G350" s="294" t="str">
        <f t="shared" si="94"/>
        <v/>
      </c>
      <c r="H350" s="290"/>
      <c r="I350" s="254" t="str">
        <f t="shared" ca="1" si="102"/>
        <v>1</v>
      </c>
      <c r="J350" s="254" t="str">
        <f t="shared" ca="1" si="103"/>
        <v>1</v>
      </c>
      <c r="K350" s="230" t="str">
        <f>IF(Giocatori!B339=0,"",Giocatori!B339)</f>
        <v>MELEGONI</v>
      </c>
      <c r="L350" s="230" t="str">
        <f>IF(Giocatori!A339=0,"",Giocatori!A339)</f>
        <v>C</v>
      </c>
      <c r="M350" s="230" t="str">
        <f>IF(Giocatori!C339=0,"",Giocatori!C339)</f>
        <v>Atalanta</v>
      </c>
      <c r="N350" s="69" t="str">
        <f t="shared" si="95"/>
        <v/>
      </c>
      <c r="O350" t="str">
        <f t="shared" si="96"/>
        <v>MELEGONI</v>
      </c>
      <c r="P350" s="7">
        <f t="shared" ca="1" si="104"/>
        <v>350</v>
      </c>
      <c r="Q350" s="7" t="str">
        <f t="shared" ca="1" si="97"/>
        <v>MELEGONI</v>
      </c>
      <c r="Z350" s="256"/>
      <c r="AA350" s="219"/>
      <c r="AB350" s="293" t="str">
        <f t="shared" si="98"/>
        <v/>
      </c>
      <c r="AC350" s="294" t="str">
        <f t="shared" si="99"/>
        <v/>
      </c>
      <c r="AD350" s="219"/>
      <c r="AE350" s="219"/>
      <c r="AF350" s="293" t="str">
        <f>IF(AA350="","",VLOOKUP(AA350,Asta!$B:$H,7,FALSE))</f>
        <v/>
      </c>
      <c r="AG350" s="294" t="str">
        <f t="shared" si="100"/>
        <v/>
      </c>
      <c r="AH350" t="str">
        <f t="shared" si="101"/>
        <v/>
      </c>
      <c r="AI350" s="254" t="str">
        <f t="shared" ca="1" si="105"/>
        <v>331</v>
      </c>
      <c r="AJ350" s="254" t="str">
        <f t="shared" ca="1" si="106"/>
        <v>331</v>
      </c>
      <c r="AK350" s="351"/>
    </row>
    <row r="351" spans="1:37">
      <c r="A351" s="74">
        <v>332</v>
      </c>
      <c r="B351" s="252"/>
      <c r="C351" s="293" t="str">
        <f t="shared" si="91"/>
        <v/>
      </c>
      <c r="D351" s="294" t="str">
        <f t="shared" si="92"/>
        <v/>
      </c>
      <c r="E351" s="287"/>
      <c r="F351" s="293" t="str">
        <f t="shared" si="93"/>
        <v/>
      </c>
      <c r="G351" s="294" t="str">
        <f t="shared" si="94"/>
        <v/>
      </c>
      <c r="H351" s="290"/>
      <c r="I351" s="254" t="str">
        <f t="shared" ca="1" si="102"/>
        <v>1</v>
      </c>
      <c r="J351" s="254" t="str">
        <f t="shared" ca="1" si="103"/>
        <v>1</v>
      </c>
      <c r="K351" s="230" t="str">
        <f>IF(Giocatori!B340=0,"",Giocatori!B340)</f>
        <v>MEMUSHAJ</v>
      </c>
      <c r="L351" s="230" t="str">
        <f>IF(Giocatori!A340=0,"",Giocatori!A340)</f>
        <v>C</v>
      </c>
      <c r="M351" s="230" t="str">
        <f>IF(Giocatori!C340=0,"",Giocatori!C340)</f>
        <v>Benevento</v>
      </c>
      <c r="N351" s="69" t="str">
        <f t="shared" si="95"/>
        <v/>
      </c>
      <c r="O351" t="str">
        <f t="shared" si="96"/>
        <v>MEMUSHAJ</v>
      </c>
      <c r="P351" s="7">
        <f t="shared" ca="1" si="104"/>
        <v>351</v>
      </c>
      <c r="Q351" s="7" t="str">
        <f t="shared" ca="1" si="97"/>
        <v>MEMUSHAJ</v>
      </c>
      <c r="Z351" s="256"/>
      <c r="AA351" s="219"/>
      <c r="AB351" s="293" t="str">
        <f t="shared" si="98"/>
        <v/>
      </c>
      <c r="AC351" s="294" t="str">
        <f t="shared" si="99"/>
        <v/>
      </c>
      <c r="AD351" s="219"/>
      <c r="AE351" s="219"/>
      <c r="AF351" s="293" t="str">
        <f>IF(AA351="","",VLOOKUP(AA351,Asta!$B:$H,7,FALSE))</f>
        <v/>
      </c>
      <c r="AG351" s="294" t="str">
        <f t="shared" si="100"/>
        <v/>
      </c>
      <c r="AH351" t="str">
        <f t="shared" si="101"/>
        <v/>
      </c>
      <c r="AI351" s="254" t="str">
        <f t="shared" ca="1" si="105"/>
        <v>332</v>
      </c>
      <c r="AJ351" s="254" t="str">
        <f t="shared" ca="1" si="106"/>
        <v>332</v>
      </c>
      <c r="AK351" s="351"/>
    </row>
    <row r="352" spans="1:37">
      <c r="A352" s="74">
        <v>333</v>
      </c>
      <c r="B352" s="252"/>
      <c r="C352" s="293" t="str">
        <f t="shared" si="91"/>
        <v/>
      </c>
      <c r="D352" s="294" t="str">
        <f t="shared" si="92"/>
        <v/>
      </c>
      <c r="E352" s="287"/>
      <c r="F352" s="293" t="str">
        <f t="shared" si="93"/>
        <v/>
      </c>
      <c r="G352" s="294" t="str">
        <f t="shared" si="94"/>
        <v/>
      </c>
      <c r="H352" s="290"/>
      <c r="I352" s="254" t="str">
        <f t="shared" ca="1" si="102"/>
        <v>1</v>
      </c>
      <c r="J352" s="254" t="str">
        <f t="shared" ca="1" si="103"/>
        <v>1</v>
      </c>
      <c r="K352" s="230" t="str">
        <f>IF(Giocatori!B341=0,"",Giocatori!B341)</f>
        <v>MERET</v>
      </c>
      <c r="L352" s="230" t="str">
        <f>IF(Giocatori!A341=0,"",Giocatori!A341)</f>
        <v>P</v>
      </c>
      <c r="M352" s="230" t="str">
        <f>IF(Giocatori!C341=0,"",Giocatori!C341)</f>
        <v>SPAL</v>
      </c>
      <c r="N352" s="69" t="str">
        <f t="shared" si="95"/>
        <v/>
      </c>
      <c r="O352" t="str">
        <f t="shared" si="96"/>
        <v>MERET</v>
      </c>
      <c r="P352" s="7">
        <f t="shared" ca="1" si="104"/>
        <v>352</v>
      </c>
      <c r="Q352" s="7" t="str">
        <f t="shared" ca="1" si="97"/>
        <v>MERET</v>
      </c>
      <c r="Z352" s="256"/>
      <c r="AA352" s="219"/>
      <c r="AB352" s="293" t="str">
        <f t="shared" si="98"/>
        <v/>
      </c>
      <c r="AC352" s="294" t="str">
        <f t="shared" si="99"/>
        <v/>
      </c>
      <c r="AD352" s="219"/>
      <c r="AE352" s="219"/>
      <c r="AF352" s="293" t="str">
        <f>IF(AA352="","",VLOOKUP(AA352,Asta!$B:$H,7,FALSE))</f>
        <v/>
      </c>
      <c r="AG352" s="294" t="str">
        <f t="shared" si="100"/>
        <v/>
      </c>
      <c r="AH352" t="str">
        <f t="shared" si="101"/>
        <v/>
      </c>
      <c r="AI352" s="254" t="str">
        <f t="shared" ca="1" si="105"/>
        <v>333</v>
      </c>
      <c r="AJ352" s="254" t="str">
        <f t="shared" ca="1" si="106"/>
        <v>333</v>
      </c>
      <c r="AK352" s="351"/>
    </row>
    <row r="353" spans="1:37">
      <c r="A353" s="74">
        <v>334</v>
      </c>
      <c r="B353" s="252"/>
      <c r="C353" s="293" t="str">
        <f t="shared" si="91"/>
        <v/>
      </c>
      <c r="D353" s="294" t="str">
        <f t="shared" si="92"/>
        <v/>
      </c>
      <c r="E353" s="287"/>
      <c r="F353" s="293" t="str">
        <f t="shared" si="93"/>
        <v/>
      </c>
      <c r="G353" s="294" t="str">
        <f t="shared" si="94"/>
        <v/>
      </c>
      <c r="H353" s="290"/>
      <c r="I353" s="254" t="str">
        <f t="shared" ca="1" si="102"/>
        <v>1</v>
      </c>
      <c r="J353" s="254" t="str">
        <f t="shared" ca="1" si="103"/>
        <v>1</v>
      </c>
      <c r="K353" s="230" t="str">
        <f>IF(Giocatori!B342=0,"",Giocatori!B342)</f>
        <v>MERTENS</v>
      </c>
      <c r="L353" s="230" t="str">
        <f>IF(Giocatori!A342=0,"",Giocatori!A342)</f>
        <v>A</v>
      </c>
      <c r="M353" s="230" t="str">
        <f>IF(Giocatori!C342=0,"",Giocatori!C342)</f>
        <v>Napoli</v>
      </c>
      <c r="N353" s="69" t="str">
        <f t="shared" si="95"/>
        <v/>
      </c>
      <c r="O353" t="str">
        <f t="shared" si="96"/>
        <v>MERTENS</v>
      </c>
      <c r="P353" s="7">
        <f t="shared" ca="1" si="104"/>
        <v>353</v>
      </c>
      <c r="Q353" s="7" t="str">
        <f t="shared" ca="1" si="97"/>
        <v>MERTENS</v>
      </c>
      <c r="Z353" s="256"/>
      <c r="AA353" s="219"/>
      <c r="AB353" s="293" t="str">
        <f t="shared" si="98"/>
        <v/>
      </c>
      <c r="AC353" s="294" t="str">
        <f t="shared" si="99"/>
        <v/>
      </c>
      <c r="AD353" s="219"/>
      <c r="AE353" s="219"/>
      <c r="AF353" s="293" t="str">
        <f>IF(AA353="","",VLOOKUP(AA353,Asta!$B:$H,7,FALSE))</f>
        <v/>
      </c>
      <c r="AG353" s="294" t="str">
        <f t="shared" si="100"/>
        <v/>
      </c>
      <c r="AH353" t="str">
        <f t="shared" si="101"/>
        <v/>
      </c>
      <c r="AI353" s="254" t="str">
        <f t="shared" ca="1" si="105"/>
        <v>334</v>
      </c>
      <c r="AJ353" s="254" t="str">
        <f t="shared" ca="1" si="106"/>
        <v>334</v>
      </c>
      <c r="AK353" s="351"/>
    </row>
    <row r="354" spans="1:37">
      <c r="A354" s="74">
        <v>335</v>
      </c>
      <c r="B354" s="252"/>
      <c r="C354" s="293" t="str">
        <f t="shared" si="91"/>
        <v/>
      </c>
      <c r="D354" s="294" t="str">
        <f t="shared" si="92"/>
        <v/>
      </c>
      <c r="E354" s="287"/>
      <c r="F354" s="293" t="str">
        <f t="shared" si="93"/>
        <v/>
      </c>
      <c r="G354" s="294" t="str">
        <f t="shared" si="94"/>
        <v/>
      </c>
      <c r="H354" s="290"/>
      <c r="I354" s="254" t="str">
        <f t="shared" ca="1" si="102"/>
        <v>1</v>
      </c>
      <c r="J354" s="254" t="str">
        <f t="shared" ca="1" si="103"/>
        <v>1</v>
      </c>
      <c r="K354" s="230" t="str">
        <f>IF(Giocatori!B343=0,"",Giocatori!B343)</f>
        <v>MIANGUE</v>
      </c>
      <c r="L354" s="230" t="str">
        <f>IF(Giocatori!A343=0,"",Giocatori!A343)</f>
        <v>D</v>
      </c>
      <c r="M354" s="230" t="str">
        <f>IF(Giocatori!C343=0,"",Giocatori!C343)</f>
        <v>Cagliari</v>
      </c>
      <c r="N354" s="69" t="str">
        <f t="shared" si="95"/>
        <v/>
      </c>
      <c r="O354" t="str">
        <f t="shared" si="96"/>
        <v>MIANGUE</v>
      </c>
      <c r="P354" s="7">
        <f t="shared" ca="1" si="104"/>
        <v>354</v>
      </c>
      <c r="Q354" s="7" t="str">
        <f t="shared" ca="1" si="97"/>
        <v>MIANGUE</v>
      </c>
      <c r="Z354" s="256"/>
      <c r="AA354" s="219"/>
      <c r="AB354" s="293" t="str">
        <f t="shared" si="98"/>
        <v/>
      </c>
      <c r="AC354" s="294" t="str">
        <f t="shared" si="99"/>
        <v/>
      </c>
      <c r="AD354" s="219"/>
      <c r="AE354" s="219"/>
      <c r="AF354" s="293" t="str">
        <f>IF(AA354="","",VLOOKUP(AA354,Asta!$B:$H,7,FALSE))</f>
        <v/>
      </c>
      <c r="AG354" s="294" t="str">
        <f t="shared" si="100"/>
        <v/>
      </c>
      <c r="AH354" t="str">
        <f t="shared" si="101"/>
        <v/>
      </c>
      <c r="AI354" s="254" t="str">
        <f t="shared" ca="1" si="105"/>
        <v>335</v>
      </c>
      <c r="AJ354" s="254" t="str">
        <f t="shared" ca="1" si="106"/>
        <v>335</v>
      </c>
      <c r="AK354" s="351"/>
    </row>
    <row r="355" spans="1:37">
      <c r="A355" s="74">
        <v>336</v>
      </c>
      <c r="B355" s="252"/>
      <c r="C355" s="293" t="str">
        <f t="shared" si="91"/>
        <v/>
      </c>
      <c r="D355" s="294" t="str">
        <f t="shared" si="92"/>
        <v/>
      </c>
      <c r="E355" s="287"/>
      <c r="F355" s="293" t="str">
        <f t="shared" si="93"/>
        <v/>
      </c>
      <c r="G355" s="294" t="str">
        <f t="shared" si="94"/>
        <v/>
      </c>
      <c r="H355" s="290"/>
      <c r="I355" s="254" t="str">
        <f t="shared" ca="1" si="102"/>
        <v>1</v>
      </c>
      <c r="J355" s="254" t="str">
        <f t="shared" ca="1" si="103"/>
        <v>1</v>
      </c>
      <c r="K355" s="230" t="str">
        <f>IF(Giocatori!B344=0,"",Giocatori!B344)</f>
        <v>MIGLIORE</v>
      </c>
      <c r="L355" s="230" t="str">
        <f>IF(Giocatori!A344=0,"",Giocatori!A344)</f>
        <v>D</v>
      </c>
      <c r="M355" s="230" t="str">
        <f>IF(Giocatori!C344=0,"",Giocatori!C344)</f>
        <v>Genoa</v>
      </c>
      <c r="N355" s="69" t="str">
        <f t="shared" si="95"/>
        <v/>
      </c>
      <c r="O355" t="str">
        <f t="shared" si="96"/>
        <v>MIGLIORE</v>
      </c>
      <c r="P355" s="7">
        <f t="shared" ca="1" si="104"/>
        <v>355</v>
      </c>
      <c r="Q355" s="7" t="str">
        <f t="shared" ca="1" si="97"/>
        <v>MIGLIORE</v>
      </c>
      <c r="Z355" s="256"/>
      <c r="AA355" s="219"/>
      <c r="AB355" s="293" t="str">
        <f t="shared" si="98"/>
        <v/>
      </c>
      <c r="AC355" s="294" t="str">
        <f t="shared" si="99"/>
        <v/>
      </c>
      <c r="AD355" s="219"/>
      <c r="AE355" s="219"/>
      <c r="AF355" s="293" t="str">
        <f>IF(AA355="","",VLOOKUP(AA355,Asta!$B:$H,7,FALSE))</f>
        <v/>
      </c>
      <c r="AG355" s="294" t="str">
        <f t="shared" si="100"/>
        <v/>
      </c>
      <c r="AH355" t="str">
        <f t="shared" si="101"/>
        <v/>
      </c>
      <c r="AI355" s="254" t="str">
        <f t="shared" ca="1" si="105"/>
        <v>336</v>
      </c>
      <c r="AJ355" s="254" t="str">
        <f t="shared" ca="1" si="106"/>
        <v>336</v>
      </c>
      <c r="AK355" s="351"/>
    </row>
    <row r="356" spans="1:37">
      <c r="A356" s="74">
        <v>337</v>
      </c>
      <c r="B356" s="252"/>
      <c r="C356" s="293" t="str">
        <f t="shared" si="91"/>
        <v/>
      </c>
      <c r="D356" s="294" t="str">
        <f t="shared" si="92"/>
        <v/>
      </c>
      <c r="E356" s="287"/>
      <c r="F356" s="293" t="str">
        <f t="shared" si="93"/>
        <v/>
      </c>
      <c r="G356" s="294" t="str">
        <f t="shared" si="94"/>
        <v/>
      </c>
      <c r="H356" s="290"/>
      <c r="I356" s="254" t="str">
        <f t="shared" ca="1" si="102"/>
        <v>1</v>
      </c>
      <c r="J356" s="254" t="str">
        <f t="shared" ca="1" si="103"/>
        <v>1</v>
      </c>
      <c r="K356" s="230" t="str">
        <f>IF(Giocatori!B345=0,"",Giocatori!B345)</f>
        <v>MIGUEL VELOSO</v>
      </c>
      <c r="L356" s="230" t="str">
        <f>IF(Giocatori!A345=0,"",Giocatori!A345)</f>
        <v>C</v>
      </c>
      <c r="M356" s="230" t="str">
        <f>IF(Giocatori!C345=0,"",Giocatori!C345)</f>
        <v>Genoa</v>
      </c>
      <c r="N356" s="69" t="str">
        <f t="shared" si="95"/>
        <v/>
      </c>
      <c r="O356" t="str">
        <f t="shared" si="96"/>
        <v>MIGUEL VELOSO</v>
      </c>
      <c r="P356" s="7">
        <f t="shared" ca="1" si="104"/>
        <v>356</v>
      </c>
      <c r="Q356" s="7" t="str">
        <f t="shared" ca="1" si="97"/>
        <v>MIGUEL VELOSO</v>
      </c>
      <c r="Z356" s="256"/>
      <c r="AA356" s="219"/>
      <c r="AB356" s="293" t="str">
        <f t="shared" si="98"/>
        <v/>
      </c>
      <c r="AC356" s="294" t="str">
        <f t="shared" si="99"/>
        <v/>
      </c>
      <c r="AD356" s="219"/>
      <c r="AE356" s="219"/>
      <c r="AF356" s="293" t="str">
        <f>IF(AA356="","",VLOOKUP(AA356,Asta!$B:$H,7,FALSE))</f>
        <v/>
      </c>
      <c r="AG356" s="294" t="str">
        <f t="shared" si="100"/>
        <v/>
      </c>
      <c r="AH356" t="str">
        <f t="shared" si="101"/>
        <v/>
      </c>
      <c r="AI356" s="254" t="str">
        <f t="shared" ca="1" si="105"/>
        <v>337</v>
      </c>
      <c r="AJ356" s="254" t="str">
        <f t="shared" ca="1" si="106"/>
        <v>337</v>
      </c>
      <c r="AK356" s="351"/>
    </row>
    <row r="357" spans="1:37">
      <c r="A357" s="74">
        <v>338</v>
      </c>
      <c r="B357" s="252"/>
      <c r="C357" s="293" t="str">
        <f t="shared" ref="C357:C420" si="107">IF(B357&lt;&gt;"",VLOOKUP(B357,$K:$M,2,FALSE),"")</f>
        <v/>
      </c>
      <c r="D357" s="294" t="str">
        <f t="shared" ref="D357:D420" si="108">IF(B357&lt;&gt;"",VLOOKUP(B357,$K:$M,3,FALSE),"")</f>
        <v/>
      </c>
      <c r="E357" s="287"/>
      <c r="F357" s="293" t="str">
        <f t="shared" si="93"/>
        <v/>
      </c>
      <c r="G357" s="294" t="str">
        <f t="shared" si="94"/>
        <v/>
      </c>
      <c r="H357" s="290"/>
      <c r="I357" s="254" t="str">
        <f t="shared" ca="1" si="102"/>
        <v>1</v>
      </c>
      <c r="J357" s="254" t="str">
        <f t="shared" ca="1" si="103"/>
        <v>1</v>
      </c>
      <c r="K357" s="230" t="str">
        <f>IF(Giocatori!B346=0,"",Giocatori!B346)</f>
        <v>MIKULIC</v>
      </c>
      <c r="L357" s="230" t="str">
        <f>IF(Giocatori!A346=0,"",Giocatori!A346)</f>
        <v>D</v>
      </c>
      <c r="M357" s="230" t="str">
        <f>IF(Giocatori!C346=0,"",Giocatori!C346)</f>
        <v>Sampdoria</v>
      </c>
      <c r="N357" s="69" t="str">
        <f t="shared" si="95"/>
        <v/>
      </c>
      <c r="O357" t="str">
        <f t="shared" si="96"/>
        <v>MIKULIC</v>
      </c>
      <c r="P357" s="7">
        <f t="shared" ca="1" si="104"/>
        <v>357</v>
      </c>
      <c r="Q357" s="7" t="str">
        <f t="shared" ca="1" si="97"/>
        <v>MIKULIC</v>
      </c>
      <c r="Z357" s="256"/>
      <c r="AA357" s="219"/>
      <c r="AB357" s="293" t="str">
        <f t="shared" si="98"/>
        <v/>
      </c>
      <c r="AC357" s="294" t="str">
        <f t="shared" si="99"/>
        <v/>
      </c>
      <c r="AD357" s="219"/>
      <c r="AE357" s="219"/>
      <c r="AF357" s="293" t="str">
        <f>IF(AA357="","",VLOOKUP(AA357,Asta!$B:$H,7,FALSE))</f>
        <v/>
      </c>
      <c r="AG357" s="294" t="str">
        <f t="shared" si="100"/>
        <v/>
      </c>
      <c r="AH357" t="str">
        <f t="shared" si="101"/>
        <v/>
      </c>
      <c r="AI357" s="254" t="str">
        <f t="shared" ca="1" si="105"/>
        <v>338</v>
      </c>
      <c r="AJ357" s="254" t="str">
        <f t="shared" ca="1" si="106"/>
        <v>338</v>
      </c>
      <c r="AK357" s="351"/>
    </row>
    <row r="358" spans="1:37">
      <c r="A358" s="74">
        <v>339</v>
      </c>
      <c r="B358" s="252"/>
      <c r="C358" s="293" t="str">
        <f t="shared" si="107"/>
        <v/>
      </c>
      <c r="D358" s="294" t="str">
        <f t="shared" si="108"/>
        <v/>
      </c>
      <c r="E358" s="287"/>
      <c r="F358" s="293" t="str">
        <f t="shared" si="93"/>
        <v/>
      </c>
      <c r="G358" s="294" t="str">
        <f t="shared" si="94"/>
        <v/>
      </c>
      <c r="H358" s="290"/>
      <c r="I358" s="254" t="str">
        <f t="shared" ca="1" si="102"/>
        <v>1</v>
      </c>
      <c r="J358" s="254" t="str">
        <f t="shared" ca="1" si="103"/>
        <v>1</v>
      </c>
      <c r="K358" s="230" t="str">
        <f>IF(Giocatori!B347=0,"",Giocatori!B347)</f>
        <v>MILENKOVIC</v>
      </c>
      <c r="L358" s="230" t="str">
        <f>IF(Giocatori!A347=0,"",Giocatori!A347)</f>
        <v>D</v>
      </c>
      <c r="M358" s="230" t="str">
        <f>IF(Giocatori!C347=0,"",Giocatori!C347)</f>
        <v>Fiorentina</v>
      </c>
      <c r="N358" s="69" t="str">
        <f t="shared" si="95"/>
        <v/>
      </c>
      <c r="O358" t="str">
        <f t="shared" si="96"/>
        <v>MILENKOVIC</v>
      </c>
      <c r="P358" s="7">
        <f t="shared" ca="1" si="104"/>
        <v>358</v>
      </c>
      <c r="Q358" s="7" t="str">
        <f t="shared" ca="1" si="97"/>
        <v>MILENKOVIC</v>
      </c>
      <c r="Z358" s="256"/>
      <c r="AA358" s="219"/>
      <c r="AB358" s="293" t="str">
        <f t="shared" si="98"/>
        <v/>
      </c>
      <c r="AC358" s="294" t="str">
        <f t="shared" si="99"/>
        <v/>
      </c>
      <c r="AD358" s="219"/>
      <c r="AE358" s="219"/>
      <c r="AF358" s="293" t="str">
        <f>IF(AA358="","",VLOOKUP(AA358,Asta!$B:$H,7,FALSE))</f>
        <v/>
      </c>
      <c r="AG358" s="294" t="str">
        <f t="shared" si="100"/>
        <v/>
      </c>
      <c r="AH358" t="str">
        <f t="shared" si="101"/>
        <v/>
      </c>
      <c r="AI358" s="254" t="str">
        <f t="shared" ca="1" si="105"/>
        <v>339</v>
      </c>
      <c r="AJ358" s="254" t="str">
        <f t="shared" ca="1" si="106"/>
        <v>339</v>
      </c>
      <c r="AK358" s="351"/>
    </row>
    <row r="359" spans="1:37">
      <c r="A359" s="74">
        <v>340</v>
      </c>
      <c r="B359" s="252"/>
      <c r="C359" s="293" t="str">
        <f t="shared" si="107"/>
        <v/>
      </c>
      <c r="D359" s="294" t="str">
        <f t="shared" si="108"/>
        <v/>
      </c>
      <c r="E359" s="287"/>
      <c r="F359" s="293" t="str">
        <f t="shared" si="93"/>
        <v/>
      </c>
      <c r="G359" s="294" t="str">
        <f t="shared" si="94"/>
        <v/>
      </c>
      <c r="H359" s="290"/>
      <c r="I359" s="254" t="str">
        <f t="shared" ca="1" si="102"/>
        <v>1</v>
      </c>
      <c r="J359" s="254" t="str">
        <f t="shared" ca="1" si="103"/>
        <v>1</v>
      </c>
      <c r="K359" s="230" t="str">
        <f>IF(Giocatori!B348=0,"",Giocatori!B348)</f>
        <v>MILIK</v>
      </c>
      <c r="L359" s="230" t="str">
        <f>IF(Giocatori!A348=0,"",Giocatori!A348)</f>
        <v>A</v>
      </c>
      <c r="M359" s="230" t="str">
        <f>IF(Giocatori!C348=0,"",Giocatori!C348)</f>
        <v>Napoli</v>
      </c>
      <c r="N359" s="69" t="str">
        <f t="shared" si="95"/>
        <v/>
      </c>
      <c r="O359" t="str">
        <f t="shared" si="96"/>
        <v>MILIK</v>
      </c>
      <c r="P359" s="7">
        <f t="shared" ca="1" si="104"/>
        <v>359</v>
      </c>
      <c r="Q359" s="7" t="str">
        <f t="shared" ca="1" si="97"/>
        <v>MILIK</v>
      </c>
      <c r="Z359" s="256"/>
      <c r="AA359" s="219"/>
      <c r="AB359" s="293" t="str">
        <f t="shared" si="98"/>
        <v/>
      </c>
      <c r="AC359" s="294" t="str">
        <f t="shared" si="99"/>
        <v/>
      </c>
      <c r="AD359" s="219"/>
      <c r="AE359" s="219"/>
      <c r="AF359" s="293" t="str">
        <f>IF(AA359="","",VLOOKUP(AA359,Asta!$B:$H,7,FALSE))</f>
        <v/>
      </c>
      <c r="AG359" s="294" t="str">
        <f t="shared" si="100"/>
        <v/>
      </c>
      <c r="AH359" t="str">
        <f t="shared" si="101"/>
        <v/>
      </c>
      <c r="AI359" s="254" t="str">
        <f t="shared" ca="1" si="105"/>
        <v>340</v>
      </c>
      <c r="AJ359" s="254" t="str">
        <f t="shared" ca="1" si="106"/>
        <v>340</v>
      </c>
      <c r="AK359" s="351"/>
    </row>
    <row r="360" spans="1:37">
      <c r="A360" s="74">
        <v>341</v>
      </c>
      <c r="B360" s="252"/>
      <c r="C360" s="293" t="str">
        <f t="shared" si="107"/>
        <v/>
      </c>
      <c r="D360" s="294" t="str">
        <f t="shared" si="108"/>
        <v/>
      </c>
      <c r="E360" s="287"/>
      <c r="F360" s="293" t="str">
        <f t="shared" si="93"/>
        <v/>
      </c>
      <c r="G360" s="294" t="str">
        <f t="shared" si="94"/>
        <v/>
      </c>
      <c r="H360" s="290"/>
      <c r="I360" s="254" t="str">
        <f t="shared" ca="1" si="102"/>
        <v>1</v>
      </c>
      <c r="J360" s="254" t="str">
        <f t="shared" ca="1" si="103"/>
        <v>1</v>
      </c>
      <c r="K360" s="230" t="str">
        <f>IF(Giocatori!B349=0,"",Giocatori!B349)</f>
        <v>MILINKOVIC-SAVIC</v>
      </c>
      <c r="L360" s="230" t="str">
        <f>IF(Giocatori!A349=0,"",Giocatori!A349)</f>
        <v>C</v>
      </c>
      <c r="M360" s="230" t="str">
        <f>IF(Giocatori!C349=0,"",Giocatori!C349)</f>
        <v>Lazio</v>
      </c>
      <c r="N360" s="69" t="str">
        <f t="shared" si="95"/>
        <v/>
      </c>
      <c r="O360" t="str">
        <f t="shared" si="96"/>
        <v>MILINKOVIC-SAVIC</v>
      </c>
      <c r="P360" s="7">
        <f t="shared" ca="1" si="104"/>
        <v>360</v>
      </c>
      <c r="Q360" s="7" t="str">
        <f t="shared" ca="1" si="97"/>
        <v>MILINKOVIC-SAVIC</v>
      </c>
      <c r="Z360" s="256"/>
      <c r="AA360" s="219"/>
      <c r="AB360" s="293" t="str">
        <f t="shared" si="98"/>
        <v/>
      </c>
      <c r="AC360" s="294" t="str">
        <f t="shared" si="99"/>
        <v/>
      </c>
      <c r="AD360" s="219"/>
      <c r="AE360" s="219"/>
      <c r="AF360" s="293" t="str">
        <f>IF(AA360="","",VLOOKUP(AA360,Asta!$B:$H,7,FALSE))</f>
        <v/>
      </c>
      <c r="AG360" s="294" t="str">
        <f t="shared" si="100"/>
        <v/>
      </c>
      <c r="AH360" t="str">
        <f t="shared" si="101"/>
        <v/>
      </c>
      <c r="AI360" s="254" t="str">
        <f t="shared" ca="1" si="105"/>
        <v>341</v>
      </c>
      <c r="AJ360" s="254" t="str">
        <f t="shared" ca="1" si="106"/>
        <v>341</v>
      </c>
      <c r="AK360" s="351"/>
    </row>
    <row r="361" spans="1:37">
      <c r="A361" s="74">
        <v>342</v>
      </c>
      <c r="B361" s="252"/>
      <c r="C361" s="293" t="str">
        <f t="shared" si="107"/>
        <v/>
      </c>
      <c r="D361" s="294" t="str">
        <f t="shared" si="108"/>
        <v/>
      </c>
      <c r="E361" s="287"/>
      <c r="F361" s="293" t="str">
        <f t="shared" si="93"/>
        <v/>
      </c>
      <c r="G361" s="294" t="str">
        <f t="shared" si="94"/>
        <v/>
      </c>
      <c r="H361" s="290"/>
      <c r="I361" s="254" t="str">
        <f t="shared" ca="1" si="102"/>
        <v>1</v>
      </c>
      <c r="J361" s="254" t="str">
        <f t="shared" ca="1" si="103"/>
        <v>1</v>
      </c>
      <c r="K361" s="230" t="str">
        <f>IF(Giocatori!B350=0,"",Giocatori!B350)</f>
        <v>MILINKOVIC-SAVIC V</v>
      </c>
      <c r="L361" s="230" t="str">
        <f>IF(Giocatori!A350=0,"",Giocatori!A350)</f>
        <v>P</v>
      </c>
      <c r="M361" s="230" t="str">
        <f>IF(Giocatori!C350=0,"",Giocatori!C350)</f>
        <v>Torino</v>
      </c>
      <c r="N361" s="69" t="str">
        <f t="shared" si="95"/>
        <v/>
      </c>
      <c r="O361" t="str">
        <f t="shared" si="96"/>
        <v>MILINKOVIC-SAVIC V</v>
      </c>
      <c r="P361" s="7">
        <f t="shared" ca="1" si="104"/>
        <v>361</v>
      </c>
      <c r="Q361" s="7" t="str">
        <f t="shared" ca="1" si="97"/>
        <v>MILINKOVIC-SAVIC V</v>
      </c>
      <c r="Z361" s="256"/>
      <c r="AA361" s="219"/>
      <c r="AB361" s="293" t="str">
        <f t="shared" si="98"/>
        <v/>
      </c>
      <c r="AC361" s="294" t="str">
        <f t="shared" si="99"/>
        <v/>
      </c>
      <c r="AD361" s="219"/>
      <c r="AE361" s="219"/>
      <c r="AF361" s="293" t="str">
        <f>IF(AA361="","",VLOOKUP(AA361,Asta!$B:$H,7,FALSE))</f>
        <v/>
      </c>
      <c r="AG361" s="294" t="str">
        <f t="shared" si="100"/>
        <v/>
      </c>
      <c r="AH361" t="str">
        <f t="shared" si="101"/>
        <v/>
      </c>
      <c r="AI361" s="254" t="str">
        <f t="shared" ca="1" si="105"/>
        <v>342</v>
      </c>
      <c r="AJ361" s="254" t="str">
        <f t="shared" ca="1" si="106"/>
        <v>342</v>
      </c>
      <c r="AK361" s="351"/>
    </row>
    <row r="362" spans="1:37">
      <c r="A362" s="74">
        <v>343</v>
      </c>
      <c r="B362" s="252"/>
      <c r="C362" s="293" t="str">
        <f t="shared" si="107"/>
        <v/>
      </c>
      <c r="D362" s="294" t="str">
        <f t="shared" si="108"/>
        <v/>
      </c>
      <c r="E362" s="287"/>
      <c r="F362" s="293" t="str">
        <f t="shared" si="93"/>
        <v/>
      </c>
      <c r="G362" s="294" t="str">
        <f t="shared" si="94"/>
        <v/>
      </c>
      <c r="H362" s="290"/>
      <c r="I362" s="254" t="str">
        <f t="shared" ca="1" si="102"/>
        <v>1</v>
      </c>
      <c r="J362" s="254" t="str">
        <f t="shared" ca="1" si="103"/>
        <v>1</v>
      </c>
      <c r="K362" s="230" t="str">
        <f>IF(Giocatori!B351=0,"",Giocatori!B351)</f>
        <v>MIRANDA</v>
      </c>
      <c r="L362" s="230" t="str">
        <f>IF(Giocatori!A351=0,"",Giocatori!A351)</f>
        <v>D</v>
      </c>
      <c r="M362" s="230" t="str">
        <f>IF(Giocatori!C351=0,"",Giocatori!C351)</f>
        <v>Inter</v>
      </c>
      <c r="N362" s="69" t="str">
        <f t="shared" si="95"/>
        <v/>
      </c>
      <c r="O362" t="str">
        <f t="shared" si="96"/>
        <v>MIRANDA</v>
      </c>
      <c r="P362" s="7">
        <f t="shared" ca="1" si="104"/>
        <v>362</v>
      </c>
      <c r="Q362" s="7" t="str">
        <f t="shared" ca="1" si="97"/>
        <v>MIRANDA</v>
      </c>
      <c r="Z362" s="256"/>
      <c r="AA362" s="219"/>
      <c r="AB362" s="293" t="str">
        <f t="shared" si="98"/>
        <v/>
      </c>
      <c r="AC362" s="294" t="str">
        <f t="shared" si="99"/>
        <v/>
      </c>
      <c r="AD362" s="219"/>
      <c r="AE362" s="219"/>
      <c r="AF362" s="293" t="str">
        <f>IF(AA362="","",VLOOKUP(AA362,Asta!$B:$H,7,FALSE))</f>
        <v/>
      </c>
      <c r="AG362" s="294" t="str">
        <f t="shared" si="100"/>
        <v/>
      </c>
      <c r="AH362" t="str">
        <f t="shared" si="101"/>
        <v/>
      </c>
      <c r="AI362" s="254" t="str">
        <f t="shared" ca="1" si="105"/>
        <v>343</v>
      </c>
      <c r="AJ362" s="254" t="str">
        <f t="shared" ca="1" si="106"/>
        <v>343</v>
      </c>
      <c r="AK362" s="351"/>
    </row>
    <row r="363" spans="1:37">
      <c r="A363" s="74">
        <v>344</v>
      </c>
      <c r="B363" s="252"/>
      <c r="C363" s="293" t="str">
        <f t="shared" si="107"/>
        <v/>
      </c>
      <c r="D363" s="294" t="str">
        <f t="shared" si="108"/>
        <v/>
      </c>
      <c r="E363" s="287"/>
      <c r="F363" s="293" t="str">
        <f t="shared" si="93"/>
        <v/>
      </c>
      <c r="G363" s="294" t="str">
        <f t="shared" si="94"/>
        <v/>
      </c>
      <c r="H363" s="290"/>
      <c r="I363" s="254" t="str">
        <f t="shared" ca="1" si="102"/>
        <v>1</v>
      </c>
      <c r="J363" s="254" t="str">
        <f t="shared" ca="1" si="103"/>
        <v>1</v>
      </c>
      <c r="K363" s="230" t="str">
        <f>IF(Giocatori!B352=0,"",Giocatori!B352)</f>
        <v>MIRANTE</v>
      </c>
      <c r="L363" s="230" t="str">
        <f>IF(Giocatori!A352=0,"",Giocatori!A352)</f>
        <v>P</v>
      </c>
      <c r="M363" s="230" t="str">
        <f>IF(Giocatori!C352=0,"",Giocatori!C352)</f>
        <v>Bologna</v>
      </c>
      <c r="N363" s="69" t="str">
        <f t="shared" si="95"/>
        <v/>
      </c>
      <c r="O363" t="str">
        <f t="shared" si="96"/>
        <v>MIRANTE</v>
      </c>
      <c r="P363" s="7">
        <f t="shared" ca="1" si="104"/>
        <v>363</v>
      </c>
      <c r="Q363" s="7" t="str">
        <f t="shared" ca="1" si="97"/>
        <v>MIRANTE</v>
      </c>
      <c r="Z363" s="256"/>
      <c r="AA363" s="219"/>
      <c r="AB363" s="293" t="str">
        <f t="shared" si="98"/>
        <v/>
      </c>
      <c r="AC363" s="294" t="str">
        <f t="shared" si="99"/>
        <v/>
      </c>
      <c r="AD363" s="219"/>
      <c r="AE363" s="219"/>
      <c r="AF363" s="293" t="str">
        <f>IF(AA363="","",VLOOKUP(AA363,Asta!$B:$H,7,FALSE))</f>
        <v/>
      </c>
      <c r="AG363" s="294" t="str">
        <f t="shared" si="100"/>
        <v/>
      </c>
      <c r="AH363" t="str">
        <f t="shared" si="101"/>
        <v/>
      </c>
      <c r="AI363" s="254" t="str">
        <f t="shared" ca="1" si="105"/>
        <v>344</v>
      </c>
      <c r="AJ363" s="254" t="str">
        <f t="shared" ca="1" si="106"/>
        <v>344</v>
      </c>
      <c r="AK363" s="351"/>
    </row>
    <row r="364" spans="1:37">
      <c r="A364" s="74">
        <v>345</v>
      </c>
      <c r="B364" s="252"/>
      <c r="C364" s="293" t="str">
        <f t="shared" si="107"/>
        <v/>
      </c>
      <c r="D364" s="294" t="str">
        <f t="shared" si="108"/>
        <v/>
      </c>
      <c r="E364" s="287"/>
      <c r="F364" s="293" t="str">
        <f t="shared" si="93"/>
        <v/>
      </c>
      <c r="G364" s="294" t="str">
        <f t="shared" si="94"/>
        <v/>
      </c>
      <c r="H364" s="290"/>
      <c r="I364" s="254" t="str">
        <f t="shared" ca="1" si="102"/>
        <v>1</v>
      </c>
      <c r="J364" s="254" t="str">
        <f t="shared" ca="1" si="103"/>
        <v>1</v>
      </c>
      <c r="K364" s="230" t="str">
        <f>IF(Giocatori!B353=0,"",Giocatori!B353)</f>
        <v>MISSIROLI</v>
      </c>
      <c r="L364" s="230" t="str">
        <f>IF(Giocatori!A353=0,"",Giocatori!A353)</f>
        <v>C</v>
      </c>
      <c r="M364" s="230" t="str">
        <f>IF(Giocatori!C353=0,"",Giocatori!C353)</f>
        <v>Sassuolo</v>
      </c>
      <c r="N364" s="69" t="str">
        <f t="shared" si="95"/>
        <v/>
      </c>
      <c r="O364" t="str">
        <f t="shared" si="96"/>
        <v>MISSIROLI</v>
      </c>
      <c r="P364" s="7">
        <f t="shared" ca="1" si="104"/>
        <v>364</v>
      </c>
      <c r="Q364" s="7" t="str">
        <f t="shared" ca="1" si="97"/>
        <v>MISSIROLI</v>
      </c>
      <c r="Z364" s="256"/>
      <c r="AA364" s="219"/>
      <c r="AB364" s="293" t="str">
        <f t="shared" si="98"/>
        <v/>
      </c>
      <c r="AC364" s="294" t="str">
        <f t="shared" si="99"/>
        <v/>
      </c>
      <c r="AD364" s="219"/>
      <c r="AE364" s="219"/>
      <c r="AF364" s="293" t="str">
        <f>IF(AA364="","",VLOOKUP(AA364,Asta!$B:$H,7,FALSE))</f>
        <v/>
      </c>
      <c r="AG364" s="294" t="str">
        <f t="shared" si="100"/>
        <v/>
      </c>
      <c r="AH364" t="str">
        <f t="shared" si="101"/>
        <v/>
      </c>
      <c r="AI364" s="254" t="str">
        <f t="shared" ca="1" si="105"/>
        <v>345</v>
      </c>
      <c r="AJ364" s="254" t="str">
        <f t="shared" ca="1" si="106"/>
        <v>345</v>
      </c>
      <c r="AK364" s="351"/>
    </row>
    <row r="365" spans="1:37">
      <c r="A365" s="74">
        <v>346</v>
      </c>
      <c r="B365" s="252"/>
      <c r="C365" s="293" t="str">
        <f t="shared" si="107"/>
        <v/>
      </c>
      <c r="D365" s="294" t="str">
        <f t="shared" si="108"/>
        <v/>
      </c>
      <c r="E365" s="287"/>
      <c r="F365" s="293" t="str">
        <f t="shared" si="93"/>
        <v/>
      </c>
      <c r="G365" s="294" t="str">
        <f t="shared" si="94"/>
        <v/>
      </c>
      <c r="H365" s="290"/>
      <c r="I365" s="254" t="str">
        <f t="shared" ca="1" si="102"/>
        <v>1</v>
      </c>
      <c r="J365" s="254" t="str">
        <f t="shared" ca="1" si="103"/>
        <v>1</v>
      </c>
      <c r="K365" s="230" t="str">
        <f>IF(Giocatori!B354=0,"",Giocatori!B354)</f>
        <v>MOLINARO</v>
      </c>
      <c r="L365" s="230" t="str">
        <f>IF(Giocatori!A354=0,"",Giocatori!A354)</f>
        <v>D</v>
      </c>
      <c r="M365" s="230" t="str">
        <f>IF(Giocatori!C354=0,"",Giocatori!C354)</f>
        <v>Torino</v>
      </c>
      <c r="N365" s="69" t="str">
        <f t="shared" si="95"/>
        <v/>
      </c>
      <c r="O365" t="str">
        <f t="shared" si="96"/>
        <v>MOLINARO</v>
      </c>
      <c r="P365" s="7">
        <f t="shared" ca="1" si="104"/>
        <v>365</v>
      </c>
      <c r="Q365" s="7" t="str">
        <f t="shared" ca="1" si="97"/>
        <v>MOLINARO</v>
      </c>
      <c r="Z365" s="256"/>
      <c r="AA365" s="219"/>
      <c r="AB365" s="293" t="str">
        <f t="shared" si="98"/>
        <v/>
      </c>
      <c r="AC365" s="294" t="str">
        <f t="shared" si="99"/>
        <v/>
      </c>
      <c r="AD365" s="219"/>
      <c r="AE365" s="219"/>
      <c r="AF365" s="293" t="str">
        <f>IF(AA365="","",VLOOKUP(AA365,Asta!$B:$H,7,FALSE))</f>
        <v/>
      </c>
      <c r="AG365" s="294" t="str">
        <f t="shared" si="100"/>
        <v/>
      </c>
      <c r="AH365" t="str">
        <f t="shared" si="101"/>
        <v/>
      </c>
      <c r="AI365" s="254" t="str">
        <f t="shared" ca="1" si="105"/>
        <v>346</v>
      </c>
      <c r="AJ365" s="254" t="str">
        <f t="shared" ca="1" si="106"/>
        <v>346</v>
      </c>
      <c r="AK365" s="351"/>
    </row>
    <row r="366" spans="1:37">
      <c r="A366" s="74">
        <v>347</v>
      </c>
      <c r="B366" s="252"/>
      <c r="C366" s="293" t="str">
        <f t="shared" si="107"/>
        <v/>
      </c>
      <c r="D366" s="294" t="str">
        <f t="shared" si="108"/>
        <v/>
      </c>
      <c r="E366" s="287"/>
      <c r="F366" s="293" t="str">
        <f t="shared" si="93"/>
        <v/>
      </c>
      <c r="G366" s="294" t="str">
        <f t="shared" si="94"/>
        <v/>
      </c>
      <c r="H366" s="290"/>
      <c r="I366" s="254" t="str">
        <f t="shared" ca="1" si="102"/>
        <v>1</v>
      </c>
      <c r="J366" s="254" t="str">
        <f t="shared" ca="1" si="103"/>
        <v>1</v>
      </c>
      <c r="K366" s="230" t="str">
        <f>IF(Giocatori!B355=0,"",Giocatori!B355)</f>
        <v>MONTOLIVO</v>
      </c>
      <c r="L366" s="230" t="str">
        <f>IF(Giocatori!A355=0,"",Giocatori!A355)</f>
        <v>C</v>
      </c>
      <c r="M366" s="230" t="str">
        <f>IF(Giocatori!C355=0,"",Giocatori!C355)</f>
        <v>Milan</v>
      </c>
      <c r="N366" s="69" t="str">
        <f t="shared" si="95"/>
        <v/>
      </c>
      <c r="O366" t="str">
        <f t="shared" si="96"/>
        <v>MONTOLIVO</v>
      </c>
      <c r="P366" s="7">
        <f t="shared" ca="1" si="104"/>
        <v>366</v>
      </c>
      <c r="Q366" s="7" t="str">
        <f t="shared" ca="1" si="97"/>
        <v>MONTOLIVO</v>
      </c>
      <c r="Z366" s="256"/>
      <c r="AA366" s="219"/>
      <c r="AB366" s="293" t="str">
        <f t="shared" si="98"/>
        <v/>
      </c>
      <c r="AC366" s="294" t="str">
        <f t="shared" si="99"/>
        <v/>
      </c>
      <c r="AD366" s="219"/>
      <c r="AE366" s="219"/>
      <c r="AF366" s="293" t="str">
        <f>IF(AA366="","",VLOOKUP(AA366,Asta!$B:$H,7,FALSE))</f>
        <v/>
      </c>
      <c r="AG366" s="294" t="str">
        <f t="shared" si="100"/>
        <v/>
      </c>
      <c r="AH366" t="str">
        <f t="shared" si="101"/>
        <v/>
      </c>
      <c r="AI366" s="254" t="str">
        <f t="shared" ca="1" si="105"/>
        <v>347</v>
      </c>
      <c r="AJ366" s="254" t="str">
        <f t="shared" ca="1" si="106"/>
        <v>347</v>
      </c>
      <c r="AK366" s="351"/>
    </row>
    <row r="367" spans="1:37">
      <c r="A367" s="74">
        <v>348</v>
      </c>
      <c r="B367" s="252"/>
      <c r="C367" s="293" t="str">
        <f t="shared" si="107"/>
        <v/>
      </c>
      <c r="D367" s="294" t="str">
        <f t="shared" si="108"/>
        <v/>
      </c>
      <c r="E367" s="287"/>
      <c r="F367" s="293" t="str">
        <f t="shared" si="93"/>
        <v/>
      </c>
      <c r="G367" s="294" t="str">
        <f t="shared" si="94"/>
        <v/>
      </c>
      <c r="H367" s="290"/>
      <c r="I367" s="254" t="str">
        <f t="shared" ca="1" si="102"/>
        <v>1</v>
      </c>
      <c r="J367" s="254" t="str">
        <f t="shared" ca="1" si="103"/>
        <v>1</v>
      </c>
      <c r="K367" s="230" t="str">
        <f>IF(Giocatori!B356=0,"",Giocatori!B356)</f>
        <v>MORA</v>
      </c>
      <c r="L367" s="230" t="str">
        <f>IF(Giocatori!A356=0,"",Giocatori!A356)</f>
        <v>C</v>
      </c>
      <c r="M367" s="230" t="str">
        <f>IF(Giocatori!C356=0,"",Giocatori!C356)</f>
        <v>SPAL</v>
      </c>
      <c r="N367" s="69" t="str">
        <f t="shared" si="95"/>
        <v/>
      </c>
      <c r="O367" t="str">
        <f t="shared" si="96"/>
        <v>MORA</v>
      </c>
      <c r="P367" s="7">
        <f t="shared" ca="1" si="104"/>
        <v>367</v>
      </c>
      <c r="Q367" s="7" t="str">
        <f t="shared" ca="1" si="97"/>
        <v>MORA</v>
      </c>
      <c r="Z367" s="256"/>
      <c r="AA367" s="219"/>
      <c r="AB367" s="293" t="str">
        <f t="shared" si="98"/>
        <v/>
      </c>
      <c r="AC367" s="294" t="str">
        <f t="shared" si="99"/>
        <v/>
      </c>
      <c r="AD367" s="219"/>
      <c r="AE367" s="219"/>
      <c r="AF367" s="293" t="str">
        <f>IF(AA367="","",VLOOKUP(AA367,Asta!$B:$H,7,FALSE))</f>
        <v/>
      </c>
      <c r="AG367" s="294" t="str">
        <f t="shared" si="100"/>
        <v/>
      </c>
      <c r="AH367" t="str">
        <f t="shared" si="101"/>
        <v/>
      </c>
      <c r="AI367" s="254" t="str">
        <f t="shared" ca="1" si="105"/>
        <v>348</v>
      </c>
      <c r="AJ367" s="254" t="str">
        <f t="shared" ca="1" si="106"/>
        <v>348</v>
      </c>
      <c r="AK367" s="351"/>
    </row>
    <row r="368" spans="1:37">
      <c r="A368" s="74">
        <v>349</v>
      </c>
      <c r="B368" s="252"/>
      <c r="C368" s="293" t="str">
        <f t="shared" si="107"/>
        <v/>
      </c>
      <c r="D368" s="294" t="str">
        <f t="shared" si="108"/>
        <v/>
      </c>
      <c r="E368" s="287"/>
      <c r="F368" s="293" t="str">
        <f t="shared" si="93"/>
        <v/>
      </c>
      <c r="G368" s="294" t="str">
        <f t="shared" si="94"/>
        <v/>
      </c>
      <c r="H368" s="290"/>
      <c r="I368" s="254" t="str">
        <f t="shared" ca="1" si="102"/>
        <v>1</v>
      </c>
      <c r="J368" s="254" t="str">
        <f t="shared" ca="1" si="103"/>
        <v>1</v>
      </c>
      <c r="K368" s="230" t="str">
        <f>IF(Giocatori!B357=0,"",Giocatori!B357)</f>
        <v>MORETTI</v>
      </c>
      <c r="L368" s="230" t="str">
        <f>IF(Giocatori!A357=0,"",Giocatori!A357)</f>
        <v>D</v>
      </c>
      <c r="M368" s="230" t="str">
        <f>IF(Giocatori!C357=0,"",Giocatori!C357)</f>
        <v>Torino</v>
      </c>
      <c r="N368" s="69" t="str">
        <f t="shared" si="95"/>
        <v/>
      </c>
      <c r="O368" t="str">
        <f t="shared" si="96"/>
        <v>MORETTI</v>
      </c>
      <c r="P368" s="7">
        <f t="shared" ca="1" si="104"/>
        <v>368</v>
      </c>
      <c r="Q368" s="7" t="str">
        <f t="shared" ca="1" si="97"/>
        <v>MORETTI</v>
      </c>
      <c r="Z368" s="256"/>
      <c r="AA368" s="219"/>
      <c r="AB368" s="293" t="str">
        <f t="shared" si="98"/>
        <v/>
      </c>
      <c r="AC368" s="294" t="str">
        <f t="shared" si="99"/>
        <v/>
      </c>
      <c r="AD368" s="219"/>
      <c r="AE368" s="219"/>
      <c r="AF368" s="293" t="str">
        <f>IF(AA368="","",VLOOKUP(AA368,Asta!$B:$H,7,FALSE))</f>
        <v/>
      </c>
      <c r="AG368" s="294" t="str">
        <f t="shared" si="100"/>
        <v/>
      </c>
      <c r="AH368" t="str">
        <f t="shared" si="101"/>
        <v/>
      </c>
      <c r="AI368" s="254" t="str">
        <f t="shared" ca="1" si="105"/>
        <v>349</v>
      </c>
      <c r="AJ368" s="254" t="str">
        <f t="shared" ca="1" si="106"/>
        <v>349</v>
      </c>
      <c r="AK368" s="351"/>
    </row>
    <row r="369" spans="1:37">
      <c r="A369" s="74">
        <v>350</v>
      </c>
      <c r="B369" s="252"/>
      <c r="C369" s="293" t="str">
        <f t="shared" si="107"/>
        <v/>
      </c>
      <c r="D369" s="294" t="str">
        <f t="shared" si="108"/>
        <v/>
      </c>
      <c r="E369" s="287"/>
      <c r="F369" s="293" t="str">
        <f t="shared" si="93"/>
        <v/>
      </c>
      <c r="G369" s="294" t="str">
        <f t="shared" si="94"/>
        <v/>
      </c>
      <c r="H369" s="290"/>
      <c r="I369" s="254" t="str">
        <f t="shared" ca="1" si="102"/>
        <v>1</v>
      </c>
      <c r="J369" s="254" t="str">
        <f t="shared" ca="1" si="103"/>
        <v>1</v>
      </c>
      <c r="K369" s="230" t="str">
        <f>IF(Giocatori!B358=0,"",Giocatori!B358)</f>
        <v>MURGIA</v>
      </c>
      <c r="L369" s="230" t="str">
        <f>IF(Giocatori!A358=0,"",Giocatori!A358)</f>
        <v>C</v>
      </c>
      <c r="M369" s="230" t="str">
        <f>IF(Giocatori!C358=0,"",Giocatori!C358)</f>
        <v>Lazio</v>
      </c>
      <c r="N369" s="69" t="str">
        <f t="shared" si="95"/>
        <v/>
      </c>
      <c r="O369" t="str">
        <f t="shared" si="96"/>
        <v>MURGIA</v>
      </c>
      <c r="P369" s="7">
        <f t="shared" ca="1" si="104"/>
        <v>369</v>
      </c>
      <c r="Q369" s="7" t="str">
        <f t="shared" ca="1" si="97"/>
        <v>MURGIA</v>
      </c>
      <c r="Z369" s="256"/>
      <c r="AA369" s="219"/>
      <c r="AB369" s="293" t="str">
        <f t="shared" si="98"/>
        <v/>
      </c>
      <c r="AC369" s="294" t="str">
        <f t="shared" si="99"/>
        <v/>
      </c>
      <c r="AD369" s="219"/>
      <c r="AE369" s="219"/>
      <c r="AF369" s="293" t="str">
        <f>IF(AA369="","",VLOOKUP(AA369,Asta!$B:$H,7,FALSE))</f>
        <v/>
      </c>
      <c r="AG369" s="294" t="str">
        <f t="shared" si="100"/>
        <v/>
      </c>
      <c r="AH369" t="str">
        <f t="shared" si="101"/>
        <v/>
      </c>
      <c r="AI369" s="254" t="str">
        <f t="shared" ca="1" si="105"/>
        <v>350</v>
      </c>
      <c r="AJ369" s="254" t="str">
        <f t="shared" ca="1" si="106"/>
        <v>350</v>
      </c>
      <c r="AK369" s="351"/>
    </row>
    <row r="370" spans="1:37">
      <c r="A370" s="74">
        <v>351</v>
      </c>
      <c r="B370" s="252"/>
      <c r="C370" s="293" t="str">
        <f t="shared" si="107"/>
        <v/>
      </c>
      <c r="D370" s="294" t="str">
        <f t="shared" si="108"/>
        <v/>
      </c>
      <c r="E370" s="287"/>
      <c r="F370" s="293" t="str">
        <f t="shared" si="93"/>
        <v/>
      </c>
      <c r="G370" s="294" t="str">
        <f t="shared" si="94"/>
        <v/>
      </c>
      <c r="H370" s="290"/>
      <c r="I370" s="254" t="str">
        <f t="shared" ca="1" si="102"/>
        <v>1</v>
      </c>
      <c r="J370" s="254" t="str">
        <f t="shared" ca="1" si="103"/>
        <v>1</v>
      </c>
      <c r="K370" s="230" t="str">
        <f>IF(Giocatori!B359=0,"",Giocatori!B359)</f>
        <v>MURRU</v>
      </c>
      <c r="L370" s="230" t="str">
        <f>IF(Giocatori!A359=0,"",Giocatori!A359)</f>
        <v>D</v>
      </c>
      <c r="M370" s="230" t="str">
        <f>IF(Giocatori!C359=0,"",Giocatori!C359)</f>
        <v>Sampdoria</v>
      </c>
      <c r="N370" s="69" t="str">
        <f t="shared" si="95"/>
        <v/>
      </c>
      <c r="O370" t="str">
        <f t="shared" si="96"/>
        <v>MURRU</v>
      </c>
      <c r="P370" s="7">
        <f t="shared" ca="1" si="104"/>
        <v>370</v>
      </c>
      <c r="Q370" s="7" t="str">
        <f t="shared" ca="1" si="97"/>
        <v>MURRU</v>
      </c>
      <c r="Z370" s="256"/>
      <c r="AA370" s="219"/>
      <c r="AB370" s="293" t="str">
        <f t="shared" si="98"/>
        <v/>
      </c>
      <c r="AC370" s="294" t="str">
        <f t="shared" si="99"/>
        <v/>
      </c>
      <c r="AD370" s="219"/>
      <c r="AE370" s="219"/>
      <c r="AF370" s="293" t="str">
        <f>IF(AA370="","",VLOOKUP(AA370,Asta!$B:$H,7,FALSE))</f>
        <v/>
      </c>
      <c r="AG370" s="294" t="str">
        <f t="shared" si="100"/>
        <v/>
      </c>
      <c r="AH370" t="str">
        <f t="shared" si="101"/>
        <v/>
      </c>
      <c r="AI370" s="254" t="str">
        <f t="shared" ca="1" si="105"/>
        <v>351</v>
      </c>
      <c r="AJ370" s="254" t="str">
        <f t="shared" ca="1" si="106"/>
        <v>351</v>
      </c>
      <c r="AK370" s="351"/>
    </row>
    <row r="371" spans="1:37">
      <c r="A371" s="74">
        <v>352</v>
      </c>
      <c r="B371" s="252"/>
      <c r="C371" s="293" t="str">
        <f t="shared" si="107"/>
        <v/>
      </c>
      <c r="D371" s="294" t="str">
        <f t="shared" si="108"/>
        <v/>
      </c>
      <c r="E371" s="287"/>
      <c r="F371" s="293" t="str">
        <f t="shared" si="93"/>
        <v/>
      </c>
      <c r="G371" s="294" t="str">
        <f t="shared" si="94"/>
        <v/>
      </c>
      <c r="H371" s="290"/>
      <c r="I371" s="254" t="str">
        <f t="shared" ca="1" si="102"/>
        <v>1</v>
      </c>
      <c r="J371" s="254" t="str">
        <f t="shared" ca="1" si="103"/>
        <v>1</v>
      </c>
      <c r="K371" s="230" t="str">
        <f>IF(Giocatori!B360=0,"",Giocatori!B360)</f>
        <v>MUSACCHIO</v>
      </c>
      <c r="L371" s="230" t="str">
        <f>IF(Giocatori!A360=0,"",Giocatori!A360)</f>
        <v>D</v>
      </c>
      <c r="M371" s="230" t="str">
        <f>IF(Giocatori!C360=0,"",Giocatori!C360)</f>
        <v>Milan</v>
      </c>
      <c r="N371" s="69" t="str">
        <f t="shared" si="95"/>
        <v/>
      </c>
      <c r="O371" t="str">
        <f t="shared" si="96"/>
        <v>MUSACCHIO</v>
      </c>
      <c r="P371" s="7">
        <f t="shared" ca="1" si="104"/>
        <v>371</v>
      </c>
      <c r="Q371" s="7" t="str">
        <f t="shared" ca="1" si="97"/>
        <v>MUSACCHIO</v>
      </c>
      <c r="Z371" s="256"/>
      <c r="AA371" s="219"/>
      <c r="AB371" s="293" t="str">
        <f t="shared" si="98"/>
        <v/>
      </c>
      <c r="AC371" s="294" t="str">
        <f t="shared" si="99"/>
        <v/>
      </c>
      <c r="AD371" s="219"/>
      <c r="AE371" s="219"/>
      <c r="AF371" s="293" t="str">
        <f>IF(AA371="","",VLOOKUP(AA371,Asta!$B:$H,7,FALSE))</f>
        <v/>
      </c>
      <c r="AG371" s="294" t="str">
        <f t="shared" si="100"/>
        <v/>
      </c>
      <c r="AH371" t="str">
        <f t="shared" si="101"/>
        <v/>
      </c>
      <c r="AI371" s="254" t="str">
        <f t="shared" ca="1" si="105"/>
        <v>352</v>
      </c>
      <c r="AJ371" s="254" t="str">
        <f t="shared" ca="1" si="106"/>
        <v>352</v>
      </c>
      <c r="AK371" s="351"/>
    </row>
    <row r="372" spans="1:37">
      <c r="A372" s="74">
        <v>353</v>
      </c>
      <c r="B372" s="252"/>
      <c r="C372" s="293" t="str">
        <f t="shared" si="107"/>
        <v/>
      </c>
      <c r="D372" s="294" t="str">
        <f t="shared" si="108"/>
        <v/>
      </c>
      <c r="E372" s="287"/>
      <c r="F372" s="293" t="str">
        <f t="shared" si="93"/>
        <v/>
      </c>
      <c r="G372" s="294" t="str">
        <f t="shared" si="94"/>
        <v/>
      </c>
      <c r="H372" s="290"/>
      <c r="I372" s="254" t="str">
        <f t="shared" ca="1" si="102"/>
        <v>1</v>
      </c>
      <c r="J372" s="254" t="str">
        <f t="shared" ca="1" si="103"/>
        <v>1</v>
      </c>
      <c r="K372" s="230" t="str">
        <f>IF(Giocatori!B361=0,"",Giocatori!B361)</f>
        <v>NAGATOMO</v>
      </c>
      <c r="L372" s="230" t="str">
        <f>IF(Giocatori!A361=0,"",Giocatori!A361)</f>
        <v>D</v>
      </c>
      <c r="M372" s="230" t="str">
        <f>IF(Giocatori!C361=0,"",Giocatori!C361)</f>
        <v>Inter</v>
      </c>
      <c r="N372" s="69" t="str">
        <f t="shared" si="95"/>
        <v/>
      </c>
      <c r="O372" t="str">
        <f t="shared" si="96"/>
        <v>NAGATOMO</v>
      </c>
      <c r="P372" s="7">
        <f t="shared" ca="1" si="104"/>
        <v>372</v>
      </c>
      <c r="Q372" s="7" t="str">
        <f t="shared" ca="1" si="97"/>
        <v>NAGATOMO</v>
      </c>
      <c r="Z372" s="256"/>
      <c r="AA372" s="219"/>
      <c r="AB372" s="293" t="str">
        <f t="shared" si="98"/>
        <v/>
      </c>
      <c r="AC372" s="294" t="str">
        <f t="shared" si="99"/>
        <v/>
      </c>
      <c r="AD372" s="219"/>
      <c r="AE372" s="219"/>
      <c r="AF372" s="293" t="str">
        <f>IF(AA372="","",VLOOKUP(AA372,Asta!$B:$H,7,FALSE))</f>
        <v/>
      </c>
      <c r="AG372" s="294" t="str">
        <f t="shared" si="100"/>
        <v/>
      </c>
      <c r="AH372" t="str">
        <f t="shared" si="101"/>
        <v/>
      </c>
      <c r="AI372" s="254" t="str">
        <f t="shared" ca="1" si="105"/>
        <v>353</v>
      </c>
      <c r="AJ372" s="254" t="str">
        <f t="shared" ca="1" si="106"/>
        <v>353</v>
      </c>
      <c r="AK372" s="351"/>
    </row>
    <row r="373" spans="1:37">
      <c r="A373" s="74">
        <v>354</v>
      </c>
      <c r="B373" s="252"/>
      <c r="C373" s="293" t="str">
        <f t="shared" si="107"/>
        <v/>
      </c>
      <c r="D373" s="294" t="str">
        <f t="shared" si="108"/>
        <v/>
      </c>
      <c r="E373" s="287"/>
      <c r="F373" s="293" t="str">
        <f t="shared" si="93"/>
        <v/>
      </c>
      <c r="G373" s="294" t="str">
        <f t="shared" si="94"/>
        <v/>
      </c>
      <c r="H373" s="290"/>
      <c r="I373" s="254" t="str">
        <f t="shared" ca="1" si="102"/>
        <v>1</v>
      </c>
      <c r="J373" s="254" t="str">
        <f t="shared" ca="1" si="103"/>
        <v>1</v>
      </c>
      <c r="K373" s="230" t="str">
        <f>IF(Giocatori!B362=0,"",Giocatori!B362)</f>
        <v>NAGY</v>
      </c>
      <c r="L373" s="230" t="str">
        <f>IF(Giocatori!A362=0,"",Giocatori!A362)</f>
        <v>C</v>
      </c>
      <c r="M373" s="230" t="str">
        <f>IF(Giocatori!C362=0,"",Giocatori!C362)</f>
        <v>Bologna</v>
      </c>
      <c r="N373" s="69" t="str">
        <f t="shared" si="95"/>
        <v/>
      </c>
      <c r="O373" t="str">
        <f t="shared" si="96"/>
        <v>NAGY</v>
      </c>
      <c r="P373" s="7">
        <f t="shared" ca="1" si="104"/>
        <v>373</v>
      </c>
      <c r="Q373" s="7" t="str">
        <f t="shared" ca="1" si="97"/>
        <v>NAGY</v>
      </c>
      <c r="Z373" s="256"/>
      <c r="AA373" s="219"/>
      <c r="AB373" s="293" t="str">
        <f t="shared" si="98"/>
        <v/>
      </c>
      <c r="AC373" s="294" t="str">
        <f t="shared" si="99"/>
        <v/>
      </c>
      <c r="AD373" s="219"/>
      <c r="AE373" s="219"/>
      <c r="AF373" s="293" t="str">
        <f>IF(AA373="","",VLOOKUP(AA373,Asta!$B:$H,7,FALSE))</f>
        <v/>
      </c>
      <c r="AG373" s="294" t="str">
        <f t="shared" si="100"/>
        <v/>
      </c>
      <c r="AH373" t="str">
        <f t="shared" si="101"/>
        <v/>
      </c>
      <c r="AI373" s="254" t="str">
        <f t="shared" ca="1" si="105"/>
        <v>354</v>
      </c>
      <c r="AJ373" s="254" t="str">
        <f t="shared" ca="1" si="106"/>
        <v>354</v>
      </c>
      <c r="AK373" s="351"/>
    </row>
    <row r="374" spans="1:37">
      <c r="A374" s="74">
        <v>355</v>
      </c>
      <c r="B374" s="252"/>
      <c r="C374" s="293" t="str">
        <f t="shared" si="107"/>
        <v/>
      </c>
      <c r="D374" s="294" t="str">
        <f t="shared" si="108"/>
        <v/>
      </c>
      <c r="E374" s="287"/>
      <c r="F374" s="293" t="str">
        <f t="shared" si="93"/>
        <v/>
      </c>
      <c r="G374" s="294" t="str">
        <f t="shared" si="94"/>
        <v/>
      </c>
      <c r="H374" s="290"/>
      <c r="I374" s="254" t="str">
        <f t="shared" ca="1" si="102"/>
        <v>1</v>
      </c>
      <c r="J374" s="254" t="str">
        <f t="shared" ca="1" si="103"/>
        <v>1</v>
      </c>
      <c r="K374" s="230" t="str">
        <f>IF(Giocatori!B363=0,"",Giocatori!B363)</f>
        <v>NAINGGOLAN</v>
      </c>
      <c r="L374" s="230" t="str">
        <f>IF(Giocatori!A363=0,"",Giocatori!A363)</f>
        <v>C</v>
      </c>
      <c r="M374" s="230" t="str">
        <f>IF(Giocatori!C363=0,"",Giocatori!C363)</f>
        <v>Roma</v>
      </c>
      <c r="N374" s="69" t="str">
        <f t="shared" si="95"/>
        <v/>
      </c>
      <c r="O374" t="str">
        <f t="shared" si="96"/>
        <v>NAINGGOLAN</v>
      </c>
      <c r="P374" s="7">
        <f t="shared" ca="1" si="104"/>
        <v>374</v>
      </c>
      <c r="Q374" s="7" t="str">
        <f t="shared" ca="1" si="97"/>
        <v>NAINGGOLAN</v>
      </c>
      <c r="Z374" s="256"/>
      <c r="AA374" s="219"/>
      <c r="AB374" s="293" t="str">
        <f t="shared" si="98"/>
        <v/>
      </c>
      <c r="AC374" s="294" t="str">
        <f t="shared" si="99"/>
        <v/>
      </c>
      <c r="AD374" s="219"/>
      <c r="AE374" s="219"/>
      <c r="AF374" s="293" t="str">
        <f>IF(AA374="","",VLOOKUP(AA374,Asta!$B:$H,7,FALSE))</f>
        <v/>
      </c>
      <c r="AG374" s="294" t="str">
        <f t="shared" si="100"/>
        <v/>
      </c>
      <c r="AH374" t="str">
        <f t="shared" si="101"/>
        <v/>
      </c>
      <c r="AI374" s="254" t="str">
        <f t="shared" ca="1" si="105"/>
        <v>355</v>
      </c>
      <c r="AJ374" s="254" t="str">
        <f t="shared" ca="1" si="106"/>
        <v>355</v>
      </c>
      <c r="AK374" s="351"/>
    </row>
    <row r="375" spans="1:37">
      <c r="A375" s="74">
        <v>356</v>
      </c>
      <c r="B375" s="252"/>
      <c r="C375" s="293" t="str">
        <f t="shared" si="107"/>
        <v/>
      </c>
      <c r="D375" s="294" t="str">
        <f t="shared" si="108"/>
        <v/>
      </c>
      <c r="E375" s="287"/>
      <c r="F375" s="293" t="str">
        <f t="shared" si="93"/>
        <v/>
      </c>
      <c r="G375" s="294" t="str">
        <f t="shared" si="94"/>
        <v/>
      </c>
      <c r="H375" s="290"/>
      <c r="I375" s="254" t="str">
        <f t="shared" ca="1" si="102"/>
        <v>1</v>
      </c>
      <c r="J375" s="254" t="str">
        <f t="shared" ca="1" si="103"/>
        <v>1</v>
      </c>
      <c r="K375" s="230" t="str">
        <f>IF(Giocatori!B364=0,"",Giocatori!B364)</f>
        <v>NALINI</v>
      </c>
      <c r="L375" s="230" t="str">
        <f>IF(Giocatori!A364=0,"",Giocatori!A364)</f>
        <v>C</v>
      </c>
      <c r="M375" s="230" t="str">
        <f>IF(Giocatori!C364=0,"",Giocatori!C364)</f>
        <v>Crotone</v>
      </c>
      <c r="N375" s="69" t="str">
        <f t="shared" si="95"/>
        <v/>
      </c>
      <c r="O375" t="str">
        <f t="shared" si="96"/>
        <v>NALINI</v>
      </c>
      <c r="P375" s="7">
        <f t="shared" ca="1" si="104"/>
        <v>375</v>
      </c>
      <c r="Q375" s="7" t="str">
        <f t="shared" ca="1" si="97"/>
        <v>NALINI</v>
      </c>
      <c r="Z375" s="256"/>
      <c r="AA375" s="219"/>
      <c r="AB375" s="293" t="str">
        <f t="shared" si="98"/>
        <v/>
      </c>
      <c r="AC375" s="294" t="str">
        <f t="shared" si="99"/>
        <v/>
      </c>
      <c r="AD375" s="219"/>
      <c r="AE375" s="219"/>
      <c r="AF375" s="293" t="str">
        <f>IF(AA375="","",VLOOKUP(AA375,Asta!$B:$H,7,FALSE))</f>
        <v/>
      </c>
      <c r="AG375" s="294" t="str">
        <f t="shared" si="100"/>
        <v/>
      </c>
      <c r="AH375" t="str">
        <f t="shared" si="101"/>
        <v/>
      </c>
      <c r="AI375" s="254" t="str">
        <f t="shared" ca="1" si="105"/>
        <v>356</v>
      </c>
      <c r="AJ375" s="254" t="str">
        <f t="shared" ca="1" si="106"/>
        <v>356</v>
      </c>
      <c r="AK375" s="351"/>
    </row>
    <row r="376" spans="1:37">
      <c r="A376" s="74">
        <v>357</v>
      </c>
      <c r="B376" s="252"/>
      <c r="C376" s="293" t="str">
        <f t="shared" si="107"/>
        <v/>
      </c>
      <c r="D376" s="294" t="str">
        <f t="shared" si="108"/>
        <v/>
      </c>
      <c r="E376" s="287"/>
      <c r="F376" s="293" t="str">
        <f t="shared" si="93"/>
        <v/>
      </c>
      <c r="G376" s="294" t="str">
        <f t="shared" si="94"/>
        <v/>
      </c>
      <c r="H376" s="290"/>
      <c r="I376" s="254" t="str">
        <f t="shared" ca="1" si="102"/>
        <v>1</v>
      </c>
      <c r="J376" s="254" t="str">
        <f t="shared" ca="1" si="103"/>
        <v>1</v>
      </c>
      <c r="K376" s="230" t="str">
        <f>IF(Giocatori!B365=0,"",Giocatori!B365)</f>
        <v>NANI</v>
      </c>
      <c r="L376" s="230" t="str">
        <f>IF(Giocatori!A365=0,"",Giocatori!A365)</f>
        <v>A</v>
      </c>
      <c r="M376" s="230" t="str">
        <f>IF(Giocatori!C365=0,"",Giocatori!C365)</f>
        <v>Lazio</v>
      </c>
      <c r="N376" s="69" t="str">
        <f t="shared" si="95"/>
        <v/>
      </c>
      <c r="O376" t="str">
        <f t="shared" si="96"/>
        <v>NANI</v>
      </c>
      <c r="P376" s="7">
        <f t="shared" ca="1" si="104"/>
        <v>376</v>
      </c>
      <c r="Q376" s="7" t="str">
        <f t="shared" ca="1" si="97"/>
        <v>NANI</v>
      </c>
      <c r="Z376" s="256"/>
      <c r="AA376" s="219"/>
      <c r="AB376" s="293" t="str">
        <f t="shared" si="98"/>
        <v/>
      </c>
      <c r="AC376" s="294" t="str">
        <f t="shared" si="99"/>
        <v/>
      </c>
      <c r="AD376" s="219"/>
      <c r="AE376" s="219"/>
      <c r="AF376" s="293" t="str">
        <f>IF(AA376="","",VLOOKUP(AA376,Asta!$B:$H,7,FALSE))</f>
        <v/>
      </c>
      <c r="AG376" s="294" t="str">
        <f t="shared" si="100"/>
        <v/>
      </c>
      <c r="AH376" t="str">
        <f t="shared" si="101"/>
        <v/>
      </c>
      <c r="AI376" s="254" t="str">
        <f t="shared" ca="1" si="105"/>
        <v>357</v>
      </c>
      <c r="AJ376" s="254" t="str">
        <f t="shared" ca="1" si="106"/>
        <v>357</v>
      </c>
      <c r="AK376" s="351"/>
    </row>
    <row r="377" spans="1:37">
      <c r="A377" s="74">
        <v>358</v>
      </c>
      <c r="B377" s="252"/>
      <c r="C377" s="293" t="str">
        <f t="shared" si="107"/>
        <v/>
      </c>
      <c r="D377" s="294" t="str">
        <f t="shared" si="108"/>
        <v/>
      </c>
      <c r="E377" s="287"/>
      <c r="F377" s="293" t="str">
        <f t="shared" si="93"/>
        <v/>
      </c>
      <c r="G377" s="294" t="str">
        <f t="shared" si="94"/>
        <v/>
      </c>
      <c r="H377" s="290"/>
      <c r="I377" s="254" t="str">
        <f t="shared" ca="1" si="102"/>
        <v>1</v>
      </c>
      <c r="J377" s="254" t="str">
        <f t="shared" ca="1" si="103"/>
        <v>1</v>
      </c>
      <c r="K377" s="230" t="str">
        <f>IF(Giocatori!B366=0,"",Giocatori!B366)</f>
        <v>NIANG</v>
      </c>
      <c r="L377" s="230" t="str">
        <f>IF(Giocatori!A366=0,"",Giocatori!A366)</f>
        <v>A</v>
      </c>
      <c r="M377" s="230" t="str">
        <f>IF(Giocatori!C366=0,"",Giocatori!C366)</f>
        <v>Torino</v>
      </c>
      <c r="N377" s="69" t="str">
        <f t="shared" si="95"/>
        <v/>
      </c>
      <c r="O377" t="str">
        <f t="shared" si="96"/>
        <v>NIANG</v>
      </c>
      <c r="P377" s="7">
        <f t="shared" ca="1" si="104"/>
        <v>377</v>
      </c>
      <c r="Q377" s="7" t="str">
        <f t="shared" ca="1" si="97"/>
        <v>NIANG</v>
      </c>
      <c r="Z377" s="256"/>
      <c r="AA377" s="219"/>
      <c r="AB377" s="293" t="str">
        <f t="shared" si="98"/>
        <v/>
      </c>
      <c r="AC377" s="294" t="str">
        <f t="shared" si="99"/>
        <v/>
      </c>
      <c r="AD377" s="219"/>
      <c r="AE377" s="219"/>
      <c r="AF377" s="293" t="str">
        <f>IF(AA377="","",VLOOKUP(AA377,Asta!$B:$H,7,FALSE))</f>
        <v/>
      </c>
      <c r="AG377" s="294" t="str">
        <f t="shared" si="100"/>
        <v/>
      </c>
      <c r="AH377" t="str">
        <f t="shared" si="101"/>
        <v/>
      </c>
      <c r="AI377" s="254" t="str">
        <f t="shared" ca="1" si="105"/>
        <v>358</v>
      </c>
      <c r="AJ377" s="254" t="str">
        <f t="shared" ca="1" si="106"/>
        <v>358</v>
      </c>
      <c r="AK377" s="351"/>
    </row>
    <row r="378" spans="1:37">
      <c r="A378" s="74">
        <v>359</v>
      </c>
      <c r="B378" s="252"/>
      <c r="C378" s="293" t="str">
        <f t="shared" si="107"/>
        <v/>
      </c>
      <c r="D378" s="294" t="str">
        <f t="shared" si="108"/>
        <v/>
      </c>
      <c r="E378" s="287"/>
      <c r="F378" s="293" t="str">
        <f t="shared" si="93"/>
        <v/>
      </c>
      <c r="G378" s="294" t="str">
        <f t="shared" si="94"/>
        <v/>
      </c>
      <c r="H378" s="290"/>
      <c r="I378" s="254" t="str">
        <f t="shared" ca="1" si="102"/>
        <v>1</v>
      </c>
      <c r="J378" s="254" t="str">
        <f t="shared" ca="1" si="103"/>
        <v>1</v>
      </c>
      <c r="K378" s="230" t="str">
        <f>IF(Giocatori!B367=0,"",Giocatori!B367)</f>
        <v>NICOLAS</v>
      </c>
      <c r="L378" s="230" t="str">
        <f>IF(Giocatori!A367=0,"",Giocatori!A367)</f>
        <v>P</v>
      </c>
      <c r="M378" s="230" t="str">
        <f>IF(Giocatori!C367=0,"",Giocatori!C367)</f>
        <v>Verona</v>
      </c>
      <c r="N378" s="69" t="str">
        <f t="shared" si="95"/>
        <v/>
      </c>
      <c r="O378" t="str">
        <f t="shared" si="96"/>
        <v>NICOLAS</v>
      </c>
      <c r="P378" s="7">
        <f t="shared" ca="1" si="104"/>
        <v>378</v>
      </c>
      <c r="Q378" s="7" t="str">
        <f t="shared" ca="1" si="97"/>
        <v>NICOLAS</v>
      </c>
      <c r="Z378" s="256"/>
      <c r="AA378" s="219"/>
      <c r="AB378" s="293" t="str">
        <f t="shared" si="98"/>
        <v/>
      </c>
      <c r="AC378" s="294" t="str">
        <f t="shared" si="99"/>
        <v/>
      </c>
      <c r="AD378" s="219"/>
      <c r="AE378" s="219"/>
      <c r="AF378" s="293" t="str">
        <f>IF(AA378="","",VLOOKUP(AA378,Asta!$B:$H,7,FALSE))</f>
        <v/>
      </c>
      <c r="AG378" s="294" t="str">
        <f t="shared" si="100"/>
        <v/>
      </c>
      <c r="AH378" t="str">
        <f t="shared" si="101"/>
        <v/>
      </c>
      <c r="AI378" s="254" t="str">
        <f t="shared" ca="1" si="105"/>
        <v>359</v>
      </c>
      <c r="AJ378" s="254" t="str">
        <f t="shared" ca="1" si="106"/>
        <v>359</v>
      </c>
      <c r="AK378" s="351"/>
    </row>
    <row r="379" spans="1:37">
      <c r="A379" s="74">
        <v>360</v>
      </c>
      <c r="B379" s="252"/>
      <c r="C379" s="293" t="str">
        <f t="shared" si="107"/>
        <v/>
      </c>
      <c r="D379" s="294" t="str">
        <f t="shared" si="108"/>
        <v/>
      </c>
      <c r="E379" s="287"/>
      <c r="F379" s="293" t="str">
        <f t="shared" si="93"/>
        <v/>
      </c>
      <c r="G379" s="294" t="str">
        <f t="shared" si="94"/>
        <v/>
      </c>
      <c r="H379" s="290"/>
      <c r="I379" s="254" t="str">
        <f t="shared" ca="1" si="102"/>
        <v>1</v>
      </c>
      <c r="J379" s="254" t="str">
        <f t="shared" ca="1" si="103"/>
        <v>1</v>
      </c>
      <c r="K379" s="230" t="str">
        <f>IF(Giocatori!B368=0,"",Giocatori!B368)</f>
        <v>N'KOULOU</v>
      </c>
      <c r="L379" s="230" t="str">
        <f>IF(Giocatori!A368=0,"",Giocatori!A368)</f>
        <v>D</v>
      </c>
      <c r="M379" s="230" t="str">
        <f>IF(Giocatori!C368=0,"",Giocatori!C368)</f>
        <v>Torino</v>
      </c>
      <c r="N379" s="69" t="str">
        <f t="shared" si="95"/>
        <v/>
      </c>
      <c r="O379" t="str">
        <f t="shared" si="96"/>
        <v>N'KOULOU</v>
      </c>
      <c r="P379" s="7">
        <f t="shared" ca="1" si="104"/>
        <v>379</v>
      </c>
      <c r="Q379" s="7" t="str">
        <f t="shared" ca="1" si="97"/>
        <v>N'KOULOU</v>
      </c>
      <c r="Z379" s="256"/>
      <c r="AA379" s="219"/>
      <c r="AB379" s="293" t="str">
        <f t="shared" si="98"/>
        <v/>
      </c>
      <c r="AC379" s="294" t="str">
        <f t="shared" si="99"/>
        <v/>
      </c>
      <c r="AD379" s="219"/>
      <c r="AE379" s="219"/>
      <c r="AF379" s="293" t="str">
        <f>IF(AA379="","",VLOOKUP(AA379,Asta!$B:$H,7,FALSE))</f>
        <v/>
      </c>
      <c r="AG379" s="294" t="str">
        <f t="shared" si="100"/>
        <v/>
      </c>
      <c r="AH379" t="str">
        <f t="shared" si="101"/>
        <v/>
      </c>
      <c r="AI379" s="254" t="str">
        <f t="shared" ca="1" si="105"/>
        <v>360</v>
      </c>
      <c r="AJ379" s="254" t="str">
        <f t="shared" ca="1" si="106"/>
        <v>360</v>
      </c>
      <c r="AK379" s="351"/>
    </row>
    <row r="380" spans="1:37">
      <c r="A380" s="74">
        <v>361</v>
      </c>
      <c r="B380" s="252"/>
      <c r="C380" s="293" t="str">
        <f t="shared" si="107"/>
        <v/>
      </c>
      <c r="D380" s="294" t="str">
        <f t="shared" si="108"/>
        <v/>
      </c>
      <c r="E380" s="287"/>
      <c r="F380" s="293" t="str">
        <f t="shared" si="93"/>
        <v/>
      </c>
      <c r="G380" s="294" t="str">
        <f t="shared" si="94"/>
        <v/>
      </c>
      <c r="H380" s="290"/>
      <c r="I380" s="254" t="str">
        <f t="shared" ca="1" si="102"/>
        <v>1</v>
      </c>
      <c r="J380" s="254" t="str">
        <f t="shared" ca="1" si="103"/>
        <v>1</v>
      </c>
      <c r="K380" s="230" t="str">
        <f>IF(Giocatori!B369=0,"",Giocatori!B369)</f>
        <v>NUYTINCK</v>
      </c>
      <c r="L380" s="230" t="str">
        <f>IF(Giocatori!A369=0,"",Giocatori!A369)</f>
        <v>D</v>
      </c>
      <c r="M380" s="230" t="str">
        <f>IF(Giocatori!C369=0,"",Giocatori!C369)</f>
        <v>Udinese</v>
      </c>
      <c r="N380" s="69" t="str">
        <f t="shared" si="95"/>
        <v/>
      </c>
      <c r="O380" t="str">
        <f t="shared" si="96"/>
        <v>NUYTINCK</v>
      </c>
      <c r="P380" s="7">
        <f t="shared" ca="1" si="104"/>
        <v>380</v>
      </c>
      <c r="Q380" s="7" t="str">
        <f t="shared" ca="1" si="97"/>
        <v>NUYTINCK</v>
      </c>
      <c r="Z380" s="256"/>
      <c r="AA380" s="219"/>
      <c r="AB380" s="293" t="str">
        <f t="shared" si="98"/>
        <v/>
      </c>
      <c r="AC380" s="294" t="str">
        <f t="shared" si="99"/>
        <v/>
      </c>
      <c r="AD380" s="219"/>
      <c r="AE380" s="219"/>
      <c r="AF380" s="293" t="str">
        <f>IF(AA380="","",VLOOKUP(AA380,Asta!$B:$H,7,FALSE))</f>
        <v/>
      </c>
      <c r="AG380" s="294" t="str">
        <f t="shared" si="100"/>
        <v/>
      </c>
      <c r="AH380" t="str">
        <f t="shared" si="101"/>
        <v/>
      </c>
      <c r="AI380" s="254" t="str">
        <f t="shared" ca="1" si="105"/>
        <v>361</v>
      </c>
      <c r="AJ380" s="254" t="str">
        <f t="shared" ca="1" si="106"/>
        <v>361</v>
      </c>
      <c r="AK380" s="351"/>
    </row>
    <row r="381" spans="1:37">
      <c r="A381" s="74">
        <v>362</v>
      </c>
      <c r="B381" s="252"/>
      <c r="C381" s="293" t="str">
        <f t="shared" si="107"/>
        <v/>
      </c>
      <c r="D381" s="294" t="str">
        <f t="shared" si="108"/>
        <v/>
      </c>
      <c r="E381" s="287"/>
      <c r="F381" s="293" t="str">
        <f t="shared" si="93"/>
        <v/>
      </c>
      <c r="G381" s="294" t="str">
        <f t="shared" si="94"/>
        <v/>
      </c>
      <c r="H381" s="290"/>
      <c r="I381" s="254" t="str">
        <f t="shared" ca="1" si="102"/>
        <v>1</v>
      </c>
      <c r="J381" s="254" t="str">
        <f t="shared" ca="1" si="103"/>
        <v>1</v>
      </c>
      <c r="K381" s="230" t="str">
        <f>IF(Giocatori!B370=0,"",Giocatori!B370)</f>
        <v>OBI</v>
      </c>
      <c r="L381" s="230" t="str">
        <f>IF(Giocatori!A370=0,"",Giocatori!A370)</f>
        <v>C</v>
      </c>
      <c r="M381" s="230" t="str">
        <f>IF(Giocatori!C370=0,"",Giocatori!C370)</f>
        <v>Torino</v>
      </c>
      <c r="N381" s="69" t="str">
        <f t="shared" si="95"/>
        <v/>
      </c>
      <c r="O381" t="str">
        <f t="shared" si="96"/>
        <v>OBI</v>
      </c>
      <c r="P381" s="7">
        <f t="shared" ca="1" si="104"/>
        <v>381</v>
      </c>
      <c r="Q381" s="7" t="str">
        <f t="shared" ca="1" si="97"/>
        <v>OBI</v>
      </c>
      <c r="Z381" s="256"/>
      <c r="AA381" s="219"/>
      <c r="AB381" s="293" t="str">
        <f t="shared" si="98"/>
        <v/>
      </c>
      <c r="AC381" s="294" t="str">
        <f t="shared" si="99"/>
        <v/>
      </c>
      <c r="AD381" s="219"/>
      <c r="AE381" s="219"/>
      <c r="AF381" s="293" t="str">
        <f>IF(AA381="","",VLOOKUP(AA381,Asta!$B:$H,7,FALSE))</f>
        <v/>
      </c>
      <c r="AG381" s="294" t="str">
        <f t="shared" si="100"/>
        <v/>
      </c>
      <c r="AH381" t="str">
        <f t="shared" si="101"/>
        <v/>
      </c>
      <c r="AI381" s="254" t="str">
        <f t="shared" ca="1" si="105"/>
        <v>362</v>
      </c>
      <c r="AJ381" s="254" t="str">
        <f t="shared" ca="1" si="106"/>
        <v>362</v>
      </c>
      <c r="AK381" s="351"/>
    </row>
    <row r="382" spans="1:37">
      <c r="A382" s="74">
        <v>363</v>
      </c>
      <c r="B382" s="252"/>
      <c r="C382" s="293" t="str">
        <f t="shared" si="107"/>
        <v/>
      </c>
      <c r="D382" s="294" t="str">
        <f t="shared" si="108"/>
        <v/>
      </c>
      <c r="E382" s="287"/>
      <c r="F382" s="293" t="str">
        <f t="shared" si="93"/>
        <v/>
      </c>
      <c r="G382" s="294" t="str">
        <f t="shared" si="94"/>
        <v/>
      </c>
      <c r="H382" s="290"/>
      <c r="I382" s="254" t="str">
        <f t="shared" ca="1" si="102"/>
        <v>1</v>
      </c>
      <c r="J382" s="254" t="str">
        <f t="shared" ca="1" si="103"/>
        <v>1</v>
      </c>
      <c r="K382" s="230" t="str">
        <f>IF(Giocatori!B371=0,"",Giocatori!B371)</f>
        <v>OIKONOMOU</v>
      </c>
      <c r="L382" s="230" t="str">
        <f>IF(Giocatori!A371=0,"",Giocatori!A371)</f>
        <v>D</v>
      </c>
      <c r="M382" s="230" t="str">
        <f>IF(Giocatori!C371=0,"",Giocatori!C371)</f>
        <v>SPAL</v>
      </c>
      <c r="N382" s="69" t="str">
        <f t="shared" si="95"/>
        <v/>
      </c>
      <c r="O382" t="str">
        <f t="shared" si="96"/>
        <v>OIKONOMOU</v>
      </c>
      <c r="P382" s="7">
        <f t="shared" ca="1" si="104"/>
        <v>382</v>
      </c>
      <c r="Q382" s="7" t="str">
        <f t="shared" ca="1" si="97"/>
        <v>OIKONOMOU</v>
      </c>
      <c r="Z382" s="256"/>
      <c r="AA382" s="219"/>
      <c r="AB382" s="293" t="str">
        <f t="shared" si="98"/>
        <v/>
      </c>
      <c r="AC382" s="294" t="str">
        <f t="shared" si="99"/>
        <v/>
      </c>
      <c r="AD382" s="219"/>
      <c r="AE382" s="219"/>
      <c r="AF382" s="293" t="str">
        <f>IF(AA382="","",VLOOKUP(AA382,Asta!$B:$H,7,FALSE))</f>
        <v/>
      </c>
      <c r="AG382" s="294" t="str">
        <f t="shared" si="100"/>
        <v/>
      </c>
      <c r="AH382" t="str">
        <f t="shared" si="101"/>
        <v/>
      </c>
      <c r="AI382" s="254" t="str">
        <f t="shared" ca="1" si="105"/>
        <v>363</v>
      </c>
      <c r="AJ382" s="254" t="str">
        <f t="shared" ca="1" si="106"/>
        <v>363</v>
      </c>
      <c r="AK382" s="351"/>
    </row>
    <row r="383" spans="1:37">
      <c r="A383" s="74">
        <v>364</v>
      </c>
      <c r="B383" s="252"/>
      <c r="C383" s="293" t="str">
        <f t="shared" si="107"/>
        <v/>
      </c>
      <c r="D383" s="294" t="str">
        <f t="shared" si="108"/>
        <v/>
      </c>
      <c r="E383" s="287"/>
      <c r="F383" s="293" t="str">
        <f t="shared" si="93"/>
        <v/>
      </c>
      <c r="G383" s="294" t="str">
        <f t="shared" si="94"/>
        <v/>
      </c>
      <c r="H383" s="290"/>
      <c r="I383" s="254" t="str">
        <f t="shared" ca="1" si="102"/>
        <v>1</v>
      </c>
      <c r="J383" s="254" t="str">
        <f t="shared" ca="1" si="103"/>
        <v>1</v>
      </c>
      <c r="K383" s="230" t="str">
        <f>IF(Giocatori!B372=0,"",Giocatori!B372)</f>
        <v>OKWONKWO</v>
      </c>
      <c r="L383" s="230" t="str">
        <f>IF(Giocatori!A372=0,"",Giocatori!A372)</f>
        <v>A</v>
      </c>
      <c r="M383" s="230" t="str">
        <f>IF(Giocatori!C372=0,"",Giocatori!C372)</f>
        <v>Bologna</v>
      </c>
      <c r="N383" s="69" t="str">
        <f t="shared" si="95"/>
        <v/>
      </c>
      <c r="O383" t="str">
        <f t="shared" si="96"/>
        <v>OKWONKWO</v>
      </c>
      <c r="P383" s="7">
        <f t="shared" ca="1" si="104"/>
        <v>383</v>
      </c>
      <c r="Q383" s="7" t="str">
        <f t="shared" ca="1" si="97"/>
        <v>OKWONKWO</v>
      </c>
      <c r="Z383" s="256"/>
      <c r="AA383" s="219"/>
      <c r="AB383" s="293" t="str">
        <f t="shared" si="98"/>
        <v/>
      </c>
      <c r="AC383" s="294" t="str">
        <f t="shared" si="99"/>
        <v/>
      </c>
      <c r="AD383" s="219"/>
      <c r="AE383" s="219"/>
      <c r="AF383" s="293" t="str">
        <f>IF(AA383="","",VLOOKUP(AA383,Asta!$B:$H,7,FALSE))</f>
        <v/>
      </c>
      <c r="AG383" s="294" t="str">
        <f t="shared" si="100"/>
        <v/>
      </c>
      <c r="AH383" t="str">
        <f t="shared" si="101"/>
        <v/>
      </c>
      <c r="AI383" s="254" t="str">
        <f t="shared" ca="1" si="105"/>
        <v>364</v>
      </c>
      <c r="AJ383" s="254" t="str">
        <f t="shared" ca="1" si="106"/>
        <v>364</v>
      </c>
      <c r="AK383" s="351"/>
    </row>
    <row r="384" spans="1:37">
      <c r="A384" s="74">
        <v>365</v>
      </c>
      <c r="B384" s="252"/>
      <c r="C384" s="293" t="str">
        <f t="shared" si="107"/>
        <v/>
      </c>
      <c r="D384" s="294" t="str">
        <f t="shared" si="108"/>
        <v/>
      </c>
      <c r="E384" s="287"/>
      <c r="F384" s="293" t="str">
        <f t="shared" si="93"/>
        <v/>
      </c>
      <c r="G384" s="294" t="str">
        <f t="shared" si="94"/>
        <v/>
      </c>
      <c r="H384" s="290"/>
      <c r="I384" s="254" t="str">
        <f t="shared" ca="1" si="102"/>
        <v>1</v>
      </c>
      <c r="J384" s="254" t="str">
        <f t="shared" ca="1" si="103"/>
        <v>1</v>
      </c>
      <c r="K384" s="230" t="str">
        <f>IF(Giocatori!B373=0,"",Giocatori!B373)</f>
        <v>OLIVERA M</v>
      </c>
      <c r="L384" s="230" t="str">
        <f>IF(Giocatori!A373=0,"",Giocatori!A373)</f>
        <v>D</v>
      </c>
      <c r="M384" s="230" t="str">
        <f>IF(Giocatori!C373=0,"",Giocatori!C373)</f>
        <v>Fiorentina</v>
      </c>
      <c r="N384" s="69" t="str">
        <f t="shared" si="95"/>
        <v/>
      </c>
      <c r="O384" t="str">
        <f t="shared" si="96"/>
        <v>OLIVERA M</v>
      </c>
      <c r="P384" s="7">
        <f t="shared" ca="1" si="104"/>
        <v>384</v>
      </c>
      <c r="Q384" s="7" t="str">
        <f t="shared" ca="1" si="97"/>
        <v>OLIVERA M</v>
      </c>
      <c r="Z384" s="256"/>
      <c r="AA384" s="219"/>
      <c r="AB384" s="293" t="str">
        <f t="shared" si="98"/>
        <v/>
      </c>
      <c r="AC384" s="294" t="str">
        <f t="shared" si="99"/>
        <v/>
      </c>
      <c r="AD384" s="219"/>
      <c r="AE384" s="219"/>
      <c r="AF384" s="293" t="str">
        <f>IF(AA384="","",VLOOKUP(AA384,Asta!$B:$H,7,FALSE))</f>
        <v/>
      </c>
      <c r="AG384" s="294" t="str">
        <f t="shared" si="100"/>
        <v/>
      </c>
      <c r="AH384" t="str">
        <f t="shared" si="101"/>
        <v/>
      </c>
      <c r="AI384" s="254" t="str">
        <f t="shared" ca="1" si="105"/>
        <v>365</v>
      </c>
      <c r="AJ384" s="254" t="str">
        <f t="shared" ca="1" si="106"/>
        <v>365</v>
      </c>
      <c r="AK384" s="351"/>
    </row>
    <row r="385" spans="1:37">
      <c r="A385" s="74">
        <v>366</v>
      </c>
      <c r="B385" s="252"/>
      <c r="C385" s="293" t="str">
        <f t="shared" si="107"/>
        <v/>
      </c>
      <c r="D385" s="294" t="str">
        <f t="shared" si="108"/>
        <v/>
      </c>
      <c r="E385" s="287"/>
      <c r="F385" s="293" t="str">
        <f t="shared" si="93"/>
        <v/>
      </c>
      <c r="G385" s="294" t="str">
        <f t="shared" si="94"/>
        <v/>
      </c>
      <c r="H385" s="290"/>
      <c r="I385" s="254" t="str">
        <f t="shared" ca="1" si="102"/>
        <v>1</v>
      </c>
      <c r="J385" s="254" t="str">
        <f t="shared" ca="1" si="103"/>
        <v>1</v>
      </c>
      <c r="K385" s="230" t="str">
        <f>IF(Giocatori!B374=0,"",Giocatori!B374)</f>
        <v>OMEONGA</v>
      </c>
      <c r="L385" s="230" t="str">
        <f>IF(Giocatori!A374=0,"",Giocatori!A374)</f>
        <v>C</v>
      </c>
      <c r="M385" s="230" t="str">
        <f>IF(Giocatori!C374=0,"",Giocatori!C374)</f>
        <v>Genoa</v>
      </c>
      <c r="N385" s="69" t="str">
        <f t="shared" si="95"/>
        <v/>
      </c>
      <c r="O385" t="str">
        <f t="shared" si="96"/>
        <v>OMEONGA</v>
      </c>
      <c r="P385" s="7">
        <f t="shared" ca="1" si="104"/>
        <v>385</v>
      </c>
      <c r="Q385" s="7" t="str">
        <f t="shared" ca="1" si="97"/>
        <v>OMEONGA</v>
      </c>
      <c r="Z385" s="256"/>
      <c r="AA385" s="219"/>
      <c r="AB385" s="293" t="str">
        <f t="shared" si="98"/>
        <v/>
      </c>
      <c r="AC385" s="294" t="str">
        <f t="shared" si="99"/>
        <v/>
      </c>
      <c r="AD385" s="219"/>
      <c r="AE385" s="219"/>
      <c r="AF385" s="293" t="str">
        <f>IF(AA385="","",VLOOKUP(AA385,Asta!$B:$H,7,FALSE))</f>
        <v/>
      </c>
      <c r="AG385" s="294" t="str">
        <f t="shared" si="100"/>
        <v/>
      </c>
      <c r="AH385" t="str">
        <f t="shared" si="101"/>
        <v/>
      </c>
      <c r="AI385" s="254" t="str">
        <f t="shared" ca="1" si="105"/>
        <v>366</v>
      </c>
      <c r="AJ385" s="254" t="str">
        <f t="shared" ca="1" si="106"/>
        <v>366</v>
      </c>
      <c r="AK385" s="351"/>
    </row>
    <row r="386" spans="1:37">
      <c r="A386" s="74">
        <v>367</v>
      </c>
      <c r="B386" s="252"/>
      <c r="C386" s="293" t="str">
        <f t="shared" si="107"/>
        <v/>
      </c>
      <c r="D386" s="294" t="str">
        <f t="shared" si="108"/>
        <v/>
      </c>
      <c r="E386" s="287"/>
      <c r="F386" s="293" t="str">
        <f t="shared" si="93"/>
        <v/>
      </c>
      <c r="G386" s="294" t="str">
        <f t="shared" si="94"/>
        <v/>
      </c>
      <c r="H386" s="290"/>
      <c r="I386" s="254" t="str">
        <f t="shared" ca="1" si="102"/>
        <v>1</v>
      </c>
      <c r="J386" s="254" t="str">
        <f t="shared" ca="1" si="103"/>
        <v>1</v>
      </c>
      <c r="K386" s="230" t="str">
        <f>IF(Giocatori!B375=0,"",Giocatori!B375)</f>
        <v>ORSOLINI</v>
      </c>
      <c r="L386" s="230" t="str">
        <f>IF(Giocatori!A375=0,"",Giocatori!A375)</f>
        <v>A</v>
      </c>
      <c r="M386" s="230" t="str">
        <f>IF(Giocatori!C375=0,"",Giocatori!C375)</f>
        <v>Atalanta</v>
      </c>
      <c r="N386" s="69" t="str">
        <f t="shared" si="95"/>
        <v/>
      </c>
      <c r="O386" t="str">
        <f t="shared" si="96"/>
        <v>ORSOLINI</v>
      </c>
      <c r="P386" s="7">
        <f t="shared" ca="1" si="104"/>
        <v>386</v>
      </c>
      <c r="Q386" s="7" t="str">
        <f t="shared" ca="1" si="97"/>
        <v>ORSOLINI</v>
      </c>
      <c r="Z386" s="256"/>
      <c r="AA386" s="219"/>
      <c r="AB386" s="293" t="str">
        <f t="shared" si="98"/>
        <v/>
      </c>
      <c r="AC386" s="294" t="str">
        <f t="shared" si="99"/>
        <v/>
      </c>
      <c r="AD386" s="219"/>
      <c r="AE386" s="219"/>
      <c r="AF386" s="293" t="str">
        <f>IF(AA386="","",VLOOKUP(AA386,Asta!$B:$H,7,FALSE))</f>
        <v/>
      </c>
      <c r="AG386" s="294" t="str">
        <f t="shared" si="100"/>
        <v/>
      </c>
      <c r="AH386" t="str">
        <f t="shared" si="101"/>
        <v/>
      </c>
      <c r="AI386" s="254" t="str">
        <f t="shared" ca="1" si="105"/>
        <v>367</v>
      </c>
      <c r="AJ386" s="254" t="str">
        <f t="shared" ca="1" si="106"/>
        <v>367</v>
      </c>
      <c r="AK386" s="351"/>
    </row>
    <row r="387" spans="1:37">
      <c r="A387" s="74">
        <v>368</v>
      </c>
      <c r="B387" s="252"/>
      <c r="C387" s="293" t="str">
        <f t="shared" si="107"/>
        <v/>
      </c>
      <c r="D387" s="294" t="str">
        <f t="shared" si="108"/>
        <v/>
      </c>
      <c r="E387" s="287"/>
      <c r="F387" s="293" t="str">
        <f t="shared" si="93"/>
        <v/>
      </c>
      <c r="G387" s="294" t="str">
        <f t="shared" si="94"/>
        <v/>
      </c>
      <c r="H387" s="290"/>
      <c r="I387" s="254" t="str">
        <f t="shared" ca="1" si="102"/>
        <v>1</v>
      </c>
      <c r="J387" s="254" t="str">
        <f t="shared" ca="1" si="103"/>
        <v>1</v>
      </c>
      <c r="K387" s="230" t="str">
        <f>IF(Giocatori!B376=0,"",Giocatori!B376)</f>
        <v>OUNAS</v>
      </c>
      <c r="L387" s="230" t="str">
        <f>IF(Giocatori!A376=0,"",Giocatori!A376)</f>
        <v>A</v>
      </c>
      <c r="M387" s="230" t="str">
        <f>IF(Giocatori!C376=0,"",Giocatori!C376)</f>
        <v>Napoli</v>
      </c>
      <c r="N387" s="69" t="str">
        <f t="shared" si="95"/>
        <v/>
      </c>
      <c r="O387" t="str">
        <f t="shared" si="96"/>
        <v>OUNAS</v>
      </c>
      <c r="P387" s="7">
        <f t="shared" ca="1" si="104"/>
        <v>387</v>
      </c>
      <c r="Q387" s="7" t="str">
        <f t="shared" ca="1" si="97"/>
        <v>OUNAS</v>
      </c>
      <c r="Z387" s="256"/>
      <c r="AA387" s="219"/>
      <c r="AB387" s="293" t="str">
        <f t="shared" si="98"/>
        <v/>
      </c>
      <c r="AC387" s="294" t="str">
        <f t="shared" si="99"/>
        <v/>
      </c>
      <c r="AD387" s="219"/>
      <c r="AE387" s="219"/>
      <c r="AF387" s="293" t="str">
        <f>IF(AA387="","",VLOOKUP(AA387,Asta!$B:$H,7,FALSE))</f>
        <v/>
      </c>
      <c r="AG387" s="294" t="str">
        <f t="shared" si="100"/>
        <v/>
      </c>
      <c r="AH387" t="str">
        <f t="shared" si="101"/>
        <v/>
      </c>
      <c r="AI387" s="254" t="str">
        <f t="shared" ca="1" si="105"/>
        <v>368</v>
      </c>
      <c r="AJ387" s="254" t="str">
        <f t="shared" ca="1" si="106"/>
        <v>368</v>
      </c>
      <c r="AK387" s="351"/>
    </row>
    <row r="388" spans="1:37">
      <c r="A388" s="74">
        <v>369</v>
      </c>
      <c r="B388" s="252"/>
      <c r="C388" s="293" t="str">
        <f t="shared" si="107"/>
        <v/>
      </c>
      <c r="D388" s="294" t="str">
        <f t="shared" si="108"/>
        <v/>
      </c>
      <c r="E388" s="287"/>
      <c r="F388" s="293" t="str">
        <f t="shared" si="93"/>
        <v/>
      </c>
      <c r="G388" s="294" t="str">
        <f t="shared" si="94"/>
        <v/>
      </c>
      <c r="H388" s="290"/>
      <c r="I388" s="254" t="str">
        <f t="shared" ca="1" si="102"/>
        <v>1</v>
      </c>
      <c r="J388" s="254" t="str">
        <f t="shared" ca="1" si="103"/>
        <v>1</v>
      </c>
      <c r="K388" s="230" t="str">
        <f>IF(Giocatori!B377=0,"",Giocatori!B377)</f>
        <v>PADELLI</v>
      </c>
      <c r="L388" s="230" t="str">
        <f>IF(Giocatori!A377=0,"",Giocatori!A377)</f>
        <v>P</v>
      </c>
      <c r="M388" s="230" t="str">
        <f>IF(Giocatori!C377=0,"",Giocatori!C377)</f>
        <v>Inter</v>
      </c>
      <c r="N388" s="69" t="str">
        <f t="shared" si="95"/>
        <v/>
      </c>
      <c r="O388" t="str">
        <f t="shared" si="96"/>
        <v>PADELLI</v>
      </c>
      <c r="P388" s="7">
        <f t="shared" ca="1" si="104"/>
        <v>388</v>
      </c>
      <c r="Q388" s="7" t="str">
        <f t="shared" ca="1" si="97"/>
        <v>PADELLI</v>
      </c>
      <c r="Z388" s="256"/>
      <c r="AA388" s="219"/>
      <c r="AB388" s="293" t="str">
        <f t="shared" si="98"/>
        <v/>
      </c>
      <c r="AC388" s="294" t="str">
        <f t="shared" si="99"/>
        <v/>
      </c>
      <c r="AD388" s="219"/>
      <c r="AE388" s="219"/>
      <c r="AF388" s="293" t="str">
        <f>IF(AA388="","",VLOOKUP(AA388,Asta!$B:$H,7,FALSE))</f>
        <v/>
      </c>
      <c r="AG388" s="294" t="str">
        <f t="shared" si="100"/>
        <v/>
      </c>
      <c r="AH388" t="str">
        <f t="shared" si="101"/>
        <v/>
      </c>
      <c r="AI388" s="254" t="str">
        <f t="shared" ca="1" si="105"/>
        <v>369</v>
      </c>
      <c r="AJ388" s="254" t="str">
        <f t="shared" ca="1" si="106"/>
        <v>369</v>
      </c>
      <c r="AK388" s="351"/>
    </row>
    <row r="389" spans="1:37">
      <c r="A389" s="74">
        <v>370</v>
      </c>
      <c r="B389" s="252"/>
      <c r="C389" s="293" t="str">
        <f t="shared" si="107"/>
        <v/>
      </c>
      <c r="D389" s="294" t="str">
        <f t="shared" si="108"/>
        <v/>
      </c>
      <c r="E389" s="287"/>
      <c r="F389" s="293" t="str">
        <f t="shared" si="93"/>
        <v/>
      </c>
      <c r="G389" s="294" t="str">
        <f t="shared" si="94"/>
        <v/>
      </c>
      <c r="H389" s="290"/>
      <c r="I389" s="254" t="str">
        <f t="shared" ca="1" si="102"/>
        <v>1</v>
      </c>
      <c r="J389" s="254" t="str">
        <f t="shared" ca="1" si="103"/>
        <v>1</v>
      </c>
      <c r="K389" s="230" t="str">
        <f>IF(Giocatori!B378=0,"",Giocatori!B378)</f>
        <v>PADOIN</v>
      </c>
      <c r="L389" s="230" t="str">
        <f>IF(Giocatori!A378=0,"",Giocatori!A378)</f>
        <v>C</v>
      </c>
      <c r="M389" s="230" t="str">
        <f>IF(Giocatori!C378=0,"",Giocatori!C378)</f>
        <v>Cagliari</v>
      </c>
      <c r="N389" s="69" t="str">
        <f t="shared" si="95"/>
        <v/>
      </c>
      <c r="O389" t="str">
        <f t="shared" si="96"/>
        <v>PADOIN</v>
      </c>
      <c r="P389" s="7">
        <f t="shared" ca="1" si="104"/>
        <v>389</v>
      </c>
      <c r="Q389" s="7" t="str">
        <f t="shared" ca="1" si="97"/>
        <v>PADOIN</v>
      </c>
      <c r="Z389" s="256"/>
      <c r="AA389" s="219"/>
      <c r="AB389" s="293" t="str">
        <f t="shared" si="98"/>
        <v/>
      </c>
      <c r="AC389" s="294" t="str">
        <f t="shared" si="99"/>
        <v/>
      </c>
      <c r="AD389" s="219"/>
      <c r="AE389" s="219"/>
      <c r="AF389" s="293" t="str">
        <f>IF(AA389="","",VLOOKUP(AA389,Asta!$B:$H,7,FALSE))</f>
        <v/>
      </c>
      <c r="AG389" s="294" t="str">
        <f t="shared" si="100"/>
        <v/>
      </c>
      <c r="AH389" t="str">
        <f t="shared" si="101"/>
        <v/>
      </c>
      <c r="AI389" s="254" t="str">
        <f t="shared" ca="1" si="105"/>
        <v>370</v>
      </c>
      <c r="AJ389" s="254" t="str">
        <f t="shared" ca="1" si="106"/>
        <v>370</v>
      </c>
      <c r="AK389" s="351"/>
    </row>
    <row r="390" spans="1:37">
      <c r="A390" s="74">
        <v>371</v>
      </c>
      <c r="B390" s="252"/>
      <c r="C390" s="293" t="str">
        <f t="shared" si="107"/>
        <v/>
      </c>
      <c r="D390" s="294" t="str">
        <f t="shared" si="108"/>
        <v/>
      </c>
      <c r="E390" s="287"/>
      <c r="F390" s="293" t="str">
        <f t="shared" si="93"/>
        <v/>
      </c>
      <c r="G390" s="294" t="str">
        <f t="shared" si="94"/>
        <v/>
      </c>
      <c r="H390" s="290"/>
      <c r="I390" s="254" t="str">
        <f t="shared" ca="1" si="102"/>
        <v>1</v>
      </c>
      <c r="J390" s="254" t="str">
        <f t="shared" ca="1" si="103"/>
        <v>1</v>
      </c>
      <c r="K390" s="230" t="str">
        <f>IF(Giocatori!B379=0,"",Giocatori!B379)</f>
        <v>PALACIO</v>
      </c>
      <c r="L390" s="230" t="str">
        <f>IF(Giocatori!A379=0,"",Giocatori!A379)</f>
        <v>A</v>
      </c>
      <c r="M390" s="230" t="str">
        <f>IF(Giocatori!C379=0,"",Giocatori!C379)</f>
        <v>Bologna</v>
      </c>
      <c r="N390" s="69" t="str">
        <f t="shared" si="95"/>
        <v/>
      </c>
      <c r="O390" t="str">
        <f t="shared" si="96"/>
        <v>PALACIO</v>
      </c>
      <c r="P390" s="7">
        <f t="shared" ca="1" si="104"/>
        <v>390</v>
      </c>
      <c r="Q390" s="7" t="str">
        <f t="shared" ca="1" si="97"/>
        <v>PALACIO</v>
      </c>
      <c r="Z390" s="256"/>
      <c r="AA390" s="219"/>
      <c r="AB390" s="293" t="str">
        <f t="shared" si="98"/>
        <v/>
      </c>
      <c r="AC390" s="294" t="str">
        <f t="shared" si="99"/>
        <v/>
      </c>
      <c r="AD390" s="219"/>
      <c r="AE390" s="219"/>
      <c r="AF390" s="293" t="str">
        <f>IF(AA390="","",VLOOKUP(AA390,Asta!$B:$H,7,FALSE))</f>
        <v/>
      </c>
      <c r="AG390" s="294" t="str">
        <f t="shared" si="100"/>
        <v/>
      </c>
      <c r="AH390" t="str">
        <f t="shared" si="101"/>
        <v/>
      </c>
      <c r="AI390" s="254" t="str">
        <f t="shared" ca="1" si="105"/>
        <v>371</v>
      </c>
      <c r="AJ390" s="254" t="str">
        <f t="shared" ca="1" si="106"/>
        <v>371</v>
      </c>
      <c r="AK390" s="351"/>
    </row>
    <row r="391" spans="1:37">
      <c r="A391" s="74">
        <v>372</v>
      </c>
      <c r="B391" s="252"/>
      <c r="C391" s="293" t="str">
        <f t="shared" si="107"/>
        <v/>
      </c>
      <c r="D391" s="294" t="str">
        <f t="shared" si="108"/>
        <v/>
      </c>
      <c r="E391" s="287"/>
      <c r="F391" s="293" t="str">
        <f t="shared" si="93"/>
        <v/>
      </c>
      <c r="G391" s="294" t="str">
        <f t="shared" si="94"/>
        <v/>
      </c>
      <c r="H391" s="290"/>
      <c r="I391" s="254" t="str">
        <f t="shared" ca="1" si="102"/>
        <v>1</v>
      </c>
      <c r="J391" s="254" t="str">
        <f t="shared" ca="1" si="103"/>
        <v>1</v>
      </c>
      <c r="K391" s="230" t="str">
        <f>IF(Giocatori!B380=0,"",Giocatori!B380)</f>
        <v>PALETTA</v>
      </c>
      <c r="L391" s="230" t="str">
        <f>IF(Giocatori!A380=0,"",Giocatori!A380)</f>
        <v>D</v>
      </c>
      <c r="M391" s="230" t="str">
        <f>IF(Giocatori!C380=0,"",Giocatori!C380)</f>
        <v>Milan</v>
      </c>
      <c r="N391" s="69" t="str">
        <f t="shared" si="95"/>
        <v/>
      </c>
      <c r="O391" t="str">
        <f t="shared" si="96"/>
        <v>PALETTA</v>
      </c>
      <c r="P391" s="7">
        <f t="shared" ca="1" si="104"/>
        <v>391</v>
      </c>
      <c r="Q391" s="7" t="str">
        <f t="shared" ca="1" si="97"/>
        <v>PALETTA</v>
      </c>
      <c r="Z391" s="256"/>
      <c r="AA391" s="219"/>
      <c r="AB391" s="293" t="str">
        <f t="shared" si="98"/>
        <v/>
      </c>
      <c r="AC391" s="294" t="str">
        <f t="shared" si="99"/>
        <v/>
      </c>
      <c r="AD391" s="219"/>
      <c r="AE391" s="219"/>
      <c r="AF391" s="293" t="str">
        <f>IF(AA391="","",VLOOKUP(AA391,Asta!$B:$H,7,FALSE))</f>
        <v/>
      </c>
      <c r="AG391" s="294" t="str">
        <f t="shared" si="100"/>
        <v/>
      </c>
      <c r="AH391" t="str">
        <f t="shared" si="101"/>
        <v/>
      </c>
      <c r="AI391" s="254" t="str">
        <f t="shared" ca="1" si="105"/>
        <v>372</v>
      </c>
      <c r="AJ391" s="254" t="str">
        <f t="shared" ca="1" si="106"/>
        <v>372</v>
      </c>
      <c r="AK391" s="351"/>
    </row>
    <row r="392" spans="1:37">
      <c r="A392" s="74">
        <v>373</v>
      </c>
      <c r="B392" s="252"/>
      <c r="C392" s="293" t="str">
        <f t="shared" si="107"/>
        <v/>
      </c>
      <c r="D392" s="294" t="str">
        <f t="shared" si="108"/>
        <v/>
      </c>
      <c r="E392" s="287"/>
      <c r="F392" s="293" t="str">
        <f t="shared" si="93"/>
        <v/>
      </c>
      <c r="G392" s="294" t="str">
        <f t="shared" si="94"/>
        <v/>
      </c>
      <c r="H392" s="290"/>
      <c r="I392" s="254" t="str">
        <f t="shared" ca="1" si="102"/>
        <v>1</v>
      </c>
      <c r="J392" s="254" t="str">
        <f t="shared" ca="1" si="103"/>
        <v>1</v>
      </c>
      <c r="K392" s="230" t="str">
        <f>IF(Giocatori!B381=0,"",Giocatori!B381)</f>
        <v>PALLADINO</v>
      </c>
      <c r="L392" s="230" t="str">
        <f>IF(Giocatori!A381=0,"",Giocatori!A381)</f>
        <v>A</v>
      </c>
      <c r="M392" s="230" t="str">
        <f>IF(Giocatori!C381=0,"",Giocatori!C381)</f>
        <v>Genoa</v>
      </c>
      <c r="N392" s="69" t="str">
        <f t="shared" si="95"/>
        <v/>
      </c>
      <c r="O392" t="str">
        <f t="shared" si="96"/>
        <v>PALLADINO</v>
      </c>
      <c r="P392" s="7">
        <f t="shared" ca="1" si="104"/>
        <v>392</v>
      </c>
      <c r="Q392" s="7" t="str">
        <f t="shared" ca="1" si="97"/>
        <v>PALLADINO</v>
      </c>
      <c r="Z392" s="256"/>
      <c r="AA392" s="219"/>
      <c r="AB392" s="293" t="str">
        <f t="shared" si="98"/>
        <v/>
      </c>
      <c r="AC392" s="294" t="str">
        <f t="shared" si="99"/>
        <v/>
      </c>
      <c r="AD392" s="219"/>
      <c r="AE392" s="219"/>
      <c r="AF392" s="293" t="str">
        <f>IF(AA392="","",VLOOKUP(AA392,Asta!$B:$H,7,FALSE))</f>
        <v/>
      </c>
      <c r="AG392" s="294" t="str">
        <f t="shared" si="100"/>
        <v/>
      </c>
      <c r="AH392" t="str">
        <f t="shared" si="101"/>
        <v/>
      </c>
      <c r="AI392" s="254" t="str">
        <f t="shared" ca="1" si="105"/>
        <v>373</v>
      </c>
      <c r="AJ392" s="254" t="str">
        <f t="shared" ca="1" si="106"/>
        <v>373</v>
      </c>
      <c r="AK392" s="351"/>
    </row>
    <row r="393" spans="1:37">
      <c r="A393" s="74">
        <v>374</v>
      </c>
      <c r="B393" s="252"/>
      <c r="C393" s="293" t="str">
        <f t="shared" si="107"/>
        <v/>
      </c>
      <c r="D393" s="294" t="str">
        <f t="shared" si="108"/>
        <v/>
      </c>
      <c r="E393" s="287"/>
      <c r="F393" s="293" t="str">
        <f t="shared" si="93"/>
        <v/>
      </c>
      <c r="G393" s="294" t="str">
        <f t="shared" si="94"/>
        <v/>
      </c>
      <c r="H393" s="290"/>
      <c r="I393" s="254" t="str">
        <f t="shared" ca="1" si="102"/>
        <v>1</v>
      </c>
      <c r="J393" s="254" t="str">
        <f t="shared" ca="1" si="103"/>
        <v>1</v>
      </c>
      <c r="K393" s="230" t="str">
        <f>IF(Giocatori!B382=0,"",Giocatori!B382)</f>
        <v>PALOMBI</v>
      </c>
      <c r="L393" s="230" t="str">
        <f>IF(Giocatori!A382=0,"",Giocatori!A382)</f>
        <v>A</v>
      </c>
      <c r="M393" s="230" t="str">
        <f>IF(Giocatori!C382=0,"",Giocatori!C382)</f>
        <v>Lazio</v>
      </c>
      <c r="N393" s="69" t="str">
        <f t="shared" si="95"/>
        <v/>
      </c>
      <c r="O393" t="str">
        <f t="shared" si="96"/>
        <v>PALOMBI</v>
      </c>
      <c r="P393" s="7">
        <f t="shared" ca="1" si="104"/>
        <v>393</v>
      </c>
      <c r="Q393" s="7" t="str">
        <f t="shared" ca="1" si="97"/>
        <v>PALOMBI</v>
      </c>
      <c r="Z393" s="256"/>
      <c r="AA393" s="219"/>
      <c r="AB393" s="293" t="str">
        <f t="shared" si="98"/>
        <v/>
      </c>
      <c r="AC393" s="294" t="str">
        <f t="shared" si="99"/>
        <v/>
      </c>
      <c r="AD393" s="219"/>
      <c r="AE393" s="219"/>
      <c r="AF393" s="293" t="str">
        <f>IF(AA393="","",VLOOKUP(AA393,Asta!$B:$H,7,FALSE))</f>
        <v/>
      </c>
      <c r="AG393" s="294" t="str">
        <f t="shared" si="100"/>
        <v/>
      </c>
      <c r="AH393" t="str">
        <f t="shared" si="101"/>
        <v/>
      </c>
      <c r="AI393" s="254" t="str">
        <f t="shared" ca="1" si="105"/>
        <v>374</v>
      </c>
      <c r="AJ393" s="254" t="str">
        <f t="shared" ca="1" si="106"/>
        <v>374</v>
      </c>
      <c r="AK393" s="351"/>
    </row>
    <row r="394" spans="1:37">
      <c r="A394" s="74">
        <v>375</v>
      </c>
      <c r="B394" s="252"/>
      <c r="C394" s="293" t="str">
        <f t="shared" si="107"/>
        <v/>
      </c>
      <c r="D394" s="294" t="str">
        <f t="shared" si="108"/>
        <v/>
      </c>
      <c r="E394" s="287"/>
      <c r="F394" s="293" t="str">
        <f t="shared" si="93"/>
        <v/>
      </c>
      <c r="G394" s="294" t="str">
        <f t="shared" si="94"/>
        <v/>
      </c>
      <c r="H394" s="290"/>
      <c r="I394" s="254" t="str">
        <f t="shared" ca="1" si="102"/>
        <v>1</v>
      </c>
      <c r="J394" s="254" t="str">
        <f t="shared" ca="1" si="103"/>
        <v>1</v>
      </c>
      <c r="K394" s="230" t="str">
        <f>IF(Giocatori!B383=0,"",Giocatori!B383)</f>
        <v>PALOMINO</v>
      </c>
      <c r="L394" s="230" t="str">
        <f>IF(Giocatori!A383=0,"",Giocatori!A383)</f>
        <v>D</v>
      </c>
      <c r="M394" s="230" t="str">
        <f>IF(Giocatori!C383=0,"",Giocatori!C383)</f>
        <v>Atalanta</v>
      </c>
      <c r="N394" s="69" t="str">
        <f t="shared" si="95"/>
        <v/>
      </c>
      <c r="O394" t="str">
        <f t="shared" si="96"/>
        <v>PALOMINO</v>
      </c>
      <c r="P394" s="7">
        <f t="shared" ca="1" si="104"/>
        <v>394</v>
      </c>
      <c r="Q394" s="7" t="str">
        <f t="shared" ca="1" si="97"/>
        <v>PALOMINO</v>
      </c>
      <c r="Z394" s="256"/>
      <c r="AA394" s="219"/>
      <c r="AB394" s="293" t="str">
        <f t="shared" si="98"/>
        <v/>
      </c>
      <c r="AC394" s="294" t="str">
        <f t="shared" si="99"/>
        <v/>
      </c>
      <c r="AD394" s="219"/>
      <c r="AE394" s="219"/>
      <c r="AF394" s="293" t="str">
        <f>IF(AA394="","",VLOOKUP(AA394,Asta!$B:$H,7,FALSE))</f>
        <v/>
      </c>
      <c r="AG394" s="294" t="str">
        <f t="shared" si="100"/>
        <v/>
      </c>
      <c r="AH394" t="str">
        <f t="shared" si="101"/>
        <v/>
      </c>
      <c r="AI394" s="254" t="str">
        <f t="shared" ca="1" si="105"/>
        <v>375</v>
      </c>
      <c r="AJ394" s="254" t="str">
        <f t="shared" ca="1" si="106"/>
        <v>375</v>
      </c>
      <c r="AK394" s="351"/>
    </row>
    <row r="395" spans="1:37">
      <c r="A395" s="74">
        <v>376</v>
      </c>
      <c r="B395" s="252"/>
      <c r="C395" s="293" t="str">
        <f t="shared" si="107"/>
        <v/>
      </c>
      <c r="D395" s="294" t="str">
        <f t="shared" si="108"/>
        <v/>
      </c>
      <c r="E395" s="287"/>
      <c r="F395" s="293" t="str">
        <f t="shared" si="93"/>
        <v/>
      </c>
      <c r="G395" s="294" t="str">
        <f t="shared" si="94"/>
        <v/>
      </c>
      <c r="H395" s="290"/>
      <c r="I395" s="254" t="str">
        <f t="shared" ca="1" si="102"/>
        <v>1</v>
      </c>
      <c r="J395" s="254" t="str">
        <f t="shared" ca="1" si="103"/>
        <v>1</v>
      </c>
      <c r="K395" s="230" t="str">
        <f>IF(Giocatori!B384=0,"",Giocatori!B384)</f>
        <v>PALOSCHI</v>
      </c>
      <c r="L395" s="230" t="str">
        <f>IF(Giocatori!A384=0,"",Giocatori!A384)</f>
        <v>A</v>
      </c>
      <c r="M395" s="230" t="str">
        <f>IF(Giocatori!C384=0,"",Giocatori!C384)</f>
        <v>SPAL</v>
      </c>
      <c r="N395" s="69" t="str">
        <f t="shared" si="95"/>
        <v/>
      </c>
      <c r="O395" t="str">
        <f t="shared" si="96"/>
        <v>PALOSCHI</v>
      </c>
      <c r="P395" s="7">
        <f t="shared" ca="1" si="104"/>
        <v>395</v>
      </c>
      <c r="Q395" s="7" t="str">
        <f t="shared" ca="1" si="97"/>
        <v>PALOSCHI</v>
      </c>
      <c r="Z395" s="256"/>
      <c r="AA395" s="219"/>
      <c r="AB395" s="293" t="str">
        <f t="shared" si="98"/>
        <v/>
      </c>
      <c r="AC395" s="294" t="str">
        <f t="shared" si="99"/>
        <v/>
      </c>
      <c r="AD395" s="219"/>
      <c r="AE395" s="219"/>
      <c r="AF395" s="293" t="str">
        <f>IF(AA395="","",VLOOKUP(AA395,Asta!$B:$H,7,FALSE))</f>
        <v/>
      </c>
      <c r="AG395" s="294" t="str">
        <f t="shared" si="100"/>
        <v/>
      </c>
      <c r="AH395" t="str">
        <f t="shared" si="101"/>
        <v/>
      </c>
      <c r="AI395" s="254" t="str">
        <f t="shared" ca="1" si="105"/>
        <v>376</v>
      </c>
      <c r="AJ395" s="254" t="str">
        <f t="shared" ca="1" si="106"/>
        <v>376</v>
      </c>
      <c r="AK395" s="351"/>
    </row>
    <row r="396" spans="1:37">
      <c r="A396" s="74">
        <v>377</v>
      </c>
      <c r="B396" s="252"/>
      <c r="C396" s="293" t="str">
        <f t="shared" si="107"/>
        <v/>
      </c>
      <c r="D396" s="294" t="str">
        <f t="shared" si="108"/>
        <v/>
      </c>
      <c r="E396" s="287"/>
      <c r="F396" s="293" t="str">
        <f t="shared" si="93"/>
        <v/>
      </c>
      <c r="G396" s="294" t="str">
        <f t="shared" si="94"/>
        <v/>
      </c>
      <c r="H396" s="290"/>
      <c r="I396" s="254" t="str">
        <f t="shared" ca="1" si="102"/>
        <v>1</v>
      </c>
      <c r="J396" s="254" t="str">
        <f t="shared" ca="1" si="103"/>
        <v>1</v>
      </c>
      <c r="K396" s="230" t="str">
        <f>IF(Giocatori!B385=0,"",Giocatori!B385)</f>
        <v>PANDEV</v>
      </c>
      <c r="L396" s="230" t="str">
        <f>IF(Giocatori!A385=0,"",Giocatori!A385)</f>
        <v>A</v>
      </c>
      <c r="M396" s="230" t="str">
        <f>IF(Giocatori!C385=0,"",Giocatori!C385)</f>
        <v>Genoa</v>
      </c>
      <c r="N396" s="69" t="str">
        <f t="shared" si="95"/>
        <v/>
      </c>
      <c r="O396" t="str">
        <f t="shared" si="96"/>
        <v>PANDEV</v>
      </c>
      <c r="P396" s="7">
        <f t="shared" ca="1" si="104"/>
        <v>396</v>
      </c>
      <c r="Q396" s="7" t="str">
        <f t="shared" ca="1" si="97"/>
        <v>PANDEV</v>
      </c>
      <c r="Z396" s="256"/>
      <c r="AA396" s="219"/>
      <c r="AB396" s="293" t="str">
        <f t="shared" si="98"/>
        <v/>
      </c>
      <c r="AC396" s="294" t="str">
        <f t="shared" si="99"/>
        <v/>
      </c>
      <c r="AD396" s="219"/>
      <c r="AE396" s="219"/>
      <c r="AF396" s="293" t="str">
        <f>IF(AA396="","",VLOOKUP(AA396,Asta!$B:$H,7,FALSE))</f>
        <v/>
      </c>
      <c r="AG396" s="294" t="str">
        <f t="shared" si="100"/>
        <v/>
      </c>
      <c r="AH396" t="str">
        <f t="shared" si="101"/>
        <v/>
      </c>
      <c r="AI396" s="254" t="str">
        <f t="shared" ca="1" si="105"/>
        <v>377</v>
      </c>
      <c r="AJ396" s="254" t="str">
        <f t="shared" ca="1" si="106"/>
        <v>377</v>
      </c>
      <c r="AK396" s="351"/>
    </row>
    <row r="397" spans="1:37">
      <c r="A397" s="74">
        <v>378</v>
      </c>
      <c r="B397" s="252"/>
      <c r="C397" s="293" t="str">
        <f t="shared" si="107"/>
        <v/>
      </c>
      <c r="D397" s="294" t="str">
        <f t="shared" si="108"/>
        <v/>
      </c>
      <c r="E397" s="287"/>
      <c r="F397" s="293" t="str">
        <f t="shared" si="93"/>
        <v/>
      </c>
      <c r="G397" s="294" t="str">
        <f t="shared" si="94"/>
        <v/>
      </c>
      <c r="H397" s="290"/>
      <c r="I397" s="254" t="str">
        <f t="shared" ca="1" si="102"/>
        <v>1</v>
      </c>
      <c r="J397" s="254" t="str">
        <f t="shared" ca="1" si="103"/>
        <v>1</v>
      </c>
      <c r="K397" s="230" t="str">
        <f>IF(Giocatori!B386=0,"",Giocatori!B386)</f>
        <v>PARIGINI</v>
      </c>
      <c r="L397" s="230" t="str">
        <f>IF(Giocatori!A386=0,"",Giocatori!A386)</f>
        <v>A</v>
      </c>
      <c r="M397" s="230" t="str">
        <f>IF(Giocatori!C386=0,"",Giocatori!C386)</f>
        <v>Benevento</v>
      </c>
      <c r="N397" s="69" t="str">
        <f t="shared" si="95"/>
        <v/>
      </c>
      <c r="O397" t="str">
        <f t="shared" si="96"/>
        <v>PARIGINI</v>
      </c>
      <c r="P397" s="7">
        <f t="shared" ca="1" si="104"/>
        <v>397</v>
      </c>
      <c r="Q397" s="7" t="str">
        <f t="shared" ca="1" si="97"/>
        <v>PARIGINI</v>
      </c>
      <c r="Z397" s="256"/>
      <c r="AA397" s="219"/>
      <c r="AB397" s="293" t="str">
        <f t="shared" si="98"/>
        <v/>
      </c>
      <c r="AC397" s="294" t="str">
        <f t="shared" si="99"/>
        <v/>
      </c>
      <c r="AD397" s="219"/>
      <c r="AE397" s="219"/>
      <c r="AF397" s="293" t="str">
        <f>IF(AA397="","",VLOOKUP(AA397,Asta!$B:$H,7,FALSE))</f>
        <v/>
      </c>
      <c r="AG397" s="294" t="str">
        <f t="shared" si="100"/>
        <v/>
      </c>
      <c r="AH397" t="str">
        <f t="shared" si="101"/>
        <v/>
      </c>
      <c r="AI397" s="254" t="str">
        <f t="shared" ca="1" si="105"/>
        <v>378</v>
      </c>
      <c r="AJ397" s="254" t="str">
        <f t="shared" ca="1" si="106"/>
        <v>378</v>
      </c>
      <c r="AK397" s="351"/>
    </row>
    <row r="398" spans="1:37">
      <c r="A398" s="74">
        <v>379</v>
      </c>
      <c r="B398" s="252"/>
      <c r="C398" s="293" t="str">
        <f t="shared" si="107"/>
        <v/>
      </c>
      <c r="D398" s="294" t="str">
        <f t="shared" si="108"/>
        <v/>
      </c>
      <c r="E398" s="287"/>
      <c r="F398" s="293" t="str">
        <f t="shared" si="93"/>
        <v/>
      </c>
      <c r="G398" s="294" t="str">
        <f t="shared" si="94"/>
        <v/>
      </c>
      <c r="H398" s="290"/>
      <c r="I398" s="254" t="str">
        <f t="shared" ca="1" si="102"/>
        <v>1</v>
      </c>
      <c r="J398" s="254" t="str">
        <f t="shared" ca="1" si="103"/>
        <v>1</v>
      </c>
      <c r="K398" s="230" t="str">
        <f>IF(Giocatori!B387=0,"",Giocatori!B387)</f>
        <v>PAROLO</v>
      </c>
      <c r="L398" s="230" t="str">
        <f>IF(Giocatori!A387=0,"",Giocatori!A387)</f>
        <v>C</v>
      </c>
      <c r="M398" s="230" t="str">
        <f>IF(Giocatori!C387=0,"",Giocatori!C387)</f>
        <v>Lazio</v>
      </c>
      <c r="N398" s="69" t="str">
        <f t="shared" si="95"/>
        <v/>
      </c>
      <c r="O398" t="str">
        <f t="shared" si="96"/>
        <v>PAROLO</v>
      </c>
      <c r="P398" s="7">
        <f t="shared" ca="1" si="104"/>
        <v>398</v>
      </c>
      <c r="Q398" s="7" t="str">
        <f t="shared" ca="1" si="97"/>
        <v>PAROLO</v>
      </c>
      <c r="Z398" s="256"/>
      <c r="AA398" s="219"/>
      <c r="AB398" s="293" t="str">
        <f t="shared" si="98"/>
        <v/>
      </c>
      <c r="AC398" s="294" t="str">
        <f t="shared" si="99"/>
        <v/>
      </c>
      <c r="AD398" s="219"/>
      <c r="AE398" s="219"/>
      <c r="AF398" s="293" t="str">
        <f>IF(AA398="","",VLOOKUP(AA398,Asta!$B:$H,7,FALSE))</f>
        <v/>
      </c>
      <c r="AG398" s="294" t="str">
        <f t="shared" si="100"/>
        <v/>
      </c>
      <c r="AH398" t="str">
        <f t="shared" si="101"/>
        <v/>
      </c>
      <c r="AI398" s="254" t="str">
        <f t="shared" ca="1" si="105"/>
        <v>379</v>
      </c>
      <c r="AJ398" s="254" t="str">
        <f t="shared" ca="1" si="106"/>
        <v>379</v>
      </c>
      <c r="AK398" s="351"/>
    </row>
    <row r="399" spans="1:37">
      <c r="A399" s="74">
        <v>380</v>
      </c>
      <c r="B399" s="252"/>
      <c r="C399" s="293" t="str">
        <f t="shared" si="107"/>
        <v/>
      </c>
      <c r="D399" s="294" t="str">
        <f t="shared" si="108"/>
        <v/>
      </c>
      <c r="E399" s="287"/>
      <c r="F399" s="293" t="str">
        <f t="shared" si="93"/>
        <v/>
      </c>
      <c r="G399" s="294" t="str">
        <f t="shared" si="94"/>
        <v/>
      </c>
      <c r="H399" s="290"/>
      <c r="I399" s="254" t="str">
        <f t="shared" ca="1" si="102"/>
        <v>1</v>
      </c>
      <c r="J399" s="254" t="str">
        <f t="shared" ca="1" si="103"/>
        <v>1</v>
      </c>
      <c r="K399" s="230" t="str">
        <f>IF(Giocatori!B388=0,"",Giocatori!B388)</f>
        <v>PATRIC</v>
      </c>
      <c r="L399" s="230" t="str">
        <f>IF(Giocatori!A388=0,"",Giocatori!A388)</f>
        <v>D</v>
      </c>
      <c r="M399" s="230" t="str">
        <f>IF(Giocatori!C388=0,"",Giocatori!C388)</f>
        <v>Lazio</v>
      </c>
      <c r="N399" s="69" t="str">
        <f t="shared" si="95"/>
        <v/>
      </c>
      <c r="O399" t="str">
        <f t="shared" si="96"/>
        <v>PATRIC</v>
      </c>
      <c r="P399" s="7">
        <f t="shared" ca="1" si="104"/>
        <v>399</v>
      </c>
      <c r="Q399" s="7" t="str">
        <f t="shared" ca="1" si="97"/>
        <v>PATRIC</v>
      </c>
      <c r="Z399" s="256"/>
      <c r="AA399" s="219"/>
      <c r="AB399" s="293" t="str">
        <f t="shared" si="98"/>
        <v/>
      </c>
      <c r="AC399" s="294" t="str">
        <f t="shared" si="99"/>
        <v/>
      </c>
      <c r="AD399" s="219"/>
      <c r="AE399" s="219"/>
      <c r="AF399" s="293" t="str">
        <f>IF(AA399="","",VLOOKUP(AA399,Asta!$B:$H,7,FALSE))</f>
        <v/>
      </c>
      <c r="AG399" s="294" t="str">
        <f t="shared" si="100"/>
        <v/>
      </c>
      <c r="AH399" t="str">
        <f t="shared" si="101"/>
        <v/>
      </c>
      <c r="AI399" s="254" t="str">
        <f t="shared" ca="1" si="105"/>
        <v>380</v>
      </c>
      <c r="AJ399" s="254" t="str">
        <f t="shared" ca="1" si="106"/>
        <v>380</v>
      </c>
      <c r="AK399" s="351"/>
    </row>
    <row r="400" spans="1:37">
      <c r="A400" s="74">
        <v>381</v>
      </c>
      <c r="B400" s="252"/>
      <c r="C400" s="293" t="str">
        <f t="shared" si="107"/>
        <v/>
      </c>
      <c r="D400" s="294" t="str">
        <f t="shared" si="108"/>
        <v/>
      </c>
      <c r="E400" s="287"/>
      <c r="F400" s="293" t="str">
        <f t="shared" si="93"/>
        <v/>
      </c>
      <c r="G400" s="294" t="str">
        <f t="shared" si="94"/>
        <v/>
      </c>
      <c r="H400" s="290"/>
      <c r="I400" s="254" t="str">
        <f t="shared" ca="1" si="102"/>
        <v>1</v>
      </c>
      <c r="J400" s="254" t="str">
        <f t="shared" ca="1" si="103"/>
        <v>1</v>
      </c>
      <c r="K400" s="230" t="str">
        <f>IF(Giocatori!B389=0,"",Giocatori!B389)</f>
        <v>PAVLOVIC</v>
      </c>
      <c r="L400" s="230" t="str">
        <f>IF(Giocatori!A389=0,"",Giocatori!A389)</f>
        <v>D</v>
      </c>
      <c r="M400" s="230" t="str">
        <f>IF(Giocatori!C389=0,"",Giocatori!C389)</f>
        <v>Crotone</v>
      </c>
      <c r="N400" s="69" t="str">
        <f t="shared" si="95"/>
        <v/>
      </c>
      <c r="O400" t="str">
        <f t="shared" si="96"/>
        <v>PAVLOVIC</v>
      </c>
      <c r="P400" s="7">
        <f t="shared" ca="1" si="104"/>
        <v>400</v>
      </c>
      <c r="Q400" s="7" t="str">
        <f t="shared" ca="1" si="97"/>
        <v>PAVLOVIC</v>
      </c>
      <c r="Z400" s="256"/>
      <c r="AA400" s="219"/>
      <c r="AB400" s="293" t="str">
        <f t="shared" si="98"/>
        <v/>
      </c>
      <c r="AC400" s="294" t="str">
        <f t="shared" si="99"/>
        <v/>
      </c>
      <c r="AD400" s="219"/>
      <c r="AE400" s="219"/>
      <c r="AF400" s="293" t="str">
        <f>IF(AA400="","",VLOOKUP(AA400,Asta!$B:$H,7,FALSE))</f>
        <v/>
      </c>
      <c r="AG400" s="294" t="str">
        <f t="shared" si="100"/>
        <v/>
      </c>
      <c r="AH400" t="str">
        <f t="shared" si="101"/>
        <v/>
      </c>
      <c r="AI400" s="254" t="str">
        <f t="shared" ca="1" si="105"/>
        <v>381</v>
      </c>
      <c r="AJ400" s="254" t="str">
        <f t="shared" ca="1" si="106"/>
        <v>381</v>
      </c>
      <c r="AK400" s="351"/>
    </row>
    <row r="401" spans="1:37">
      <c r="A401" s="74">
        <v>382</v>
      </c>
      <c r="B401" s="252"/>
      <c r="C401" s="293" t="str">
        <f t="shared" si="107"/>
        <v/>
      </c>
      <c r="D401" s="294" t="str">
        <f t="shared" si="108"/>
        <v/>
      </c>
      <c r="E401" s="287"/>
      <c r="F401" s="293" t="str">
        <f t="shared" si="93"/>
        <v/>
      </c>
      <c r="G401" s="294" t="str">
        <f t="shared" si="94"/>
        <v/>
      </c>
      <c r="H401" s="290"/>
      <c r="I401" s="254" t="str">
        <f t="shared" ca="1" si="102"/>
        <v>1</v>
      </c>
      <c r="J401" s="254" t="str">
        <f t="shared" ca="1" si="103"/>
        <v>1</v>
      </c>
      <c r="K401" s="230" t="str">
        <f>IF(Giocatori!B390=0,"",Giocatori!B390)</f>
        <v>PAVOLETTI</v>
      </c>
      <c r="L401" s="230" t="str">
        <f>IF(Giocatori!A390=0,"",Giocatori!A390)</f>
        <v>A</v>
      </c>
      <c r="M401" s="230" t="str">
        <f>IF(Giocatori!C390=0,"",Giocatori!C390)</f>
        <v>Cagliari</v>
      </c>
      <c r="N401" s="69" t="str">
        <f t="shared" si="95"/>
        <v/>
      </c>
      <c r="O401" t="str">
        <f t="shared" si="96"/>
        <v>PAVOLETTI</v>
      </c>
      <c r="P401" s="7">
        <f t="shared" ca="1" si="104"/>
        <v>401</v>
      </c>
      <c r="Q401" s="7" t="str">
        <f t="shared" ca="1" si="97"/>
        <v>PAVOLETTI</v>
      </c>
      <c r="Z401" s="256"/>
      <c r="AA401" s="219"/>
      <c r="AB401" s="293" t="str">
        <f t="shared" si="98"/>
        <v/>
      </c>
      <c r="AC401" s="294" t="str">
        <f t="shared" si="99"/>
        <v/>
      </c>
      <c r="AD401" s="219"/>
      <c r="AE401" s="219"/>
      <c r="AF401" s="293" t="str">
        <f>IF(AA401="","",VLOOKUP(AA401,Asta!$B:$H,7,FALSE))</f>
        <v/>
      </c>
      <c r="AG401" s="294" t="str">
        <f t="shared" si="100"/>
        <v/>
      </c>
      <c r="AH401" t="str">
        <f t="shared" si="101"/>
        <v/>
      </c>
      <c r="AI401" s="254" t="str">
        <f t="shared" ca="1" si="105"/>
        <v>382</v>
      </c>
      <c r="AJ401" s="254" t="str">
        <f t="shared" ca="1" si="106"/>
        <v>382</v>
      </c>
      <c r="AK401" s="351"/>
    </row>
    <row r="402" spans="1:37">
      <c r="A402" s="74">
        <v>383</v>
      </c>
      <c r="B402" s="252"/>
      <c r="C402" s="293" t="str">
        <f t="shared" si="107"/>
        <v/>
      </c>
      <c r="D402" s="294" t="str">
        <f t="shared" si="108"/>
        <v/>
      </c>
      <c r="E402" s="287"/>
      <c r="F402" s="293" t="str">
        <f t="shared" si="93"/>
        <v/>
      </c>
      <c r="G402" s="294" t="str">
        <f t="shared" si="94"/>
        <v/>
      </c>
      <c r="H402" s="290"/>
      <c r="I402" s="254" t="str">
        <f t="shared" ca="1" si="102"/>
        <v>1</v>
      </c>
      <c r="J402" s="254" t="str">
        <f t="shared" ca="1" si="103"/>
        <v>1</v>
      </c>
      <c r="K402" s="230" t="str">
        <f>IF(Giocatori!B391=0,"",Giocatori!B391)</f>
        <v>PAZZINI</v>
      </c>
      <c r="L402" s="230" t="str">
        <f>IF(Giocatori!A391=0,"",Giocatori!A391)</f>
        <v>A</v>
      </c>
      <c r="M402" s="230" t="str">
        <f>IF(Giocatori!C391=0,"",Giocatori!C391)</f>
        <v>Verona</v>
      </c>
      <c r="N402" s="69" t="str">
        <f t="shared" si="95"/>
        <v/>
      </c>
      <c r="O402" t="str">
        <f t="shared" si="96"/>
        <v>PAZZINI</v>
      </c>
      <c r="P402" s="7">
        <f t="shared" ca="1" si="104"/>
        <v>402</v>
      </c>
      <c r="Q402" s="7" t="str">
        <f t="shared" ca="1" si="97"/>
        <v>PAZZINI</v>
      </c>
      <c r="Z402" s="256"/>
      <c r="AA402" s="219"/>
      <c r="AB402" s="293" t="str">
        <f t="shared" si="98"/>
        <v/>
      </c>
      <c r="AC402" s="294" t="str">
        <f t="shared" si="99"/>
        <v/>
      </c>
      <c r="AD402" s="219"/>
      <c r="AE402" s="219"/>
      <c r="AF402" s="293" t="str">
        <f>IF(AA402="","",VLOOKUP(AA402,Asta!$B:$H,7,FALSE))</f>
        <v/>
      </c>
      <c r="AG402" s="294" t="str">
        <f t="shared" si="100"/>
        <v/>
      </c>
      <c r="AH402" t="str">
        <f t="shared" si="101"/>
        <v/>
      </c>
      <c r="AI402" s="254" t="str">
        <f t="shared" ca="1" si="105"/>
        <v>383</v>
      </c>
      <c r="AJ402" s="254" t="str">
        <f t="shared" ca="1" si="106"/>
        <v>383</v>
      </c>
      <c r="AK402" s="351"/>
    </row>
    <row r="403" spans="1:37">
      <c r="A403" s="74">
        <v>384</v>
      </c>
      <c r="B403" s="252"/>
      <c r="C403" s="293" t="str">
        <f t="shared" si="107"/>
        <v/>
      </c>
      <c r="D403" s="294" t="str">
        <f t="shared" si="108"/>
        <v/>
      </c>
      <c r="E403" s="287"/>
      <c r="F403" s="293" t="str">
        <f t="shared" si="93"/>
        <v/>
      </c>
      <c r="G403" s="294" t="str">
        <f t="shared" si="94"/>
        <v/>
      </c>
      <c r="H403" s="290"/>
      <c r="I403" s="254" t="str">
        <f t="shared" ca="1" si="102"/>
        <v>1</v>
      </c>
      <c r="J403" s="254" t="str">
        <f t="shared" ca="1" si="103"/>
        <v>1</v>
      </c>
      <c r="K403" s="230" t="str">
        <f>IF(Giocatori!B392=0,"",Giocatori!B392)</f>
        <v>PEGOLO</v>
      </c>
      <c r="L403" s="230" t="str">
        <f>IF(Giocatori!A392=0,"",Giocatori!A392)</f>
        <v>P</v>
      </c>
      <c r="M403" s="230" t="str">
        <f>IF(Giocatori!C392=0,"",Giocatori!C392)</f>
        <v>Sassuolo</v>
      </c>
      <c r="N403" s="69" t="str">
        <f t="shared" si="95"/>
        <v/>
      </c>
      <c r="O403" t="str">
        <f t="shared" si="96"/>
        <v>PEGOLO</v>
      </c>
      <c r="P403" s="7">
        <f t="shared" ca="1" si="104"/>
        <v>403</v>
      </c>
      <c r="Q403" s="7" t="str">
        <f t="shared" ca="1" si="97"/>
        <v>PEGOLO</v>
      </c>
      <c r="Z403" s="256"/>
      <c r="AA403" s="219"/>
      <c r="AB403" s="293" t="str">
        <f t="shared" si="98"/>
        <v/>
      </c>
      <c r="AC403" s="294" t="str">
        <f t="shared" si="99"/>
        <v/>
      </c>
      <c r="AD403" s="219"/>
      <c r="AE403" s="219"/>
      <c r="AF403" s="293" t="str">
        <f>IF(AA403="","",VLOOKUP(AA403,Asta!$B:$H,7,FALSE))</f>
        <v/>
      </c>
      <c r="AG403" s="294" t="str">
        <f t="shared" si="100"/>
        <v/>
      </c>
      <c r="AH403" t="str">
        <f t="shared" si="101"/>
        <v/>
      </c>
      <c r="AI403" s="254" t="str">
        <f t="shared" ca="1" si="105"/>
        <v>384</v>
      </c>
      <c r="AJ403" s="254" t="str">
        <f t="shared" ca="1" si="106"/>
        <v>384</v>
      </c>
      <c r="AK403" s="351"/>
    </row>
    <row r="404" spans="1:37">
      <c r="A404" s="74">
        <v>385</v>
      </c>
      <c r="B404" s="252"/>
      <c r="C404" s="293" t="str">
        <f t="shared" si="107"/>
        <v/>
      </c>
      <c r="D404" s="294" t="str">
        <f t="shared" si="108"/>
        <v/>
      </c>
      <c r="E404" s="287"/>
      <c r="F404" s="293" t="str">
        <f t="shared" ref="F404:F467" si="109">IF(B404="","",IF(ISNA(VLOOKUP(B404,$AA$20:$AE$807,5,FALSE)),"",VLOOKUP(B404,$AA$20:$AE$807,5,FALSE)))</f>
        <v/>
      </c>
      <c r="G404" s="294" t="str">
        <f t="shared" ref="G404:G467" si="110">IF(B404="","",IF(F404="",IF(E404="","",E404),F404))</f>
        <v/>
      </c>
      <c r="H404" s="290"/>
      <c r="I404" s="254" t="str">
        <f t="shared" ca="1" si="102"/>
        <v>1</v>
      </c>
      <c r="J404" s="254" t="str">
        <f t="shared" ca="1" si="103"/>
        <v>1</v>
      </c>
      <c r="K404" s="230" t="str">
        <f>IF(Giocatori!B393=0,"",Giocatori!B393)</f>
        <v>PELLEGRI</v>
      </c>
      <c r="L404" s="230" t="str">
        <f>IF(Giocatori!A393=0,"",Giocatori!A393)</f>
        <v>A</v>
      </c>
      <c r="M404" s="230" t="str">
        <f>IF(Giocatori!C393=0,"",Giocatori!C393)</f>
        <v>Genoa</v>
      </c>
      <c r="N404" s="69" t="str">
        <f t="shared" ref="N404:N467" si="111">IF(B404=0,"",B404)</f>
        <v/>
      </c>
      <c r="O404" t="str">
        <f t="shared" ref="O404:O467" si="112">IF(ISNA(VLOOKUP(K404,$N$20:$N$720,1,FALSE)),K404,"")</f>
        <v>PELLEGRI</v>
      </c>
      <c r="P404" s="7">
        <f t="shared" ca="1" si="104"/>
        <v>404</v>
      </c>
      <c r="Q404" s="7" t="str">
        <f t="shared" ref="Q404:Q467" ca="1" si="113">IF(ISERROR(INDEX($O$6:$O$720,MATCH(ROW(),$P$6:$P$720,FALSE))),"",INDEX($O$6:$O$720,MATCH(ROW(),$P$6:$P$720,FALSE)))</f>
        <v>PELLEGRI</v>
      </c>
      <c r="Z404" s="256"/>
      <c r="AA404" s="219"/>
      <c r="AB404" s="293" t="str">
        <f t="shared" ref="AB404:AB467" si="114">IF(AA404&lt;&gt;"",VLOOKUP(AA404,$K:$M,2,FALSE),"")</f>
        <v/>
      </c>
      <c r="AC404" s="294" t="str">
        <f t="shared" ref="AC404:AC467" si="115">IF(AA404&lt;&gt;"",VLOOKUP(AA404,$K:$M,3,FALSE),"")</f>
        <v/>
      </c>
      <c r="AD404" s="219"/>
      <c r="AE404" s="219"/>
      <c r="AF404" s="293" t="str">
        <f>IF(AA404="","",VLOOKUP(AA404,Asta!$B:$H,7,FALSE))</f>
        <v/>
      </c>
      <c r="AG404" s="294" t="str">
        <f t="shared" ref="AG404:AG467" si="116">IF(AD404="","",IF(AD404=$Y$20,-AF404,IF(AD404=$Y$21,AF404)))</f>
        <v/>
      </c>
      <c r="AH404" t="str">
        <f t="shared" ref="AH404:AH467" si="117">IF(AG404="","",-AG404)</f>
        <v/>
      </c>
      <c r="AI404" s="254" t="str">
        <f t="shared" ca="1" si="105"/>
        <v>385</v>
      </c>
      <c r="AJ404" s="254" t="str">
        <f t="shared" ca="1" si="106"/>
        <v>385</v>
      </c>
      <c r="AK404" s="351"/>
    </row>
    <row r="405" spans="1:37">
      <c r="A405" s="74">
        <v>386</v>
      </c>
      <c r="B405" s="252"/>
      <c r="C405" s="293" t="str">
        <f t="shared" si="107"/>
        <v/>
      </c>
      <c r="D405" s="294" t="str">
        <f t="shared" si="108"/>
        <v/>
      </c>
      <c r="E405" s="287"/>
      <c r="F405" s="293" t="str">
        <f t="shared" si="109"/>
        <v/>
      </c>
      <c r="G405" s="294" t="str">
        <f t="shared" si="110"/>
        <v/>
      </c>
      <c r="H405" s="290"/>
      <c r="I405" s="254" t="str">
        <f t="shared" ref="I405:I468" ca="1" si="118">G405&amp;C405&amp;COUNTIFS(INDIRECT("$C$19:$C$" &amp; ROW()-1),"="&amp;C405,INDIRECT("$G$19:$G$" &amp; ROW()-1),"="&amp;G405)+1</f>
        <v>1</v>
      </c>
      <c r="J405" s="254" t="str">
        <f t="shared" ref="J405:J468" ca="1" si="119">G405&amp;COUNTIFS(INDIRECT("$G$19:$G$" &amp; ROW()-1),"="&amp;G405)+1</f>
        <v>1</v>
      </c>
      <c r="K405" s="230" t="str">
        <f>IF(Giocatori!B394=0,"",Giocatori!B394)</f>
        <v>PELLEGRINI</v>
      </c>
      <c r="L405" s="230" t="str">
        <f>IF(Giocatori!A394=0,"",Giocatori!A394)</f>
        <v>C</v>
      </c>
      <c r="M405" s="230" t="str">
        <f>IF(Giocatori!C394=0,"",Giocatori!C394)</f>
        <v>Roma</v>
      </c>
      <c r="N405" s="69" t="str">
        <f t="shared" si="111"/>
        <v/>
      </c>
      <c r="O405" t="str">
        <f t="shared" si="112"/>
        <v>PELLEGRINI</v>
      </c>
      <c r="P405" s="7">
        <f t="shared" ref="P405:P468" ca="1" si="120">ROW()-COUNTBLANK(INDIRECT("$O$20:O"&amp;ROW()))</f>
        <v>405</v>
      </c>
      <c r="Q405" s="7" t="str">
        <f t="shared" ca="1" si="113"/>
        <v>PELLEGRINI</v>
      </c>
      <c r="Z405" s="256"/>
      <c r="AA405" s="219"/>
      <c r="AB405" s="293" t="str">
        <f t="shared" si="114"/>
        <v/>
      </c>
      <c r="AC405" s="294" t="str">
        <f t="shared" si="115"/>
        <v/>
      </c>
      <c r="AD405" s="219"/>
      <c r="AE405" s="219"/>
      <c r="AF405" s="293" t="str">
        <f>IF(AA405="","",VLOOKUP(AA405,Asta!$B:$H,7,FALSE))</f>
        <v/>
      </c>
      <c r="AG405" s="294" t="str">
        <f t="shared" si="116"/>
        <v/>
      </c>
      <c r="AH405" t="str">
        <f t="shared" si="117"/>
        <v/>
      </c>
      <c r="AI405" s="254" t="str">
        <f t="shared" ref="AI405:AI468" ca="1" si="121">Z405&amp;COUNTIFS(INDIRECT("$Z$20:$Z$" &amp; ROW()-1),"="&amp;Z405)+1</f>
        <v>386</v>
      </c>
      <c r="AJ405" s="254" t="str">
        <f t="shared" ref="AJ405:AJ468" ca="1" si="122">AE405&amp;COUNTIFS(INDIRECT("$AE$20:$AE$" &amp; ROW()-1),"="&amp;AE405)+1</f>
        <v>386</v>
      </c>
      <c r="AK405" s="351"/>
    </row>
    <row r="406" spans="1:37">
      <c r="A406" s="74">
        <v>387</v>
      </c>
      <c r="B406" s="252"/>
      <c r="C406" s="293" t="str">
        <f t="shared" si="107"/>
        <v/>
      </c>
      <c r="D406" s="294" t="str">
        <f t="shared" si="108"/>
        <v/>
      </c>
      <c r="E406" s="287"/>
      <c r="F406" s="293" t="str">
        <f t="shared" si="109"/>
        <v/>
      </c>
      <c r="G406" s="294" t="str">
        <f t="shared" si="110"/>
        <v/>
      </c>
      <c r="H406" s="290"/>
      <c r="I406" s="254" t="str">
        <f t="shared" ca="1" si="118"/>
        <v>1</v>
      </c>
      <c r="J406" s="254" t="str">
        <f t="shared" ca="1" si="119"/>
        <v>1</v>
      </c>
      <c r="K406" s="230" t="str">
        <f>IF(Giocatori!B395=0,"",Giocatori!B395)</f>
        <v>PELLISSIER</v>
      </c>
      <c r="L406" s="230" t="str">
        <f>IF(Giocatori!A395=0,"",Giocatori!A395)</f>
        <v>A</v>
      </c>
      <c r="M406" s="230" t="str">
        <f>IF(Giocatori!C395=0,"",Giocatori!C395)</f>
        <v>Chievo</v>
      </c>
      <c r="N406" s="69" t="str">
        <f t="shared" si="111"/>
        <v/>
      </c>
      <c r="O406" t="str">
        <f t="shared" si="112"/>
        <v>PELLISSIER</v>
      </c>
      <c r="P406" s="7">
        <f t="shared" ca="1" si="120"/>
        <v>406</v>
      </c>
      <c r="Q406" s="7" t="str">
        <f t="shared" ca="1" si="113"/>
        <v>PELLISSIER</v>
      </c>
      <c r="Z406" s="256"/>
      <c r="AA406" s="219"/>
      <c r="AB406" s="293" t="str">
        <f t="shared" si="114"/>
        <v/>
      </c>
      <c r="AC406" s="294" t="str">
        <f t="shared" si="115"/>
        <v/>
      </c>
      <c r="AD406" s="219"/>
      <c r="AE406" s="219"/>
      <c r="AF406" s="293" t="str">
        <f>IF(AA406="","",VLOOKUP(AA406,Asta!$B:$H,7,FALSE))</f>
        <v/>
      </c>
      <c r="AG406" s="294" t="str">
        <f t="shared" si="116"/>
        <v/>
      </c>
      <c r="AH406" t="str">
        <f t="shared" si="117"/>
        <v/>
      </c>
      <c r="AI406" s="254" t="str">
        <f t="shared" ca="1" si="121"/>
        <v>387</v>
      </c>
      <c r="AJ406" s="254" t="str">
        <f t="shared" ca="1" si="122"/>
        <v>387</v>
      </c>
      <c r="AK406" s="351"/>
    </row>
    <row r="407" spans="1:37">
      <c r="A407" s="74">
        <v>388</v>
      </c>
      <c r="B407" s="252"/>
      <c r="C407" s="293" t="str">
        <f t="shared" si="107"/>
        <v/>
      </c>
      <c r="D407" s="294" t="str">
        <f t="shared" si="108"/>
        <v/>
      </c>
      <c r="E407" s="287"/>
      <c r="F407" s="293" t="str">
        <f t="shared" si="109"/>
        <v/>
      </c>
      <c r="G407" s="294" t="str">
        <f t="shared" si="110"/>
        <v/>
      </c>
      <c r="H407" s="290"/>
      <c r="I407" s="254" t="str">
        <f t="shared" ca="1" si="118"/>
        <v>1</v>
      </c>
      <c r="J407" s="254" t="str">
        <f t="shared" ca="1" si="119"/>
        <v>1</v>
      </c>
      <c r="K407" s="230" t="str">
        <f>IF(Giocatori!B396=0,"",Giocatori!B396)</f>
        <v>PELUSO</v>
      </c>
      <c r="L407" s="230" t="str">
        <f>IF(Giocatori!A396=0,"",Giocatori!A396)</f>
        <v>D</v>
      </c>
      <c r="M407" s="230" t="str">
        <f>IF(Giocatori!C396=0,"",Giocatori!C396)</f>
        <v>Sassuolo</v>
      </c>
      <c r="N407" s="69" t="str">
        <f t="shared" si="111"/>
        <v/>
      </c>
      <c r="O407" t="str">
        <f t="shared" si="112"/>
        <v>PELUSO</v>
      </c>
      <c r="P407" s="7">
        <f t="shared" ca="1" si="120"/>
        <v>407</v>
      </c>
      <c r="Q407" s="7" t="str">
        <f t="shared" ca="1" si="113"/>
        <v>PELUSO</v>
      </c>
      <c r="Z407" s="256"/>
      <c r="AA407" s="219"/>
      <c r="AB407" s="293" t="str">
        <f t="shared" si="114"/>
        <v/>
      </c>
      <c r="AC407" s="294" t="str">
        <f t="shared" si="115"/>
        <v/>
      </c>
      <c r="AD407" s="219"/>
      <c r="AE407" s="219"/>
      <c r="AF407" s="293" t="str">
        <f>IF(AA407="","",VLOOKUP(AA407,Asta!$B:$H,7,FALSE))</f>
        <v/>
      </c>
      <c r="AG407" s="294" t="str">
        <f t="shared" si="116"/>
        <v/>
      </c>
      <c r="AH407" t="str">
        <f t="shared" si="117"/>
        <v/>
      </c>
      <c r="AI407" s="254" t="str">
        <f t="shared" ca="1" si="121"/>
        <v>388</v>
      </c>
      <c r="AJ407" s="254" t="str">
        <f t="shared" ca="1" si="122"/>
        <v>388</v>
      </c>
      <c r="AK407" s="351"/>
    </row>
    <row r="408" spans="1:37">
      <c r="A408" s="74">
        <v>389</v>
      </c>
      <c r="B408" s="252"/>
      <c r="C408" s="293" t="str">
        <f t="shared" si="107"/>
        <v/>
      </c>
      <c r="D408" s="294" t="str">
        <f t="shared" si="108"/>
        <v/>
      </c>
      <c r="E408" s="287"/>
      <c r="F408" s="293" t="str">
        <f t="shared" si="109"/>
        <v/>
      </c>
      <c r="G408" s="294" t="str">
        <f t="shared" si="110"/>
        <v/>
      </c>
      <c r="H408" s="290"/>
      <c r="I408" s="254" t="str">
        <f t="shared" ca="1" si="118"/>
        <v>1</v>
      </c>
      <c r="J408" s="254" t="str">
        <f t="shared" ca="1" si="119"/>
        <v>1</v>
      </c>
      <c r="K408" s="230" t="str">
        <f>IF(Giocatori!B397=0,"",Giocatori!B397)</f>
        <v>PERICA</v>
      </c>
      <c r="L408" s="230" t="str">
        <f>IF(Giocatori!A397=0,"",Giocatori!A397)</f>
        <v>A</v>
      </c>
      <c r="M408" s="230" t="str">
        <f>IF(Giocatori!C397=0,"",Giocatori!C397)</f>
        <v>Udinese</v>
      </c>
      <c r="N408" s="69" t="str">
        <f t="shared" si="111"/>
        <v/>
      </c>
      <c r="O408" t="str">
        <f t="shared" si="112"/>
        <v>PERICA</v>
      </c>
      <c r="P408" s="7">
        <f t="shared" ca="1" si="120"/>
        <v>408</v>
      </c>
      <c r="Q408" s="7" t="str">
        <f t="shared" ca="1" si="113"/>
        <v>PERICA</v>
      </c>
      <c r="Z408" s="256"/>
      <c r="AA408" s="219"/>
      <c r="AB408" s="293" t="str">
        <f t="shared" si="114"/>
        <v/>
      </c>
      <c r="AC408" s="294" t="str">
        <f t="shared" si="115"/>
        <v/>
      </c>
      <c r="AD408" s="219"/>
      <c r="AE408" s="219"/>
      <c r="AF408" s="293" t="str">
        <f>IF(AA408="","",VLOOKUP(AA408,Asta!$B:$H,7,FALSE))</f>
        <v/>
      </c>
      <c r="AG408" s="294" t="str">
        <f t="shared" si="116"/>
        <v/>
      </c>
      <c r="AH408" t="str">
        <f t="shared" si="117"/>
        <v/>
      </c>
      <c r="AI408" s="254" t="str">
        <f t="shared" ca="1" si="121"/>
        <v>389</v>
      </c>
      <c r="AJ408" s="254" t="str">
        <f t="shared" ca="1" si="122"/>
        <v>389</v>
      </c>
      <c r="AK408" s="351"/>
    </row>
    <row r="409" spans="1:37">
      <c r="A409" s="74">
        <v>390</v>
      </c>
      <c r="B409" s="252"/>
      <c r="C409" s="293" t="str">
        <f t="shared" si="107"/>
        <v/>
      </c>
      <c r="D409" s="294" t="str">
        <f t="shared" si="108"/>
        <v/>
      </c>
      <c r="E409" s="287"/>
      <c r="F409" s="293" t="str">
        <f t="shared" si="109"/>
        <v/>
      </c>
      <c r="G409" s="294" t="str">
        <f t="shared" si="110"/>
        <v/>
      </c>
      <c r="H409" s="290"/>
      <c r="I409" s="254" t="str">
        <f t="shared" ca="1" si="118"/>
        <v>1</v>
      </c>
      <c r="J409" s="254" t="str">
        <f t="shared" ca="1" si="119"/>
        <v>1</v>
      </c>
      <c r="K409" s="230" t="str">
        <f>IF(Giocatori!B398=0,"",Giocatori!B398)</f>
        <v>PERIN</v>
      </c>
      <c r="L409" s="230" t="str">
        <f>IF(Giocatori!A398=0,"",Giocatori!A398)</f>
        <v>P</v>
      </c>
      <c r="M409" s="230" t="str">
        <f>IF(Giocatori!C398=0,"",Giocatori!C398)</f>
        <v>Genoa</v>
      </c>
      <c r="N409" s="69" t="str">
        <f t="shared" si="111"/>
        <v/>
      </c>
      <c r="O409" t="str">
        <f t="shared" si="112"/>
        <v>PERIN</v>
      </c>
      <c r="P409" s="7">
        <f t="shared" ca="1" si="120"/>
        <v>409</v>
      </c>
      <c r="Q409" s="7" t="str">
        <f t="shared" ca="1" si="113"/>
        <v>PERIN</v>
      </c>
      <c r="Z409" s="256"/>
      <c r="AA409" s="219"/>
      <c r="AB409" s="293" t="str">
        <f t="shared" si="114"/>
        <v/>
      </c>
      <c r="AC409" s="294" t="str">
        <f t="shared" si="115"/>
        <v/>
      </c>
      <c r="AD409" s="219"/>
      <c r="AE409" s="219"/>
      <c r="AF409" s="293" t="str">
        <f>IF(AA409="","",VLOOKUP(AA409,Asta!$B:$H,7,FALSE))</f>
        <v/>
      </c>
      <c r="AG409" s="294" t="str">
        <f t="shared" si="116"/>
        <v/>
      </c>
      <c r="AH409" t="str">
        <f t="shared" si="117"/>
        <v/>
      </c>
      <c r="AI409" s="254" t="str">
        <f t="shared" ca="1" si="121"/>
        <v>390</v>
      </c>
      <c r="AJ409" s="254" t="str">
        <f t="shared" ca="1" si="122"/>
        <v>390</v>
      </c>
      <c r="AK409" s="351"/>
    </row>
    <row r="410" spans="1:37">
      <c r="A410" s="74">
        <v>391</v>
      </c>
      <c r="B410" s="252"/>
      <c r="C410" s="293" t="str">
        <f t="shared" si="107"/>
        <v/>
      </c>
      <c r="D410" s="294" t="str">
        <f t="shared" si="108"/>
        <v/>
      </c>
      <c r="E410" s="287"/>
      <c r="F410" s="293" t="str">
        <f t="shared" si="109"/>
        <v/>
      </c>
      <c r="G410" s="294" t="str">
        <f t="shared" si="110"/>
        <v/>
      </c>
      <c r="H410" s="290"/>
      <c r="I410" s="254" t="str">
        <f t="shared" ca="1" si="118"/>
        <v>1</v>
      </c>
      <c r="J410" s="254" t="str">
        <f t="shared" ca="1" si="119"/>
        <v>1</v>
      </c>
      <c r="K410" s="230" t="str">
        <f>IF(Giocatori!B399=0,"",Giocatori!B399)</f>
        <v>PERISIC</v>
      </c>
      <c r="L410" s="230" t="str">
        <f>IF(Giocatori!A399=0,"",Giocatori!A399)</f>
        <v>C</v>
      </c>
      <c r="M410" s="230" t="str">
        <f>IF(Giocatori!C399=0,"",Giocatori!C399)</f>
        <v>Inter</v>
      </c>
      <c r="N410" s="69" t="str">
        <f t="shared" si="111"/>
        <v/>
      </c>
      <c r="O410" t="str">
        <f t="shared" si="112"/>
        <v>PERISIC</v>
      </c>
      <c r="P410" s="7">
        <f t="shared" ca="1" si="120"/>
        <v>410</v>
      </c>
      <c r="Q410" s="7" t="str">
        <f t="shared" ca="1" si="113"/>
        <v>PERISIC</v>
      </c>
      <c r="Z410" s="256"/>
      <c r="AA410" s="219"/>
      <c r="AB410" s="293" t="str">
        <f t="shared" si="114"/>
        <v/>
      </c>
      <c r="AC410" s="294" t="str">
        <f t="shared" si="115"/>
        <v/>
      </c>
      <c r="AD410" s="219"/>
      <c r="AE410" s="219"/>
      <c r="AF410" s="293" t="str">
        <f>IF(AA410="","",VLOOKUP(AA410,Asta!$B:$H,7,FALSE))</f>
        <v/>
      </c>
      <c r="AG410" s="294" t="str">
        <f t="shared" si="116"/>
        <v/>
      </c>
      <c r="AH410" t="str">
        <f t="shared" si="117"/>
        <v/>
      </c>
      <c r="AI410" s="254" t="str">
        <f t="shared" ca="1" si="121"/>
        <v>391</v>
      </c>
      <c r="AJ410" s="254" t="str">
        <f t="shared" ca="1" si="122"/>
        <v>391</v>
      </c>
      <c r="AK410" s="351"/>
    </row>
    <row r="411" spans="1:37">
      <c r="A411" s="74">
        <v>392</v>
      </c>
      <c r="B411" s="252"/>
      <c r="C411" s="293" t="str">
        <f t="shared" si="107"/>
        <v/>
      </c>
      <c r="D411" s="294" t="str">
        <f t="shared" si="108"/>
        <v/>
      </c>
      <c r="E411" s="287"/>
      <c r="F411" s="293" t="str">
        <f t="shared" si="109"/>
        <v/>
      </c>
      <c r="G411" s="294" t="str">
        <f t="shared" si="110"/>
        <v/>
      </c>
      <c r="H411" s="290"/>
      <c r="I411" s="254" t="str">
        <f t="shared" ca="1" si="118"/>
        <v>1</v>
      </c>
      <c r="J411" s="254" t="str">
        <f t="shared" ca="1" si="119"/>
        <v>1</v>
      </c>
      <c r="K411" s="230" t="str">
        <f>IF(Giocatori!B400=0,"",Giocatori!B400)</f>
        <v>PEROTTI</v>
      </c>
      <c r="L411" s="230" t="str">
        <f>IF(Giocatori!A400=0,"",Giocatori!A400)</f>
        <v>C</v>
      </c>
      <c r="M411" s="230" t="str">
        <f>IF(Giocatori!C400=0,"",Giocatori!C400)</f>
        <v>Roma</v>
      </c>
      <c r="N411" s="69" t="str">
        <f t="shared" si="111"/>
        <v/>
      </c>
      <c r="O411" t="str">
        <f t="shared" si="112"/>
        <v>PEROTTI</v>
      </c>
      <c r="P411" s="7">
        <f t="shared" ca="1" si="120"/>
        <v>411</v>
      </c>
      <c r="Q411" s="7" t="str">
        <f t="shared" ca="1" si="113"/>
        <v>PEROTTI</v>
      </c>
      <c r="Z411" s="256"/>
      <c r="AA411" s="219"/>
      <c r="AB411" s="293" t="str">
        <f t="shared" si="114"/>
        <v/>
      </c>
      <c r="AC411" s="294" t="str">
        <f t="shared" si="115"/>
        <v/>
      </c>
      <c r="AD411" s="219"/>
      <c r="AE411" s="219"/>
      <c r="AF411" s="293" t="str">
        <f>IF(AA411="","",VLOOKUP(AA411,Asta!$B:$H,7,FALSE))</f>
        <v/>
      </c>
      <c r="AG411" s="294" t="str">
        <f t="shared" si="116"/>
        <v/>
      </c>
      <c r="AH411" t="str">
        <f t="shared" si="117"/>
        <v/>
      </c>
      <c r="AI411" s="254" t="str">
        <f t="shared" ca="1" si="121"/>
        <v>392</v>
      </c>
      <c r="AJ411" s="254" t="str">
        <f t="shared" ca="1" si="122"/>
        <v>392</v>
      </c>
      <c r="AK411" s="351"/>
    </row>
    <row r="412" spans="1:37">
      <c r="A412" s="74">
        <v>393</v>
      </c>
      <c r="B412" s="252"/>
      <c r="C412" s="293" t="str">
        <f t="shared" si="107"/>
        <v/>
      </c>
      <c r="D412" s="294" t="str">
        <f t="shared" si="108"/>
        <v/>
      </c>
      <c r="E412" s="287"/>
      <c r="F412" s="293" t="str">
        <f t="shared" si="109"/>
        <v/>
      </c>
      <c r="G412" s="294" t="str">
        <f t="shared" si="110"/>
        <v/>
      </c>
      <c r="H412" s="290"/>
      <c r="I412" s="254" t="str">
        <f t="shared" ca="1" si="118"/>
        <v>1</v>
      </c>
      <c r="J412" s="254" t="str">
        <f t="shared" ca="1" si="119"/>
        <v>1</v>
      </c>
      <c r="K412" s="230" t="str">
        <f>IF(Giocatori!B401=0,"",Giocatori!B401)</f>
        <v>PETAGNA</v>
      </c>
      <c r="L412" s="230" t="str">
        <f>IF(Giocatori!A401=0,"",Giocatori!A401)</f>
        <v>A</v>
      </c>
      <c r="M412" s="230" t="str">
        <f>IF(Giocatori!C401=0,"",Giocatori!C401)</f>
        <v>Atalanta</v>
      </c>
      <c r="N412" s="69" t="str">
        <f t="shared" si="111"/>
        <v/>
      </c>
      <c r="O412" t="str">
        <f t="shared" si="112"/>
        <v>PETAGNA</v>
      </c>
      <c r="P412" s="7">
        <f t="shared" ca="1" si="120"/>
        <v>412</v>
      </c>
      <c r="Q412" s="7" t="str">
        <f t="shared" ca="1" si="113"/>
        <v>PETAGNA</v>
      </c>
      <c r="Z412" s="256"/>
      <c r="AA412" s="219"/>
      <c r="AB412" s="293" t="str">
        <f t="shared" si="114"/>
        <v/>
      </c>
      <c r="AC412" s="294" t="str">
        <f t="shared" si="115"/>
        <v/>
      </c>
      <c r="AD412" s="219"/>
      <c r="AE412" s="219"/>
      <c r="AF412" s="293" t="str">
        <f>IF(AA412="","",VLOOKUP(AA412,Asta!$B:$H,7,FALSE))</f>
        <v/>
      </c>
      <c r="AG412" s="294" t="str">
        <f t="shared" si="116"/>
        <v/>
      </c>
      <c r="AH412" t="str">
        <f t="shared" si="117"/>
        <v/>
      </c>
      <c r="AI412" s="254" t="str">
        <f t="shared" ca="1" si="121"/>
        <v>393</v>
      </c>
      <c r="AJ412" s="254" t="str">
        <f t="shared" ca="1" si="122"/>
        <v>393</v>
      </c>
      <c r="AK412" s="351"/>
    </row>
    <row r="413" spans="1:37">
      <c r="A413" s="74">
        <v>394</v>
      </c>
      <c r="B413" s="252"/>
      <c r="C413" s="293" t="str">
        <f t="shared" si="107"/>
        <v/>
      </c>
      <c r="D413" s="294" t="str">
        <f t="shared" si="108"/>
        <v/>
      </c>
      <c r="E413" s="287"/>
      <c r="F413" s="293" t="str">
        <f t="shared" si="109"/>
        <v/>
      </c>
      <c r="G413" s="294" t="str">
        <f t="shared" si="110"/>
        <v/>
      </c>
      <c r="H413" s="290"/>
      <c r="I413" s="254" t="str">
        <f t="shared" ca="1" si="118"/>
        <v>1</v>
      </c>
      <c r="J413" s="254" t="str">
        <f t="shared" ca="1" si="119"/>
        <v>1</v>
      </c>
      <c r="K413" s="230" t="str">
        <f>IF(Giocatori!B402=0,"",Giocatori!B402)</f>
        <v>PETKOVIC</v>
      </c>
      <c r="L413" s="230" t="str">
        <f>IF(Giocatori!A402=0,"",Giocatori!A402)</f>
        <v>A</v>
      </c>
      <c r="M413" s="230" t="str">
        <f>IF(Giocatori!C402=0,"",Giocatori!C402)</f>
        <v>Bologna</v>
      </c>
      <c r="N413" s="69" t="str">
        <f t="shared" si="111"/>
        <v/>
      </c>
      <c r="O413" t="str">
        <f t="shared" si="112"/>
        <v>PETKOVIC</v>
      </c>
      <c r="P413" s="7">
        <f t="shared" ca="1" si="120"/>
        <v>413</v>
      </c>
      <c r="Q413" s="7" t="str">
        <f t="shared" ca="1" si="113"/>
        <v>PETKOVIC</v>
      </c>
      <c r="Z413" s="256"/>
      <c r="AA413" s="219"/>
      <c r="AB413" s="293" t="str">
        <f t="shared" si="114"/>
        <v/>
      </c>
      <c r="AC413" s="294" t="str">
        <f t="shared" si="115"/>
        <v/>
      </c>
      <c r="AD413" s="219"/>
      <c r="AE413" s="219"/>
      <c r="AF413" s="293" t="str">
        <f>IF(AA413="","",VLOOKUP(AA413,Asta!$B:$H,7,FALSE))</f>
        <v/>
      </c>
      <c r="AG413" s="294" t="str">
        <f t="shared" si="116"/>
        <v/>
      </c>
      <c r="AH413" t="str">
        <f t="shared" si="117"/>
        <v/>
      </c>
      <c r="AI413" s="254" t="str">
        <f t="shared" ca="1" si="121"/>
        <v>394</v>
      </c>
      <c r="AJ413" s="254" t="str">
        <f t="shared" ca="1" si="122"/>
        <v>394</v>
      </c>
      <c r="AK413" s="351"/>
    </row>
    <row r="414" spans="1:37">
      <c r="A414" s="74">
        <v>395</v>
      </c>
      <c r="B414" s="252"/>
      <c r="C414" s="293" t="str">
        <f t="shared" si="107"/>
        <v/>
      </c>
      <c r="D414" s="294" t="str">
        <f t="shared" si="108"/>
        <v/>
      </c>
      <c r="E414" s="287"/>
      <c r="F414" s="293" t="str">
        <f t="shared" si="109"/>
        <v/>
      </c>
      <c r="G414" s="294" t="str">
        <f t="shared" si="110"/>
        <v/>
      </c>
      <c r="H414" s="290"/>
      <c r="I414" s="254" t="str">
        <f t="shared" ca="1" si="118"/>
        <v>1</v>
      </c>
      <c r="J414" s="254" t="str">
        <f t="shared" ca="1" si="119"/>
        <v>1</v>
      </c>
      <c r="K414" s="230" t="str">
        <f>IF(Giocatori!B403=0,"",Giocatori!B403)</f>
        <v>PEZZELLA GER</v>
      </c>
      <c r="L414" s="230" t="str">
        <f>IF(Giocatori!A403=0,"",Giocatori!A403)</f>
        <v>D</v>
      </c>
      <c r="M414" s="230" t="str">
        <f>IF(Giocatori!C403=0,"",Giocatori!C403)</f>
        <v>Fiorentina</v>
      </c>
      <c r="N414" s="69" t="str">
        <f t="shared" si="111"/>
        <v/>
      </c>
      <c r="O414" t="str">
        <f t="shared" si="112"/>
        <v>PEZZELLA GER</v>
      </c>
      <c r="P414" s="7">
        <f t="shared" ca="1" si="120"/>
        <v>414</v>
      </c>
      <c r="Q414" s="7" t="str">
        <f t="shared" ca="1" si="113"/>
        <v>PEZZELLA GER</v>
      </c>
      <c r="Z414" s="256"/>
      <c r="AA414" s="219"/>
      <c r="AB414" s="293" t="str">
        <f t="shared" si="114"/>
        <v/>
      </c>
      <c r="AC414" s="294" t="str">
        <f t="shared" si="115"/>
        <v/>
      </c>
      <c r="AD414" s="219"/>
      <c r="AE414" s="219"/>
      <c r="AF414" s="293" t="str">
        <f>IF(AA414="","",VLOOKUP(AA414,Asta!$B:$H,7,FALSE))</f>
        <v/>
      </c>
      <c r="AG414" s="294" t="str">
        <f t="shared" si="116"/>
        <v/>
      </c>
      <c r="AH414" t="str">
        <f t="shared" si="117"/>
        <v/>
      </c>
      <c r="AI414" s="254" t="str">
        <f t="shared" ca="1" si="121"/>
        <v>395</v>
      </c>
      <c r="AJ414" s="254" t="str">
        <f t="shared" ca="1" si="122"/>
        <v>395</v>
      </c>
      <c r="AK414" s="351"/>
    </row>
    <row r="415" spans="1:37">
      <c r="A415" s="74">
        <v>396</v>
      </c>
      <c r="B415" s="252"/>
      <c r="C415" s="293" t="str">
        <f t="shared" si="107"/>
        <v/>
      </c>
      <c r="D415" s="294" t="str">
        <f t="shared" si="108"/>
        <v/>
      </c>
      <c r="E415" s="287"/>
      <c r="F415" s="293" t="str">
        <f t="shared" si="109"/>
        <v/>
      </c>
      <c r="G415" s="294" t="str">
        <f t="shared" si="110"/>
        <v/>
      </c>
      <c r="H415" s="290"/>
      <c r="I415" s="254" t="str">
        <f t="shared" ca="1" si="118"/>
        <v>1</v>
      </c>
      <c r="J415" s="254" t="str">
        <f t="shared" ca="1" si="119"/>
        <v>1</v>
      </c>
      <c r="K415" s="230" t="str">
        <f>IF(Giocatori!B404=0,"",Giocatori!B404)</f>
        <v>PEZZELLA GIU</v>
      </c>
      <c r="L415" s="230" t="str">
        <f>IF(Giocatori!A404=0,"",Giocatori!A404)</f>
        <v>D</v>
      </c>
      <c r="M415" s="230" t="str">
        <f>IF(Giocatori!C404=0,"",Giocatori!C404)</f>
        <v>Udinese</v>
      </c>
      <c r="N415" s="69" t="str">
        <f t="shared" si="111"/>
        <v/>
      </c>
      <c r="O415" t="str">
        <f t="shared" si="112"/>
        <v>PEZZELLA GIU</v>
      </c>
      <c r="P415" s="7">
        <f t="shared" ca="1" si="120"/>
        <v>415</v>
      </c>
      <c r="Q415" s="7" t="str">
        <f t="shared" ca="1" si="113"/>
        <v>PEZZELLA GIU</v>
      </c>
      <c r="Z415" s="256"/>
      <c r="AA415" s="219"/>
      <c r="AB415" s="293" t="str">
        <f t="shared" si="114"/>
        <v/>
      </c>
      <c r="AC415" s="294" t="str">
        <f t="shared" si="115"/>
        <v/>
      </c>
      <c r="AD415" s="219"/>
      <c r="AE415" s="219"/>
      <c r="AF415" s="293" t="str">
        <f>IF(AA415="","",VLOOKUP(AA415,Asta!$B:$H,7,FALSE))</f>
        <v/>
      </c>
      <c r="AG415" s="294" t="str">
        <f t="shared" si="116"/>
        <v/>
      </c>
      <c r="AH415" t="str">
        <f t="shared" si="117"/>
        <v/>
      </c>
      <c r="AI415" s="254" t="str">
        <f t="shared" ca="1" si="121"/>
        <v>396</v>
      </c>
      <c r="AJ415" s="254" t="str">
        <f t="shared" ca="1" si="122"/>
        <v>396</v>
      </c>
      <c r="AK415" s="351"/>
    </row>
    <row r="416" spans="1:37">
      <c r="A416" s="74">
        <v>397</v>
      </c>
      <c r="B416" s="252"/>
      <c r="C416" s="293" t="str">
        <f t="shared" si="107"/>
        <v/>
      </c>
      <c r="D416" s="294" t="str">
        <f t="shared" si="108"/>
        <v/>
      </c>
      <c r="E416" s="287"/>
      <c r="F416" s="293" t="str">
        <f t="shared" si="109"/>
        <v/>
      </c>
      <c r="G416" s="294" t="str">
        <f t="shared" si="110"/>
        <v/>
      </c>
      <c r="H416" s="290"/>
      <c r="I416" s="254" t="str">
        <f t="shared" ca="1" si="118"/>
        <v>1</v>
      </c>
      <c r="J416" s="254" t="str">
        <f t="shared" ca="1" si="119"/>
        <v>1</v>
      </c>
      <c r="K416" s="230" t="str">
        <f>IF(Giocatori!B405=0,"",Giocatori!B405)</f>
        <v>PINAMONTI</v>
      </c>
      <c r="L416" s="230" t="str">
        <f>IF(Giocatori!A405=0,"",Giocatori!A405)</f>
        <v>A</v>
      </c>
      <c r="M416" s="230" t="str">
        <f>IF(Giocatori!C405=0,"",Giocatori!C405)</f>
        <v>Inter</v>
      </c>
      <c r="N416" s="69" t="str">
        <f t="shared" si="111"/>
        <v/>
      </c>
      <c r="O416" t="str">
        <f t="shared" si="112"/>
        <v>PINAMONTI</v>
      </c>
      <c r="P416" s="7">
        <f t="shared" ca="1" si="120"/>
        <v>416</v>
      </c>
      <c r="Q416" s="7" t="str">
        <f t="shared" ca="1" si="113"/>
        <v>PINAMONTI</v>
      </c>
      <c r="Z416" s="256"/>
      <c r="AA416" s="219"/>
      <c r="AB416" s="293" t="str">
        <f t="shared" si="114"/>
        <v/>
      </c>
      <c r="AC416" s="294" t="str">
        <f t="shared" si="115"/>
        <v/>
      </c>
      <c r="AD416" s="219"/>
      <c r="AE416" s="219"/>
      <c r="AF416" s="293" t="str">
        <f>IF(AA416="","",VLOOKUP(AA416,Asta!$B:$H,7,FALSE))</f>
        <v/>
      </c>
      <c r="AG416" s="294" t="str">
        <f t="shared" si="116"/>
        <v/>
      </c>
      <c r="AH416" t="str">
        <f t="shared" si="117"/>
        <v/>
      </c>
      <c r="AI416" s="254" t="str">
        <f t="shared" ca="1" si="121"/>
        <v>397</v>
      </c>
      <c r="AJ416" s="254" t="str">
        <f t="shared" ca="1" si="122"/>
        <v>397</v>
      </c>
      <c r="AK416" s="351"/>
    </row>
    <row r="417" spans="1:37">
      <c r="A417" s="74">
        <v>398</v>
      </c>
      <c r="B417" s="252"/>
      <c r="C417" s="293" t="str">
        <f t="shared" si="107"/>
        <v/>
      </c>
      <c r="D417" s="294" t="str">
        <f t="shared" si="108"/>
        <v/>
      </c>
      <c r="E417" s="287"/>
      <c r="F417" s="293" t="str">
        <f t="shared" si="109"/>
        <v/>
      </c>
      <c r="G417" s="294" t="str">
        <f t="shared" si="110"/>
        <v/>
      </c>
      <c r="H417" s="290"/>
      <c r="I417" s="254" t="str">
        <f t="shared" ca="1" si="118"/>
        <v>1</v>
      </c>
      <c r="J417" s="254" t="str">
        <f t="shared" ca="1" si="119"/>
        <v>1</v>
      </c>
      <c r="K417" s="230" t="str">
        <f>IF(Giocatori!B406=0,"",Giocatori!B406)</f>
        <v>PINSOGLIO</v>
      </c>
      <c r="L417" s="230" t="str">
        <f>IF(Giocatori!A406=0,"",Giocatori!A406)</f>
        <v>P</v>
      </c>
      <c r="M417" s="230" t="str">
        <f>IF(Giocatori!C406=0,"",Giocatori!C406)</f>
        <v>Juventus</v>
      </c>
      <c r="N417" s="69" t="str">
        <f t="shared" si="111"/>
        <v/>
      </c>
      <c r="O417" t="str">
        <f t="shared" si="112"/>
        <v>PINSOGLIO</v>
      </c>
      <c r="P417" s="7">
        <f t="shared" ca="1" si="120"/>
        <v>417</v>
      </c>
      <c r="Q417" s="7" t="str">
        <f t="shared" ca="1" si="113"/>
        <v>PINSOGLIO</v>
      </c>
      <c r="Z417" s="256"/>
      <c r="AA417" s="219"/>
      <c r="AB417" s="293" t="str">
        <f t="shared" si="114"/>
        <v/>
      </c>
      <c r="AC417" s="294" t="str">
        <f t="shared" si="115"/>
        <v/>
      </c>
      <c r="AD417" s="219"/>
      <c r="AE417" s="219"/>
      <c r="AF417" s="293" t="str">
        <f>IF(AA417="","",VLOOKUP(AA417,Asta!$B:$H,7,FALSE))</f>
        <v/>
      </c>
      <c r="AG417" s="294" t="str">
        <f t="shared" si="116"/>
        <v/>
      </c>
      <c r="AH417" t="str">
        <f t="shared" si="117"/>
        <v/>
      </c>
      <c r="AI417" s="254" t="str">
        <f t="shared" ca="1" si="121"/>
        <v>398</v>
      </c>
      <c r="AJ417" s="254" t="str">
        <f t="shared" ca="1" si="122"/>
        <v>398</v>
      </c>
      <c r="AK417" s="351"/>
    </row>
    <row r="418" spans="1:37">
      <c r="A418" s="74">
        <v>399</v>
      </c>
      <c r="B418" s="252"/>
      <c r="C418" s="293" t="str">
        <f t="shared" si="107"/>
        <v/>
      </c>
      <c r="D418" s="294" t="str">
        <f t="shared" si="108"/>
        <v/>
      </c>
      <c r="E418" s="287"/>
      <c r="F418" s="293" t="str">
        <f t="shared" si="109"/>
        <v/>
      </c>
      <c r="G418" s="294" t="str">
        <f t="shared" si="110"/>
        <v/>
      </c>
      <c r="H418" s="290"/>
      <c r="I418" s="254" t="str">
        <f t="shared" ca="1" si="118"/>
        <v>1</v>
      </c>
      <c r="J418" s="254" t="str">
        <f t="shared" ca="1" si="119"/>
        <v>1</v>
      </c>
      <c r="K418" s="230" t="str">
        <f>IF(Giocatori!B407=0,"",Giocatori!B407)</f>
        <v>PISACANE</v>
      </c>
      <c r="L418" s="230" t="str">
        <f>IF(Giocatori!A407=0,"",Giocatori!A407)</f>
        <v>D</v>
      </c>
      <c r="M418" s="230" t="str">
        <f>IF(Giocatori!C407=0,"",Giocatori!C407)</f>
        <v>Cagliari</v>
      </c>
      <c r="N418" s="69" t="str">
        <f t="shared" si="111"/>
        <v/>
      </c>
      <c r="O418" t="str">
        <f t="shared" si="112"/>
        <v>PISACANE</v>
      </c>
      <c r="P418" s="7">
        <f t="shared" ca="1" si="120"/>
        <v>418</v>
      </c>
      <c r="Q418" s="7" t="str">
        <f t="shared" ca="1" si="113"/>
        <v>PISACANE</v>
      </c>
      <c r="Z418" s="256"/>
      <c r="AA418" s="219"/>
      <c r="AB418" s="293" t="str">
        <f t="shared" si="114"/>
        <v/>
      </c>
      <c r="AC418" s="294" t="str">
        <f t="shared" si="115"/>
        <v/>
      </c>
      <c r="AD418" s="219"/>
      <c r="AE418" s="219"/>
      <c r="AF418" s="293" t="str">
        <f>IF(AA418="","",VLOOKUP(AA418,Asta!$B:$H,7,FALSE))</f>
        <v/>
      </c>
      <c r="AG418" s="294" t="str">
        <f t="shared" si="116"/>
        <v/>
      </c>
      <c r="AH418" t="str">
        <f t="shared" si="117"/>
        <v/>
      </c>
      <c r="AI418" s="254" t="str">
        <f t="shared" ca="1" si="121"/>
        <v>399</v>
      </c>
      <c r="AJ418" s="254" t="str">
        <f t="shared" ca="1" si="122"/>
        <v>399</v>
      </c>
      <c r="AK418" s="351"/>
    </row>
    <row r="419" spans="1:37">
      <c r="A419" s="74">
        <v>400</v>
      </c>
      <c r="B419" s="252"/>
      <c r="C419" s="293" t="str">
        <f t="shared" si="107"/>
        <v/>
      </c>
      <c r="D419" s="294" t="str">
        <f t="shared" si="108"/>
        <v/>
      </c>
      <c r="E419" s="287"/>
      <c r="F419" s="293" t="str">
        <f t="shared" si="109"/>
        <v/>
      </c>
      <c r="G419" s="294" t="str">
        <f t="shared" si="110"/>
        <v/>
      </c>
      <c r="H419" s="290"/>
      <c r="I419" s="254" t="str">
        <f t="shared" ca="1" si="118"/>
        <v>1</v>
      </c>
      <c r="J419" s="254" t="str">
        <f t="shared" ca="1" si="119"/>
        <v>1</v>
      </c>
      <c r="K419" s="230" t="str">
        <f>IF(Giocatori!B408=0,"",Giocatori!B408)</f>
        <v>PISCITELLI</v>
      </c>
      <c r="L419" s="230" t="str">
        <f>IF(Giocatori!A408=0,"",Giocatori!A408)</f>
        <v>P</v>
      </c>
      <c r="M419" s="230" t="str">
        <f>IF(Giocatori!C408=0,"",Giocatori!C408)</f>
        <v>Benevento</v>
      </c>
      <c r="N419" s="69" t="str">
        <f t="shared" si="111"/>
        <v/>
      </c>
      <c r="O419" t="str">
        <f t="shared" si="112"/>
        <v>PISCITELLI</v>
      </c>
      <c r="P419" s="7">
        <f t="shared" ca="1" si="120"/>
        <v>419</v>
      </c>
      <c r="Q419" s="7" t="str">
        <f t="shared" ca="1" si="113"/>
        <v>PISCITELLI</v>
      </c>
      <c r="Z419" s="256"/>
      <c r="AA419" s="219"/>
      <c r="AB419" s="293" t="str">
        <f t="shared" si="114"/>
        <v/>
      </c>
      <c r="AC419" s="294" t="str">
        <f t="shared" si="115"/>
        <v/>
      </c>
      <c r="AD419" s="219"/>
      <c r="AE419" s="219"/>
      <c r="AF419" s="293" t="str">
        <f>IF(AA419="","",VLOOKUP(AA419,Asta!$B:$H,7,FALSE))</f>
        <v/>
      </c>
      <c r="AG419" s="294" t="str">
        <f t="shared" si="116"/>
        <v/>
      </c>
      <c r="AH419" t="str">
        <f t="shared" si="117"/>
        <v/>
      </c>
      <c r="AI419" s="254" t="str">
        <f t="shared" ca="1" si="121"/>
        <v>400</v>
      </c>
      <c r="AJ419" s="254" t="str">
        <f t="shared" ca="1" si="122"/>
        <v>400</v>
      </c>
      <c r="AK419" s="351"/>
    </row>
    <row r="420" spans="1:37">
      <c r="A420" s="74">
        <v>401</v>
      </c>
      <c r="B420" s="252"/>
      <c r="C420" s="293" t="str">
        <f t="shared" si="107"/>
        <v/>
      </c>
      <c r="D420" s="294" t="str">
        <f t="shared" si="108"/>
        <v/>
      </c>
      <c r="E420" s="287"/>
      <c r="F420" s="293" t="str">
        <f t="shared" si="109"/>
        <v/>
      </c>
      <c r="G420" s="294" t="str">
        <f t="shared" si="110"/>
        <v/>
      </c>
      <c r="H420" s="290"/>
      <c r="I420" s="254" t="str">
        <f t="shared" ca="1" si="118"/>
        <v>1</v>
      </c>
      <c r="J420" s="254" t="str">
        <f t="shared" ca="1" si="119"/>
        <v>1</v>
      </c>
      <c r="K420" s="230" t="str">
        <f>IF(Giocatori!B409=0,"",Giocatori!B409)</f>
        <v>PJACA</v>
      </c>
      <c r="L420" s="230" t="str">
        <f>IF(Giocatori!A409=0,"",Giocatori!A409)</f>
        <v>A</v>
      </c>
      <c r="M420" s="230" t="str">
        <f>IF(Giocatori!C409=0,"",Giocatori!C409)</f>
        <v>Juventus</v>
      </c>
      <c r="N420" s="69" t="str">
        <f t="shared" si="111"/>
        <v/>
      </c>
      <c r="O420" t="str">
        <f t="shared" si="112"/>
        <v>PJACA</v>
      </c>
      <c r="P420" s="7">
        <f t="shared" ca="1" si="120"/>
        <v>420</v>
      </c>
      <c r="Q420" s="7" t="str">
        <f t="shared" ca="1" si="113"/>
        <v>PJACA</v>
      </c>
      <c r="Z420" s="256"/>
      <c r="AA420" s="219"/>
      <c r="AB420" s="293" t="str">
        <f t="shared" si="114"/>
        <v/>
      </c>
      <c r="AC420" s="294" t="str">
        <f t="shared" si="115"/>
        <v/>
      </c>
      <c r="AD420" s="219"/>
      <c r="AE420" s="219"/>
      <c r="AF420" s="293" t="str">
        <f>IF(AA420="","",VLOOKUP(AA420,Asta!$B:$H,7,FALSE))</f>
        <v/>
      </c>
      <c r="AG420" s="294" t="str">
        <f t="shared" si="116"/>
        <v/>
      </c>
      <c r="AH420" t="str">
        <f t="shared" si="117"/>
        <v/>
      </c>
      <c r="AI420" s="254" t="str">
        <f t="shared" ca="1" si="121"/>
        <v>401</v>
      </c>
      <c r="AJ420" s="254" t="str">
        <f t="shared" ca="1" si="122"/>
        <v>401</v>
      </c>
      <c r="AK420" s="351"/>
    </row>
    <row r="421" spans="1:37">
      <c r="A421" s="74">
        <v>402</v>
      </c>
      <c r="B421" s="252"/>
      <c r="C421" s="293" t="str">
        <f t="shared" ref="C421:C484" si="123">IF(B421&lt;&gt;"",VLOOKUP(B421,$K:$M,2,FALSE),"")</f>
        <v/>
      </c>
      <c r="D421" s="294" t="str">
        <f t="shared" ref="D421:D484" si="124">IF(B421&lt;&gt;"",VLOOKUP(B421,$K:$M,3,FALSE),"")</f>
        <v/>
      </c>
      <c r="E421" s="287"/>
      <c r="F421" s="293" t="str">
        <f t="shared" si="109"/>
        <v/>
      </c>
      <c r="G421" s="294" t="str">
        <f t="shared" si="110"/>
        <v/>
      </c>
      <c r="H421" s="290"/>
      <c r="I421" s="254" t="str">
        <f t="shared" ca="1" si="118"/>
        <v>1</v>
      </c>
      <c r="J421" s="254" t="str">
        <f t="shared" ca="1" si="119"/>
        <v>1</v>
      </c>
      <c r="K421" s="230" t="str">
        <f>IF(Giocatori!B410=0,"",Giocatori!B410)</f>
        <v>PJANIC</v>
      </c>
      <c r="L421" s="230" t="str">
        <f>IF(Giocatori!A410=0,"",Giocatori!A410)</f>
        <v>C</v>
      </c>
      <c r="M421" s="230" t="str">
        <f>IF(Giocatori!C410=0,"",Giocatori!C410)</f>
        <v>Juventus</v>
      </c>
      <c r="N421" s="69" t="str">
        <f t="shared" si="111"/>
        <v/>
      </c>
      <c r="O421" t="str">
        <f t="shared" si="112"/>
        <v>PJANIC</v>
      </c>
      <c r="P421" s="7">
        <f t="shared" ca="1" si="120"/>
        <v>421</v>
      </c>
      <c r="Q421" s="7" t="str">
        <f t="shared" ca="1" si="113"/>
        <v>PJANIC</v>
      </c>
      <c r="Z421" s="256"/>
      <c r="AA421" s="219"/>
      <c r="AB421" s="293" t="str">
        <f t="shared" si="114"/>
        <v/>
      </c>
      <c r="AC421" s="294" t="str">
        <f t="shared" si="115"/>
        <v/>
      </c>
      <c r="AD421" s="219"/>
      <c r="AE421" s="219"/>
      <c r="AF421" s="293" t="str">
        <f>IF(AA421="","",VLOOKUP(AA421,Asta!$B:$H,7,FALSE))</f>
        <v/>
      </c>
      <c r="AG421" s="294" t="str">
        <f t="shared" si="116"/>
        <v/>
      </c>
      <c r="AH421" t="str">
        <f t="shared" si="117"/>
        <v/>
      </c>
      <c r="AI421" s="254" t="str">
        <f t="shared" ca="1" si="121"/>
        <v>402</v>
      </c>
      <c r="AJ421" s="254" t="str">
        <f t="shared" ca="1" si="122"/>
        <v>402</v>
      </c>
      <c r="AK421" s="351"/>
    </row>
    <row r="422" spans="1:37">
      <c r="A422" s="74">
        <v>403</v>
      </c>
      <c r="B422" s="252"/>
      <c r="C422" s="293" t="str">
        <f t="shared" si="123"/>
        <v/>
      </c>
      <c r="D422" s="294" t="str">
        <f t="shared" si="124"/>
        <v/>
      </c>
      <c r="E422" s="287"/>
      <c r="F422" s="293" t="str">
        <f t="shared" si="109"/>
        <v/>
      </c>
      <c r="G422" s="294" t="str">
        <f t="shared" si="110"/>
        <v/>
      </c>
      <c r="H422" s="290"/>
      <c r="I422" s="254" t="str">
        <f t="shared" ca="1" si="118"/>
        <v>1</v>
      </c>
      <c r="J422" s="254" t="str">
        <f t="shared" ca="1" si="119"/>
        <v>1</v>
      </c>
      <c r="K422" s="230" t="str">
        <f>IF(Giocatori!B411=0,"",Giocatori!B411)</f>
        <v>POLI</v>
      </c>
      <c r="L422" s="230" t="str">
        <f>IF(Giocatori!A411=0,"",Giocatori!A411)</f>
        <v>C</v>
      </c>
      <c r="M422" s="230" t="str">
        <f>IF(Giocatori!C411=0,"",Giocatori!C411)</f>
        <v>Bologna</v>
      </c>
      <c r="N422" s="69" t="str">
        <f t="shared" si="111"/>
        <v/>
      </c>
      <c r="O422" t="str">
        <f t="shared" si="112"/>
        <v>POLI</v>
      </c>
      <c r="P422" s="7">
        <f t="shared" ca="1" si="120"/>
        <v>422</v>
      </c>
      <c r="Q422" s="7" t="str">
        <f t="shared" ca="1" si="113"/>
        <v>POLI</v>
      </c>
      <c r="Z422" s="256"/>
      <c r="AA422" s="219"/>
      <c r="AB422" s="293" t="str">
        <f t="shared" si="114"/>
        <v/>
      </c>
      <c r="AC422" s="294" t="str">
        <f t="shared" si="115"/>
        <v/>
      </c>
      <c r="AD422" s="219"/>
      <c r="AE422" s="219"/>
      <c r="AF422" s="293" t="str">
        <f>IF(AA422="","",VLOOKUP(AA422,Asta!$B:$H,7,FALSE))</f>
        <v/>
      </c>
      <c r="AG422" s="294" t="str">
        <f t="shared" si="116"/>
        <v/>
      </c>
      <c r="AH422" t="str">
        <f t="shared" si="117"/>
        <v/>
      </c>
      <c r="AI422" s="254" t="str">
        <f t="shared" ca="1" si="121"/>
        <v>403</v>
      </c>
      <c r="AJ422" s="254" t="str">
        <f t="shared" ca="1" si="122"/>
        <v>403</v>
      </c>
      <c r="AK422" s="351"/>
    </row>
    <row r="423" spans="1:37">
      <c r="A423" s="74">
        <v>404</v>
      </c>
      <c r="B423" s="252"/>
      <c r="C423" s="293" t="str">
        <f t="shared" si="123"/>
        <v/>
      </c>
      <c r="D423" s="294" t="str">
        <f t="shared" si="124"/>
        <v/>
      </c>
      <c r="E423" s="287"/>
      <c r="F423" s="293" t="str">
        <f t="shared" si="109"/>
        <v/>
      </c>
      <c r="G423" s="294" t="str">
        <f t="shared" si="110"/>
        <v/>
      </c>
      <c r="H423" s="290"/>
      <c r="I423" s="254" t="str">
        <f t="shared" ca="1" si="118"/>
        <v>1</v>
      </c>
      <c r="J423" s="254" t="str">
        <f t="shared" ca="1" si="119"/>
        <v>1</v>
      </c>
      <c r="K423" s="230" t="str">
        <f>IF(Giocatori!B412=0,"",Giocatori!B412)</f>
        <v>POLITANO</v>
      </c>
      <c r="L423" s="230" t="str">
        <f>IF(Giocatori!A412=0,"",Giocatori!A412)</f>
        <v>A</v>
      </c>
      <c r="M423" s="230" t="str">
        <f>IF(Giocatori!C412=0,"",Giocatori!C412)</f>
        <v>Sassuolo</v>
      </c>
      <c r="N423" s="69" t="str">
        <f t="shared" si="111"/>
        <v/>
      </c>
      <c r="O423" t="str">
        <f t="shared" si="112"/>
        <v>POLITANO</v>
      </c>
      <c r="P423" s="7">
        <f t="shared" ca="1" si="120"/>
        <v>423</v>
      </c>
      <c r="Q423" s="7" t="str">
        <f t="shared" ca="1" si="113"/>
        <v>POLITANO</v>
      </c>
      <c r="Z423" s="256"/>
      <c r="AA423" s="219"/>
      <c r="AB423" s="293" t="str">
        <f t="shared" si="114"/>
        <v/>
      </c>
      <c r="AC423" s="294" t="str">
        <f t="shared" si="115"/>
        <v/>
      </c>
      <c r="AD423" s="219"/>
      <c r="AE423" s="219"/>
      <c r="AF423" s="293" t="str">
        <f>IF(AA423="","",VLOOKUP(AA423,Asta!$B:$H,7,FALSE))</f>
        <v/>
      </c>
      <c r="AG423" s="294" t="str">
        <f t="shared" si="116"/>
        <v/>
      </c>
      <c r="AH423" t="str">
        <f t="shared" si="117"/>
        <v/>
      </c>
      <c r="AI423" s="254" t="str">
        <f t="shared" ca="1" si="121"/>
        <v>404</v>
      </c>
      <c r="AJ423" s="254" t="str">
        <f t="shared" ca="1" si="122"/>
        <v>404</v>
      </c>
      <c r="AK423" s="351"/>
    </row>
    <row r="424" spans="1:37">
      <c r="A424" s="74">
        <v>405</v>
      </c>
      <c r="B424" s="252"/>
      <c r="C424" s="293" t="str">
        <f t="shared" si="123"/>
        <v/>
      </c>
      <c r="D424" s="294" t="str">
        <f t="shared" si="124"/>
        <v/>
      </c>
      <c r="E424" s="287"/>
      <c r="F424" s="293" t="str">
        <f t="shared" si="109"/>
        <v/>
      </c>
      <c r="G424" s="294" t="str">
        <f t="shared" si="110"/>
        <v/>
      </c>
      <c r="H424" s="290"/>
      <c r="I424" s="254" t="str">
        <f t="shared" ca="1" si="118"/>
        <v>1</v>
      </c>
      <c r="J424" s="254" t="str">
        <f t="shared" ca="1" si="119"/>
        <v>1</v>
      </c>
      <c r="K424" s="230" t="str">
        <f>IF(Giocatori!B413=0,"",Giocatori!B413)</f>
        <v>POLUZZI</v>
      </c>
      <c r="L424" s="230" t="str">
        <f>IF(Giocatori!A413=0,"",Giocatori!A413)</f>
        <v>P</v>
      </c>
      <c r="M424" s="230" t="str">
        <f>IF(Giocatori!C413=0,"",Giocatori!C413)</f>
        <v>SPAL</v>
      </c>
      <c r="N424" s="69" t="str">
        <f t="shared" si="111"/>
        <v/>
      </c>
      <c r="O424" t="str">
        <f t="shared" si="112"/>
        <v>POLUZZI</v>
      </c>
      <c r="P424" s="7">
        <f t="shared" ca="1" si="120"/>
        <v>424</v>
      </c>
      <c r="Q424" s="7" t="str">
        <f t="shared" ca="1" si="113"/>
        <v>POLUZZI</v>
      </c>
      <c r="Z424" s="256"/>
      <c r="AA424" s="219"/>
      <c r="AB424" s="293" t="str">
        <f t="shared" si="114"/>
        <v/>
      </c>
      <c r="AC424" s="294" t="str">
        <f t="shared" si="115"/>
        <v/>
      </c>
      <c r="AD424" s="219"/>
      <c r="AE424" s="219"/>
      <c r="AF424" s="293" t="str">
        <f>IF(AA424="","",VLOOKUP(AA424,Asta!$B:$H,7,FALSE))</f>
        <v/>
      </c>
      <c r="AG424" s="294" t="str">
        <f t="shared" si="116"/>
        <v/>
      </c>
      <c r="AH424" t="str">
        <f t="shared" si="117"/>
        <v/>
      </c>
      <c r="AI424" s="254" t="str">
        <f t="shared" ca="1" si="121"/>
        <v>405</v>
      </c>
      <c r="AJ424" s="254" t="str">
        <f t="shared" ca="1" si="122"/>
        <v>405</v>
      </c>
      <c r="AK424" s="351"/>
    </row>
    <row r="425" spans="1:37">
      <c r="A425" s="74">
        <v>406</v>
      </c>
      <c r="B425" s="252"/>
      <c r="C425" s="293" t="str">
        <f t="shared" si="123"/>
        <v/>
      </c>
      <c r="D425" s="294" t="str">
        <f t="shared" si="124"/>
        <v/>
      </c>
      <c r="E425" s="287"/>
      <c r="F425" s="293" t="str">
        <f t="shared" si="109"/>
        <v/>
      </c>
      <c r="G425" s="294" t="str">
        <f t="shared" si="110"/>
        <v/>
      </c>
      <c r="H425" s="290"/>
      <c r="I425" s="254" t="str">
        <f t="shared" ca="1" si="118"/>
        <v>1</v>
      </c>
      <c r="J425" s="254" t="str">
        <f t="shared" ca="1" si="119"/>
        <v>1</v>
      </c>
      <c r="K425" s="230" t="str">
        <f>IF(Giocatori!B414=0,"",Giocatori!B414)</f>
        <v>PRAET</v>
      </c>
      <c r="L425" s="230" t="str">
        <f>IF(Giocatori!A414=0,"",Giocatori!A414)</f>
        <v>C</v>
      </c>
      <c r="M425" s="230" t="str">
        <f>IF(Giocatori!C414=0,"",Giocatori!C414)</f>
        <v>Sampdoria</v>
      </c>
      <c r="N425" s="69" t="str">
        <f t="shared" si="111"/>
        <v/>
      </c>
      <c r="O425" t="str">
        <f t="shared" si="112"/>
        <v>PRAET</v>
      </c>
      <c r="P425" s="7">
        <f t="shared" ca="1" si="120"/>
        <v>425</v>
      </c>
      <c r="Q425" s="7" t="str">
        <f t="shared" ca="1" si="113"/>
        <v>PRAET</v>
      </c>
      <c r="Z425" s="256"/>
      <c r="AA425" s="219"/>
      <c r="AB425" s="293" t="str">
        <f t="shared" si="114"/>
        <v/>
      </c>
      <c r="AC425" s="294" t="str">
        <f t="shared" si="115"/>
        <v/>
      </c>
      <c r="AD425" s="219"/>
      <c r="AE425" s="219"/>
      <c r="AF425" s="293" t="str">
        <f>IF(AA425="","",VLOOKUP(AA425,Asta!$B:$H,7,FALSE))</f>
        <v/>
      </c>
      <c r="AG425" s="294" t="str">
        <f t="shared" si="116"/>
        <v/>
      </c>
      <c r="AH425" t="str">
        <f t="shared" si="117"/>
        <v/>
      </c>
      <c r="AI425" s="254" t="str">
        <f t="shared" ca="1" si="121"/>
        <v>406</v>
      </c>
      <c r="AJ425" s="254" t="str">
        <f t="shared" ca="1" si="122"/>
        <v>406</v>
      </c>
      <c r="AK425" s="351"/>
    </row>
    <row r="426" spans="1:37">
      <c r="A426" s="74">
        <v>407</v>
      </c>
      <c r="B426" s="252"/>
      <c r="C426" s="293" t="str">
        <f t="shared" si="123"/>
        <v/>
      </c>
      <c r="D426" s="294" t="str">
        <f t="shared" si="124"/>
        <v/>
      </c>
      <c r="E426" s="287"/>
      <c r="F426" s="293" t="str">
        <f t="shared" si="109"/>
        <v/>
      </c>
      <c r="G426" s="294" t="str">
        <f t="shared" si="110"/>
        <v/>
      </c>
      <c r="H426" s="290"/>
      <c r="I426" s="254" t="str">
        <f t="shared" ca="1" si="118"/>
        <v>1</v>
      </c>
      <c r="J426" s="254" t="str">
        <f t="shared" ca="1" si="119"/>
        <v>1</v>
      </c>
      <c r="K426" s="230" t="str">
        <f>IF(Giocatori!B415=0,"",Giocatori!B415)</f>
        <v>PUCCIARELLI</v>
      </c>
      <c r="L426" s="230" t="str">
        <f>IF(Giocatori!A415=0,"",Giocatori!A415)</f>
        <v>A</v>
      </c>
      <c r="M426" s="230" t="str">
        <f>IF(Giocatori!C415=0,"",Giocatori!C415)</f>
        <v>Chievo</v>
      </c>
      <c r="N426" s="69" t="str">
        <f t="shared" si="111"/>
        <v/>
      </c>
      <c r="O426" t="str">
        <f t="shared" si="112"/>
        <v>PUCCIARELLI</v>
      </c>
      <c r="P426" s="7">
        <f t="shared" ca="1" si="120"/>
        <v>426</v>
      </c>
      <c r="Q426" s="7" t="str">
        <f t="shared" ca="1" si="113"/>
        <v>PUCCIARELLI</v>
      </c>
      <c r="Z426" s="256"/>
      <c r="AA426" s="219"/>
      <c r="AB426" s="293" t="str">
        <f t="shared" si="114"/>
        <v/>
      </c>
      <c r="AC426" s="294" t="str">
        <f t="shared" si="115"/>
        <v/>
      </c>
      <c r="AD426" s="219"/>
      <c r="AE426" s="219"/>
      <c r="AF426" s="293" t="str">
        <f>IF(AA426="","",VLOOKUP(AA426,Asta!$B:$H,7,FALSE))</f>
        <v/>
      </c>
      <c r="AG426" s="294" t="str">
        <f t="shared" si="116"/>
        <v/>
      </c>
      <c r="AH426" t="str">
        <f t="shared" si="117"/>
        <v/>
      </c>
      <c r="AI426" s="254" t="str">
        <f t="shared" ca="1" si="121"/>
        <v>407</v>
      </c>
      <c r="AJ426" s="254" t="str">
        <f t="shared" ca="1" si="122"/>
        <v>407</v>
      </c>
      <c r="AK426" s="351"/>
    </row>
    <row r="427" spans="1:37">
      <c r="A427" s="74">
        <v>408</v>
      </c>
      <c r="B427" s="252"/>
      <c r="C427" s="293" t="str">
        <f t="shared" si="123"/>
        <v/>
      </c>
      <c r="D427" s="294" t="str">
        <f t="shared" si="124"/>
        <v/>
      </c>
      <c r="E427" s="287"/>
      <c r="F427" s="293" t="str">
        <f t="shared" si="109"/>
        <v/>
      </c>
      <c r="G427" s="294" t="str">
        <f t="shared" si="110"/>
        <v/>
      </c>
      <c r="H427" s="290"/>
      <c r="I427" s="254" t="str">
        <f t="shared" ca="1" si="118"/>
        <v>1</v>
      </c>
      <c r="J427" s="254" t="str">
        <f t="shared" ca="1" si="119"/>
        <v>1</v>
      </c>
      <c r="K427" s="230" t="str">
        <f>IF(Giocatori!B416=0,"",Giocatori!B416)</f>
        <v>PUGGIONI</v>
      </c>
      <c r="L427" s="230" t="str">
        <f>IF(Giocatori!A416=0,"",Giocatori!A416)</f>
        <v>P</v>
      </c>
      <c r="M427" s="230" t="str">
        <f>IF(Giocatori!C416=0,"",Giocatori!C416)</f>
        <v>Sampdoria</v>
      </c>
      <c r="N427" s="69" t="str">
        <f t="shared" si="111"/>
        <v/>
      </c>
      <c r="O427" t="str">
        <f t="shared" si="112"/>
        <v>PUGGIONI</v>
      </c>
      <c r="P427" s="7">
        <f t="shared" ca="1" si="120"/>
        <v>427</v>
      </c>
      <c r="Q427" s="7" t="str">
        <f t="shared" ca="1" si="113"/>
        <v>PUGGIONI</v>
      </c>
      <c r="Z427" s="256"/>
      <c r="AA427" s="219"/>
      <c r="AB427" s="293" t="str">
        <f t="shared" si="114"/>
        <v/>
      </c>
      <c r="AC427" s="294" t="str">
        <f t="shared" si="115"/>
        <v/>
      </c>
      <c r="AD427" s="219"/>
      <c r="AE427" s="219"/>
      <c r="AF427" s="293" t="str">
        <f>IF(AA427="","",VLOOKUP(AA427,Asta!$B:$H,7,FALSE))</f>
        <v/>
      </c>
      <c r="AG427" s="294" t="str">
        <f t="shared" si="116"/>
        <v/>
      </c>
      <c r="AH427" t="str">
        <f t="shared" si="117"/>
        <v/>
      </c>
      <c r="AI427" s="254" t="str">
        <f t="shared" ca="1" si="121"/>
        <v>408</v>
      </c>
      <c r="AJ427" s="254" t="str">
        <f t="shared" ca="1" si="122"/>
        <v>408</v>
      </c>
      <c r="AK427" s="351"/>
    </row>
    <row r="428" spans="1:37">
      <c r="A428" s="74">
        <v>409</v>
      </c>
      <c r="B428" s="252"/>
      <c r="C428" s="295" t="str">
        <f t="shared" si="123"/>
        <v/>
      </c>
      <c r="D428" s="296" t="str">
        <f t="shared" si="124"/>
        <v/>
      </c>
      <c r="E428" s="287"/>
      <c r="F428" s="295" t="str">
        <f t="shared" si="109"/>
        <v/>
      </c>
      <c r="G428" s="296" t="str">
        <f t="shared" si="110"/>
        <v/>
      </c>
      <c r="H428" s="290"/>
      <c r="I428" s="254" t="str">
        <f t="shared" ca="1" si="118"/>
        <v>1</v>
      </c>
      <c r="J428" s="254" t="str">
        <f t="shared" ca="1" si="119"/>
        <v>1</v>
      </c>
      <c r="K428" s="230" t="str">
        <f>IF(Giocatori!B417=0,"",Giocatori!B417)</f>
        <v>PULGAR</v>
      </c>
      <c r="L428" s="230" t="str">
        <f>IF(Giocatori!A417=0,"",Giocatori!A417)</f>
        <v>C</v>
      </c>
      <c r="M428" s="230" t="str">
        <f>IF(Giocatori!C417=0,"",Giocatori!C417)</f>
        <v>Bologna</v>
      </c>
      <c r="N428" s="69" t="str">
        <f t="shared" si="111"/>
        <v/>
      </c>
      <c r="O428" t="str">
        <f t="shared" si="112"/>
        <v>PULGAR</v>
      </c>
      <c r="P428" s="7">
        <f t="shared" ca="1" si="120"/>
        <v>428</v>
      </c>
      <c r="Q428" s="7" t="str">
        <f t="shared" ca="1" si="113"/>
        <v>PULGAR</v>
      </c>
      <c r="Z428" s="256"/>
      <c r="AA428" s="219"/>
      <c r="AB428" s="295" t="str">
        <f t="shared" si="114"/>
        <v/>
      </c>
      <c r="AC428" s="296" t="str">
        <f t="shared" si="115"/>
        <v/>
      </c>
      <c r="AD428" s="219"/>
      <c r="AE428" s="219"/>
      <c r="AF428" s="295" t="str">
        <f>IF(AA428="","",VLOOKUP(AA428,Asta!$B:$H,7,FALSE))</f>
        <v/>
      </c>
      <c r="AG428" s="296" t="str">
        <f t="shared" si="116"/>
        <v/>
      </c>
      <c r="AH428" t="str">
        <f t="shared" si="117"/>
        <v/>
      </c>
      <c r="AI428" s="254" t="str">
        <f t="shared" ca="1" si="121"/>
        <v>409</v>
      </c>
      <c r="AJ428" s="254" t="str">
        <f t="shared" ca="1" si="122"/>
        <v>409</v>
      </c>
      <c r="AK428" s="351"/>
    </row>
    <row r="429" spans="1:37">
      <c r="A429" s="74">
        <v>410</v>
      </c>
      <c r="B429" s="252"/>
      <c r="C429" s="295" t="str">
        <f t="shared" si="123"/>
        <v/>
      </c>
      <c r="D429" s="296" t="str">
        <f t="shared" si="124"/>
        <v/>
      </c>
      <c r="E429" s="287"/>
      <c r="F429" s="295" t="str">
        <f t="shared" si="109"/>
        <v/>
      </c>
      <c r="G429" s="296" t="str">
        <f t="shared" si="110"/>
        <v/>
      </c>
      <c r="H429" s="290"/>
      <c r="I429" s="254" t="str">
        <f t="shared" ca="1" si="118"/>
        <v>1</v>
      </c>
      <c r="J429" s="254" t="str">
        <f t="shared" ca="1" si="119"/>
        <v>1</v>
      </c>
      <c r="K429" s="230" t="str">
        <f>IF(Giocatori!B418=0,"",Giocatori!B418)</f>
        <v>PUSCAS</v>
      </c>
      <c r="L429" s="230" t="str">
        <f>IF(Giocatori!A418=0,"",Giocatori!A418)</f>
        <v>A</v>
      </c>
      <c r="M429" s="230" t="str">
        <f>IF(Giocatori!C418=0,"",Giocatori!C418)</f>
        <v>Benevento</v>
      </c>
      <c r="N429" s="69" t="str">
        <f t="shared" si="111"/>
        <v/>
      </c>
      <c r="O429" t="str">
        <f t="shared" si="112"/>
        <v>PUSCAS</v>
      </c>
      <c r="P429" s="7">
        <f t="shared" ca="1" si="120"/>
        <v>429</v>
      </c>
      <c r="Q429" s="7" t="str">
        <f t="shared" ca="1" si="113"/>
        <v>PUSCAS</v>
      </c>
      <c r="Z429" s="256"/>
      <c r="AA429" s="219"/>
      <c r="AB429" s="295" t="str">
        <f t="shared" si="114"/>
        <v/>
      </c>
      <c r="AC429" s="296" t="str">
        <f t="shared" si="115"/>
        <v/>
      </c>
      <c r="AD429" s="219"/>
      <c r="AE429" s="219"/>
      <c r="AF429" s="295" t="str">
        <f>IF(AA429="","",VLOOKUP(AA429,Asta!$B:$H,7,FALSE))</f>
        <v/>
      </c>
      <c r="AG429" s="296" t="str">
        <f t="shared" si="116"/>
        <v/>
      </c>
      <c r="AH429" t="str">
        <f t="shared" si="117"/>
        <v/>
      </c>
      <c r="AI429" s="254" t="str">
        <f t="shared" ca="1" si="121"/>
        <v>410</v>
      </c>
      <c r="AJ429" s="254" t="str">
        <f t="shared" ca="1" si="122"/>
        <v>410</v>
      </c>
      <c r="AK429" s="351"/>
    </row>
    <row r="430" spans="1:37">
      <c r="A430" s="74">
        <v>411</v>
      </c>
      <c r="B430" s="252"/>
      <c r="C430" s="293" t="str">
        <f t="shared" si="123"/>
        <v/>
      </c>
      <c r="D430" s="294" t="str">
        <f t="shared" si="124"/>
        <v/>
      </c>
      <c r="E430" s="287"/>
      <c r="F430" s="293" t="str">
        <f t="shared" si="109"/>
        <v/>
      </c>
      <c r="G430" s="294" t="str">
        <f t="shared" si="110"/>
        <v/>
      </c>
      <c r="H430" s="290"/>
      <c r="I430" s="254" t="str">
        <f t="shared" ca="1" si="118"/>
        <v>1</v>
      </c>
      <c r="J430" s="254" t="str">
        <f t="shared" ca="1" si="119"/>
        <v>1</v>
      </c>
      <c r="K430" s="230" t="str">
        <f>IF(Giocatori!B419=0,"",Giocatori!B419)</f>
        <v>QUAGLIARELLA</v>
      </c>
      <c r="L430" s="230" t="str">
        <f>IF(Giocatori!A419=0,"",Giocatori!A419)</f>
        <v>A</v>
      </c>
      <c r="M430" s="230" t="str">
        <f>IF(Giocatori!C419=0,"",Giocatori!C419)</f>
        <v>Sampdoria</v>
      </c>
      <c r="N430" s="69" t="str">
        <f t="shared" si="111"/>
        <v/>
      </c>
      <c r="O430" t="str">
        <f t="shared" si="112"/>
        <v>QUAGLIARELLA</v>
      </c>
      <c r="P430" s="7">
        <f t="shared" ca="1" si="120"/>
        <v>430</v>
      </c>
      <c r="Q430" s="7" t="str">
        <f t="shared" ca="1" si="113"/>
        <v>QUAGLIARELLA</v>
      </c>
      <c r="Z430" s="256"/>
      <c r="AA430" s="219"/>
      <c r="AB430" s="293" t="str">
        <f t="shared" si="114"/>
        <v/>
      </c>
      <c r="AC430" s="294" t="str">
        <f t="shared" si="115"/>
        <v/>
      </c>
      <c r="AD430" s="219"/>
      <c r="AE430" s="219"/>
      <c r="AF430" s="293" t="str">
        <f>IF(AA430="","",VLOOKUP(AA430,Asta!$B:$H,7,FALSE))</f>
        <v/>
      </c>
      <c r="AG430" s="294" t="str">
        <f t="shared" si="116"/>
        <v/>
      </c>
      <c r="AH430" t="str">
        <f t="shared" si="117"/>
        <v/>
      </c>
      <c r="AI430" s="254" t="str">
        <f t="shared" ca="1" si="121"/>
        <v>411</v>
      </c>
      <c r="AJ430" s="254" t="str">
        <f t="shared" ca="1" si="122"/>
        <v>411</v>
      </c>
      <c r="AK430" s="351"/>
    </row>
    <row r="431" spans="1:37">
      <c r="A431" s="74">
        <v>412</v>
      </c>
      <c r="B431" s="252"/>
      <c r="C431" s="293" t="str">
        <f t="shared" si="123"/>
        <v/>
      </c>
      <c r="D431" s="294" t="str">
        <f t="shared" si="124"/>
        <v/>
      </c>
      <c r="E431" s="287"/>
      <c r="F431" s="293" t="str">
        <f t="shared" si="109"/>
        <v/>
      </c>
      <c r="G431" s="294" t="str">
        <f t="shared" si="110"/>
        <v/>
      </c>
      <c r="H431" s="290"/>
      <c r="I431" s="254" t="str">
        <f t="shared" ca="1" si="118"/>
        <v>1</v>
      </c>
      <c r="J431" s="254" t="str">
        <f t="shared" ca="1" si="119"/>
        <v>1</v>
      </c>
      <c r="K431" s="230" t="str">
        <f>IF(Giocatori!B420=0,"",Giocatori!B420)</f>
        <v>RADOVANOVIC</v>
      </c>
      <c r="L431" s="230" t="str">
        <f>IF(Giocatori!A420=0,"",Giocatori!A420)</f>
        <v>C</v>
      </c>
      <c r="M431" s="230" t="str">
        <f>IF(Giocatori!C420=0,"",Giocatori!C420)</f>
        <v>Chievo</v>
      </c>
      <c r="N431" s="69" t="str">
        <f t="shared" si="111"/>
        <v/>
      </c>
      <c r="O431" t="str">
        <f t="shared" si="112"/>
        <v>RADOVANOVIC</v>
      </c>
      <c r="P431" s="7">
        <f t="shared" ca="1" si="120"/>
        <v>431</v>
      </c>
      <c r="Q431" s="7" t="str">
        <f t="shared" ca="1" si="113"/>
        <v>RADOVANOVIC</v>
      </c>
      <c r="Z431" s="256"/>
      <c r="AA431" s="219"/>
      <c r="AB431" s="293" t="str">
        <f t="shared" si="114"/>
        <v/>
      </c>
      <c r="AC431" s="294" t="str">
        <f t="shared" si="115"/>
        <v/>
      </c>
      <c r="AD431" s="219"/>
      <c r="AE431" s="219"/>
      <c r="AF431" s="293" t="str">
        <f>IF(AA431="","",VLOOKUP(AA431,Asta!$B:$H,7,FALSE))</f>
        <v/>
      </c>
      <c r="AG431" s="294" t="str">
        <f t="shared" si="116"/>
        <v/>
      </c>
      <c r="AH431" t="str">
        <f t="shared" si="117"/>
        <v/>
      </c>
      <c r="AI431" s="254" t="str">
        <f t="shared" ca="1" si="121"/>
        <v>412</v>
      </c>
      <c r="AJ431" s="254" t="str">
        <f t="shared" ca="1" si="122"/>
        <v>412</v>
      </c>
      <c r="AK431" s="351"/>
    </row>
    <row r="432" spans="1:37">
      <c r="A432" s="74">
        <v>413</v>
      </c>
      <c r="B432" s="252"/>
      <c r="C432" s="293" t="str">
        <f t="shared" si="123"/>
        <v/>
      </c>
      <c r="D432" s="294" t="str">
        <f t="shared" si="124"/>
        <v/>
      </c>
      <c r="E432" s="287"/>
      <c r="F432" s="293" t="str">
        <f t="shared" si="109"/>
        <v/>
      </c>
      <c r="G432" s="294" t="str">
        <f t="shared" si="110"/>
        <v/>
      </c>
      <c r="H432" s="290"/>
      <c r="I432" s="254" t="str">
        <f t="shared" ca="1" si="118"/>
        <v>1</v>
      </c>
      <c r="J432" s="254" t="str">
        <f t="shared" ca="1" si="119"/>
        <v>1</v>
      </c>
      <c r="K432" s="230" t="str">
        <f>IF(Giocatori!B421=0,"",Giocatori!B421)</f>
        <v>RADU</v>
      </c>
      <c r="L432" s="230" t="str">
        <f>IF(Giocatori!A421=0,"",Giocatori!A421)</f>
        <v>D</v>
      </c>
      <c r="M432" s="230" t="str">
        <f>IF(Giocatori!C421=0,"",Giocatori!C421)</f>
        <v>Lazio</v>
      </c>
      <c r="N432" s="69" t="str">
        <f t="shared" si="111"/>
        <v/>
      </c>
      <c r="O432" t="str">
        <f t="shared" si="112"/>
        <v>RADU</v>
      </c>
      <c r="P432" s="7">
        <f t="shared" ca="1" si="120"/>
        <v>432</v>
      </c>
      <c r="Q432" s="7" t="str">
        <f t="shared" ca="1" si="113"/>
        <v>RADU</v>
      </c>
      <c r="Z432" s="256"/>
      <c r="AA432" s="219"/>
      <c r="AB432" s="293" t="str">
        <f t="shared" si="114"/>
        <v/>
      </c>
      <c r="AC432" s="294" t="str">
        <f t="shared" si="115"/>
        <v/>
      </c>
      <c r="AD432" s="219"/>
      <c r="AE432" s="219"/>
      <c r="AF432" s="293" t="str">
        <f>IF(AA432="","",VLOOKUP(AA432,Asta!$B:$H,7,FALSE))</f>
        <v/>
      </c>
      <c r="AG432" s="294" t="str">
        <f t="shared" si="116"/>
        <v/>
      </c>
      <c r="AH432" t="str">
        <f t="shared" si="117"/>
        <v/>
      </c>
      <c r="AI432" s="254" t="str">
        <f t="shared" ca="1" si="121"/>
        <v>413</v>
      </c>
      <c r="AJ432" s="254" t="str">
        <f t="shared" ca="1" si="122"/>
        <v>413</v>
      </c>
      <c r="AK432" s="351"/>
    </row>
    <row r="433" spans="1:37">
      <c r="A433" s="74">
        <v>414</v>
      </c>
      <c r="B433" s="252"/>
      <c r="C433" s="293" t="str">
        <f t="shared" si="123"/>
        <v/>
      </c>
      <c r="D433" s="294" t="str">
        <f t="shared" si="124"/>
        <v/>
      </c>
      <c r="E433" s="287"/>
      <c r="F433" s="293" t="str">
        <f t="shared" si="109"/>
        <v/>
      </c>
      <c r="G433" s="294" t="str">
        <f t="shared" si="110"/>
        <v/>
      </c>
      <c r="H433" s="290"/>
      <c r="I433" s="254" t="str">
        <f t="shared" ca="1" si="118"/>
        <v>1</v>
      </c>
      <c r="J433" s="254" t="str">
        <f t="shared" ca="1" si="119"/>
        <v>1</v>
      </c>
      <c r="K433" s="230" t="str">
        <f>IF(Giocatori!B422=0,"",Giocatori!B422)</f>
        <v>RAFAEL</v>
      </c>
      <c r="L433" s="230" t="str">
        <f>IF(Giocatori!A422=0,"",Giocatori!A422)</f>
        <v>P</v>
      </c>
      <c r="M433" s="230" t="str">
        <f>IF(Giocatori!C422=0,"",Giocatori!C422)</f>
        <v>Cagliari</v>
      </c>
      <c r="N433" s="69" t="str">
        <f t="shared" si="111"/>
        <v/>
      </c>
      <c r="O433" t="str">
        <f t="shared" si="112"/>
        <v>RAFAEL</v>
      </c>
      <c r="P433" s="7">
        <f t="shared" ca="1" si="120"/>
        <v>433</v>
      </c>
      <c r="Q433" s="7" t="str">
        <f t="shared" ca="1" si="113"/>
        <v>RAFAEL</v>
      </c>
      <c r="Z433" s="256"/>
      <c r="AA433" s="219"/>
      <c r="AB433" s="293" t="str">
        <f t="shared" si="114"/>
        <v/>
      </c>
      <c r="AC433" s="294" t="str">
        <f t="shared" si="115"/>
        <v/>
      </c>
      <c r="AD433" s="219"/>
      <c r="AE433" s="219"/>
      <c r="AF433" s="293" t="str">
        <f>IF(AA433="","",VLOOKUP(AA433,Asta!$B:$H,7,FALSE))</f>
        <v/>
      </c>
      <c r="AG433" s="294" t="str">
        <f t="shared" si="116"/>
        <v/>
      </c>
      <c r="AH433" t="str">
        <f t="shared" si="117"/>
        <v/>
      </c>
      <c r="AI433" s="254" t="str">
        <f t="shared" ca="1" si="121"/>
        <v>414</v>
      </c>
      <c r="AJ433" s="254" t="str">
        <f t="shared" ca="1" si="122"/>
        <v>414</v>
      </c>
      <c r="AK433" s="351"/>
    </row>
    <row r="434" spans="1:37">
      <c r="A434" s="74">
        <v>415</v>
      </c>
      <c r="B434" s="252"/>
      <c r="C434" s="293" t="str">
        <f t="shared" si="123"/>
        <v/>
      </c>
      <c r="D434" s="294" t="str">
        <f t="shared" si="124"/>
        <v/>
      </c>
      <c r="E434" s="287"/>
      <c r="F434" s="293" t="str">
        <f t="shared" si="109"/>
        <v/>
      </c>
      <c r="G434" s="294" t="str">
        <f t="shared" si="110"/>
        <v/>
      </c>
      <c r="H434" s="290"/>
      <c r="I434" s="254" t="str">
        <f t="shared" ca="1" si="118"/>
        <v>1</v>
      </c>
      <c r="J434" s="254" t="str">
        <f t="shared" ca="1" si="119"/>
        <v>1</v>
      </c>
      <c r="K434" s="230" t="str">
        <f>IF(Giocatori!B423=0,"",Giocatori!B423)</f>
        <v>RAFAEL CABRAL</v>
      </c>
      <c r="L434" s="230" t="str">
        <f>IF(Giocatori!A423=0,"",Giocatori!A423)</f>
        <v>P</v>
      </c>
      <c r="M434" s="230" t="str">
        <f>IF(Giocatori!C423=0,"",Giocatori!C423)</f>
        <v>Napoli</v>
      </c>
      <c r="N434" s="69" t="str">
        <f t="shared" si="111"/>
        <v/>
      </c>
      <c r="O434" t="str">
        <f t="shared" si="112"/>
        <v>RAFAEL CABRAL</v>
      </c>
      <c r="P434" s="7">
        <f t="shared" ca="1" si="120"/>
        <v>434</v>
      </c>
      <c r="Q434" s="7" t="str">
        <f t="shared" ca="1" si="113"/>
        <v>RAFAEL CABRAL</v>
      </c>
      <c r="Z434" s="256"/>
      <c r="AA434" s="219"/>
      <c r="AB434" s="293" t="str">
        <f t="shared" si="114"/>
        <v/>
      </c>
      <c r="AC434" s="294" t="str">
        <f t="shared" si="115"/>
        <v/>
      </c>
      <c r="AD434" s="219"/>
      <c r="AE434" s="219"/>
      <c r="AF434" s="293" t="str">
        <f>IF(AA434="","",VLOOKUP(AA434,Asta!$B:$H,7,FALSE))</f>
        <v/>
      </c>
      <c r="AG434" s="294" t="str">
        <f t="shared" si="116"/>
        <v/>
      </c>
      <c r="AH434" t="str">
        <f t="shared" si="117"/>
        <v/>
      </c>
      <c r="AI434" s="254" t="str">
        <f t="shared" ca="1" si="121"/>
        <v>415</v>
      </c>
      <c r="AJ434" s="254" t="str">
        <f t="shared" ca="1" si="122"/>
        <v>415</v>
      </c>
      <c r="AK434" s="351"/>
    </row>
    <row r="435" spans="1:37">
      <c r="A435" s="74">
        <v>416</v>
      </c>
      <c r="B435" s="252"/>
      <c r="C435" s="293" t="str">
        <f t="shared" si="123"/>
        <v/>
      </c>
      <c r="D435" s="294" t="str">
        <f t="shared" si="124"/>
        <v/>
      </c>
      <c r="E435" s="287"/>
      <c r="F435" s="293" t="str">
        <f t="shared" si="109"/>
        <v/>
      </c>
      <c r="G435" s="294" t="str">
        <f t="shared" si="110"/>
        <v/>
      </c>
      <c r="H435" s="290"/>
      <c r="I435" s="254" t="str">
        <f t="shared" ca="1" si="118"/>
        <v>1</v>
      </c>
      <c r="J435" s="254" t="str">
        <f t="shared" ca="1" si="119"/>
        <v>1</v>
      </c>
      <c r="K435" s="230" t="str">
        <f>IF(Giocatori!B424=0,"",Giocatori!B424)</f>
        <v>RAGUSA</v>
      </c>
      <c r="L435" s="230" t="str">
        <f>IF(Giocatori!A424=0,"",Giocatori!A424)</f>
        <v>A</v>
      </c>
      <c r="M435" s="230" t="str">
        <f>IF(Giocatori!C424=0,"",Giocatori!C424)</f>
        <v>Sassuolo</v>
      </c>
      <c r="N435" s="69" t="str">
        <f t="shared" si="111"/>
        <v/>
      </c>
      <c r="O435" t="str">
        <f t="shared" si="112"/>
        <v>RAGUSA</v>
      </c>
      <c r="P435" s="7">
        <f t="shared" ca="1" si="120"/>
        <v>435</v>
      </c>
      <c r="Q435" s="7" t="str">
        <f t="shared" ca="1" si="113"/>
        <v>RAGUSA</v>
      </c>
      <c r="Z435" s="256"/>
      <c r="AA435" s="219"/>
      <c r="AB435" s="293" t="str">
        <f t="shared" si="114"/>
        <v/>
      </c>
      <c r="AC435" s="294" t="str">
        <f t="shared" si="115"/>
        <v/>
      </c>
      <c r="AD435" s="219"/>
      <c r="AE435" s="219"/>
      <c r="AF435" s="293" t="str">
        <f>IF(AA435="","",VLOOKUP(AA435,Asta!$B:$H,7,FALSE))</f>
        <v/>
      </c>
      <c r="AG435" s="294" t="str">
        <f t="shared" si="116"/>
        <v/>
      </c>
      <c r="AH435" t="str">
        <f t="shared" si="117"/>
        <v/>
      </c>
      <c r="AI435" s="254" t="str">
        <f t="shared" ca="1" si="121"/>
        <v>416</v>
      </c>
      <c r="AJ435" s="254" t="str">
        <f t="shared" ca="1" si="122"/>
        <v>416</v>
      </c>
      <c r="AK435" s="351"/>
    </row>
    <row r="436" spans="1:37">
      <c r="A436" s="74">
        <v>417</v>
      </c>
      <c r="B436" s="252"/>
      <c r="C436" s="293" t="str">
        <f t="shared" si="123"/>
        <v/>
      </c>
      <c r="D436" s="294" t="str">
        <f t="shared" si="124"/>
        <v/>
      </c>
      <c r="E436" s="287"/>
      <c r="F436" s="293" t="str">
        <f t="shared" si="109"/>
        <v/>
      </c>
      <c r="G436" s="294" t="str">
        <f t="shared" si="110"/>
        <v/>
      </c>
      <c r="H436" s="290"/>
      <c r="I436" s="254" t="str">
        <f t="shared" ca="1" si="118"/>
        <v>1</v>
      </c>
      <c r="J436" s="254" t="str">
        <f t="shared" ca="1" si="119"/>
        <v>1</v>
      </c>
      <c r="K436" s="230" t="str">
        <f>IF(Giocatori!B425=0,"",Giocatori!B425)</f>
        <v>RAMIREZ</v>
      </c>
      <c r="L436" s="230" t="str">
        <f>IF(Giocatori!A425=0,"",Giocatori!A425)</f>
        <v>C</v>
      </c>
      <c r="M436" s="230" t="str">
        <f>IF(Giocatori!C425=0,"",Giocatori!C425)</f>
        <v>Sampdoria</v>
      </c>
      <c r="N436" s="69" t="str">
        <f t="shared" si="111"/>
        <v/>
      </c>
      <c r="O436" t="str">
        <f t="shared" si="112"/>
        <v>RAMIREZ</v>
      </c>
      <c r="P436" s="7">
        <f t="shared" ca="1" si="120"/>
        <v>436</v>
      </c>
      <c r="Q436" s="7" t="str">
        <f t="shared" ca="1" si="113"/>
        <v>RAMIREZ</v>
      </c>
      <c r="Z436" s="256"/>
      <c r="AA436" s="219"/>
      <c r="AB436" s="293" t="str">
        <f t="shared" si="114"/>
        <v/>
      </c>
      <c r="AC436" s="294" t="str">
        <f t="shared" si="115"/>
        <v/>
      </c>
      <c r="AD436" s="219"/>
      <c r="AE436" s="219"/>
      <c r="AF436" s="293" t="str">
        <f>IF(AA436="","",VLOOKUP(AA436,Asta!$B:$H,7,FALSE))</f>
        <v/>
      </c>
      <c r="AG436" s="294" t="str">
        <f t="shared" si="116"/>
        <v/>
      </c>
      <c r="AH436" t="str">
        <f t="shared" si="117"/>
        <v/>
      </c>
      <c r="AI436" s="254" t="str">
        <f t="shared" ca="1" si="121"/>
        <v>417</v>
      </c>
      <c r="AJ436" s="254" t="str">
        <f t="shared" ca="1" si="122"/>
        <v>417</v>
      </c>
      <c r="AK436" s="351"/>
    </row>
    <row r="437" spans="1:37">
      <c r="A437" s="74">
        <v>418</v>
      </c>
      <c r="B437" s="252"/>
      <c r="C437" s="293" t="str">
        <f t="shared" si="123"/>
        <v/>
      </c>
      <c r="D437" s="294" t="str">
        <f t="shared" si="124"/>
        <v/>
      </c>
      <c r="E437" s="287"/>
      <c r="F437" s="293" t="str">
        <f t="shared" si="109"/>
        <v/>
      </c>
      <c r="G437" s="294" t="str">
        <f t="shared" si="110"/>
        <v/>
      </c>
      <c r="H437" s="290"/>
      <c r="I437" s="254" t="str">
        <f t="shared" ca="1" si="118"/>
        <v>1</v>
      </c>
      <c r="J437" s="254" t="str">
        <f t="shared" ca="1" si="119"/>
        <v>1</v>
      </c>
      <c r="K437" s="230" t="str">
        <f>IF(Giocatori!B426=0,"",Giocatori!B426)</f>
        <v>RANOCCHIA</v>
      </c>
      <c r="L437" s="230" t="str">
        <f>IF(Giocatori!A426=0,"",Giocatori!A426)</f>
        <v>D</v>
      </c>
      <c r="M437" s="230" t="str">
        <f>IF(Giocatori!C426=0,"",Giocatori!C426)</f>
        <v>Inter</v>
      </c>
      <c r="N437" s="69" t="str">
        <f t="shared" si="111"/>
        <v/>
      </c>
      <c r="O437" t="str">
        <f t="shared" si="112"/>
        <v>RANOCCHIA</v>
      </c>
      <c r="P437" s="7">
        <f t="shared" ca="1" si="120"/>
        <v>437</v>
      </c>
      <c r="Q437" s="7" t="str">
        <f t="shared" ca="1" si="113"/>
        <v>RANOCCHIA</v>
      </c>
      <c r="Z437" s="256"/>
      <c r="AA437" s="219"/>
      <c r="AB437" s="293" t="str">
        <f t="shared" si="114"/>
        <v/>
      </c>
      <c r="AC437" s="294" t="str">
        <f t="shared" si="115"/>
        <v/>
      </c>
      <c r="AD437" s="219"/>
      <c r="AE437" s="219"/>
      <c r="AF437" s="293" t="str">
        <f>IF(AA437="","",VLOOKUP(AA437,Asta!$B:$H,7,FALSE))</f>
        <v/>
      </c>
      <c r="AG437" s="294" t="str">
        <f t="shared" si="116"/>
        <v/>
      </c>
      <c r="AH437" t="str">
        <f t="shared" si="117"/>
        <v/>
      </c>
      <c r="AI437" s="254" t="str">
        <f t="shared" ca="1" si="121"/>
        <v>418</v>
      </c>
      <c r="AJ437" s="254" t="str">
        <f t="shared" ca="1" si="122"/>
        <v>418</v>
      </c>
      <c r="AK437" s="351"/>
    </row>
    <row r="438" spans="1:37">
      <c r="A438" s="74">
        <v>419</v>
      </c>
      <c r="B438" s="252"/>
      <c r="C438" s="293" t="str">
        <f t="shared" si="123"/>
        <v/>
      </c>
      <c r="D438" s="294" t="str">
        <f t="shared" si="124"/>
        <v/>
      </c>
      <c r="E438" s="287"/>
      <c r="F438" s="293" t="str">
        <f t="shared" si="109"/>
        <v/>
      </c>
      <c r="G438" s="294" t="str">
        <f t="shared" si="110"/>
        <v/>
      </c>
      <c r="H438" s="290"/>
      <c r="I438" s="254" t="str">
        <f t="shared" ca="1" si="118"/>
        <v>1</v>
      </c>
      <c r="J438" s="254" t="str">
        <f t="shared" ca="1" si="119"/>
        <v>1</v>
      </c>
      <c r="K438" s="230" t="str">
        <f>IF(Giocatori!B427=0,"",Giocatori!B427)</f>
        <v>REGINI</v>
      </c>
      <c r="L438" s="230" t="str">
        <f>IF(Giocatori!A427=0,"",Giocatori!A427)</f>
        <v>D</v>
      </c>
      <c r="M438" s="230" t="str">
        <f>IF(Giocatori!C427=0,"",Giocatori!C427)</f>
        <v>Sampdoria</v>
      </c>
      <c r="N438" s="69" t="str">
        <f t="shared" si="111"/>
        <v/>
      </c>
      <c r="O438" t="str">
        <f t="shared" si="112"/>
        <v>REGINI</v>
      </c>
      <c r="P438" s="7">
        <f t="shared" ca="1" si="120"/>
        <v>438</v>
      </c>
      <c r="Q438" s="7" t="str">
        <f t="shared" ca="1" si="113"/>
        <v>REGINI</v>
      </c>
      <c r="Z438" s="256"/>
      <c r="AA438" s="219"/>
      <c r="AB438" s="293" t="str">
        <f t="shared" si="114"/>
        <v/>
      </c>
      <c r="AC438" s="294" t="str">
        <f t="shared" si="115"/>
        <v/>
      </c>
      <c r="AD438" s="219"/>
      <c r="AE438" s="219"/>
      <c r="AF438" s="293" t="str">
        <f>IF(AA438="","",VLOOKUP(AA438,Asta!$B:$H,7,FALSE))</f>
        <v/>
      </c>
      <c r="AG438" s="294" t="str">
        <f t="shared" si="116"/>
        <v/>
      </c>
      <c r="AH438" t="str">
        <f t="shared" si="117"/>
        <v/>
      </c>
      <c r="AI438" s="254" t="str">
        <f t="shared" ca="1" si="121"/>
        <v>419</v>
      </c>
      <c r="AJ438" s="254" t="str">
        <f t="shared" ca="1" si="122"/>
        <v>419</v>
      </c>
      <c r="AK438" s="351"/>
    </row>
    <row r="439" spans="1:37">
      <c r="A439" s="74">
        <v>420</v>
      </c>
      <c r="B439" s="252"/>
      <c r="C439" s="293" t="str">
        <f t="shared" si="123"/>
        <v/>
      </c>
      <c r="D439" s="294" t="str">
        <f t="shared" si="124"/>
        <v/>
      </c>
      <c r="E439" s="287"/>
      <c r="F439" s="293" t="str">
        <f t="shared" si="109"/>
        <v/>
      </c>
      <c r="G439" s="294" t="str">
        <f t="shared" si="110"/>
        <v/>
      </c>
      <c r="H439" s="290"/>
      <c r="I439" s="254" t="str">
        <f t="shared" ca="1" si="118"/>
        <v>1</v>
      </c>
      <c r="J439" s="254" t="str">
        <f t="shared" ca="1" si="119"/>
        <v>1</v>
      </c>
      <c r="K439" s="230" t="str">
        <f>IF(Giocatori!B428=0,"",Giocatori!B428)</f>
        <v>REINA</v>
      </c>
      <c r="L439" s="230" t="str">
        <f>IF(Giocatori!A428=0,"",Giocatori!A428)</f>
        <v>P</v>
      </c>
      <c r="M439" s="230" t="str">
        <f>IF(Giocatori!C428=0,"",Giocatori!C428)</f>
        <v>Napoli</v>
      </c>
      <c r="N439" s="69" t="str">
        <f t="shared" si="111"/>
        <v/>
      </c>
      <c r="O439" t="str">
        <f t="shared" si="112"/>
        <v>REINA</v>
      </c>
      <c r="P439" s="7">
        <f t="shared" ca="1" si="120"/>
        <v>439</v>
      </c>
      <c r="Q439" s="7" t="str">
        <f t="shared" ca="1" si="113"/>
        <v>REINA</v>
      </c>
      <c r="Z439" s="256"/>
      <c r="AA439" s="219"/>
      <c r="AB439" s="293" t="str">
        <f t="shared" si="114"/>
        <v/>
      </c>
      <c r="AC439" s="294" t="str">
        <f t="shared" si="115"/>
        <v/>
      </c>
      <c r="AD439" s="219"/>
      <c r="AE439" s="219"/>
      <c r="AF439" s="293" t="str">
        <f>IF(AA439="","",VLOOKUP(AA439,Asta!$B:$H,7,FALSE))</f>
        <v/>
      </c>
      <c r="AG439" s="294" t="str">
        <f t="shared" si="116"/>
        <v/>
      </c>
      <c r="AH439" t="str">
        <f t="shared" si="117"/>
        <v/>
      </c>
      <c r="AI439" s="254" t="str">
        <f t="shared" ca="1" si="121"/>
        <v>420</v>
      </c>
      <c r="AJ439" s="254" t="str">
        <f t="shared" ca="1" si="122"/>
        <v>420</v>
      </c>
      <c r="AK439" s="351"/>
    </row>
    <row r="440" spans="1:37">
      <c r="A440" s="74">
        <v>421</v>
      </c>
      <c r="B440" s="252"/>
      <c r="C440" s="293" t="str">
        <f t="shared" si="123"/>
        <v/>
      </c>
      <c r="D440" s="294" t="str">
        <f t="shared" si="124"/>
        <v/>
      </c>
      <c r="E440" s="287"/>
      <c r="F440" s="293" t="str">
        <f t="shared" si="109"/>
        <v/>
      </c>
      <c r="G440" s="294" t="str">
        <f t="shared" si="110"/>
        <v/>
      </c>
      <c r="H440" s="290"/>
      <c r="I440" s="254" t="str">
        <f t="shared" ca="1" si="118"/>
        <v>1</v>
      </c>
      <c r="J440" s="254" t="str">
        <f t="shared" ca="1" si="119"/>
        <v>1</v>
      </c>
      <c r="K440" s="230" t="str">
        <f>IF(Giocatori!B429=0,"",Giocatori!B429)</f>
        <v>RICCI</v>
      </c>
      <c r="L440" s="230" t="str">
        <f>IF(Giocatori!A429=0,"",Giocatori!A429)</f>
        <v>A</v>
      </c>
      <c r="M440" s="230" t="str">
        <f>IF(Giocatori!C429=0,"",Giocatori!C429)</f>
        <v>Genoa</v>
      </c>
      <c r="N440" s="69" t="str">
        <f t="shared" si="111"/>
        <v/>
      </c>
      <c r="O440" t="str">
        <f t="shared" si="112"/>
        <v>RICCI</v>
      </c>
      <c r="P440" s="7">
        <f t="shared" ca="1" si="120"/>
        <v>440</v>
      </c>
      <c r="Q440" s="7" t="str">
        <f t="shared" ca="1" si="113"/>
        <v>RICCI</v>
      </c>
      <c r="Z440" s="256"/>
      <c r="AA440" s="219"/>
      <c r="AB440" s="293" t="str">
        <f t="shared" si="114"/>
        <v/>
      </c>
      <c r="AC440" s="294" t="str">
        <f t="shared" si="115"/>
        <v/>
      </c>
      <c r="AD440" s="219"/>
      <c r="AE440" s="219"/>
      <c r="AF440" s="293" t="str">
        <f>IF(AA440="","",VLOOKUP(AA440,Asta!$B:$H,7,FALSE))</f>
        <v/>
      </c>
      <c r="AG440" s="294" t="str">
        <f t="shared" si="116"/>
        <v/>
      </c>
      <c r="AH440" t="str">
        <f t="shared" si="117"/>
        <v/>
      </c>
      <c r="AI440" s="254" t="str">
        <f t="shared" ca="1" si="121"/>
        <v>421</v>
      </c>
      <c r="AJ440" s="254" t="str">
        <f t="shared" ca="1" si="122"/>
        <v>421</v>
      </c>
      <c r="AK440" s="351"/>
    </row>
    <row r="441" spans="1:37">
      <c r="A441" s="74">
        <v>422</v>
      </c>
      <c r="B441" s="252"/>
      <c r="C441" s="293" t="str">
        <f t="shared" si="123"/>
        <v/>
      </c>
      <c r="D441" s="294" t="str">
        <f t="shared" si="124"/>
        <v/>
      </c>
      <c r="E441" s="287"/>
      <c r="F441" s="293" t="str">
        <f t="shared" si="109"/>
        <v/>
      </c>
      <c r="G441" s="294" t="str">
        <f t="shared" si="110"/>
        <v/>
      </c>
      <c r="H441" s="290"/>
      <c r="I441" s="254" t="str">
        <f t="shared" ca="1" si="118"/>
        <v>1</v>
      </c>
      <c r="J441" s="254" t="str">
        <f t="shared" ca="1" si="119"/>
        <v>1</v>
      </c>
      <c r="K441" s="230" t="str">
        <f>IF(Giocatori!B430=0,"",Giocatori!B430)</f>
        <v>RIGONI L</v>
      </c>
      <c r="L441" s="230" t="str">
        <f>IF(Giocatori!A430=0,"",Giocatori!A430)</f>
        <v>C</v>
      </c>
      <c r="M441" s="230" t="str">
        <f>IF(Giocatori!C430=0,"",Giocatori!C430)</f>
        <v>Genoa</v>
      </c>
      <c r="N441" s="69" t="str">
        <f t="shared" si="111"/>
        <v/>
      </c>
      <c r="O441" t="str">
        <f t="shared" si="112"/>
        <v>RIGONI L</v>
      </c>
      <c r="P441" s="7">
        <f t="shared" ca="1" si="120"/>
        <v>441</v>
      </c>
      <c r="Q441" s="7" t="str">
        <f t="shared" ca="1" si="113"/>
        <v>RIGONI L</v>
      </c>
      <c r="Z441" s="256"/>
      <c r="AA441" s="219"/>
      <c r="AB441" s="293" t="str">
        <f t="shared" si="114"/>
        <v/>
      </c>
      <c r="AC441" s="294" t="str">
        <f t="shared" si="115"/>
        <v/>
      </c>
      <c r="AD441" s="219"/>
      <c r="AE441" s="219"/>
      <c r="AF441" s="293" t="str">
        <f>IF(AA441="","",VLOOKUP(AA441,Asta!$B:$H,7,FALSE))</f>
        <v/>
      </c>
      <c r="AG441" s="294" t="str">
        <f t="shared" si="116"/>
        <v/>
      </c>
      <c r="AH441" t="str">
        <f t="shared" si="117"/>
        <v/>
      </c>
      <c r="AI441" s="254" t="str">
        <f t="shared" ca="1" si="121"/>
        <v>422</v>
      </c>
      <c r="AJ441" s="254" t="str">
        <f t="shared" ca="1" si="122"/>
        <v>422</v>
      </c>
      <c r="AK441" s="351"/>
    </row>
    <row r="442" spans="1:37">
      <c r="A442" s="74">
        <v>423</v>
      </c>
      <c r="B442" s="252"/>
      <c r="C442" s="293" t="str">
        <f t="shared" si="123"/>
        <v/>
      </c>
      <c r="D442" s="294" t="str">
        <f t="shared" si="124"/>
        <v/>
      </c>
      <c r="E442" s="287"/>
      <c r="F442" s="293" t="str">
        <f t="shared" si="109"/>
        <v/>
      </c>
      <c r="G442" s="294" t="str">
        <f t="shared" si="110"/>
        <v/>
      </c>
      <c r="H442" s="290"/>
      <c r="I442" s="254" t="str">
        <f t="shared" ca="1" si="118"/>
        <v>1</v>
      </c>
      <c r="J442" s="254" t="str">
        <f t="shared" ca="1" si="119"/>
        <v>1</v>
      </c>
      <c r="K442" s="230" t="str">
        <f>IF(Giocatori!B431=0,"",Giocatori!B431)</f>
        <v>RIGONI N</v>
      </c>
      <c r="L442" s="230" t="str">
        <f>IF(Giocatori!A431=0,"",Giocatori!A431)</f>
        <v>C</v>
      </c>
      <c r="M442" s="230" t="str">
        <f>IF(Giocatori!C431=0,"",Giocatori!C431)</f>
        <v>Chievo</v>
      </c>
      <c r="N442" s="69" t="str">
        <f t="shared" si="111"/>
        <v/>
      </c>
      <c r="O442" t="str">
        <f t="shared" si="112"/>
        <v>RIGONI N</v>
      </c>
      <c r="P442" s="7">
        <f t="shared" ca="1" si="120"/>
        <v>442</v>
      </c>
      <c r="Q442" s="7" t="str">
        <f t="shared" ca="1" si="113"/>
        <v>RIGONI N</v>
      </c>
      <c r="Z442" s="256"/>
      <c r="AA442" s="219"/>
      <c r="AB442" s="293" t="str">
        <f t="shared" si="114"/>
        <v/>
      </c>
      <c r="AC442" s="294" t="str">
        <f t="shared" si="115"/>
        <v/>
      </c>
      <c r="AD442" s="219"/>
      <c r="AE442" s="219"/>
      <c r="AF442" s="293" t="str">
        <f>IF(AA442="","",VLOOKUP(AA442,Asta!$B:$H,7,FALSE))</f>
        <v/>
      </c>
      <c r="AG442" s="294" t="str">
        <f t="shared" si="116"/>
        <v/>
      </c>
      <c r="AH442" t="str">
        <f t="shared" si="117"/>
        <v/>
      </c>
      <c r="AI442" s="254" t="str">
        <f t="shared" ca="1" si="121"/>
        <v>423</v>
      </c>
      <c r="AJ442" s="254" t="str">
        <f t="shared" ca="1" si="122"/>
        <v>423</v>
      </c>
      <c r="AK442" s="351"/>
    </row>
    <row r="443" spans="1:37">
      <c r="A443" s="74">
        <v>424</v>
      </c>
      <c r="B443" s="252"/>
      <c r="C443" s="293" t="str">
        <f t="shared" si="123"/>
        <v/>
      </c>
      <c r="D443" s="294" t="str">
        <f t="shared" si="124"/>
        <v/>
      </c>
      <c r="E443" s="287"/>
      <c r="F443" s="293" t="str">
        <f t="shared" si="109"/>
        <v/>
      </c>
      <c r="G443" s="294" t="str">
        <f t="shared" si="110"/>
        <v/>
      </c>
      <c r="H443" s="290"/>
      <c r="I443" s="254" t="str">
        <f t="shared" ca="1" si="118"/>
        <v>1</v>
      </c>
      <c r="J443" s="254" t="str">
        <f t="shared" ca="1" si="119"/>
        <v>1</v>
      </c>
      <c r="K443" s="230" t="str">
        <f>IF(Giocatori!B432=0,"",Giocatori!B432)</f>
        <v>RINCON</v>
      </c>
      <c r="L443" s="230" t="str">
        <f>IF(Giocatori!A432=0,"",Giocatori!A432)</f>
        <v>C</v>
      </c>
      <c r="M443" s="230" t="str">
        <f>IF(Giocatori!C432=0,"",Giocatori!C432)</f>
        <v>Torino</v>
      </c>
      <c r="N443" s="69" t="str">
        <f t="shared" si="111"/>
        <v/>
      </c>
      <c r="O443" t="str">
        <f t="shared" si="112"/>
        <v>RINCON</v>
      </c>
      <c r="P443" s="7">
        <f t="shared" ca="1" si="120"/>
        <v>443</v>
      </c>
      <c r="Q443" s="7" t="str">
        <f t="shared" ca="1" si="113"/>
        <v>RINCON</v>
      </c>
      <c r="Z443" s="256"/>
      <c r="AA443" s="219"/>
      <c r="AB443" s="293" t="str">
        <f t="shared" si="114"/>
        <v/>
      </c>
      <c r="AC443" s="294" t="str">
        <f t="shared" si="115"/>
        <v/>
      </c>
      <c r="AD443" s="219"/>
      <c r="AE443" s="219"/>
      <c r="AF443" s="293" t="str">
        <f>IF(AA443="","",VLOOKUP(AA443,Asta!$B:$H,7,FALSE))</f>
        <v/>
      </c>
      <c r="AG443" s="294" t="str">
        <f t="shared" si="116"/>
        <v/>
      </c>
      <c r="AH443" t="str">
        <f t="shared" si="117"/>
        <v/>
      </c>
      <c r="AI443" s="254" t="str">
        <f t="shared" ca="1" si="121"/>
        <v>424</v>
      </c>
      <c r="AJ443" s="254" t="str">
        <f t="shared" ca="1" si="122"/>
        <v>424</v>
      </c>
      <c r="AK443" s="351"/>
    </row>
    <row r="444" spans="1:37">
      <c r="A444" s="74">
        <v>425</v>
      </c>
      <c r="B444" s="252"/>
      <c r="C444" s="293" t="str">
        <f t="shared" si="123"/>
        <v/>
      </c>
      <c r="D444" s="294" t="str">
        <f t="shared" si="124"/>
        <v/>
      </c>
      <c r="E444" s="287"/>
      <c r="F444" s="293" t="str">
        <f t="shared" si="109"/>
        <v/>
      </c>
      <c r="G444" s="294" t="str">
        <f t="shared" si="110"/>
        <v/>
      </c>
      <c r="H444" s="290"/>
      <c r="I444" s="254" t="str">
        <f t="shared" ca="1" si="118"/>
        <v>1</v>
      </c>
      <c r="J444" s="254" t="str">
        <f t="shared" ca="1" si="119"/>
        <v>1</v>
      </c>
      <c r="K444" s="230" t="str">
        <f>IF(Giocatori!B433=0,"",Giocatori!B433)</f>
        <v>RIZZO</v>
      </c>
      <c r="L444" s="230" t="str">
        <f>IF(Giocatori!A433=0,"",Giocatori!A433)</f>
        <v>C</v>
      </c>
      <c r="M444" s="230" t="str">
        <f>IF(Giocatori!C433=0,"",Giocatori!C433)</f>
        <v>SPAL</v>
      </c>
      <c r="N444" s="69" t="str">
        <f t="shared" si="111"/>
        <v/>
      </c>
      <c r="O444" t="str">
        <f t="shared" si="112"/>
        <v>RIZZO</v>
      </c>
      <c r="P444" s="7">
        <f t="shared" ca="1" si="120"/>
        <v>444</v>
      </c>
      <c r="Q444" s="7" t="str">
        <f t="shared" ca="1" si="113"/>
        <v>RIZZO</v>
      </c>
      <c r="Z444" s="256"/>
      <c r="AA444" s="219"/>
      <c r="AB444" s="293" t="str">
        <f t="shared" si="114"/>
        <v/>
      </c>
      <c r="AC444" s="294" t="str">
        <f t="shared" si="115"/>
        <v/>
      </c>
      <c r="AD444" s="219"/>
      <c r="AE444" s="219"/>
      <c r="AF444" s="293" t="str">
        <f>IF(AA444="","",VLOOKUP(AA444,Asta!$B:$H,7,FALSE))</f>
        <v/>
      </c>
      <c r="AG444" s="294" t="str">
        <f t="shared" si="116"/>
        <v/>
      </c>
      <c r="AH444" t="str">
        <f t="shared" si="117"/>
        <v/>
      </c>
      <c r="AI444" s="254" t="str">
        <f t="shared" ca="1" si="121"/>
        <v>425</v>
      </c>
      <c r="AJ444" s="254" t="str">
        <f t="shared" ca="1" si="122"/>
        <v>425</v>
      </c>
      <c r="AK444" s="351"/>
    </row>
    <row r="445" spans="1:37">
      <c r="A445" s="74">
        <v>426</v>
      </c>
      <c r="B445" s="252"/>
      <c r="C445" s="293" t="str">
        <f t="shared" si="123"/>
        <v/>
      </c>
      <c r="D445" s="294" t="str">
        <f t="shared" si="124"/>
        <v/>
      </c>
      <c r="E445" s="287"/>
      <c r="F445" s="293" t="str">
        <f t="shared" si="109"/>
        <v/>
      </c>
      <c r="G445" s="294" t="str">
        <f t="shared" si="110"/>
        <v/>
      </c>
      <c r="H445" s="290"/>
      <c r="I445" s="254" t="str">
        <f t="shared" ca="1" si="118"/>
        <v>1</v>
      </c>
      <c r="J445" s="254" t="str">
        <f t="shared" ca="1" si="119"/>
        <v>1</v>
      </c>
      <c r="K445" s="230" t="str">
        <f>IF(Giocatori!B434=0,"",Giocatori!B434)</f>
        <v>RODRIGUEZ R</v>
      </c>
      <c r="L445" s="230" t="str">
        <f>IF(Giocatori!A434=0,"",Giocatori!A434)</f>
        <v>D</v>
      </c>
      <c r="M445" s="230" t="str">
        <f>IF(Giocatori!C434=0,"",Giocatori!C434)</f>
        <v>Milan</v>
      </c>
      <c r="N445" s="69" t="str">
        <f t="shared" si="111"/>
        <v/>
      </c>
      <c r="O445" t="str">
        <f t="shared" si="112"/>
        <v>RODRIGUEZ R</v>
      </c>
      <c r="P445" s="7">
        <f t="shared" ca="1" si="120"/>
        <v>445</v>
      </c>
      <c r="Q445" s="7" t="str">
        <f t="shared" ca="1" si="113"/>
        <v>RODRIGUEZ R</v>
      </c>
      <c r="Z445" s="256"/>
      <c r="AA445" s="219"/>
      <c r="AB445" s="293" t="str">
        <f t="shared" si="114"/>
        <v/>
      </c>
      <c r="AC445" s="294" t="str">
        <f t="shared" si="115"/>
        <v/>
      </c>
      <c r="AD445" s="219"/>
      <c r="AE445" s="219"/>
      <c r="AF445" s="293" t="str">
        <f>IF(AA445="","",VLOOKUP(AA445,Asta!$B:$H,7,FALSE))</f>
        <v/>
      </c>
      <c r="AG445" s="294" t="str">
        <f t="shared" si="116"/>
        <v/>
      </c>
      <c r="AH445" t="str">
        <f t="shared" si="117"/>
        <v/>
      </c>
      <c r="AI445" s="254" t="str">
        <f t="shared" ca="1" si="121"/>
        <v>426</v>
      </c>
      <c r="AJ445" s="254" t="str">
        <f t="shared" ca="1" si="122"/>
        <v>426</v>
      </c>
      <c r="AK445" s="351"/>
    </row>
    <row r="446" spans="1:37">
      <c r="A446" s="74">
        <v>427</v>
      </c>
      <c r="B446" s="252"/>
      <c r="C446" s="293" t="str">
        <f t="shared" si="123"/>
        <v/>
      </c>
      <c r="D446" s="294" t="str">
        <f t="shared" si="124"/>
        <v/>
      </c>
      <c r="E446" s="287"/>
      <c r="F446" s="293" t="str">
        <f t="shared" si="109"/>
        <v/>
      </c>
      <c r="G446" s="294" t="str">
        <f t="shared" si="110"/>
        <v/>
      </c>
      <c r="H446" s="290"/>
      <c r="I446" s="254" t="str">
        <f t="shared" ca="1" si="118"/>
        <v>1</v>
      </c>
      <c r="J446" s="254" t="str">
        <f t="shared" ca="1" si="119"/>
        <v>1</v>
      </c>
      <c r="K446" s="230" t="str">
        <f>IF(Giocatori!B435=0,"",Giocatori!B435)</f>
        <v>RODRIGUEZ T</v>
      </c>
      <c r="L446" s="230" t="str">
        <f>IF(Giocatori!A435=0,"",Giocatori!A435)</f>
        <v>C</v>
      </c>
      <c r="M446" s="230" t="str">
        <f>IF(Giocatori!C435=0,"",Giocatori!C435)</f>
        <v>Genoa</v>
      </c>
      <c r="N446" s="69" t="str">
        <f t="shared" si="111"/>
        <v/>
      </c>
      <c r="O446" t="str">
        <f t="shared" si="112"/>
        <v>RODRIGUEZ T</v>
      </c>
      <c r="P446" s="7">
        <f t="shared" ca="1" si="120"/>
        <v>446</v>
      </c>
      <c r="Q446" s="7" t="str">
        <f t="shared" ca="1" si="113"/>
        <v>RODRIGUEZ T</v>
      </c>
      <c r="Z446" s="256"/>
      <c r="AA446" s="219"/>
      <c r="AB446" s="293" t="str">
        <f t="shared" si="114"/>
        <v/>
      </c>
      <c r="AC446" s="294" t="str">
        <f t="shared" si="115"/>
        <v/>
      </c>
      <c r="AD446" s="219"/>
      <c r="AE446" s="219"/>
      <c r="AF446" s="293" t="str">
        <f>IF(AA446="","",VLOOKUP(AA446,Asta!$B:$H,7,FALSE))</f>
        <v/>
      </c>
      <c r="AG446" s="294" t="str">
        <f t="shared" si="116"/>
        <v/>
      </c>
      <c r="AH446" t="str">
        <f t="shared" si="117"/>
        <v/>
      </c>
      <c r="AI446" s="254" t="str">
        <f t="shared" ca="1" si="121"/>
        <v>427</v>
      </c>
      <c r="AJ446" s="254" t="str">
        <f t="shared" ca="1" si="122"/>
        <v>427</v>
      </c>
      <c r="AK446" s="351"/>
    </row>
    <row r="447" spans="1:37">
      <c r="A447" s="74">
        <v>428</v>
      </c>
      <c r="B447" s="252"/>
      <c r="C447" s="293" t="str">
        <f t="shared" si="123"/>
        <v/>
      </c>
      <c r="D447" s="294" t="str">
        <f t="shared" si="124"/>
        <v/>
      </c>
      <c r="E447" s="287"/>
      <c r="F447" s="293" t="str">
        <f t="shared" si="109"/>
        <v/>
      </c>
      <c r="G447" s="294" t="str">
        <f t="shared" si="110"/>
        <v/>
      </c>
      <c r="H447" s="290"/>
      <c r="I447" s="254" t="str">
        <f t="shared" ca="1" si="118"/>
        <v>1</v>
      </c>
      <c r="J447" s="254" t="str">
        <f t="shared" ca="1" si="119"/>
        <v>1</v>
      </c>
      <c r="K447" s="230" t="str">
        <f>IF(Giocatori!B436=0,"",Giocatori!B436)</f>
        <v>ROG</v>
      </c>
      <c r="L447" s="230" t="str">
        <f>IF(Giocatori!A436=0,"",Giocatori!A436)</f>
        <v>C</v>
      </c>
      <c r="M447" s="230" t="str">
        <f>IF(Giocatori!C436=0,"",Giocatori!C436)</f>
        <v>Napoli</v>
      </c>
      <c r="N447" s="69" t="str">
        <f t="shared" si="111"/>
        <v/>
      </c>
      <c r="O447" t="str">
        <f t="shared" si="112"/>
        <v>ROG</v>
      </c>
      <c r="P447" s="7">
        <f t="shared" ca="1" si="120"/>
        <v>447</v>
      </c>
      <c r="Q447" s="7" t="str">
        <f t="shared" ca="1" si="113"/>
        <v>ROG</v>
      </c>
      <c r="Z447" s="256"/>
      <c r="AA447" s="219"/>
      <c r="AB447" s="293" t="str">
        <f t="shared" si="114"/>
        <v/>
      </c>
      <c r="AC447" s="294" t="str">
        <f t="shared" si="115"/>
        <v/>
      </c>
      <c r="AD447" s="219"/>
      <c r="AE447" s="219"/>
      <c r="AF447" s="293" t="str">
        <f>IF(AA447="","",VLOOKUP(AA447,Asta!$B:$H,7,FALSE))</f>
        <v/>
      </c>
      <c r="AG447" s="294" t="str">
        <f t="shared" si="116"/>
        <v/>
      </c>
      <c r="AH447" t="str">
        <f t="shared" si="117"/>
        <v/>
      </c>
      <c r="AI447" s="254" t="str">
        <f t="shared" ca="1" si="121"/>
        <v>428</v>
      </c>
      <c r="AJ447" s="254" t="str">
        <f t="shared" ca="1" si="122"/>
        <v>428</v>
      </c>
      <c r="AK447" s="351"/>
    </row>
    <row r="448" spans="1:37">
      <c r="A448" s="74">
        <v>429</v>
      </c>
      <c r="B448" s="252"/>
      <c r="C448" s="293" t="str">
        <f t="shared" si="123"/>
        <v/>
      </c>
      <c r="D448" s="294" t="str">
        <f t="shared" si="124"/>
        <v/>
      </c>
      <c r="E448" s="287"/>
      <c r="F448" s="293" t="str">
        <f t="shared" si="109"/>
        <v/>
      </c>
      <c r="G448" s="294" t="str">
        <f t="shared" si="110"/>
        <v/>
      </c>
      <c r="H448" s="290"/>
      <c r="I448" s="254" t="str">
        <f t="shared" ca="1" si="118"/>
        <v>1</v>
      </c>
      <c r="J448" s="254" t="str">
        <f t="shared" ca="1" si="119"/>
        <v>1</v>
      </c>
      <c r="K448" s="230" t="str">
        <f>IF(Giocatori!B437=0,"",Giocatori!B437)</f>
        <v>ROGERIO</v>
      </c>
      <c r="L448" s="230" t="str">
        <f>IF(Giocatori!A437=0,"",Giocatori!A437)</f>
        <v>D</v>
      </c>
      <c r="M448" s="230" t="str">
        <f>IF(Giocatori!C437=0,"",Giocatori!C437)</f>
        <v>Sassuolo</v>
      </c>
      <c r="N448" s="69" t="str">
        <f t="shared" si="111"/>
        <v/>
      </c>
      <c r="O448" t="str">
        <f t="shared" si="112"/>
        <v>ROGERIO</v>
      </c>
      <c r="P448" s="7">
        <f t="shared" ca="1" si="120"/>
        <v>448</v>
      </c>
      <c r="Q448" s="7" t="str">
        <f t="shared" ca="1" si="113"/>
        <v>ROGERIO</v>
      </c>
      <c r="Z448" s="256"/>
      <c r="AA448" s="219"/>
      <c r="AB448" s="293" t="str">
        <f t="shared" si="114"/>
        <v/>
      </c>
      <c r="AC448" s="294" t="str">
        <f t="shared" si="115"/>
        <v/>
      </c>
      <c r="AD448" s="219"/>
      <c r="AE448" s="219"/>
      <c r="AF448" s="293" t="str">
        <f>IF(AA448="","",VLOOKUP(AA448,Asta!$B:$H,7,FALSE))</f>
        <v/>
      </c>
      <c r="AG448" s="294" t="str">
        <f t="shared" si="116"/>
        <v/>
      </c>
      <c r="AH448" t="str">
        <f t="shared" si="117"/>
        <v/>
      </c>
      <c r="AI448" s="254" t="str">
        <f t="shared" ca="1" si="121"/>
        <v>429</v>
      </c>
      <c r="AJ448" s="254" t="str">
        <f t="shared" ca="1" si="122"/>
        <v>429</v>
      </c>
      <c r="AK448" s="351"/>
    </row>
    <row r="449" spans="1:37">
      <c r="A449" s="74">
        <v>430</v>
      </c>
      <c r="B449" s="252"/>
      <c r="C449" s="293" t="str">
        <f t="shared" si="123"/>
        <v/>
      </c>
      <c r="D449" s="294" t="str">
        <f t="shared" si="124"/>
        <v/>
      </c>
      <c r="E449" s="287"/>
      <c r="F449" s="293" t="str">
        <f t="shared" si="109"/>
        <v/>
      </c>
      <c r="G449" s="294" t="str">
        <f t="shared" si="110"/>
        <v/>
      </c>
      <c r="H449" s="290"/>
      <c r="I449" s="254" t="str">
        <f t="shared" ca="1" si="118"/>
        <v>1</v>
      </c>
      <c r="J449" s="254" t="str">
        <f t="shared" ca="1" si="119"/>
        <v>1</v>
      </c>
      <c r="K449" s="230" t="str">
        <f>IF(Giocatori!B438=0,"",Giocatori!B438)</f>
        <v>ROHDEN</v>
      </c>
      <c r="L449" s="230" t="str">
        <f>IF(Giocatori!A438=0,"",Giocatori!A438)</f>
        <v>C</v>
      </c>
      <c r="M449" s="230" t="str">
        <f>IF(Giocatori!C438=0,"",Giocatori!C438)</f>
        <v>Crotone</v>
      </c>
      <c r="N449" s="69" t="str">
        <f t="shared" si="111"/>
        <v/>
      </c>
      <c r="O449" t="str">
        <f t="shared" si="112"/>
        <v>ROHDEN</v>
      </c>
      <c r="P449" s="7">
        <f t="shared" ca="1" si="120"/>
        <v>449</v>
      </c>
      <c r="Q449" s="7" t="str">
        <f t="shared" ca="1" si="113"/>
        <v>ROHDEN</v>
      </c>
      <c r="Z449" s="256"/>
      <c r="AA449" s="219"/>
      <c r="AB449" s="293" t="str">
        <f t="shared" si="114"/>
        <v/>
      </c>
      <c r="AC449" s="294" t="str">
        <f t="shared" si="115"/>
        <v/>
      </c>
      <c r="AD449" s="219"/>
      <c r="AE449" s="219"/>
      <c r="AF449" s="293" t="str">
        <f>IF(AA449="","",VLOOKUP(AA449,Asta!$B:$H,7,FALSE))</f>
        <v/>
      </c>
      <c r="AG449" s="294" t="str">
        <f t="shared" si="116"/>
        <v/>
      </c>
      <c r="AH449" t="str">
        <f t="shared" si="117"/>
        <v/>
      </c>
      <c r="AI449" s="254" t="str">
        <f t="shared" ca="1" si="121"/>
        <v>430</v>
      </c>
      <c r="AJ449" s="254" t="str">
        <f t="shared" ca="1" si="122"/>
        <v>430</v>
      </c>
      <c r="AK449" s="351"/>
    </row>
    <row r="450" spans="1:37">
      <c r="A450" s="74">
        <v>431</v>
      </c>
      <c r="B450" s="252"/>
      <c r="C450" s="293" t="str">
        <f t="shared" si="123"/>
        <v/>
      </c>
      <c r="D450" s="294" t="str">
        <f t="shared" si="124"/>
        <v/>
      </c>
      <c r="E450" s="287"/>
      <c r="F450" s="293" t="str">
        <f t="shared" si="109"/>
        <v/>
      </c>
      <c r="G450" s="294" t="str">
        <f t="shared" si="110"/>
        <v/>
      </c>
      <c r="H450" s="290"/>
      <c r="I450" s="254" t="str">
        <f t="shared" ca="1" si="118"/>
        <v>1</v>
      </c>
      <c r="J450" s="254" t="str">
        <f t="shared" ca="1" si="119"/>
        <v>1</v>
      </c>
      <c r="K450" s="230" t="str">
        <f>IF(Giocatori!B439=0,"",Giocatori!B439)</f>
        <v>ROMAGNA</v>
      </c>
      <c r="L450" s="230" t="str">
        <f>IF(Giocatori!A439=0,"",Giocatori!A439)</f>
        <v>D</v>
      </c>
      <c r="M450" s="230" t="str">
        <f>IF(Giocatori!C439=0,"",Giocatori!C439)</f>
        <v>Cagliari</v>
      </c>
      <c r="N450" s="69" t="str">
        <f t="shared" si="111"/>
        <v/>
      </c>
      <c r="O450" t="str">
        <f t="shared" si="112"/>
        <v>ROMAGNA</v>
      </c>
      <c r="P450" s="7">
        <f t="shared" ca="1" si="120"/>
        <v>450</v>
      </c>
      <c r="Q450" s="7" t="str">
        <f t="shared" ca="1" si="113"/>
        <v>ROMAGNA</v>
      </c>
      <c r="Z450" s="256"/>
      <c r="AA450" s="219"/>
      <c r="AB450" s="293" t="str">
        <f t="shared" si="114"/>
        <v/>
      </c>
      <c r="AC450" s="294" t="str">
        <f t="shared" si="115"/>
        <v/>
      </c>
      <c r="AD450" s="219"/>
      <c r="AE450" s="219"/>
      <c r="AF450" s="293" t="str">
        <f>IF(AA450="","",VLOOKUP(AA450,Asta!$B:$H,7,FALSE))</f>
        <v/>
      </c>
      <c r="AG450" s="294" t="str">
        <f t="shared" si="116"/>
        <v/>
      </c>
      <c r="AH450" t="str">
        <f t="shared" si="117"/>
        <v/>
      </c>
      <c r="AI450" s="254" t="str">
        <f t="shared" ca="1" si="121"/>
        <v>431</v>
      </c>
      <c r="AJ450" s="254" t="str">
        <f t="shared" ca="1" si="122"/>
        <v>431</v>
      </c>
      <c r="AK450" s="351"/>
    </row>
    <row r="451" spans="1:37">
      <c r="A451" s="74">
        <v>432</v>
      </c>
      <c r="B451" s="252"/>
      <c r="C451" s="293" t="str">
        <f t="shared" si="123"/>
        <v/>
      </c>
      <c r="D451" s="294" t="str">
        <f t="shared" si="124"/>
        <v/>
      </c>
      <c r="E451" s="287"/>
      <c r="F451" s="293" t="str">
        <f t="shared" si="109"/>
        <v/>
      </c>
      <c r="G451" s="294" t="str">
        <f t="shared" si="110"/>
        <v/>
      </c>
      <c r="H451" s="290"/>
      <c r="I451" s="254" t="str">
        <f t="shared" ca="1" si="118"/>
        <v>1</v>
      </c>
      <c r="J451" s="254" t="str">
        <f t="shared" ca="1" si="119"/>
        <v>1</v>
      </c>
      <c r="K451" s="230" t="str">
        <f>IF(Giocatori!B440=0,"",Giocatori!B440)</f>
        <v>ROMAGNOLI A</v>
      </c>
      <c r="L451" s="230" t="str">
        <f>IF(Giocatori!A440=0,"",Giocatori!A440)</f>
        <v>D</v>
      </c>
      <c r="M451" s="230" t="str">
        <f>IF(Giocatori!C440=0,"",Giocatori!C440)</f>
        <v>Milan</v>
      </c>
      <c r="N451" s="69" t="str">
        <f t="shared" si="111"/>
        <v/>
      </c>
      <c r="O451" t="str">
        <f t="shared" si="112"/>
        <v>ROMAGNOLI A</v>
      </c>
      <c r="P451" s="7">
        <f t="shared" ca="1" si="120"/>
        <v>451</v>
      </c>
      <c r="Q451" s="7" t="str">
        <f t="shared" ca="1" si="113"/>
        <v>ROMAGNOLI A</v>
      </c>
      <c r="Z451" s="256"/>
      <c r="AA451" s="219"/>
      <c r="AB451" s="293" t="str">
        <f t="shared" si="114"/>
        <v/>
      </c>
      <c r="AC451" s="294" t="str">
        <f t="shared" si="115"/>
        <v/>
      </c>
      <c r="AD451" s="219"/>
      <c r="AE451" s="219"/>
      <c r="AF451" s="293" t="str">
        <f>IF(AA451="","",VLOOKUP(AA451,Asta!$B:$H,7,FALSE))</f>
        <v/>
      </c>
      <c r="AG451" s="294" t="str">
        <f t="shared" si="116"/>
        <v/>
      </c>
      <c r="AH451" t="str">
        <f t="shared" si="117"/>
        <v/>
      </c>
      <c r="AI451" s="254" t="str">
        <f t="shared" ca="1" si="121"/>
        <v>432</v>
      </c>
      <c r="AJ451" s="254" t="str">
        <f t="shared" ca="1" si="122"/>
        <v>432</v>
      </c>
      <c r="AK451" s="351"/>
    </row>
    <row r="452" spans="1:37">
      <c r="A452" s="74">
        <v>433</v>
      </c>
      <c r="B452" s="252"/>
      <c r="C452" s="293" t="str">
        <f t="shared" si="123"/>
        <v/>
      </c>
      <c r="D452" s="294" t="str">
        <f t="shared" si="124"/>
        <v/>
      </c>
      <c r="E452" s="287"/>
      <c r="F452" s="293" t="str">
        <f t="shared" si="109"/>
        <v/>
      </c>
      <c r="G452" s="294" t="str">
        <f t="shared" si="110"/>
        <v/>
      </c>
      <c r="H452" s="290"/>
      <c r="I452" s="254" t="str">
        <f t="shared" ca="1" si="118"/>
        <v>1</v>
      </c>
      <c r="J452" s="254" t="str">
        <f t="shared" ca="1" si="119"/>
        <v>1</v>
      </c>
      <c r="K452" s="230" t="str">
        <f>IF(Giocatori!B441=0,"",Giocatori!B441)</f>
        <v>ROMERO</v>
      </c>
      <c r="L452" s="230" t="str">
        <f>IF(Giocatori!A441=0,"",Giocatori!A441)</f>
        <v>C</v>
      </c>
      <c r="M452" s="230" t="str">
        <f>IF(Giocatori!C441=0,"",Giocatori!C441)</f>
        <v>Crotone</v>
      </c>
      <c r="N452" s="69" t="str">
        <f t="shared" si="111"/>
        <v/>
      </c>
      <c r="O452" t="str">
        <f t="shared" si="112"/>
        <v>ROMERO</v>
      </c>
      <c r="P452" s="7">
        <f t="shared" ca="1" si="120"/>
        <v>452</v>
      </c>
      <c r="Q452" s="7" t="str">
        <f t="shared" ca="1" si="113"/>
        <v>ROMERO</v>
      </c>
      <c r="Z452" s="256"/>
      <c r="AA452" s="219"/>
      <c r="AB452" s="293" t="str">
        <f t="shared" si="114"/>
        <v/>
      </c>
      <c r="AC452" s="294" t="str">
        <f t="shared" si="115"/>
        <v/>
      </c>
      <c r="AD452" s="219"/>
      <c r="AE452" s="219"/>
      <c r="AF452" s="293" t="str">
        <f>IF(AA452="","",VLOOKUP(AA452,Asta!$B:$H,7,FALSE))</f>
        <v/>
      </c>
      <c r="AG452" s="294" t="str">
        <f t="shared" si="116"/>
        <v/>
      </c>
      <c r="AH452" t="str">
        <f t="shared" si="117"/>
        <v/>
      </c>
      <c r="AI452" s="254" t="str">
        <f t="shared" ca="1" si="121"/>
        <v>433</v>
      </c>
      <c r="AJ452" s="254" t="str">
        <f t="shared" ca="1" si="122"/>
        <v>433</v>
      </c>
      <c r="AK452" s="351"/>
    </row>
    <row r="453" spans="1:37">
      <c r="A453" s="74">
        <v>434</v>
      </c>
      <c r="B453" s="252"/>
      <c r="C453" s="293" t="str">
        <f t="shared" si="123"/>
        <v/>
      </c>
      <c r="D453" s="294" t="str">
        <f t="shared" si="124"/>
        <v/>
      </c>
      <c r="E453" s="287"/>
      <c r="F453" s="293" t="str">
        <f t="shared" si="109"/>
        <v/>
      </c>
      <c r="G453" s="294" t="str">
        <f t="shared" si="110"/>
        <v/>
      </c>
      <c r="H453" s="290"/>
      <c r="I453" s="254" t="str">
        <f t="shared" ca="1" si="118"/>
        <v>1</v>
      </c>
      <c r="J453" s="254" t="str">
        <f t="shared" ca="1" si="119"/>
        <v>1</v>
      </c>
      <c r="K453" s="230" t="str">
        <f>IF(Giocatori!B442=0,"",Giocatori!B442)</f>
        <v>ROMULO</v>
      </c>
      <c r="L453" s="230" t="str">
        <f>IF(Giocatori!A442=0,"",Giocatori!A442)</f>
        <v>D</v>
      </c>
      <c r="M453" s="230" t="str">
        <f>IF(Giocatori!C442=0,"",Giocatori!C442)</f>
        <v>Verona</v>
      </c>
      <c r="N453" s="69" t="str">
        <f t="shared" si="111"/>
        <v/>
      </c>
      <c r="O453" t="str">
        <f t="shared" si="112"/>
        <v>ROMULO</v>
      </c>
      <c r="P453" s="7">
        <f t="shared" ca="1" si="120"/>
        <v>453</v>
      </c>
      <c r="Q453" s="7" t="str">
        <f t="shared" ca="1" si="113"/>
        <v>ROMULO</v>
      </c>
      <c r="Z453" s="256"/>
      <c r="AA453" s="219"/>
      <c r="AB453" s="293" t="str">
        <f t="shared" si="114"/>
        <v/>
      </c>
      <c r="AC453" s="294" t="str">
        <f t="shared" si="115"/>
        <v/>
      </c>
      <c r="AD453" s="219"/>
      <c r="AE453" s="219"/>
      <c r="AF453" s="293" t="str">
        <f>IF(AA453="","",VLOOKUP(AA453,Asta!$B:$H,7,FALSE))</f>
        <v/>
      </c>
      <c r="AG453" s="294" t="str">
        <f t="shared" si="116"/>
        <v/>
      </c>
      <c r="AH453" t="str">
        <f t="shared" si="117"/>
        <v/>
      </c>
      <c r="AI453" s="254" t="str">
        <f t="shared" ca="1" si="121"/>
        <v>434</v>
      </c>
      <c r="AJ453" s="254" t="str">
        <f t="shared" ca="1" si="122"/>
        <v>434</v>
      </c>
      <c r="AK453" s="351"/>
    </row>
    <row r="454" spans="1:37">
      <c r="A454" s="74">
        <v>435</v>
      </c>
      <c r="B454" s="252"/>
      <c r="C454" s="293" t="str">
        <f t="shared" si="123"/>
        <v/>
      </c>
      <c r="D454" s="294" t="str">
        <f t="shared" si="124"/>
        <v/>
      </c>
      <c r="E454" s="287"/>
      <c r="F454" s="293" t="str">
        <f t="shared" si="109"/>
        <v/>
      </c>
      <c r="G454" s="294" t="str">
        <f t="shared" si="110"/>
        <v/>
      </c>
      <c r="H454" s="290"/>
      <c r="I454" s="254" t="str">
        <f t="shared" ca="1" si="118"/>
        <v>1</v>
      </c>
      <c r="J454" s="254" t="str">
        <f t="shared" ca="1" si="119"/>
        <v>1</v>
      </c>
      <c r="K454" s="230" t="str">
        <f>IF(Giocatori!B443=0,"",Giocatori!B443)</f>
        <v>ROSI</v>
      </c>
      <c r="L454" s="230" t="str">
        <f>IF(Giocatori!A443=0,"",Giocatori!A443)</f>
        <v>D</v>
      </c>
      <c r="M454" s="230" t="str">
        <f>IF(Giocatori!C443=0,"",Giocatori!C443)</f>
        <v>Genoa</v>
      </c>
      <c r="N454" s="69" t="str">
        <f t="shared" si="111"/>
        <v/>
      </c>
      <c r="O454" t="str">
        <f t="shared" si="112"/>
        <v>ROSI</v>
      </c>
      <c r="P454" s="7">
        <f t="shared" ca="1" si="120"/>
        <v>454</v>
      </c>
      <c r="Q454" s="7" t="str">
        <f t="shared" ca="1" si="113"/>
        <v>ROSI</v>
      </c>
      <c r="Z454" s="256"/>
      <c r="AA454" s="219"/>
      <c r="AB454" s="293" t="str">
        <f t="shared" si="114"/>
        <v/>
      </c>
      <c r="AC454" s="294" t="str">
        <f t="shared" si="115"/>
        <v/>
      </c>
      <c r="AD454" s="219"/>
      <c r="AE454" s="219"/>
      <c r="AF454" s="293" t="str">
        <f>IF(AA454="","",VLOOKUP(AA454,Asta!$B:$H,7,FALSE))</f>
        <v/>
      </c>
      <c r="AG454" s="294" t="str">
        <f t="shared" si="116"/>
        <v/>
      </c>
      <c r="AH454" t="str">
        <f t="shared" si="117"/>
        <v/>
      </c>
      <c r="AI454" s="254" t="str">
        <f t="shared" ca="1" si="121"/>
        <v>435</v>
      </c>
      <c r="AJ454" s="254" t="str">
        <f t="shared" ca="1" si="122"/>
        <v>435</v>
      </c>
      <c r="AK454" s="351"/>
    </row>
    <row r="455" spans="1:37">
      <c r="A455" s="74">
        <v>436</v>
      </c>
      <c r="B455" s="252"/>
      <c r="C455" s="293" t="str">
        <f t="shared" si="123"/>
        <v/>
      </c>
      <c r="D455" s="294" t="str">
        <f t="shared" si="124"/>
        <v/>
      </c>
      <c r="E455" s="287"/>
      <c r="F455" s="293" t="str">
        <f t="shared" si="109"/>
        <v/>
      </c>
      <c r="G455" s="294" t="str">
        <f t="shared" si="110"/>
        <v/>
      </c>
      <c r="H455" s="290"/>
      <c r="I455" s="254" t="str">
        <f t="shared" ca="1" si="118"/>
        <v>1</v>
      </c>
      <c r="J455" s="254" t="str">
        <f t="shared" ca="1" si="119"/>
        <v>1</v>
      </c>
      <c r="K455" s="230" t="str">
        <f>IF(Giocatori!B444=0,"",Giocatori!B444)</f>
        <v>ROSSETTINI</v>
      </c>
      <c r="L455" s="230" t="str">
        <f>IF(Giocatori!A444=0,"",Giocatori!A444)</f>
        <v>D</v>
      </c>
      <c r="M455" s="230" t="str">
        <f>IF(Giocatori!C444=0,"",Giocatori!C444)</f>
        <v>Genoa</v>
      </c>
      <c r="N455" s="69" t="str">
        <f t="shared" si="111"/>
        <v/>
      </c>
      <c r="O455" t="str">
        <f t="shared" si="112"/>
        <v>ROSSETTINI</v>
      </c>
      <c r="P455" s="7">
        <f t="shared" ca="1" si="120"/>
        <v>455</v>
      </c>
      <c r="Q455" s="7" t="str">
        <f t="shared" ca="1" si="113"/>
        <v>ROSSETTINI</v>
      </c>
      <c r="Z455" s="256"/>
      <c r="AA455" s="219"/>
      <c r="AB455" s="293" t="str">
        <f t="shared" si="114"/>
        <v/>
      </c>
      <c r="AC455" s="294" t="str">
        <f t="shared" si="115"/>
        <v/>
      </c>
      <c r="AD455" s="219"/>
      <c r="AE455" s="219"/>
      <c r="AF455" s="293" t="str">
        <f>IF(AA455="","",VLOOKUP(AA455,Asta!$B:$H,7,FALSE))</f>
        <v/>
      </c>
      <c r="AG455" s="294" t="str">
        <f t="shared" si="116"/>
        <v/>
      </c>
      <c r="AH455" t="str">
        <f t="shared" si="117"/>
        <v/>
      </c>
      <c r="AI455" s="254" t="str">
        <f t="shared" ca="1" si="121"/>
        <v>436</v>
      </c>
      <c r="AJ455" s="254" t="str">
        <f t="shared" ca="1" si="122"/>
        <v>436</v>
      </c>
      <c r="AK455" s="351"/>
    </row>
    <row r="456" spans="1:37">
      <c r="A456" s="74">
        <v>437</v>
      </c>
      <c r="B456" s="252"/>
      <c r="C456" s="293" t="str">
        <f t="shared" si="123"/>
        <v/>
      </c>
      <c r="D456" s="294" t="str">
        <f t="shared" si="124"/>
        <v/>
      </c>
      <c r="E456" s="287"/>
      <c r="F456" s="293" t="str">
        <f t="shared" si="109"/>
        <v/>
      </c>
      <c r="G456" s="294" t="str">
        <f t="shared" si="110"/>
        <v/>
      </c>
      <c r="H456" s="290"/>
      <c r="I456" s="254" t="str">
        <f t="shared" ca="1" si="118"/>
        <v>1</v>
      </c>
      <c r="J456" s="254" t="str">
        <f t="shared" ca="1" si="119"/>
        <v>1</v>
      </c>
      <c r="K456" s="230" t="str">
        <f>IF(Giocatori!B445=0,"",Giocatori!B445)</f>
        <v>ROSSI F</v>
      </c>
      <c r="L456" s="230" t="str">
        <f>IF(Giocatori!A445=0,"",Giocatori!A445)</f>
        <v>P</v>
      </c>
      <c r="M456" s="230" t="str">
        <f>IF(Giocatori!C445=0,"",Giocatori!C445)</f>
        <v>Atalanta</v>
      </c>
      <c r="N456" s="69" t="str">
        <f t="shared" si="111"/>
        <v/>
      </c>
      <c r="O456" t="str">
        <f t="shared" si="112"/>
        <v>ROSSI F</v>
      </c>
      <c r="P456" s="7">
        <f t="shared" ca="1" si="120"/>
        <v>456</v>
      </c>
      <c r="Q456" s="7" t="str">
        <f t="shared" ca="1" si="113"/>
        <v>ROSSI F</v>
      </c>
      <c r="Z456" s="256"/>
      <c r="AA456" s="219"/>
      <c r="AB456" s="293" t="str">
        <f t="shared" si="114"/>
        <v/>
      </c>
      <c r="AC456" s="294" t="str">
        <f t="shared" si="115"/>
        <v/>
      </c>
      <c r="AD456" s="219"/>
      <c r="AE456" s="219"/>
      <c r="AF456" s="293" t="str">
        <f>IF(AA456="","",VLOOKUP(AA456,Asta!$B:$H,7,FALSE))</f>
        <v/>
      </c>
      <c r="AG456" s="294" t="str">
        <f t="shared" si="116"/>
        <v/>
      </c>
      <c r="AH456" t="str">
        <f t="shared" si="117"/>
        <v/>
      </c>
      <c r="AI456" s="254" t="str">
        <f t="shared" ca="1" si="121"/>
        <v>437</v>
      </c>
      <c r="AJ456" s="254" t="str">
        <f t="shared" ca="1" si="122"/>
        <v>437</v>
      </c>
      <c r="AK456" s="351"/>
    </row>
    <row r="457" spans="1:37">
      <c r="A457" s="74">
        <v>438</v>
      </c>
      <c r="B457" s="252"/>
      <c r="C457" s="293" t="str">
        <f t="shared" si="123"/>
        <v/>
      </c>
      <c r="D457" s="294" t="str">
        <f t="shared" si="124"/>
        <v/>
      </c>
      <c r="E457" s="287"/>
      <c r="F457" s="293" t="str">
        <f t="shared" si="109"/>
        <v/>
      </c>
      <c r="G457" s="294" t="str">
        <f t="shared" si="110"/>
        <v/>
      </c>
      <c r="H457" s="290"/>
      <c r="I457" s="254" t="str">
        <f t="shared" ca="1" si="118"/>
        <v>1</v>
      </c>
      <c r="J457" s="254" t="str">
        <f t="shared" ca="1" si="119"/>
        <v>1</v>
      </c>
      <c r="K457" s="230" t="str">
        <f>IF(Giocatori!B446=0,"",Giocatori!B446)</f>
        <v>RUGANI</v>
      </c>
      <c r="L457" s="230" t="str">
        <f>IF(Giocatori!A446=0,"",Giocatori!A446)</f>
        <v>D</v>
      </c>
      <c r="M457" s="230" t="str">
        <f>IF(Giocatori!C446=0,"",Giocatori!C446)</f>
        <v>Juventus</v>
      </c>
      <c r="N457" s="69" t="str">
        <f t="shared" si="111"/>
        <v/>
      </c>
      <c r="O457" t="str">
        <f t="shared" si="112"/>
        <v>RUGANI</v>
      </c>
      <c r="P457" s="7">
        <f t="shared" ca="1" si="120"/>
        <v>457</v>
      </c>
      <c r="Q457" s="7" t="str">
        <f t="shared" ca="1" si="113"/>
        <v>RUGANI</v>
      </c>
      <c r="Z457" s="256"/>
      <c r="AA457" s="219"/>
      <c r="AB457" s="293" t="str">
        <f t="shared" si="114"/>
        <v/>
      </c>
      <c r="AC457" s="294" t="str">
        <f t="shared" si="115"/>
        <v/>
      </c>
      <c r="AD457" s="219"/>
      <c r="AE457" s="219"/>
      <c r="AF457" s="293" t="str">
        <f>IF(AA457="","",VLOOKUP(AA457,Asta!$B:$H,7,FALSE))</f>
        <v/>
      </c>
      <c r="AG457" s="294" t="str">
        <f t="shared" si="116"/>
        <v/>
      </c>
      <c r="AH457" t="str">
        <f t="shared" si="117"/>
        <v/>
      </c>
      <c r="AI457" s="254" t="str">
        <f t="shared" ca="1" si="121"/>
        <v>438</v>
      </c>
      <c r="AJ457" s="254" t="str">
        <f t="shared" ca="1" si="122"/>
        <v>438</v>
      </c>
      <c r="AK457" s="351"/>
    </row>
    <row r="458" spans="1:37">
      <c r="A458" s="74">
        <v>439</v>
      </c>
      <c r="B458" s="252"/>
      <c r="C458" s="293" t="str">
        <f t="shared" si="123"/>
        <v/>
      </c>
      <c r="D458" s="294" t="str">
        <f t="shared" si="124"/>
        <v/>
      </c>
      <c r="E458" s="287"/>
      <c r="F458" s="293" t="str">
        <f t="shared" si="109"/>
        <v/>
      </c>
      <c r="G458" s="294" t="str">
        <f t="shared" si="110"/>
        <v/>
      </c>
      <c r="H458" s="290"/>
      <c r="I458" s="254" t="str">
        <f t="shared" ca="1" si="118"/>
        <v>1</v>
      </c>
      <c r="J458" s="254" t="str">
        <f t="shared" ca="1" si="119"/>
        <v>1</v>
      </c>
      <c r="K458" s="230" t="str">
        <f>IF(Giocatori!B447=0,"",Giocatori!B447)</f>
        <v>SADIQ</v>
      </c>
      <c r="L458" s="230" t="str">
        <f>IF(Giocatori!A447=0,"",Giocatori!A447)</f>
        <v>A</v>
      </c>
      <c r="M458" s="230" t="str">
        <f>IF(Giocatori!C447=0,"",Giocatori!C447)</f>
        <v>Torino</v>
      </c>
      <c r="N458" s="69" t="str">
        <f t="shared" si="111"/>
        <v/>
      </c>
      <c r="O458" t="str">
        <f t="shared" si="112"/>
        <v>SADIQ</v>
      </c>
      <c r="P458" s="7">
        <f t="shared" ca="1" si="120"/>
        <v>458</v>
      </c>
      <c r="Q458" s="7" t="str">
        <f t="shared" ca="1" si="113"/>
        <v>SADIQ</v>
      </c>
      <c r="Z458" s="256"/>
      <c r="AA458" s="219"/>
      <c r="AB458" s="293" t="str">
        <f t="shared" si="114"/>
        <v/>
      </c>
      <c r="AC458" s="294" t="str">
        <f t="shared" si="115"/>
        <v/>
      </c>
      <c r="AD458" s="219"/>
      <c r="AE458" s="219"/>
      <c r="AF458" s="293" t="str">
        <f>IF(AA458="","",VLOOKUP(AA458,Asta!$B:$H,7,FALSE))</f>
        <v/>
      </c>
      <c r="AG458" s="294" t="str">
        <f t="shared" si="116"/>
        <v/>
      </c>
      <c r="AH458" t="str">
        <f t="shared" si="117"/>
        <v/>
      </c>
      <c r="AI458" s="254" t="str">
        <f t="shared" ca="1" si="121"/>
        <v>439</v>
      </c>
      <c r="AJ458" s="254" t="str">
        <f t="shared" ca="1" si="122"/>
        <v>439</v>
      </c>
      <c r="AK458" s="351"/>
    </row>
    <row r="459" spans="1:37">
      <c r="A459" s="74">
        <v>440</v>
      </c>
      <c r="B459" s="252"/>
      <c r="C459" s="293" t="str">
        <f t="shared" si="123"/>
        <v/>
      </c>
      <c r="D459" s="294" t="str">
        <f t="shared" si="124"/>
        <v/>
      </c>
      <c r="E459" s="287"/>
      <c r="F459" s="293" t="str">
        <f t="shared" si="109"/>
        <v/>
      </c>
      <c r="G459" s="294" t="str">
        <f t="shared" si="110"/>
        <v/>
      </c>
      <c r="H459" s="290"/>
      <c r="I459" s="254" t="str">
        <f t="shared" ca="1" si="118"/>
        <v>1</v>
      </c>
      <c r="J459" s="254" t="str">
        <f t="shared" ca="1" si="119"/>
        <v>1</v>
      </c>
      <c r="K459" s="230" t="str">
        <f>IF(Giocatori!B448=0,"",Giocatori!B448)</f>
        <v>SALA</v>
      </c>
      <c r="L459" s="230" t="str">
        <f>IF(Giocatori!A448=0,"",Giocatori!A448)</f>
        <v>D</v>
      </c>
      <c r="M459" s="230" t="str">
        <f>IF(Giocatori!C448=0,"",Giocatori!C448)</f>
        <v>Sampdoria</v>
      </c>
      <c r="N459" s="69" t="str">
        <f t="shared" si="111"/>
        <v/>
      </c>
      <c r="O459" t="str">
        <f t="shared" si="112"/>
        <v>SALA</v>
      </c>
      <c r="P459" s="7">
        <f t="shared" ca="1" si="120"/>
        <v>459</v>
      </c>
      <c r="Q459" s="7" t="str">
        <f t="shared" ca="1" si="113"/>
        <v>SALA</v>
      </c>
      <c r="Z459" s="256"/>
      <c r="AA459" s="219"/>
      <c r="AB459" s="293" t="str">
        <f t="shared" si="114"/>
        <v/>
      </c>
      <c r="AC459" s="294" t="str">
        <f t="shared" si="115"/>
        <v/>
      </c>
      <c r="AD459" s="219"/>
      <c r="AE459" s="219"/>
      <c r="AF459" s="293" t="str">
        <f>IF(AA459="","",VLOOKUP(AA459,Asta!$B:$H,7,FALSE))</f>
        <v/>
      </c>
      <c r="AG459" s="294" t="str">
        <f t="shared" si="116"/>
        <v/>
      </c>
      <c r="AH459" t="str">
        <f t="shared" si="117"/>
        <v/>
      </c>
      <c r="AI459" s="254" t="str">
        <f t="shared" ca="1" si="121"/>
        <v>440</v>
      </c>
      <c r="AJ459" s="254" t="str">
        <f t="shared" ca="1" si="122"/>
        <v>440</v>
      </c>
      <c r="AK459" s="351"/>
    </row>
    <row r="460" spans="1:37">
      <c r="A460" s="74">
        <v>441</v>
      </c>
      <c r="B460" s="252"/>
      <c r="C460" s="293" t="str">
        <f t="shared" si="123"/>
        <v/>
      </c>
      <c r="D460" s="294" t="str">
        <f t="shared" si="124"/>
        <v/>
      </c>
      <c r="E460" s="287"/>
      <c r="F460" s="293" t="str">
        <f t="shared" si="109"/>
        <v/>
      </c>
      <c r="G460" s="294" t="str">
        <f t="shared" si="110"/>
        <v/>
      </c>
      <c r="H460" s="290"/>
      <c r="I460" s="254" t="str">
        <f t="shared" ca="1" si="118"/>
        <v>1</v>
      </c>
      <c r="J460" s="254" t="str">
        <f t="shared" ca="1" si="119"/>
        <v>1</v>
      </c>
      <c r="K460" s="230" t="str">
        <f>IF(Giocatori!B449=0,"",Giocatori!B449)</f>
        <v>SALAMON</v>
      </c>
      <c r="L460" s="230" t="str">
        <f>IF(Giocatori!A449=0,"",Giocatori!A449)</f>
        <v>D</v>
      </c>
      <c r="M460" s="230" t="str">
        <f>IF(Giocatori!C449=0,"",Giocatori!C449)</f>
        <v>SPAL</v>
      </c>
      <c r="N460" s="69" t="str">
        <f t="shared" si="111"/>
        <v/>
      </c>
      <c r="O460" t="str">
        <f t="shared" si="112"/>
        <v>SALAMON</v>
      </c>
      <c r="P460" s="7">
        <f t="shared" ca="1" si="120"/>
        <v>460</v>
      </c>
      <c r="Q460" s="7" t="str">
        <f t="shared" ca="1" si="113"/>
        <v>SALAMON</v>
      </c>
      <c r="Z460" s="256"/>
      <c r="AA460" s="219"/>
      <c r="AB460" s="293" t="str">
        <f t="shared" si="114"/>
        <v/>
      </c>
      <c r="AC460" s="294" t="str">
        <f t="shared" si="115"/>
        <v/>
      </c>
      <c r="AD460" s="219"/>
      <c r="AE460" s="219"/>
      <c r="AF460" s="293" t="str">
        <f>IF(AA460="","",VLOOKUP(AA460,Asta!$B:$H,7,FALSE))</f>
        <v/>
      </c>
      <c r="AG460" s="294" t="str">
        <f t="shared" si="116"/>
        <v/>
      </c>
      <c r="AH460" t="str">
        <f t="shared" si="117"/>
        <v/>
      </c>
      <c r="AI460" s="254" t="str">
        <f t="shared" ca="1" si="121"/>
        <v>441</v>
      </c>
      <c r="AJ460" s="254" t="str">
        <f t="shared" ca="1" si="122"/>
        <v>441</v>
      </c>
      <c r="AK460" s="351"/>
    </row>
    <row r="461" spans="1:37">
      <c r="A461" s="74">
        <v>442</v>
      </c>
      <c r="B461" s="252"/>
      <c r="C461" s="293" t="str">
        <f t="shared" si="123"/>
        <v/>
      </c>
      <c r="D461" s="294" t="str">
        <f t="shared" si="124"/>
        <v/>
      </c>
      <c r="E461" s="287"/>
      <c r="F461" s="293" t="str">
        <f t="shared" si="109"/>
        <v/>
      </c>
      <c r="G461" s="294" t="str">
        <f t="shared" si="110"/>
        <v/>
      </c>
      <c r="H461" s="290"/>
      <c r="I461" s="254" t="str">
        <f t="shared" ca="1" si="118"/>
        <v>1</v>
      </c>
      <c r="J461" s="254" t="str">
        <f t="shared" ca="1" si="119"/>
        <v>1</v>
      </c>
      <c r="K461" s="230" t="str">
        <f>IF(Giocatori!B450=0,"",Giocatori!B450)</f>
        <v>SALCEDO MORA</v>
      </c>
      <c r="L461" s="230" t="str">
        <f>IF(Giocatori!A450=0,"",Giocatori!A450)</f>
        <v>A</v>
      </c>
      <c r="M461" s="230" t="str">
        <f>IF(Giocatori!C450=0,"",Giocatori!C450)</f>
        <v>Genoa</v>
      </c>
      <c r="N461" s="69" t="str">
        <f t="shared" si="111"/>
        <v/>
      </c>
      <c r="O461" t="str">
        <f t="shared" si="112"/>
        <v>SALCEDO MORA</v>
      </c>
      <c r="P461" s="7">
        <f t="shared" ca="1" si="120"/>
        <v>461</v>
      </c>
      <c r="Q461" s="7" t="str">
        <f t="shared" ca="1" si="113"/>
        <v>SALCEDO MORA</v>
      </c>
      <c r="Z461" s="256"/>
      <c r="AA461" s="219"/>
      <c r="AB461" s="293" t="str">
        <f t="shared" si="114"/>
        <v/>
      </c>
      <c r="AC461" s="294" t="str">
        <f t="shared" si="115"/>
        <v/>
      </c>
      <c r="AD461" s="219"/>
      <c r="AE461" s="219"/>
      <c r="AF461" s="293" t="str">
        <f>IF(AA461="","",VLOOKUP(AA461,Asta!$B:$H,7,FALSE))</f>
        <v/>
      </c>
      <c r="AG461" s="294" t="str">
        <f t="shared" si="116"/>
        <v/>
      </c>
      <c r="AH461" t="str">
        <f t="shared" si="117"/>
        <v/>
      </c>
      <c r="AI461" s="254" t="str">
        <f t="shared" ca="1" si="121"/>
        <v>442</v>
      </c>
      <c r="AJ461" s="254" t="str">
        <f t="shared" ca="1" si="122"/>
        <v>442</v>
      </c>
      <c r="AK461" s="351"/>
    </row>
    <row r="462" spans="1:37">
      <c r="A462" s="74">
        <v>443</v>
      </c>
      <c r="B462" s="252"/>
      <c r="C462" s="293" t="str">
        <f t="shared" si="123"/>
        <v/>
      </c>
      <c r="D462" s="294" t="str">
        <f t="shared" si="124"/>
        <v/>
      </c>
      <c r="E462" s="287"/>
      <c r="F462" s="293" t="str">
        <f t="shared" si="109"/>
        <v/>
      </c>
      <c r="G462" s="294" t="str">
        <f t="shared" si="110"/>
        <v/>
      </c>
      <c r="H462" s="290"/>
      <c r="I462" s="254" t="str">
        <f t="shared" ca="1" si="118"/>
        <v>1</v>
      </c>
      <c r="J462" s="254" t="str">
        <f t="shared" ca="1" si="119"/>
        <v>1</v>
      </c>
      <c r="K462" s="230" t="str">
        <f>IF(Giocatori!B451=0,"",Giocatori!B451)</f>
        <v>SAMIR</v>
      </c>
      <c r="L462" s="230" t="str">
        <f>IF(Giocatori!A451=0,"",Giocatori!A451)</f>
        <v>D</v>
      </c>
      <c r="M462" s="230" t="str">
        <f>IF(Giocatori!C451=0,"",Giocatori!C451)</f>
        <v>Udinese</v>
      </c>
      <c r="N462" s="69" t="str">
        <f t="shared" si="111"/>
        <v/>
      </c>
      <c r="O462" t="str">
        <f t="shared" si="112"/>
        <v>SAMIR</v>
      </c>
      <c r="P462" s="7">
        <f t="shared" ca="1" si="120"/>
        <v>462</v>
      </c>
      <c r="Q462" s="7" t="str">
        <f t="shared" ca="1" si="113"/>
        <v>SAMIR</v>
      </c>
      <c r="Z462" s="256"/>
      <c r="AA462" s="219"/>
      <c r="AB462" s="293" t="str">
        <f t="shared" si="114"/>
        <v/>
      </c>
      <c r="AC462" s="294" t="str">
        <f t="shared" si="115"/>
        <v/>
      </c>
      <c r="AD462" s="219"/>
      <c r="AE462" s="219"/>
      <c r="AF462" s="293" t="str">
        <f>IF(AA462="","",VLOOKUP(AA462,Asta!$B:$H,7,FALSE))</f>
        <v/>
      </c>
      <c r="AG462" s="294" t="str">
        <f t="shared" si="116"/>
        <v/>
      </c>
      <c r="AH462" t="str">
        <f t="shared" si="117"/>
        <v/>
      </c>
      <c r="AI462" s="254" t="str">
        <f t="shared" ca="1" si="121"/>
        <v>443</v>
      </c>
      <c r="AJ462" s="254" t="str">
        <f t="shared" ca="1" si="122"/>
        <v>443</v>
      </c>
      <c r="AK462" s="351"/>
    </row>
    <row r="463" spans="1:37">
      <c r="A463" s="74">
        <v>444</v>
      </c>
      <c r="B463" s="252"/>
      <c r="C463" s="293" t="str">
        <f t="shared" si="123"/>
        <v/>
      </c>
      <c r="D463" s="294" t="str">
        <f t="shared" si="124"/>
        <v/>
      </c>
      <c r="E463" s="287"/>
      <c r="F463" s="293" t="str">
        <f t="shared" si="109"/>
        <v/>
      </c>
      <c r="G463" s="294" t="str">
        <f t="shared" si="110"/>
        <v/>
      </c>
      <c r="H463" s="290"/>
      <c r="I463" s="254" t="str">
        <f t="shared" ca="1" si="118"/>
        <v>1</v>
      </c>
      <c r="J463" s="254" t="str">
        <f t="shared" ca="1" si="119"/>
        <v>1</v>
      </c>
      <c r="K463" s="230" t="str">
        <f>IF(Giocatori!B452=0,"",Giocatori!B452)</f>
        <v>SAMPIRISI</v>
      </c>
      <c r="L463" s="230" t="str">
        <f>IF(Giocatori!A452=0,"",Giocatori!A452)</f>
        <v>D</v>
      </c>
      <c r="M463" s="230" t="str">
        <f>IF(Giocatori!C452=0,"",Giocatori!C452)</f>
        <v>Crotone</v>
      </c>
      <c r="N463" s="69" t="str">
        <f t="shared" si="111"/>
        <v/>
      </c>
      <c r="O463" t="str">
        <f t="shared" si="112"/>
        <v>SAMPIRISI</v>
      </c>
      <c r="P463" s="7">
        <f t="shared" ca="1" si="120"/>
        <v>463</v>
      </c>
      <c r="Q463" s="7" t="str">
        <f t="shared" ca="1" si="113"/>
        <v>SAMPIRISI</v>
      </c>
      <c r="Z463" s="256"/>
      <c r="AA463" s="219"/>
      <c r="AB463" s="293" t="str">
        <f t="shared" si="114"/>
        <v/>
      </c>
      <c r="AC463" s="294" t="str">
        <f t="shared" si="115"/>
        <v/>
      </c>
      <c r="AD463" s="219"/>
      <c r="AE463" s="219"/>
      <c r="AF463" s="293" t="str">
        <f>IF(AA463="","",VLOOKUP(AA463,Asta!$B:$H,7,FALSE))</f>
        <v/>
      </c>
      <c r="AG463" s="294" t="str">
        <f t="shared" si="116"/>
        <v/>
      </c>
      <c r="AH463" t="str">
        <f t="shared" si="117"/>
        <v/>
      </c>
      <c r="AI463" s="254" t="str">
        <f t="shared" ca="1" si="121"/>
        <v>444</v>
      </c>
      <c r="AJ463" s="254" t="str">
        <f t="shared" ca="1" si="122"/>
        <v>444</v>
      </c>
      <c r="AK463" s="351"/>
    </row>
    <row r="464" spans="1:37">
      <c r="A464" s="74">
        <v>445</v>
      </c>
      <c r="B464" s="252"/>
      <c r="C464" s="293" t="str">
        <f t="shared" si="123"/>
        <v/>
      </c>
      <c r="D464" s="294" t="str">
        <f t="shared" si="124"/>
        <v/>
      </c>
      <c r="E464" s="287"/>
      <c r="F464" s="293" t="str">
        <f t="shared" si="109"/>
        <v/>
      </c>
      <c r="G464" s="294" t="str">
        <f t="shared" si="110"/>
        <v/>
      </c>
      <c r="H464" s="290"/>
      <c r="I464" s="254" t="str">
        <f t="shared" ca="1" si="118"/>
        <v>1</v>
      </c>
      <c r="J464" s="254" t="str">
        <f t="shared" ca="1" si="119"/>
        <v>1</v>
      </c>
      <c r="K464" s="230" t="str">
        <f>IF(Giocatori!B453=0,"",Giocatori!B453)</f>
        <v>SANCHEZ</v>
      </c>
      <c r="L464" s="230" t="str">
        <f>IF(Giocatori!A453=0,"",Giocatori!A453)</f>
        <v>C</v>
      </c>
      <c r="M464" s="230" t="str">
        <f>IF(Giocatori!C453=0,"",Giocatori!C453)</f>
        <v>Fiorentina</v>
      </c>
      <c r="N464" s="69" t="str">
        <f t="shared" si="111"/>
        <v/>
      </c>
      <c r="O464" t="str">
        <f t="shared" si="112"/>
        <v>SANCHEZ</v>
      </c>
      <c r="P464" s="7">
        <f t="shared" ca="1" si="120"/>
        <v>464</v>
      </c>
      <c r="Q464" s="7" t="str">
        <f t="shared" ca="1" si="113"/>
        <v>SANCHEZ</v>
      </c>
      <c r="Z464" s="256"/>
      <c r="AA464" s="219"/>
      <c r="AB464" s="293" t="str">
        <f t="shared" si="114"/>
        <v/>
      </c>
      <c r="AC464" s="294" t="str">
        <f t="shared" si="115"/>
        <v/>
      </c>
      <c r="AD464" s="219"/>
      <c r="AE464" s="219"/>
      <c r="AF464" s="293" t="str">
        <f>IF(AA464="","",VLOOKUP(AA464,Asta!$B:$H,7,FALSE))</f>
        <v/>
      </c>
      <c r="AG464" s="294" t="str">
        <f t="shared" si="116"/>
        <v/>
      </c>
      <c r="AH464" t="str">
        <f t="shared" si="117"/>
        <v/>
      </c>
      <c r="AI464" s="254" t="str">
        <f t="shared" ca="1" si="121"/>
        <v>445</v>
      </c>
      <c r="AJ464" s="254" t="str">
        <f t="shared" ca="1" si="122"/>
        <v>445</v>
      </c>
      <c r="AK464" s="351"/>
    </row>
    <row r="465" spans="1:37">
      <c r="A465" s="74">
        <v>446</v>
      </c>
      <c r="B465" s="252"/>
      <c r="C465" s="293" t="str">
        <f t="shared" si="123"/>
        <v/>
      </c>
      <c r="D465" s="294" t="str">
        <f t="shared" si="124"/>
        <v/>
      </c>
      <c r="E465" s="287"/>
      <c r="F465" s="293" t="str">
        <f t="shared" si="109"/>
        <v/>
      </c>
      <c r="G465" s="294" t="str">
        <f t="shared" si="110"/>
        <v/>
      </c>
      <c r="H465" s="290"/>
      <c r="I465" s="254" t="str">
        <f t="shared" ca="1" si="118"/>
        <v>1</v>
      </c>
      <c r="J465" s="254" t="str">
        <f t="shared" ca="1" si="119"/>
        <v>1</v>
      </c>
      <c r="K465" s="230" t="str">
        <f>IF(Giocatori!B454=0,"",Giocatori!B454)</f>
        <v>SANTON</v>
      </c>
      <c r="L465" s="230" t="str">
        <f>IF(Giocatori!A454=0,"",Giocatori!A454)</f>
        <v>D</v>
      </c>
      <c r="M465" s="230" t="str">
        <f>IF(Giocatori!C454=0,"",Giocatori!C454)</f>
        <v>Inter</v>
      </c>
      <c r="N465" s="69" t="str">
        <f t="shared" si="111"/>
        <v/>
      </c>
      <c r="O465" t="str">
        <f t="shared" si="112"/>
        <v>SANTON</v>
      </c>
      <c r="P465" s="7">
        <f t="shared" ca="1" si="120"/>
        <v>465</v>
      </c>
      <c r="Q465" s="7" t="str">
        <f t="shared" ca="1" si="113"/>
        <v>SANTON</v>
      </c>
      <c r="Z465" s="256"/>
      <c r="AA465" s="219"/>
      <c r="AB465" s="293" t="str">
        <f t="shared" si="114"/>
        <v/>
      </c>
      <c r="AC465" s="294" t="str">
        <f t="shared" si="115"/>
        <v/>
      </c>
      <c r="AD465" s="219"/>
      <c r="AE465" s="219"/>
      <c r="AF465" s="293" t="str">
        <f>IF(AA465="","",VLOOKUP(AA465,Asta!$B:$H,7,FALSE))</f>
        <v/>
      </c>
      <c r="AG465" s="294" t="str">
        <f t="shared" si="116"/>
        <v/>
      </c>
      <c r="AH465" t="str">
        <f t="shared" si="117"/>
        <v/>
      </c>
      <c r="AI465" s="254" t="str">
        <f t="shared" ca="1" si="121"/>
        <v>446</v>
      </c>
      <c r="AJ465" s="254" t="str">
        <f t="shared" ca="1" si="122"/>
        <v>446</v>
      </c>
      <c r="AK465" s="351"/>
    </row>
    <row r="466" spans="1:37">
      <c r="A466" s="74">
        <v>447</v>
      </c>
      <c r="B466" s="252"/>
      <c r="C466" s="293" t="str">
        <f t="shared" si="123"/>
        <v/>
      </c>
      <c r="D466" s="294" t="str">
        <f t="shared" si="124"/>
        <v/>
      </c>
      <c r="E466" s="287"/>
      <c r="F466" s="293" t="str">
        <f t="shared" si="109"/>
        <v/>
      </c>
      <c r="G466" s="294" t="str">
        <f t="shared" si="110"/>
        <v/>
      </c>
      <c r="H466" s="290"/>
      <c r="I466" s="254" t="str">
        <f t="shared" ca="1" si="118"/>
        <v>1</v>
      </c>
      <c r="J466" s="254" t="str">
        <f t="shared" ca="1" si="119"/>
        <v>1</v>
      </c>
      <c r="K466" s="230" t="str">
        <f>IF(Giocatori!B455=0,"",Giocatori!B455)</f>
        <v>SANTURRO</v>
      </c>
      <c r="L466" s="230" t="str">
        <f>IF(Giocatori!A455=0,"",Giocatori!A455)</f>
        <v>P</v>
      </c>
      <c r="M466" s="230" t="str">
        <f>IF(Giocatori!C455=0,"",Giocatori!C455)</f>
        <v>Bologna</v>
      </c>
      <c r="N466" s="69" t="str">
        <f t="shared" si="111"/>
        <v/>
      </c>
      <c r="O466" t="str">
        <f t="shared" si="112"/>
        <v>SANTURRO</v>
      </c>
      <c r="P466" s="7">
        <f t="shared" ca="1" si="120"/>
        <v>466</v>
      </c>
      <c r="Q466" s="7" t="str">
        <f t="shared" ca="1" si="113"/>
        <v>SANTURRO</v>
      </c>
      <c r="Z466" s="256"/>
      <c r="AA466" s="219"/>
      <c r="AB466" s="293" t="str">
        <f t="shared" si="114"/>
        <v/>
      </c>
      <c r="AC466" s="294" t="str">
        <f t="shared" si="115"/>
        <v/>
      </c>
      <c r="AD466" s="219"/>
      <c r="AE466" s="219"/>
      <c r="AF466" s="293" t="str">
        <f>IF(AA466="","",VLOOKUP(AA466,Asta!$B:$H,7,FALSE))</f>
        <v/>
      </c>
      <c r="AG466" s="294" t="str">
        <f t="shared" si="116"/>
        <v/>
      </c>
      <c r="AH466" t="str">
        <f t="shared" si="117"/>
        <v/>
      </c>
      <c r="AI466" s="254" t="str">
        <f t="shared" ca="1" si="121"/>
        <v>447</v>
      </c>
      <c r="AJ466" s="254" t="str">
        <f t="shared" ca="1" si="122"/>
        <v>447</v>
      </c>
      <c r="AK466" s="351"/>
    </row>
    <row r="467" spans="1:37">
      <c r="A467" s="74">
        <v>448</v>
      </c>
      <c r="B467" s="252"/>
      <c r="C467" s="293" t="str">
        <f t="shared" si="123"/>
        <v/>
      </c>
      <c r="D467" s="294" t="str">
        <f t="shared" si="124"/>
        <v/>
      </c>
      <c r="E467" s="287"/>
      <c r="F467" s="293" t="str">
        <f t="shared" si="109"/>
        <v/>
      </c>
      <c r="G467" s="294" t="str">
        <f t="shared" si="110"/>
        <v/>
      </c>
      <c r="H467" s="290"/>
      <c r="I467" s="254" t="str">
        <f t="shared" ca="1" si="118"/>
        <v>1</v>
      </c>
      <c r="J467" s="254" t="str">
        <f t="shared" ca="1" si="119"/>
        <v>1</v>
      </c>
      <c r="K467" s="230" t="str">
        <f>IF(Giocatori!B456=0,"",Giocatori!B456)</f>
        <v>SAPONARA</v>
      </c>
      <c r="L467" s="230" t="str">
        <f>IF(Giocatori!A456=0,"",Giocatori!A456)</f>
        <v>C</v>
      </c>
      <c r="M467" s="230" t="str">
        <f>IF(Giocatori!C456=0,"",Giocatori!C456)</f>
        <v>Fiorentina</v>
      </c>
      <c r="N467" s="69" t="str">
        <f t="shared" si="111"/>
        <v/>
      </c>
      <c r="O467" t="str">
        <f t="shared" si="112"/>
        <v>SAPONARA</v>
      </c>
      <c r="P467" s="7">
        <f t="shared" ca="1" si="120"/>
        <v>467</v>
      </c>
      <c r="Q467" s="7" t="str">
        <f t="shared" ca="1" si="113"/>
        <v>SAPONARA</v>
      </c>
      <c r="Z467" s="256"/>
      <c r="AA467" s="219"/>
      <c r="AB467" s="293" t="str">
        <f t="shared" si="114"/>
        <v/>
      </c>
      <c r="AC467" s="294" t="str">
        <f t="shared" si="115"/>
        <v/>
      </c>
      <c r="AD467" s="219"/>
      <c r="AE467" s="219"/>
      <c r="AF467" s="293" t="str">
        <f>IF(AA467="","",VLOOKUP(AA467,Asta!$B:$H,7,FALSE))</f>
        <v/>
      </c>
      <c r="AG467" s="294" t="str">
        <f t="shared" si="116"/>
        <v/>
      </c>
      <c r="AH467" t="str">
        <f t="shared" si="117"/>
        <v/>
      </c>
      <c r="AI467" s="254" t="str">
        <f t="shared" ca="1" si="121"/>
        <v>448</v>
      </c>
      <c r="AJ467" s="254" t="str">
        <f t="shared" ca="1" si="122"/>
        <v>448</v>
      </c>
      <c r="AK467" s="351"/>
    </row>
    <row r="468" spans="1:37">
      <c r="A468" s="74">
        <v>449</v>
      </c>
      <c r="B468" s="252"/>
      <c r="C468" s="293" t="str">
        <f t="shared" si="123"/>
        <v/>
      </c>
      <c r="D468" s="294" t="str">
        <f t="shared" si="124"/>
        <v/>
      </c>
      <c r="E468" s="287"/>
      <c r="F468" s="293" t="str">
        <f t="shared" ref="F468:F531" si="125">IF(B468="","",IF(ISNA(VLOOKUP(B468,$AA$20:$AE$807,5,FALSE)),"",VLOOKUP(B468,$AA$20:$AE$807,5,FALSE)))</f>
        <v/>
      </c>
      <c r="G468" s="294" t="str">
        <f t="shared" ref="G468:G531" si="126">IF(B468="","",IF(F468="",IF(E468="","",E468),F468))</f>
        <v/>
      </c>
      <c r="H468" s="290"/>
      <c r="I468" s="254" t="str">
        <f t="shared" ca="1" si="118"/>
        <v>1</v>
      </c>
      <c r="J468" s="254" t="str">
        <f t="shared" ca="1" si="119"/>
        <v>1</v>
      </c>
      <c r="K468" s="230" t="str">
        <f>IF(Giocatori!B457=0,"",Giocatori!B457)</f>
        <v>SATALINO</v>
      </c>
      <c r="L468" s="230" t="str">
        <f>IF(Giocatori!A457=0,"",Giocatori!A457)</f>
        <v>P</v>
      </c>
      <c r="M468" s="230" t="str">
        <f>IF(Giocatori!C457=0,"",Giocatori!C457)</f>
        <v>Sassuolo</v>
      </c>
      <c r="N468" s="69" t="str">
        <f t="shared" ref="N468:N531" si="127">IF(B468=0,"",B468)</f>
        <v/>
      </c>
      <c r="O468" t="str">
        <f t="shared" ref="O468:O531" si="128">IF(ISNA(VLOOKUP(K468,$N$20:$N$720,1,FALSE)),K468,"")</f>
        <v>SATALINO</v>
      </c>
      <c r="P468" s="7">
        <f t="shared" ca="1" si="120"/>
        <v>468</v>
      </c>
      <c r="Q468" s="7" t="str">
        <f t="shared" ref="Q468:Q531" ca="1" si="129">IF(ISERROR(INDEX($O$6:$O$720,MATCH(ROW(),$P$6:$P$720,FALSE))),"",INDEX($O$6:$O$720,MATCH(ROW(),$P$6:$P$720,FALSE)))</f>
        <v>SATALINO</v>
      </c>
      <c r="Z468" s="256"/>
      <c r="AA468" s="219"/>
      <c r="AB468" s="293" t="str">
        <f t="shared" ref="AB468:AB531" si="130">IF(AA468&lt;&gt;"",VLOOKUP(AA468,$K:$M,2,FALSE),"")</f>
        <v/>
      </c>
      <c r="AC468" s="294" t="str">
        <f t="shared" ref="AC468:AC531" si="131">IF(AA468&lt;&gt;"",VLOOKUP(AA468,$K:$M,3,FALSE),"")</f>
        <v/>
      </c>
      <c r="AD468" s="219"/>
      <c r="AE468" s="219"/>
      <c r="AF468" s="293" t="str">
        <f>IF(AA468="","",VLOOKUP(AA468,Asta!$B:$H,7,FALSE))</f>
        <v/>
      </c>
      <c r="AG468" s="294" t="str">
        <f t="shared" ref="AG468:AG531" si="132">IF(AD468="","",IF(AD468=$Y$20,-AF468,IF(AD468=$Y$21,AF468)))</f>
        <v/>
      </c>
      <c r="AH468" t="str">
        <f t="shared" ref="AH468:AH531" si="133">IF(AG468="","",-AG468)</f>
        <v/>
      </c>
      <c r="AI468" s="254" t="str">
        <f t="shared" ca="1" si="121"/>
        <v>449</v>
      </c>
      <c r="AJ468" s="254" t="str">
        <f t="shared" ca="1" si="122"/>
        <v>449</v>
      </c>
      <c r="AK468" s="351"/>
    </row>
    <row r="469" spans="1:37">
      <c r="A469" s="74">
        <v>450</v>
      </c>
      <c r="B469" s="252"/>
      <c r="C469" s="293" t="str">
        <f t="shared" si="123"/>
        <v/>
      </c>
      <c r="D469" s="294" t="str">
        <f t="shared" si="124"/>
        <v/>
      </c>
      <c r="E469" s="287"/>
      <c r="F469" s="293" t="str">
        <f t="shared" si="125"/>
        <v/>
      </c>
      <c r="G469" s="294" t="str">
        <f t="shared" si="126"/>
        <v/>
      </c>
      <c r="H469" s="290"/>
      <c r="I469" s="254" t="str">
        <f t="shared" ref="I469:I532" ca="1" si="134">G469&amp;C469&amp;COUNTIFS(INDIRECT("$C$19:$C$" &amp; ROW()-1),"="&amp;C469,INDIRECT("$G$19:$G$" &amp; ROW()-1),"="&amp;G469)+1</f>
        <v>1</v>
      </c>
      <c r="J469" s="254" t="str">
        <f t="shared" ref="J469:J532" ca="1" si="135">G469&amp;COUNTIFS(INDIRECT("$G$19:$G$" &amp; ROW()-1),"="&amp;G469)+1</f>
        <v>1</v>
      </c>
      <c r="K469" s="230" t="str">
        <f>IF(Giocatori!B458=0,"",Giocatori!B458)</f>
        <v>SAU</v>
      </c>
      <c r="L469" s="230" t="str">
        <f>IF(Giocatori!A458=0,"",Giocatori!A458)</f>
        <v>A</v>
      </c>
      <c r="M469" s="230" t="str">
        <f>IF(Giocatori!C458=0,"",Giocatori!C458)</f>
        <v>Cagliari</v>
      </c>
      <c r="N469" s="69" t="str">
        <f t="shared" si="127"/>
        <v/>
      </c>
      <c r="O469" t="str">
        <f t="shared" si="128"/>
        <v>SAU</v>
      </c>
      <c r="P469" s="7">
        <f t="shared" ref="P469:P532" ca="1" si="136">ROW()-COUNTBLANK(INDIRECT("$O$20:O"&amp;ROW()))</f>
        <v>469</v>
      </c>
      <c r="Q469" s="7" t="str">
        <f t="shared" ca="1" si="129"/>
        <v>SAU</v>
      </c>
      <c r="Z469" s="256"/>
      <c r="AA469" s="219"/>
      <c r="AB469" s="293" t="str">
        <f t="shared" si="130"/>
        <v/>
      </c>
      <c r="AC469" s="294" t="str">
        <f t="shared" si="131"/>
        <v/>
      </c>
      <c r="AD469" s="219"/>
      <c r="AE469" s="219"/>
      <c r="AF469" s="293" t="str">
        <f>IF(AA469="","",VLOOKUP(AA469,Asta!$B:$H,7,FALSE))</f>
        <v/>
      </c>
      <c r="AG469" s="294" t="str">
        <f t="shared" si="132"/>
        <v/>
      </c>
      <c r="AH469" t="str">
        <f t="shared" si="133"/>
        <v/>
      </c>
      <c r="AI469" s="254" t="str">
        <f t="shared" ref="AI469:AI532" ca="1" si="137">Z469&amp;COUNTIFS(INDIRECT("$Z$20:$Z$" &amp; ROW()-1),"="&amp;Z469)+1</f>
        <v>450</v>
      </c>
      <c r="AJ469" s="254" t="str">
        <f t="shared" ref="AJ469:AJ532" ca="1" si="138">AE469&amp;COUNTIFS(INDIRECT("$AE$20:$AE$" &amp; ROW()-1),"="&amp;AE469)+1</f>
        <v>450</v>
      </c>
      <c r="AK469" s="351"/>
    </row>
    <row r="470" spans="1:37">
      <c r="A470" s="74">
        <v>451</v>
      </c>
      <c r="B470" s="252"/>
      <c r="C470" s="293" t="str">
        <f t="shared" si="123"/>
        <v/>
      </c>
      <c r="D470" s="294" t="str">
        <f t="shared" si="124"/>
        <v/>
      </c>
      <c r="E470" s="287"/>
      <c r="F470" s="293" t="str">
        <f t="shared" si="125"/>
        <v/>
      </c>
      <c r="G470" s="294" t="str">
        <f t="shared" si="126"/>
        <v/>
      </c>
      <c r="H470" s="290"/>
      <c r="I470" s="254" t="str">
        <f t="shared" ca="1" si="134"/>
        <v>1</v>
      </c>
      <c r="J470" s="254" t="str">
        <f t="shared" ca="1" si="135"/>
        <v>1</v>
      </c>
      <c r="K470" s="230" t="str">
        <f>IF(Giocatori!B459=0,"",Giocatori!B459)</f>
        <v>SCAMACCA</v>
      </c>
      <c r="L470" s="230" t="str">
        <f>IF(Giocatori!A459=0,"",Giocatori!A459)</f>
        <v>A</v>
      </c>
      <c r="M470" s="230" t="str">
        <f>IF(Giocatori!C459=0,"",Giocatori!C459)</f>
        <v>Sassuolo</v>
      </c>
      <c r="N470" s="69" t="str">
        <f t="shared" si="127"/>
        <v/>
      </c>
      <c r="O470" t="str">
        <f t="shared" si="128"/>
        <v>SCAMACCA</v>
      </c>
      <c r="P470" s="7">
        <f t="shared" ca="1" si="136"/>
        <v>470</v>
      </c>
      <c r="Q470" s="7" t="str">
        <f t="shared" ca="1" si="129"/>
        <v>SCAMACCA</v>
      </c>
      <c r="Z470" s="256"/>
      <c r="AA470" s="219"/>
      <c r="AB470" s="293" t="str">
        <f t="shared" si="130"/>
        <v/>
      </c>
      <c r="AC470" s="294" t="str">
        <f t="shared" si="131"/>
        <v/>
      </c>
      <c r="AD470" s="219"/>
      <c r="AE470" s="219"/>
      <c r="AF470" s="293" t="str">
        <f>IF(AA470="","",VLOOKUP(AA470,Asta!$B:$H,7,FALSE))</f>
        <v/>
      </c>
      <c r="AG470" s="294" t="str">
        <f t="shared" si="132"/>
        <v/>
      </c>
      <c r="AH470" t="str">
        <f t="shared" si="133"/>
        <v/>
      </c>
      <c r="AI470" s="254" t="str">
        <f t="shared" ca="1" si="137"/>
        <v>451</v>
      </c>
      <c r="AJ470" s="254" t="str">
        <f t="shared" ca="1" si="138"/>
        <v>451</v>
      </c>
      <c r="AK470" s="351"/>
    </row>
    <row r="471" spans="1:37">
      <c r="A471" s="74">
        <v>452</v>
      </c>
      <c r="B471" s="252"/>
      <c r="C471" s="293" t="str">
        <f t="shared" si="123"/>
        <v/>
      </c>
      <c r="D471" s="294" t="str">
        <f t="shared" si="124"/>
        <v/>
      </c>
      <c r="E471" s="287"/>
      <c r="F471" s="293" t="str">
        <f t="shared" si="125"/>
        <v/>
      </c>
      <c r="G471" s="294" t="str">
        <f t="shared" si="126"/>
        <v/>
      </c>
      <c r="H471" s="290"/>
      <c r="I471" s="254" t="str">
        <f t="shared" ca="1" si="134"/>
        <v>1</v>
      </c>
      <c r="J471" s="254" t="str">
        <f t="shared" ca="1" si="135"/>
        <v>1</v>
      </c>
      <c r="K471" s="230" t="str">
        <f>IF(Giocatori!B460=0,"",Giocatori!B460)</f>
        <v>SCHIATTARELLA</v>
      </c>
      <c r="L471" s="230" t="str">
        <f>IF(Giocatori!A460=0,"",Giocatori!A460)</f>
        <v>C</v>
      </c>
      <c r="M471" s="230" t="str">
        <f>IF(Giocatori!C460=0,"",Giocatori!C460)</f>
        <v>SPAL</v>
      </c>
      <c r="N471" s="69" t="str">
        <f t="shared" si="127"/>
        <v/>
      </c>
      <c r="O471" t="str">
        <f t="shared" si="128"/>
        <v>SCHIATTARELLA</v>
      </c>
      <c r="P471" s="7">
        <f t="shared" ca="1" si="136"/>
        <v>471</v>
      </c>
      <c r="Q471" s="7" t="str">
        <f t="shared" ca="1" si="129"/>
        <v>SCHIATTARELLA</v>
      </c>
      <c r="Z471" s="256"/>
      <c r="AA471" s="219"/>
      <c r="AB471" s="293" t="str">
        <f t="shared" si="130"/>
        <v/>
      </c>
      <c r="AC471" s="294" t="str">
        <f t="shared" si="131"/>
        <v/>
      </c>
      <c r="AD471" s="219"/>
      <c r="AE471" s="219"/>
      <c r="AF471" s="293" t="str">
        <f>IF(AA471="","",VLOOKUP(AA471,Asta!$B:$H,7,FALSE))</f>
        <v/>
      </c>
      <c r="AG471" s="294" t="str">
        <f t="shared" si="132"/>
        <v/>
      </c>
      <c r="AH471" t="str">
        <f t="shared" si="133"/>
        <v/>
      </c>
      <c r="AI471" s="254" t="str">
        <f t="shared" ca="1" si="137"/>
        <v>452</v>
      </c>
      <c r="AJ471" s="254" t="str">
        <f t="shared" ca="1" si="138"/>
        <v>452</v>
      </c>
      <c r="AK471" s="351"/>
    </row>
    <row r="472" spans="1:37">
      <c r="A472" s="74">
        <v>453</v>
      </c>
      <c r="B472" s="252"/>
      <c r="C472" s="293" t="str">
        <f t="shared" si="123"/>
        <v/>
      </c>
      <c r="D472" s="294" t="str">
        <f t="shared" si="124"/>
        <v/>
      </c>
      <c r="E472" s="287"/>
      <c r="F472" s="293" t="str">
        <f t="shared" si="125"/>
        <v/>
      </c>
      <c r="G472" s="294" t="str">
        <f t="shared" si="126"/>
        <v/>
      </c>
      <c r="H472" s="290"/>
      <c r="I472" s="254" t="str">
        <f t="shared" ca="1" si="134"/>
        <v>1</v>
      </c>
      <c r="J472" s="254" t="str">
        <f t="shared" ca="1" si="135"/>
        <v>1</v>
      </c>
      <c r="K472" s="230" t="str">
        <f>IF(Giocatori!B461=0,"",Giocatori!B461)</f>
        <v>SCHIAVON</v>
      </c>
      <c r="L472" s="230" t="str">
        <f>IF(Giocatori!A461=0,"",Giocatori!A461)</f>
        <v>C</v>
      </c>
      <c r="M472" s="230" t="str">
        <f>IF(Giocatori!C461=0,"",Giocatori!C461)</f>
        <v>SPAL</v>
      </c>
      <c r="N472" s="69" t="str">
        <f t="shared" si="127"/>
        <v/>
      </c>
      <c r="O472" t="str">
        <f t="shared" si="128"/>
        <v>SCHIAVON</v>
      </c>
      <c r="P472" s="7">
        <f t="shared" ca="1" si="136"/>
        <v>472</v>
      </c>
      <c r="Q472" s="7" t="str">
        <f t="shared" ca="1" si="129"/>
        <v>SCHIAVON</v>
      </c>
      <c r="Z472" s="256"/>
      <c r="AA472" s="219"/>
      <c r="AB472" s="293" t="str">
        <f t="shared" si="130"/>
        <v/>
      </c>
      <c r="AC472" s="294" t="str">
        <f t="shared" si="131"/>
        <v/>
      </c>
      <c r="AD472" s="219"/>
      <c r="AE472" s="219"/>
      <c r="AF472" s="293" t="str">
        <f>IF(AA472="","",VLOOKUP(AA472,Asta!$B:$H,7,FALSE))</f>
        <v/>
      </c>
      <c r="AG472" s="294" t="str">
        <f t="shared" si="132"/>
        <v/>
      </c>
      <c r="AH472" t="str">
        <f t="shared" si="133"/>
        <v/>
      </c>
      <c r="AI472" s="254" t="str">
        <f t="shared" ca="1" si="137"/>
        <v>453</v>
      </c>
      <c r="AJ472" s="254" t="str">
        <f t="shared" ca="1" si="138"/>
        <v>453</v>
      </c>
      <c r="AK472" s="351"/>
    </row>
    <row r="473" spans="1:37">
      <c r="A473" s="74">
        <v>454</v>
      </c>
      <c r="B473" s="252"/>
      <c r="C473" s="293" t="str">
        <f t="shared" si="123"/>
        <v/>
      </c>
      <c r="D473" s="294" t="str">
        <f t="shared" si="124"/>
        <v/>
      </c>
      <c r="E473" s="287"/>
      <c r="F473" s="293" t="str">
        <f t="shared" si="125"/>
        <v/>
      </c>
      <c r="G473" s="294" t="str">
        <f t="shared" si="126"/>
        <v/>
      </c>
      <c r="H473" s="290"/>
      <c r="I473" s="254" t="str">
        <f t="shared" ca="1" si="134"/>
        <v>1</v>
      </c>
      <c r="J473" s="254" t="str">
        <f t="shared" ca="1" si="135"/>
        <v>1</v>
      </c>
      <c r="K473" s="230" t="str">
        <f>IF(Giocatori!B462=0,"",Giocatori!B462)</f>
        <v>SCHICK</v>
      </c>
      <c r="L473" s="230" t="str">
        <f>IF(Giocatori!A462=0,"",Giocatori!A462)</f>
        <v>A</v>
      </c>
      <c r="M473" s="230" t="str">
        <f>IF(Giocatori!C462=0,"",Giocatori!C462)</f>
        <v>Roma</v>
      </c>
      <c r="N473" s="69" t="str">
        <f t="shared" si="127"/>
        <v/>
      </c>
      <c r="O473" t="str">
        <f t="shared" si="128"/>
        <v>SCHICK</v>
      </c>
      <c r="P473" s="7">
        <f t="shared" ca="1" si="136"/>
        <v>473</v>
      </c>
      <c r="Q473" s="7" t="str">
        <f t="shared" ca="1" si="129"/>
        <v>SCHICK</v>
      </c>
      <c r="Z473" s="256"/>
      <c r="AA473" s="219"/>
      <c r="AB473" s="293" t="str">
        <f t="shared" si="130"/>
        <v/>
      </c>
      <c r="AC473" s="294" t="str">
        <f t="shared" si="131"/>
        <v/>
      </c>
      <c r="AD473" s="219"/>
      <c r="AE473" s="219"/>
      <c r="AF473" s="293" t="str">
        <f>IF(AA473="","",VLOOKUP(AA473,Asta!$B:$H,7,FALSE))</f>
        <v/>
      </c>
      <c r="AG473" s="294" t="str">
        <f t="shared" si="132"/>
        <v/>
      </c>
      <c r="AH473" t="str">
        <f t="shared" si="133"/>
        <v/>
      </c>
      <c r="AI473" s="254" t="str">
        <f t="shared" ca="1" si="137"/>
        <v>454</v>
      </c>
      <c r="AJ473" s="254" t="str">
        <f t="shared" ca="1" si="138"/>
        <v>454</v>
      </c>
      <c r="AK473" s="351"/>
    </row>
    <row r="474" spans="1:37">
      <c r="A474" s="74">
        <v>455</v>
      </c>
      <c r="B474" s="252"/>
      <c r="C474" s="293" t="str">
        <f t="shared" si="123"/>
        <v/>
      </c>
      <c r="D474" s="294" t="str">
        <f t="shared" si="124"/>
        <v/>
      </c>
      <c r="E474" s="287"/>
      <c r="F474" s="293" t="str">
        <f t="shared" si="125"/>
        <v/>
      </c>
      <c r="G474" s="294" t="str">
        <f t="shared" si="126"/>
        <v/>
      </c>
      <c r="H474" s="290"/>
      <c r="I474" s="254" t="str">
        <f t="shared" ca="1" si="134"/>
        <v>1</v>
      </c>
      <c r="J474" s="254" t="str">
        <f t="shared" ca="1" si="135"/>
        <v>1</v>
      </c>
      <c r="K474" s="230" t="str">
        <f>IF(Giocatori!B463=0,"",Giocatori!B463)</f>
        <v>SCUFFET</v>
      </c>
      <c r="L474" s="230" t="str">
        <f>IF(Giocatori!A463=0,"",Giocatori!A463)</f>
        <v>P</v>
      </c>
      <c r="M474" s="230" t="str">
        <f>IF(Giocatori!C463=0,"",Giocatori!C463)</f>
        <v>Udinese</v>
      </c>
      <c r="N474" s="69" t="str">
        <f t="shared" si="127"/>
        <v/>
      </c>
      <c r="O474" t="str">
        <f t="shared" si="128"/>
        <v>SCUFFET</v>
      </c>
      <c r="P474" s="7">
        <f t="shared" ca="1" si="136"/>
        <v>474</v>
      </c>
      <c r="Q474" s="7" t="str">
        <f t="shared" ca="1" si="129"/>
        <v>SCUFFET</v>
      </c>
      <c r="Z474" s="256"/>
      <c r="AA474" s="219"/>
      <c r="AB474" s="293" t="str">
        <f t="shared" si="130"/>
        <v/>
      </c>
      <c r="AC474" s="294" t="str">
        <f t="shared" si="131"/>
        <v/>
      </c>
      <c r="AD474" s="219"/>
      <c r="AE474" s="219"/>
      <c r="AF474" s="293" t="str">
        <f>IF(AA474="","",VLOOKUP(AA474,Asta!$B:$H,7,FALSE))</f>
        <v/>
      </c>
      <c r="AG474" s="294" t="str">
        <f t="shared" si="132"/>
        <v/>
      </c>
      <c r="AH474" t="str">
        <f t="shared" si="133"/>
        <v/>
      </c>
      <c r="AI474" s="254" t="str">
        <f t="shared" ca="1" si="137"/>
        <v>455</v>
      </c>
      <c r="AJ474" s="254" t="str">
        <f t="shared" ca="1" si="138"/>
        <v>455</v>
      </c>
      <c r="AK474" s="351"/>
    </row>
    <row r="475" spans="1:37">
      <c r="A475" s="74">
        <v>456</v>
      </c>
      <c r="B475" s="252"/>
      <c r="C475" s="293" t="str">
        <f t="shared" si="123"/>
        <v/>
      </c>
      <c r="D475" s="294" t="str">
        <f t="shared" si="124"/>
        <v/>
      </c>
      <c r="E475" s="287"/>
      <c r="F475" s="293" t="str">
        <f t="shared" si="125"/>
        <v/>
      </c>
      <c r="G475" s="294" t="str">
        <f t="shared" si="126"/>
        <v/>
      </c>
      <c r="H475" s="290"/>
      <c r="I475" s="254" t="str">
        <f t="shared" ca="1" si="134"/>
        <v>1</v>
      </c>
      <c r="J475" s="254" t="str">
        <f t="shared" ca="1" si="135"/>
        <v>1</v>
      </c>
      <c r="K475" s="230" t="str">
        <f>IF(Giocatori!B464=0,"",Giocatori!B464)</f>
        <v>SECULIN</v>
      </c>
      <c r="L475" s="230" t="str">
        <f>IF(Giocatori!A464=0,"",Giocatori!A464)</f>
        <v>P</v>
      </c>
      <c r="M475" s="230" t="str">
        <f>IF(Giocatori!C464=0,"",Giocatori!C464)</f>
        <v>Chievo</v>
      </c>
      <c r="N475" s="69" t="str">
        <f t="shared" si="127"/>
        <v/>
      </c>
      <c r="O475" t="str">
        <f t="shared" si="128"/>
        <v>SECULIN</v>
      </c>
      <c r="P475" s="7">
        <f t="shared" ca="1" si="136"/>
        <v>475</v>
      </c>
      <c r="Q475" s="7" t="str">
        <f t="shared" ca="1" si="129"/>
        <v>SECULIN</v>
      </c>
      <c r="Z475" s="256"/>
      <c r="AA475" s="219"/>
      <c r="AB475" s="293" t="str">
        <f t="shared" si="130"/>
        <v/>
      </c>
      <c r="AC475" s="294" t="str">
        <f t="shared" si="131"/>
        <v/>
      </c>
      <c r="AD475" s="219"/>
      <c r="AE475" s="219"/>
      <c r="AF475" s="293" t="str">
        <f>IF(AA475="","",VLOOKUP(AA475,Asta!$B:$H,7,FALSE))</f>
        <v/>
      </c>
      <c r="AG475" s="294" t="str">
        <f t="shared" si="132"/>
        <v/>
      </c>
      <c r="AH475" t="str">
        <f t="shared" si="133"/>
        <v/>
      </c>
      <c r="AI475" s="254" t="str">
        <f t="shared" ca="1" si="137"/>
        <v>456</v>
      </c>
      <c r="AJ475" s="254" t="str">
        <f t="shared" ca="1" si="138"/>
        <v>456</v>
      </c>
      <c r="AK475" s="351"/>
    </row>
    <row r="476" spans="1:37">
      <c r="A476" s="74">
        <v>457</v>
      </c>
      <c r="B476" s="252"/>
      <c r="C476" s="293" t="str">
        <f t="shared" si="123"/>
        <v/>
      </c>
      <c r="D476" s="294" t="str">
        <f t="shared" si="124"/>
        <v/>
      </c>
      <c r="E476" s="287"/>
      <c r="F476" s="293" t="str">
        <f t="shared" si="125"/>
        <v/>
      </c>
      <c r="G476" s="294" t="str">
        <f t="shared" si="126"/>
        <v/>
      </c>
      <c r="H476" s="290"/>
      <c r="I476" s="254" t="str">
        <f t="shared" ca="1" si="134"/>
        <v>1</v>
      </c>
      <c r="J476" s="254" t="str">
        <f t="shared" ca="1" si="135"/>
        <v>1</v>
      </c>
      <c r="K476" s="230" t="str">
        <f>IF(Giocatori!B465=0,"",Giocatori!B465)</f>
        <v>SENSI</v>
      </c>
      <c r="L476" s="230" t="str">
        <f>IF(Giocatori!A465=0,"",Giocatori!A465)</f>
        <v>C</v>
      </c>
      <c r="M476" s="230" t="str">
        <f>IF(Giocatori!C465=0,"",Giocatori!C465)</f>
        <v>Sassuolo</v>
      </c>
      <c r="N476" s="69" t="str">
        <f t="shared" si="127"/>
        <v/>
      </c>
      <c r="O476" t="str">
        <f t="shared" si="128"/>
        <v>SENSI</v>
      </c>
      <c r="P476" s="7">
        <f t="shared" ca="1" si="136"/>
        <v>476</v>
      </c>
      <c r="Q476" s="7" t="str">
        <f t="shared" ca="1" si="129"/>
        <v>SENSI</v>
      </c>
      <c r="Z476" s="256"/>
      <c r="AA476" s="219"/>
      <c r="AB476" s="293" t="str">
        <f t="shared" si="130"/>
        <v/>
      </c>
      <c r="AC476" s="294" t="str">
        <f t="shared" si="131"/>
        <v/>
      </c>
      <c r="AD476" s="219"/>
      <c r="AE476" s="219"/>
      <c r="AF476" s="293" t="str">
        <f>IF(AA476="","",VLOOKUP(AA476,Asta!$B:$H,7,FALSE))</f>
        <v/>
      </c>
      <c r="AG476" s="294" t="str">
        <f t="shared" si="132"/>
        <v/>
      </c>
      <c r="AH476" t="str">
        <f t="shared" si="133"/>
        <v/>
      </c>
      <c r="AI476" s="254" t="str">
        <f t="shared" ca="1" si="137"/>
        <v>457</v>
      </c>
      <c r="AJ476" s="254" t="str">
        <f t="shared" ca="1" si="138"/>
        <v>457</v>
      </c>
      <c r="AK476" s="351"/>
    </row>
    <row r="477" spans="1:37">
      <c r="A477" s="74">
        <v>458</v>
      </c>
      <c r="B477" s="252"/>
      <c r="C477" s="293" t="str">
        <f t="shared" si="123"/>
        <v/>
      </c>
      <c r="D477" s="294" t="str">
        <f t="shared" si="124"/>
        <v/>
      </c>
      <c r="E477" s="287"/>
      <c r="F477" s="293" t="str">
        <f t="shared" si="125"/>
        <v/>
      </c>
      <c r="G477" s="294" t="str">
        <f t="shared" si="126"/>
        <v/>
      </c>
      <c r="H477" s="290"/>
      <c r="I477" s="254" t="str">
        <f t="shared" ca="1" si="134"/>
        <v>1</v>
      </c>
      <c r="J477" s="254" t="str">
        <f t="shared" ca="1" si="135"/>
        <v>1</v>
      </c>
      <c r="K477" s="230" t="str">
        <f>IF(Giocatori!B466=0,"",Giocatori!B466)</f>
        <v>SEPE</v>
      </c>
      <c r="L477" s="230" t="str">
        <f>IF(Giocatori!A466=0,"",Giocatori!A466)</f>
        <v>P</v>
      </c>
      <c r="M477" s="230" t="str">
        <f>IF(Giocatori!C466=0,"",Giocatori!C466)</f>
        <v>Napoli</v>
      </c>
      <c r="N477" s="69" t="str">
        <f t="shared" si="127"/>
        <v/>
      </c>
      <c r="O477" t="str">
        <f t="shared" si="128"/>
        <v>SEPE</v>
      </c>
      <c r="P477" s="7">
        <f t="shared" ca="1" si="136"/>
        <v>477</v>
      </c>
      <c r="Q477" s="7" t="str">
        <f t="shared" ca="1" si="129"/>
        <v>SEPE</v>
      </c>
      <c r="Z477" s="256"/>
      <c r="AA477" s="219"/>
      <c r="AB477" s="293" t="str">
        <f t="shared" si="130"/>
        <v/>
      </c>
      <c r="AC477" s="294" t="str">
        <f t="shared" si="131"/>
        <v/>
      </c>
      <c r="AD477" s="219"/>
      <c r="AE477" s="219"/>
      <c r="AF477" s="293" t="str">
        <f>IF(AA477="","",VLOOKUP(AA477,Asta!$B:$H,7,FALSE))</f>
        <v/>
      </c>
      <c r="AG477" s="294" t="str">
        <f t="shared" si="132"/>
        <v/>
      </c>
      <c r="AH477" t="str">
        <f t="shared" si="133"/>
        <v/>
      </c>
      <c r="AI477" s="254" t="str">
        <f t="shared" ca="1" si="137"/>
        <v>458</v>
      </c>
      <c r="AJ477" s="254" t="str">
        <f t="shared" ca="1" si="138"/>
        <v>458</v>
      </c>
      <c r="AK477" s="351"/>
    </row>
    <row r="478" spans="1:37">
      <c r="A478" s="74">
        <v>459</v>
      </c>
      <c r="B478" s="252"/>
      <c r="C478" s="293" t="str">
        <f t="shared" si="123"/>
        <v/>
      </c>
      <c r="D478" s="294" t="str">
        <f t="shared" si="124"/>
        <v/>
      </c>
      <c r="E478" s="287"/>
      <c r="F478" s="293" t="str">
        <f t="shared" si="125"/>
        <v/>
      </c>
      <c r="G478" s="294" t="str">
        <f t="shared" si="126"/>
        <v/>
      </c>
      <c r="H478" s="290"/>
      <c r="I478" s="254" t="str">
        <f t="shared" ca="1" si="134"/>
        <v>1</v>
      </c>
      <c r="J478" s="254" t="str">
        <f t="shared" ca="1" si="135"/>
        <v>1</v>
      </c>
      <c r="K478" s="230" t="str">
        <f>IF(Giocatori!B467=0,"",Giocatori!B467)</f>
        <v>SILVESTRE</v>
      </c>
      <c r="L478" s="230" t="str">
        <f>IF(Giocatori!A467=0,"",Giocatori!A467)</f>
        <v>D</v>
      </c>
      <c r="M478" s="230" t="str">
        <f>IF(Giocatori!C467=0,"",Giocatori!C467)</f>
        <v>Sampdoria</v>
      </c>
      <c r="N478" s="69" t="str">
        <f t="shared" si="127"/>
        <v/>
      </c>
      <c r="O478" t="str">
        <f t="shared" si="128"/>
        <v>SILVESTRE</v>
      </c>
      <c r="P478" s="7">
        <f t="shared" ca="1" si="136"/>
        <v>478</v>
      </c>
      <c r="Q478" s="7" t="str">
        <f t="shared" ca="1" si="129"/>
        <v>SILVESTRE</v>
      </c>
      <c r="Z478" s="256"/>
      <c r="AA478" s="219"/>
      <c r="AB478" s="293" t="str">
        <f t="shared" si="130"/>
        <v/>
      </c>
      <c r="AC478" s="294" t="str">
        <f t="shared" si="131"/>
        <v/>
      </c>
      <c r="AD478" s="219"/>
      <c r="AE478" s="219"/>
      <c r="AF478" s="293" t="str">
        <f>IF(AA478="","",VLOOKUP(AA478,Asta!$B:$H,7,FALSE))</f>
        <v/>
      </c>
      <c r="AG478" s="294" t="str">
        <f t="shared" si="132"/>
        <v/>
      </c>
      <c r="AH478" t="str">
        <f t="shared" si="133"/>
        <v/>
      </c>
      <c r="AI478" s="254" t="str">
        <f t="shared" ca="1" si="137"/>
        <v>459</v>
      </c>
      <c r="AJ478" s="254" t="str">
        <f t="shared" ca="1" si="138"/>
        <v>459</v>
      </c>
      <c r="AK478" s="351"/>
    </row>
    <row r="479" spans="1:37">
      <c r="A479" s="74">
        <v>460</v>
      </c>
      <c r="B479" s="252"/>
      <c r="C479" s="293" t="str">
        <f t="shared" si="123"/>
        <v/>
      </c>
      <c r="D479" s="294" t="str">
        <f t="shared" si="124"/>
        <v/>
      </c>
      <c r="E479" s="287"/>
      <c r="F479" s="293" t="str">
        <f t="shared" si="125"/>
        <v/>
      </c>
      <c r="G479" s="294" t="str">
        <f t="shared" si="126"/>
        <v/>
      </c>
      <c r="H479" s="290"/>
      <c r="I479" s="254" t="str">
        <f t="shared" ca="1" si="134"/>
        <v>1</v>
      </c>
      <c r="J479" s="254" t="str">
        <f t="shared" ca="1" si="135"/>
        <v>1</v>
      </c>
      <c r="K479" s="230" t="str">
        <f>IF(Giocatori!B468=0,"",Giocatori!B468)</f>
        <v>SILVESTRI</v>
      </c>
      <c r="L479" s="230" t="str">
        <f>IF(Giocatori!A468=0,"",Giocatori!A468)</f>
        <v>P</v>
      </c>
      <c r="M479" s="230" t="str">
        <f>IF(Giocatori!C468=0,"",Giocatori!C468)</f>
        <v>Verona</v>
      </c>
      <c r="N479" s="69" t="str">
        <f t="shared" si="127"/>
        <v/>
      </c>
      <c r="O479" t="str">
        <f t="shared" si="128"/>
        <v>SILVESTRI</v>
      </c>
      <c r="P479" s="7">
        <f t="shared" ca="1" si="136"/>
        <v>479</v>
      </c>
      <c r="Q479" s="7" t="str">
        <f t="shared" ca="1" si="129"/>
        <v>SILVESTRI</v>
      </c>
      <c r="Z479" s="256"/>
      <c r="AA479" s="219"/>
      <c r="AB479" s="293" t="str">
        <f t="shared" si="130"/>
        <v/>
      </c>
      <c r="AC479" s="294" t="str">
        <f t="shared" si="131"/>
        <v/>
      </c>
      <c r="AD479" s="219"/>
      <c r="AE479" s="219"/>
      <c r="AF479" s="293" t="str">
        <f>IF(AA479="","",VLOOKUP(AA479,Asta!$B:$H,7,FALSE))</f>
        <v/>
      </c>
      <c r="AG479" s="294" t="str">
        <f t="shared" si="132"/>
        <v/>
      </c>
      <c r="AH479" t="str">
        <f t="shared" si="133"/>
        <v/>
      </c>
      <c r="AI479" s="254" t="str">
        <f t="shared" ca="1" si="137"/>
        <v>460</v>
      </c>
      <c r="AJ479" s="254" t="str">
        <f t="shared" ca="1" si="138"/>
        <v>460</v>
      </c>
      <c r="AK479" s="351"/>
    </row>
    <row r="480" spans="1:37">
      <c r="A480" s="74">
        <v>461</v>
      </c>
      <c r="B480" s="252"/>
      <c r="C480" s="293" t="str">
        <f t="shared" si="123"/>
        <v/>
      </c>
      <c r="D480" s="294" t="str">
        <f t="shared" si="124"/>
        <v/>
      </c>
      <c r="E480" s="287"/>
      <c r="F480" s="293" t="str">
        <f t="shared" si="125"/>
        <v/>
      </c>
      <c r="G480" s="294" t="str">
        <f t="shared" si="126"/>
        <v/>
      </c>
      <c r="H480" s="290"/>
      <c r="I480" s="254" t="str">
        <f t="shared" ca="1" si="134"/>
        <v>1</v>
      </c>
      <c r="J480" s="254" t="str">
        <f t="shared" ca="1" si="135"/>
        <v>1</v>
      </c>
      <c r="K480" s="230" t="str">
        <f>IF(Giocatori!B469=0,"",Giocatori!B469)</f>
        <v>SIMEONE</v>
      </c>
      <c r="L480" s="230" t="str">
        <f>IF(Giocatori!A469=0,"",Giocatori!A469)</f>
        <v>A</v>
      </c>
      <c r="M480" s="230" t="str">
        <f>IF(Giocatori!C469=0,"",Giocatori!C469)</f>
        <v>Fiorentina</v>
      </c>
      <c r="N480" s="69" t="str">
        <f t="shared" si="127"/>
        <v/>
      </c>
      <c r="O480" t="str">
        <f t="shared" si="128"/>
        <v>SIMEONE</v>
      </c>
      <c r="P480" s="7">
        <f t="shared" ca="1" si="136"/>
        <v>480</v>
      </c>
      <c r="Q480" s="7" t="str">
        <f t="shared" ca="1" si="129"/>
        <v>SIMEONE</v>
      </c>
      <c r="Z480" s="256"/>
      <c r="AA480" s="219"/>
      <c r="AB480" s="293" t="str">
        <f t="shared" si="130"/>
        <v/>
      </c>
      <c r="AC480" s="294" t="str">
        <f t="shared" si="131"/>
        <v/>
      </c>
      <c r="AD480" s="219"/>
      <c r="AE480" s="219"/>
      <c r="AF480" s="293" t="str">
        <f>IF(AA480="","",VLOOKUP(AA480,Asta!$B:$H,7,FALSE))</f>
        <v/>
      </c>
      <c r="AG480" s="294" t="str">
        <f t="shared" si="132"/>
        <v/>
      </c>
      <c r="AH480" t="str">
        <f t="shared" si="133"/>
        <v/>
      </c>
      <c r="AI480" s="254" t="str">
        <f t="shared" ca="1" si="137"/>
        <v>461</v>
      </c>
      <c r="AJ480" s="254" t="str">
        <f t="shared" ca="1" si="138"/>
        <v>461</v>
      </c>
      <c r="AK480" s="351"/>
    </row>
    <row r="481" spans="1:37">
      <c r="A481" s="74">
        <v>462</v>
      </c>
      <c r="B481" s="252"/>
      <c r="C481" s="293" t="str">
        <f t="shared" si="123"/>
        <v/>
      </c>
      <c r="D481" s="294" t="str">
        <f t="shared" si="124"/>
        <v/>
      </c>
      <c r="E481" s="287"/>
      <c r="F481" s="293" t="str">
        <f t="shared" si="125"/>
        <v/>
      </c>
      <c r="G481" s="294" t="str">
        <f t="shared" si="126"/>
        <v/>
      </c>
      <c r="H481" s="290"/>
      <c r="I481" s="254" t="str">
        <f t="shared" ca="1" si="134"/>
        <v>1</v>
      </c>
      <c r="J481" s="254" t="str">
        <f t="shared" ca="1" si="135"/>
        <v>1</v>
      </c>
      <c r="K481" s="230" t="str">
        <f>IF(Giocatori!B470=0,"",Giocatori!B470)</f>
        <v>SIMIC S</v>
      </c>
      <c r="L481" s="230" t="str">
        <f>IF(Giocatori!A470=0,"",Giocatori!A470)</f>
        <v>D</v>
      </c>
      <c r="M481" s="230" t="str">
        <f>IF(Giocatori!C470=0,"",Giocatori!C470)</f>
        <v>Crotone</v>
      </c>
      <c r="N481" s="69" t="str">
        <f t="shared" si="127"/>
        <v/>
      </c>
      <c r="O481" t="str">
        <f t="shared" si="128"/>
        <v>SIMIC S</v>
      </c>
      <c r="P481" s="7">
        <f t="shared" ca="1" si="136"/>
        <v>481</v>
      </c>
      <c r="Q481" s="7" t="str">
        <f t="shared" ca="1" si="129"/>
        <v>SIMIC S</v>
      </c>
      <c r="Z481" s="256"/>
      <c r="AA481" s="219"/>
      <c r="AB481" s="293" t="str">
        <f t="shared" si="130"/>
        <v/>
      </c>
      <c r="AC481" s="294" t="str">
        <f t="shared" si="131"/>
        <v/>
      </c>
      <c r="AD481" s="219"/>
      <c r="AE481" s="219"/>
      <c r="AF481" s="293" t="str">
        <f>IF(AA481="","",VLOOKUP(AA481,Asta!$B:$H,7,FALSE))</f>
        <v/>
      </c>
      <c r="AG481" s="294" t="str">
        <f t="shared" si="132"/>
        <v/>
      </c>
      <c r="AH481" t="str">
        <f t="shared" si="133"/>
        <v/>
      </c>
      <c r="AI481" s="254" t="str">
        <f t="shared" ca="1" si="137"/>
        <v>462</v>
      </c>
      <c r="AJ481" s="254" t="str">
        <f t="shared" ca="1" si="138"/>
        <v>462</v>
      </c>
      <c r="AK481" s="351"/>
    </row>
    <row r="482" spans="1:37">
      <c r="A482" s="74">
        <v>463</v>
      </c>
      <c r="B482" s="252"/>
      <c r="C482" s="293" t="str">
        <f t="shared" si="123"/>
        <v/>
      </c>
      <c r="D482" s="294" t="str">
        <f t="shared" si="124"/>
        <v/>
      </c>
      <c r="E482" s="287"/>
      <c r="F482" s="293" t="str">
        <f t="shared" si="125"/>
        <v/>
      </c>
      <c r="G482" s="294" t="str">
        <f t="shared" si="126"/>
        <v/>
      </c>
      <c r="H482" s="290"/>
      <c r="I482" s="254" t="str">
        <f t="shared" ca="1" si="134"/>
        <v>1</v>
      </c>
      <c r="J482" s="254" t="str">
        <f t="shared" ca="1" si="135"/>
        <v>1</v>
      </c>
      <c r="K482" s="230" t="str">
        <f>IF(Giocatori!B471=0,"",Giocatori!B471)</f>
        <v>SIMY</v>
      </c>
      <c r="L482" s="230" t="str">
        <f>IF(Giocatori!A471=0,"",Giocatori!A471)</f>
        <v>A</v>
      </c>
      <c r="M482" s="230" t="str">
        <f>IF(Giocatori!C471=0,"",Giocatori!C471)</f>
        <v>Crotone</v>
      </c>
      <c r="N482" s="69" t="str">
        <f t="shared" si="127"/>
        <v/>
      </c>
      <c r="O482" t="str">
        <f t="shared" si="128"/>
        <v>SIMY</v>
      </c>
      <c r="P482" s="7">
        <f t="shared" ca="1" si="136"/>
        <v>482</v>
      </c>
      <c r="Q482" s="7" t="str">
        <f t="shared" ca="1" si="129"/>
        <v>SIMY</v>
      </c>
      <c r="Z482" s="256"/>
      <c r="AA482" s="219"/>
      <c r="AB482" s="293" t="str">
        <f t="shared" si="130"/>
        <v/>
      </c>
      <c r="AC482" s="294" t="str">
        <f t="shared" si="131"/>
        <v/>
      </c>
      <c r="AD482" s="219"/>
      <c r="AE482" s="219"/>
      <c r="AF482" s="293" t="str">
        <f>IF(AA482="","",VLOOKUP(AA482,Asta!$B:$H,7,FALSE))</f>
        <v/>
      </c>
      <c r="AG482" s="294" t="str">
        <f t="shared" si="132"/>
        <v/>
      </c>
      <c r="AH482" t="str">
        <f t="shared" si="133"/>
        <v/>
      </c>
      <c r="AI482" s="254" t="str">
        <f t="shared" ca="1" si="137"/>
        <v>463</v>
      </c>
      <c r="AJ482" s="254" t="str">
        <f t="shared" ca="1" si="138"/>
        <v>463</v>
      </c>
      <c r="AK482" s="351"/>
    </row>
    <row r="483" spans="1:37">
      <c r="A483" s="74">
        <v>464</v>
      </c>
      <c r="B483" s="252"/>
      <c r="C483" s="293" t="str">
        <f t="shared" si="123"/>
        <v/>
      </c>
      <c r="D483" s="294" t="str">
        <f t="shared" si="124"/>
        <v/>
      </c>
      <c r="E483" s="287"/>
      <c r="F483" s="293" t="str">
        <f t="shared" si="125"/>
        <v/>
      </c>
      <c r="G483" s="294" t="str">
        <f t="shared" si="126"/>
        <v/>
      </c>
      <c r="H483" s="290"/>
      <c r="I483" s="254" t="str">
        <f t="shared" ca="1" si="134"/>
        <v>1</v>
      </c>
      <c r="J483" s="254" t="str">
        <f t="shared" ca="1" si="135"/>
        <v>1</v>
      </c>
      <c r="K483" s="230" t="str">
        <f>IF(Giocatori!B472=0,"",Giocatori!B472)</f>
        <v>SIRIGU</v>
      </c>
      <c r="L483" s="230" t="str">
        <f>IF(Giocatori!A472=0,"",Giocatori!A472)</f>
        <v>P</v>
      </c>
      <c r="M483" s="230" t="str">
        <f>IF(Giocatori!C472=0,"",Giocatori!C472)</f>
        <v>Torino</v>
      </c>
      <c r="N483" s="69" t="str">
        <f t="shared" si="127"/>
        <v/>
      </c>
      <c r="O483" t="str">
        <f t="shared" si="128"/>
        <v>SIRIGU</v>
      </c>
      <c r="P483" s="7">
        <f t="shared" ca="1" si="136"/>
        <v>483</v>
      </c>
      <c r="Q483" s="7" t="str">
        <f t="shared" ca="1" si="129"/>
        <v>SIRIGU</v>
      </c>
      <c r="Z483" s="256"/>
      <c r="AA483" s="219"/>
      <c r="AB483" s="293" t="str">
        <f t="shared" si="130"/>
        <v/>
      </c>
      <c r="AC483" s="294" t="str">
        <f t="shared" si="131"/>
        <v/>
      </c>
      <c r="AD483" s="219"/>
      <c r="AE483" s="219"/>
      <c r="AF483" s="293" t="str">
        <f>IF(AA483="","",VLOOKUP(AA483,Asta!$B:$H,7,FALSE))</f>
        <v/>
      </c>
      <c r="AG483" s="294" t="str">
        <f t="shared" si="132"/>
        <v/>
      </c>
      <c r="AH483" t="str">
        <f t="shared" si="133"/>
        <v/>
      </c>
      <c r="AI483" s="254" t="str">
        <f t="shared" ca="1" si="137"/>
        <v>464</v>
      </c>
      <c r="AJ483" s="254" t="str">
        <f t="shared" ca="1" si="138"/>
        <v>464</v>
      </c>
      <c r="AK483" s="351"/>
    </row>
    <row r="484" spans="1:37">
      <c r="A484" s="74">
        <v>465</v>
      </c>
      <c r="B484" s="252"/>
      <c r="C484" s="293" t="str">
        <f t="shared" si="123"/>
        <v/>
      </c>
      <c r="D484" s="294" t="str">
        <f t="shared" si="124"/>
        <v/>
      </c>
      <c r="E484" s="287"/>
      <c r="F484" s="293" t="str">
        <f t="shared" si="125"/>
        <v/>
      </c>
      <c r="G484" s="294" t="str">
        <f t="shared" si="126"/>
        <v/>
      </c>
      <c r="H484" s="290"/>
      <c r="I484" s="254" t="str">
        <f t="shared" ca="1" si="134"/>
        <v>1</v>
      </c>
      <c r="J484" s="254" t="str">
        <f t="shared" ca="1" si="135"/>
        <v>1</v>
      </c>
      <c r="K484" s="230" t="str">
        <f>IF(Giocatori!B473=0,"",Giocatori!B473)</f>
        <v>SKORUPSKI</v>
      </c>
      <c r="L484" s="230" t="str">
        <f>IF(Giocatori!A473=0,"",Giocatori!A473)</f>
        <v>P</v>
      </c>
      <c r="M484" s="230" t="str">
        <f>IF(Giocatori!C473=0,"",Giocatori!C473)</f>
        <v>Roma</v>
      </c>
      <c r="N484" s="69" t="str">
        <f t="shared" si="127"/>
        <v/>
      </c>
      <c r="O484" t="str">
        <f t="shared" si="128"/>
        <v>SKORUPSKI</v>
      </c>
      <c r="P484" s="7">
        <f t="shared" ca="1" si="136"/>
        <v>484</v>
      </c>
      <c r="Q484" s="7" t="str">
        <f t="shared" ca="1" si="129"/>
        <v>SKORUPSKI</v>
      </c>
      <c r="Z484" s="256"/>
      <c r="AA484" s="219"/>
      <c r="AB484" s="293" t="str">
        <f t="shared" si="130"/>
        <v/>
      </c>
      <c r="AC484" s="294" t="str">
        <f t="shared" si="131"/>
        <v/>
      </c>
      <c r="AD484" s="219"/>
      <c r="AE484" s="219"/>
      <c r="AF484" s="293" t="str">
        <f>IF(AA484="","",VLOOKUP(AA484,Asta!$B:$H,7,FALSE))</f>
        <v/>
      </c>
      <c r="AG484" s="294" t="str">
        <f t="shared" si="132"/>
        <v/>
      </c>
      <c r="AH484" t="str">
        <f t="shared" si="133"/>
        <v/>
      </c>
      <c r="AI484" s="254" t="str">
        <f t="shared" ca="1" si="137"/>
        <v>465</v>
      </c>
      <c r="AJ484" s="254" t="str">
        <f t="shared" ca="1" si="138"/>
        <v>465</v>
      </c>
      <c r="AK484" s="351"/>
    </row>
    <row r="485" spans="1:37">
      <c r="A485" s="74">
        <v>466</v>
      </c>
      <c r="B485" s="252"/>
      <c r="C485" s="293" t="str">
        <f t="shared" ref="C485:C548" si="139">IF(B485&lt;&gt;"",VLOOKUP(B485,$K:$M,2,FALSE),"")</f>
        <v/>
      </c>
      <c r="D485" s="294" t="str">
        <f t="shared" ref="D485:D548" si="140">IF(B485&lt;&gt;"",VLOOKUP(B485,$K:$M,3,FALSE),"")</f>
        <v/>
      </c>
      <c r="E485" s="287"/>
      <c r="F485" s="293" t="str">
        <f t="shared" si="125"/>
        <v/>
      </c>
      <c r="G485" s="294" t="str">
        <f t="shared" si="126"/>
        <v/>
      </c>
      <c r="H485" s="290"/>
      <c r="I485" s="254" t="str">
        <f t="shared" ca="1" si="134"/>
        <v>1</v>
      </c>
      <c r="J485" s="254" t="str">
        <f t="shared" ca="1" si="135"/>
        <v>1</v>
      </c>
      <c r="K485" s="230" t="str">
        <f>IF(Giocatori!B474=0,"",Giocatori!B474)</f>
        <v>SKRINIAR</v>
      </c>
      <c r="L485" s="230" t="str">
        <f>IF(Giocatori!A474=0,"",Giocatori!A474)</f>
        <v>D</v>
      </c>
      <c r="M485" s="230" t="str">
        <f>IF(Giocatori!C474=0,"",Giocatori!C474)</f>
        <v>Inter</v>
      </c>
      <c r="N485" s="69" t="str">
        <f t="shared" si="127"/>
        <v/>
      </c>
      <c r="O485" t="str">
        <f t="shared" si="128"/>
        <v>SKRINIAR</v>
      </c>
      <c r="P485" s="7">
        <f t="shared" ca="1" si="136"/>
        <v>485</v>
      </c>
      <c r="Q485" s="7" t="str">
        <f t="shared" ca="1" si="129"/>
        <v>SKRINIAR</v>
      </c>
      <c r="Z485" s="256"/>
      <c r="AA485" s="219"/>
      <c r="AB485" s="293" t="str">
        <f t="shared" si="130"/>
        <v/>
      </c>
      <c r="AC485" s="294" t="str">
        <f t="shared" si="131"/>
        <v/>
      </c>
      <c r="AD485" s="219"/>
      <c r="AE485" s="219"/>
      <c r="AF485" s="293" t="str">
        <f>IF(AA485="","",VLOOKUP(AA485,Asta!$B:$H,7,FALSE))</f>
        <v/>
      </c>
      <c r="AG485" s="294" t="str">
        <f t="shared" si="132"/>
        <v/>
      </c>
      <c r="AH485" t="str">
        <f t="shared" si="133"/>
        <v/>
      </c>
      <c r="AI485" s="254" t="str">
        <f t="shared" ca="1" si="137"/>
        <v>466</v>
      </c>
      <c r="AJ485" s="254" t="str">
        <f t="shared" ca="1" si="138"/>
        <v>466</v>
      </c>
      <c r="AK485" s="351"/>
    </row>
    <row r="486" spans="1:37">
      <c r="A486" s="74">
        <v>467</v>
      </c>
      <c r="B486" s="252"/>
      <c r="C486" s="293" t="str">
        <f t="shared" si="139"/>
        <v/>
      </c>
      <c r="D486" s="294" t="str">
        <f t="shared" si="140"/>
        <v/>
      </c>
      <c r="E486" s="287"/>
      <c r="F486" s="293" t="str">
        <f t="shared" si="125"/>
        <v/>
      </c>
      <c r="G486" s="294" t="str">
        <f t="shared" si="126"/>
        <v/>
      </c>
      <c r="H486" s="290"/>
      <c r="I486" s="254" t="str">
        <f t="shared" ca="1" si="134"/>
        <v>1</v>
      </c>
      <c r="J486" s="254" t="str">
        <f t="shared" ca="1" si="135"/>
        <v>1</v>
      </c>
      <c r="K486" s="230" t="str">
        <f>IF(Giocatori!B475=0,"",Giocatori!B475)</f>
        <v>SORRENTINO</v>
      </c>
      <c r="L486" s="230" t="str">
        <f>IF(Giocatori!A475=0,"",Giocatori!A475)</f>
        <v>P</v>
      </c>
      <c r="M486" s="230" t="str">
        <f>IF(Giocatori!C475=0,"",Giocatori!C475)</f>
        <v>Chievo</v>
      </c>
      <c r="N486" s="69" t="str">
        <f t="shared" si="127"/>
        <v/>
      </c>
      <c r="O486" t="str">
        <f t="shared" si="128"/>
        <v>SORRENTINO</v>
      </c>
      <c r="P486" s="7">
        <f t="shared" ca="1" si="136"/>
        <v>486</v>
      </c>
      <c r="Q486" s="7" t="str">
        <f t="shared" ca="1" si="129"/>
        <v>SORRENTINO</v>
      </c>
      <c r="Z486" s="256"/>
      <c r="AA486" s="219"/>
      <c r="AB486" s="293" t="str">
        <f t="shared" si="130"/>
        <v/>
      </c>
      <c r="AC486" s="294" t="str">
        <f t="shared" si="131"/>
        <v/>
      </c>
      <c r="AD486" s="219"/>
      <c r="AE486" s="219"/>
      <c r="AF486" s="293" t="str">
        <f>IF(AA486="","",VLOOKUP(AA486,Asta!$B:$H,7,FALSE))</f>
        <v/>
      </c>
      <c r="AG486" s="294" t="str">
        <f t="shared" si="132"/>
        <v/>
      </c>
      <c r="AH486" t="str">
        <f t="shared" si="133"/>
        <v/>
      </c>
      <c r="AI486" s="254" t="str">
        <f t="shared" ca="1" si="137"/>
        <v>467</v>
      </c>
      <c r="AJ486" s="254" t="str">
        <f t="shared" ca="1" si="138"/>
        <v>467</v>
      </c>
      <c r="AK486" s="351"/>
    </row>
    <row r="487" spans="1:37">
      <c r="A487" s="74">
        <v>468</v>
      </c>
      <c r="B487" s="252"/>
      <c r="C487" s="293" t="str">
        <f t="shared" si="139"/>
        <v/>
      </c>
      <c r="D487" s="294" t="str">
        <f t="shared" si="140"/>
        <v/>
      </c>
      <c r="E487" s="287"/>
      <c r="F487" s="293" t="str">
        <f t="shared" si="125"/>
        <v/>
      </c>
      <c r="G487" s="294" t="str">
        <f t="shared" si="126"/>
        <v/>
      </c>
      <c r="H487" s="290"/>
      <c r="I487" s="254" t="str">
        <f t="shared" ca="1" si="134"/>
        <v>1</v>
      </c>
      <c r="J487" s="254" t="str">
        <f t="shared" ca="1" si="135"/>
        <v>1</v>
      </c>
      <c r="K487" s="230" t="str">
        <f>IF(Giocatori!B476=0,"",Giocatori!B476)</f>
        <v>SOUPRAYEN</v>
      </c>
      <c r="L487" s="230" t="str">
        <f>IF(Giocatori!A476=0,"",Giocatori!A476)</f>
        <v>D</v>
      </c>
      <c r="M487" s="230" t="str">
        <f>IF(Giocatori!C476=0,"",Giocatori!C476)</f>
        <v>Verona</v>
      </c>
      <c r="N487" s="69" t="str">
        <f t="shared" si="127"/>
        <v/>
      </c>
      <c r="O487" t="str">
        <f t="shared" si="128"/>
        <v>SOUPRAYEN</v>
      </c>
      <c r="P487" s="7">
        <f t="shared" ca="1" si="136"/>
        <v>487</v>
      </c>
      <c r="Q487" s="7" t="str">
        <f t="shared" ca="1" si="129"/>
        <v>SOUPRAYEN</v>
      </c>
      <c r="Z487" s="256"/>
      <c r="AA487" s="219"/>
      <c r="AB487" s="293" t="str">
        <f t="shared" si="130"/>
        <v/>
      </c>
      <c r="AC487" s="294" t="str">
        <f t="shared" si="131"/>
        <v/>
      </c>
      <c r="AD487" s="219"/>
      <c r="AE487" s="219"/>
      <c r="AF487" s="293" t="str">
        <f>IF(AA487="","",VLOOKUP(AA487,Asta!$B:$H,7,FALSE))</f>
        <v/>
      </c>
      <c r="AG487" s="294" t="str">
        <f t="shared" si="132"/>
        <v/>
      </c>
      <c r="AH487" t="str">
        <f t="shared" si="133"/>
        <v/>
      </c>
      <c r="AI487" s="254" t="str">
        <f t="shared" ca="1" si="137"/>
        <v>468</v>
      </c>
      <c r="AJ487" s="254" t="str">
        <f t="shared" ca="1" si="138"/>
        <v>468</v>
      </c>
      <c r="AK487" s="351"/>
    </row>
    <row r="488" spans="1:37">
      <c r="A488" s="74">
        <v>469</v>
      </c>
      <c r="B488" s="252"/>
      <c r="C488" s="293" t="str">
        <f t="shared" si="139"/>
        <v/>
      </c>
      <c r="D488" s="294" t="str">
        <f t="shared" si="140"/>
        <v/>
      </c>
      <c r="E488" s="287"/>
      <c r="F488" s="293" t="str">
        <f t="shared" si="125"/>
        <v/>
      </c>
      <c r="G488" s="294" t="str">
        <f t="shared" si="126"/>
        <v/>
      </c>
      <c r="H488" s="290"/>
      <c r="I488" s="254" t="str">
        <f t="shared" ca="1" si="134"/>
        <v>1</v>
      </c>
      <c r="J488" s="254" t="str">
        <f t="shared" ca="1" si="135"/>
        <v>1</v>
      </c>
      <c r="K488" s="230" t="str">
        <f>IF(Giocatori!B477=0,"",Giocatori!B477)</f>
        <v>SPINAZZOLA</v>
      </c>
      <c r="L488" s="230" t="str">
        <f>IF(Giocatori!A477=0,"",Giocatori!A477)</f>
        <v>C</v>
      </c>
      <c r="M488" s="230" t="str">
        <f>IF(Giocatori!C477=0,"",Giocatori!C477)</f>
        <v>Atalanta</v>
      </c>
      <c r="N488" s="69" t="str">
        <f t="shared" si="127"/>
        <v/>
      </c>
      <c r="O488" t="str">
        <f t="shared" si="128"/>
        <v>SPINAZZOLA</v>
      </c>
      <c r="P488" s="7">
        <f t="shared" ca="1" si="136"/>
        <v>488</v>
      </c>
      <c r="Q488" s="7" t="str">
        <f t="shared" ca="1" si="129"/>
        <v>SPINAZZOLA</v>
      </c>
      <c r="Z488" s="256"/>
      <c r="AA488" s="219"/>
      <c r="AB488" s="293" t="str">
        <f t="shared" si="130"/>
        <v/>
      </c>
      <c r="AC488" s="294" t="str">
        <f t="shared" si="131"/>
        <v/>
      </c>
      <c r="AD488" s="219"/>
      <c r="AE488" s="219"/>
      <c r="AF488" s="293" t="str">
        <f>IF(AA488="","",VLOOKUP(AA488,Asta!$B:$H,7,FALSE))</f>
        <v/>
      </c>
      <c r="AG488" s="294" t="str">
        <f t="shared" si="132"/>
        <v/>
      </c>
      <c r="AH488" t="str">
        <f t="shared" si="133"/>
        <v/>
      </c>
      <c r="AI488" s="254" t="str">
        <f t="shared" ca="1" si="137"/>
        <v>469</v>
      </c>
      <c r="AJ488" s="254" t="str">
        <f t="shared" ca="1" si="138"/>
        <v>469</v>
      </c>
      <c r="AK488" s="351"/>
    </row>
    <row r="489" spans="1:37">
      <c r="A489" s="74">
        <v>470</v>
      </c>
      <c r="B489" s="252"/>
      <c r="C489" s="293" t="str">
        <f t="shared" si="139"/>
        <v/>
      </c>
      <c r="D489" s="294" t="str">
        <f t="shared" si="140"/>
        <v/>
      </c>
      <c r="E489" s="287"/>
      <c r="F489" s="293" t="str">
        <f t="shared" si="125"/>
        <v/>
      </c>
      <c r="G489" s="294" t="str">
        <f t="shared" si="126"/>
        <v/>
      </c>
      <c r="H489" s="290"/>
      <c r="I489" s="254" t="str">
        <f t="shared" ca="1" si="134"/>
        <v>1</v>
      </c>
      <c r="J489" s="254" t="str">
        <f t="shared" ca="1" si="135"/>
        <v>1</v>
      </c>
      <c r="K489" s="230" t="str">
        <f>IF(Giocatori!B478=0,"",Giocatori!B478)</f>
        <v>SPOLLI</v>
      </c>
      <c r="L489" s="230" t="str">
        <f>IF(Giocatori!A478=0,"",Giocatori!A478)</f>
        <v>D</v>
      </c>
      <c r="M489" s="230" t="str">
        <f>IF(Giocatori!C478=0,"",Giocatori!C478)</f>
        <v>Genoa</v>
      </c>
      <c r="N489" s="69" t="str">
        <f t="shared" si="127"/>
        <v/>
      </c>
      <c r="O489" t="str">
        <f t="shared" si="128"/>
        <v>SPOLLI</v>
      </c>
      <c r="P489" s="7">
        <f t="shared" ca="1" si="136"/>
        <v>489</v>
      </c>
      <c r="Q489" s="7" t="str">
        <f t="shared" ca="1" si="129"/>
        <v>SPOLLI</v>
      </c>
      <c r="Z489" s="256"/>
      <c r="AA489" s="219"/>
      <c r="AB489" s="293" t="str">
        <f t="shared" si="130"/>
        <v/>
      </c>
      <c r="AC489" s="294" t="str">
        <f t="shared" si="131"/>
        <v/>
      </c>
      <c r="AD489" s="219"/>
      <c r="AE489" s="219"/>
      <c r="AF489" s="293" t="str">
        <f>IF(AA489="","",VLOOKUP(AA489,Asta!$B:$H,7,FALSE))</f>
        <v/>
      </c>
      <c r="AG489" s="294" t="str">
        <f t="shared" si="132"/>
        <v/>
      </c>
      <c r="AH489" t="str">
        <f t="shared" si="133"/>
        <v/>
      </c>
      <c r="AI489" s="254" t="str">
        <f t="shared" ca="1" si="137"/>
        <v>470</v>
      </c>
      <c r="AJ489" s="254" t="str">
        <f t="shared" ca="1" si="138"/>
        <v>470</v>
      </c>
      <c r="AK489" s="351"/>
    </row>
    <row r="490" spans="1:37">
      <c r="A490" s="74">
        <v>471</v>
      </c>
      <c r="B490" s="252"/>
      <c r="C490" s="293" t="str">
        <f t="shared" si="139"/>
        <v/>
      </c>
      <c r="D490" s="294" t="str">
        <f t="shared" si="140"/>
        <v/>
      </c>
      <c r="E490" s="287"/>
      <c r="F490" s="293" t="str">
        <f t="shared" si="125"/>
        <v/>
      </c>
      <c r="G490" s="294" t="str">
        <f t="shared" si="126"/>
        <v/>
      </c>
      <c r="H490" s="290"/>
      <c r="I490" s="254" t="str">
        <f t="shared" ca="1" si="134"/>
        <v>1</v>
      </c>
      <c r="J490" s="254" t="str">
        <f t="shared" ca="1" si="135"/>
        <v>1</v>
      </c>
      <c r="K490" s="230" t="str">
        <f>IF(Giocatori!B479=0,"",Giocatori!B479)</f>
        <v>SPORTIELLO</v>
      </c>
      <c r="L490" s="230" t="str">
        <f>IF(Giocatori!A479=0,"",Giocatori!A479)</f>
        <v>P</v>
      </c>
      <c r="M490" s="230" t="str">
        <f>IF(Giocatori!C479=0,"",Giocatori!C479)</f>
        <v>Fiorentina</v>
      </c>
      <c r="N490" s="69" t="str">
        <f t="shared" si="127"/>
        <v/>
      </c>
      <c r="O490" t="str">
        <f t="shared" si="128"/>
        <v>SPORTIELLO</v>
      </c>
      <c r="P490" s="7">
        <f t="shared" ca="1" si="136"/>
        <v>490</v>
      </c>
      <c r="Q490" s="7" t="str">
        <f t="shared" ca="1" si="129"/>
        <v>SPORTIELLO</v>
      </c>
      <c r="Z490" s="256"/>
      <c r="AA490" s="219"/>
      <c r="AB490" s="293" t="str">
        <f t="shared" si="130"/>
        <v/>
      </c>
      <c r="AC490" s="294" t="str">
        <f t="shared" si="131"/>
        <v/>
      </c>
      <c r="AD490" s="219"/>
      <c r="AE490" s="219"/>
      <c r="AF490" s="293" t="str">
        <f>IF(AA490="","",VLOOKUP(AA490,Asta!$B:$H,7,FALSE))</f>
        <v/>
      </c>
      <c r="AG490" s="294" t="str">
        <f t="shared" si="132"/>
        <v/>
      </c>
      <c r="AH490" t="str">
        <f t="shared" si="133"/>
        <v/>
      </c>
      <c r="AI490" s="254" t="str">
        <f t="shared" ca="1" si="137"/>
        <v>471</v>
      </c>
      <c r="AJ490" s="254" t="str">
        <f t="shared" ca="1" si="138"/>
        <v>471</v>
      </c>
      <c r="AK490" s="351"/>
    </row>
    <row r="491" spans="1:37">
      <c r="A491" s="74">
        <v>472</v>
      </c>
      <c r="B491" s="252"/>
      <c r="C491" s="293" t="str">
        <f t="shared" si="139"/>
        <v/>
      </c>
      <c r="D491" s="294" t="str">
        <f t="shared" si="140"/>
        <v/>
      </c>
      <c r="E491" s="287"/>
      <c r="F491" s="293" t="str">
        <f t="shared" si="125"/>
        <v/>
      </c>
      <c r="G491" s="294" t="str">
        <f t="shared" si="126"/>
        <v/>
      </c>
      <c r="H491" s="290"/>
      <c r="I491" s="254" t="str">
        <f t="shared" ca="1" si="134"/>
        <v>1</v>
      </c>
      <c r="J491" s="254" t="str">
        <f t="shared" ca="1" si="135"/>
        <v>1</v>
      </c>
      <c r="K491" s="230" t="str">
        <f>IF(Giocatori!B480=0,"",Giocatori!B480)</f>
        <v>STEPINSKI</v>
      </c>
      <c r="L491" s="230" t="str">
        <f>IF(Giocatori!A480=0,"",Giocatori!A480)</f>
        <v>A</v>
      </c>
      <c r="M491" s="230" t="str">
        <f>IF(Giocatori!C480=0,"",Giocatori!C480)</f>
        <v>Chievo</v>
      </c>
      <c r="N491" s="69" t="str">
        <f t="shared" si="127"/>
        <v/>
      </c>
      <c r="O491" t="str">
        <f t="shared" si="128"/>
        <v>STEPINSKI</v>
      </c>
      <c r="P491" s="7">
        <f t="shared" ca="1" si="136"/>
        <v>491</v>
      </c>
      <c r="Q491" s="7" t="str">
        <f t="shared" ca="1" si="129"/>
        <v>STEPINSKI</v>
      </c>
      <c r="Z491" s="256"/>
      <c r="AA491" s="219"/>
      <c r="AB491" s="293" t="str">
        <f t="shared" si="130"/>
        <v/>
      </c>
      <c r="AC491" s="294" t="str">
        <f t="shared" si="131"/>
        <v/>
      </c>
      <c r="AD491" s="219"/>
      <c r="AE491" s="219"/>
      <c r="AF491" s="293" t="str">
        <f>IF(AA491="","",VLOOKUP(AA491,Asta!$B:$H,7,FALSE))</f>
        <v/>
      </c>
      <c r="AG491" s="294" t="str">
        <f t="shared" si="132"/>
        <v/>
      </c>
      <c r="AH491" t="str">
        <f t="shared" si="133"/>
        <v/>
      </c>
      <c r="AI491" s="254" t="str">
        <f t="shared" ca="1" si="137"/>
        <v>472</v>
      </c>
      <c r="AJ491" s="254" t="str">
        <f t="shared" ca="1" si="138"/>
        <v>472</v>
      </c>
      <c r="AK491" s="351"/>
    </row>
    <row r="492" spans="1:37">
      <c r="A492" s="74">
        <v>473</v>
      </c>
      <c r="B492" s="252"/>
      <c r="C492" s="293" t="str">
        <f t="shared" si="139"/>
        <v/>
      </c>
      <c r="D492" s="294" t="str">
        <f t="shared" si="140"/>
        <v/>
      </c>
      <c r="E492" s="287"/>
      <c r="F492" s="293" t="str">
        <f t="shared" si="125"/>
        <v/>
      </c>
      <c r="G492" s="294" t="str">
        <f t="shared" si="126"/>
        <v/>
      </c>
      <c r="H492" s="290"/>
      <c r="I492" s="254" t="str">
        <f t="shared" ca="1" si="134"/>
        <v>1</v>
      </c>
      <c r="J492" s="254" t="str">
        <f t="shared" ca="1" si="135"/>
        <v>1</v>
      </c>
      <c r="K492" s="230" t="str">
        <f>IF(Giocatori!B481=0,"",Giocatori!B481)</f>
        <v>STOIAN</v>
      </c>
      <c r="L492" s="230" t="str">
        <f>IF(Giocatori!A481=0,"",Giocatori!A481)</f>
        <v>C</v>
      </c>
      <c r="M492" s="230" t="str">
        <f>IF(Giocatori!C481=0,"",Giocatori!C481)</f>
        <v>Crotone</v>
      </c>
      <c r="N492" s="69" t="str">
        <f t="shared" si="127"/>
        <v/>
      </c>
      <c r="O492" t="str">
        <f t="shared" si="128"/>
        <v>STOIAN</v>
      </c>
      <c r="P492" s="7">
        <f t="shared" ca="1" si="136"/>
        <v>492</v>
      </c>
      <c r="Q492" s="7" t="str">
        <f t="shared" ca="1" si="129"/>
        <v>STOIAN</v>
      </c>
      <c r="Z492" s="256"/>
      <c r="AA492" s="219"/>
      <c r="AB492" s="293" t="str">
        <f t="shared" si="130"/>
        <v/>
      </c>
      <c r="AC492" s="294" t="str">
        <f t="shared" si="131"/>
        <v/>
      </c>
      <c r="AD492" s="219"/>
      <c r="AE492" s="219"/>
      <c r="AF492" s="293" t="str">
        <f>IF(AA492="","",VLOOKUP(AA492,Asta!$B:$H,7,FALSE))</f>
        <v/>
      </c>
      <c r="AG492" s="294" t="str">
        <f t="shared" si="132"/>
        <v/>
      </c>
      <c r="AH492" t="str">
        <f t="shared" si="133"/>
        <v/>
      </c>
      <c r="AI492" s="254" t="str">
        <f t="shared" ca="1" si="137"/>
        <v>473</v>
      </c>
      <c r="AJ492" s="254" t="str">
        <f t="shared" ca="1" si="138"/>
        <v>473</v>
      </c>
      <c r="AK492" s="351"/>
    </row>
    <row r="493" spans="1:37">
      <c r="A493" s="74">
        <v>474</v>
      </c>
      <c r="B493" s="252"/>
      <c r="C493" s="293" t="str">
        <f t="shared" si="139"/>
        <v/>
      </c>
      <c r="D493" s="294" t="str">
        <f t="shared" si="140"/>
        <v/>
      </c>
      <c r="E493" s="287"/>
      <c r="F493" s="293" t="str">
        <f t="shared" si="125"/>
        <v/>
      </c>
      <c r="G493" s="294" t="str">
        <f t="shared" si="126"/>
        <v/>
      </c>
      <c r="H493" s="290"/>
      <c r="I493" s="254" t="str">
        <f t="shared" ca="1" si="134"/>
        <v>1</v>
      </c>
      <c r="J493" s="254" t="str">
        <f t="shared" ca="1" si="135"/>
        <v>1</v>
      </c>
      <c r="K493" s="230" t="str">
        <f>IF(Giocatori!B482=0,"",Giocatori!B482)</f>
        <v>STORARI</v>
      </c>
      <c r="L493" s="230" t="str">
        <f>IF(Giocatori!A482=0,"",Giocatori!A482)</f>
        <v>P</v>
      </c>
      <c r="M493" s="230" t="str">
        <f>IF(Giocatori!C482=0,"",Giocatori!C482)</f>
        <v>Milan</v>
      </c>
      <c r="N493" s="69" t="str">
        <f t="shared" si="127"/>
        <v/>
      </c>
      <c r="O493" t="str">
        <f t="shared" si="128"/>
        <v>STORARI</v>
      </c>
      <c r="P493" s="7">
        <f t="shared" ca="1" si="136"/>
        <v>493</v>
      </c>
      <c r="Q493" s="7" t="str">
        <f t="shared" ca="1" si="129"/>
        <v>STORARI</v>
      </c>
      <c r="Z493" s="256"/>
      <c r="AA493" s="219"/>
      <c r="AB493" s="293" t="str">
        <f t="shared" si="130"/>
        <v/>
      </c>
      <c r="AC493" s="294" t="str">
        <f t="shared" si="131"/>
        <v/>
      </c>
      <c r="AD493" s="219"/>
      <c r="AE493" s="219"/>
      <c r="AF493" s="293" t="str">
        <f>IF(AA493="","",VLOOKUP(AA493,Asta!$B:$H,7,FALSE))</f>
        <v/>
      </c>
      <c r="AG493" s="294" t="str">
        <f t="shared" si="132"/>
        <v/>
      </c>
      <c r="AH493" t="str">
        <f t="shared" si="133"/>
        <v/>
      </c>
      <c r="AI493" s="254" t="str">
        <f t="shared" ca="1" si="137"/>
        <v>474</v>
      </c>
      <c r="AJ493" s="254" t="str">
        <f t="shared" ca="1" si="138"/>
        <v>474</v>
      </c>
      <c r="AK493" s="351"/>
    </row>
    <row r="494" spans="1:37">
      <c r="A494" s="74">
        <v>475</v>
      </c>
      <c r="B494" s="252"/>
      <c r="C494" s="293" t="str">
        <f t="shared" si="139"/>
        <v/>
      </c>
      <c r="D494" s="294" t="str">
        <f t="shared" si="140"/>
        <v/>
      </c>
      <c r="E494" s="287"/>
      <c r="F494" s="293" t="str">
        <f t="shared" si="125"/>
        <v/>
      </c>
      <c r="G494" s="294" t="str">
        <f t="shared" si="126"/>
        <v/>
      </c>
      <c r="H494" s="290"/>
      <c r="I494" s="254" t="str">
        <f t="shared" ca="1" si="134"/>
        <v>1</v>
      </c>
      <c r="J494" s="254" t="str">
        <f t="shared" ca="1" si="135"/>
        <v>1</v>
      </c>
      <c r="K494" s="230" t="str">
        <f>IF(Giocatori!B483=0,"",Giocatori!B483)</f>
        <v>STRAKOSHA</v>
      </c>
      <c r="L494" s="230" t="str">
        <f>IF(Giocatori!A483=0,"",Giocatori!A483)</f>
        <v>P</v>
      </c>
      <c r="M494" s="230" t="str">
        <f>IF(Giocatori!C483=0,"",Giocatori!C483)</f>
        <v>Lazio</v>
      </c>
      <c r="N494" s="69" t="str">
        <f t="shared" si="127"/>
        <v/>
      </c>
      <c r="O494" t="str">
        <f t="shared" si="128"/>
        <v>STRAKOSHA</v>
      </c>
      <c r="P494" s="7">
        <f t="shared" ca="1" si="136"/>
        <v>494</v>
      </c>
      <c r="Q494" s="7" t="str">
        <f t="shared" ca="1" si="129"/>
        <v>STRAKOSHA</v>
      </c>
      <c r="Z494" s="256"/>
      <c r="AA494" s="219"/>
      <c r="AB494" s="293" t="str">
        <f t="shared" si="130"/>
        <v/>
      </c>
      <c r="AC494" s="294" t="str">
        <f t="shared" si="131"/>
        <v/>
      </c>
      <c r="AD494" s="219"/>
      <c r="AE494" s="219"/>
      <c r="AF494" s="293" t="str">
        <f>IF(AA494="","",VLOOKUP(AA494,Asta!$B:$H,7,FALSE))</f>
        <v/>
      </c>
      <c r="AG494" s="294" t="str">
        <f t="shared" si="132"/>
        <v/>
      </c>
      <c r="AH494" t="str">
        <f t="shared" si="133"/>
        <v/>
      </c>
      <c r="AI494" s="254" t="str">
        <f t="shared" ca="1" si="137"/>
        <v>475</v>
      </c>
      <c r="AJ494" s="254" t="str">
        <f t="shared" ca="1" si="138"/>
        <v>475</v>
      </c>
      <c r="AK494" s="351"/>
    </row>
    <row r="495" spans="1:37">
      <c r="A495" s="74">
        <v>476</v>
      </c>
      <c r="B495" s="252"/>
      <c r="C495" s="293" t="str">
        <f t="shared" si="139"/>
        <v/>
      </c>
      <c r="D495" s="294" t="str">
        <f t="shared" si="140"/>
        <v/>
      </c>
      <c r="E495" s="287"/>
      <c r="F495" s="293" t="str">
        <f t="shared" si="125"/>
        <v/>
      </c>
      <c r="G495" s="294" t="str">
        <f t="shared" si="126"/>
        <v/>
      </c>
      <c r="H495" s="290"/>
      <c r="I495" s="254" t="str">
        <f t="shared" ca="1" si="134"/>
        <v>1</v>
      </c>
      <c r="J495" s="254" t="str">
        <f t="shared" ca="1" si="135"/>
        <v>1</v>
      </c>
      <c r="K495" s="230" t="str">
        <f>IF(Giocatori!B484=0,"",Giocatori!B484)</f>
        <v>STRINIC</v>
      </c>
      <c r="L495" s="230" t="str">
        <f>IF(Giocatori!A484=0,"",Giocatori!A484)</f>
        <v>D</v>
      </c>
      <c r="M495" s="230" t="str">
        <f>IF(Giocatori!C484=0,"",Giocatori!C484)</f>
        <v>Sampdoria</v>
      </c>
      <c r="N495" s="69" t="str">
        <f t="shared" si="127"/>
        <v/>
      </c>
      <c r="O495" t="str">
        <f t="shared" si="128"/>
        <v>STRINIC</v>
      </c>
      <c r="P495" s="7">
        <f t="shared" ca="1" si="136"/>
        <v>495</v>
      </c>
      <c r="Q495" s="7" t="str">
        <f t="shared" ca="1" si="129"/>
        <v>STRINIC</v>
      </c>
      <c r="Z495" s="256"/>
      <c r="AA495" s="219"/>
      <c r="AB495" s="293" t="str">
        <f t="shared" si="130"/>
        <v/>
      </c>
      <c r="AC495" s="294" t="str">
        <f t="shared" si="131"/>
        <v/>
      </c>
      <c r="AD495" s="219"/>
      <c r="AE495" s="219"/>
      <c r="AF495" s="293" t="str">
        <f>IF(AA495="","",VLOOKUP(AA495,Asta!$B:$H,7,FALSE))</f>
        <v/>
      </c>
      <c r="AG495" s="294" t="str">
        <f t="shared" si="132"/>
        <v/>
      </c>
      <c r="AH495" t="str">
        <f t="shared" si="133"/>
        <v/>
      </c>
      <c r="AI495" s="254" t="str">
        <f t="shared" ca="1" si="137"/>
        <v>476</v>
      </c>
      <c r="AJ495" s="254" t="str">
        <f t="shared" ca="1" si="138"/>
        <v>476</v>
      </c>
      <c r="AK495" s="351"/>
    </row>
    <row r="496" spans="1:37">
      <c r="A496" s="74">
        <v>477</v>
      </c>
      <c r="B496" s="252"/>
      <c r="C496" s="293" t="str">
        <f t="shared" si="139"/>
        <v/>
      </c>
      <c r="D496" s="294" t="str">
        <f t="shared" si="140"/>
        <v/>
      </c>
      <c r="E496" s="287"/>
      <c r="F496" s="293" t="str">
        <f t="shared" si="125"/>
        <v/>
      </c>
      <c r="G496" s="294" t="str">
        <f t="shared" si="126"/>
        <v/>
      </c>
      <c r="H496" s="290"/>
      <c r="I496" s="254" t="str">
        <f t="shared" ca="1" si="134"/>
        <v>1</v>
      </c>
      <c r="J496" s="254" t="str">
        <f t="shared" ca="1" si="135"/>
        <v>1</v>
      </c>
      <c r="K496" s="230" t="str">
        <f>IF(Giocatori!B485=0,"",Giocatori!B485)</f>
        <v>STROOTMAN</v>
      </c>
      <c r="L496" s="230" t="str">
        <f>IF(Giocatori!A485=0,"",Giocatori!A485)</f>
        <v>C</v>
      </c>
      <c r="M496" s="230" t="str">
        <f>IF(Giocatori!C485=0,"",Giocatori!C485)</f>
        <v>Roma</v>
      </c>
      <c r="N496" s="69" t="str">
        <f t="shared" si="127"/>
        <v/>
      </c>
      <c r="O496" t="str">
        <f t="shared" si="128"/>
        <v>STROOTMAN</v>
      </c>
      <c r="P496" s="7">
        <f t="shared" ca="1" si="136"/>
        <v>496</v>
      </c>
      <c r="Q496" s="7" t="str">
        <f t="shared" ca="1" si="129"/>
        <v>STROOTMAN</v>
      </c>
      <c r="Z496" s="256"/>
      <c r="AA496" s="219"/>
      <c r="AB496" s="293" t="str">
        <f t="shared" si="130"/>
        <v/>
      </c>
      <c r="AC496" s="294" t="str">
        <f t="shared" si="131"/>
        <v/>
      </c>
      <c r="AD496" s="219"/>
      <c r="AE496" s="219"/>
      <c r="AF496" s="293" t="str">
        <f>IF(AA496="","",VLOOKUP(AA496,Asta!$B:$H,7,FALSE))</f>
        <v/>
      </c>
      <c r="AG496" s="294" t="str">
        <f t="shared" si="132"/>
        <v/>
      </c>
      <c r="AH496" t="str">
        <f t="shared" si="133"/>
        <v/>
      </c>
      <c r="AI496" s="254" t="str">
        <f t="shared" ca="1" si="137"/>
        <v>477</v>
      </c>
      <c r="AJ496" s="254" t="str">
        <f t="shared" ca="1" si="138"/>
        <v>477</v>
      </c>
      <c r="AK496" s="351"/>
    </row>
    <row r="497" spans="1:37">
      <c r="A497" s="74">
        <v>478</v>
      </c>
      <c r="B497" s="252"/>
      <c r="C497" s="295" t="str">
        <f t="shared" si="139"/>
        <v/>
      </c>
      <c r="D497" s="296" t="str">
        <f t="shared" si="140"/>
        <v/>
      </c>
      <c r="E497" s="287"/>
      <c r="F497" s="295" t="str">
        <f t="shared" si="125"/>
        <v/>
      </c>
      <c r="G497" s="296" t="str">
        <f t="shared" si="126"/>
        <v/>
      </c>
      <c r="H497" s="290"/>
      <c r="I497" s="254" t="str">
        <f t="shared" ca="1" si="134"/>
        <v>1</v>
      </c>
      <c r="J497" s="254" t="str">
        <f t="shared" ca="1" si="135"/>
        <v>1</v>
      </c>
      <c r="K497" s="230" t="str">
        <f>IF(Giocatori!B486=0,"",Giocatori!B486)</f>
        <v>STRYGER LARSEN</v>
      </c>
      <c r="L497" s="230" t="str">
        <f>IF(Giocatori!A486=0,"",Giocatori!A486)</f>
        <v>D</v>
      </c>
      <c r="M497" s="230" t="str">
        <f>IF(Giocatori!C486=0,"",Giocatori!C486)</f>
        <v>Udinese</v>
      </c>
      <c r="N497" s="69" t="str">
        <f t="shared" si="127"/>
        <v/>
      </c>
      <c r="O497" t="str">
        <f t="shared" si="128"/>
        <v>STRYGER LARSEN</v>
      </c>
      <c r="P497" s="7">
        <f t="shared" ca="1" si="136"/>
        <v>497</v>
      </c>
      <c r="Q497" s="7" t="str">
        <f t="shared" ca="1" si="129"/>
        <v>STRYGER LARSEN</v>
      </c>
      <c r="Z497" s="256"/>
      <c r="AA497" s="219"/>
      <c r="AB497" s="295" t="str">
        <f t="shared" si="130"/>
        <v/>
      </c>
      <c r="AC497" s="296" t="str">
        <f t="shared" si="131"/>
        <v/>
      </c>
      <c r="AD497" s="219"/>
      <c r="AE497" s="219"/>
      <c r="AF497" s="295" t="str">
        <f>IF(AA497="","",VLOOKUP(AA497,Asta!$B:$H,7,FALSE))</f>
        <v/>
      </c>
      <c r="AG497" s="296" t="str">
        <f t="shared" si="132"/>
        <v/>
      </c>
      <c r="AH497" t="str">
        <f t="shared" si="133"/>
        <v/>
      </c>
      <c r="AI497" s="254" t="str">
        <f t="shared" ca="1" si="137"/>
        <v>478</v>
      </c>
      <c r="AJ497" s="254" t="str">
        <f t="shared" ca="1" si="138"/>
        <v>478</v>
      </c>
      <c r="AK497" s="351"/>
    </row>
    <row r="498" spans="1:37">
      <c r="A498" s="74">
        <v>479</v>
      </c>
      <c r="B498" s="252"/>
      <c r="C498" s="293" t="str">
        <f t="shared" si="139"/>
        <v/>
      </c>
      <c r="D498" s="294" t="str">
        <f t="shared" si="140"/>
        <v/>
      </c>
      <c r="E498" s="287"/>
      <c r="F498" s="293" t="str">
        <f t="shared" si="125"/>
        <v/>
      </c>
      <c r="G498" s="294" t="str">
        <f t="shared" si="126"/>
        <v/>
      </c>
      <c r="H498" s="290"/>
      <c r="I498" s="254" t="str">
        <f t="shared" ca="1" si="134"/>
        <v>1</v>
      </c>
      <c r="J498" s="254" t="str">
        <f t="shared" ca="1" si="135"/>
        <v>1</v>
      </c>
      <c r="K498" s="230" t="str">
        <f>IF(Giocatori!B487=0,"",Giocatori!B487)</f>
        <v>STURARO</v>
      </c>
      <c r="L498" s="230" t="str">
        <f>IF(Giocatori!A487=0,"",Giocatori!A487)</f>
        <v>C</v>
      </c>
      <c r="M498" s="230" t="str">
        <f>IF(Giocatori!C487=0,"",Giocatori!C487)</f>
        <v>Juventus</v>
      </c>
      <c r="N498" s="69" t="str">
        <f t="shared" si="127"/>
        <v/>
      </c>
      <c r="O498" t="str">
        <f t="shared" si="128"/>
        <v>STURARO</v>
      </c>
      <c r="P498" s="7">
        <f t="shared" ca="1" si="136"/>
        <v>498</v>
      </c>
      <c r="Q498" s="7" t="str">
        <f t="shared" ca="1" si="129"/>
        <v>STURARO</v>
      </c>
      <c r="Z498" s="256"/>
      <c r="AA498" s="219"/>
      <c r="AB498" s="293" t="str">
        <f t="shared" si="130"/>
        <v/>
      </c>
      <c r="AC498" s="294" t="str">
        <f t="shared" si="131"/>
        <v/>
      </c>
      <c r="AD498" s="219"/>
      <c r="AE498" s="219"/>
      <c r="AF498" s="293" t="str">
        <f>IF(AA498="","",VLOOKUP(AA498,Asta!$B:$H,7,FALSE))</f>
        <v/>
      </c>
      <c r="AG498" s="294" t="str">
        <f t="shared" si="132"/>
        <v/>
      </c>
      <c r="AH498" t="str">
        <f t="shared" si="133"/>
        <v/>
      </c>
      <c r="AI498" s="254" t="str">
        <f t="shared" ca="1" si="137"/>
        <v>479</v>
      </c>
      <c r="AJ498" s="254" t="str">
        <f t="shared" ca="1" si="138"/>
        <v>479</v>
      </c>
      <c r="AK498" s="351"/>
    </row>
    <row r="499" spans="1:37">
      <c r="A499" s="74">
        <v>480</v>
      </c>
      <c r="B499" s="252"/>
      <c r="C499" s="293" t="str">
        <f t="shared" si="139"/>
        <v/>
      </c>
      <c r="D499" s="294" t="str">
        <f t="shared" si="140"/>
        <v/>
      </c>
      <c r="E499" s="287"/>
      <c r="F499" s="293" t="str">
        <f t="shared" si="125"/>
        <v/>
      </c>
      <c r="G499" s="294" t="str">
        <f t="shared" si="126"/>
        <v/>
      </c>
      <c r="H499" s="290"/>
      <c r="I499" s="254" t="str">
        <f t="shared" ca="1" si="134"/>
        <v>1</v>
      </c>
      <c r="J499" s="254" t="str">
        <f t="shared" ca="1" si="135"/>
        <v>1</v>
      </c>
      <c r="K499" s="230" t="str">
        <f>IF(Giocatori!B488=0,"",Giocatori!B488)</f>
        <v>SULJIC</v>
      </c>
      <c r="L499" s="230" t="str">
        <f>IF(Giocatori!A488=0,"",Giocatori!A488)</f>
        <v>C</v>
      </c>
      <c r="M499" s="230" t="str">
        <f>IF(Giocatori!C488=0,"",Giocatori!C488)</f>
        <v>Crotone</v>
      </c>
      <c r="N499" s="69" t="str">
        <f t="shared" si="127"/>
        <v/>
      </c>
      <c r="O499" t="str">
        <f t="shared" si="128"/>
        <v>SULJIC</v>
      </c>
      <c r="P499" s="7">
        <f t="shared" ca="1" si="136"/>
        <v>499</v>
      </c>
      <c r="Q499" s="7" t="str">
        <f t="shared" ca="1" si="129"/>
        <v>SULJIC</v>
      </c>
      <c r="Z499" s="256"/>
      <c r="AA499" s="219"/>
      <c r="AB499" s="293" t="str">
        <f t="shared" si="130"/>
        <v/>
      </c>
      <c r="AC499" s="294" t="str">
        <f t="shared" si="131"/>
        <v/>
      </c>
      <c r="AD499" s="219"/>
      <c r="AE499" s="219"/>
      <c r="AF499" s="293" t="str">
        <f>IF(AA499="","",VLOOKUP(AA499,Asta!$B:$H,7,FALSE))</f>
        <v/>
      </c>
      <c r="AG499" s="294" t="str">
        <f t="shared" si="132"/>
        <v/>
      </c>
      <c r="AH499" t="str">
        <f t="shared" si="133"/>
        <v/>
      </c>
      <c r="AI499" s="254" t="str">
        <f t="shared" ca="1" si="137"/>
        <v>480</v>
      </c>
      <c r="AJ499" s="254" t="str">
        <f t="shared" ca="1" si="138"/>
        <v>480</v>
      </c>
      <c r="AK499" s="351"/>
    </row>
    <row r="500" spans="1:37">
      <c r="A500" s="74">
        <v>481</v>
      </c>
      <c r="B500" s="252"/>
      <c r="C500" s="293" t="str">
        <f t="shared" si="139"/>
        <v/>
      </c>
      <c r="D500" s="294" t="str">
        <f t="shared" si="140"/>
        <v/>
      </c>
      <c r="E500" s="287"/>
      <c r="F500" s="293" t="str">
        <f t="shared" si="125"/>
        <v/>
      </c>
      <c r="G500" s="294" t="str">
        <f t="shared" si="126"/>
        <v/>
      </c>
      <c r="H500" s="290"/>
      <c r="I500" s="254" t="str">
        <f t="shared" ca="1" si="134"/>
        <v>1</v>
      </c>
      <c r="J500" s="254" t="str">
        <f t="shared" ca="1" si="135"/>
        <v>1</v>
      </c>
      <c r="K500" s="230" t="str">
        <f>IF(Giocatori!B489=0,"",Giocatori!B489)</f>
        <v>SUSO</v>
      </c>
      <c r="L500" s="230" t="str">
        <f>IF(Giocatori!A489=0,"",Giocatori!A489)</f>
        <v>A</v>
      </c>
      <c r="M500" s="230" t="str">
        <f>IF(Giocatori!C489=0,"",Giocatori!C489)</f>
        <v>Milan</v>
      </c>
      <c r="N500" s="69" t="str">
        <f t="shared" si="127"/>
        <v/>
      </c>
      <c r="O500" t="str">
        <f t="shared" si="128"/>
        <v>SUSO</v>
      </c>
      <c r="P500" s="7">
        <f t="shared" ca="1" si="136"/>
        <v>500</v>
      </c>
      <c r="Q500" s="7" t="str">
        <f t="shared" ca="1" si="129"/>
        <v>SUSO</v>
      </c>
      <c r="Z500" s="256"/>
      <c r="AA500" s="219"/>
      <c r="AB500" s="293" t="str">
        <f t="shared" si="130"/>
        <v/>
      </c>
      <c r="AC500" s="294" t="str">
        <f t="shared" si="131"/>
        <v/>
      </c>
      <c r="AD500" s="219"/>
      <c r="AE500" s="219"/>
      <c r="AF500" s="293" t="str">
        <f>IF(AA500="","",VLOOKUP(AA500,Asta!$B:$H,7,FALSE))</f>
        <v/>
      </c>
      <c r="AG500" s="294" t="str">
        <f t="shared" si="132"/>
        <v/>
      </c>
      <c r="AH500" t="str">
        <f t="shared" si="133"/>
        <v/>
      </c>
      <c r="AI500" s="254" t="str">
        <f t="shared" ca="1" si="137"/>
        <v>481</v>
      </c>
      <c r="AJ500" s="254" t="str">
        <f t="shared" ca="1" si="138"/>
        <v>481</v>
      </c>
      <c r="AK500" s="351"/>
    </row>
    <row r="501" spans="1:37">
      <c r="A501" s="74">
        <v>482</v>
      </c>
      <c r="B501" s="252"/>
      <c r="C501" s="293" t="str">
        <f t="shared" si="139"/>
        <v/>
      </c>
      <c r="D501" s="294" t="str">
        <f t="shared" si="140"/>
        <v/>
      </c>
      <c r="E501" s="287"/>
      <c r="F501" s="293" t="str">
        <f t="shared" si="125"/>
        <v/>
      </c>
      <c r="G501" s="294" t="str">
        <f t="shared" si="126"/>
        <v/>
      </c>
      <c r="H501" s="290"/>
      <c r="I501" s="254" t="str">
        <f t="shared" ca="1" si="134"/>
        <v>1</v>
      </c>
      <c r="J501" s="254" t="str">
        <f t="shared" ca="1" si="135"/>
        <v>1</v>
      </c>
      <c r="K501" s="230" t="str">
        <f>IF(Giocatori!B490=0,"",Giocatori!B490)</f>
        <v>SZCZESNY</v>
      </c>
      <c r="L501" s="230" t="str">
        <f>IF(Giocatori!A490=0,"",Giocatori!A490)</f>
        <v>P</v>
      </c>
      <c r="M501" s="230" t="str">
        <f>IF(Giocatori!C490=0,"",Giocatori!C490)</f>
        <v>Juventus</v>
      </c>
      <c r="N501" s="69" t="str">
        <f t="shared" si="127"/>
        <v/>
      </c>
      <c r="O501" t="str">
        <f t="shared" si="128"/>
        <v>SZCZESNY</v>
      </c>
      <c r="P501" s="7">
        <f t="shared" ca="1" si="136"/>
        <v>501</v>
      </c>
      <c r="Q501" s="7" t="str">
        <f t="shared" ca="1" si="129"/>
        <v>SZCZESNY</v>
      </c>
      <c r="Z501" s="256"/>
      <c r="AA501" s="219"/>
      <c r="AB501" s="293" t="str">
        <f t="shared" si="130"/>
        <v/>
      </c>
      <c r="AC501" s="294" t="str">
        <f t="shared" si="131"/>
        <v/>
      </c>
      <c r="AD501" s="219"/>
      <c r="AE501" s="219"/>
      <c r="AF501" s="293" t="str">
        <f>IF(AA501="","",VLOOKUP(AA501,Asta!$B:$H,7,FALSE))</f>
        <v/>
      </c>
      <c r="AG501" s="294" t="str">
        <f t="shared" si="132"/>
        <v/>
      </c>
      <c r="AH501" t="str">
        <f t="shared" si="133"/>
        <v/>
      </c>
      <c r="AI501" s="254" t="str">
        <f t="shared" ca="1" si="137"/>
        <v>482</v>
      </c>
      <c r="AJ501" s="254" t="str">
        <f t="shared" ca="1" si="138"/>
        <v>482</v>
      </c>
      <c r="AK501" s="351"/>
    </row>
    <row r="502" spans="1:37">
      <c r="A502" s="74">
        <v>483</v>
      </c>
      <c r="B502" s="252"/>
      <c r="C502" s="293" t="str">
        <f t="shared" si="139"/>
        <v/>
      </c>
      <c r="D502" s="294" t="str">
        <f t="shared" si="140"/>
        <v/>
      </c>
      <c r="E502" s="287"/>
      <c r="F502" s="293" t="str">
        <f t="shared" si="125"/>
        <v/>
      </c>
      <c r="G502" s="294" t="str">
        <f t="shared" si="126"/>
        <v/>
      </c>
      <c r="H502" s="290"/>
      <c r="I502" s="254" t="str">
        <f t="shared" ca="1" si="134"/>
        <v>1</v>
      </c>
      <c r="J502" s="254" t="str">
        <f t="shared" ca="1" si="135"/>
        <v>1</v>
      </c>
      <c r="K502" s="230" t="str">
        <f>IF(Giocatori!B491=0,"",Giocatori!B491)</f>
        <v>TAARABT</v>
      </c>
      <c r="L502" s="230" t="str">
        <f>IF(Giocatori!A491=0,"",Giocatori!A491)</f>
        <v>A</v>
      </c>
      <c r="M502" s="230" t="str">
        <f>IF(Giocatori!C491=0,"",Giocatori!C491)</f>
        <v>Genoa</v>
      </c>
      <c r="N502" s="69" t="str">
        <f t="shared" si="127"/>
        <v/>
      </c>
      <c r="O502" t="str">
        <f t="shared" si="128"/>
        <v>TAARABT</v>
      </c>
      <c r="P502" s="7">
        <f t="shared" ca="1" si="136"/>
        <v>502</v>
      </c>
      <c r="Q502" s="7" t="str">
        <f t="shared" ca="1" si="129"/>
        <v>TAARABT</v>
      </c>
      <c r="Z502" s="256"/>
      <c r="AA502" s="219"/>
      <c r="AB502" s="293" t="str">
        <f t="shared" si="130"/>
        <v/>
      </c>
      <c r="AC502" s="294" t="str">
        <f t="shared" si="131"/>
        <v/>
      </c>
      <c r="AD502" s="219"/>
      <c r="AE502" s="219"/>
      <c r="AF502" s="293" t="str">
        <f>IF(AA502="","",VLOOKUP(AA502,Asta!$B:$H,7,FALSE))</f>
        <v/>
      </c>
      <c r="AG502" s="294" t="str">
        <f t="shared" si="132"/>
        <v/>
      </c>
      <c r="AH502" t="str">
        <f t="shared" si="133"/>
        <v/>
      </c>
      <c r="AI502" s="254" t="str">
        <f t="shared" ca="1" si="137"/>
        <v>483</v>
      </c>
      <c r="AJ502" s="254" t="str">
        <f t="shared" ca="1" si="138"/>
        <v>483</v>
      </c>
      <c r="AK502" s="351"/>
    </row>
    <row r="503" spans="1:37">
      <c r="A503" s="74">
        <v>484</v>
      </c>
      <c r="B503" s="252"/>
      <c r="C503" s="293" t="str">
        <f t="shared" si="139"/>
        <v/>
      </c>
      <c r="D503" s="294" t="str">
        <f t="shared" si="140"/>
        <v/>
      </c>
      <c r="E503" s="287"/>
      <c r="F503" s="293" t="str">
        <f t="shared" si="125"/>
        <v/>
      </c>
      <c r="G503" s="294" t="str">
        <f t="shared" si="126"/>
        <v/>
      </c>
      <c r="H503" s="290"/>
      <c r="I503" s="254" t="str">
        <f t="shared" ca="1" si="134"/>
        <v>1</v>
      </c>
      <c r="J503" s="254" t="str">
        <f t="shared" ca="1" si="135"/>
        <v>1</v>
      </c>
      <c r="K503" s="230" t="str">
        <f>IF(Giocatori!B492=0,"",Giocatori!B492)</f>
        <v>TAIDER</v>
      </c>
      <c r="L503" s="230" t="str">
        <f>IF(Giocatori!A492=0,"",Giocatori!A492)</f>
        <v>C</v>
      </c>
      <c r="M503" s="230" t="str">
        <f>IF(Giocatori!C492=0,"",Giocatori!C492)</f>
        <v>Bologna</v>
      </c>
      <c r="N503" s="69" t="str">
        <f t="shared" si="127"/>
        <v/>
      </c>
      <c r="O503" t="str">
        <f t="shared" si="128"/>
        <v>TAIDER</v>
      </c>
      <c r="P503" s="7">
        <f t="shared" ca="1" si="136"/>
        <v>503</v>
      </c>
      <c r="Q503" s="7" t="str">
        <f t="shared" ca="1" si="129"/>
        <v>TAIDER</v>
      </c>
      <c r="Z503" s="256"/>
      <c r="AA503" s="219"/>
      <c r="AB503" s="293" t="str">
        <f t="shared" si="130"/>
        <v/>
      </c>
      <c r="AC503" s="294" t="str">
        <f t="shared" si="131"/>
        <v/>
      </c>
      <c r="AD503" s="219"/>
      <c r="AE503" s="219"/>
      <c r="AF503" s="293" t="str">
        <f>IF(AA503="","",VLOOKUP(AA503,Asta!$B:$H,7,FALSE))</f>
        <v/>
      </c>
      <c r="AG503" s="294" t="str">
        <f t="shared" si="132"/>
        <v/>
      </c>
      <c r="AH503" t="str">
        <f t="shared" si="133"/>
        <v/>
      </c>
      <c r="AI503" s="254" t="str">
        <f t="shared" ca="1" si="137"/>
        <v>484</v>
      </c>
      <c r="AJ503" s="254" t="str">
        <f t="shared" ca="1" si="138"/>
        <v>484</v>
      </c>
      <c r="AK503" s="351"/>
    </row>
    <row r="504" spans="1:37">
      <c r="A504" s="74">
        <v>485</v>
      </c>
      <c r="B504" s="252"/>
      <c r="C504" s="293" t="str">
        <f t="shared" si="139"/>
        <v/>
      </c>
      <c r="D504" s="294" t="str">
        <f t="shared" si="140"/>
        <v/>
      </c>
      <c r="E504" s="287"/>
      <c r="F504" s="293" t="str">
        <f t="shared" si="125"/>
        <v/>
      </c>
      <c r="G504" s="294" t="str">
        <f t="shared" si="126"/>
        <v/>
      </c>
      <c r="H504" s="290"/>
      <c r="I504" s="254" t="str">
        <f t="shared" ca="1" si="134"/>
        <v>1</v>
      </c>
      <c r="J504" s="254" t="str">
        <f t="shared" ca="1" si="135"/>
        <v>1</v>
      </c>
      <c r="K504" s="230" t="str">
        <f>IF(Giocatori!B493=0,"",Giocatori!B493)</f>
        <v>THEREAU</v>
      </c>
      <c r="L504" s="230" t="str">
        <f>IF(Giocatori!A493=0,"",Giocatori!A493)</f>
        <v>A</v>
      </c>
      <c r="M504" s="230" t="str">
        <f>IF(Giocatori!C493=0,"",Giocatori!C493)</f>
        <v>Fiorentina</v>
      </c>
      <c r="N504" s="69" t="str">
        <f t="shared" si="127"/>
        <v/>
      </c>
      <c r="O504" t="str">
        <f t="shared" si="128"/>
        <v>THEREAU</v>
      </c>
      <c r="P504" s="7">
        <f t="shared" ca="1" si="136"/>
        <v>504</v>
      </c>
      <c r="Q504" s="7" t="str">
        <f t="shared" ca="1" si="129"/>
        <v>THEREAU</v>
      </c>
      <c r="Z504" s="256"/>
      <c r="AA504" s="219"/>
      <c r="AB504" s="293" t="str">
        <f t="shared" si="130"/>
        <v/>
      </c>
      <c r="AC504" s="294" t="str">
        <f t="shared" si="131"/>
        <v/>
      </c>
      <c r="AD504" s="219"/>
      <c r="AE504" s="219"/>
      <c r="AF504" s="293" t="str">
        <f>IF(AA504="","",VLOOKUP(AA504,Asta!$B:$H,7,FALSE))</f>
        <v/>
      </c>
      <c r="AG504" s="294" t="str">
        <f t="shared" si="132"/>
        <v/>
      </c>
      <c r="AH504" t="str">
        <f t="shared" si="133"/>
        <v/>
      </c>
      <c r="AI504" s="254" t="str">
        <f t="shared" ca="1" si="137"/>
        <v>485</v>
      </c>
      <c r="AJ504" s="254" t="str">
        <f t="shared" ca="1" si="138"/>
        <v>485</v>
      </c>
      <c r="AK504" s="351"/>
    </row>
    <row r="505" spans="1:37">
      <c r="A505" s="74">
        <v>486</v>
      </c>
      <c r="B505" s="252"/>
      <c r="C505" s="293" t="str">
        <f t="shared" si="139"/>
        <v/>
      </c>
      <c r="D505" s="294" t="str">
        <f t="shared" si="140"/>
        <v/>
      </c>
      <c r="E505" s="287"/>
      <c r="F505" s="293" t="str">
        <f t="shared" si="125"/>
        <v/>
      </c>
      <c r="G505" s="294" t="str">
        <f t="shared" si="126"/>
        <v/>
      </c>
      <c r="H505" s="290"/>
      <c r="I505" s="254" t="str">
        <f t="shared" ca="1" si="134"/>
        <v>1</v>
      </c>
      <c r="J505" s="254" t="str">
        <f t="shared" ca="1" si="135"/>
        <v>1</v>
      </c>
      <c r="K505" s="230" t="str">
        <f>IF(Giocatori!B494=0,"",Giocatori!B494)</f>
        <v>TOLOI</v>
      </c>
      <c r="L505" s="230" t="str">
        <f>IF(Giocatori!A494=0,"",Giocatori!A494)</f>
        <v>D</v>
      </c>
      <c r="M505" s="230" t="str">
        <f>IF(Giocatori!C494=0,"",Giocatori!C494)</f>
        <v>Atalanta</v>
      </c>
      <c r="N505" s="69" t="str">
        <f t="shared" si="127"/>
        <v/>
      </c>
      <c r="O505" t="str">
        <f t="shared" si="128"/>
        <v>TOLOI</v>
      </c>
      <c r="P505" s="7">
        <f t="shared" ca="1" si="136"/>
        <v>505</v>
      </c>
      <c r="Q505" s="7" t="str">
        <f t="shared" ca="1" si="129"/>
        <v>TOLOI</v>
      </c>
      <c r="Z505" s="256"/>
      <c r="AA505" s="219"/>
      <c r="AB505" s="293" t="str">
        <f t="shared" si="130"/>
        <v/>
      </c>
      <c r="AC505" s="294" t="str">
        <f t="shared" si="131"/>
        <v/>
      </c>
      <c r="AD505" s="219"/>
      <c r="AE505" s="219"/>
      <c r="AF505" s="293" t="str">
        <f>IF(AA505="","",VLOOKUP(AA505,Asta!$B:$H,7,FALSE))</f>
        <v/>
      </c>
      <c r="AG505" s="294" t="str">
        <f t="shared" si="132"/>
        <v/>
      </c>
      <c r="AH505" t="str">
        <f t="shared" si="133"/>
        <v/>
      </c>
      <c r="AI505" s="254" t="str">
        <f t="shared" ca="1" si="137"/>
        <v>486</v>
      </c>
      <c r="AJ505" s="254" t="str">
        <f t="shared" ca="1" si="138"/>
        <v>486</v>
      </c>
      <c r="AK505" s="351"/>
    </row>
    <row r="506" spans="1:37">
      <c r="A506" s="74">
        <v>487</v>
      </c>
      <c r="B506" s="252"/>
      <c r="C506" s="293" t="str">
        <f t="shared" si="139"/>
        <v/>
      </c>
      <c r="D506" s="294" t="str">
        <f t="shared" si="140"/>
        <v/>
      </c>
      <c r="E506" s="287"/>
      <c r="F506" s="293" t="str">
        <f t="shared" si="125"/>
        <v/>
      </c>
      <c r="G506" s="294" t="str">
        <f t="shared" si="126"/>
        <v/>
      </c>
      <c r="H506" s="290"/>
      <c r="I506" s="254" t="str">
        <f t="shared" ca="1" si="134"/>
        <v>1</v>
      </c>
      <c r="J506" s="254" t="str">
        <f t="shared" ca="1" si="135"/>
        <v>1</v>
      </c>
      <c r="K506" s="230" t="str">
        <f>IF(Giocatori!B495=0,"",Giocatori!B495)</f>
        <v>TOMIC</v>
      </c>
      <c r="L506" s="230" t="str">
        <f>IF(Giocatori!A495=0,"",Giocatori!A495)</f>
        <v>D</v>
      </c>
      <c r="M506" s="230" t="str">
        <f>IF(Giocatori!C495=0,"",Giocatori!C495)</f>
        <v>Sampdoria</v>
      </c>
      <c r="N506" s="69" t="str">
        <f t="shared" si="127"/>
        <v/>
      </c>
      <c r="O506" t="str">
        <f t="shared" si="128"/>
        <v>TOMIC</v>
      </c>
      <c r="P506" s="7">
        <f t="shared" ca="1" si="136"/>
        <v>506</v>
      </c>
      <c r="Q506" s="7" t="str">
        <f t="shared" ca="1" si="129"/>
        <v>TOMIC</v>
      </c>
      <c r="Z506" s="256"/>
      <c r="AA506" s="219"/>
      <c r="AB506" s="293" t="str">
        <f t="shared" si="130"/>
        <v/>
      </c>
      <c r="AC506" s="294" t="str">
        <f t="shared" si="131"/>
        <v/>
      </c>
      <c r="AD506" s="219"/>
      <c r="AE506" s="219"/>
      <c r="AF506" s="293" t="str">
        <f>IF(AA506="","",VLOOKUP(AA506,Asta!$B:$H,7,FALSE))</f>
        <v/>
      </c>
      <c r="AG506" s="294" t="str">
        <f t="shared" si="132"/>
        <v/>
      </c>
      <c r="AH506" t="str">
        <f t="shared" si="133"/>
        <v/>
      </c>
      <c r="AI506" s="254" t="str">
        <f t="shared" ca="1" si="137"/>
        <v>487</v>
      </c>
      <c r="AJ506" s="254" t="str">
        <f t="shared" ca="1" si="138"/>
        <v>487</v>
      </c>
      <c r="AK506" s="351"/>
    </row>
    <row r="507" spans="1:37">
      <c r="A507" s="74">
        <v>488</v>
      </c>
      <c r="B507" s="252"/>
      <c r="C507" s="293" t="str">
        <f t="shared" si="139"/>
        <v/>
      </c>
      <c r="D507" s="294" t="str">
        <f t="shared" si="140"/>
        <v/>
      </c>
      <c r="E507" s="287"/>
      <c r="F507" s="293" t="str">
        <f t="shared" si="125"/>
        <v/>
      </c>
      <c r="G507" s="294" t="str">
        <f t="shared" si="126"/>
        <v/>
      </c>
      <c r="H507" s="290"/>
      <c r="I507" s="254" t="str">
        <f t="shared" ca="1" si="134"/>
        <v>1</v>
      </c>
      <c r="J507" s="254" t="str">
        <f t="shared" ca="1" si="135"/>
        <v>1</v>
      </c>
      <c r="K507" s="230" t="str">
        <f>IF(Giocatori!B496=0,"",Giocatori!B496)</f>
        <v>TOMOVIC</v>
      </c>
      <c r="L507" s="230" t="str">
        <f>IF(Giocatori!A496=0,"",Giocatori!A496)</f>
        <v>D</v>
      </c>
      <c r="M507" s="230" t="str">
        <f>IF(Giocatori!C496=0,"",Giocatori!C496)</f>
        <v>Chievo</v>
      </c>
      <c r="N507" s="69" t="str">
        <f t="shared" si="127"/>
        <v/>
      </c>
      <c r="O507" t="str">
        <f t="shared" si="128"/>
        <v>TOMOVIC</v>
      </c>
      <c r="P507" s="7">
        <f t="shared" ca="1" si="136"/>
        <v>507</v>
      </c>
      <c r="Q507" s="7" t="str">
        <f t="shared" ca="1" si="129"/>
        <v>TOMOVIC</v>
      </c>
      <c r="Z507" s="256"/>
      <c r="AA507" s="219"/>
      <c r="AB507" s="293" t="str">
        <f t="shared" si="130"/>
        <v/>
      </c>
      <c r="AC507" s="294" t="str">
        <f t="shared" si="131"/>
        <v/>
      </c>
      <c r="AD507" s="219"/>
      <c r="AE507" s="219"/>
      <c r="AF507" s="293" t="str">
        <f>IF(AA507="","",VLOOKUP(AA507,Asta!$B:$H,7,FALSE))</f>
        <v/>
      </c>
      <c r="AG507" s="294" t="str">
        <f t="shared" si="132"/>
        <v/>
      </c>
      <c r="AH507" t="str">
        <f t="shared" si="133"/>
        <v/>
      </c>
      <c r="AI507" s="254" t="str">
        <f t="shared" ca="1" si="137"/>
        <v>488</v>
      </c>
      <c r="AJ507" s="254" t="str">
        <f t="shared" ca="1" si="138"/>
        <v>488</v>
      </c>
      <c r="AK507" s="351"/>
    </row>
    <row r="508" spans="1:37">
      <c r="A508" s="74">
        <v>489</v>
      </c>
      <c r="B508" s="252"/>
      <c r="C508" s="293" t="str">
        <f t="shared" si="139"/>
        <v/>
      </c>
      <c r="D508" s="294" t="str">
        <f t="shared" si="140"/>
        <v/>
      </c>
      <c r="E508" s="287"/>
      <c r="F508" s="293" t="str">
        <f t="shared" si="125"/>
        <v/>
      </c>
      <c r="G508" s="294" t="str">
        <f t="shared" si="126"/>
        <v/>
      </c>
      <c r="H508" s="290"/>
      <c r="I508" s="254" t="str">
        <f t="shared" ca="1" si="134"/>
        <v>1</v>
      </c>
      <c r="J508" s="254" t="str">
        <f t="shared" ca="1" si="135"/>
        <v>1</v>
      </c>
      <c r="K508" s="230" t="str">
        <f>IF(Giocatori!B497=0,"",Giocatori!B497)</f>
        <v>TONELLI</v>
      </c>
      <c r="L508" s="230" t="str">
        <f>IF(Giocatori!A497=0,"",Giocatori!A497)</f>
        <v>D</v>
      </c>
      <c r="M508" s="230" t="str">
        <f>IF(Giocatori!C497=0,"",Giocatori!C497)</f>
        <v>Napoli</v>
      </c>
      <c r="N508" s="69" t="str">
        <f t="shared" si="127"/>
        <v/>
      </c>
      <c r="O508" t="str">
        <f t="shared" si="128"/>
        <v>TONELLI</v>
      </c>
      <c r="P508" s="7">
        <f t="shared" ca="1" si="136"/>
        <v>508</v>
      </c>
      <c r="Q508" s="7" t="str">
        <f t="shared" ca="1" si="129"/>
        <v>TONELLI</v>
      </c>
      <c r="Z508" s="256"/>
      <c r="AA508" s="219"/>
      <c r="AB508" s="293" t="str">
        <f t="shared" si="130"/>
        <v/>
      </c>
      <c r="AC508" s="294" t="str">
        <f t="shared" si="131"/>
        <v/>
      </c>
      <c r="AD508" s="219"/>
      <c r="AE508" s="219"/>
      <c r="AF508" s="293" t="str">
        <f>IF(AA508="","",VLOOKUP(AA508,Asta!$B:$H,7,FALSE))</f>
        <v/>
      </c>
      <c r="AG508" s="294" t="str">
        <f t="shared" si="132"/>
        <v/>
      </c>
      <c r="AH508" t="str">
        <f t="shared" si="133"/>
        <v/>
      </c>
      <c r="AI508" s="254" t="str">
        <f t="shared" ca="1" si="137"/>
        <v>489</v>
      </c>
      <c r="AJ508" s="254" t="str">
        <f t="shared" ca="1" si="138"/>
        <v>489</v>
      </c>
      <c r="AK508" s="351"/>
    </row>
    <row r="509" spans="1:37">
      <c r="A509" s="74">
        <v>490</v>
      </c>
      <c r="B509" s="252"/>
      <c r="C509" s="293" t="str">
        <f t="shared" si="139"/>
        <v/>
      </c>
      <c r="D509" s="294" t="str">
        <f t="shared" si="140"/>
        <v/>
      </c>
      <c r="E509" s="287"/>
      <c r="F509" s="293" t="str">
        <f t="shared" si="125"/>
        <v/>
      </c>
      <c r="G509" s="294" t="str">
        <f t="shared" si="126"/>
        <v/>
      </c>
      <c r="H509" s="290"/>
      <c r="I509" s="254" t="str">
        <f t="shared" ca="1" si="134"/>
        <v>1</v>
      </c>
      <c r="J509" s="254" t="str">
        <f t="shared" ca="1" si="135"/>
        <v>1</v>
      </c>
      <c r="K509" s="230" t="str">
        <f>IF(Giocatori!B498=0,"",Giocatori!B498)</f>
        <v>TONEV</v>
      </c>
      <c r="L509" s="230" t="str">
        <f>IF(Giocatori!A498=0,"",Giocatori!A498)</f>
        <v>A</v>
      </c>
      <c r="M509" s="230" t="str">
        <f>IF(Giocatori!C498=0,"",Giocatori!C498)</f>
        <v>Crotone</v>
      </c>
      <c r="N509" s="69" t="str">
        <f t="shared" si="127"/>
        <v/>
      </c>
      <c r="O509" t="str">
        <f t="shared" si="128"/>
        <v>TONEV</v>
      </c>
      <c r="P509" s="7">
        <f t="shared" ca="1" si="136"/>
        <v>509</v>
      </c>
      <c r="Q509" s="7" t="str">
        <f t="shared" ca="1" si="129"/>
        <v>TONEV</v>
      </c>
      <c r="Z509" s="256"/>
      <c r="AA509" s="219"/>
      <c r="AB509" s="293" t="str">
        <f t="shared" si="130"/>
        <v/>
      </c>
      <c r="AC509" s="294" t="str">
        <f t="shared" si="131"/>
        <v/>
      </c>
      <c r="AD509" s="219"/>
      <c r="AE509" s="219"/>
      <c r="AF509" s="293" t="str">
        <f>IF(AA509="","",VLOOKUP(AA509,Asta!$B:$H,7,FALSE))</f>
        <v/>
      </c>
      <c r="AG509" s="294" t="str">
        <f t="shared" si="132"/>
        <v/>
      </c>
      <c r="AH509" t="str">
        <f t="shared" si="133"/>
        <v/>
      </c>
      <c r="AI509" s="254" t="str">
        <f t="shared" ca="1" si="137"/>
        <v>490</v>
      </c>
      <c r="AJ509" s="254" t="str">
        <f t="shared" ca="1" si="138"/>
        <v>490</v>
      </c>
      <c r="AK509" s="351"/>
    </row>
    <row r="510" spans="1:37">
      <c r="A510" s="74">
        <v>491</v>
      </c>
      <c r="B510" s="252"/>
      <c r="C510" s="293" t="str">
        <f t="shared" si="139"/>
        <v/>
      </c>
      <c r="D510" s="294" t="str">
        <f t="shared" si="140"/>
        <v/>
      </c>
      <c r="E510" s="287"/>
      <c r="F510" s="293" t="str">
        <f t="shared" si="125"/>
        <v/>
      </c>
      <c r="G510" s="294" t="str">
        <f t="shared" si="126"/>
        <v/>
      </c>
      <c r="H510" s="290"/>
      <c r="I510" s="254" t="str">
        <f t="shared" ca="1" si="134"/>
        <v>1</v>
      </c>
      <c r="J510" s="254" t="str">
        <f t="shared" ca="1" si="135"/>
        <v>1</v>
      </c>
      <c r="K510" s="230" t="str">
        <f>IF(Giocatori!B499=0,"",Giocatori!B499)</f>
        <v>TOROSIDIS</v>
      </c>
      <c r="L510" s="230" t="str">
        <f>IF(Giocatori!A499=0,"",Giocatori!A499)</f>
        <v>D</v>
      </c>
      <c r="M510" s="230" t="str">
        <f>IF(Giocatori!C499=0,"",Giocatori!C499)</f>
        <v>Bologna</v>
      </c>
      <c r="N510" s="69" t="str">
        <f t="shared" si="127"/>
        <v/>
      </c>
      <c r="O510" t="str">
        <f t="shared" si="128"/>
        <v>TOROSIDIS</v>
      </c>
      <c r="P510" s="7">
        <f t="shared" ca="1" si="136"/>
        <v>510</v>
      </c>
      <c r="Q510" s="7" t="str">
        <f t="shared" ca="1" si="129"/>
        <v>TOROSIDIS</v>
      </c>
      <c r="Z510" s="256"/>
      <c r="AA510" s="219"/>
      <c r="AB510" s="293" t="str">
        <f t="shared" si="130"/>
        <v/>
      </c>
      <c r="AC510" s="294" t="str">
        <f t="shared" si="131"/>
        <v/>
      </c>
      <c r="AD510" s="219"/>
      <c r="AE510" s="219"/>
      <c r="AF510" s="293" t="str">
        <f>IF(AA510="","",VLOOKUP(AA510,Asta!$B:$H,7,FALSE))</f>
        <v/>
      </c>
      <c r="AG510" s="294" t="str">
        <f t="shared" si="132"/>
        <v/>
      </c>
      <c r="AH510" t="str">
        <f t="shared" si="133"/>
        <v/>
      </c>
      <c r="AI510" s="254" t="str">
        <f t="shared" ca="1" si="137"/>
        <v>491</v>
      </c>
      <c r="AJ510" s="254" t="str">
        <f t="shared" ca="1" si="138"/>
        <v>491</v>
      </c>
      <c r="AK510" s="351"/>
    </row>
    <row r="511" spans="1:37">
      <c r="A511" s="74">
        <v>492</v>
      </c>
      <c r="B511" s="252"/>
      <c r="C511" s="293" t="str">
        <f t="shared" si="139"/>
        <v/>
      </c>
      <c r="D511" s="294" t="str">
        <f t="shared" si="140"/>
        <v/>
      </c>
      <c r="E511" s="287"/>
      <c r="F511" s="293" t="str">
        <f t="shared" si="125"/>
        <v/>
      </c>
      <c r="G511" s="294" t="str">
        <f t="shared" si="126"/>
        <v/>
      </c>
      <c r="H511" s="290"/>
      <c r="I511" s="254" t="str">
        <f t="shared" ca="1" si="134"/>
        <v>1</v>
      </c>
      <c r="J511" s="254" t="str">
        <f t="shared" ca="1" si="135"/>
        <v>1</v>
      </c>
      <c r="K511" s="230" t="str">
        <f>IF(Giocatori!B500=0,"",Giocatori!B500)</f>
        <v>TORREIRA</v>
      </c>
      <c r="L511" s="230" t="str">
        <f>IF(Giocatori!A500=0,"",Giocatori!A500)</f>
        <v>C</v>
      </c>
      <c r="M511" s="230" t="str">
        <f>IF(Giocatori!C500=0,"",Giocatori!C500)</f>
        <v>Sampdoria</v>
      </c>
      <c r="N511" s="69" t="str">
        <f t="shared" si="127"/>
        <v/>
      </c>
      <c r="O511" t="str">
        <f t="shared" si="128"/>
        <v>TORREIRA</v>
      </c>
      <c r="P511" s="7">
        <f t="shared" ca="1" si="136"/>
        <v>511</v>
      </c>
      <c r="Q511" s="7" t="str">
        <f t="shared" ca="1" si="129"/>
        <v>TORREIRA</v>
      </c>
      <c r="Z511" s="256"/>
      <c r="AA511" s="219"/>
      <c r="AB511" s="293" t="str">
        <f t="shared" si="130"/>
        <v/>
      </c>
      <c r="AC511" s="294" t="str">
        <f t="shared" si="131"/>
        <v/>
      </c>
      <c r="AD511" s="219"/>
      <c r="AE511" s="219"/>
      <c r="AF511" s="293" t="str">
        <f>IF(AA511="","",VLOOKUP(AA511,Asta!$B:$H,7,FALSE))</f>
        <v/>
      </c>
      <c r="AG511" s="294" t="str">
        <f t="shared" si="132"/>
        <v/>
      </c>
      <c r="AH511" t="str">
        <f t="shared" si="133"/>
        <v/>
      </c>
      <c r="AI511" s="254" t="str">
        <f t="shared" ca="1" si="137"/>
        <v>492</v>
      </c>
      <c r="AJ511" s="254" t="str">
        <f t="shared" ca="1" si="138"/>
        <v>492</v>
      </c>
      <c r="AK511" s="351"/>
    </row>
    <row r="512" spans="1:37">
      <c r="A512" s="74">
        <v>493</v>
      </c>
      <c r="B512" s="252"/>
      <c r="C512" s="293" t="str">
        <f t="shared" si="139"/>
        <v/>
      </c>
      <c r="D512" s="294" t="str">
        <f t="shared" si="140"/>
        <v/>
      </c>
      <c r="E512" s="287"/>
      <c r="F512" s="293" t="str">
        <f t="shared" si="125"/>
        <v/>
      </c>
      <c r="G512" s="294" t="str">
        <f t="shared" si="126"/>
        <v/>
      </c>
      <c r="H512" s="290"/>
      <c r="I512" s="254" t="str">
        <f t="shared" ca="1" si="134"/>
        <v>1</v>
      </c>
      <c r="J512" s="254" t="str">
        <f t="shared" ca="1" si="135"/>
        <v>1</v>
      </c>
      <c r="K512" s="230" t="str">
        <f>IF(Giocatori!B501=0,"",Giocatori!B501)</f>
        <v>TOZZO</v>
      </c>
      <c r="L512" s="230" t="str">
        <f>IF(Giocatori!A501=0,"",Giocatori!A501)</f>
        <v>P</v>
      </c>
      <c r="M512" s="230" t="str">
        <f>IF(Giocatori!C501=0,"",Giocatori!C501)</f>
        <v>Sampdoria</v>
      </c>
      <c r="N512" s="69" t="str">
        <f t="shared" si="127"/>
        <v/>
      </c>
      <c r="O512" t="str">
        <f t="shared" si="128"/>
        <v>TOZZO</v>
      </c>
      <c r="P512" s="7">
        <f t="shared" ca="1" si="136"/>
        <v>512</v>
      </c>
      <c r="Q512" s="7" t="str">
        <f t="shared" ca="1" si="129"/>
        <v>TOZZO</v>
      </c>
      <c r="Z512" s="256"/>
      <c r="AA512" s="219"/>
      <c r="AB512" s="293" t="str">
        <f t="shared" si="130"/>
        <v/>
      </c>
      <c r="AC512" s="294" t="str">
        <f t="shared" si="131"/>
        <v/>
      </c>
      <c r="AD512" s="219"/>
      <c r="AE512" s="219"/>
      <c r="AF512" s="293" t="str">
        <f>IF(AA512="","",VLOOKUP(AA512,Asta!$B:$H,7,FALSE))</f>
        <v/>
      </c>
      <c r="AG512" s="294" t="str">
        <f t="shared" si="132"/>
        <v/>
      </c>
      <c r="AH512" t="str">
        <f t="shared" si="133"/>
        <v/>
      </c>
      <c r="AI512" s="254" t="str">
        <f t="shared" ca="1" si="137"/>
        <v>493</v>
      </c>
      <c r="AJ512" s="254" t="str">
        <f t="shared" ca="1" si="138"/>
        <v>493</v>
      </c>
      <c r="AK512" s="351"/>
    </row>
    <row r="513" spans="1:37">
      <c r="A513" s="74">
        <v>494</v>
      </c>
      <c r="B513" s="252"/>
      <c r="C513" s="293" t="str">
        <f t="shared" si="139"/>
        <v/>
      </c>
      <c r="D513" s="294" t="str">
        <f t="shared" si="140"/>
        <v/>
      </c>
      <c r="E513" s="287"/>
      <c r="F513" s="293" t="str">
        <f t="shared" si="125"/>
        <v/>
      </c>
      <c r="G513" s="294" t="str">
        <f t="shared" si="126"/>
        <v/>
      </c>
      <c r="H513" s="290"/>
      <c r="I513" s="254" t="str">
        <f t="shared" ca="1" si="134"/>
        <v>1</v>
      </c>
      <c r="J513" s="254" t="str">
        <f t="shared" ca="1" si="135"/>
        <v>1</v>
      </c>
      <c r="K513" s="230" t="str">
        <f>IF(Giocatori!B502=0,"",Giocatori!B502)</f>
        <v>TROTTA</v>
      </c>
      <c r="L513" s="230" t="str">
        <f>IF(Giocatori!A502=0,"",Giocatori!A502)</f>
        <v>A</v>
      </c>
      <c r="M513" s="230" t="str">
        <f>IF(Giocatori!C502=0,"",Giocatori!C502)</f>
        <v>Crotone</v>
      </c>
      <c r="N513" s="69" t="str">
        <f t="shared" si="127"/>
        <v/>
      </c>
      <c r="O513" t="str">
        <f t="shared" si="128"/>
        <v>TROTTA</v>
      </c>
      <c r="P513" s="7">
        <f t="shared" ca="1" si="136"/>
        <v>513</v>
      </c>
      <c r="Q513" s="7" t="str">
        <f t="shared" ca="1" si="129"/>
        <v>TROTTA</v>
      </c>
      <c r="Z513" s="256"/>
      <c r="AA513" s="219"/>
      <c r="AB513" s="293" t="str">
        <f t="shared" si="130"/>
        <v/>
      </c>
      <c r="AC513" s="294" t="str">
        <f t="shared" si="131"/>
        <v/>
      </c>
      <c r="AD513" s="219"/>
      <c r="AE513" s="219"/>
      <c r="AF513" s="293" t="str">
        <f>IF(AA513="","",VLOOKUP(AA513,Asta!$B:$H,7,FALSE))</f>
        <v/>
      </c>
      <c r="AG513" s="294" t="str">
        <f t="shared" si="132"/>
        <v/>
      </c>
      <c r="AH513" t="str">
        <f t="shared" si="133"/>
        <v/>
      </c>
      <c r="AI513" s="254" t="str">
        <f t="shared" ca="1" si="137"/>
        <v>494</v>
      </c>
      <c r="AJ513" s="254" t="str">
        <f t="shared" ca="1" si="138"/>
        <v>494</v>
      </c>
      <c r="AK513" s="351"/>
    </row>
    <row r="514" spans="1:37">
      <c r="A514" s="74">
        <v>495</v>
      </c>
      <c r="B514" s="252"/>
      <c r="C514" s="293" t="str">
        <f t="shared" si="139"/>
        <v/>
      </c>
      <c r="D514" s="294" t="str">
        <f t="shared" si="140"/>
        <v/>
      </c>
      <c r="E514" s="287"/>
      <c r="F514" s="293" t="str">
        <f t="shared" si="125"/>
        <v/>
      </c>
      <c r="G514" s="294" t="str">
        <f t="shared" si="126"/>
        <v/>
      </c>
      <c r="H514" s="290"/>
      <c r="I514" s="254" t="str">
        <f t="shared" ca="1" si="134"/>
        <v>1</v>
      </c>
      <c r="J514" s="254" t="str">
        <f t="shared" ca="1" si="135"/>
        <v>1</v>
      </c>
      <c r="K514" s="230" t="str">
        <f>IF(Giocatori!B503=0,"",Giocatori!B503)</f>
        <v>TUMMINELLO</v>
      </c>
      <c r="L514" s="230" t="str">
        <f>IF(Giocatori!A503=0,"",Giocatori!A503)</f>
        <v>A</v>
      </c>
      <c r="M514" s="230" t="str">
        <f>IF(Giocatori!C503=0,"",Giocatori!C503)</f>
        <v>Crotone</v>
      </c>
      <c r="N514" s="69" t="str">
        <f t="shared" si="127"/>
        <v/>
      </c>
      <c r="O514" t="str">
        <f t="shared" si="128"/>
        <v>TUMMINELLO</v>
      </c>
      <c r="P514" s="7">
        <f t="shared" ca="1" si="136"/>
        <v>514</v>
      </c>
      <c r="Q514" s="7" t="str">
        <f t="shared" ca="1" si="129"/>
        <v>TUMMINELLO</v>
      </c>
      <c r="Z514" s="256"/>
      <c r="AA514" s="219"/>
      <c r="AB514" s="293" t="str">
        <f t="shared" si="130"/>
        <v/>
      </c>
      <c r="AC514" s="294" t="str">
        <f t="shared" si="131"/>
        <v/>
      </c>
      <c r="AD514" s="219"/>
      <c r="AE514" s="219"/>
      <c r="AF514" s="293" t="str">
        <f>IF(AA514="","",VLOOKUP(AA514,Asta!$B:$H,7,FALSE))</f>
        <v/>
      </c>
      <c r="AG514" s="294" t="str">
        <f t="shared" si="132"/>
        <v/>
      </c>
      <c r="AH514" t="str">
        <f t="shared" si="133"/>
        <v/>
      </c>
      <c r="AI514" s="254" t="str">
        <f t="shared" ca="1" si="137"/>
        <v>495</v>
      </c>
      <c r="AJ514" s="254" t="str">
        <f t="shared" ca="1" si="138"/>
        <v>495</v>
      </c>
      <c r="AK514" s="351"/>
    </row>
    <row r="515" spans="1:37">
      <c r="A515" s="74">
        <v>496</v>
      </c>
      <c r="B515" s="252"/>
      <c r="C515" s="293" t="str">
        <f t="shared" si="139"/>
        <v/>
      </c>
      <c r="D515" s="294" t="str">
        <f t="shared" si="140"/>
        <v/>
      </c>
      <c r="E515" s="287"/>
      <c r="F515" s="293" t="str">
        <f t="shared" si="125"/>
        <v/>
      </c>
      <c r="G515" s="294" t="str">
        <f t="shared" si="126"/>
        <v/>
      </c>
      <c r="H515" s="290"/>
      <c r="I515" s="254" t="str">
        <f t="shared" ca="1" si="134"/>
        <v>1</v>
      </c>
      <c r="J515" s="254" t="str">
        <f t="shared" ca="1" si="135"/>
        <v>1</v>
      </c>
      <c r="K515" s="230" t="str">
        <f>IF(Giocatori!B504=0,"",Giocatori!B504)</f>
        <v>UNDER</v>
      </c>
      <c r="L515" s="230" t="str">
        <f>IF(Giocatori!A504=0,"",Giocatori!A504)</f>
        <v>C</v>
      </c>
      <c r="M515" s="230" t="str">
        <f>IF(Giocatori!C504=0,"",Giocatori!C504)</f>
        <v>Roma</v>
      </c>
      <c r="N515" s="69" t="str">
        <f t="shared" si="127"/>
        <v/>
      </c>
      <c r="O515" t="str">
        <f t="shared" si="128"/>
        <v>UNDER</v>
      </c>
      <c r="P515" s="7">
        <f t="shared" ca="1" si="136"/>
        <v>515</v>
      </c>
      <c r="Q515" s="7" t="str">
        <f t="shared" ca="1" si="129"/>
        <v>UNDER</v>
      </c>
      <c r="Z515" s="256"/>
      <c r="AA515" s="219"/>
      <c r="AB515" s="293" t="str">
        <f t="shared" si="130"/>
        <v/>
      </c>
      <c r="AC515" s="294" t="str">
        <f t="shared" si="131"/>
        <v/>
      </c>
      <c r="AD515" s="219"/>
      <c r="AE515" s="219"/>
      <c r="AF515" s="293" t="str">
        <f>IF(AA515="","",VLOOKUP(AA515,Asta!$B:$H,7,FALSE))</f>
        <v/>
      </c>
      <c r="AG515" s="294" t="str">
        <f t="shared" si="132"/>
        <v/>
      </c>
      <c r="AH515" t="str">
        <f t="shared" si="133"/>
        <v/>
      </c>
      <c r="AI515" s="254" t="str">
        <f t="shared" ca="1" si="137"/>
        <v>496</v>
      </c>
      <c r="AJ515" s="254" t="str">
        <f t="shared" ca="1" si="138"/>
        <v>496</v>
      </c>
      <c r="AK515" s="351"/>
    </row>
    <row r="516" spans="1:37">
      <c r="A516" s="74">
        <v>497</v>
      </c>
      <c r="B516" s="252"/>
      <c r="C516" s="293" t="str">
        <f t="shared" si="139"/>
        <v/>
      </c>
      <c r="D516" s="294" t="str">
        <f t="shared" si="140"/>
        <v/>
      </c>
      <c r="E516" s="287"/>
      <c r="F516" s="293" t="str">
        <f t="shared" si="125"/>
        <v/>
      </c>
      <c r="G516" s="294" t="str">
        <f t="shared" si="126"/>
        <v/>
      </c>
      <c r="H516" s="290"/>
      <c r="I516" s="254" t="str">
        <f t="shared" ca="1" si="134"/>
        <v>1</v>
      </c>
      <c r="J516" s="254" t="str">
        <f t="shared" ca="1" si="135"/>
        <v>1</v>
      </c>
      <c r="K516" s="230" t="str">
        <f>IF(Giocatori!B505=0,"",Giocatori!B505)</f>
        <v>VAISANEN</v>
      </c>
      <c r="L516" s="230" t="str">
        <f>IF(Giocatori!A505=0,"",Giocatori!A505)</f>
        <v>D</v>
      </c>
      <c r="M516" s="230" t="str">
        <f>IF(Giocatori!C505=0,"",Giocatori!C505)</f>
        <v>SPAL</v>
      </c>
      <c r="N516" s="69" t="str">
        <f t="shared" si="127"/>
        <v/>
      </c>
      <c r="O516" t="str">
        <f t="shared" si="128"/>
        <v>VAISANEN</v>
      </c>
      <c r="P516" s="7">
        <f t="shared" ca="1" si="136"/>
        <v>516</v>
      </c>
      <c r="Q516" s="7" t="str">
        <f t="shared" ca="1" si="129"/>
        <v>VAISANEN</v>
      </c>
      <c r="Z516" s="256"/>
      <c r="AA516" s="219"/>
      <c r="AB516" s="293" t="str">
        <f t="shared" si="130"/>
        <v/>
      </c>
      <c r="AC516" s="294" t="str">
        <f t="shared" si="131"/>
        <v/>
      </c>
      <c r="AD516" s="219"/>
      <c r="AE516" s="219"/>
      <c r="AF516" s="293" t="str">
        <f>IF(AA516="","",VLOOKUP(AA516,Asta!$B:$H,7,FALSE))</f>
        <v/>
      </c>
      <c r="AG516" s="294" t="str">
        <f t="shared" si="132"/>
        <v/>
      </c>
      <c r="AH516" t="str">
        <f t="shared" si="133"/>
        <v/>
      </c>
      <c r="AI516" s="254" t="str">
        <f t="shared" ca="1" si="137"/>
        <v>497</v>
      </c>
      <c r="AJ516" s="254" t="str">
        <f t="shared" ca="1" si="138"/>
        <v>497</v>
      </c>
      <c r="AK516" s="351"/>
    </row>
    <row r="517" spans="1:37">
      <c r="A517" s="74">
        <v>498</v>
      </c>
      <c r="B517" s="252"/>
      <c r="C517" s="293" t="str">
        <f t="shared" si="139"/>
        <v/>
      </c>
      <c r="D517" s="294" t="str">
        <f t="shared" si="140"/>
        <v/>
      </c>
      <c r="E517" s="287"/>
      <c r="F517" s="293" t="str">
        <f t="shared" si="125"/>
        <v/>
      </c>
      <c r="G517" s="294" t="str">
        <f t="shared" si="126"/>
        <v/>
      </c>
      <c r="H517" s="290"/>
      <c r="I517" s="254" t="str">
        <f t="shared" ca="1" si="134"/>
        <v>1</v>
      </c>
      <c r="J517" s="254" t="str">
        <f t="shared" ca="1" si="135"/>
        <v>1</v>
      </c>
      <c r="K517" s="230" t="str">
        <f>IF(Giocatori!B506=0,"",Giocatori!B506)</f>
        <v>VALDIFIORI</v>
      </c>
      <c r="L517" s="230" t="str">
        <f>IF(Giocatori!A506=0,"",Giocatori!A506)</f>
        <v>C</v>
      </c>
      <c r="M517" s="230" t="str">
        <f>IF(Giocatori!C506=0,"",Giocatori!C506)</f>
        <v>Torino</v>
      </c>
      <c r="N517" s="69" t="str">
        <f t="shared" si="127"/>
        <v/>
      </c>
      <c r="O517" t="str">
        <f t="shared" si="128"/>
        <v>VALDIFIORI</v>
      </c>
      <c r="P517" s="7">
        <f t="shared" ca="1" si="136"/>
        <v>517</v>
      </c>
      <c r="Q517" s="7" t="str">
        <f t="shared" ca="1" si="129"/>
        <v>VALDIFIORI</v>
      </c>
      <c r="Z517" s="256"/>
      <c r="AA517" s="219"/>
      <c r="AB517" s="293" t="str">
        <f t="shared" si="130"/>
        <v/>
      </c>
      <c r="AC517" s="294" t="str">
        <f t="shared" si="131"/>
        <v/>
      </c>
      <c r="AD517" s="219"/>
      <c r="AE517" s="219"/>
      <c r="AF517" s="293" t="str">
        <f>IF(AA517="","",VLOOKUP(AA517,Asta!$B:$H,7,FALSE))</f>
        <v/>
      </c>
      <c r="AG517" s="294" t="str">
        <f t="shared" si="132"/>
        <v/>
      </c>
      <c r="AH517" t="str">
        <f t="shared" si="133"/>
        <v/>
      </c>
      <c r="AI517" s="254" t="str">
        <f t="shared" ca="1" si="137"/>
        <v>498</v>
      </c>
      <c r="AJ517" s="254" t="str">
        <f t="shared" ca="1" si="138"/>
        <v>498</v>
      </c>
      <c r="AK517" s="351"/>
    </row>
    <row r="518" spans="1:37">
      <c r="A518" s="74">
        <v>499</v>
      </c>
      <c r="B518" s="252"/>
      <c r="C518" s="293" t="str">
        <f t="shared" si="139"/>
        <v/>
      </c>
      <c r="D518" s="294" t="str">
        <f t="shared" si="140"/>
        <v/>
      </c>
      <c r="E518" s="287"/>
      <c r="F518" s="293" t="str">
        <f t="shared" si="125"/>
        <v/>
      </c>
      <c r="G518" s="294" t="str">
        <f t="shared" si="126"/>
        <v/>
      </c>
      <c r="H518" s="290"/>
      <c r="I518" s="254" t="str">
        <f t="shared" ca="1" si="134"/>
        <v>1</v>
      </c>
      <c r="J518" s="254" t="str">
        <f t="shared" ca="1" si="135"/>
        <v>1</v>
      </c>
      <c r="K518" s="230" t="str">
        <f>IF(Giocatori!B507=0,"",Giocatori!B507)</f>
        <v>VALENCIA</v>
      </c>
      <c r="L518" s="230" t="str">
        <f>IF(Giocatori!A507=0,"",Giocatori!A507)</f>
        <v>c</v>
      </c>
      <c r="M518" s="230" t="str">
        <f>IF(Giocatori!C507=0,"",Giocatori!C507)</f>
        <v>Bologna</v>
      </c>
      <c r="N518" s="69" t="str">
        <f t="shared" si="127"/>
        <v/>
      </c>
      <c r="O518" t="str">
        <f t="shared" si="128"/>
        <v>VALENCIA</v>
      </c>
      <c r="P518" s="7">
        <f t="shared" ca="1" si="136"/>
        <v>518</v>
      </c>
      <c r="Q518" s="7" t="str">
        <f t="shared" ca="1" si="129"/>
        <v>VALENCIA</v>
      </c>
      <c r="Z518" s="256"/>
      <c r="AA518" s="219"/>
      <c r="AB518" s="293" t="str">
        <f t="shared" si="130"/>
        <v/>
      </c>
      <c r="AC518" s="294" t="str">
        <f t="shared" si="131"/>
        <v/>
      </c>
      <c r="AD518" s="219"/>
      <c r="AE518" s="219"/>
      <c r="AF518" s="293" t="str">
        <f>IF(AA518="","",VLOOKUP(AA518,Asta!$B:$H,7,FALSE))</f>
        <v/>
      </c>
      <c r="AG518" s="294" t="str">
        <f t="shared" si="132"/>
        <v/>
      </c>
      <c r="AH518" t="str">
        <f t="shared" si="133"/>
        <v/>
      </c>
      <c r="AI518" s="254" t="str">
        <f t="shared" ca="1" si="137"/>
        <v>499</v>
      </c>
      <c r="AJ518" s="254" t="str">
        <f t="shared" ca="1" si="138"/>
        <v>499</v>
      </c>
      <c r="AK518" s="351"/>
    </row>
    <row r="519" spans="1:37">
      <c r="A519" s="74">
        <v>500</v>
      </c>
      <c r="B519" s="252"/>
      <c r="C519" s="293" t="str">
        <f t="shared" si="139"/>
        <v/>
      </c>
      <c r="D519" s="294" t="str">
        <f t="shared" si="140"/>
        <v/>
      </c>
      <c r="E519" s="287"/>
      <c r="F519" s="293" t="str">
        <f t="shared" si="125"/>
        <v/>
      </c>
      <c r="G519" s="294" t="str">
        <f t="shared" si="126"/>
        <v/>
      </c>
      <c r="H519" s="290"/>
      <c r="I519" s="254" t="str">
        <f t="shared" ca="1" si="134"/>
        <v>1</v>
      </c>
      <c r="J519" s="254" t="str">
        <f t="shared" ca="1" si="135"/>
        <v>1</v>
      </c>
      <c r="K519" s="230" t="str">
        <f>IF(Giocatori!B508=0,"",Giocatori!B508)</f>
        <v>VALOTI</v>
      </c>
      <c r="L519" s="230" t="str">
        <f>IF(Giocatori!A508=0,"",Giocatori!A508)</f>
        <v>C</v>
      </c>
      <c r="M519" s="230" t="str">
        <f>IF(Giocatori!C508=0,"",Giocatori!C508)</f>
        <v>Verona</v>
      </c>
      <c r="N519" s="69" t="str">
        <f t="shared" si="127"/>
        <v/>
      </c>
      <c r="O519" t="str">
        <f t="shared" si="128"/>
        <v>VALOTI</v>
      </c>
      <c r="P519" s="7">
        <f t="shared" ca="1" si="136"/>
        <v>519</v>
      </c>
      <c r="Q519" s="7" t="str">
        <f t="shared" ca="1" si="129"/>
        <v>VALOTI</v>
      </c>
      <c r="Z519" s="256"/>
      <c r="AA519" s="219"/>
      <c r="AB519" s="293" t="str">
        <f t="shared" si="130"/>
        <v/>
      </c>
      <c r="AC519" s="294" t="str">
        <f t="shared" si="131"/>
        <v/>
      </c>
      <c r="AD519" s="219"/>
      <c r="AE519" s="219"/>
      <c r="AF519" s="293" t="str">
        <f>IF(AA519="","",VLOOKUP(AA519,Asta!$B:$H,7,FALSE))</f>
        <v/>
      </c>
      <c r="AG519" s="294" t="str">
        <f t="shared" si="132"/>
        <v/>
      </c>
      <c r="AH519" t="str">
        <f t="shared" si="133"/>
        <v/>
      </c>
      <c r="AI519" s="254" t="str">
        <f t="shared" ca="1" si="137"/>
        <v>500</v>
      </c>
      <c r="AJ519" s="254" t="str">
        <f t="shared" ca="1" si="138"/>
        <v>500</v>
      </c>
      <c r="AK519" s="351"/>
    </row>
    <row r="520" spans="1:37">
      <c r="A520" s="74">
        <v>501</v>
      </c>
      <c r="B520" s="252"/>
      <c r="C520" s="293" t="str">
        <f t="shared" si="139"/>
        <v/>
      </c>
      <c r="D520" s="294" t="str">
        <f t="shared" si="140"/>
        <v/>
      </c>
      <c r="E520" s="287"/>
      <c r="F520" s="293" t="str">
        <f t="shared" si="125"/>
        <v/>
      </c>
      <c r="G520" s="294" t="str">
        <f t="shared" si="126"/>
        <v/>
      </c>
      <c r="H520" s="290"/>
      <c r="I520" s="254" t="str">
        <f t="shared" ca="1" si="134"/>
        <v>1</v>
      </c>
      <c r="J520" s="254" t="str">
        <f t="shared" ca="1" si="135"/>
        <v>1</v>
      </c>
      <c r="K520" s="230" t="str">
        <f>IF(Giocatori!B509=0,"",Giocatori!B509)</f>
        <v>VAN DER WIEL</v>
      </c>
      <c r="L520" s="230" t="str">
        <f>IF(Giocatori!A509=0,"",Giocatori!A509)</f>
        <v>D</v>
      </c>
      <c r="M520" s="230" t="str">
        <f>IF(Giocatori!C509=0,"",Giocatori!C509)</f>
        <v>Cagliari</v>
      </c>
      <c r="N520" s="69" t="str">
        <f t="shared" si="127"/>
        <v/>
      </c>
      <c r="O520" t="str">
        <f t="shared" si="128"/>
        <v>VAN DER WIEL</v>
      </c>
      <c r="P520" s="7">
        <f t="shared" ca="1" si="136"/>
        <v>520</v>
      </c>
      <c r="Q520" s="7" t="str">
        <f t="shared" ca="1" si="129"/>
        <v>VAN DER WIEL</v>
      </c>
      <c r="Z520" s="256"/>
      <c r="AA520" s="219"/>
      <c r="AB520" s="293" t="str">
        <f t="shared" si="130"/>
        <v/>
      </c>
      <c r="AC520" s="294" t="str">
        <f t="shared" si="131"/>
        <v/>
      </c>
      <c r="AD520" s="219"/>
      <c r="AE520" s="219"/>
      <c r="AF520" s="293" t="str">
        <f>IF(AA520="","",VLOOKUP(AA520,Asta!$B:$H,7,FALSE))</f>
        <v/>
      </c>
      <c r="AG520" s="294" t="str">
        <f t="shared" si="132"/>
        <v/>
      </c>
      <c r="AH520" t="str">
        <f t="shared" si="133"/>
        <v/>
      </c>
      <c r="AI520" s="254" t="str">
        <f t="shared" ca="1" si="137"/>
        <v>501</v>
      </c>
      <c r="AJ520" s="254" t="str">
        <f t="shared" ca="1" si="138"/>
        <v>501</v>
      </c>
      <c r="AK520" s="351"/>
    </row>
    <row r="521" spans="1:37">
      <c r="A521" s="74">
        <v>502</v>
      </c>
      <c r="B521" s="252"/>
      <c r="C521" s="293" t="str">
        <f t="shared" si="139"/>
        <v/>
      </c>
      <c r="D521" s="294" t="str">
        <f t="shared" si="140"/>
        <v/>
      </c>
      <c r="E521" s="287"/>
      <c r="F521" s="293" t="str">
        <f t="shared" si="125"/>
        <v/>
      </c>
      <c r="G521" s="294" t="str">
        <f t="shared" si="126"/>
        <v/>
      </c>
      <c r="H521" s="290"/>
      <c r="I521" s="254" t="str">
        <f t="shared" ca="1" si="134"/>
        <v>1</v>
      </c>
      <c r="J521" s="254" t="str">
        <f t="shared" ca="1" si="135"/>
        <v>1</v>
      </c>
      <c r="K521" s="230" t="str">
        <f>IF(Giocatori!B510=0,"",Giocatori!B510)</f>
        <v>VANHEUSDEN</v>
      </c>
      <c r="L521" s="230" t="str">
        <f>IF(Giocatori!A510=0,"",Giocatori!A510)</f>
        <v>D</v>
      </c>
      <c r="M521" s="230" t="str">
        <f>IF(Giocatori!C510=0,"",Giocatori!C510)</f>
        <v>Inter</v>
      </c>
      <c r="N521" s="69" t="str">
        <f t="shared" si="127"/>
        <v/>
      </c>
      <c r="O521" t="str">
        <f t="shared" si="128"/>
        <v>VANHEUSDEN</v>
      </c>
      <c r="P521" s="7">
        <f t="shared" ca="1" si="136"/>
        <v>521</v>
      </c>
      <c r="Q521" s="7" t="str">
        <f t="shared" ca="1" si="129"/>
        <v>VANHEUSDEN</v>
      </c>
      <c r="Z521" s="256"/>
      <c r="AA521" s="219"/>
      <c r="AB521" s="293" t="str">
        <f t="shared" si="130"/>
        <v/>
      </c>
      <c r="AC521" s="294" t="str">
        <f t="shared" si="131"/>
        <v/>
      </c>
      <c r="AD521" s="219"/>
      <c r="AE521" s="219"/>
      <c r="AF521" s="293" t="str">
        <f>IF(AA521="","",VLOOKUP(AA521,Asta!$B:$H,7,FALSE))</f>
        <v/>
      </c>
      <c r="AG521" s="294" t="str">
        <f t="shared" si="132"/>
        <v/>
      </c>
      <c r="AH521" t="str">
        <f t="shared" si="133"/>
        <v/>
      </c>
      <c r="AI521" s="254" t="str">
        <f t="shared" ca="1" si="137"/>
        <v>502</v>
      </c>
      <c r="AJ521" s="254" t="str">
        <f t="shared" ca="1" si="138"/>
        <v>502</v>
      </c>
      <c r="AK521" s="351"/>
    </row>
    <row r="522" spans="1:37">
      <c r="A522" s="74">
        <v>503</v>
      </c>
      <c r="B522" s="252"/>
      <c r="C522" s="293" t="str">
        <f t="shared" si="139"/>
        <v/>
      </c>
      <c r="D522" s="294" t="str">
        <f t="shared" si="140"/>
        <v/>
      </c>
      <c r="E522" s="287"/>
      <c r="F522" s="293" t="str">
        <f t="shared" si="125"/>
        <v/>
      </c>
      <c r="G522" s="294" t="str">
        <f t="shared" si="126"/>
        <v/>
      </c>
      <c r="H522" s="290"/>
      <c r="I522" s="254" t="str">
        <f t="shared" ca="1" si="134"/>
        <v>1</v>
      </c>
      <c r="J522" s="254" t="str">
        <f t="shared" ca="1" si="135"/>
        <v>1</v>
      </c>
      <c r="K522" s="230" t="str">
        <f>IF(Giocatori!B511=0,"",Giocatori!B511)</f>
        <v>VARGIC</v>
      </c>
      <c r="L522" s="230" t="str">
        <f>IF(Giocatori!A511=0,"",Giocatori!A511)</f>
        <v>P</v>
      </c>
      <c r="M522" s="230" t="str">
        <f>IF(Giocatori!C511=0,"",Giocatori!C511)</f>
        <v>Lazio</v>
      </c>
      <c r="N522" s="69" t="str">
        <f t="shared" si="127"/>
        <v/>
      </c>
      <c r="O522" t="str">
        <f t="shared" si="128"/>
        <v>VARGIC</v>
      </c>
      <c r="P522" s="7">
        <f t="shared" ca="1" si="136"/>
        <v>522</v>
      </c>
      <c r="Q522" s="7" t="str">
        <f t="shared" ca="1" si="129"/>
        <v>VARGIC</v>
      </c>
      <c r="Z522" s="256"/>
      <c r="AA522" s="219"/>
      <c r="AB522" s="293" t="str">
        <f t="shared" si="130"/>
        <v/>
      </c>
      <c r="AC522" s="294" t="str">
        <f t="shared" si="131"/>
        <v/>
      </c>
      <c r="AD522" s="219"/>
      <c r="AE522" s="219"/>
      <c r="AF522" s="293" t="str">
        <f>IF(AA522="","",VLOOKUP(AA522,Asta!$B:$H,7,FALSE))</f>
        <v/>
      </c>
      <c r="AG522" s="294" t="str">
        <f t="shared" si="132"/>
        <v/>
      </c>
      <c r="AH522" t="str">
        <f t="shared" si="133"/>
        <v/>
      </c>
      <c r="AI522" s="254" t="str">
        <f t="shared" ca="1" si="137"/>
        <v>503</v>
      </c>
      <c r="AJ522" s="254" t="str">
        <f t="shared" ca="1" si="138"/>
        <v>503</v>
      </c>
      <c r="AK522" s="351"/>
    </row>
    <row r="523" spans="1:37">
      <c r="A523" s="74">
        <v>504</v>
      </c>
      <c r="B523" s="252"/>
      <c r="C523" s="293" t="str">
        <f t="shared" si="139"/>
        <v/>
      </c>
      <c r="D523" s="294" t="str">
        <f t="shared" si="140"/>
        <v/>
      </c>
      <c r="E523" s="287"/>
      <c r="F523" s="293" t="str">
        <f t="shared" si="125"/>
        <v/>
      </c>
      <c r="G523" s="294" t="str">
        <f t="shared" si="126"/>
        <v/>
      </c>
      <c r="H523" s="290"/>
      <c r="I523" s="254" t="str">
        <f t="shared" ca="1" si="134"/>
        <v>1</v>
      </c>
      <c r="J523" s="254" t="str">
        <f t="shared" ca="1" si="135"/>
        <v>1</v>
      </c>
      <c r="K523" s="230" t="str">
        <f>IF(Giocatori!B512=0,"",Giocatori!B512)</f>
        <v>VECINO</v>
      </c>
      <c r="L523" s="230" t="str">
        <f>IF(Giocatori!A512=0,"",Giocatori!A512)</f>
        <v>C</v>
      </c>
      <c r="M523" s="230" t="str">
        <f>IF(Giocatori!C512=0,"",Giocatori!C512)</f>
        <v>Inter</v>
      </c>
      <c r="N523" s="69" t="str">
        <f t="shared" si="127"/>
        <v/>
      </c>
      <c r="O523" t="str">
        <f t="shared" si="128"/>
        <v>VECINO</v>
      </c>
      <c r="P523" s="7">
        <f t="shared" ca="1" si="136"/>
        <v>523</v>
      </c>
      <c r="Q523" s="7" t="str">
        <f t="shared" ca="1" si="129"/>
        <v>VECINO</v>
      </c>
      <c r="Z523" s="256"/>
      <c r="AA523" s="219"/>
      <c r="AB523" s="293" t="str">
        <f t="shared" si="130"/>
        <v/>
      </c>
      <c r="AC523" s="294" t="str">
        <f t="shared" si="131"/>
        <v/>
      </c>
      <c r="AD523" s="219"/>
      <c r="AE523" s="219"/>
      <c r="AF523" s="293" t="str">
        <f>IF(AA523="","",VLOOKUP(AA523,Asta!$B:$H,7,FALSE))</f>
        <v/>
      </c>
      <c r="AG523" s="294" t="str">
        <f t="shared" si="132"/>
        <v/>
      </c>
      <c r="AH523" t="str">
        <f t="shared" si="133"/>
        <v/>
      </c>
      <c r="AI523" s="254" t="str">
        <f t="shared" ca="1" si="137"/>
        <v>504</v>
      </c>
      <c r="AJ523" s="254" t="str">
        <f t="shared" ca="1" si="138"/>
        <v>504</v>
      </c>
      <c r="AK523" s="351"/>
    </row>
    <row r="524" spans="1:37">
      <c r="A524" s="74">
        <v>505</v>
      </c>
      <c r="B524" s="252"/>
      <c r="C524" s="293" t="str">
        <f t="shared" si="139"/>
        <v/>
      </c>
      <c r="D524" s="294" t="str">
        <f t="shared" si="140"/>
        <v/>
      </c>
      <c r="E524" s="287"/>
      <c r="F524" s="293" t="str">
        <f t="shared" si="125"/>
        <v/>
      </c>
      <c r="G524" s="294" t="str">
        <f t="shared" si="126"/>
        <v/>
      </c>
      <c r="H524" s="290"/>
      <c r="I524" s="254" t="str">
        <f t="shared" ca="1" si="134"/>
        <v>1</v>
      </c>
      <c r="J524" s="254" t="str">
        <f t="shared" ca="1" si="135"/>
        <v>1</v>
      </c>
      <c r="K524" s="230" t="str">
        <f>IF(Giocatori!B513=0,"",Giocatori!B513)</f>
        <v>VENUTI</v>
      </c>
      <c r="L524" s="230" t="str">
        <f>IF(Giocatori!A513=0,"",Giocatori!A513)</f>
        <v>D</v>
      </c>
      <c r="M524" s="230" t="str">
        <f>IF(Giocatori!C513=0,"",Giocatori!C513)</f>
        <v>Benevento</v>
      </c>
      <c r="N524" s="69" t="str">
        <f t="shared" si="127"/>
        <v/>
      </c>
      <c r="O524" t="str">
        <f t="shared" si="128"/>
        <v>VENUTI</v>
      </c>
      <c r="P524" s="7">
        <f t="shared" ca="1" si="136"/>
        <v>524</v>
      </c>
      <c r="Q524" s="7" t="str">
        <f t="shared" ca="1" si="129"/>
        <v>VENUTI</v>
      </c>
      <c r="Z524" s="256"/>
      <c r="AA524" s="219"/>
      <c r="AB524" s="293" t="str">
        <f t="shared" si="130"/>
        <v/>
      </c>
      <c r="AC524" s="294" t="str">
        <f t="shared" si="131"/>
        <v/>
      </c>
      <c r="AD524" s="219"/>
      <c r="AE524" s="219"/>
      <c r="AF524" s="293" t="str">
        <f>IF(AA524="","",VLOOKUP(AA524,Asta!$B:$H,7,FALSE))</f>
        <v/>
      </c>
      <c r="AG524" s="294" t="str">
        <f t="shared" si="132"/>
        <v/>
      </c>
      <c r="AH524" t="str">
        <f t="shared" si="133"/>
        <v/>
      </c>
      <c r="AI524" s="254" t="str">
        <f t="shared" ca="1" si="137"/>
        <v>505</v>
      </c>
      <c r="AJ524" s="254" t="str">
        <f t="shared" ca="1" si="138"/>
        <v>505</v>
      </c>
      <c r="AK524" s="351"/>
    </row>
    <row r="525" spans="1:37">
      <c r="A525" s="74">
        <v>506</v>
      </c>
      <c r="B525" s="252"/>
      <c r="C525" s="293" t="str">
        <f t="shared" si="139"/>
        <v/>
      </c>
      <c r="D525" s="294" t="str">
        <f t="shared" si="140"/>
        <v/>
      </c>
      <c r="E525" s="287"/>
      <c r="F525" s="293" t="str">
        <f t="shared" si="125"/>
        <v/>
      </c>
      <c r="G525" s="294" t="str">
        <f t="shared" si="126"/>
        <v/>
      </c>
      <c r="H525" s="290"/>
      <c r="I525" s="254" t="str">
        <f t="shared" ca="1" si="134"/>
        <v>1</v>
      </c>
      <c r="J525" s="254" t="str">
        <f t="shared" ca="1" si="135"/>
        <v>1</v>
      </c>
      <c r="K525" s="230" t="str">
        <f>IF(Giocatori!B514=0,"",Giocatori!B514)</f>
        <v>VERDE</v>
      </c>
      <c r="L525" s="230" t="str">
        <f>IF(Giocatori!A514=0,"",Giocatori!A514)</f>
        <v>A</v>
      </c>
      <c r="M525" s="230" t="str">
        <f>IF(Giocatori!C514=0,"",Giocatori!C514)</f>
        <v>Verona</v>
      </c>
      <c r="N525" s="69" t="str">
        <f t="shared" si="127"/>
        <v/>
      </c>
      <c r="O525" t="str">
        <f t="shared" si="128"/>
        <v>VERDE</v>
      </c>
      <c r="P525" s="7">
        <f t="shared" ca="1" si="136"/>
        <v>525</v>
      </c>
      <c r="Q525" s="7" t="str">
        <f t="shared" ca="1" si="129"/>
        <v>VERDE</v>
      </c>
      <c r="Z525" s="256"/>
      <c r="AA525" s="219"/>
      <c r="AB525" s="293" t="str">
        <f t="shared" si="130"/>
        <v/>
      </c>
      <c r="AC525" s="294" t="str">
        <f t="shared" si="131"/>
        <v/>
      </c>
      <c r="AD525" s="219"/>
      <c r="AE525" s="219"/>
      <c r="AF525" s="293" t="str">
        <f>IF(AA525="","",VLOOKUP(AA525,Asta!$B:$H,7,FALSE))</f>
        <v/>
      </c>
      <c r="AG525" s="294" t="str">
        <f t="shared" si="132"/>
        <v/>
      </c>
      <c r="AH525" t="str">
        <f t="shared" si="133"/>
        <v/>
      </c>
      <c r="AI525" s="254" t="str">
        <f t="shared" ca="1" si="137"/>
        <v>506</v>
      </c>
      <c r="AJ525" s="254" t="str">
        <f t="shared" ca="1" si="138"/>
        <v>506</v>
      </c>
      <c r="AK525" s="351"/>
    </row>
    <row r="526" spans="1:37">
      <c r="A526" s="74">
        <v>507</v>
      </c>
      <c r="B526" s="252"/>
      <c r="C526" s="293" t="str">
        <f t="shared" si="139"/>
        <v/>
      </c>
      <c r="D526" s="294" t="str">
        <f t="shared" si="140"/>
        <v/>
      </c>
      <c r="E526" s="287"/>
      <c r="F526" s="293" t="str">
        <f t="shared" si="125"/>
        <v/>
      </c>
      <c r="G526" s="294" t="str">
        <f t="shared" si="126"/>
        <v/>
      </c>
      <c r="H526" s="290"/>
      <c r="I526" s="254" t="str">
        <f t="shared" ca="1" si="134"/>
        <v>1</v>
      </c>
      <c r="J526" s="254" t="str">
        <f t="shared" ca="1" si="135"/>
        <v>1</v>
      </c>
      <c r="K526" s="230" t="str">
        <f>IF(Giocatori!B515=0,"",Giocatori!B515)</f>
        <v>VERDI</v>
      </c>
      <c r="L526" s="230" t="str">
        <f>IF(Giocatori!A515=0,"",Giocatori!A515)</f>
        <v>A</v>
      </c>
      <c r="M526" s="230" t="str">
        <f>IF(Giocatori!C515=0,"",Giocatori!C515)</f>
        <v>Bologna</v>
      </c>
      <c r="N526" s="69" t="str">
        <f t="shared" si="127"/>
        <v/>
      </c>
      <c r="O526" t="str">
        <f t="shared" si="128"/>
        <v>VERDI</v>
      </c>
      <c r="P526" s="7">
        <f t="shared" ca="1" si="136"/>
        <v>526</v>
      </c>
      <c r="Q526" s="7" t="str">
        <f t="shared" ca="1" si="129"/>
        <v>VERDI</v>
      </c>
      <c r="Z526" s="256"/>
      <c r="AA526" s="219"/>
      <c r="AB526" s="293" t="str">
        <f t="shared" si="130"/>
        <v/>
      </c>
      <c r="AC526" s="294" t="str">
        <f t="shared" si="131"/>
        <v/>
      </c>
      <c r="AD526" s="219"/>
      <c r="AE526" s="219"/>
      <c r="AF526" s="293" t="str">
        <f>IF(AA526="","",VLOOKUP(AA526,Asta!$B:$H,7,FALSE))</f>
        <v/>
      </c>
      <c r="AG526" s="294" t="str">
        <f t="shared" si="132"/>
        <v/>
      </c>
      <c r="AH526" t="str">
        <f t="shared" si="133"/>
        <v/>
      </c>
      <c r="AI526" s="254" t="str">
        <f t="shared" ca="1" si="137"/>
        <v>507</v>
      </c>
      <c r="AJ526" s="254" t="str">
        <f t="shared" ca="1" si="138"/>
        <v>507</v>
      </c>
      <c r="AK526" s="351"/>
    </row>
    <row r="527" spans="1:37">
      <c r="A527" s="74">
        <v>508</v>
      </c>
      <c r="B527" s="252"/>
      <c r="C527" s="293" t="str">
        <f t="shared" si="139"/>
        <v/>
      </c>
      <c r="D527" s="294" t="str">
        <f t="shared" si="140"/>
        <v/>
      </c>
      <c r="E527" s="287"/>
      <c r="F527" s="293" t="str">
        <f t="shared" si="125"/>
        <v/>
      </c>
      <c r="G527" s="294" t="str">
        <f t="shared" si="126"/>
        <v/>
      </c>
      <c r="H527" s="290"/>
      <c r="I527" s="254" t="str">
        <f t="shared" ca="1" si="134"/>
        <v>1</v>
      </c>
      <c r="J527" s="254" t="str">
        <f t="shared" ca="1" si="135"/>
        <v>1</v>
      </c>
      <c r="K527" s="230" t="str">
        <f>IF(Giocatori!B516=0,"",Giocatori!B516)</f>
        <v>VERETOUT</v>
      </c>
      <c r="L527" s="230" t="str">
        <f>IF(Giocatori!A516=0,"",Giocatori!A516)</f>
        <v>C</v>
      </c>
      <c r="M527" s="230" t="str">
        <f>IF(Giocatori!C516=0,"",Giocatori!C516)</f>
        <v>Fiorentina</v>
      </c>
      <c r="N527" s="69" t="str">
        <f t="shared" si="127"/>
        <v/>
      </c>
      <c r="O527" t="str">
        <f t="shared" si="128"/>
        <v>VERETOUT</v>
      </c>
      <c r="P527" s="7">
        <f t="shared" ca="1" si="136"/>
        <v>527</v>
      </c>
      <c r="Q527" s="7" t="str">
        <f t="shared" ca="1" si="129"/>
        <v>VERETOUT</v>
      </c>
      <c r="Z527" s="256"/>
      <c r="AA527" s="219"/>
      <c r="AB527" s="293" t="str">
        <f t="shared" si="130"/>
        <v/>
      </c>
      <c r="AC527" s="294" t="str">
        <f t="shared" si="131"/>
        <v/>
      </c>
      <c r="AD527" s="219"/>
      <c r="AE527" s="219"/>
      <c r="AF527" s="293" t="str">
        <f>IF(AA527="","",VLOOKUP(AA527,Asta!$B:$H,7,FALSE))</f>
        <v/>
      </c>
      <c r="AG527" s="294" t="str">
        <f t="shared" si="132"/>
        <v/>
      </c>
      <c r="AH527" t="str">
        <f t="shared" si="133"/>
        <v/>
      </c>
      <c r="AI527" s="254" t="str">
        <f t="shared" ca="1" si="137"/>
        <v>508</v>
      </c>
      <c r="AJ527" s="254" t="str">
        <f t="shared" ca="1" si="138"/>
        <v>508</v>
      </c>
      <c r="AK527" s="351"/>
    </row>
    <row r="528" spans="1:37">
      <c r="A528" s="74">
        <v>509</v>
      </c>
      <c r="B528" s="252"/>
      <c r="C528" s="293" t="str">
        <f t="shared" si="139"/>
        <v/>
      </c>
      <c r="D528" s="294" t="str">
        <f t="shared" si="140"/>
        <v/>
      </c>
      <c r="E528" s="287"/>
      <c r="F528" s="293" t="str">
        <f t="shared" si="125"/>
        <v/>
      </c>
      <c r="G528" s="294" t="str">
        <f t="shared" si="126"/>
        <v/>
      </c>
      <c r="H528" s="290"/>
      <c r="I528" s="254" t="str">
        <f t="shared" ca="1" si="134"/>
        <v>1</v>
      </c>
      <c r="J528" s="254" t="str">
        <f t="shared" ca="1" si="135"/>
        <v>1</v>
      </c>
      <c r="K528" s="230" t="str">
        <f>IF(Giocatori!B517=0,"",Giocatori!B517)</f>
        <v>VERRE</v>
      </c>
      <c r="L528" s="230" t="str">
        <f>IF(Giocatori!A517=0,"",Giocatori!A517)</f>
        <v>C</v>
      </c>
      <c r="M528" s="230" t="str">
        <f>IF(Giocatori!C517=0,"",Giocatori!C517)</f>
        <v>Sampdoria</v>
      </c>
      <c r="N528" s="69" t="str">
        <f t="shared" si="127"/>
        <v/>
      </c>
      <c r="O528" t="str">
        <f t="shared" si="128"/>
        <v>VERRE</v>
      </c>
      <c r="P528" s="7">
        <f t="shared" ca="1" si="136"/>
        <v>528</v>
      </c>
      <c r="Q528" s="7" t="str">
        <f t="shared" ca="1" si="129"/>
        <v>VERRE</v>
      </c>
      <c r="Z528" s="256"/>
      <c r="AA528" s="219"/>
      <c r="AB528" s="293" t="str">
        <f t="shared" si="130"/>
        <v/>
      </c>
      <c r="AC528" s="294" t="str">
        <f t="shared" si="131"/>
        <v/>
      </c>
      <c r="AD528" s="219"/>
      <c r="AE528" s="219"/>
      <c r="AF528" s="293" t="str">
        <f>IF(AA528="","",VLOOKUP(AA528,Asta!$B:$H,7,FALSE))</f>
        <v/>
      </c>
      <c r="AG528" s="294" t="str">
        <f t="shared" si="132"/>
        <v/>
      </c>
      <c r="AH528" t="str">
        <f t="shared" si="133"/>
        <v/>
      </c>
      <c r="AI528" s="254" t="str">
        <f t="shared" ca="1" si="137"/>
        <v>509</v>
      </c>
      <c r="AJ528" s="254" t="str">
        <f t="shared" ca="1" si="138"/>
        <v>509</v>
      </c>
      <c r="AK528" s="351"/>
    </row>
    <row r="529" spans="1:37">
      <c r="A529" s="74">
        <v>510</v>
      </c>
      <c r="B529" s="252"/>
      <c r="C529" s="293" t="str">
        <f t="shared" si="139"/>
        <v/>
      </c>
      <c r="D529" s="294" t="str">
        <f t="shared" si="140"/>
        <v/>
      </c>
      <c r="E529" s="287"/>
      <c r="F529" s="293" t="str">
        <f t="shared" si="125"/>
        <v/>
      </c>
      <c r="G529" s="294" t="str">
        <f t="shared" si="126"/>
        <v/>
      </c>
      <c r="H529" s="290"/>
      <c r="I529" s="254" t="str">
        <f t="shared" ca="1" si="134"/>
        <v>1</v>
      </c>
      <c r="J529" s="254" t="str">
        <f t="shared" ca="1" si="135"/>
        <v>1</v>
      </c>
      <c r="K529" s="230" t="str">
        <f>IF(Giocatori!B518=0,"",Giocatori!B518)</f>
        <v>VICARI</v>
      </c>
      <c r="L529" s="230" t="str">
        <f>IF(Giocatori!A518=0,"",Giocatori!A518)</f>
        <v>D</v>
      </c>
      <c r="M529" s="230" t="str">
        <f>IF(Giocatori!C518=0,"",Giocatori!C518)</f>
        <v>SPAL</v>
      </c>
      <c r="N529" s="69" t="str">
        <f t="shared" si="127"/>
        <v/>
      </c>
      <c r="O529" t="str">
        <f t="shared" si="128"/>
        <v>VICARI</v>
      </c>
      <c r="P529" s="7">
        <f t="shared" ca="1" si="136"/>
        <v>529</v>
      </c>
      <c r="Q529" s="7" t="str">
        <f t="shared" ca="1" si="129"/>
        <v>VICARI</v>
      </c>
      <c r="Z529" s="256"/>
      <c r="AA529" s="219"/>
      <c r="AB529" s="293" t="str">
        <f t="shared" si="130"/>
        <v/>
      </c>
      <c r="AC529" s="294" t="str">
        <f t="shared" si="131"/>
        <v/>
      </c>
      <c r="AD529" s="219"/>
      <c r="AE529" s="219"/>
      <c r="AF529" s="293" t="str">
        <f>IF(AA529="","",VLOOKUP(AA529,Asta!$B:$H,7,FALSE))</f>
        <v/>
      </c>
      <c r="AG529" s="294" t="str">
        <f t="shared" si="132"/>
        <v/>
      </c>
      <c r="AH529" t="str">
        <f t="shared" si="133"/>
        <v/>
      </c>
      <c r="AI529" s="254" t="str">
        <f t="shared" ca="1" si="137"/>
        <v>510</v>
      </c>
      <c r="AJ529" s="254" t="str">
        <f t="shared" ca="1" si="138"/>
        <v>510</v>
      </c>
      <c r="AK529" s="351"/>
    </row>
    <row r="530" spans="1:37">
      <c r="A530" s="74">
        <v>511</v>
      </c>
      <c r="B530" s="252"/>
      <c r="C530" s="293" t="str">
        <f t="shared" si="139"/>
        <v/>
      </c>
      <c r="D530" s="294" t="str">
        <f t="shared" si="140"/>
        <v/>
      </c>
      <c r="E530" s="287"/>
      <c r="F530" s="293" t="str">
        <f t="shared" si="125"/>
        <v/>
      </c>
      <c r="G530" s="294" t="str">
        <f t="shared" si="126"/>
        <v/>
      </c>
      <c r="H530" s="290"/>
      <c r="I530" s="254" t="str">
        <f t="shared" ca="1" si="134"/>
        <v>1</v>
      </c>
      <c r="J530" s="254" t="str">
        <f t="shared" ca="1" si="135"/>
        <v>1</v>
      </c>
      <c r="K530" s="230" t="str">
        <f>IF(Giocatori!B519=0,"",Giocatori!B519)</f>
        <v>VIDO</v>
      </c>
      <c r="L530" s="230" t="str">
        <f>IF(Giocatori!A519=0,"",Giocatori!A519)</f>
        <v>A</v>
      </c>
      <c r="M530" s="230" t="str">
        <f>IF(Giocatori!C519=0,"",Giocatori!C519)</f>
        <v>Atalanta</v>
      </c>
      <c r="N530" s="69" t="str">
        <f t="shared" si="127"/>
        <v/>
      </c>
      <c r="O530" t="str">
        <f t="shared" si="128"/>
        <v>VIDO</v>
      </c>
      <c r="P530" s="7">
        <f t="shared" ca="1" si="136"/>
        <v>530</v>
      </c>
      <c r="Q530" s="7" t="str">
        <f t="shared" ca="1" si="129"/>
        <v>VIDO</v>
      </c>
      <c r="Z530" s="256"/>
      <c r="AA530" s="219"/>
      <c r="AB530" s="293" t="str">
        <f t="shared" si="130"/>
        <v/>
      </c>
      <c r="AC530" s="294" t="str">
        <f t="shared" si="131"/>
        <v/>
      </c>
      <c r="AD530" s="219"/>
      <c r="AE530" s="219"/>
      <c r="AF530" s="293" t="str">
        <f>IF(AA530="","",VLOOKUP(AA530,Asta!$B:$H,7,FALSE))</f>
        <v/>
      </c>
      <c r="AG530" s="294" t="str">
        <f t="shared" si="132"/>
        <v/>
      </c>
      <c r="AH530" t="str">
        <f t="shared" si="133"/>
        <v/>
      </c>
      <c r="AI530" s="254" t="str">
        <f t="shared" ca="1" si="137"/>
        <v>511</v>
      </c>
      <c r="AJ530" s="254" t="str">
        <f t="shared" ca="1" si="138"/>
        <v>511</v>
      </c>
      <c r="AK530" s="351"/>
    </row>
    <row r="531" spans="1:37">
      <c r="A531" s="74">
        <v>512</v>
      </c>
      <c r="B531" s="252"/>
      <c r="C531" s="293" t="str">
        <f t="shared" si="139"/>
        <v/>
      </c>
      <c r="D531" s="294" t="str">
        <f t="shared" si="140"/>
        <v/>
      </c>
      <c r="E531" s="287"/>
      <c r="F531" s="293" t="str">
        <f t="shared" si="125"/>
        <v/>
      </c>
      <c r="G531" s="294" t="str">
        <f t="shared" si="126"/>
        <v/>
      </c>
      <c r="H531" s="290"/>
      <c r="I531" s="254" t="str">
        <f t="shared" ca="1" si="134"/>
        <v>1</v>
      </c>
      <c r="J531" s="254" t="str">
        <f t="shared" ca="1" si="135"/>
        <v>1</v>
      </c>
      <c r="K531" s="230" t="str">
        <f>IF(Giocatori!B520=0,"",Giocatori!B520)</f>
        <v>VIOLA</v>
      </c>
      <c r="L531" s="230" t="str">
        <f>IF(Giocatori!A520=0,"",Giocatori!A520)</f>
        <v>C</v>
      </c>
      <c r="M531" s="230" t="str">
        <f>IF(Giocatori!C520=0,"",Giocatori!C520)</f>
        <v>Benevento</v>
      </c>
      <c r="N531" s="69" t="str">
        <f t="shared" si="127"/>
        <v/>
      </c>
      <c r="O531" t="str">
        <f t="shared" si="128"/>
        <v>VIOLA</v>
      </c>
      <c r="P531" s="7">
        <f t="shared" ca="1" si="136"/>
        <v>531</v>
      </c>
      <c r="Q531" s="7" t="str">
        <f t="shared" ca="1" si="129"/>
        <v>VIOLA</v>
      </c>
      <c r="Z531" s="256"/>
      <c r="AA531" s="219"/>
      <c r="AB531" s="293" t="str">
        <f t="shared" si="130"/>
        <v/>
      </c>
      <c r="AC531" s="294" t="str">
        <f t="shared" si="131"/>
        <v/>
      </c>
      <c r="AD531" s="219"/>
      <c r="AE531" s="219"/>
      <c r="AF531" s="293" t="str">
        <f>IF(AA531="","",VLOOKUP(AA531,Asta!$B:$H,7,FALSE))</f>
        <v/>
      </c>
      <c r="AG531" s="294" t="str">
        <f t="shared" si="132"/>
        <v/>
      </c>
      <c r="AH531" t="str">
        <f t="shared" si="133"/>
        <v/>
      </c>
      <c r="AI531" s="254" t="str">
        <f t="shared" ca="1" si="137"/>
        <v>512</v>
      </c>
      <c r="AJ531" s="254" t="str">
        <f t="shared" ca="1" si="138"/>
        <v>512</v>
      </c>
      <c r="AK531" s="351"/>
    </row>
    <row r="532" spans="1:37">
      <c r="A532" s="74">
        <v>513</v>
      </c>
      <c r="B532" s="252"/>
      <c r="C532" s="293" t="str">
        <f t="shared" si="139"/>
        <v/>
      </c>
      <c r="D532" s="294" t="str">
        <f t="shared" si="140"/>
        <v/>
      </c>
      <c r="E532" s="287"/>
      <c r="F532" s="293" t="str">
        <f t="shared" ref="F532:F595" si="141">IF(B532="","",IF(ISNA(VLOOKUP(B532,$AA$20:$AE$807,5,FALSE)),"",VLOOKUP(B532,$AA$20:$AE$807,5,FALSE)))</f>
        <v/>
      </c>
      <c r="G532" s="294" t="str">
        <f t="shared" ref="G532:G595" si="142">IF(B532="","",IF(F532="",IF(E532="","",E532),F532))</f>
        <v/>
      </c>
      <c r="H532" s="290"/>
      <c r="I532" s="254" t="str">
        <f t="shared" ca="1" si="134"/>
        <v>1</v>
      </c>
      <c r="J532" s="254" t="str">
        <f t="shared" ca="1" si="135"/>
        <v>1</v>
      </c>
      <c r="K532" s="230" t="str">
        <f>IF(Giocatori!B521=0,"",Giocatori!B521)</f>
        <v>VISCOVO</v>
      </c>
      <c r="L532" s="230" t="str">
        <f>IF(Giocatori!A521=0,"",Giocatori!A521)</f>
        <v>P</v>
      </c>
      <c r="M532" s="230" t="str">
        <f>IF(Giocatori!C521=0,"",Giocatori!C521)</f>
        <v>Crotone</v>
      </c>
      <c r="N532" s="69" t="str">
        <f t="shared" ref="N532:N595" si="143">IF(B532=0,"",B532)</f>
        <v/>
      </c>
      <c r="O532" t="str">
        <f t="shared" ref="O532:O595" si="144">IF(ISNA(VLOOKUP(K532,$N$20:$N$720,1,FALSE)),K532,"")</f>
        <v>VISCOVO</v>
      </c>
      <c r="P532" s="7">
        <f t="shared" ca="1" si="136"/>
        <v>532</v>
      </c>
      <c r="Q532" s="7" t="str">
        <f t="shared" ref="Q532:Q595" ca="1" si="145">IF(ISERROR(INDEX($O$6:$O$720,MATCH(ROW(),$P$6:$P$720,FALSE))),"",INDEX($O$6:$O$720,MATCH(ROW(),$P$6:$P$720,FALSE)))</f>
        <v>VISCOVO</v>
      </c>
      <c r="Z532" s="256"/>
      <c r="AA532" s="219"/>
      <c r="AB532" s="293" t="str">
        <f t="shared" ref="AB532:AB595" si="146">IF(AA532&lt;&gt;"",VLOOKUP(AA532,$K:$M,2,FALSE),"")</f>
        <v/>
      </c>
      <c r="AC532" s="294" t="str">
        <f t="shared" ref="AC532:AC595" si="147">IF(AA532&lt;&gt;"",VLOOKUP(AA532,$K:$M,3,FALSE),"")</f>
        <v/>
      </c>
      <c r="AD532" s="219"/>
      <c r="AE532" s="219"/>
      <c r="AF532" s="293" t="str">
        <f>IF(AA532="","",VLOOKUP(AA532,Asta!$B:$H,7,FALSE))</f>
        <v/>
      </c>
      <c r="AG532" s="294" t="str">
        <f t="shared" ref="AG532:AG595" si="148">IF(AD532="","",IF(AD532=$Y$20,-AF532,IF(AD532=$Y$21,AF532)))</f>
        <v/>
      </c>
      <c r="AH532" t="str">
        <f t="shared" ref="AH532:AH595" si="149">IF(AG532="","",-AG532)</f>
        <v/>
      </c>
      <c r="AI532" s="254" t="str">
        <f t="shared" ca="1" si="137"/>
        <v>513</v>
      </c>
      <c r="AJ532" s="254" t="str">
        <f t="shared" ca="1" si="138"/>
        <v>513</v>
      </c>
      <c r="AK532" s="351"/>
    </row>
    <row r="533" spans="1:37">
      <c r="A533" s="74">
        <v>514</v>
      </c>
      <c r="B533" s="252"/>
      <c r="C533" s="293" t="str">
        <f t="shared" si="139"/>
        <v/>
      </c>
      <c r="D533" s="294" t="str">
        <f t="shared" si="140"/>
        <v/>
      </c>
      <c r="E533" s="287"/>
      <c r="F533" s="293" t="str">
        <f t="shared" si="141"/>
        <v/>
      </c>
      <c r="G533" s="294" t="str">
        <f t="shared" si="142"/>
        <v/>
      </c>
      <c r="H533" s="290"/>
      <c r="I533" s="254" t="str">
        <f t="shared" ref="I533:I596" ca="1" si="150">G533&amp;C533&amp;COUNTIFS(INDIRECT("$C$19:$C$" &amp; ROW()-1),"="&amp;C533,INDIRECT("$G$19:$G$" &amp; ROW()-1),"="&amp;G533)+1</f>
        <v>1</v>
      </c>
      <c r="J533" s="254" t="str">
        <f t="shared" ref="J533:J596" ca="1" si="151">G533&amp;COUNTIFS(INDIRECT("$G$19:$G$" &amp; ROW()-1),"="&amp;G533)+1</f>
        <v>1</v>
      </c>
      <c r="K533" s="230" t="str">
        <f>IF(Giocatori!B522=0,"",Giocatori!B522)</f>
        <v>VITALE</v>
      </c>
      <c r="L533" s="230" t="str">
        <f>IF(Giocatori!A522=0,"",Giocatori!A522)</f>
        <v>C</v>
      </c>
      <c r="M533" s="230" t="str">
        <f>IF(Giocatori!C522=0,"",Giocatori!C522)</f>
        <v>SPAL</v>
      </c>
      <c r="N533" s="69" t="str">
        <f t="shared" si="143"/>
        <v/>
      </c>
      <c r="O533" t="str">
        <f t="shared" si="144"/>
        <v>VITALE</v>
      </c>
      <c r="P533" s="7">
        <f t="shared" ref="P533:P596" ca="1" si="152">ROW()-COUNTBLANK(INDIRECT("$O$20:O"&amp;ROW()))</f>
        <v>533</v>
      </c>
      <c r="Q533" s="7" t="str">
        <f t="shared" ca="1" si="145"/>
        <v>VITALE</v>
      </c>
      <c r="Z533" s="256"/>
      <c r="AA533" s="219"/>
      <c r="AB533" s="293" t="str">
        <f t="shared" si="146"/>
        <v/>
      </c>
      <c r="AC533" s="294" t="str">
        <f t="shared" si="147"/>
        <v/>
      </c>
      <c r="AD533" s="219"/>
      <c r="AE533" s="219"/>
      <c r="AF533" s="293" t="str">
        <f>IF(AA533="","",VLOOKUP(AA533,Asta!$B:$H,7,FALSE))</f>
        <v/>
      </c>
      <c r="AG533" s="294" t="str">
        <f t="shared" si="148"/>
        <v/>
      </c>
      <c r="AH533" t="str">
        <f t="shared" si="149"/>
        <v/>
      </c>
      <c r="AI533" s="254" t="str">
        <f t="shared" ref="AI533:AI596" ca="1" si="153">Z533&amp;COUNTIFS(INDIRECT("$Z$20:$Z$" &amp; ROW()-1),"="&amp;Z533)+1</f>
        <v>514</v>
      </c>
      <c r="AJ533" s="254" t="str">
        <f t="shared" ref="AJ533:AJ596" ca="1" si="154">AE533&amp;COUNTIFS(INDIRECT("$AE$20:$AE$" &amp; ROW()-1),"="&amp;AE533)+1</f>
        <v>514</v>
      </c>
      <c r="AK533" s="351"/>
    </row>
    <row r="534" spans="1:37">
      <c r="A534" s="74">
        <v>515</v>
      </c>
      <c r="B534" s="252"/>
      <c r="C534" s="293" t="str">
        <f t="shared" si="139"/>
        <v/>
      </c>
      <c r="D534" s="294" t="str">
        <f t="shared" si="140"/>
        <v/>
      </c>
      <c r="E534" s="287"/>
      <c r="F534" s="293" t="str">
        <f t="shared" si="141"/>
        <v/>
      </c>
      <c r="G534" s="294" t="str">
        <f t="shared" si="142"/>
        <v/>
      </c>
      <c r="H534" s="290"/>
      <c r="I534" s="254" t="str">
        <f t="shared" ca="1" si="150"/>
        <v>1</v>
      </c>
      <c r="J534" s="254" t="str">
        <f t="shared" ca="1" si="151"/>
        <v>1</v>
      </c>
      <c r="K534" s="230" t="str">
        <f>IF(Giocatori!B523=0,"",Giocatori!B523)</f>
        <v>VITOR HUGO</v>
      </c>
      <c r="L534" s="230" t="str">
        <f>IF(Giocatori!A523=0,"",Giocatori!A523)</f>
        <v>D</v>
      </c>
      <c r="M534" s="230" t="str">
        <f>IF(Giocatori!C523=0,"",Giocatori!C523)</f>
        <v>Fiorentina</v>
      </c>
      <c r="N534" s="69" t="str">
        <f t="shared" si="143"/>
        <v/>
      </c>
      <c r="O534" t="str">
        <f t="shared" si="144"/>
        <v>VITOR HUGO</v>
      </c>
      <c r="P534" s="7">
        <f t="shared" ca="1" si="152"/>
        <v>534</v>
      </c>
      <c r="Q534" s="7" t="str">
        <f t="shared" ca="1" si="145"/>
        <v>VITOR HUGO</v>
      </c>
      <c r="Z534" s="256"/>
      <c r="AA534" s="219"/>
      <c r="AB534" s="293" t="str">
        <f t="shared" si="146"/>
        <v/>
      </c>
      <c r="AC534" s="294" t="str">
        <f t="shared" si="147"/>
        <v/>
      </c>
      <c r="AD534" s="219"/>
      <c r="AE534" s="219"/>
      <c r="AF534" s="293" t="str">
        <f>IF(AA534="","",VLOOKUP(AA534,Asta!$B:$H,7,FALSE))</f>
        <v/>
      </c>
      <c r="AG534" s="294" t="str">
        <f t="shared" si="148"/>
        <v/>
      </c>
      <c r="AH534" t="str">
        <f t="shared" si="149"/>
        <v/>
      </c>
      <c r="AI534" s="254" t="str">
        <f t="shared" ca="1" si="153"/>
        <v>515</v>
      </c>
      <c r="AJ534" s="254" t="str">
        <f t="shared" ca="1" si="154"/>
        <v>515</v>
      </c>
      <c r="AK534" s="351"/>
    </row>
    <row r="535" spans="1:37">
      <c r="A535" s="74">
        <v>516</v>
      </c>
      <c r="B535" s="252"/>
      <c r="C535" s="293" t="str">
        <f t="shared" si="139"/>
        <v/>
      </c>
      <c r="D535" s="294" t="str">
        <f t="shared" si="140"/>
        <v/>
      </c>
      <c r="E535" s="287"/>
      <c r="F535" s="293" t="str">
        <f t="shared" si="141"/>
        <v/>
      </c>
      <c r="G535" s="294" t="str">
        <f t="shared" si="142"/>
        <v/>
      </c>
      <c r="H535" s="290"/>
      <c r="I535" s="254" t="str">
        <f t="shared" ca="1" si="150"/>
        <v>1</v>
      </c>
      <c r="J535" s="254" t="str">
        <f t="shared" ca="1" si="151"/>
        <v>1</v>
      </c>
      <c r="K535" s="230" t="str">
        <f>IF(Giocatori!B524=0,"",Giocatori!B524)</f>
        <v>VIVIANI</v>
      </c>
      <c r="L535" s="230" t="str">
        <f>IF(Giocatori!A524=0,"",Giocatori!A524)</f>
        <v>C</v>
      </c>
      <c r="M535" s="230" t="str">
        <f>IF(Giocatori!C524=0,"",Giocatori!C524)</f>
        <v>SPAL</v>
      </c>
      <c r="N535" s="69" t="str">
        <f t="shared" si="143"/>
        <v/>
      </c>
      <c r="O535" t="str">
        <f t="shared" si="144"/>
        <v>VIVIANI</v>
      </c>
      <c r="P535" s="7">
        <f t="shared" ca="1" si="152"/>
        <v>535</v>
      </c>
      <c r="Q535" s="7" t="str">
        <f t="shared" ca="1" si="145"/>
        <v>VIVIANI</v>
      </c>
      <c r="Z535" s="256"/>
      <c r="AA535" s="219"/>
      <c r="AB535" s="293" t="str">
        <f t="shared" si="146"/>
        <v/>
      </c>
      <c r="AC535" s="294" t="str">
        <f t="shared" si="147"/>
        <v/>
      </c>
      <c r="AD535" s="219"/>
      <c r="AE535" s="219"/>
      <c r="AF535" s="293" t="str">
        <f>IF(AA535="","",VLOOKUP(AA535,Asta!$B:$H,7,FALSE))</f>
        <v/>
      </c>
      <c r="AG535" s="294" t="str">
        <f t="shared" si="148"/>
        <v/>
      </c>
      <c r="AH535" t="str">
        <f t="shared" si="149"/>
        <v/>
      </c>
      <c r="AI535" s="254" t="str">
        <f t="shared" ca="1" si="153"/>
        <v>516</v>
      </c>
      <c r="AJ535" s="254" t="str">
        <f t="shared" ca="1" si="154"/>
        <v>516</v>
      </c>
      <c r="AK535" s="351"/>
    </row>
    <row r="536" spans="1:37">
      <c r="A536" s="74">
        <v>517</v>
      </c>
      <c r="B536" s="252"/>
      <c r="C536" s="293" t="str">
        <f t="shared" si="139"/>
        <v/>
      </c>
      <c r="D536" s="294" t="str">
        <f t="shared" si="140"/>
        <v/>
      </c>
      <c r="E536" s="287"/>
      <c r="F536" s="293" t="str">
        <f t="shared" si="141"/>
        <v/>
      </c>
      <c r="G536" s="294" t="str">
        <f t="shared" si="142"/>
        <v/>
      </c>
      <c r="H536" s="290"/>
      <c r="I536" s="254" t="str">
        <f t="shared" ca="1" si="150"/>
        <v>1</v>
      </c>
      <c r="J536" s="254" t="str">
        <f t="shared" ca="1" si="151"/>
        <v>1</v>
      </c>
      <c r="K536" s="230" t="str">
        <f>IF(Giocatori!B525=0,"",Giocatori!B525)</f>
        <v>VIVIANO</v>
      </c>
      <c r="L536" s="230" t="str">
        <f>IF(Giocatori!A525=0,"",Giocatori!A525)</f>
        <v>P</v>
      </c>
      <c r="M536" s="230" t="str">
        <f>IF(Giocatori!C525=0,"",Giocatori!C525)</f>
        <v>Sampdoria</v>
      </c>
      <c r="N536" s="69" t="str">
        <f t="shared" si="143"/>
        <v/>
      </c>
      <c r="O536" t="str">
        <f t="shared" si="144"/>
        <v>VIVIANO</v>
      </c>
      <c r="P536" s="7">
        <f t="shared" ca="1" si="152"/>
        <v>536</v>
      </c>
      <c r="Q536" s="7" t="str">
        <f t="shared" ca="1" si="145"/>
        <v>VIVIANO</v>
      </c>
      <c r="Z536" s="256"/>
      <c r="AA536" s="219"/>
      <c r="AB536" s="293" t="str">
        <f t="shared" si="146"/>
        <v/>
      </c>
      <c r="AC536" s="294" t="str">
        <f t="shared" si="147"/>
        <v/>
      </c>
      <c r="AD536" s="219"/>
      <c r="AE536" s="219"/>
      <c r="AF536" s="293" t="str">
        <f>IF(AA536="","",VLOOKUP(AA536,Asta!$B:$H,7,FALSE))</f>
        <v/>
      </c>
      <c r="AG536" s="294" t="str">
        <f t="shared" si="148"/>
        <v/>
      </c>
      <c r="AH536" t="str">
        <f t="shared" si="149"/>
        <v/>
      </c>
      <c r="AI536" s="254" t="str">
        <f t="shared" ca="1" si="153"/>
        <v>517</v>
      </c>
      <c r="AJ536" s="254" t="str">
        <f t="shared" ca="1" si="154"/>
        <v>517</v>
      </c>
      <c r="AK536" s="351"/>
    </row>
    <row r="537" spans="1:37">
      <c r="A537" s="74">
        <v>518</v>
      </c>
      <c r="B537" s="252"/>
      <c r="C537" s="293" t="str">
        <f t="shared" si="139"/>
        <v/>
      </c>
      <c r="D537" s="294" t="str">
        <f t="shared" si="140"/>
        <v/>
      </c>
      <c r="E537" s="287"/>
      <c r="F537" s="293" t="str">
        <f t="shared" si="141"/>
        <v/>
      </c>
      <c r="G537" s="294" t="str">
        <f t="shared" si="142"/>
        <v/>
      </c>
      <c r="H537" s="290"/>
      <c r="I537" s="254" t="str">
        <f t="shared" ca="1" si="150"/>
        <v>1</v>
      </c>
      <c r="J537" s="254" t="str">
        <f t="shared" ca="1" si="151"/>
        <v>1</v>
      </c>
      <c r="K537" s="230" t="str">
        <f>IF(Giocatori!B526=0,"",Giocatori!B526)</f>
        <v>WALLACE</v>
      </c>
      <c r="L537" s="230" t="str">
        <f>IF(Giocatori!A526=0,"",Giocatori!A526)</f>
        <v>D</v>
      </c>
      <c r="M537" s="230" t="str">
        <f>IF(Giocatori!C526=0,"",Giocatori!C526)</f>
        <v>Lazio</v>
      </c>
      <c r="N537" s="69" t="str">
        <f t="shared" si="143"/>
        <v/>
      </c>
      <c r="O537" t="str">
        <f t="shared" si="144"/>
        <v>WALLACE</v>
      </c>
      <c r="P537" s="7">
        <f t="shared" ca="1" si="152"/>
        <v>537</v>
      </c>
      <c r="Q537" s="7" t="str">
        <f t="shared" ca="1" si="145"/>
        <v>WALLACE</v>
      </c>
      <c r="Z537" s="256"/>
      <c r="AA537" s="219"/>
      <c r="AB537" s="293" t="str">
        <f t="shared" si="146"/>
        <v/>
      </c>
      <c r="AC537" s="294" t="str">
        <f t="shared" si="147"/>
        <v/>
      </c>
      <c r="AD537" s="219"/>
      <c r="AE537" s="219"/>
      <c r="AF537" s="293" t="str">
        <f>IF(AA537="","",VLOOKUP(AA537,Asta!$B:$H,7,FALSE))</f>
        <v/>
      </c>
      <c r="AG537" s="294" t="str">
        <f t="shared" si="148"/>
        <v/>
      </c>
      <c r="AH537" t="str">
        <f t="shared" si="149"/>
        <v/>
      </c>
      <c r="AI537" s="254" t="str">
        <f t="shared" ca="1" si="153"/>
        <v>518</v>
      </c>
      <c r="AJ537" s="254" t="str">
        <f t="shared" ca="1" si="154"/>
        <v>518</v>
      </c>
      <c r="AK537" s="351"/>
    </row>
    <row r="538" spans="1:37">
      <c r="A538" s="74">
        <v>519</v>
      </c>
      <c r="B538" s="252"/>
      <c r="C538" s="293" t="str">
        <f t="shared" si="139"/>
        <v/>
      </c>
      <c r="D538" s="294" t="str">
        <f t="shared" si="140"/>
        <v/>
      </c>
      <c r="E538" s="287"/>
      <c r="F538" s="293" t="str">
        <f t="shared" si="141"/>
        <v/>
      </c>
      <c r="G538" s="294" t="str">
        <f t="shared" si="142"/>
        <v/>
      </c>
      <c r="H538" s="290"/>
      <c r="I538" s="254" t="str">
        <f t="shared" ca="1" si="150"/>
        <v>1</v>
      </c>
      <c r="J538" s="254" t="str">
        <f t="shared" ca="1" si="151"/>
        <v>1</v>
      </c>
      <c r="K538" s="230" t="str">
        <f>IF(Giocatori!B527=0,"",Giocatori!B527)</f>
        <v>WIDMER</v>
      </c>
      <c r="L538" s="230" t="str">
        <f>IF(Giocatori!A527=0,"",Giocatori!A527)</f>
        <v>D</v>
      </c>
      <c r="M538" s="230" t="str">
        <f>IF(Giocatori!C527=0,"",Giocatori!C527)</f>
        <v>Udinese</v>
      </c>
      <c r="N538" s="69" t="str">
        <f t="shared" si="143"/>
        <v/>
      </c>
      <c r="O538" t="str">
        <f t="shared" si="144"/>
        <v>WIDMER</v>
      </c>
      <c r="P538" s="7">
        <f t="shared" ca="1" si="152"/>
        <v>538</v>
      </c>
      <c r="Q538" s="7" t="str">
        <f t="shared" ca="1" si="145"/>
        <v>WIDMER</v>
      </c>
      <c r="Z538" s="256"/>
      <c r="AA538" s="219"/>
      <c r="AB538" s="293" t="str">
        <f t="shared" si="146"/>
        <v/>
      </c>
      <c r="AC538" s="294" t="str">
        <f t="shared" si="147"/>
        <v/>
      </c>
      <c r="AD538" s="219"/>
      <c r="AE538" s="219"/>
      <c r="AF538" s="293" t="str">
        <f>IF(AA538="","",VLOOKUP(AA538,Asta!$B:$H,7,FALSE))</f>
        <v/>
      </c>
      <c r="AG538" s="294" t="str">
        <f t="shared" si="148"/>
        <v/>
      </c>
      <c r="AH538" t="str">
        <f t="shared" si="149"/>
        <v/>
      </c>
      <c r="AI538" s="254" t="str">
        <f t="shared" ca="1" si="153"/>
        <v>519</v>
      </c>
      <c r="AJ538" s="254" t="str">
        <f t="shared" ca="1" si="154"/>
        <v>519</v>
      </c>
      <c r="AK538" s="351"/>
    </row>
    <row r="539" spans="1:37">
      <c r="A539" s="74">
        <v>520</v>
      </c>
      <c r="B539" s="252"/>
      <c r="C539" s="293" t="str">
        <f t="shared" si="139"/>
        <v/>
      </c>
      <c r="D539" s="294" t="str">
        <f t="shared" si="140"/>
        <v/>
      </c>
      <c r="E539" s="287"/>
      <c r="F539" s="293" t="str">
        <f t="shared" si="141"/>
        <v/>
      </c>
      <c r="G539" s="294" t="str">
        <f t="shared" si="142"/>
        <v/>
      </c>
      <c r="H539" s="290"/>
      <c r="I539" s="254" t="str">
        <f t="shared" ca="1" si="150"/>
        <v>1</v>
      </c>
      <c r="J539" s="254" t="str">
        <f t="shared" ca="1" si="151"/>
        <v>1</v>
      </c>
      <c r="K539" s="230" t="str">
        <f>IF(Giocatori!B528=0,"",Giocatori!B528)</f>
        <v>ZACCAGNI</v>
      </c>
      <c r="L539" s="230" t="str">
        <f>IF(Giocatori!A528=0,"",Giocatori!A528)</f>
        <v>C</v>
      </c>
      <c r="M539" s="230" t="str">
        <f>IF(Giocatori!C528=0,"",Giocatori!C528)</f>
        <v>Verona</v>
      </c>
      <c r="N539" s="69" t="str">
        <f t="shared" si="143"/>
        <v/>
      </c>
      <c r="O539" t="str">
        <f t="shared" si="144"/>
        <v>ZACCAGNI</v>
      </c>
      <c r="P539" s="7">
        <f t="shared" ca="1" si="152"/>
        <v>539</v>
      </c>
      <c r="Q539" s="7" t="str">
        <f t="shared" ca="1" si="145"/>
        <v>ZACCAGNI</v>
      </c>
      <c r="Z539" s="256"/>
      <c r="AA539" s="219"/>
      <c r="AB539" s="293" t="str">
        <f t="shared" si="146"/>
        <v/>
      </c>
      <c r="AC539" s="294" t="str">
        <f t="shared" si="147"/>
        <v/>
      </c>
      <c r="AD539" s="219"/>
      <c r="AE539" s="219"/>
      <c r="AF539" s="293" t="str">
        <f>IF(AA539="","",VLOOKUP(AA539,Asta!$B:$H,7,FALSE))</f>
        <v/>
      </c>
      <c r="AG539" s="294" t="str">
        <f t="shared" si="148"/>
        <v/>
      </c>
      <c r="AH539" t="str">
        <f t="shared" si="149"/>
        <v/>
      </c>
      <c r="AI539" s="254" t="str">
        <f t="shared" ca="1" si="153"/>
        <v>520</v>
      </c>
      <c r="AJ539" s="254" t="str">
        <f t="shared" ca="1" si="154"/>
        <v>520</v>
      </c>
      <c r="AK539" s="351"/>
    </row>
    <row r="540" spans="1:37">
      <c r="A540" s="74">
        <v>521</v>
      </c>
      <c r="B540" s="252"/>
      <c r="C540" s="293" t="str">
        <f t="shared" si="139"/>
        <v/>
      </c>
      <c r="D540" s="294" t="str">
        <f t="shared" si="140"/>
        <v/>
      </c>
      <c r="E540" s="287"/>
      <c r="F540" s="293" t="str">
        <f t="shared" si="141"/>
        <v/>
      </c>
      <c r="G540" s="294" t="str">
        <f t="shared" si="142"/>
        <v/>
      </c>
      <c r="H540" s="290"/>
      <c r="I540" s="254" t="str">
        <f t="shared" ca="1" si="150"/>
        <v>1</v>
      </c>
      <c r="J540" s="254" t="str">
        <f t="shared" ca="1" si="151"/>
        <v>1</v>
      </c>
      <c r="K540" s="230" t="str">
        <f>IF(Giocatori!B529=0,"",Giocatori!B529)</f>
        <v>ZANELLATO</v>
      </c>
      <c r="L540" s="230" t="str">
        <f>IF(Giocatori!A529=0,"",Giocatori!A529)</f>
        <v>C</v>
      </c>
      <c r="M540" s="230" t="str">
        <f>IF(Giocatori!C529=0,"",Giocatori!C529)</f>
        <v>Milan</v>
      </c>
      <c r="N540" s="69" t="str">
        <f t="shared" si="143"/>
        <v/>
      </c>
      <c r="O540" t="str">
        <f t="shared" si="144"/>
        <v>ZANELLATO</v>
      </c>
      <c r="P540" s="7">
        <f t="shared" ca="1" si="152"/>
        <v>540</v>
      </c>
      <c r="Q540" s="7" t="str">
        <f t="shared" ca="1" si="145"/>
        <v>ZANELLATO</v>
      </c>
      <c r="Z540" s="256"/>
      <c r="AA540" s="219"/>
      <c r="AB540" s="293" t="str">
        <f t="shared" si="146"/>
        <v/>
      </c>
      <c r="AC540" s="294" t="str">
        <f t="shared" si="147"/>
        <v/>
      </c>
      <c r="AD540" s="219"/>
      <c r="AE540" s="219"/>
      <c r="AF540" s="293" t="str">
        <f>IF(AA540="","",VLOOKUP(AA540,Asta!$B:$H,7,FALSE))</f>
        <v/>
      </c>
      <c r="AG540" s="294" t="str">
        <f t="shared" si="148"/>
        <v/>
      </c>
      <c r="AH540" t="str">
        <f t="shared" si="149"/>
        <v/>
      </c>
      <c r="AI540" s="254" t="str">
        <f t="shared" ca="1" si="153"/>
        <v>521</v>
      </c>
      <c r="AJ540" s="254" t="str">
        <f t="shared" ca="1" si="154"/>
        <v>521</v>
      </c>
      <c r="AK540" s="351"/>
    </row>
    <row r="541" spans="1:37">
      <c r="A541" s="74">
        <v>522</v>
      </c>
      <c r="B541" s="252"/>
      <c r="C541" s="293" t="str">
        <f t="shared" si="139"/>
        <v/>
      </c>
      <c r="D541" s="294" t="str">
        <f t="shared" si="140"/>
        <v/>
      </c>
      <c r="E541" s="287"/>
      <c r="F541" s="293" t="str">
        <f t="shared" si="141"/>
        <v/>
      </c>
      <c r="G541" s="294" t="str">
        <f t="shared" si="142"/>
        <v/>
      </c>
      <c r="H541" s="290"/>
      <c r="I541" s="254" t="str">
        <f t="shared" ca="1" si="150"/>
        <v>1</v>
      </c>
      <c r="J541" s="254" t="str">
        <f t="shared" ca="1" si="151"/>
        <v>1</v>
      </c>
      <c r="K541" s="230" t="str">
        <f>IF(Giocatori!B530=0,"",Giocatori!B530)</f>
        <v>ZAPATA C</v>
      </c>
      <c r="L541" s="230" t="str">
        <f>IF(Giocatori!A530=0,"",Giocatori!A530)</f>
        <v>D</v>
      </c>
      <c r="M541" s="230" t="str">
        <f>IF(Giocatori!C530=0,"",Giocatori!C530)</f>
        <v>Milan</v>
      </c>
      <c r="N541" s="69" t="str">
        <f t="shared" si="143"/>
        <v/>
      </c>
      <c r="O541" t="str">
        <f t="shared" si="144"/>
        <v>ZAPATA C</v>
      </c>
      <c r="P541" s="7">
        <f t="shared" ca="1" si="152"/>
        <v>541</v>
      </c>
      <c r="Q541" s="7" t="str">
        <f t="shared" ca="1" si="145"/>
        <v>ZAPATA C</v>
      </c>
      <c r="Z541" s="256"/>
      <c r="AA541" s="219"/>
      <c r="AB541" s="293" t="str">
        <f t="shared" si="146"/>
        <v/>
      </c>
      <c r="AC541" s="294" t="str">
        <f t="shared" si="147"/>
        <v/>
      </c>
      <c r="AD541" s="219"/>
      <c r="AE541" s="219"/>
      <c r="AF541" s="293" t="str">
        <f>IF(AA541="","",VLOOKUP(AA541,Asta!$B:$H,7,FALSE))</f>
        <v/>
      </c>
      <c r="AG541" s="294" t="str">
        <f t="shared" si="148"/>
        <v/>
      </c>
      <c r="AH541" t="str">
        <f t="shared" si="149"/>
        <v/>
      </c>
      <c r="AI541" s="254" t="str">
        <f t="shared" ca="1" si="153"/>
        <v>522</v>
      </c>
      <c r="AJ541" s="254" t="str">
        <f t="shared" ca="1" si="154"/>
        <v>522</v>
      </c>
      <c r="AK541" s="351"/>
    </row>
    <row r="542" spans="1:37">
      <c r="A542" s="74">
        <v>523</v>
      </c>
      <c r="B542" s="252"/>
      <c r="C542" s="293" t="str">
        <f t="shared" si="139"/>
        <v/>
      </c>
      <c r="D542" s="294" t="str">
        <f t="shared" si="140"/>
        <v/>
      </c>
      <c r="E542" s="287"/>
      <c r="F542" s="293" t="str">
        <f t="shared" si="141"/>
        <v/>
      </c>
      <c r="G542" s="294" t="str">
        <f t="shared" si="142"/>
        <v/>
      </c>
      <c r="H542" s="290"/>
      <c r="I542" s="254" t="str">
        <f t="shared" ca="1" si="150"/>
        <v>1</v>
      </c>
      <c r="J542" s="254" t="str">
        <f t="shared" ca="1" si="151"/>
        <v>1</v>
      </c>
      <c r="K542" s="230" t="str">
        <f>IF(Giocatori!B531=0,"",Giocatori!B531)</f>
        <v>ZAPATA D</v>
      </c>
      <c r="L542" s="230" t="str">
        <f>IF(Giocatori!A531=0,"",Giocatori!A531)</f>
        <v>A</v>
      </c>
      <c r="M542" s="230" t="str">
        <f>IF(Giocatori!C531=0,"",Giocatori!C531)</f>
        <v>Sampdoria</v>
      </c>
      <c r="N542" s="69" t="str">
        <f t="shared" si="143"/>
        <v/>
      </c>
      <c r="O542" t="str">
        <f t="shared" si="144"/>
        <v>ZAPATA D</v>
      </c>
      <c r="P542" s="7">
        <f t="shared" ca="1" si="152"/>
        <v>542</v>
      </c>
      <c r="Q542" s="7" t="str">
        <f t="shared" ca="1" si="145"/>
        <v>ZAPATA D</v>
      </c>
      <c r="Z542" s="256"/>
      <c r="AA542" s="219"/>
      <c r="AB542" s="293" t="str">
        <f t="shared" si="146"/>
        <v/>
      </c>
      <c r="AC542" s="294" t="str">
        <f t="shared" si="147"/>
        <v/>
      </c>
      <c r="AD542" s="219"/>
      <c r="AE542" s="219"/>
      <c r="AF542" s="293" t="str">
        <f>IF(AA542="","",VLOOKUP(AA542,Asta!$B:$H,7,FALSE))</f>
        <v/>
      </c>
      <c r="AG542" s="294" t="str">
        <f t="shared" si="148"/>
        <v/>
      </c>
      <c r="AH542" t="str">
        <f t="shared" si="149"/>
        <v/>
      </c>
      <c r="AI542" s="254" t="str">
        <f t="shared" ca="1" si="153"/>
        <v>523</v>
      </c>
      <c r="AJ542" s="254" t="str">
        <f t="shared" ca="1" si="154"/>
        <v>523</v>
      </c>
      <c r="AK542" s="351"/>
    </row>
    <row r="543" spans="1:37">
      <c r="A543" s="74">
        <v>524</v>
      </c>
      <c r="B543" s="252"/>
      <c r="C543" s="293" t="str">
        <f t="shared" si="139"/>
        <v/>
      </c>
      <c r="D543" s="294" t="str">
        <f t="shared" si="140"/>
        <v/>
      </c>
      <c r="E543" s="287"/>
      <c r="F543" s="293" t="str">
        <f t="shared" si="141"/>
        <v/>
      </c>
      <c r="G543" s="294" t="str">
        <f t="shared" si="142"/>
        <v/>
      </c>
      <c r="H543" s="290"/>
      <c r="I543" s="254" t="str">
        <f t="shared" ca="1" si="150"/>
        <v>1</v>
      </c>
      <c r="J543" s="254" t="str">
        <f t="shared" ca="1" si="151"/>
        <v>1</v>
      </c>
      <c r="K543" s="230" t="str">
        <f>IF(Giocatori!B532=0,"",Giocatori!B532)</f>
        <v>ZEKHNINI</v>
      </c>
      <c r="L543" s="230" t="str">
        <f>IF(Giocatori!A532=0,"",Giocatori!A532)</f>
        <v>C</v>
      </c>
      <c r="M543" s="230" t="str">
        <f>IF(Giocatori!C532=0,"",Giocatori!C532)</f>
        <v>Fiorentina</v>
      </c>
      <c r="N543" s="69" t="str">
        <f t="shared" si="143"/>
        <v/>
      </c>
      <c r="O543" t="str">
        <f t="shared" si="144"/>
        <v>ZEKHNINI</v>
      </c>
      <c r="P543" s="7">
        <f t="shared" ca="1" si="152"/>
        <v>543</v>
      </c>
      <c r="Q543" s="7" t="str">
        <f t="shared" ca="1" si="145"/>
        <v>ZEKHNINI</v>
      </c>
      <c r="Z543" s="256"/>
      <c r="AA543" s="219"/>
      <c r="AB543" s="293" t="str">
        <f t="shared" si="146"/>
        <v/>
      </c>
      <c r="AC543" s="294" t="str">
        <f t="shared" si="147"/>
        <v/>
      </c>
      <c r="AD543" s="219"/>
      <c r="AE543" s="219"/>
      <c r="AF543" s="293" t="str">
        <f>IF(AA543="","",VLOOKUP(AA543,Asta!$B:$H,7,FALSE))</f>
        <v/>
      </c>
      <c r="AG543" s="294" t="str">
        <f t="shared" si="148"/>
        <v/>
      </c>
      <c r="AH543" t="str">
        <f t="shared" si="149"/>
        <v/>
      </c>
      <c r="AI543" s="254" t="str">
        <f t="shared" ca="1" si="153"/>
        <v>524</v>
      </c>
      <c r="AJ543" s="254" t="str">
        <f t="shared" ca="1" si="154"/>
        <v>524</v>
      </c>
      <c r="AK543" s="351"/>
    </row>
    <row r="544" spans="1:37">
      <c r="A544" s="74">
        <v>525</v>
      </c>
      <c r="B544" s="252"/>
      <c r="C544" s="295" t="str">
        <f t="shared" si="139"/>
        <v/>
      </c>
      <c r="D544" s="296" t="str">
        <f t="shared" si="140"/>
        <v/>
      </c>
      <c r="E544" s="287"/>
      <c r="F544" s="295" t="str">
        <f t="shared" si="141"/>
        <v/>
      </c>
      <c r="G544" s="296" t="str">
        <f t="shared" si="142"/>
        <v/>
      </c>
      <c r="H544" s="290"/>
      <c r="I544" s="254" t="str">
        <f t="shared" ca="1" si="150"/>
        <v>1</v>
      </c>
      <c r="J544" s="254" t="str">
        <f t="shared" ca="1" si="151"/>
        <v>1</v>
      </c>
      <c r="K544" s="230" t="str">
        <f>IF(Giocatori!B533=0,"",Giocatori!B533)</f>
        <v>ZIELINSKI</v>
      </c>
      <c r="L544" s="230" t="str">
        <f>IF(Giocatori!A533=0,"",Giocatori!A533)</f>
        <v>C</v>
      </c>
      <c r="M544" s="230" t="str">
        <f>IF(Giocatori!C533=0,"",Giocatori!C533)</f>
        <v>Napoli</v>
      </c>
      <c r="N544" s="69" t="str">
        <f t="shared" si="143"/>
        <v/>
      </c>
      <c r="O544" t="str">
        <f t="shared" si="144"/>
        <v>ZIELINSKI</v>
      </c>
      <c r="P544" s="7">
        <f t="shared" ca="1" si="152"/>
        <v>544</v>
      </c>
      <c r="Q544" s="7" t="str">
        <f t="shared" ca="1" si="145"/>
        <v>ZIELINSKI</v>
      </c>
      <c r="Z544" s="256"/>
      <c r="AA544" s="219"/>
      <c r="AB544" s="295" t="str">
        <f t="shared" si="146"/>
        <v/>
      </c>
      <c r="AC544" s="296" t="str">
        <f t="shared" si="147"/>
        <v/>
      </c>
      <c r="AD544" s="219"/>
      <c r="AE544" s="219"/>
      <c r="AF544" s="295" t="str">
        <f>IF(AA544="","",VLOOKUP(AA544,Asta!$B:$H,7,FALSE))</f>
        <v/>
      </c>
      <c r="AG544" s="296" t="str">
        <f t="shared" si="148"/>
        <v/>
      </c>
      <c r="AH544" t="str">
        <f t="shared" si="149"/>
        <v/>
      </c>
      <c r="AI544" s="254" t="str">
        <f t="shared" ca="1" si="153"/>
        <v>525</v>
      </c>
      <c r="AJ544" s="254" t="str">
        <f t="shared" ca="1" si="154"/>
        <v>525</v>
      </c>
      <c r="AK544" s="351"/>
    </row>
    <row r="545" spans="1:37">
      <c r="A545" s="74">
        <v>526</v>
      </c>
      <c r="B545" s="252"/>
      <c r="C545" s="295" t="str">
        <f t="shared" si="139"/>
        <v/>
      </c>
      <c r="D545" s="296" t="str">
        <f t="shared" si="140"/>
        <v/>
      </c>
      <c r="E545" s="287"/>
      <c r="F545" s="295" t="str">
        <f t="shared" si="141"/>
        <v/>
      </c>
      <c r="G545" s="296" t="str">
        <f t="shared" si="142"/>
        <v/>
      </c>
      <c r="H545" s="290"/>
      <c r="I545" s="254" t="str">
        <f t="shared" ca="1" si="150"/>
        <v>1</v>
      </c>
      <c r="J545" s="254" t="str">
        <f t="shared" ca="1" si="151"/>
        <v>1</v>
      </c>
      <c r="K545" s="230" t="str">
        <f>IF(Giocatori!B534=0,"",Giocatori!B534)</f>
        <v>ZIMA</v>
      </c>
      <c r="L545" s="230" t="str">
        <f>IF(Giocatori!A534=0,"",Giocatori!A534)</f>
        <v>P</v>
      </c>
      <c r="M545" s="230" t="str">
        <f>IF(Giocatori!C534=0,"",Giocatori!C534)</f>
        <v>Genoa</v>
      </c>
      <c r="N545" s="69" t="str">
        <f t="shared" si="143"/>
        <v/>
      </c>
      <c r="O545" t="str">
        <f t="shared" si="144"/>
        <v>ZIMA</v>
      </c>
      <c r="P545" s="7">
        <f t="shared" ca="1" si="152"/>
        <v>545</v>
      </c>
      <c r="Q545" s="7" t="str">
        <f t="shared" ca="1" si="145"/>
        <v>ZIMA</v>
      </c>
      <c r="Z545" s="256"/>
      <c r="AA545" s="219"/>
      <c r="AB545" s="295" t="str">
        <f t="shared" si="146"/>
        <v/>
      </c>
      <c r="AC545" s="296" t="str">
        <f t="shared" si="147"/>
        <v/>
      </c>
      <c r="AD545" s="219"/>
      <c r="AE545" s="219"/>
      <c r="AF545" s="295" t="str">
        <f>IF(AA545="","",VLOOKUP(AA545,Asta!$B:$H,7,FALSE))</f>
        <v/>
      </c>
      <c r="AG545" s="296" t="str">
        <f t="shared" si="148"/>
        <v/>
      </c>
      <c r="AH545" t="str">
        <f t="shared" si="149"/>
        <v/>
      </c>
      <c r="AI545" s="254" t="str">
        <f t="shared" ca="1" si="153"/>
        <v>526</v>
      </c>
      <c r="AJ545" s="254" t="str">
        <f t="shared" ca="1" si="154"/>
        <v>526</v>
      </c>
      <c r="AK545" s="351"/>
    </row>
    <row r="546" spans="1:37">
      <c r="A546" s="74">
        <v>527</v>
      </c>
      <c r="B546" s="252"/>
      <c r="C546" s="293" t="str">
        <f t="shared" si="139"/>
        <v/>
      </c>
      <c r="D546" s="294" t="str">
        <f t="shared" si="140"/>
        <v/>
      </c>
      <c r="E546" s="287"/>
      <c r="F546" s="293" t="str">
        <f t="shared" si="141"/>
        <v/>
      </c>
      <c r="G546" s="294" t="str">
        <f t="shared" si="142"/>
        <v/>
      </c>
      <c r="H546" s="290"/>
      <c r="I546" s="254" t="str">
        <f t="shared" ca="1" si="150"/>
        <v>1</v>
      </c>
      <c r="J546" s="254" t="str">
        <f t="shared" ca="1" si="151"/>
        <v>1</v>
      </c>
      <c r="K546" s="230" t="str">
        <f>IF(Giocatori!B535=0,"",Giocatori!B535)</f>
        <v>ZUCULINI B</v>
      </c>
      <c r="L546" s="230" t="str">
        <f>IF(Giocatori!A535=0,"",Giocatori!A535)</f>
        <v>C</v>
      </c>
      <c r="M546" s="230" t="str">
        <f>IF(Giocatori!C535=0,"",Giocatori!C535)</f>
        <v>Verona</v>
      </c>
      <c r="N546" s="69" t="str">
        <f t="shared" si="143"/>
        <v/>
      </c>
      <c r="O546" t="str">
        <f t="shared" si="144"/>
        <v>ZUCULINI B</v>
      </c>
      <c r="P546" s="7">
        <f t="shared" ca="1" si="152"/>
        <v>546</v>
      </c>
      <c r="Q546" s="7" t="str">
        <f t="shared" ca="1" si="145"/>
        <v>ZUCULINI B</v>
      </c>
      <c r="Z546" s="256"/>
      <c r="AA546" s="219"/>
      <c r="AB546" s="293" t="str">
        <f t="shared" si="146"/>
        <v/>
      </c>
      <c r="AC546" s="294" t="str">
        <f t="shared" si="147"/>
        <v/>
      </c>
      <c r="AD546" s="219"/>
      <c r="AE546" s="219"/>
      <c r="AF546" s="293" t="str">
        <f>IF(AA546="","",VLOOKUP(AA546,Asta!$B:$H,7,FALSE))</f>
        <v/>
      </c>
      <c r="AG546" s="294" t="str">
        <f t="shared" si="148"/>
        <v/>
      </c>
      <c r="AH546" t="str">
        <f t="shared" si="149"/>
        <v/>
      </c>
      <c r="AI546" s="254" t="str">
        <f t="shared" ca="1" si="153"/>
        <v>527</v>
      </c>
      <c r="AJ546" s="254" t="str">
        <f t="shared" ca="1" si="154"/>
        <v>527</v>
      </c>
      <c r="AK546" s="351"/>
    </row>
    <row r="547" spans="1:37">
      <c r="A547" s="74">
        <v>528</v>
      </c>
      <c r="B547" s="252"/>
      <c r="C547" s="293" t="str">
        <f t="shared" si="139"/>
        <v/>
      </c>
      <c r="D547" s="294" t="str">
        <f t="shared" si="140"/>
        <v/>
      </c>
      <c r="E547" s="287"/>
      <c r="F547" s="293" t="str">
        <f t="shared" si="141"/>
        <v/>
      </c>
      <c r="G547" s="294" t="str">
        <f t="shared" si="142"/>
        <v/>
      </c>
      <c r="H547" s="290"/>
      <c r="I547" s="254" t="str">
        <f t="shared" ca="1" si="150"/>
        <v>1</v>
      </c>
      <c r="J547" s="254" t="str">
        <f t="shared" ca="1" si="151"/>
        <v>1</v>
      </c>
      <c r="K547" s="230" t="str">
        <f>IF(Giocatori!B536=0,"",Giocatori!B536)</f>
        <v>ZUCULINI F</v>
      </c>
      <c r="L547" s="230" t="str">
        <f>IF(Giocatori!A536=0,"",Giocatori!A536)</f>
        <v>C</v>
      </c>
      <c r="M547" s="230" t="str">
        <f>IF(Giocatori!C536=0,"",Giocatori!C536)</f>
        <v>Verona</v>
      </c>
      <c r="N547" s="69" t="str">
        <f t="shared" si="143"/>
        <v/>
      </c>
      <c r="O547" t="str">
        <f t="shared" si="144"/>
        <v>ZUCULINI F</v>
      </c>
      <c r="P547" s="7">
        <f t="shared" ca="1" si="152"/>
        <v>547</v>
      </c>
      <c r="Q547" s="7" t="str">
        <f t="shared" ca="1" si="145"/>
        <v>ZUCULINI F</v>
      </c>
      <c r="Z547" s="256"/>
      <c r="AA547" s="219"/>
      <c r="AB547" s="293" t="str">
        <f t="shared" si="146"/>
        <v/>
      </c>
      <c r="AC547" s="294" t="str">
        <f t="shared" si="147"/>
        <v/>
      </c>
      <c r="AD547" s="219"/>
      <c r="AE547" s="219"/>
      <c r="AF547" s="293" t="str">
        <f>IF(AA547="","",VLOOKUP(AA547,Asta!$B:$H,7,FALSE))</f>
        <v/>
      </c>
      <c r="AG547" s="294" t="str">
        <f t="shared" si="148"/>
        <v/>
      </c>
      <c r="AH547" t="str">
        <f t="shared" si="149"/>
        <v/>
      </c>
      <c r="AI547" s="254" t="str">
        <f t="shared" ca="1" si="153"/>
        <v>528</v>
      </c>
      <c r="AJ547" s="254" t="str">
        <f t="shared" ca="1" si="154"/>
        <v>528</v>
      </c>
      <c r="AK547" s="351"/>
    </row>
    <row r="548" spans="1:37">
      <c r="A548" s="74">
        <v>529</v>
      </c>
      <c r="B548" s="252"/>
      <c r="C548" s="295" t="str">
        <f t="shared" si="139"/>
        <v/>
      </c>
      <c r="D548" s="296" t="str">
        <f t="shared" si="140"/>
        <v/>
      </c>
      <c r="E548" s="287"/>
      <c r="F548" s="295" t="str">
        <f t="shared" si="141"/>
        <v/>
      </c>
      <c r="G548" s="296" t="str">
        <f t="shared" si="142"/>
        <v/>
      </c>
      <c r="H548" s="290"/>
      <c r="I548" s="254" t="str">
        <f t="shared" ca="1" si="150"/>
        <v>1</v>
      </c>
      <c r="J548" s="254" t="str">
        <f t="shared" ca="1" si="151"/>
        <v>1</v>
      </c>
      <c r="K548" s="230" t="str">
        <f>IF(Giocatori!B537=0,"",Giocatori!B537)</f>
        <v>ZUKANOVIC</v>
      </c>
      <c r="L548" s="230" t="str">
        <f>IF(Giocatori!A537=0,"",Giocatori!A537)</f>
        <v>D</v>
      </c>
      <c r="M548" s="230" t="str">
        <f>IF(Giocatori!C537=0,"",Giocatori!C537)</f>
        <v>Genoa</v>
      </c>
      <c r="N548" s="69" t="str">
        <f t="shared" si="143"/>
        <v/>
      </c>
      <c r="O548" t="str">
        <f t="shared" si="144"/>
        <v>ZUKANOVIC</v>
      </c>
      <c r="P548" s="7">
        <f t="shared" ca="1" si="152"/>
        <v>548</v>
      </c>
      <c r="Q548" s="7" t="str">
        <f t="shared" ca="1" si="145"/>
        <v>ZUKANOVIC</v>
      </c>
      <c r="Z548" s="256"/>
      <c r="AA548" s="219"/>
      <c r="AB548" s="295" t="str">
        <f t="shared" si="146"/>
        <v/>
      </c>
      <c r="AC548" s="296" t="str">
        <f t="shared" si="147"/>
        <v/>
      </c>
      <c r="AD548" s="219"/>
      <c r="AE548" s="219"/>
      <c r="AF548" s="295" t="str">
        <f>IF(AA548="","",VLOOKUP(AA548,Asta!$B:$H,7,FALSE))</f>
        <v/>
      </c>
      <c r="AG548" s="296" t="str">
        <f t="shared" si="148"/>
        <v/>
      </c>
      <c r="AH548" t="str">
        <f t="shared" si="149"/>
        <v/>
      </c>
      <c r="AI548" s="254" t="str">
        <f t="shared" ca="1" si="153"/>
        <v>529</v>
      </c>
      <c r="AJ548" s="254" t="str">
        <f t="shared" ca="1" si="154"/>
        <v>529</v>
      </c>
      <c r="AK548" s="351"/>
    </row>
    <row r="549" spans="1:37">
      <c r="A549" s="74">
        <v>530</v>
      </c>
      <c r="B549" s="252"/>
      <c r="C549" s="293" t="str">
        <f t="shared" ref="C549:C612" si="155">IF(B549&lt;&gt;"",VLOOKUP(B549,$K:$M,2,FALSE),"")</f>
        <v/>
      </c>
      <c r="D549" s="294" t="str">
        <f t="shared" ref="D549:D612" si="156">IF(B549&lt;&gt;"",VLOOKUP(B549,$K:$M,3,FALSE),"")</f>
        <v/>
      </c>
      <c r="E549" s="287"/>
      <c r="F549" s="293" t="str">
        <f t="shared" si="141"/>
        <v/>
      </c>
      <c r="G549" s="294" t="str">
        <f t="shared" si="142"/>
        <v/>
      </c>
      <c r="H549" s="290"/>
      <c r="I549" s="254" t="str">
        <f t="shared" ca="1" si="150"/>
        <v>1</v>
      </c>
      <c r="J549" s="254" t="str">
        <f t="shared" ca="1" si="151"/>
        <v>1</v>
      </c>
      <c r="K549" s="230" t="str">
        <f>IF(Giocatori!B538=0,"",Giocatori!B538)</f>
        <v/>
      </c>
      <c r="L549" s="230" t="str">
        <f>IF(Giocatori!A538=0,"",Giocatori!A538)</f>
        <v/>
      </c>
      <c r="M549" s="230" t="str">
        <f>IF(Giocatori!C538=0,"",Giocatori!C538)</f>
        <v/>
      </c>
      <c r="N549" s="69" t="str">
        <f t="shared" si="143"/>
        <v/>
      </c>
      <c r="O549" t="str">
        <f t="shared" si="144"/>
        <v/>
      </c>
      <c r="P549" s="7">
        <f t="shared" ca="1" si="152"/>
        <v>548</v>
      </c>
      <c r="Q549" s="7" t="str">
        <f t="shared" ca="1" si="145"/>
        <v/>
      </c>
      <c r="Z549" s="256"/>
      <c r="AA549" s="219"/>
      <c r="AB549" s="293" t="str">
        <f t="shared" si="146"/>
        <v/>
      </c>
      <c r="AC549" s="294" t="str">
        <f t="shared" si="147"/>
        <v/>
      </c>
      <c r="AD549" s="219"/>
      <c r="AE549" s="219"/>
      <c r="AF549" s="293" t="str">
        <f>IF(AA549="","",VLOOKUP(AA549,Asta!$B:$H,7,FALSE))</f>
        <v/>
      </c>
      <c r="AG549" s="294" t="str">
        <f t="shared" si="148"/>
        <v/>
      </c>
      <c r="AH549" t="str">
        <f t="shared" si="149"/>
        <v/>
      </c>
      <c r="AI549" s="254" t="str">
        <f t="shared" ca="1" si="153"/>
        <v>530</v>
      </c>
      <c r="AJ549" s="254" t="str">
        <f t="shared" ca="1" si="154"/>
        <v>530</v>
      </c>
      <c r="AK549" s="351"/>
    </row>
    <row r="550" spans="1:37">
      <c r="A550" s="74">
        <v>531</v>
      </c>
      <c r="B550" s="252"/>
      <c r="C550" s="295" t="str">
        <f t="shared" si="155"/>
        <v/>
      </c>
      <c r="D550" s="296" t="str">
        <f t="shared" si="156"/>
        <v/>
      </c>
      <c r="E550" s="287"/>
      <c r="F550" s="295" t="str">
        <f t="shared" si="141"/>
        <v/>
      </c>
      <c r="G550" s="296" t="str">
        <f t="shared" si="142"/>
        <v/>
      </c>
      <c r="H550" s="290"/>
      <c r="I550" s="254" t="str">
        <f t="shared" ca="1" si="150"/>
        <v>1</v>
      </c>
      <c r="J550" s="254" t="str">
        <f t="shared" ca="1" si="151"/>
        <v>1</v>
      </c>
      <c r="K550" s="230" t="str">
        <f>IF(Giocatori!B539=0,"",Giocatori!B539)</f>
        <v/>
      </c>
      <c r="L550" s="230" t="str">
        <f>IF(Giocatori!A539=0,"",Giocatori!A539)</f>
        <v/>
      </c>
      <c r="M550" s="230" t="str">
        <f>IF(Giocatori!C539=0,"",Giocatori!C539)</f>
        <v/>
      </c>
      <c r="N550" s="69" t="str">
        <f t="shared" si="143"/>
        <v/>
      </c>
      <c r="O550" t="str">
        <f t="shared" si="144"/>
        <v/>
      </c>
      <c r="P550" s="7">
        <f t="shared" ca="1" si="152"/>
        <v>548</v>
      </c>
      <c r="Q550" s="7" t="str">
        <f t="shared" ca="1" si="145"/>
        <v/>
      </c>
      <c r="Z550" s="256"/>
      <c r="AA550" s="219"/>
      <c r="AB550" s="295" t="str">
        <f t="shared" si="146"/>
        <v/>
      </c>
      <c r="AC550" s="296" t="str">
        <f t="shared" si="147"/>
        <v/>
      </c>
      <c r="AD550" s="219"/>
      <c r="AE550" s="219"/>
      <c r="AF550" s="295" t="str">
        <f>IF(AA550="","",VLOOKUP(AA550,Asta!$B:$H,7,FALSE))</f>
        <v/>
      </c>
      <c r="AG550" s="296" t="str">
        <f t="shared" si="148"/>
        <v/>
      </c>
      <c r="AH550" t="str">
        <f t="shared" si="149"/>
        <v/>
      </c>
      <c r="AI550" s="254" t="str">
        <f t="shared" ca="1" si="153"/>
        <v>531</v>
      </c>
      <c r="AJ550" s="254" t="str">
        <f t="shared" ca="1" si="154"/>
        <v>531</v>
      </c>
      <c r="AK550" s="351"/>
    </row>
    <row r="551" spans="1:37">
      <c r="A551" s="74">
        <v>532</v>
      </c>
      <c r="B551" s="252"/>
      <c r="C551" s="293" t="str">
        <f t="shared" si="155"/>
        <v/>
      </c>
      <c r="D551" s="294" t="str">
        <f t="shared" si="156"/>
        <v/>
      </c>
      <c r="E551" s="287"/>
      <c r="F551" s="293" t="str">
        <f t="shared" si="141"/>
        <v/>
      </c>
      <c r="G551" s="294" t="str">
        <f t="shared" si="142"/>
        <v/>
      </c>
      <c r="H551" s="290"/>
      <c r="I551" s="254" t="str">
        <f t="shared" ca="1" si="150"/>
        <v>1</v>
      </c>
      <c r="J551" s="254" t="str">
        <f t="shared" ca="1" si="151"/>
        <v>1</v>
      </c>
      <c r="K551" s="230" t="str">
        <f>IF(Giocatori!B540=0,"",Giocatori!B540)</f>
        <v/>
      </c>
      <c r="L551" s="230" t="str">
        <f>IF(Giocatori!A540=0,"",Giocatori!A540)</f>
        <v/>
      </c>
      <c r="M551" s="230" t="str">
        <f>IF(Giocatori!C540=0,"",Giocatori!C540)</f>
        <v/>
      </c>
      <c r="N551" s="69" t="str">
        <f t="shared" si="143"/>
        <v/>
      </c>
      <c r="O551" t="str">
        <f t="shared" si="144"/>
        <v/>
      </c>
      <c r="P551" s="7">
        <f t="shared" ca="1" si="152"/>
        <v>548</v>
      </c>
      <c r="Q551" s="7" t="str">
        <f t="shared" ca="1" si="145"/>
        <v/>
      </c>
      <c r="Z551" s="256"/>
      <c r="AA551" s="219"/>
      <c r="AB551" s="293" t="str">
        <f t="shared" si="146"/>
        <v/>
      </c>
      <c r="AC551" s="294" t="str">
        <f t="shared" si="147"/>
        <v/>
      </c>
      <c r="AD551" s="219"/>
      <c r="AE551" s="219"/>
      <c r="AF551" s="293" t="str">
        <f>IF(AA551="","",VLOOKUP(AA551,Asta!$B:$H,7,FALSE))</f>
        <v/>
      </c>
      <c r="AG551" s="294" t="str">
        <f t="shared" si="148"/>
        <v/>
      </c>
      <c r="AH551" t="str">
        <f t="shared" si="149"/>
        <v/>
      </c>
      <c r="AI551" s="254" t="str">
        <f t="shared" ca="1" si="153"/>
        <v>532</v>
      </c>
      <c r="AJ551" s="254" t="str">
        <f t="shared" ca="1" si="154"/>
        <v>532</v>
      </c>
      <c r="AK551" s="351"/>
    </row>
    <row r="552" spans="1:37">
      <c r="A552" s="74">
        <v>533</v>
      </c>
      <c r="B552" s="252"/>
      <c r="C552" s="295" t="str">
        <f t="shared" si="155"/>
        <v/>
      </c>
      <c r="D552" s="296" t="str">
        <f t="shared" si="156"/>
        <v/>
      </c>
      <c r="E552" s="287"/>
      <c r="F552" s="295" t="str">
        <f t="shared" si="141"/>
        <v/>
      </c>
      <c r="G552" s="296" t="str">
        <f t="shared" si="142"/>
        <v/>
      </c>
      <c r="H552" s="290"/>
      <c r="I552" s="254" t="str">
        <f t="shared" ca="1" si="150"/>
        <v>1</v>
      </c>
      <c r="J552" s="254" t="str">
        <f t="shared" ca="1" si="151"/>
        <v>1</v>
      </c>
      <c r="K552" s="230" t="str">
        <f>IF(Giocatori!B541=0,"",Giocatori!B541)</f>
        <v/>
      </c>
      <c r="L552" s="230" t="str">
        <f>IF(Giocatori!A541=0,"",Giocatori!A541)</f>
        <v/>
      </c>
      <c r="M552" s="230" t="str">
        <f>IF(Giocatori!C541=0,"",Giocatori!C541)</f>
        <v/>
      </c>
      <c r="N552" s="69" t="str">
        <f t="shared" si="143"/>
        <v/>
      </c>
      <c r="O552" t="str">
        <f t="shared" si="144"/>
        <v/>
      </c>
      <c r="P552" s="7">
        <f t="shared" ca="1" si="152"/>
        <v>548</v>
      </c>
      <c r="Q552" s="7" t="str">
        <f t="shared" ca="1" si="145"/>
        <v/>
      </c>
      <c r="Z552" s="256"/>
      <c r="AA552" s="219"/>
      <c r="AB552" s="295" t="str">
        <f t="shared" si="146"/>
        <v/>
      </c>
      <c r="AC552" s="296" t="str">
        <f t="shared" si="147"/>
        <v/>
      </c>
      <c r="AD552" s="219"/>
      <c r="AE552" s="219"/>
      <c r="AF552" s="295" t="str">
        <f>IF(AA552="","",VLOOKUP(AA552,Asta!$B:$H,7,FALSE))</f>
        <v/>
      </c>
      <c r="AG552" s="296" t="str">
        <f t="shared" si="148"/>
        <v/>
      </c>
      <c r="AH552" t="str">
        <f t="shared" si="149"/>
        <v/>
      </c>
      <c r="AI552" s="254" t="str">
        <f t="shared" ca="1" si="153"/>
        <v>533</v>
      </c>
      <c r="AJ552" s="254" t="str">
        <f t="shared" ca="1" si="154"/>
        <v>533</v>
      </c>
      <c r="AK552" s="351"/>
    </row>
    <row r="553" spans="1:37">
      <c r="A553" s="74">
        <v>534</v>
      </c>
      <c r="B553" s="252"/>
      <c r="C553" s="295" t="str">
        <f t="shared" si="155"/>
        <v/>
      </c>
      <c r="D553" s="296" t="str">
        <f t="shared" si="156"/>
        <v/>
      </c>
      <c r="E553" s="287"/>
      <c r="F553" s="295" t="str">
        <f t="shared" si="141"/>
        <v/>
      </c>
      <c r="G553" s="296" t="str">
        <f t="shared" si="142"/>
        <v/>
      </c>
      <c r="H553" s="290"/>
      <c r="I553" s="254" t="str">
        <f t="shared" ca="1" si="150"/>
        <v>1</v>
      </c>
      <c r="J553" s="254" t="str">
        <f t="shared" ca="1" si="151"/>
        <v>1</v>
      </c>
      <c r="K553" s="230" t="str">
        <f>IF(Giocatori!B542=0,"",Giocatori!B542)</f>
        <v/>
      </c>
      <c r="L553" s="230" t="str">
        <f>IF(Giocatori!A542=0,"",Giocatori!A542)</f>
        <v/>
      </c>
      <c r="M553" s="230" t="str">
        <f>IF(Giocatori!C542=0,"",Giocatori!C542)</f>
        <v/>
      </c>
      <c r="N553" s="69" t="str">
        <f t="shared" si="143"/>
        <v/>
      </c>
      <c r="O553" t="str">
        <f t="shared" si="144"/>
        <v/>
      </c>
      <c r="P553" s="7">
        <f t="shared" ca="1" si="152"/>
        <v>548</v>
      </c>
      <c r="Q553" s="7" t="str">
        <f t="shared" ca="1" si="145"/>
        <v/>
      </c>
      <c r="Z553" s="256"/>
      <c r="AA553" s="219"/>
      <c r="AB553" s="295" t="str">
        <f t="shared" si="146"/>
        <v/>
      </c>
      <c r="AC553" s="296" t="str">
        <f t="shared" si="147"/>
        <v/>
      </c>
      <c r="AD553" s="219"/>
      <c r="AE553" s="219"/>
      <c r="AF553" s="295" t="str">
        <f>IF(AA553="","",VLOOKUP(AA553,Asta!$B:$H,7,FALSE))</f>
        <v/>
      </c>
      <c r="AG553" s="296" t="str">
        <f t="shared" si="148"/>
        <v/>
      </c>
      <c r="AH553" t="str">
        <f t="shared" si="149"/>
        <v/>
      </c>
      <c r="AI553" s="254" t="str">
        <f t="shared" ca="1" si="153"/>
        <v>534</v>
      </c>
      <c r="AJ553" s="254" t="str">
        <f t="shared" ca="1" si="154"/>
        <v>534</v>
      </c>
      <c r="AK553" s="351"/>
    </row>
    <row r="554" spans="1:37">
      <c r="A554" s="74">
        <v>535</v>
      </c>
      <c r="B554" s="252"/>
      <c r="C554" s="295" t="str">
        <f t="shared" si="155"/>
        <v/>
      </c>
      <c r="D554" s="296" t="str">
        <f t="shared" si="156"/>
        <v/>
      </c>
      <c r="E554" s="287"/>
      <c r="F554" s="295" t="str">
        <f t="shared" si="141"/>
        <v/>
      </c>
      <c r="G554" s="296" t="str">
        <f t="shared" si="142"/>
        <v/>
      </c>
      <c r="H554" s="290"/>
      <c r="I554" s="254" t="str">
        <f t="shared" ca="1" si="150"/>
        <v>1</v>
      </c>
      <c r="J554" s="254" t="str">
        <f t="shared" ca="1" si="151"/>
        <v>1</v>
      </c>
      <c r="K554" s="230" t="str">
        <f>IF(Giocatori!B543=0,"",Giocatori!B543)</f>
        <v/>
      </c>
      <c r="L554" s="230" t="str">
        <f>IF(Giocatori!A543=0,"",Giocatori!A543)</f>
        <v/>
      </c>
      <c r="M554" s="230" t="str">
        <f>IF(Giocatori!C543=0,"",Giocatori!C543)</f>
        <v/>
      </c>
      <c r="N554" s="69" t="str">
        <f t="shared" si="143"/>
        <v/>
      </c>
      <c r="O554" t="str">
        <f t="shared" si="144"/>
        <v/>
      </c>
      <c r="P554" s="7">
        <f t="shared" ca="1" si="152"/>
        <v>548</v>
      </c>
      <c r="Q554" s="7" t="str">
        <f t="shared" ca="1" si="145"/>
        <v/>
      </c>
      <c r="Z554" s="256"/>
      <c r="AA554" s="219"/>
      <c r="AB554" s="295" t="str">
        <f t="shared" si="146"/>
        <v/>
      </c>
      <c r="AC554" s="296" t="str">
        <f t="shared" si="147"/>
        <v/>
      </c>
      <c r="AD554" s="219"/>
      <c r="AE554" s="219"/>
      <c r="AF554" s="295" t="str">
        <f>IF(AA554="","",VLOOKUP(AA554,Asta!$B:$H,7,FALSE))</f>
        <v/>
      </c>
      <c r="AG554" s="296" t="str">
        <f t="shared" si="148"/>
        <v/>
      </c>
      <c r="AH554" t="str">
        <f t="shared" si="149"/>
        <v/>
      </c>
      <c r="AI554" s="254" t="str">
        <f t="shared" ca="1" si="153"/>
        <v>535</v>
      </c>
      <c r="AJ554" s="254" t="str">
        <f t="shared" ca="1" si="154"/>
        <v>535</v>
      </c>
      <c r="AK554" s="351"/>
    </row>
    <row r="555" spans="1:37">
      <c r="A555" s="74">
        <v>536</v>
      </c>
      <c r="B555" s="252"/>
      <c r="C555" s="295" t="str">
        <f t="shared" si="155"/>
        <v/>
      </c>
      <c r="D555" s="296" t="str">
        <f t="shared" si="156"/>
        <v/>
      </c>
      <c r="E555" s="287"/>
      <c r="F555" s="295" t="str">
        <f t="shared" si="141"/>
        <v/>
      </c>
      <c r="G555" s="296" t="str">
        <f t="shared" si="142"/>
        <v/>
      </c>
      <c r="H555" s="290"/>
      <c r="I555" s="254" t="str">
        <f t="shared" ca="1" si="150"/>
        <v>1</v>
      </c>
      <c r="J555" s="254" t="str">
        <f t="shared" ca="1" si="151"/>
        <v>1</v>
      </c>
      <c r="K555" s="230" t="str">
        <f>IF(Giocatori!B544=0,"",Giocatori!B544)</f>
        <v/>
      </c>
      <c r="L555" s="230" t="str">
        <f>IF(Giocatori!A544=0,"",Giocatori!A544)</f>
        <v/>
      </c>
      <c r="M555" s="230" t="str">
        <f>IF(Giocatori!C544=0,"",Giocatori!C544)</f>
        <v/>
      </c>
      <c r="N555" s="69" t="str">
        <f t="shared" si="143"/>
        <v/>
      </c>
      <c r="O555" t="str">
        <f t="shared" si="144"/>
        <v/>
      </c>
      <c r="P555" s="7">
        <f t="shared" ca="1" si="152"/>
        <v>548</v>
      </c>
      <c r="Q555" s="7" t="str">
        <f t="shared" ca="1" si="145"/>
        <v/>
      </c>
      <c r="Z555" s="256"/>
      <c r="AA555" s="219"/>
      <c r="AB555" s="295" t="str">
        <f t="shared" si="146"/>
        <v/>
      </c>
      <c r="AC555" s="296" t="str">
        <f t="shared" si="147"/>
        <v/>
      </c>
      <c r="AD555" s="219"/>
      <c r="AE555" s="219"/>
      <c r="AF555" s="295" t="str">
        <f>IF(AA555="","",VLOOKUP(AA555,Asta!$B:$H,7,FALSE))</f>
        <v/>
      </c>
      <c r="AG555" s="296" t="str">
        <f t="shared" si="148"/>
        <v/>
      </c>
      <c r="AH555" t="str">
        <f t="shared" si="149"/>
        <v/>
      </c>
      <c r="AI555" s="254" t="str">
        <f t="shared" ca="1" si="153"/>
        <v>536</v>
      </c>
      <c r="AJ555" s="254" t="str">
        <f t="shared" ca="1" si="154"/>
        <v>536</v>
      </c>
      <c r="AK555" s="351"/>
    </row>
    <row r="556" spans="1:37">
      <c r="A556" s="74">
        <v>537</v>
      </c>
      <c r="B556" s="252"/>
      <c r="C556" s="295" t="str">
        <f t="shared" si="155"/>
        <v/>
      </c>
      <c r="D556" s="296" t="str">
        <f t="shared" si="156"/>
        <v/>
      </c>
      <c r="E556" s="287"/>
      <c r="F556" s="295" t="str">
        <f t="shared" si="141"/>
        <v/>
      </c>
      <c r="G556" s="296" t="str">
        <f t="shared" si="142"/>
        <v/>
      </c>
      <c r="H556" s="290"/>
      <c r="I556" s="254" t="str">
        <f t="shared" ca="1" si="150"/>
        <v>1</v>
      </c>
      <c r="J556" s="254" t="str">
        <f t="shared" ca="1" si="151"/>
        <v>1</v>
      </c>
      <c r="K556" s="230" t="str">
        <f>IF(Giocatori!B545=0,"",Giocatori!B545)</f>
        <v/>
      </c>
      <c r="L556" s="230" t="str">
        <f>IF(Giocatori!A545=0,"",Giocatori!A545)</f>
        <v/>
      </c>
      <c r="M556" s="230" t="str">
        <f>IF(Giocatori!C545=0,"",Giocatori!C545)</f>
        <v/>
      </c>
      <c r="N556" s="69" t="str">
        <f t="shared" si="143"/>
        <v/>
      </c>
      <c r="O556" t="str">
        <f t="shared" si="144"/>
        <v/>
      </c>
      <c r="P556" s="7">
        <f t="shared" ca="1" si="152"/>
        <v>548</v>
      </c>
      <c r="Q556" s="7" t="str">
        <f t="shared" ca="1" si="145"/>
        <v/>
      </c>
      <c r="Z556" s="256"/>
      <c r="AA556" s="219"/>
      <c r="AB556" s="295" t="str">
        <f t="shared" si="146"/>
        <v/>
      </c>
      <c r="AC556" s="296" t="str">
        <f t="shared" si="147"/>
        <v/>
      </c>
      <c r="AD556" s="219"/>
      <c r="AE556" s="219"/>
      <c r="AF556" s="295" t="str">
        <f>IF(AA556="","",VLOOKUP(AA556,Asta!$B:$H,7,FALSE))</f>
        <v/>
      </c>
      <c r="AG556" s="296" t="str">
        <f t="shared" si="148"/>
        <v/>
      </c>
      <c r="AH556" t="str">
        <f t="shared" si="149"/>
        <v/>
      </c>
      <c r="AI556" s="254" t="str">
        <f t="shared" ca="1" si="153"/>
        <v>537</v>
      </c>
      <c r="AJ556" s="254" t="str">
        <f t="shared" ca="1" si="154"/>
        <v>537</v>
      </c>
      <c r="AK556" s="351"/>
    </row>
    <row r="557" spans="1:37">
      <c r="A557" s="74">
        <v>538</v>
      </c>
      <c r="B557" s="252"/>
      <c r="C557" s="295" t="str">
        <f t="shared" si="155"/>
        <v/>
      </c>
      <c r="D557" s="296" t="str">
        <f t="shared" si="156"/>
        <v/>
      </c>
      <c r="E557" s="287"/>
      <c r="F557" s="295" t="str">
        <f t="shared" si="141"/>
        <v/>
      </c>
      <c r="G557" s="296" t="str">
        <f t="shared" si="142"/>
        <v/>
      </c>
      <c r="H557" s="290"/>
      <c r="I557" s="254" t="str">
        <f t="shared" ca="1" si="150"/>
        <v>1</v>
      </c>
      <c r="J557" s="254" t="str">
        <f t="shared" ca="1" si="151"/>
        <v>1</v>
      </c>
      <c r="K557" s="230" t="str">
        <f>IF(Giocatori!B546=0,"",Giocatori!B546)</f>
        <v/>
      </c>
      <c r="L557" s="230" t="str">
        <f>IF(Giocatori!A546=0,"",Giocatori!A546)</f>
        <v/>
      </c>
      <c r="M557" s="230" t="str">
        <f>IF(Giocatori!C546=0,"",Giocatori!C546)</f>
        <v/>
      </c>
      <c r="N557" s="69" t="str">
        <f t="shared" si="143"/>
        <v/>
      </c>
      <c r="O557" t="str">
        <f t="shared" si="144"/>
        <v/>
      </c>
      <c r="P557" s="7">
        <f t="shared" ca="1" si="152"/>
        <v>548</v>
      </c>
      <c r="Q557" s="7" t="str">
        <f t="shared" ca="1" si="145"/>
        <v/>
      </c>
      <c r="Z557" s="256"/>
      <c r="AA557" s="219"/>
      <c r="AB557" s="295" t="str">
        <f t="shared" si="146"/>
        <v/>
      </c>
      <c r="AC557" s="296" t="str">
        <f t="shared" si="147"/>
        <v/>
      </c>
      <c r="AD557" s="219"/>
      <c r="AE557" s="219"/>
      <c r="AF557" s="295" t="str">
        <f>IF(AA557="","",VLOOKUP(AA557,Asta!$B:$H,7,FALSE))</f>
        <v/>
      </c>
      <c r="AG557" s="296" t="str">
        <f t="shared" si="148"/>
        <v/>
      </c>
      <c r="AH557" t="str">
        <f t="shared" si="149"/>
        <v/>
      </c>
      <c r="AI557" s="254" t="str">
        <f t="shared" ca="1" si="153"/>
        <v>538</v>
      </c>
      <c r="AJ557" s="254" t="str">
        <f t="shared" ca="1" si="154"/>
        <v>538</v>
      </c>
      <c r="AK557" s="351"/>
    </row>
    <row r="558" spans="1:37">
      <c r="A558" s="74">
        <v>539</v>
      </c>
      <c r="B558" s="252"/>
      <c r="C558" s="293" t="str">
        <f t="shared" si="155"/>
        <v/>
      </c>
      <c r="D558" s="294" t="str">
        <f t="shared" si="156"/>
        <v/>
      </c>
      <c r="E558" s="287"/>
      <c r="F558" s="293" t="str">
        <f t="shared" si="141"/>
        <v/>
      </c>
      <c r="G558" s="294" t="str">
        <f t="shared" si="142"/>
        <v/>
      </c>
      <c r="H558" s="290"/>
      <c r="I558" s="254" t="str">
        <f t="shared" ca="1" si="150"/>
        <v>1</v>
      </c>
      <c r="J558" s="254" t="str">
        <f t="shared" ca="1" si="151"/>
        <v>1</v>
      </c>
      <c r="K558" s="230" t="str">
        <f>IF(Giocatori!B547=0,"",Giocatori!B547)</f>
        <v/>
      </c>
      <c r="L558" s="230" t="str">
        <f>IF(Giocatori!A547=0,"",Giocatori!A547)</f>
        <v/>
      </c>
      <c r="M558" s="230" t="str">
        <f>IF(Giocatori!C547=0,"",Giocatori!C547)</f>
        <v/>
      </c>
      <c r="N558" s="69" t="str">
        <f t="shared" si="143"/>
        <v/>
      </c>
      <c r="O558" t="str">
        <f t="shared" si="144"/>
        <v/>
      </c>
      <c r="P558" s="7">
        <f t="shared" ca="1" si="152"/>
        <v>548</v>
      </c>
      <c r="Q558" s="7" t="str">
        <f t="shared" ca="1" si="145"/>
        <v/>
      </c>
      <c r="Z558" s="256"/>
      <c r="AA558" s="219"/>
      <c r="AB558" s="293" t="str">
        <f t="shared" si="146"/>
        <v/>
      </c>
      <c r="AC558" s="294" t="str">
        <f t="shared" si="147"/>
        <v/>
      </c>
      <c r="AD558" s="219"/>
      <c r="AE558" s="219"/>
      <c r="AF558" s="293" t="str">
        <f>IF(AA558="","",VLOOKUP(AA558,Asta!$B:$H,7,FALSE))</f>
        <v/>
      </c>
      <c r="AG558" s="294" t="str">
        <f t="shared" si="148"/>
        <v/>
      </c>
      <c r="AH558" t="str">
        <f t="shared" si="149"/>
        <v/>
      </c>
      <c r="AI558" s="254" t="str">
        <f t="shared" ca="1" si="153"/>
        <v>539</v>
      </c>
      <c r="AJ558" s="254" t="str">
        <f t="shared" ca="1" si="154"/>
        <v>539</v>
      </c>
      <c r="AK558" s="351"/>
    </row>
    <row r="559" spans="1:37">
      <c r="A559" s="74">
        <v>540</v>
      </c>
      <c r="B559" s="252"/>
      <c r="C559" s="295" t="str">
        <f t="shared" si="155"/>
        <v/>
      </c>
      <c r="D559" s="296" t="str">
        <f t="shared" si="156"/>
        <v/>
      </c>
      <c r="E559" s="287"/>
      <c r="F559" s="295" t="str">
        <f t="shared" si="141"/>
        <v/>
      </c>
      <c r="G559" s="296" t="str">
        <f t="shared" si="142"/>
        <v/>
      </c>
      <c r="H559" s="290"/>
      <c r="I559" s="254" t="str">
        <f t="shared" ca="1" si="150"/>
        <v>1</v>
      </c>
      <c r="J559" s="254" t="str">
        <f t="shared" ca="1" si="151"/>
        <v>1</v>
      </c>
      <c r="K559" s="230" t="str">
        <f>IF(Giocatori!B548=0,"",Giocatori!B548)</f>
        <v/>
      </c>
      <c r="L559" s="230" t="str">
        <f>IF(Giocatori!A548=0,"",Giocatori!A548)</f>
        <v/>
      </c>
      <c r="M559" s="230" t="str">
        <f>IF(Giocatori!C548=0,"",Giocatori!C548)</f>
        <v/>
      </c>
      <c r="N559" s="69" t="str">
        <f t="shared" si="143"/>
        <v/>
      </c>
      <c r="O559" t="str">
        <f t="shared" si="144"/>
        <v/>
      </c>
      <c r="P559" s="7">
        <f t="shared" ca="1" si="152"/>
        <v>548</v>
      </c>
      <c r="Q559" s="7" t="str">
        <f t="shared" ca="1" si="145"/>
        <v/>
      </c>
      <c r="Z559" s="256"/>
      <c r="AA559" s="219"/>
      <c r="AB559" s="295" t="str">
        <f t="shared" si="146"/>
        <v/>
      </c>
      <c r="AC559" s="296" t="str">
        <f t="shared" si="147"/>
        <v/>
      </c>
      <c r="AD559" s="219"/>
      <c r="AE559" s="219"/>
      <c r="AF559" s="295" t="str">
        <f>IF(AA559="","",VLOOKUP(AA559,Asta!$B:$H,7,FALSE))</f>
        <v/>
      </c>
      <c r="AG559" s="296" t="str">
        <f t="shared" si="148"/>
        <v/>
      </c>
      <c r="AH559" t="str">
        <f t="shared" si="149"/>
        <v/>
      </c>
      <c r="AI559" s="254" t="str">
        <f t="shared" ca="1" si="153"/>
        <v>540</v>
      </c>
      <c r="AJ559" s="254" t="str">
        <f t="shared" ca="1" si="154"/>
        <v>540</v>
      </c>
      <c r="AK559" s="351"/>
    </row>
    <row r="560" spans="1:37">
      <c r="A560" s="74">
        <v>541</v>
      </c>
      <c r="B560" s="252"/>
      <c r="C560" s="295" t="str">
        <f t="shared" si="155"/>
        <v/>
      </c>
      <c r="D560" s="296" t="str">
        <f t="shared" si="156"/>
        <v/>
      </c>
      <c r="E560" s="287"/>
      <c r="F560" s="295" t="str">
        <f t="shared" si="141"/>
        <v/>
      </c>
      <c r="G560" s="296" t="str">
        <f t="shared" si="142"/>
        <v/>
      </c>
      <c r="H560" s="290"/>
      <c r="I560" s="254" t="str">
        <f t="shared" ca="1" si="150"/>
        <v>1</v>
      </c>
      <c r="J560" s="254" t="str">
        <f t="shared" ca="1" si="151"/>
        <v>1</v>
      </c>
      <c r="K560" s="230" t="str">
        <f>IF(Giocatori!B549=0,"",Giocatori!B549)</f>
        <v/>
      </c>
      <c r="L560" s="230" t="str">
        <f>IF(Giocatori!A549=0,"",Giocatori!A549)</f>
        <v/>
      </c>
      <c r="M560" s="230" t="str">
        <f>IF(Giocatori!C549=0,"",Giocatori!C549)</f>
        <v/>
      </c>
      <c r="N560" s="69" t="str">
        <f t="shared" si="143"/>
        <v/>
      </c>
      <c r="O560" t="str">
        <f t="shared" si="144"/>
        <v/>
      </c>
      <c r="P560" s="7">
        <f t="shared" ca="1" si="152"/>
        <v>548</v>
      </c>
      <c r="Q560" s="7" t="str">
        <f t="shared" ca="1" si="145"/>
        <v/>
      </c>
      <c r="Z560" s="256"/>
      <c r="AA560" s="219"/>
      <c r="AB560" s="295" t="str">
        <f t="shared" si="146"/>
        <v/>
      </c>
      <c r="AC560" s="296" t="str">
        <f t="shared" si="147"/>
        <v/>
      </c>
      <c r="AD560" s="219"/>
      <c r="AE560" s="219"/>
      <c r="AF560" s="295" t="str">
        <f>IF(AA560="","",VLOOKUP(AA560,Asta!$B:$H,7,FALSE))</f>
        <v/>
      </c>
      <c r="AG560" s="296" t="str">
        <f t="shared" si="148"/>
        <v/>
      </c>
      <c r="AH560" t="str">
        <f t="shared" si="149"/>
        <v/>
      </c>
      <c r="AI560" s="254" t="str">
        <f t="shared" ca="1" si="153"/>
        <v>541</v>
      </c>
      <c r="AJ560" s="254" t="str">
        <f t="shared" ca="1" si="154"/>
        <v>541</v>
      </c>
      <c r="AK560" s="351"/>
    </row>
    <row r="561" spans="1:37">
      <c r="A561" s="74">
        <v>542</v>
      </c>
      <c r="B561" s="252"/>
      <c r="C561" s="295" t="str">
        <f t="shared" si="155"/>
        <v/>
      </c>
      <c r="D561" s="296" t="str">
        <f t="shared" si="156"/>
        <v/>
      </c>
      <c r="E561" s="287"/>
      <c r="F561" s="295" t="str">
        <f t="shared" si="141"/>
        <v/>
      </c>
      <c r="G561" s="296" t="str">
        <f t="shared" si="142"/>
        <v/>
      </c>
      <c r="H561" s="290"/>
      <c r="I561" s="254" t="str">
        <f t="shared" ca="1" si="150"/>
        <v>1</v>
      </c>
      <c r="J561" s="254" t="str">
        <f t="shared" ca="1" si="151"/>
        <v>1</v>
      </c>
      <c r="K561" s="230" t="str">
        <f>IF(Giocatori!B550=0,"",Giocatori!B550)</f>
        <v/>
      </c>
      <c r="L561" s="230" t="str">
        <f>IF(Giocatori!A550=0,"",Giocatori!A550)</f>
        <v/>
      </c>
      <c r="M561" s="230" t="str">
        <f>IF(Giocatori!C550=0,"",Giocatori!C550)</f>
        <v/>
      </c>
      <c r="N561" s="69" t="str">
        <f t="shared" si="143"/>
        <v/>
      </c>
      <c r="O561" t="str">
        <f t="shared" si="144"/>
        <v/>
      </c>
      <c r="P561" s="7">
        <f t="shared" ca="1" si="152"/>
        <v>548</v>
      </c>
      <c r="Q561" s="7" t="str">
        <f t="shared" ca="1" si="145"/>
        <v/>
      </c>
      <c r="Z561" s="256"/>
      <c r="AA561" s="219"/>
      <c r="AB561" s="295" t="str">
        <f t="shared" si="146"/>
        <v/>
      </c>
      <c r="AC561" s="296" t="str">
        <f t="shared" si="147"/>
        <v/>
      </c>
      <c r="AD561" s="219"/>
      <c r="AE561" s="219"/>
      <c r="AF561" s="295" t="str">
        <f>IF(AA561="","",VLOOKUP(AA561,Asta!$B:$H,7,FALSE))</f>
        <v/>
      </c>
      <c r="AG561" s="296" t="str">
        <f t="shared" si="148"/>
        <v/>
      </c>
      <c r="AH561" t="str">
        <f t="shared" si="149"/>
        <v/>
      </c>
      <c r="AI561" s="254" t="str">
        <f t="shared" ca="1" si="153"/>
        <v>542</v>
      </c>
      <c r="AJ561" s="254" t="str">
        <f t="shared" ca="1" si="154"/>
        <v>542</v>
      </c>
      <c r="AK561" s="351"/>
    </row>
    <row r="562" spans="1:37">
      <c r="A562" s="74">
        <v>543</v>
      </c>
      <c r="B562" s="252"/>
      <c r="C562" s="295" t="str">
        <f t="shared" si="155"/>
        <v/>
      </c>
      <c r="D562" s="296" t="str">
        <f t="shared" si="156"/>
        <v/>
      </c>
      <c r="E562" s="287"/>
      <c r="F562" s="295" t="str">
        <f t="shared" si="141"/>
        <v/>
      </c>
      <c r="G562" s="296" t="str">
        <f t="shared" si="142"/>
        <v/>
      </c>
      <c r="H562" s="290"/>
      <c r="I562" s="254" t="str">
        <f t="shared" ca="1" si="150"/>
        <v>1</v>
      </c>
      <c r="J562" s="254" t="str">
        <f t="shared" ca="1" si="151"/>
        <v>1</v>
      </c>
      <c r="K562" s="230" t="str">
        <f>IF(Giocatori!B551=0,"",Giocatori!B551)</f>
        <v/>
      </c>
      <c r="L562" s="230" t="str">
        <f>IF(Giocatori!A551=0,"",Giocatori!A551)</f>
        <v/>
      </c>
      <c r="M562" s="230" t="str">
        <f>IF(Giocatori!C551=0,"",Giocatori!C551)</f>
        <v/>
      </c>
      <c r="N562" s="69" t="str">
        <f t="shared" si="143"/>
        <v/>
      </c>
      <c r="O562" t="str">
        <f t="shared" si="144"/>
        <v/>
      </c>
      <c r="P562" s="7">
        <f t="shared" ca="1" si="152"/>
        <v>548</v>
      </c>
      <c r="Q562" s="7" t="str">
        <f t="shared" ca="1" si="145"/>
        <v/>
      </c>
      <c r="Z562" s="256"/>
      <c r="AA562" s="219"/>
      <c r="AB562" s="295" t="str">
        <f t="shared" si="146"/>
        <v/>
      </c>
      <c r="AC562" s="296" t="str">
        <f t="shared" si="147"/>
        <v/>
      </c>
      <c r="AD562" s="219"/>
      <c r="AE562" s="219"/>
      <c r="AF562" s="295" t="str">
        <f>IF(AA562="","",VLOOKUP(AA562,Asta!$B:$H,7,FALSE))</f>
        <v/>
      </c>
      <c r="AG562" s="296" t="str">
        <f t="shared" si="148"/>
        <v/>
      </c>
      <c r="AH562" t="str">
        <f t="shared" si="149"/>
        <v/>
      </c>
      <c r="AI562" s="254" t="str">
        <f t="shared" ca="1" si="153"/>
        <v>543</v>
      </c>
      <c r="AJ562" s="254" t="str">
        <f t="shared" ca="1" si="154"/>
        <v>543</v>
      </c>
      <c r="AK562" s="351"/>
    </row>
    <row r="563" spans="1:37">
      <c r="A563" s="74">
        <v>544</v>
      </c>
      <c r="B563" s="252"/>
      <c r="C563" s="295" t="str">
        <f t="shared" si="155"/>
        <v/>
      </c>
      <c r="D563" s="296" t="str">
        <f t="shared" si="156"/>
        <v/>
      </c>
      <c r="E563" s="287"/>
      <c r="F563" s="295" t="str">
        <f t="shared" si="141"/>
        <v/>
      </c>
      <c r="G563" s="296" t="str">
        <f t="shared" si="142"/>
        <v/>
      </c>
      <c r="H563" s="290"/>
      <c r="I563" s="254" t="str">
        <f t="shared" ca="1" si="150"/>
        <v>1</v>
      </c>
      <c r="J563" s="254" t="str">
        <f t="shared" ca="1" si="151"/>
        <v>1</v>
      </c>
      <c r="K563" s="230" t="str">
        <f>IF(Giocatori!B552=0,"",Giocatori!B552)</f>
        <v/>
      </c>
      <c r="L563" s="230" t="str">
        <f>IF(Giocatori!A552=0,"",Giocatori!A552)</f>
        <v/>
      </c>
      <c r="M563" s="230" t="str">
        <f>IF(Giocatori!C552=0,"",Giocatori!C552)</f>
        <v/>
      </c>
      <c r="N563" s="69" t="str">
        <f t="shared" si="143"/>
        <v/>
      </c>
      <c r="O563" t="str">
        <f t="shared" si="144"/>
        <v/>
      </c>
      <c r="P563" s="7">
        <f t="shared" ca="1" si="152"/>
        <v>548</v>
      </c>
      <c r="Q563" s="7" t="str">
        <f t="shared" ca="1" si="145"/>
        <v/>
      </c>
      <c r="Z563" s="256"/>
      <c r="AA563" s="219"/>
      <c r="AB563" s="295" t="str">
        <f t="shared" si="146"/>
        <v/>
      </c>
      <c r="AC563" s="296" t="str">
        <f t="shared" si="147"/>
        <v/>
      </c>
      <c r="AD563" s="219"/>
      <c r="AE563" s="219"/>
      <c r="AF563" s="295" t="str">
        <f>IF(AA563="","",VLOOKUP(AA563,Asta!$B:$H,7,FALSE))</f>
        <v/>
      </c>
      <c r="AG563" s="296" t="str">
        <f t="shared" si="148"/>
        <v/>
      </c>
      <c r="AH563" t="str">
        <f t="shared" si="149"/>
        <v/>
      </c>
      <c r="AI563" s="254" t="str">
        <f t="shared" ca="1" si="153"/>
        <v>544</v>
      </c>
      <c r="AJ563" s="254" t="str">
        <f t="shared" ca="1" si="154"/>
        <v>544</v>
      </c>
      <c r="AK563" s="351"/>
    </row>
    <row r="564" spans="1:37">
      <c r="A564" s="74">
        <v>545</v>
      </c>
      <c r="B564" s="252"/>
      <c r="C564" s="293" t="str">
        <f t="shared" si="155"/>
        <v/>
      </c>
      <c r="D564" s="294" t="str">
        <f t="shared" si="156"/>
        <v/>
      </c>
      <c r="E564" s="287"/>
      <c r="F564" s="293" t="str">
        <f t="shared" si="141"/>
        <v/>
      </c>
      <c r="G564" s="294" t="str">
        <f t="shared" si="142"/>
        <v/>
      </c>
      <c r="H564" s="290"/>
      <c r="I564" s="254" t="str">
        <f t="shared" ca="1" si="150"/>
        <v>1</v>
      </c>
      <c r="J564" s="254" t="str">
        <f t="shared" ca="1" si="151"/>
        <v>1</v>
      </c>
      <c r="K564" s="230" t="str">
        <f>IF(Giocatori!B553=0,"",Giocatori!B553)</f>
        <v/>
      </c>
      <c r="L564" s="230" t="str">
        <f>IF(Giocatori!A553=0,"",Giocatori!A553)</f>
        <v/>
      </c>
      <c r="M564" s="230" t="str">
        <f>IF(Giocatori!C553=0,"",Giocatori!C553)</f>
        <v/>
      </c>
      <c r="N564" s="69" t="str">
        <f t="shared" si="143"/>
        <v/>
      </c>
      <c r="O564" t="str">
        <f t="shared" si="144"/>
        <v/>
      </c>
      <c r="P564" s="7">
        <f t="shared" ca="1" si="152"/>
        <v>548</v>
      </c>
      <c r="Q564" s="7" t="str">
        <f t="shared" ca="1" si="145"/>
        <v/>
      </c>
      <c r="Z564" s="256"/>
      <c r="AA564" s="219"/>
      <c r="AB564" s="293" t="str">
        <f t="shared" si="146"/>
        <v/>
      </c>
      <c r="AC564" s="294" t="str">
        <f t="shared" si="147"/>
        <v/>
      </c>
      <c r="AD564" s="219"/>
      <c r="AE564" s="219"/>
      <c r="AF564" s="293" t="str">
        <f>IF(AA564="","",VLOOKUP(AA564,Asta!$B:$H,7,FALSE))</f>
        <v/>
      </c>
      <c r="AG564" s="294" t="str">
        <f t="shared" si="148"/>
        <v/>
      </c>
      <c r="AH564" t="str">
        <f t="shared" si="149"/>
        <v/>
      </c>
      <c r="AI564" s="254" t="str">
        <f t="shared" ca="1" si="153"/>
        <v>545</v>
      </c>
      <c r="AJ564" s="254" t="str">
        <f t="shared" ca="1" si="154"/>
        <v>545</v>
      </c>
      <c r="AK564" s="351"/>
    </row>
    <row r="565" spans="1:37">
      <c r="A565" s="74">
        <v>546</v>
      </c>
      <c r="B565" s="252"/>
      <c r="C565" s="295" t="str">
        <f t="shared" si="155"/>
        <v/>
      </c>
      <c r="D565" s="296" t="str">
        <f t="shared" si="156"/>
        <v/>
      </c>
      <c r="E565" s="287"/>
      <c r="F565" s="295" t="str">
        <f t="shared" si="141"/>
        <v/>
      </c>
      <c r="G565" s="296" t="str">
        <f t="shared" si="142"/>
        <v/>
      </c>
      <c r="H565" s="290"/>
      <c r="I565" s="254" t="str">
        <f t="shared" ca="1" si="150"/>
        <v>1</v>
      </c>
      <c r="J565" s="254" t="str">
        <f t="shared" ca="1" si="151"/>
        <v>1</v>
      </c>
      <c r="K565" s="230" t="str">
        <f>IF(Giocatori!B554=0,"",Giocatori!B554)</f>
        <v/>
      </c>
      <c r="L565" s="230" t="str">
        <f>IF(Giocatori!A554=0,"",Giocatori!A554)</f>
        <v/>
      </c>
      <c r="M565" s="230" t="str">
        <f>IF(Giocatori!C554=0,"",Giocatori!C554)</f>
        <v/>
      </c>
      <c r="N565" s="69" t="str">
        <f t="shared" si="143"/>
        <v/>
      </c>
      <c r="O565" t="str">
        <f t="shared" si="144"/>
        <v/>
      </c>
      <c r="P565" s="7">
        <f t="shared" ca="1" si="152"/>
        <v>548</v>
      </c>
      <c r="Q565" s="7" t="str">
        <f t="shared" ca="1" si="145"/>
        <v/>
      </c>
      <c r="Z565" s="256"/>
      <c r="AA565" s="219"/>
      <c r="AB565" s="295" t="str">
        <f t="shared" si="146"/>
        <v/>
      </c>
      <c r="AC565" s="296" t="str">
        <f t="shared" si="147"/>
        <v/>
      </c>
      <c r="AD565" s="219"/>
      <c r="AE565" s="219"/>
      <c r="AF565" s="295" t="str">
        <f>IF(AA565="","",VLOOKUP(AA565,Asta!$B:$H,7,FALSE))</f>
        <v/>
      </c>
      <c r="AG565" s="296" t="str">
        <f t="shared" si="148"/>
        <v/>
      </c>
      <c r="AH565" t="str">
        <f t="shared" si="149"/>
        <v/>
      </c>
      <c r="AI565" s="254" t="str">
        <f t="shared" ca="1" si="153"/>
        <v>546</v>
      </c>
      <c r="AJ565" s="254" t="str">
        <f t="shared" ca="1" si="154"/>
        <v>546</v>
      </c>
      <c r="AK565" s="351"/>
    </row>
    <row r="566" spans="1:37">
      <c r="A566" s="74">
        <v>547</v>
      </c>
      <c r="B566" s="252"/>
      <c r="C566" s="295" t="str">
        <f t="shared" si="155"/>
        <v/>
      </c>
      <c r="D566" s="296" t="str">
        <f t="shared" si="156"/>
        <v/>
      </c>
      <c r="E566" s="287"/>
      <c r="F566" s="295" t="str">
        <f t="shared" si="141"/>
        <v/>
      </c>
      <c r="G566" s="296" t="str">
        <f t="shared" si="142"/>
        <v/>
      </c>
      <c r="H566" s="290"/>
      <c r="I566" s="254" t="str">
        <f t="shared" ca="1" si="150"/>
        <v>1</v>
      </c>
      <c r="J566" s="254" t="str">
        <f t="shared" ca="1" si="151"/>
        <v>1</v>
      </c>
      <c r="K566" s="230" t="str">
        <f>IF(Giocatori!B555=0,"",Giocatori!B555)</f>
        <v/>
      </c>
      <c r="L566" s="230" t="str">
        <f>IF(Giocatori!A555=0,"",Giocatori!A555)</f>
        <v/>
      </c>
      <c r="M566" s="230" t="str">
        <f>IF(Giocatori!C555=0,"",Giocatori!C555)</f>
        <v/>
      </c>
      <c r="N566" s="69" t="str">
        <f t="shared" si="143"/>
        <v/>
      </c>
      <c r="O566" t="str">
        <f t="shared" si="144"/>
        <v/>
      </c>
      <c r="P566" s="7">
        <f t="shared" ca="1" si="152"/>
        <v>548</v>
      </c>
      <c r="Q566" s="7" t="str">
        <f t="shared" ca="1" si="145"/>
        <v/>
      </c>
      <c r="Z566" s="256"/>
      <c r="AA566" s="219"/>
      <c r="AB566" s="295" t="str">
        <f t="shared" si="146"/>
        <v/>
      </c>
      <c r="AC566" s="296" t="str">
        <f t="shared" si="147"/>
        <v/>
      </c>
      <c r="AD566" s="219"/>
      <c r="AE566" s="219"/>
      <c r="AF566" s="295" t="str">
        <f>IF(AA566="","",VLOOKUP(AA566,Asta!$B:$H,7,FALSE))</f>
        <v/>
      </c>
      <c r="AG566" s="296" t="str">
        <f t="shared" si="148"/>
        <v/>
      </c>
      <c r="AH566" t="str">
        <f t="shared" si="149"/>
        <v/>
      </c>
      <c r="AI566" s="254" t="str">
        <f t="shared" ca="1" si="153"/>
        <v>547</v>
      </c>
      <c r="AJ566" s="254" t="str">
        <f t="shared" ca="1" si="154"/>
        <v>547</v>
      </c>
      <c r="AK566" s="351"/>
    </row>
    <row r="567" spans="1:37">
      <c r="A567" s="74">
        <v>548</v>
      </c>
      <c r="B567" s="252"/>
      <c r="C567" s="295" t="str">
        <f t="shared" si="155"/>
        <v/>
      </c>
      <c r="D567" s="296" t="str">
        <f t="shared" si="156"/>
        <v/>
      </c>
      <c r="E567" s="287"/>
      <c r="F567" s="295" t="str">
        <f t="shared" si="141"/>
        <v/>
      </c>
      <c r="G567" s="296" t="str">
        <f t="shared" si="142"/>
        <v/>
      </c>
      <c r="H567" s="290"/>
      <c r="I567" s="254" t="str">
        <f t="shared" ca="1" si="150"/>
        <v>1</v>
      </c>
      <c r="J567" s="254" t="str">
        <f t="shared" ca="1" si="151"/>
        <v>1</v>
      </c>
      <c r="K567" s="230" t="str">
        <f>IF(Giocatori!B556=0,"",Giocatori!B556)</f>
        <v/>
      </c>
      <c r="L567" s="230" t="str">
        <f>IF(Giocatori!A556=0,"",Giocatori!A556)</f>
        <v/>
      </c>
      <c r="M567" s="230" t="str">
        <f>IF(Giocatori!C556=0,"",Giocatori!C556)</f>
        <v/>
      </c>
      <c r="N567" s="69" t="str">
        <f t="shared" si="143"/>
        <v/>
      </c>
      <c r="O567" t="str">
        <f t="shared" si="144"/>
        <v/>
      </c>
      <c r="P567" s="7">
        <f t="shared" ca="1" si="152"/>
        <v>548</v>
      </c>
      <c r="Q567" s="7" t="str">
        <f t="shared" ca="1" si="145"/>
        <v/>
      </c>
      <c r="Z567" s="256"/>
      <c r="AA567" s="219"/>
      <c r="AB567" s="295" t="str">
        <f t="shared" si="146"/>
        <v/>
      </c>
      <c r="AC567" s="296" t="str">
        <f t="shared" si="147"/>
        <v/>
      </c>
      <c r="AD567" s="219"/>
      <c r="AE567" s="219"/>
      <c r="AF567" s="295" t="str">
        <f>IF(AA567="","",VLOOKUP(AA567,Asta!$B:$H,7,FALSE))</f>
        <v/>
      </c>
      <c r="AG567" s="296" t="str">
        <f t="shared" si="148"/>
        <v/>
      </c>
      <c r="AH567" t="str">
        <f t="shared" si="149"/>
        <v/>
      </c>
      <c r="AI567" s="254" t="str">
        <f t="shared" ca="1" si="153"/>
        <v>548</v>
      </c>
      <c r="AJ567" s="254" t="str">
        <f t="shared" ca="1" si="154"/>
        <v>548</v>
      </c>
      <c r="AK567" s="351"/>
    </row>
    <row r="568" spans="1:37">
      <c r="A568" s="74">
        <v>549</v>
      </c>
      <c r="B568" s="252"/>
      <c r="C568" s="295" t="str">
        <f t="shared" si="155"/>
        <v/>
      </c>
      <c r="D568" s="296" t="str">
        <f t="shared" si="156"/>
        <v/>
      </c>
      <c r="E568" s="287"/>
      <c r="F568" s="295" t="str">
        <f t="shared" si="141"/>
        <v/>
      </c>
      <c r="G568" s="296" t="str">
        <f t="shared" si="142"/>
        <v/>
      </c>
      <c r="H568" s="290"/>
      <c r="I568" s="254" t="str">
        <f t="shared" ca="1" si="150"/>
        <v>1</v>
      </c>
      <c r="J568" s="254" t="str">
        <f t="shared" ca="1" si="151"/>
        <v>1</v>
      </c>
      <c r="K568" s="230" t="str">
        <f>IF(Giocatori!B557=0,"",Giocatori!B557)</f>
        <v/>
      </c>
      <c r="L568" s="230" t="str">
        <f>IF(Giocatori!A557=0,"",Giocatori!A557)</f>
        <v/>
      </c>
      <c r="M568" s="230" t="str">
        <f>IF(Giocatori!C557=0,"",Giocatori!C557)</f>
        <v/>
      </c>
      <c r="N568" s="69" t="str">
        <f t="shared" si="143"/>
        <v/>
      </c>
      <c r="O568" t="str">
        <f t="shared" si="144"/>
        <v/>
      </c>
      <c r="P568" s="7">
        <f t="shared" ca="1" si="152"/>
        <v>548</v>
      </c>
      <c r="Q568" s="7" t="str">
        <f t="shared" ca="1" si="145"/>
        <v/>
      </c>
      <c r="Z568" s="256"/>
      <c r="AA568" s="219"/>
      <c r="AB568" s="295" t="str">
        <f t="shared" si="146"/>
        <v/>
      </c>
      <c r="AC568" s="296" t="str">
        <f t="shared" si="147"/>
        <v/>
      </c>
      <c r="AD568" s="219"/>
      <c r="AE568" s="219"/>
      <c r="AF568" s="295" t="str">
        <f>IF(AA568="","",VLOOKUP(AA568,Asta!$B:$H,7,FALSE))</f>
        <v/>
      </c>
      <c r="AG568" s="296" t="str">
        <f t="shared" si="148"/>
        <v/>
      </c>
      <c r="AH568" t="str">
        <f t="shared" si="149"/>
        <v/>
      </c>
      <c r="AI568" s="254" t="str">
        <f t="shared" ca="1" si="153"/>
        <v>549</v>
      </c>
      <c r="AJ568" s="254" t="str">
        <f t="shared" ca="1" si="154"/>
        <v>549</v>
      </c>
      <c r="AK568" s="351"/>
    </row>
    <row r="569" spans="1:37">
      <c r="A569" s="74">
        <v>550</v>
      </c>
      <c r="B569" s="252"/>
      <c r="C569" s="295" t="str">
        <f t="shared" si="155"/>
        <v/>
      </c>
      <c r="D569" s="296" t="str">
        <f t="shared" si="156"/>
        <v/>
      </c>
      <c r="E569" s="287"/>
      <c r="F569" s="295" t="str">
        <f t="shared" si="141"/>
        <v/>
      </c>
      <c r="G569" s="296" t="str">
        <f t="shared" si="142"/>
        <v/>
      </c>
      <c r="H569" s="290"/>
      <c r="I569" s="254" t="str">
        <f t="shared" ca="1" si="150"/>
        <v>1</v>
      </c>
      <c r="J569" s="254" t="str">
        <f t="shared" ca="1" si="151"/>
        <v>1</v>
      </c>
      <c r="K569" s="230" t="str">
        <f>IF(Giocatori!B558=0,"",Giocatori!B558)</f>
        <v/>
      </c>
      <c r="L569" s="230" t="str">
        <f>IF(Giocatori!A558=0,"",Giocatori!A558)</f>
        <v/>
      </c>
      <c r="M569" s="230" t="str">
        <f>IF(Giocatori!C558=0,"",Giocatori!C558)</f>
        <v/>
      </c>
      <c r="N569" s="69" t="str">
        <f t="shared" si="143"/>
        <v/>
      </c>
      <c r="O569" t="str">
        <f t="shared" si="144"/>
        <v/>
      </c>
      <c r="P569" s="7">
        <f t="shared" ca="1" si="152"/>
        <v>548</v>
      </c>
      <c r="Q569" s="7" t="str">
        <f t="shared" ca="1" si="145"/>
        <v/>
      </c>
      <c r="Z569" s="256"/>
      <c r="AA569" s="219"/>
      <c r="AB569" s="295" t="str">
        <f t="shared" si="146"/>
        <v/>
      </c>
      <c r="AC569" s="296" t="str">
        <f t="shared" si="147"/>
        <v/>
      </c>
      <c r="AD569" s="219"/>
      <c r="AE569" s="219"/>
      <c r="AF569" s="295" t="str">
        <f>IF(AA569="","",VLOOKUP(AA569,Asta!$B:$H,7,FALSE))</f>
        <v/>
      </c>
      <c r="AG569" s="296" t="str">
        <f t="shared" si="148"/>
        <v/>
      </c>
      <c r="AH569" t="str">
        <f t="shared" si="149"/>
        <v/>
      </c>
      <c r="AI569" s="254" t="str">
        <f t="shared" ca="1" si="153"/>
        <v>550</v>
      </c>
      <c r="AJ569" s="254" t="str">
        <f t="shared" ca="1" si="154"/>
        <v>550</v>
      </c>
      <c r="AK569" s="351"/>
    </row>
    <row r="570" spans="1:37">
      <c r="A570" s="74">
        <v>551</v>
      </c>
      <c r="B570" s="252"/>
      <c r="C570" s="293" t="str">
        <f t="shared" si="155"/>
        <v/>
      </c>
      <c r="D570" s="294" t="str">
        <f t="shared" si="156"/>
        <v/>
      </c>
      <c r="E570" s="287"/>
      <c r="F570" s="293" t="str">
        <f t="shared" si="141"/>
        <v/>
      </c>
      <c r="G570" s="294" t="str">
        <f t="shared" si="142"/>
        <v/>
      </c>
      <c r="H570" s="290"/>
      <c r="I570" s="254" t="str">
        <f t="shared" ca="1" si="150"/>
        <v>1</v>
      </c>
      <c r="J570" s="254" t="str">
        <f t="shared" ca="1" si="151"/>
        <v>1</v>
      </c>
      <c r="K570" s="230" t="str">
        <f>IF(Giocatori!B559=0,"",Giocatori!B559)</f>
        <v/>
      </c>
      <c r="L570" s="230" t="str">
        <f>IF(Giocatori!A559=0,"",Giocatori!A559)</f>
        <v/>
      </c>
      <c r="M570" s="230" t="str">
        <f>IF(Giocatori!C559=0,"",Giocatori!C559)</f>
        <v/>
      </c>
      <c r="N570" s="69" t="str">
        <f t="shared" si="143"/>
        <v/>
      </c>
      <c r="O570" t="str">
        <f t="shared" si="144"/>
        <v/>
      </c>
      <c r="P570" s="7">
        <f t="shared" ca="1" si="152"/>
        <v>548</v>
      </c>
      <c r="Q570" s="7" t="str">
        <f t="shared" ca="1" si="145"/>
        <v/>
      </c>
      <c r="Z570" s="256"/>
      <c r="AA570" s="219"/>
      <c r="AB570" s="293" t="str">
        <f t="shared" si="146"/>
        <v/>
      </c>
      <c r="AC570" s="294" t="str">
        <f t="shared" si="147"/>
        <v/>
      </c>
      <c r="AD570" s="219"/>
      <c r="AE570" s="219"/>
      <c r="AF570" s="293" t="str">
        <f>IF(AA570="","",VLOOKUP(AA570,Asta!$B:$H,7,FALSE))</f>
        <v/>
      </c>
      <c r="AG570" s="294" t="str">
        <f t="shared" si="148"/>
        <v/>
      </c>
      <c r="AH570" t="str">
        <f t="shared" si="149"/>
        <v/>
      </c>
      <c r="AI570" s="254" t="str">
        <f t="shared" ca="1" si="153"/>
        <v>551</v>
      </c>
      <c r="AJ570" s="254" t="str">
        <f t="shared" ca="1" si="154"/>
        <v>551</v>
      </c>
      <c r="AK570" s="351"/>
    </row>
    <row r="571" spans="1:37">
      <c r="A571" s="74">
        <v>552</v>
      </c>
      <c r="B571" s="252"/>
      <c r="C571" s="295" t="str">
        <f t="shared" si="155"/>
        <v/>
      </c>
      <c r="D571" s="296" t="str">
        <f t="shared" si="156"/>
        <v/>
      </c>
      <c r="E571" s="287"/>
      <c r="F571" s="295" t="str">
        <f t="shared" si="141"/>
        <v/>
      </c>
      <c r="G571" s="296" t="str">
        <f t="shared" si="142"/>
        <v/>
      </c>
      <c r="H571" s="290"/>
      <c r="I571" s="254" t="str">
        <f t="shared" ca="1" si="150"/>
        <v>1</v>
      </c>
      <c r="J571" s="254" t="str">
        <f t="shared" ca="1" si="151"/>
        <v>1</v>
      </c>
      <c r="K571" s="230" t="str">
        <f>IF(Giocatori!B560=0,"",Giocatori!B560)</f>
        <v/>
      </c>
      <c r="L571" s="230" t="str">
        <f>IF(Giocatori!A560=0,"",Giocatori!A560)</f>
        <v/>
      </c>
      <c r="M571" s="230" t="str">
        <f>IF(Giocatori!C560=0,"",Giocatori!C560)</f>
        <v/>
      </c>
      <c r="N571" s="69" t="str">
        <f t="shared" si="143"/>
        <v/>
      </c>
      <c r="O571" t="str">
        <f t="shared" si="144"/>
        <v/>
      </c>
      <c r="P571" s="7">
        <f t="shared" ca="1" si="152"/>
        <v>548</v>
      </c>
      <c r="Q571" s="7" t="str">
        <f t="shared" ca="1" si="145"/>
        <v/>
      </c>
      <c r="Z571" s="256"/>
      <c r="AA571" s="219"/>
      <c r="AB571" s="295" t="str">
        <f t="shared" si="146"/>
        <v/>
      </c>
      <c r="AC571" s="296" t="str">
        <f t="shared" si="147"/>
        <v/>
      </c>
      <c r="AD571" s="219"/>
      <c r="AE571" s="219"/>
      <c r="AF571" s="295" t="str">
        <f>IF(AA571="","",VLOOKUP(AA571,Asta!$B:$H,7,FALSE))</f>
        <v/>
      </c>
      <c r="AG571" s="296" t="str">
        <f t="shared" si="148"/>
        <v/>
      </c>
      <c r="AH571" t="str">
        <f t="shared" si="149"/>
        <v/>
      </c>
      <c r="AI571" s="254" t="str">
        <f t="shared" ca="1" si="153"/>
        <v>552</v>
      </c>
      <c r="AJ571" s="254" t="str">
        <f t="shared" ca="1" si="154"/>
        <v>552</v>
      </c>
      <c r="AK571" s="351"/>
    </row>
    <row r="572" spans="1:37">
      <c r="A572" s="74">
        <v>553</v>
      </c>
      <c r="B572" s="252"/>
      <c r="C572" s="293" t="str">
        <f t="shared" si="155"/>
        <v/>
      </c>
      <c r="D572" s="294" t="str">
        <f t="shared" si="156"/>
        <v/>
      </c>
      <c r="E572" s="287"/>
      <c r="F572" s="293" t="str">
        <f t="shared" si="141"/>
        <v/>
      </c>
      <c r="G572" s="294" t="str">
        <f t="shared" si="142"/>
        <v/>
      </c>
      <c r="H572" s="290"/>
      <c r="I572" s="254" t="str">
        <f t="shared" ca="1" si="150"/>
        <v>1</v>
      </c>
      <c r="J572" s="254" t="str">
        <f t="shared" ca="1" si="151"/>
        <v>1</v>
      </c>
      <c r="K572" s="230" t="str">
        <f>IF(Giocatori!B561=0,"",Giocatori!B561)</f>
        <v/>
      </c>
      <c r="L572" s="230" t="str">
        <f>IF(Giocatori!A561=0,"",Giocatori!A561)</f>
        <v/>
      </c>
      <c r="M572" s="230" t="str">
        <f>IF(Giocatori!C561=0,"",Giocatori!C561)</f>
        <v/>
      </c>
      <c r="N572" s="69" t="str">
        <f t="shared" si="143"/>
        <v/>
      </c>
      <c r="O572" t="str">
        <f t="shared" si="144"/>
        <v/>
      </c>
      <c r="P572" s="7">
        <f t="shared" ca="1" si="152"/>
        <v>548</v>
      </c>
      <c r="Q572" s="7" t="str">
        <f t="shared" ca="1" si="145"/>
        <v/>
      </c>
      <c r="Z572" s="256"/>
      <c r="AA572" s="219"/>
      <c r="AB572" s="293" t="str">
        <f t="shared" si="146"/>
        <v/>
      </c>
      <c r="AC572" s="294" t="str">
        <f t="shared" si="147"/>
        <v/>
      </c>
      <c r="AD572" s="219"/>
      <c r="AE572" s="219"/>
      <c r="AF572" s="293" t="str">
        <f>IF(AA572="","",VLOOKUP(AA572,Asta!$B:$H,7,FALSE))</f>
        <v/>
      </c>
      <c r="AG572" s="294" t="str">
        <f t="shared" si="148"/>
        <v/>
      </c>
      <c r="AH572" t="str">
        <f t="shared" si="149"/>
        <v/>
      </c>
      <c r="AI572" s="254" t="str">
        <f t="shared" ca="1" si="153"/>
        <v>553</v>
      </c>
      <c r="AJ572" s="254" t="str">
        <f t="shared" ca="1" si="154"/>
        <v>553</v>
      </c>
      <c r="AK572" s="351"/>
    </row>
    <row r="573" spans="1:37">
      <c r="A573" s="74">
        <v>554</v>
      </c>
      <c r="B573" s="252"/>
      <c r="C573" s="295" t="str">
        <f t="shared" si="155"/>
        <v/>
      </c>
      <c r="D573" s="296" t="str">
        <f t="shared" si="156"/>
        <v/>
      </c>
      <c r="E573" s="287"/>
      <c r="F573" s="295" t="str">
        <f t="shared" si="141"/>
        <v/>
      </c>
      <c r="G573" s="296" t="str">
        <f t="shared" si="142"/>
        <v/>
      </c>
      <c r="H573" s="290"/>
      <c r="I573" s="254" t="str">
        <f t="shared" ca="1" si="150"/>
        <v>1</v>
      </c>
      <c r="J573" s="254" t="str">
        <f t="shared" ca="1" si="151"/>
        <v>1</v>
      </c>
      <c r="K573" s="230" t="str">
        <f>IF(Giocatori!B562=0,"",Giocatori!B562)</f>
        <v/>
      </c>
      <c r="L573" s="230" t="str">
        <f>IF(Giocatori!A562=0,"",Giocatori!A562)</f>
        <v/>
      </c>
      <c r="M573" s="230" t="str">
        <f>IF(Giocatori!C562=0,"",Giocatori!C562)</f>
        <v/>
      </c>
      <c r="N573" s="69" t="str">
        <f t="shared" si="143"/>
        <v/>
      </c>
      <c r="O573" t="str">
        <f t="shared" si="144"/>
        <v/>
      </c>
      <c r="P573" s="7">
        <f t="shared" ca="1" si="152"/>
        <v>548</v>
      </c>
      <c r="Q573" s="7" t="str">
        <f t="shared" ca="1" si="145"/>
        <v/>
      </c>
      <c r="Z573" s="256"/>
      <c r="AA573" s="219"/>
      <c r="AB573" s="295" t="str">
        <f t="shared" si="146"/>
        <v/>
      </c>
      <c r="AC573" s="296" t="str">
        <f t="shared" si="147"/>
        <v/>
      </c>
      <c r="AD573" s="219"/>
      <c r="AE573" s="219"/>
      <c r="AF573" s="295" t="str">
        <f>IF(AA573="","",VLOOKUP(AA573,Asta!$B:$H,7,FALSE))</f>
        <v/>
      </c>
      <c r="AG573" s="296" t="str">
        <f t="shared" si="148"/>
        <v/>
      </c>
      <c r="AH573" t="str">
        <f t="shared" si="149"/>
        <v/>
      </c>
      <c r="AI573" s="254" t="str">
        <f t="shared" ca="1" si="153"/>
        <v>554</v>
      </c>
      <c r="AJ573" s="254" t="str">
        <f t="shared" ca="1" si="154"/>
        <v>554</v>
      </c>
      <c r="AK573" s="351"/>
    </row>
    <row r="574" spans="1:37">
      <c r="A574" s="74">
        <v>555</v>
      </c>
      <c r="B574" s="252"/>
      <c r="C574" s="293" t="str">
        <f t="shared" si="155"/>
        <v/>
      </c>
      <c r="D574" s="294" t="str">
        <f t="shared" si="156"/>
        <v/>
      </c>
      <c r="E574" s="287"/>
      <c r="F574" s="293" t="str">
        <f t="shared" si="141"/>
        <v/>
      </c>
      <c r="G574" s="294" t="str">
        <f t="shared" si="142"/>
        <v/>
      </c>
      <c r="H574" s="290"/>
      <c r="I574" s="254" t="str">
        <f t="shared" ca="1" si="150"/>
        <v>1</v>
      </c>
      <c r="J574" s="254" t="str">
        <f t="shared" ca="1" si="151"/>
        <v>1</v>
      </c>
      <c r="K574" s="230" t="str">
        <f>IF(Giocatori!B563=0,"",Giocatori!B563)</f>
        <v/>
      </c>
      <c r="L574" s="230" t="str">
        <f>IF(Giocatori!A563=0,"",Giocatori!A563)</f>
        <v/>
      </c>
      <c r="M574" s="230" t="str">
        <f>IF(Giocatori!C563=0,"",Giocatori!C563)</f>
        <v/>
      </c>
      <c r="N574" s="69" t="str">
        <f t="shared" si="143"/>
        <v/>
      </c>
      <c r="O574" t="str">
        <f t="shared" si="144"/>
        <v/>
      </c>
      <c r="P574" s="7">
        <f t="shared" ca="1" si="152"/>
        <v>548</v>
      </c>
      <c r="Q574" s="7" t="str">
        <f t="shared" ca="1" si="145"/>
        <v/>
      </c>
      <c r="Z574" s="256"/>
      <c r="AA574" s="219"/>
      <c r="AB574" s="293" t="str">
        <f t="shared" si="146"/>
        <v/>
      </c>
      <c r="AC574" s="294" t="str">
        <f t="shared" si="147"/>
        <v/>
      </c>
      <c r="AD574" s="219"/>
      <c r="AE574" s="219"/>
      <c r="AF574" s="293" t="str">
        <f>IF(AA574="","",VLOOKUP(AA574,Asta!$B:$H,7,FALSE))</f>
        <v/>
      </c>
      <c r="AG574" s="294" t="str">
        <f t="shared" si="148"/>
        <v/>
      </c>
      <c r="AH574" t="str">
        <f t="shared" si="149"/>
        <v/>
      </c>
      <c r="AI574" s="254" t="str">
        <f t="shared" ca="1" si="153"/>
        <v>555</v>
      </c>
      <c r="AJ574" s="254" t="str">
        <f t="shared" ca="1" si="154"/>
        <v>555</v>
      </c>
      <c r="AK574" s="351"/>
    </row>
    <row r="575" spans="1:37">
      <c r="A575" s="74">
        <v>556</v>
      </c>
      <c r="B575" s="252"/>
      <c r="C575" s="293" t="str">
        <f t="shared" si="155"/>
        <v/>
      </c>
      <c r="D575" s="294" t="str">
        <f t="shared" si="156"/>
        <v/>
      </c>
      <c r="E575" s="287"/>
      <c r="F575" s="293" t="str">
        <f t="shared" si="141"/>
        <v/>
      </c>
      <c r="G575" s="294" t="str">
        <f t="shared" si="142"/>
        <v/>
      </c>
      <c r="H575" s="290"/>
      <c r="I575" s="254" t="str">
        <f t="shared" ca="1" si="150"/>
        <v>1</v>
      </c>
      <c r="J575" s="254" t="str">
        <f t="shared" ca="1" si="151"/>
        <v>1</v>
      </c>
      <c r="K575" s="230" t="str">
        <f>IF(Giocatori!B564=0,"",Giocatori!B564)</f>
        <v/>
      </c>
      <c r="L575" s="230" t="str">
        <f>IF(Giocatori!A564=0,"",Giocatori!A564)</f>
        <v/>
      </c>
      <c r="M575" s="230" t="str">
        <f>IF(Giocatori!C564=0,"",Giocatori!C564)</f>
        <v/>
      </c>
      <c r="N575" s="69" t="str">
        <f t="shared" si="143"/>
        <v/>
      </c>
      <c r="O575" t="str">
        <f t="shared" si="144"/>
        <v/>
      </c>
      <c r="P575" s="7">
        <f t="shared" ca="1" si="152"/>
        <v>548</v>
      </c>
      <c r="Q575" s="7" t="str">
        <f t="shared" ca="1" si="145"/>
        <v/>
      </c>
      <c r="Z575" s="256"/>
      <c r="AA575" s="219"/>
      <c r="AB575" s="293" t="str">
        <f t="shared" si="146"/>
        <v/>
      </c>
      <c r="AC575" s="294" t="str">
        <f t="shared" si="147"/>
        <v/>
      </c>
      <c r="AD575" s="219"/>
      <c r="AE575" s="219"/>
      <c r="AF575" s="293" t="str">
        <f>IF(AA575="","",VLOOKUP(AA575,Asta!$B:$H,7,FALSE))</f>
        <v/>
      </c>
      <c r="AG575" s="294" t="str">
        <f t="shared" si="148"/>
        <v/>
      </c>
      <c r="AH575" t="str">
        <f t="shared" si="149"/>
        <v/>
      </c>
      <c r="AI575" s="254" t="str">
        <f t="shared" ca="1" si="153"/>
        <v>556</v>
      </c>
      <c r="AJ575" s="254" t="str">
        <f t="shared" ca="1" si="154"/>
        <v>556</v>
      </c>
      <c r="AK575" s="351"/>
    </row>
    <row r="576" spans="1:37">
      <c r="A576" s="74">
        <v>557</v>
      </c>
      <c r="B576" s="252"/>
      <c r="C576" s="293" t="str">
        <f t="shared" si="155"/>
        <v/>
      </c>
      <c r="D576" s="294" t="str">
        <f t="shared" si="156"/>
        <v/>
      </c>
      <c r="E576" s="287"/>
      <c r="F576" s="293" t="str">
        <f t="shared" si="141"/>
        <v/>
      </c>
      <c r="G576" s="294" t="str">
        <f t="shared" si="142"/>
        <v/>
      </c>
      <c r="H576" s="290"/>
      <c r="I576" s="254" t="str">
        <f t="shared" ca="1" si="150"/>
        <v>1</v>
      </c>
      <c r="J576" s="254" t="str">
        <f t="shared" ca="1" si="151"/>
        <v>1</v>
      </c>
      <c r="K576" s="230" t="str">
        <f>IF(Giocatori!B565=0,"",Giocatori!B565)</f>
        <v/>
      </c>
      <c r="L576" s="230" t="str">
        <f>IF(Giocatori!A565=0,"",Giocatori!A565)</f>
        <v/>
      </c>
      <c r="M576" s="230" t="str">
        <f>IF(Giocatori!C565=0,"",Giocatori!C565)</f>
        <v/>
      </c>
      <c r="N576" s="69" t="str">
        <f t="shared" si="143"/>
        <v/>
      </c>
      <c r="O576" t="str">
        <f t="shared" si="144"/>
        <v/>
      </c>
      <c r="P576" s="7">
        <f t="shared" ca="1" si="152"/>
        <v>548</v>
      </c>
      <c r="Q576" s="7" t="str">
        <f t="shared" ca="1" si="145"/>
        <v/>
      </c>
      <c r="Z576" s="256"/>
      <c r="AA576" s="219"/>
      <c r="AB576" s="293" t="str">
        <f t="shared" si="146"/>
        <v/>
      </c>
      <c r="AC576" s="294" t="str">
        <f t="shared" si="147"/>
        <v/>
      </c>
      <c r="AD576" s="219"/>
      <c r="AE576" s="219"/>
      <c r="AF576" s="293" t="str">
        <f>IF(AA576="","",VLOOKUP(AA576,Asta!$B:$H,7,FALSE))</f>
        <v/>
      </c>
      <c r="AG576" s="294" t="str">
        <f t="shared" si="148"/>
        <v/>
      </c>
      <c r="AH576" t="str">
        <f t="shared" si="149"/>
        <v/>
      </c>
      <c r="AI576" s="254" t="str">
        <f t="shared" ca="1" si="153"/>
        <v>557</v>
      </c>
      <c r="AJ576" s="254" t="str">
        <f t="shared" ca="1" si="154"/>
        <v>557</v>
      </c>
      <c r="AK576" s="351"/>
    </row>
    <row r="577" spans="1:37">
      <c r="A577" s="74">
        <v>558</v>
      </c>
      <c r="B577" s="252"/>
      <c r="C577" s="293" t="str">
        <f t="shared" si="155"/>
        <v/>
      </c>
      <c r="D577" s="294" t="str">
        <f t="shared" si="156"/>
        <v/>
      </c>
      <c r="E577" s="287"/>
      <c r="F577" s="293" t="str">
        <f t="shared" si="141"/>
        <v/>
      </c>
      <c r="G577" s="294" t="str">
        <f t="shared" si="142"/>
        <v/>
      </c>
      <c r="H577" s="290"/>
      <c r="I577" s="254" t="str">
        <f t="shared" ca="1" si="150"/>
        <v>1</v>
      </c>
      <c r="J577" s="254" t="str">
        <f t="shared" ca="1" si="151"/>
        <v>1</v>
      </c>
      <c r="K577" s="230" t="str">
        <f>IF(Giocatori!B566=0,"",Giocatori!B566)</f>
        <v/>
      </c>
      <c r="L577" s="230" t="str">
        <f>IF(Giocatori!A566=0,"",Giocatori!A566)</f>
        <v/>
      </c>
      <c r="M577" s="230" t="str">
        <f>IF(Giocatori!C566=0,"",Giocatori!C566)</f>
        <v/>
      </c>
      <c r="N577" s="69" t="str">
        <f t="shared" si="143"/>
        <v/>
      </c>
      <c r="O577" t="str">
        <f t="shared" si="144"/>
        <v/>
      </c>
      <c r="P577" s="7">
        <f t="shared" ca="1" si="152"/>
        <v>548</v>
      </c>
      <c r="Q577" s="7" t="str">
        <f t="shared" ca="1" si="145"/>
        <v/>
      </c>
      <c r="Z577" s="256"/>
      <c r="AA577" s="219"/>
      <c r="AB577" s="293" t="str">
        <f t="shared" si="146"/>
        <v/>
      </c>
      <c r="AC577" s="294" t="str">
        <f t="shared" si="147"/>
        <v/>
      </c>
      <c r="AD577" s="219"/>
      <c r="AE577" s="219"/>
      <c r="AF577" s="293" t="str">
        <f>IF(AA577="","",VLOOKUP(AA577,Asta!$B:$H,7,FALSE))</f>
        <v/>
      </c>
      <c r="AG577" s="294" t="str">
        <f t="shared" si="148"/>
        <v/>
      </c>
      <c r="AH577" t="str">
        <f t="shared" si="149"/>
        <v/>
      </c>
      <c r="AI577" s="254" t="str">
        <f t="shared" ca="1" si="153"/>
        <v>558</v>
      </c>
      <c r="AJ577" s="254" t="str">
        <f t="shared" ca="1" si="154"/>
        <v>558</v>
      </c>
      <c r="AK577" s="351"/>
    </row>
    <row r="578" spans="1:37">
      <c r="A578" s="74">
        <v>559</v>
      </c>
      <c r="B578" s="252"/>
      <c r="C578" s="295" t="str">
        <f t="shared" si="155"/>
        <v/>
      </c>
      <c r="D578" s="296" t="str">
        <f t="shared" si="156"/>
        <v/>
      </c>
      <c r="E578" s="287"/>
      <c r="F578" s="295" t="str">
        <f t="shared" si="141"/>
        <v/>
      </c>
      <c r="G578" s="296" t="str">
        <f t="shared" si="142"/>
        <v/>
      </c>
      <c r="H578" s="290"/>
      <c r="I578" s="254" t="str">
        <f t="shared" ca="1" si="150"/>
        <v>1</v>
      </c>
      <c r="J578" s="254" t="str">
        <f t="shared" ca="1" si="151"/>
        <v>1</v>
      </c>
      <c r="K578" s="230" t="str">
        <f>IF(Giocatori!B567=0,"",Giocatori!B567)</f>
        <v/>
      </c>
      <c r="L578" s="230" t="str">
        <f>IF(Giocatori!A567=0,"",Giocatori!A567)</f>
        <v/>
      </c>
      <c r="M578" s="230" t="str">
        <f>IF(Giocatori!C567=0,"",Giocatori!C567)</f>
        <v/>
      </c>
      <c r="N578" s="69" t="str">
        <f t="shared" si="143"/>
        <v/>
      </c>
      <c r="O578" t="str">
        <f t="shared" si="144"/>
        <v/>
      </c>
      <c r="P578" s="7">
        <f t="shared" ca="1" si="152"/>
        <v>548</v>
      </c>
      <c r="Q578" s="7" t="str">
        <f t="shared" ca="1" si="145"/>
        <v/>
      </c>
      <c r="Z578" s="256"/>
      <c r="AA578" s="219"/>
      <c r="AB578" s="295" t="str">
        <f t="shared" si="146"/>
        <v/>
      </c>
      <c r="AC578" s="296" t="str">
        <f t="shared" si="147"/>
        <v/>
      </c>
      <c r="AD578" s="219"/>
      <c r="AE578" s="219"/>
      <c r="AF578" s="295" t="str">
        <f>IF(AA578="","",VLOOKUP(AA578,Asta!$B:$H,7,FALSE))</f>
        <v/>
      </c>
      <c r="AG578" s="296" t="str">
        <f t="shared" si="148"/>
        <v/>
      </c>
      <c r="AH578" t="str">
        <f t="shared" si="149"/>
        <v/>
      </c>
      <c r="AI578" s="254" t="str">
        <f t="shared" ca="1" si="153"/>
        <v>559</v>
      </c>
      <c r="AJ578" s="254" t="str">
        <f t="shared" ca="1" si="154"/>
        <v>559</v>
      </c>
      <c r="AK578" s="351"/>
    </row>
    <row r="579" spans="1:37">
      <c r="A579" s="74">
        <v>560</v>
      </c>
      <c r="B579" s="252"/>
      <c r="C579" s="295" t="str">
        <f t="shared" si="155"/>
        <v/>
      </c>
      <c r="D579" s="296" t="str">
        <f t="shared" si="156"/>
        <v/>
      </c>
      <c r="E579" s="287"/>
      <c r="F579" s="295" t="str">
        <f t="shared" si="141"/>
        <v/>
      </c>
      <c r="G579" s="296" t="str">
        <f t="shared" si="142"/>
        <v/>
      </c>
      <c r="H579" s="290"/>
      <c r="I579" s="254" t="str">
        <f t="shared" ca="1" si="150"/>
        <v>1</v>
      </c>
      <c r="J579" s="254" t="str">
        <f t="shared" ca="1" si="151"/>
        <v>1</v>
      </c>
      <c r="K579" s="230" t="str">
        <f>IF(Giocatori!B568=0,"",Giocatori!B568)</f>
        <v/>
      </c>
      <c r="L579" s="230" t="str">
        <f>IF(Giocatori!A568=0,"",Giocatori!A568)</f>
        <v/>
      </c>
      <c r="M579" s="230" t="str">
        <f>IF(Giocatori!C568=0,"",Giocatori!C568)</f>
        <v/>
      </c>
      <c r="N579" s="69" t="str">
        <f t="shared" si="143"/>
        <v/>
      </c>
      <c r="O579" t="str">
        <f t="shared" si="144"/>
        <v/>
      </c>
      <c r="P579" s="7">
        <f t="shared" ca="1" si="152"/>
        <v>548</v>
      </c>
      <c r="Q579" s="7" t="str">
        <f t="shared" ca="1" si="145"/>
        <v/>
      </c>
      <c r="Z579" s="256"/>
      <c r="AA579" s="219"/>
      <c r="AB579" s="295" t="str">
        <f t="shared" si="146"/>
        <v/>
      </c>
      <c r="AC579" s="296" t="str">
        <f t="shared" si="147"/>
        <v/>
      </c>
      <c r="AD579" s="219"/>
      <c r="AE579" s="219"/>
      <c r="AF579" s="295" t="str">
        <f>IF(AA579="","",VLOOKUP(AA579,Asta!$B:$H,7,FALSE))</f>
        <v/>
      </c>
      <c r="AG579" s="296" t="str">
        <f t="shared" si="148"/>
        <v/>
      </c>
      <c r="AH579" t="str">
        <f t="shared" si="149"/>
        <v/>
      </c>
      <c r="AI579" s="254" t="str">
        <f t="shared" ca="1" si="153"/>
        <v>560</v>
      </c>
      <c r="AJ579" s="254" t="str">
        <f t="shared" ca="1" si="154"/>
        <v>560</v>
      </c>
      <c r="AK579" s="351"/>
    </row>
    <row r="580" spans="1:37">
      <c r="A580" s="74">
        <v>561</v>
      </c>
      <c r="B580" s="252"/>
      <c r="C580" s="295" t="str">
        <f t="shared" si="155"/>
        <v/>
      </c>
      <c r="D580" s="296" t="str">
        <f t="shared" si="156"/>
        <v/>
      </c>
      <c r="E580" s="287"/>
      <c r="F580" s="295" t="str">
        <f t="shared" si="141"/>
        <v/>
      </c>
      <c r="G580" s="296" t="str">
        <f t="shared" si="142"/>
        <v/>
      </c>
      <c r="H580" s="290"/>
      <c r="I580" s="254" t="str">
        <f t="shared" ca="1" si="150"/>
        <v>1</v>
      </c>
      <c r="J580" s="254" t="str">
        <f t="shared" ca="1" si="151"/>
        <v>1</v>
      </c>
      <c r="K580" s="230" t="str">
        <f>IF(Giocatori!B569=0,"",Giocatori!B569)</f>
        <v/>
      </c>
      <c r="L580" s="230" t="str">
        <f>IF(Giocatori!A569=0,"",Giocatori!A569)</f>
        <v/>
      </c>
      <c r="M580" s="230" t="str">
        <f>IF(Giocatori!C569=0,"",Giocatori!C569)</f>
        <v/>
      </c>
      <c r="N580" s="69" t="str">
        <f t="shared" si="143"/>
        <v/>
      </c>
      <c r="O580" t="str">
        <f t="shared" si="144"/>
        <v/>
      </c>
      <c r="P580" s="7">
        <f t="shared" ca="1" si="152"/>
        <v>548</v>
      </c>
      <c r="Q580" s="7" t="str">
        <f t="shared" ca="1" si="145"/>
        <v/>
      </c>
      <c r="Z580" s="256"/>
      <c r="AA580" s="219"/>
      <c r="AB580" s="295" t="str">
        <f t="shared" si="146"/>
        <v/>
      </c>
      <c r="AC580" s="296" t="str">
        <f t="shared" si="147"/>
        <v/>
      </c>
      <c r="AD580" s="219"/>
      <c r="AE580" s="219"/>
      <c r="AF580" s="295" t="str">
        <f>IF(AA580="","",VLOOKUP(AA580,Asta!$B:$H,7,FALSE))</f>
        <v/>
      </c>
      <c r="AG580" s="296" t="str">
        <f t="shared" si="148"/>
        <v/>
      </c>
      <c r="AH580" t="str">
        <f t="shared" si="149"/>
        <v/>
      </c>
      <c r="AI580" s="254" t="str">
        <f t="shared" ca="1" si="153"/>
        <v>561</v>
      </c>
      <c r="AJ580" s="254" t="str">
        <f t="shared" ca="1" si="154"/>
        <v>561</v>
      </c>
      <c r="AK580" s="351"/>
    </row>
    <row r="581" spans="1:37">
      <c r="A581" s="74">
        <v>562</v>
      </c>
      <c r="B581" s="252"/>
      <c r="C581" s="295" t="str">
        <f t="shared" si="155"/>
        <v/>
      </c>
      <c r="D581" s="296" t="str">
        <f t="shared" si="156"/>
        <v/>
      </c>
      <c r="E581" s="287"/>
      <c r="F581" s="295" t="str">
        <f t="shared" si="141"/>
        <v/>
      </c>
      <c r="G581" s="296" t="str">
        <f t="shared" si="142"/>
        <v/>
      </c>
      <c r="H581" s="290"/>
      <c r="I581" s="254" t="str">
        <f t="shared" ca="1" si="150"/>
        <v>1</v>
      </c>
      <c r="J581" s="254" t="str">
        <f t="shared" ca="1" si="151"/>
        <v>1</v>
      </c>
      <c r="K581" s="230" t="str">
        <f>IF(Giocatori!B570=0,"",Giocatori!B570)</f>
        <v/>
      </c>
      <c r="L581" s="230" t="str">
        <f>IF(Giocatori!A570=0,"",Giocatori!A570)</f>
        <v/>
      </c>
      <c r="M581" s="230" t="str">
        <f>IF(Giocatori!C570=0,"",Giocatori!C570)</f>
        <v/>
      </c>
      <c r="N581" s="69" t="str">
        <f t="shared" si="143"/>
        <v/>
      </c>
      <c r="O581" t="str">
        <f t="shared" si="144"/>
        <v/>
      </c>
      <c r="P581" s="7">
        <f t="shared" ca="1" si="152"/>
        <v>548</v>
      </c>
      <c r="Q581" s="7" t="str">
        <f t="shared" ca="1" si="145"/>
        <v/>
      </c>
      <c r="Z581" s="256"/>
      <c r="AA581" s="219"/>
      <c r="AB581" s="295" t="str">
        <f t="shared" si="146"/>
        <v/>
      </c>
      <c r="AC581" s="296" t="str">
        <f t="shared" si="147"/>
        <v/>
      </c>
      <c r="AD581" s="219"/>
      <c r="AE581" s="219"/>
      <c r="AF581" s="295" t="str">
        <f>IF(AA581="","",VLOOKUP(AA581,Asta!$B:$H,7,FALSE))</f>
        <v/>
      </c>
      <c r="AG581" s="296" t="str">
        <f t="shared" si="148"/>
        <v/>
      </c>
      <c r="AH581" t="str">
        <f t="shared" si="149"/>
        <v/>
      </c>
      <c r="AI581" s="254" t="str">
        <f t="shared" ca="1" si="153"/>
        <v>562</v>
      </c>
      <c r="AJ581" s="254" t="str">
        <f t="shared" ca="1" si="154"/>
        <v>562</v>
      </c>
      <c r="AK581" s="351"/>
    </row>
    <row r="582" spans="1:37">
      <c r="A582" s="74">
        <v>563</v>
      </c>
      <c r="B582" s="252"/>
      <c r="C582" s="295" t="str">
        <f t="shared" si="155"/>
        <v/>
      </c>
      <c r="D582" s="296" t="str">
        <f t="shared" si="156"/>
        <v/>
      </c>
      <c r="E582" s="287"/>
      <c r="F582" s="295" t="str">
        <f t="shared" si="141"/>
        <v/>
      </c>
      <c r="G582" s="296" t="str">
        <f t="shared" si="142"/>
        <v/>
      </c>
      <c r="H582" s="290"/>
      <c r="I582" s="254" t="str">
        <f t="shared" ca="1" si="150"/>
        <v>1</v>
      </c>
      <c r="J582" s="254" t="str">
        <f t="shared" ca="1" si="151"/>
        <v>1</v>
      </c>
      <c r="K582" s="230" t="str">
        <f>IF(Giocatori!B571=0,"",Giocatori!B571)</f>
        <v/>
      </c>
      <c r="L582" s="230" t="str">
        <f>IF(Giocatori!A571=0,"",Giocatori!A571)</f>
        <v/>
      </c>
      <c r="M582" s="230" t="str">
        <f>IF(Giocatori!C571=0,"",Giocatori!C571)</f>
        <v/>
      </c>
      <c r="N582" s="69" t="str">
        <f t="shared" si="143"/>
        <v/>
      </c>
      <c r="O582" t="str">
        <f t="shared" si="144"/>
        <v/>
      </c>
      <c r="P582" s="7">
        <f t="shared" ca="1" si="152"/>
        <v>548</v>
      </c>
      <c r="Q582" s="7" t="str">
        <f t="shared" ca="1" si="145"/>
        <v/>
      </c>
      <c r="Z582" s="256"/>
      <c r="AA582" s="219"/>
      <c r="AB582" s="295" t="str">
        <f t="shared" si="146"/>
        <v/>
      </c>
      <c r="AC582" s="296" t="str">
        <f t="shared" si="147"/>
        <v/>
      </c>
      <c r="AD582" s="219"/>
      <c r="AE582" s="219"/>
      <c r="AF582" s="295" t="str">
        <f>IF(AA582="","",VLOOKUP(AA582,Asta!$B:$H,7,FALSE))</f>
        <v/>
      </c>
      <c r="AG582" s="296" t="str">
        <f t="shared" si="148"/>
        <v/>
      </c>
      <c r="AH582" t="str">
        <f t="shared" si="149"/>
        <v/>
      </c>
      <c r="AI582" s="254" t="str">
        <f t="shared" ca="1" si="153"/>
        <v>563</v>
      </c>
      <c r="AJ582" s="254" t="str">
        <f t="shared" ca="1" si="154"/>
        <v>563</v>
      </c>
      <c r="AK582" s="351"/>
    </row>
    <row r="583" spans="1:37">
      <c r="A583" s="74">
        <v>564</v>
      </c>
      <c r="B583" s="252"/>
      <c r="C583" s="295" t="str">
        <f t="shared" si="155"/>
        <v/>
      </c>
      <c r="D583" s="296" t="str">
        <f t="shared" si="156"/>
        <v/>
      </c>
      <c r="E583" s="287"/>
      <c r="F583" s="295" t="str">
        <f t="shared" si="141"/>
        <v/>
      </c>
      <c r="G583" s="296" t="str">
        <f t="shared" si="142"/>
        <v/>
      </c>
      <c r="H583" s="290"/>
      <c r="I583" s="254" t="str">
        <f t="shared" ca="1" si="150"/>
        <v>1</v>
      </c>
      <c r="J583" s="254" t="str">
        <f t="shared" ca="1" si="151"/>
        <v>1</v>
      </c>
      <c r="K583" s="230" t="str">
        <f>IF(Giocatori!B572=0,"",Giocatori!B572)</f>
        <v/>
      </c>
      <c r="L583" s="230" t="str">
        <f>IF(Giocatori!A572=0,"",Giocatori!A572)</f>
        <v/>
      </c>
      <c r="M583" s="230" t="str">
        <f>IF(Giocatori!C572=0,"",Giocatori!C572)</f>
        <v/>
      </c>
      <c r="N583" s="69" t="str">
        <f t="shared" si="143"/>
        <v/>
      </c>
      <c r="O583" t="str">
        <f t="shared" si="144"/>
        <v/>
      </c>
      <c r="P583" s="7">
        <f t="shared" ca="1" si="152"/>
        <v>548</v>
      </c>
      <c r="Q583" s="7" t="str">
        <f t="shared" ca="1" si="145"/>
        <v/>
      </c>
      <c r="Z583" s="256"/>
      <c r="AA583" s="219"/>
      <c r="AB583" s="295" t="str">
        <f t="shared" si="146"/>
        <v/>
      </c>
      <c r="AC583" s="296" t="str">
        <f t="shared" si="147"/>
        <v/>
      </c>
      <c r="AD583" s="219"/>
      <c r="AE583" s="219"/>
      <c r="AF583" s="295" t="str">
        <f>IF(AA583="","",VLOOKUP(AA583,Asta!$B:$H,7,FALSE))</f>
        <v/>
      </c>
      <c r="AG583" s="296" t="str">
        <f t="shared" si="148"/>
        <v/>
      </c>
      <c r="AH583" t="str">
        <f t="shared" si="149"/>
        <v/>
      </c>
      <c r="AI583" s="254" t="str">
        <f t="shared" ca="1" si="153"/>
        <v>564</v>
      </c>
      <c r="AJ583" s="254" t="str">
        <f t="shared" ca="1" si="154"/>
        <v>564</v>
      </c>
      <c r="AK583" s="351"/>
    </row>
    <row r="584" spans="1:37">
      <c r="A584" s="74">
        <v>565</v>
      </c>
      <c r="B584" s="252"/>
      <c r="C584" s="295" t="str">
        <f t="shared" si="155"/>
        <v/>
      </c>
      <c r="D584" s="296" t="str">
        <f t="shared" si="156"/>
        <v/>
      </c>
      <c r="E584" s="287"/>
      <c r="F584" s="295" t="str">
        <f t="shared" si="141"/>
        <v/>
      </c>
      <c r="G584" s="296" t="str">
        <f t="shared" si="142"/>
        <v/>
      </c>
      <c r="H584" s="290"/>
      <c r="I584" s="254" t="str">
        <f t="shared" ca="1" si="150"/>
        <v>1</v>
      </c>
      <c r="J584" s="254" t="str">
        <f t="shared" ca="1" si="151"/>
        <v>1</v>
      </c>
      <c r="K584" s="230" t="str">
        <f>IF(Giocatori!B581=0,"",Giocatori!B581)</f>
        <v/>
      </c>
      <c r="L584" s="230" t="str">
        <f>IF(Giocatori!A581=0,"",Giocatori!A581)</f>
        <v/>
      </c>
      <c r="M584" s="230" t="str">
        <f>IF(Giocatori!C581=0,"",Giocatori!C581)</f>
        <v/>
      </c>
      <c r="N584" s="69" t="str">
        <f t="shared" si="143"/>
        <v/>
      </c>
      <c r="O584" t="str">
        <f t="shared" si="144"/>
        <v/>
      </c>
      <c r="P584" s="7">
        <f t="shared" ca="1" si="152"/>
        <v>548</v>
      </c>
      <c r="Q584" s="7" t="str">
        <f t="shared" ca="1" si="145"/>
        <v/>
      </c>
      <c r="Z584" s="256"/>
      <c r="AA584" s="219"/>
      <c r="AB584" s="295" t="str">
        <f t="shared" si="146"/>
        <v/>
      </c>
      <c r="AC584" s="296" t="str">
        <f t="shared" si="147"/>
        <v/>
      </c>
      <c r="AD584" s="219"/>
      <c r="AE584" s="219"/>
      <c r="AF584" s="295" t="str">
        <f>IF(AA584="","",VLOOKUP(AA584,Asta!$B:$H,7,FALSE))</f>
        <v/>
      </c>
      <c r="AG584" s="296" t="str">
        <f t="shared" si="148"/>
        <v/>
      </c>
      <c r="AH584" t="str">
        <f t="shared" si="149"/>
        <v/>
      </c>
      <c r="AI584" s="254" t="str">
        <f t="shared" ca="1" si="153"/>
        <v>565</v>
      </c>
      <c r="AJ584" s="254" t="str">
        <f t="shared" ca="1" si="154"/>
        <v>565</v>
      </c>
      <c r="AK584" s="351"/>
    </row>
    <row r="585" spans="1:37">
      <c r="A585" s="74">
        <v>566</v>
      </c>
      <c r="B585" s="252"/>
      <c r="C585" s="295" t="str">
        <f t="shared" si="155"/>
        <v/>
      </c>
      <c r="D585" s="296" t="str">
        <f t="shared" si="156"/>
        <v/>
      </c>
      <c r="E585" s="287"/>
      <c r="F585" s="295" t="str">
        <f t="shared" si="141"/>
        <v/>
      </c>
      <c r="G585" s="296" t="str">
        <f t="shared" si="142"/>
        <v/>
      </c>
      <c r="H585" s="290"/>
      <c r="I585" s="254" t="str">
        <f t="shared" ca="1" si="150"/>
        <v>1</v>
      </c>
      <c r="J585" s="254" t="str">
        <f t="shared" ca="1" si="151"/>
        <v>1</v>
      </c>
      <c r="K585" s="230" t="str">
        <f>IF(Giocatori!B582=0,"",Giocatori!B582)</f>
        <v/>
      </c>
      <c r="L585" s="230" t="str">
        <f>IF(Giocatori!A582=0,"",Giocatori!A582)</f>
        <v/>
      </c>
      <c r="M585" s="230" t="str">
        <f>IF(Giocatori!C582=0,"",Giocatori!C582)</f>
        <v/>
      </c>
      <c r="N585" s="69" t="str">
        <f t="shared" si="143"/>
        <v/>
      </c>
      <c r="O585" t="str">
        <f t="shared" si="144"/>
        <v/>
      </c>
      <c r="P585" s="7">
        <f t="shared" ca="1" si="152"/>
        <v>548</v>
      </c>
      <c r="Q585" s="7" t="str">
        <f t="shared" ca="1" si="145"/>
        <v/>
      </c>
      <c r="Z585" s="256"/>
      <c r="AA585" s="219"/>
      <c r="AB585" s="295" t="str">
        <f t="shared" si="146"/>
        <v/>
      </c>
      <c r="AC585" s="296" t="str">
        <f t="shared" si="147"/>
        <v/>
      </c>
      <c r="AD585" s="219"/>
      <c r="AE585" s="219"/>
      <c r="AF585" s="295" t="str">
        <f>IF(AA585="","",VLOOKUP(AA585,Asta!$B:$H,7,FALSE))</f>
        <v/>
      </c>
      <c r="AG585" s="296" t="str">
        <f t="shared" si="148"/>
        <v/>
      </c>
      <c r="AH585" t="str">
        <f t="shared" si="149"/>
        <v/>
      </c>
      <c r="AI585" s="254" t="str">
        <f t="shared" ca="1" si="153"/>
        <v>566</v>
      </c>
      <c r="AJ585" s="254" t="str">
        <f t="shared" ca="1" si="154"/>
        <v>566</v>
      </c>
      <c r="AK585" s="351"/>
    </row>
    <row r="586" spans="1:37">
      <c r="A586" s="74">
        <v>567</v>
      </c>
      <c r="B586" s="252"/>
      <c r="C586" s="295" t="str">
        <f t="shared" si="155"/>
        <v/>
      </c>
      <c r="D586" s="296" t="str">
        <f t="shared" si="156"/>
        <v/>
      </c>
      <c r="E586" s="287"/>
      <c r="F586" s="295" t="str">
        <f t="shared" si="141"/>
        <v/>
      </c>
      <c r="G586" s="296" t="str">
        <f t="shared" si="142"/>
        <v/>
      </c>
      <c r="H586" s="290"/>
      <c r="I586" s="254" t="str">
        <f t="shared" ca="1" si="150"/>
        <v>1</v>
      </c>
      <c r="J586" s="254" t="str">
        <f t="shared" ca="1" si="151"/>
        <v>1</v>
      </c>
      <c r="K586" s="230" t="str">
        <f>IF(Giocatori!B583=0,"",Giocatori!B583)</f>
        <v/>
      </c>
      <c r="L586" s="230" t="str">
        <f>IF(Giocatori!A583=0,"",Giocatori!A583)</f>
        <v/>
      </c>
      <c r="M586" s="230" t="str">
        <f>IF(Giocatori!C583=0,"",Giocatori!C583)</f>
        <v/>
      </c>
      <c r="N586" s="69" t="str">
        <f t="shared" si="143"/>
        <v/>
      </c>
      <c r="O586" t="str">
        <f t="shared" si="144"/>
        <v/>
      </c>
      <c r="P586" s="7">
        <f t="shared" ca="1" si="152"/>
        <v>548</v>
      </c>
      <c r="Q586" s="7" t="str">
        <f t="shared" ca="1" si="145"/>
        <v/>
      </c>
      <c r="Z586" s="256"/>
      <c r="AA586" s="219"/>
      <c r="AB586" s="295" t="str">
        <f t="shared" si="146"/>
        <v/>
      </c>
      <c r="AC586" s="296" t="str">
        <f t="shared" si="147"/>
        <v/>
      </c>
      <c r="AD586" s="219"/>
      <c r="AE586" s="219"/>
      <c r="AF586" s="295" t="str">
        <f>IF(AA586="","",VLOOKUP(AA586,Asta!$B:$H,7,FALSE))</f>
        <v/>
      </c>
      <c r="AG586" s="296" t="str">
        <f t="shared" si="148"/>
        <v/>
      </c>
      <c r="AH586" t="str">
        <f t="shared" si="149"/>
        <v/>
      </c>
      <c r="AI586" s="254" t="str">
        <f t="shared" ca="1" si="153"/>
        <v>567</v>
      </c>
      <c r="AJ586" s="254" t="str">
        <f t="shared" ca="1" si="154"/>
        <v>567</v>
      </c>
      <c r="AK586" s="351"/>
    </row>
    <row r="587" spans="1:37">
      <c r="A587" s="74">
        <v>568</v>
      </c>
      <c r="B587" s="252"/>
      <c r="C587" s="295" t="str">
        <f t="shared" si="155"/>
        <v/>
      </c>
      <c r="D587" s="296" t="str">
        <f t="shared" si="156"/>
        <v/>
      </c>
      <c r="E587" s="287"/>
      <c r="F587" s="295" t="str">
        <f t="shared" si="141"/>
        <v/>
      </c>
      <c r="G587" s="296" t="str">
        <f t="shared" si="142"/>
        <v/>
      </c>
      <c r="H587" s="290"/>
      <c r="I587" s="254" t="str">
        <f t="shared" ca="1" si="150"/>
        <v>1</v>
      </c>
      <c r="J587" s="254" t="str">
        <f t="shared" ca="1" si="151"/>
        <v>1</v>
      </c>
      <c r="K587" s="230" t="str">
        <f>IF(Giocatori!B584=0,"",Giocatori!B584)</f>
        <v/>
      </c>
      <c r="L587" s="230" t="str">
        <f>IF(Giocatori!A584=0,"",Giocatori!A584)</f>
        <v/>
      </c>
      <c r="M587" s="230" t="str">
        <f>IF(Giocatori!C584=0,"",Giocatori!C584)</f>
        <v/>
      </c>
      <c r="N587" s="69" t="str">
        <f t="shared" si="143"/>
        <v/>
      </c>
      <c r="O587" t="str">
        <f t="shared" si="144"/>
        <v/>
      </c>
      <c r="P587" s="7">
        <f t="shared" ca="1" si="152"/>
        <v>548</v>
      </c>
      <c r="Q587" s="7" t="str">
        <f t="shared" ca="1" si="145"/>
        <v/>
      </c>
      <c r="Z587" s="256"/>
      <c r="AA587" s="219"/>
      <c r="AB587" s="295" t="str">
        <f t="shared" si="146"/>
        <v/>
      </c>
      <c r="AC587" s="296" t="str">
        <f t="shared" si="147"/>
        <v/>
      </c>
      <c r="AD587" s="219"/>
      <c r="AE587" s="219"/>
      <c r="AF587" s="295" t="str">
        <f>IF(AA587="","",VLOOKUP(AA587,Asta!$B:$H,7,FALSE))</f>
        <v/>
      </c>
      <c r="AG587" s="296" t="str">
        <f t="shared" si="148"/>
        <v/>
      </c>
      <c r="AH587" t="str">
        <f t="shared" si="149"/>
        <v/>
      </c>
      <c r="AI587" s="254" t="str">
        <f t="shared" ca="1" si="153"/>
        <v>568</v>
      </c>
      <c r="AJ587" s="254" t="str">
        <f t="shared" ca="1" si="154"/>
        <v>568</v>
      </c>
      <c r="AK587" s="351"/>
    </row>
    <row r="588" spans="1:37">
      <c r="A588" s="74">
        <v>569</v>
      </c>
      <c r="B588" s="252"/>
      <c r="C588" s="295" t="str">
        <f t="shared" si="155"/>
        <v/>
      </c>
      <c r="D588" s="296" t="str">
        <f t="shared" si="156"/>
        <v/>
      </c>
      <c r="E588" s="287"/>
      <c r="F588" s="295" t="str">
        <f t="shared" si="141"/>
        <v/>
      </c>
      <c r="G588" s="296" t="str">
        <f t="shared" si="142"/>
        <v/>
      </c>
      <c r="H588" s="290"/>
      <c r="I588" s="254" t="str">
        <f t="shared" ca="1" si="150"/>
        <v>1</v>
      </c>
      <c r="J588" s="254" t="str">
        <f t="shared" ca="1" si="151"/>
        <v>1</v>
      </c>
      <c r="K588" s="230" t="str">
        <f>IF(Giocatori!B585=0,"",Giocatori!B585)</f>
        <v/>
      </c>
      <c r="L588" s="230" t="str">
        <f>IF(Giocatori!A585=0,"",Giocatori!A585)</f>
        <v/>
      </c>
      <c r="M588" s="230" t="str">
        <f>IF(Giocatori!C585=0,"",Giocatori!C585)</f>
        <v/>
      </c>
      <c r="N588" s="69" t="str">
        <f t="shared" si="143"/>
        <v/>
      </c>
      <c r="O588" t="str">
        <f t="shared" si="144"/>
        <v/>
      </c>
      <c r="P588" s="7">
        <f t="shared" ca="1" si="152"/>
        <v>548</v>
      </c>
      <c r="Q588" s="7" t="str">
        <f t="shared" ca="1" si="145"/>
        <v/>
      </c>
      <c r="Z588" s="256"/>
      <c r="AA588" s="219"/>
      <c r="AB588" s="295" t="str">
        <f t="shared" si="146"/>
        <v/>
      </c>
      <c r="AC588" s="296" t="str">
        <f t="shared" si="147"/>
        <v/>
      </c>
      <c r="AD588" s="219"/>
      <c r="AE588" s="219"/>
      <c r="AF588" s="295" t="str">
        <f>IF(AA588="","",VLOOKUP(AA588,Asta!$B:$H,7,FALSE))</f>
        <v/>
      </c>
      <c r="AG588" s="296" t="str">
        <f t="shared" si="148"/>
        <v/>
      </c>
      <c r="AH588" t="str">
        <f t="shared" si="149"/>
        <v/>
      </c>
      <c r="AI588" s="254" t="str">
        <f t="shared" ca="1" si="153"/>
        <v>569</v>
      </c>
      <c r="AJ588" s="254" t="str">
        <f t="shared" ca="1" si="154"/>
        <v>569</v>
      </c>
      <c r="AK588" s="351"/>
    </row>
    <row r="589" spans="1:37">
      <c r="A589" s="74">
        <v>570</v>
      </c>
      <c r="B589" s="252"/>
      <c r="C589" s="295" t="str">
        <f t="shared" si="155"/>
        <v/>
      </c>
      <c r="D589" s="296" t="str">
        <f t="shared" si="156"/>
        <v/>
      </c>
      <c r="E589" s="287"/>
      <c r="F589" s="295" t="str">
        <f t="shared" si="141"/>
        <v/>
      </c>
      <c r="G589" s="296" t="str">
        <f t="shared" si="142"/>
        <v/>
      </c>
      <c r="H589" s="290"/>
      <c r="I589" s="254" t="str">
        <f t="shared" ca="1" si="150"/>
        <v>1</v>
      </c>
      <c r="J589" s="254" t="str">
        <f t="shared" ca="1" si="151"/>
        <v>1</v>
      </c>
      <c r="K589" s="230" t="str">
        <f>IF(Giocatori!B586=0,"",Giocatori!B586)</f>
        <v/>
      </c>
      <c r="L589" s="230" t="str">
        <f>IF(Giocatori!A586=0,"",Giocatori!A586)</f>
        <v/>
      </c>
      <c r="M589" s="230" t="str">
        <f>IF(Giocatori!C586=0,"",Giocatori!C586)</f>
        <v/>
      </c>
      <c r="N589" s="69" t="str">
        <f t="shared" si="143"/>
        <v/>
      </c>
      <c r="O589" t="str">
        <f t="shared" si="144"/>
        <v/>
      </c>
      <c r="P589" s="7">
        <f t="shared" ca="1" si="152"/>
        <v>548</v>
      </c>
      <c r="Q589" s="7" t="str">
        <f t="shared" ca="1" si="145"/>
        <v/>
      </c>
      <c r="Z589" s="256"/>
      <c r="AA589" s="219"/>
      <c r="AB589" s="295" t="str">
        <f t="shared" si="146"/>
        <v/>
      </c>
      <c r="AC589" s="296" t="str">
        <f t="shared" si="147"/>
        <v/>
      </c>
      <c r="AD589" s="219"/>
      <c r="AE589" s="219"/>
      <c r="AF589" s="295" t="str">
        <f>IF(AA589="","",VLOOKUP(AA589,Asta!$B:$H,7,FALSE))</f>
        <v/>
      </c>
      <c r="AG589" s="296" t="str">
        <f t="shared" si="148"/>
        <v/>
      </c>
      <c r="AH589" t="str">
        <f t="shared" si="149"/>
        <v/>
      </c>
      <c r="AI589" s="254" t="str">
        <f t="shared" ca="1" si="153"/>
        <v>570</v>
      </c>
      <c r="AJ589" s="254" t="str">
        <f t="shared" ca="1" si="154"/>
        <v>570</v>
      </c>
      <c r="AK589" s="351"/>
    </row>
    <row r="590" spans="1:37">
      <c r="A590" s="74">
        <v>571</v>
      </c>
      <c r="B590" s="252"/>
      <c r="C590" s="295" t="str">
        <f t="shared" si="155"/>
        <v/>
      </c>
      <c r="D590" s="296" t="str">
        <f t="shared" si="156"/>
        <v/>
      </c>
      <c r="E590" s="287"/>
      <c r="F590" s="295" t="str">
        <f t="shared" si="141"/>
        <v/>
      </c>
      <c r="G590" s="296" t="str">
        <f t="shared" si="142"/>
        <v/>
      </c>
      <c r="H590" s="290"/>
      <c r="I590" s="254" t="str">
        <f t="shared" ca="1" si="150"/>
        <v>1</v>
      </c>
      <c r="J590" s="254" t="str">
        <f t="shared" ca="1" si="151"/>
        <v>1</v>
      </c>
      <c r="K590" s="230" t="str">
        <f>IF(Giocatori!B587=0,"",Giocatori!B587)</f>
        <v/>
      </c>
      <c r="L590" s="230" t="str">
        <f>IF(Giocatori!A587=0,"",Giocatori!A587)</f>
        <v/>
      </c>
      <c r="M590" s="230" t="str">
        <f>IF(Giocatori!C587=0,"",Giocatori!C587)</f>
        <v/>
      </c>
      <c r="N590" s="69" t="str">
        <f t="shared" si="143"/>
        <v/>
      </c>
      <c r="O590" t="str">
        <f t="shared" si="144"/>
        <v/>
      </c>
      <c r="P590" s="7">
        <f t="shared" ca="1" si="152"/>
        <v>548</v>
      </c>
      <c r="Q590" s="7" t="str">
        <f t="shared" ca="1" si="145"/>
        <v/>
      </c>
      <c r="Z590" s="256"/>
      <c r="AA590" s="219"/>
      <c r="AB590" s="295" t="str">
        <f t="shared" si="146"/>
        <v/>
      </c>
      <c r="AC590" s="296" t="str">
        <f t="shared" si="147"/>
        <v/>
      </c>
      <c r="AD590" s="219"/>
      <c r="AE590" s="219"/>
      <c r="AF590" s="295" t="str">
        <f>IF(AA590="","",VLOOKUP(AA590,Asta!$B:$H,7,FALSE))</f>
        <v/>
      </c>
      <c r="AG590" s="296" t="str">
        <f t="shared" si="148"/>
        <v/>
      </c>
      <c r="AH590" t="str">
        <f t="shared" si="149"/>
        <v/>
      </c>
      <c r="AI590" s="254" t="str">
        <f t="shared" ca="1" si="153"/>
        <v>571</v>
      </c>
      <c r="AJ590" s="254" t="str">
        <f t="shared" ca="1" si="154"/>
        <v>571</v>
      </c>
      <c r="AK590" s="351"/>
    </row>
    <row r="591" spans="1:37">
      <c r="A591" s="74">
        <v>572</v>
      </c>
      <c r="B591" s="252"/>
      <c r="C591" s="295" t="str">
        <f t="shared" si="155"/>
        <v/>
      </c>
      <c r="D591" s="296" t="str">
        <f t="shared" si="156"/>
        <v/>
      </c>
      <c r="E591" s="287"/>
      <c r="F591" s="295" t="str">
        <f t="shared" si="141"/>
        <v/>
      </c>
      <c r="G591" s="296" t="str">
        <f t="shared" si="142"/>
        <v/>
      </c>
      <c r="H591" s="290"/>
      <c r="I591" s="254" t="str">
        <f t="shared" ca="1" si="150"/>
        <v>1</v>
      </c>
      <c r="J591" s="254" t="str">
        <f t="shared" ca="1" si="151"/>
        <v>1</v>
      </c>
      <c r="K591" s="230" t="str">
        <f>IF(Giocatori!B588=0,"",Giocatori!B588)</f>
        <v/>
      </c>
      <c r="L591" s="230" t="str">
        <f>IF(Giocatori!A588=0,"",Giocatori!A588)</f>
        <v/>
      </c>
      <c r="M591" s="230" t="str">
        <f>IF(Giocatori!C588=0,"",Giocatori!C588)</f>
        <v/>
      </c>
      <c r="N591" s="69" t="str">
        <f t="shared" si="143"/>
        <v/>
      </c>
      <c r="O591" t="str">
        <f t="shared" si="144"/>
        <v/>
      </c>
      <c r="P591" s="7">
        <f t="shared" ca="1" si="152"/>
        <v>548</v>
      </c>
      <c r="Q591" s="7" t="str">
        <f t="shared" ca="1" si="145"/>
        <v/>
      </c>
      <c r="Z591" s="256"/>
      <c r="AA591" s="219"/>
      <c r="AB591" s="295" t="str">
        <f t="shared" si="146"/>
        <v/>
      </c>
      <c r="AC591" s="296" t="str">
        <f t="shared" si="147"/>
        <v/>
      </c>
      <c r="AD591" s="219"/>
      <c r="AE591" s="219"/>
      <c r="AF591" s="295" t="str">
        <f>IF(AA591="","",VLOOKUP(AA591,Asta!$B:$H,7,FALSE))</f>
        <v/>
      </c>
      <c r="AG591" s="296" t="str">
        <f t="shared" si="148"/>
        <v/>
      </c>
      <c r="AH591" t="str">
        <f t="shared" si="149"/>
        <v/>
      </c>
      <c r="AI591" s="254" t="str">
        <f t="shared" ca="1" si="153"/>
        <v>572</v>
      </c>
      <c r="AJ591" s="254" t="str">
        <f t="shared" ca="1" si="154"/>
        <v>572</v>
      </c>
      <c r="AK591" s="351"/>
    </row>
    <row r="592" spans="1:37">
      <c r="A592" s="74">
        <v>573</v>
      </c>
      <c r="B592" s="252"/>
      <c r="C592" s="295" t="str">
        <f t="shared" si="155"/>
        <v/>
      </c>
      <c r="D592" s="296" t="str">
        <f t="shared" si="156"/>
        <v/>
      </c>
      <c r="E592" s="287"/>
      <c r="F592" s="295" t="str">
        <f t="shared" si="141"/>
        <v/>
      </c>
      <c r="G592" s="296" t="str">
        <f t="shared" si="142"/>
        <v/>
      </c>
      <c r="H592" s="290"/>
      <c r="I592" s="254" t="str">
        <f t="shared" ca="1" si="150"/>
        <v>1</v>
      </c>
      <c r="J592" s="254" t="str">
        <f t="shared" ca="1" si="151"/>
        <v>1</v>
      </c>
      <c r="K592" s="230" t="str">
        <f>IF(Giocatori!B589=0,"",Giocatori!B589)</f>
        <v/>
      </c>
      <c r="L592" s="230" t="str">
        <f>IF(Giocatori!A589=0,"",Giocatori!A589)</f>
        <v/>
      </c>
      <c r="M592" s="230" t="str">
        <f>IF(Giocatori!C589=0,"",Giocatori!C589)</f>
        <v/>
      </c>
      <c r="N592" s="69" t="str">
        <f t="shared" si="143"/>
        <v/>
      </c>
      <c r="O592" t="str">
        <f t="shared" si="144"/>
        <v/>
      </c>
      <c r="P592" s="7">
        <f t="shared" ca="1" si="152"/>
        <v>548</v>
      </c>
      <c r="Q592" s="7" t="str">
        <f t="shared" ca="1" si="145"/>
        <v/>
      </c>
      <c r="Z592" s="256"/>
      <c r="AA592" s="219"/>
      <c r="AB592" s="295" t="str">
        <f t="shared" si="146"/>
        <v/>
      </c>
      <c r="AC592" s="296" t="str">
        <f t="shared" si="147"/>
        <v/>
      </c>
      <c r="AD592" s="219"/>
      <c r="AE592" s="219"/>
      <c r="AF592" s="295" t="str">
        <f>IF(AA592="","",VLOOKUP(AA592,Asta!$B:$H,7,FALSE))</f>
        <v/>
      </c>
      <c r="AG592" s="296" t="str">
        <f t="shared" si="148"/>
        <v/>
      </c>
      <c r="AH592" t="str">
        <f t="shared" si="149"/>
        <v/>
      </c>
      <c r="AI592" s="254" t="str">
        <f t="shared" ca="1" si="153"/>
        <v>573</v>
      </c>
      <c r="AJ592" s="254" t="str">
        <f t="shared" ca="1" si="154"/>
        <v>573</v>
      </c>
      <c r="AK592" s="351"/>
    </row>
    <row r="593" spans="1:37">
      <c r="A593" s="74">
        <v>574</v>
      </c>
      <c r="B593" s="252"/>
      <c r="C593" s="295" t="str">
        <f t="shared" si="155"/>
        <v/>
      </c>
      <c r="D593" s="296" t="str">
        <f t="shared" si="156"/>
        <v/>
      </c>
      <c r="E593" s="287"/>
      <c r="F593" s="295" t="str">
        <f t="shared" si="141"/>
        <v/>
      </c>
      <c r="G593" s="296" t="str">
        <f t="shared" si="142"/>
        <v/>
      </c>
      <c r="H593" s="290"/>
      <c r="I593" s="254" t="str">
        <f t="shared" ca="1" si="150"/>
        <v>1</v>
      </c>
      <c r="J593" s="254" t="str">
        <f t="shared" ca="1" si="151"/>
        <v>1</v>
      </c>
      <c r="K593" s="230" t="str">
        <f>IF(Giocatori!B590=0,"",Giocatori!B590)</f>
        <v/>
      </c>
      <c r="L593" s="230" t="str">
        <f>IF(Giocatori!A590=0,"",Giocatori!A590)</f>
        <v/>
      </c>
      <c r="M593" s="230" t="str">
        <f>IF(Giocatori!C590=0,"",Giocatori!C590)</f>
        <v/>
      </c>
      <c r="N593" s="69" t="str">
        <f t="shared" si="143"/>
        <v/>
      </c>
      <c r="O593" t="str">
        <f t="shared" si="144"/>
        <v/>
      </c>
      <c r="P593" s="7">
        <f t="shared" ca="1" si="152"/>
        <v>548</v>
      </c>
      <c r="Q593" s="7" t="str">
        <f t="shared" ca="1" si="145"/>
        <v/>
      </c>
      <c r="Z593" s="256"/>
      <c r="AA593" s="219"/>
      <c r="AB593" s="295" t="str">
        <f t="shared" si="146"/>
        <v/>
      </c>
      <c r="AC593" s="296" t="str">
        <f t="shared" si="147"/>
        <v/>
      </c>
      <c r="AD593" s="219"/>
      <c r="AE593" s="219"/>
      <c r="AF593" s="295" t="str">
        <f>IF(AA593="","",VLOOKUP(AA593,Asta!$B:$H,7,FALSE))</f>
        <v/>
      </c>
      <c r="AG593" s="296" t="str">
        <f t="shared" si="148"/>
        <v/>
      </c>
      <c r="AH593" t="str">
        <f t="shared" si="149"/>
        <v/>
      </c>
      <c r="AI593" s="254" t="str">
        <f t="shared" ca="1" si="153"/>
        <v>574</v>
      </c>
      <c r="AJ593" s="254" t="str">
        <f t="shared" ca="1" si="154"/>
        <v>574</v>
      </c>
      <c r="AK593" s="351"/>
    </row>
    <row r="594" spans="1:37">
      <c r="A594" s="74">
        <v>575</v>
      </c>
      <c r="B594" s="252"/>
      <c r="C594" s="295" t="str">
        <f t="shared" si="155"/>
        <v/>
      </c>
      <c r="D594" s="296" t="str">
        <f t="shared" si="156"/>
        <v/>
      </c>
      <c r="E594" s="287"/>
      <c r="F594" s="295" t="str">
        <f t="shared" si="141"/>
        <v/>
      </c>
      <c r="G594" s="296" t="str">
        <f t="shared" si="142"/>
        <v/>
      </c>
      <c r="H594" s="290"/>
      <c r="I594" s="254" t="str">
        <f t="shared" ca="1" si="150"/>
        <v>1</v>
      </c>
      <c r="J594" s="254" t="str">
        <f t="shared" ca="1" si="151"/>
        <v>1</v>
      </c>
      <c r="K594" s="230" t="str">
        <f>IF(Giocatori!B591=0,"",Giocatori!B591)</f>
        <v/>
      </c>
      <c r="L594" s="230" t="str">
        <f>IF(Giocatori!A591=0,"",Giocatori!A591)</f>
        <v/>
      </c>
      <c r="M594" s="230" t="str">
        <f>IF(Giocatori!C591=0,"",Giocatori!C591)</f>
        <v/>
      </c>
      <c r="N594" s="69" t="str">
        <f t="shared" si="143"/>
        <v/>
      </c>
      <c r="O594" t="str">
        <f t="shared" si="144"/>
        <v/>
      </c>
      <c r="P594" s="7">
        <f t="shared" ca="1" si="152"/>
        <v>548</v>
      </c>
      <c r="Q594" s="7" t="str">
        <f t="shared" ca="1" si="145"/>
        <v/>
      </c>
      <c r="Z594" s="256"/>
      <c r="AA594" s="219"/>
      <c r="AB594" s="295" t="str">
        <f t="shared" si="146"/>
        <v/>
      </c>
      <c r="AC594" s="296" t="str">
        <f t="shared" si="147"/>
        <v/>
      </c>
      <c r="AD594" s="219"/>
      <c r="AE594" s="219"/>
      <c r="AF594" s="295" t="str">
        <f>IF(AA594="","",VLOOKUP(AA594,Asta!$B:$H,7,FALSE))</f>
        <v/>
      </c>
      <c r="AG594" s="296" t="str">
        <f t="shared" si="148"/>
        <v/>
      </c>
      <c r="AH594" t="str">
        <f t="shared" si="149"/>
        <v/>
      </c>
      <c r="AI594" s="254" t="str">
        <f t="shared" ca="1" si="153"/>
        <v>575</v>
      </c>
      <c r="AJ594" s="254" t="str">
        <f t="shared" ca="1" si="154"/>
        <v>575</v>
      </c>
      <c r="AK594" s="351"/>
    </row>
    <row r="595" spans="1:37">
      <c r="A595" s="74">
        <v>576</v>
      </c>
      <c r="B595" s="252"/>
      <c r="C595" s="295" t="str">
        <f t="shared" si="155"/>
        <v/>
      </c>
      <c r="D595" s="296" t="str">
        <f t="shared" si="156"/>
        <v/>
      </c>
      <c r="E595" s="287"/>
      <c r="F595" s="295" t="str">
        <f t="shared" si="141"/>
        <v/>
      </c>
      <c r="G595" s="296" t="str">
        <f t="shared" si="142"/>
        <v/>
      </c>
      <c r="H595" s="290"/>
      <c r="I595" s="254" t="str">
        <f t="shared" ca="1" si="150"/>
        <v>1</v>
      </c>
      <c r="J595" s="254" t="str">
        <f t="shared" ca="1" si="151"/>
        <v>1</v>
      </c>
      <c r="K595" s="230" t="str">
        <f>IF(Giocatori!B592=0,"",Giocatori!B592)</f>
        <v/>
      </c>
      <c r="L595" s="230" t="str">
        <f>IF(Giocatori!A592=0,"",Giocatori!A592)</f>
        <v/>
      </c>
      <c r="M595" s="230" t="str">
        <f>IF(Giocatori!C592=0,"",Giocatori!C592)</f>
        <v/>
      </c>
      <c r="N595" s="69" t="str">
        <f t="shared" si="143"/>
        <v/>
      </c>
      <c r="O595" t="str">
        <f t="shared" si="144"/>
        <v/>
      </c>
      <c r="P595" s="7">
        <f t="shared" ca="1" si="152"/>
        <v>548</v>
      </c>
      <c r="Q595" s="7" t="str">
        <f t="shared" ca="1" si="145"/>
        <v/>
      </c>
      <c r="Z595" s="256"/>
      <c r="AA595" s="219"/>
      <c r="AB595" s="295" t="str">
        <f t="shared" si="146"/>
        <v/>
      </c>
      <c r="AC595" s="296" t="str">
        <f t="shared" si="147"/>
        <v/>
      </c>
      <c r="AD595" s="219"/>
      <c r="AE595" s="219"/>
      <c r="AF595" s="295" t="str">
        <f>IF(AA595="","",VLOOKUP(AA595,Asta!$B:$H,7,FALSE))</f>
        <v/>
      </c>
      <c r="AG595" s="296" t="str">
        <f t="shared" si="148"/>
        <v/>
      </c>
      <c r="AH595" t="str">
        <f t="shared" si="149"/>
        <v/>
      </c>
      <c r="AI595" s="254" t="str">
        <f t="shared" ca="1" si="153"/>
        <v>576</v>
      </c>
      <c r="AJ595" s="254" t="str">
        <f t="shared" ca="1" si="154"/>
        <v>576</v>
      </c>
      <c r="AK595" s="351"/>
    </row>
    <row r="596" spans="1:37">
      <c r="A596" s="74">
        <v>577</v>
      </c>
      <c r="B596" s="252"/>
      <c r="C596" s="295" t="str">
        <f t="shared" si="155"/>
        <v/>
      </c>
      <c r="D596" s="296" t="str">
        <f t="shared" si="156"/>
        <v/>
      </c>
      <c r="E596" s="287"/>
      <c r="F596" s="295" t="str">
        <f t="shared" ref="F596:F660" si="157">IF(B596="","",IF(ISNA(VLOOKUP(B596,$AA$20:$AE$807,5,FALSE)),"",VLOOKUP(B596,$AA$20:$AE$807,5,FALSE)))</f>
        <v/>
      </c>
      <c r="G596" s="296" t="str">
        <f t="shared" ref="G596:G659" si="158">IF(B596="","",IF(F596="",IF(E596="","",E596),F596))</f>
        <v/>
      </c>
      <c r="H596" s="290"/>
      <c r="I596" s="254" t="str">
        <f t="shared" ca="1" si="150"/>
        <v>1</v>
      </c>
      <c r="J596" s="254" t="str">
        <f t="shared" ca="1" si="151"/>
        <v>1</v>
      </c>
      <c r="K596" s="230" t="str">
        <f>IF(Giocatori!B593=0,"",Giocatori!B593)</f>
        <v/>
      </c>
      <c r="L596" s="230" t="str">
        <f>IF(Giocatori!A593=0,"",Giocatori!A593)</f>
        <v/>
      </c>
      <c r="M596" s="230" t="str">
        <f>IF(Giocatori!C593=0,"",Giocatori!C593)</f>
        <v/>
      </c>
      <c r="N596" s="69" t="str">
        <f t="shared" ref="N596:N659" si="159">IF(B596=0,"",B596)</f>
        <v/>
      </c>
      <c r="O596" t="str">
        <f t="shared" ref="O596:O659" si="160">IF(ISNA(VLOOKUP(K596,$N$20:$N$720,1,FALSE)),K596,"")</f>
        <v/>
      </c>
      <c r="P596" s="7">
        <f t="shared" ca="1" si="152"/>
        <v>548</v>
      </c>
      <c r="Q596" s="7" t="str">
        <f t="shared" ref="Q596:Q659" ca="1" si="161">IF(ISERROR(INDEX($O$6:$O$720,MATCH(ROW(),$P$6:$P$720,FALSE))),"",INDEX($O$6:$O$720,MATCH(ROW(),$P$6:$P$720,FALSE)))</f>
        <v/>
      </c>
      <c r="Z596" s="256"/>
      <c r="AA596" s="219"/>
      <c r="AB596" s="295" t="str">
        <f t="shared" ref="AB596:AB659" si="162">IF(AA596&lt;&gt;"",VLOOKUP(AA596,$K:$M,2,FALSE),"")</f>
        <v/>
      </c>
      <c r="AC596" s="296" t="str">
        <f t="shared" ref="AC596:AC659" si="163">IF(AA596&lt;&gt;"",VLOOKUP(AA596,$K:$M,3,FALSE),"")</f>
        <v/>
      </c>
      <c r="AD596" s="219"/>
      <c r="AE596" s="219"/>
      <c r="AF596" s="295" t="str">
        <f>IF(AA596="","",VLOOKUP(AA596,Asta!$B:$H,7,FALSE))</f>
        <v/>
      </c>
      <c r="AG596" s="296" t="str">
        <f t="shared" ref="AG596:AG659" si="164">IF(AD596="","",IF(AD596=$Y$20,-AF596,IF(AD596=$Y$21,AF596)))</f>
        <v/>
      </c>
      <c r="AH596" t="str">
        <f t="shared" ref="AH596:AH659" si="165">IF(AG596="","",-AG596)</f>
        <v/>
      </c>
      <c r="AI596" s="254" t="str">
        <f t="shared" ca="1" si="153"/>
        <v>577</v>
      </c>
      <c r="AJ596" s="254" t="str">
        <f t="shared" ca="1" si="154"/>
        <v>577</v>
      </c>
      <c r="AK596" s="351"/>
    </row>
    <row r="597" spans="1:37">
      <c r="A597" s="74">
        <v>578</v>
      </c>
      <c r="B597" s="252"/>
      <c r="C597" s="295" t="str">
        <f t="shared" si="155"/>
        <v/>
      </c>
      <c r="D597" s="296" t="str">
        <f t="shared" si="156"/>
        <v/>
      </c>
      <c r="E597" s="287"/>
      <c r="F597" s="295" t="str">
        <f t="shared" si="157"/>
        <v/>
      </c>
      <c r="G597" s="296" t="str">
        <f t="shared" si="158"/>
        <v/>
      </c>
      <c r="H597" s="290"/>
      <c r="I597" s="254" t="str">
        <f t="shared" ref="I597:I660" ca="1" si="166">G597&amp;C597&amp;COUNTIFS(INDIRECT("$C$19:$C$" &amp; ROW()-1),"="&amp;C597,INDIRECT("$G$19:$G$" &amp; ROW()-1),"="&amp;G597)+1</f>
        <v>1</v>
      </c>
      <c r="J597" s="254" t="str">
        <f t="shared" ref="J597:J660" ca="1" si="167">G597&amp;COUNTIFS(INDIRECT("$G$19:$G$" &amp; ROW()-1),"="&amp;G597)+1</f>
        <v>1</v>
      </c>
      <c r="K597" s="230" t="str">
        <f>IF(Giocatori!B594=0,"",Giocatori!B594)</f>
        <v/>
      </c>
      <c r="L597" s="230" t="str">
        <f>IF(Giocatori!A594=0,"",Giocatori!A594)</f>
        <v/>
      </c>
      <c r="M597" s="230" t="str">
        <f>IF(Giocatori!C594=0,"",Giocatori!C594)</f>
        <v/>
      </c>
      <c r="N597" s="69" t="str">
        <f t="shared" si="159"/>
        <v/>
      </c>
      <c r="O597" t="str">
        <f t="shared" si="160"/>
        <v/>
      </c>
      <c r="P597" s="7">
        <f t="shared" ref="P597:P660" ca="1" si="168">ROW()-COUNTBLANK(INDIRECT("$O$20:O"&amp;ROW()))</f>
        <v>548</v>
      </c>
      <c r="Q597" s="7" t="str">
        <f t="shared" ca="1" si="161"/>
        <v/>
      </c>
      <c r="Z597" s="256"/>
      <c r="AA597" s="219"/>
      <c r="AB597" s="295" t="str">
        <f t="shared" si="162"/>
        <v/>
      </c>
      <c r="AC597" s="296" t="str">
        <f t="shared" si="163"/>
        <v/>
      </c>
      <c r="AD597" s="219"/>
      <c r="AE597" s="219"/>
      <c r="AF597" s="295" t="str">
        <f>IF(AA597="","",VLOOKUP(AA597,Asta!$B:$H,7,FALSE))</f>
        <v/>
      </c>
      <c r="AG597" s="296" t="str">
        <f t="shared" si="164"/>
        <v/>
      </c>
      <c r="AH597" t="str">
        <f t="shared" si="165"/>
        <v/>
      </c>
      <c r="AI597" s="254" t="str">
        <f t="shared" ref="AI597:AI660" ca="1" si="169">Z597&amp;COUNTIFS(INDIRECT("$Z$20:$Z$" &amp; ROW()-1),"="&amp;Z597)+1</f>
        <v>578</v>
      </c>
      <c r="AJ597" s="254" t="str">
        <f t="shared" ref="AJ597:AJ660" ca="1" si="170">AE597&amp;COUNTIFS(INDIRECT("$AE$20:$AE$" &amp; ROW()-1),"="&amp;AE597)+1</f>
        <v>578</v>
      </c>
      <c r="AK597" s="351"/>
    </row>
    <row r="598" spans="1:37">
      <c r="A598" s="74">
        <v>579</v>
      </c>
      <c r="B598" s="252"/>
      <c r="C598" s="295" t="str">
        <f t="shared" si="155"/>
        <v/>
      </c>
      <c r="D598" s="296" t="str">
        <f t="shared" si="156"/>
        <v/>
      </c>
      <c r="E598" s="287"/>
      <c r="F598" s="295" t="str">
        <f t="shared" si="157"/>
        <v/>
      </c>
      <c r="G598" s="296" t="str">
        <f t="shared" si="158"/>
        <v/>
      </c>
      <c r="H598" s="290"/>
      <c r="I598" s="254" t="str">
        <f t="shared" ca="1" si="166"/>
        <v>1</v>
      </c>
      <c r="J598" s="254" t="str">
        <f t="shared" ca="1" si="167"/>
        <v>1</v>
      </c>
      <c r="K598" s="230" t="str">
        <f>IF(Giocatori!B595=0,"",Giocatori!B595)</f>
        <v/>
      </c>
      <c r="L598" s="230" t="str">
        <f>IF(Giocatori!A595=0,"",Giocatori!A595)</f>
        <v/>
      </c>
      <c r="M598" s="230" t="str">
        <f>IF(Giocatori!C595=0,"",Giocatori!C595)</f>
        <v/>
      </c>
      <c r="N598" s="69" t="str">
        <f t="shared" si="159"/>
        <v/>
      </c>
      <c r="O598" t="str">
        <f t="shared" si="160"/>
        <v/>
      </c>
      <c r="P598" s="7">
        <f t="shared" ca="1" si="168"/>
        <v>548</v>
      </c>
      <c r="Q598" s="7" t="str">
        <f t="shared" ca="1" si="161"/>
        <v/>
      </c>
      <c r="Z598" s="256"/>
      <c r="AA598" s="219"/>
      <c r="AB598" s="295" t="str">
        <f t="shared" si="162"/>
        <v/>
      </c>
      <c r="AC598" s="296" t="str">
        <f t="shared" si="163"/>
        <v/>
      </c>
      <c r="AD598" s="219"/>
      <c r="AE598" s="219"/>
      <c r="AF598" s="295" t="str">
        <f>IF(AA598="","",VLOOKUP(AA598,Asta!$B:$H,7,FALSE))</f>
        <v/>
      </c>
      <c r="AG598" s="296" t="str">
        <f t="shared" si="164"/>
        <v/>
      </c>
      <c r="AH598" t="str">
        <f t="shared" si="165"/>
        <v/>
      </c>
      <c r="AI598" s="254" t="str">
        <f t="shared" ca="1" si="169"/>
        <v>579</v>
      </c>
      <c r="AJ598" s="254" t="str">
        <f t="shared" ca="1" si="170"/>
        <v>579</v>
      </c>
      <c r="AK598" s="351"/>
    </row>
    <row r="599" spans="1:37">
      <c r="A599" s="74">
        <v>580</v>
      </c>
      <c r="B599" s="252"/>
      <c r="C599" s="295" t="str">
        <f t="shared" si="155"/>
        <v/>
      </c>
      <c r="D599" s="296" t="str">
        <f t="shared" si="156"/>
        <v/>
      </c>
      <c r="E599" s="287"/>
      <c r="F599" s="295" t="str">
        <f t="shared" si="157"/>
        <v/>
      </c>
      <c r="G599" s="296" t="str">
        <f t="shared" si="158"/>
        <v/>
      </c>
      <c r="H599" s="290"/>
      <c r="I599" s="254" t="str">
        <f t="shared" ca="1" si="166"/>
        <v>1</v>
      </c>
      <c r="J599" s="254" t="str">
        <f t="shared" ca="1" si="167"/>
        <v>1</v>
      </c>
      <c r="K599" s="230" t="str">
        <f>IF(Giocatori!B596=0,"",Giocatori!B596)</f>
        <v/>
      </c>
      <c r="L599" s="230" t="str">
        <f>IF(Giocatori!A596=0,"",Giocatori!A596)</f>
        <v/>
      </c>
      <c r="M599" s="230" t="str">
        <f>IF(Giocatori!C596=0,"",Giocatori!C596)</f>
        <v/>
      </c>
      <c r="N599" s="69" t="str">
        <f t="shared" si="159"/>
        <v/>
      </c>
      <c r="O599" t="str">
        <f t="shared" si="160"/>
        <v/>
      </c>
      <c r="P599" s="7">
        <f t="shared" ca="1" si="168"/>
        <v>548</v>
      </c>
      <c r="Q599" s="7" t="str">
        <f t="shared" ca="1" si="161"/>
        <v/>
      </c>
      <c r="Z599" s="256"/>
      <c r="AA599" s="219"/>
      <c r="AB599" s="295" t="str">
        <f t="shared" si="162"/>
        <v/>
      </c>
      <c r="AC599" s="296" t="str">
        <f t="shared" si="163"/>
        <v/>
      </c>
      <c r="AD599" s="219"/>
      <c r="AE599" s="219"/>
      <c r="AF599" s="295" t="str">
        <f>IF(AA599="","",VLOOKUP(AA599,Asta!$B:$H,7,FALSE))</f>
        <v/>
      </c>
      <c r="AG599" s="296" t="str">
        <f t="shared" si="164"/>
        <v/>
      </c>
      <c r="AH599" t="str">
        <f t="shared" si="165"/>
        <v/>
      </c>
      <c r="AI599" s="254" t="str">
        <f t="shared" ca="1" si="169"/>
        <v>580</v>
      </c>
      <c r="AJ599" s="254" t="str">
        <f t="shared" ca="1" si="170"/>
        <v>580</v>
      </c>
      <c r="AK599" s="351"/>
    </row>
    <row r="600" spans="1:37">
      <c r="A600" s="74">
        <v>581</v>
      </c>
      <c r="B600" s="252"/>
      <c r="C600" s="295" t="str">
        <f t="shared" si="155"/>
        <v/>
      </c>
      <c r="D600" s="296" t="str">
        <f t="shared" si="156"/>
        <v/>
      </c>
      <c r="E600" s="287"/>
      <c r="F600" s="295" t="str">
        <f t="shared" si="157"/>
        <v/>
      </c>
      <c r="G600" s="296" t="str">
        <f t="shared" si="158"/>
        <v/>
      </c>
      <c r="H600" s="290"/>
      <c r="I600" s="254" t="str">
        <f t="shared" ca="1" si="166"/>
        <v>1</v>
      </c>
      <c r="J600" s="254" t="str">
        <f t="shared" ca="1" si="167"/>
        <v>1</v>
      </c>
      <c r="K600" s="230" t="str">
        <f>IF(Giocatori!B597=0,"",Giocatori!B597)</f>
        <v/>
      </c>
      <c r="L600" s="230" t="str">
        <f>IF(Giocatori!A597=0,"",Giocatori!A597)</f>
        <v/>
      </c>
      <c r="M600" s="230" t="str">
        <f>IF(Giocatori!C597=0,"",Giocatori!C597)</f>
        <v/>
      </c>
      <c r="N600" s="69" t="str">
        <f t="shared" si="159"/>
        <v/>
      </c>
      <c r="O600" t="str">
        <f t="shared" si="160"/>
        <v/>
      </c>
      <c r="P600" s="7">
        <f t="shared" ca="1" si="168"/>
        <v>548</v>
      </c>
      <c r="Q600" s="7" t="str">
        <f t="shared" ca="1" si="161"/>
        <v/>
      </c>
      <c r="Z600" s="256"/>
      <c r="AA600" s="219"/>
      <c r="AB600" s="295" t="str">
        <f t="shared" si="162"/>
        <v/>
      </c>
      <c r="AC600" s="296" t="str">
        <f t="shared" si="163"/>
        <v/>
      </c>
      <c r="AD600" s="219"/>
      <c r="AE600" s="219"/>
      <c r="AF600" s="295" t="str">
        <f>IF(AA600="","",VLOOKUP(AA600,Asta!$B:$H,7,FALSE))</f>
        <v/>
      </c>
      <c r="AG600" s="296" t="str">
        <f t="shared" si="164"/>
        <v/>
      </c>
      <c r="AH600" t="str">
        <f t="shared" si="165"/>
        <v/>
      </c>
      <c r="AI600" s="254" t="str">
        <f t="shared" ca="1" si="169"/>
        <v>581</v>
      </c>
      <c r="AJ600" s="254" t="str">
        <f t="shared" ca="1" si="170"/>
        <v>581</v>
      </c>
      <c r="AK600" s="351"/>
    </row>
    <row r="601" spans="1:37">
      <c r="A601" s="74">
        <v>582</v>
      </c>
      <c r="B601" s="252"/>
      <c r="C601" s="295" t="str">
        <f t="shared" si="155"/>
        <v/>
      </c>
      <c r="D601" s="296" t="str">
        <f t="shared" si="156"/>
        <v/>
      </c>
      <c r="E601" s="287"/>
      <c r="F601" s="295" t="str">
        <f t="shared" si="157"/>
        <v/>
      </c>
      <c r="G601" s="296" t="str">
        <f t="shared" si="158"/>
        <v/>
      </c>
      <c r="H601" s="290"/>
      <c r="I601" s="254" t="str">
        <f t="shared" ca="1" si="166"/>
        <v>1</v>
      </c>
      <c r="J601" s="254" t="str">
        <f t="shared" ca="1" si="167"/>
        <v>1</v>
      </c>
      <c r="K601" s="230" t="str">
        <f>IF(Giocatori!B598=0,"",Giocatori!B598)</f>
        <v/>
      </c>
      <c r="L601" s="230" t="str">
        <f>IF(Giocatori!A598=0,"",Giocatori!A598)</f>
        <v/>
      </c>
      <c r="M601" s="230" t="str">
        <f>IF(Giocatori!C598=0,"",Giocatori!C598)</f>
        <v/>
      </c>
      <c r="N601" s="69" t="str">
        <f t="shared" si="159"/>
        <v/>
      </c>
      <c r="O601" t="str">
        <f t="shared" si="160"/>
        <v/>
      </c>
      <c r="P601" s="7">
        <f t="shared" ca="1" si="168"/>
        <v>548</v>
      </c>
      <c r="Q601" s="7" t="str">
        <f t="shared" ca="1" si="161"/>
        <v/>
      </c>
      <c r="Z601" s="256"/>
      <c r="AA601" s="219"/>
      <c r="AB601" s="295" t="str">
        <f t="shared" si="162"/>
        <v/>
      </c>
      <c r="AC601" s="296" t="str">
        <f t="shared" si="163"/>
        <v/>
      </c>
      <c r="AD601" s="219"/>
      <c r="AE601" s="219"/>
      <c r="AF601" s="295" t="str">
        <f>IF(AA601="","",VLOOKUP(AA601,Asta!$B:$H,7,FALSE))</f>
        <v/>
      </c>
      <c r="AG601" s="296" t="str">
        <f t="shared" si="164"/>
        <v/>
      </c>
      <c r="AH601" t="str">
        <f t="shared" si="165"/>
        <v/>
      </c>
      <c r="AI601" s="254" t="str">
        <f t="shared" ca="1" si="169"/>
        <v>582</v>
      </c>
      <c r="AJ601" s="254" t="str">
        <f t="shared" ca="1" si="170"/>
        <v>582</v>
      </c>
      <c r="AK601" s="351"/>
    </row>
    <row r="602" spans="1:37">
      <c r="A602" s="74">
        <v>583</v>
      </c>
      <c r="B602" s="252"/>
      <c r="C602" s="295" t="str">
        <f t="shared" si="155"/>
        <v/>
      </c>
      <c r="D602" s="296" t="str">
        <f t="shared" si="156"/>
        <v/>
      </c>
      <c r="E602" s="287"/>
      <c r="F602" s="295" t="str">
        <f t="shared" si="157"/>
        <v/>
      </c>
      <c r="G602" s="296" t="str">
        <f t="shared" si="158"/>
        <v/>
      </c>
      <c r="H602" s="290"/>
      <c r="I602" s="254" t="str">
        <f t="shared" ca="1" si="166"/>
        <v>1</v>
      </c>
      <c r="J602" s="254" t="str">
        <f t="shared" ca="1" si="167"/>
        <v>1</v>
      </c>
      <c r="K602" s="230" t="str">
        <f>IF(Giocatori!B599=0,"",Giocatori!B599)</f>
        <v/>
      </c>
      <c r="L602" s="230" t="str">
        <f>IF(Giocatori!A599=0,"",Giocatori!A599)</f>
        <v/>
      </c>
      <c r="M602" s="230" t="str">
        <f>IF(Giocatori!C599=0,"",Giocatori!C599)</f>
        <v/>
      </c>
      <c r="N602" s="69" t="str">
        <f t="shared" si="159"/>
        <v/>
      </c>
      <c r="O602" t="str">
        <f t="shared" si="160"/>
        <v/>
      </c>
      <c r="P602" s="7">
        <f t="shared" ca="1" si="168"/>
        <v>548</v>
      </c>
      <c r="Q602" s="7" t="str">
        <f t="shared" ca="1" si="161"/>
        <v/>
      </c>
      <c r="Z602" s="256"/>
      <c r="AA602" s="219"/>
      <c r="AB602" s="295" t="str">
        <f t="shared" si="162"/>
        <v/>
      </c>
      <c r="AC602" s="296" t="str">
        <f t="shared" si="163"/>
        <v/>
      </c>
      <c r="AD602" s="219"/>
      <c r="AE602" s="219"/>
      <c r="AF602" s="295" t="str">
        <f>IF(AA602="","",VLOOKUP(AA602,Asta!$B:$H,7,FALSE))</f>
        <v/>
      </c>
      <c r="AG602" s="296" t="str">
        <f t="shared" si="164"/>
        <v/>
      </c>
      <c r="AH602" t="str">
        <f t="shared" si="165"/>
        <v/>
      </c>
      <c r="AI602" s="254" t="str">
        <f t="shared" ca="1" si="169"/>
        <v>583</v>
      </c>
      <c r="AJ602" s="254" t="str">
        <f t="shared" ca="1" si="170"/>
        <v>583</v>
      </c>
      <c r="AK602" s="351"/>
    </row>
    <row r="603" spans="1:37">
      <c r="A603" s="74">
        <v>584</v>
      </c>
      <c r="B603" s="252"/>
      <c r="C603" s="295" t="str">
        <f t="shared" si="155"/>
        <v/>
      </c>
      <c r="D603" s="296" t="str">
        <f t="shared" si="156"/>
        <v/>
      </c>
      <c r="E603" s="287"/>
      <c r="F603" s="295" t="str">
        <f t="shared" si="157"/>
        <v/>
      </c>
      <c r="G603" s="296" t="str">
        <f t="shared" si="158"/>
        <v/>
      </c>
      <c r="H603" s="290"/>
      <c r="I603" s="254" t="str">
        <f t="shared" ca="1" si="166"/>
        <v>1</v>
      </c>
      <c r="J603" s="254" t="str">
        <f t="shared" ca="1" si="167"/>
        <v>1</v>
      </c>
      <c r="K603" s="230" t="str">
        <f>IF(Giocatori!B600=0,"",Giocatori!B600)</f>
        <v/>
      </c>
      <c r="L603" s="230" t="str">
        <f>IF(Giocatori!A600=0,"",Giocatori!A600)</f>
        <v/>
      </c>
      <c r="M603" s="230" t="str">
        <f>IF(Giocatori!C600=0,"",Giocatori!C600)</f>
        <v/>
      </c>
      <c r="N603" s="69" t="str">
        <f t="shared" si="159"/>
        <v/>
      </c>
      <c r="O603" t="str">
        <f t="shared" si="160"/>
        <v/>
      </c>
      <c r="P603" s="7">
        <f t="shared" ca="1" si="168"/>
        <v>548</v>
      </c>
      <c r="Q603" s="7" t="str">
        <f t="shared" ca="1" si="161"/>
        <v/>
      </c>
      <c r="Z603" s="256"/>
      <c r="AA603" s="219"/>
      <c r="AB603" s="295" t="str">
        <f t="shared" si="162"/>
        <v/>
      </c>
      <c r="AC603" s="296" t="str">
        <f t="shared" si="163"/>
        <v/>
      </c>
      <c r="AD603" s="219"/>
      <c r="AE603" s="219"/>
      <c r="AF603" s="295" t="str">
        <f>IF(AA603="","",VLOOKUP(AA603,Asta!$B:$H,7,FALSE))</f>
        <v/>
      </c>
      <c r="AG603" s="296" t="str">
        <f t="shared" si="164"/>
        <v/>
      </c>
      <c r="AH603" t="str">
        <f t="shared" si="165"/>
        <v/>
      </c>
      <c r="AI603" s="254" t="str">
        <f t="shared" ca="1" si="169"/>
        <v>584</v>
      </c>
      <c r="AJ603" s="254" t="str">
        <f t="shared" ca="1" si="170"/>
        <v>584</v>
      </c>
      <c r="AK603" s="351"/>
    </row>
    <row r="604" spans="1:37">
      <c r="A604" s="74">
        <v>585</v>
      </c>
      <c r="B604" s="252"/>
      <c r="C604" s="295" t="str">
        <f t="shared" si="155"/>
        <v/>
      </c>
      <c r="D604" s="296" t="str">
        <f t="shared" si="156"/>
        <v/>
      </c>
      <c r="E604" s="287"/>
      <c r="F604" s="295" t="str">
        <f t="shared" si="157"/>
        <v/>
      </c>
      <c r="G604" s="296" t="str">
        <f t="shared" si="158"/>
        <v/>
      </c>
      <c r="H604" s="290"/>
      <c r="I604" s="254" t="str">
        <f t="shared" ca="1" si="166"/>
        <v>1</v>
      </c>
      <c r="J604" s="254" t="str">
        <f t="shared" ca="1" si="167"/>
        <v>1</v>
      </c>
      <c r="K604" s="230" t="str">
        <f>IF(Giocatori!B601=0,"",Giocatori!B601)</f>
        <v/>
      </c>
      <c r="L604" s="230" t="str">
        <f>IF(Giocatori!A601=0,"",Giocatori!A601)</f>
        <v/>
      </c>
      <c r="M604" s="230" t="str">
        <f>IF(Giocatori!C601=0,"",Giocatori!C601)</f>
        <v/>
      </c>
      <c r="N604" s="69" t="str">
        <f t="shared" si="159"/>
        <v/>
      </c>
      <c r="O604" t="str">
        <f t="shared" si="160"/>
        <v/>
      </c>
      <c r="P604" s="7">
        <f t="shared" ca="1" si="168"/>
        <v>548</v>
      </c>
      <c r="Q604" s="7" t="str">
        <f t="shared" ca="1" si="161"/>
        <v/>
      </c>
      <c r="Z604" s="256"/>
      <c r="AA604" s="219"/>
      <c r="AB604" s="295" t="str">
        <f t="shared" si="162"/>
        <v/>
      </c>
      <c r="AC604" s="296" t="str">
        <f t="shared" si="163"/>
        <v/>
      </c>
      <c r="AD604" s="219"/>
      <c r="AE604" s="219"/>
      <c r="AF604" s="295" t="str">
        <f>IF(AA604="","",VLOOKUP(AA604,Asta!$B:$H,7,FALSE))</f>
        <v/>
      </c>
      <c r="AG604" s="296" t="str">
        <f t="shared" si="164"/>
        <v/>
      </c>
      <c r="AH604" t="str">
        <f t="shared" si="165"/>
        <v/>
      </c>
      <c r="AI604" s="254" t="str">
        <f t="shared" ca="1" si="169"/>
        <v>585</v>
      </c>
      <c r="AJ604" s="254" t="str">
        <f t="shared" ca="1" si="170"/>
        <v>585</v>
      </c>
      <c r="AK604" s="351"/>
    </row>
    <row r="605" spans="1:37">
      <c r="A605" s="74">
        <v>586</v>
      </c>
      <c r="B605" s="252"/>
      <c r="C605" s="295" t="str">
        <f t="shared" si="155"/>
        <v/>
      </c>
      <c r="D605" s="296" t="str">
        <f t="shared" si="156"/>
        <v/>
      </c>
      <c r="E605" s="287"/>
      <c r="F605" s="295" t="str">
        <f t="shared" si="157"/>
        <v/>
      </c>
      <c r="G605" s="296" t="str">
        <f t="shared" si="158"/>
        <v/>
      </c>
      <c r="H605" s="290"/>
      <c r="I605" s="254" t="str">
        <f t="shared" ca="1" si="166"/>
        <v>1</v>
      </c>
      <c r="J605" s="254" t="str">
        <f t="shared" ca="1" si="167"/>
        <v>1</v>
      </c>
      <c r="K605" s="230" t="str">
        <f>IF(Giocatori!B602=0,"",Giocatori!B602)</f>
        <v/>
      </c>
      <c r="L605" s="230" t="str">
        <f>IF(Giocatori!A602=0,"",Giocatori!A602)</f>
        <v/>
      </c>
      <c r="M605" s="230" t="str">
        <f>IF(Giocatori!C602=0,"",Giocatori!C602)</f>
        <v/>
      </c>
      <c r="N605" s="69" t="str">
        <f t="shared" si="159"/>
        <v/>
      </c>
      <c r="O605" t="str">
        <f t="shared" si="160"/>
        <v/>
      </c>
      <c r="P605" s="7">
        <f t="shared" ca="1" si="168"/>
        <v>548</v>
      </c>
      <c r="Q605" s="7" t="str">
        <f t="shared" ca="1" si="161"/>
        <v/>
      </c>
      <c r="Z605" s="256"/>
      <c r="AA605" s="219"/>
      <c r="AB605" s="295" t="str">
        <f t="shared" si="162"/>
        <v/>
      </c>
      <c r="AC605" s="296" t="str">
        <f t="shared" si="163"/>
        <v/>
      </c>
      <c r="AD605" s="219"/>
      <c r="AE605" s="219"/>
      <c r="AF605" s="295" t="str">
        <f>IF(AA605="","",VLOOKUP(AA605,Asta!$B:$H,7,FALSE))</f>
        <v/>
      </c>
      <c r="AG605" s="296" t="str">
        <f t="shared" si="164"/>
        <v/>
      </c>
      <c r="AH605" t="str">
        <f t="shared" si="165"/>
        <v/>
      </c>
      <c r="AI605" s="254" t="str">
        <f t="shared" ca="1" si="169"/>
        <v>586</v>
      </c>
      <c r="AJ605" s="254" t="str">
        <f t="shared" ca="1" si="170"/>
        <v>586</v>
      </c>
      <c r="AK605" s="351"/>
    </row>
    <row r="606" spans="1:37">
      <c r="A606" s="74">
        <v>587</v>
      </c>
      <c r="B606" s="252"/>
      <c r="C606" s="295" t="str">
        <f t="shared" si="155"/>
        <v/>
      </c>
      <c r="D606" s="296" t="str">
        <f t="shared" si="156"/>
        <v/>
      </c>
      <c r="E606" s="287"/>
      <c r="F606" s="295" t="str">
        <f t="shared" si="157"/>
        <v/>
      </c>
      <c r="G606" s="296" t="str">
        <f t="shared" si="158"/>
        <v/>
      </c>
      <c r="H606" s="290"/>
      <c r="I606" s="254" t="str">
        <f t="shared" ca="1" si="166"/>
        <v>1</v>
      </c>
      <c r="J606" s="254" t="str">
        <f t="shared" ca="1" si="167"/>
        <v>1</v>
      </c>
      <c r="K606" s="230" t="str">
        <f>IF(Giocatori!B603=0,"",Giocatori!B603)</f>
        <v/>
      </c>
      <c r="L606" s="230" t="str">
        <f>IF(Giocatori!A603=0,"",Giocatori!A603)</f>
        <v/>
      </c>
      <c r="M606" s="230" t="str">
        <f>IF(Giocatori!C603=0,"",Giocatori!C603)</f>
        <v/>
      </c>
      <c r="N606" s="69" t="str">
        <f t="shared" si="159"/>
        <v/>
      </c>
      <c r="O606" t="str">
        <f t="shared" si="160"/>
        <v/>
      </c>
      <c r="P606" s="7">
        <f t="shared" ca="1" si="168"/>
        <v>548</v>
      </c>
      <c r="Q606" s="7" t="str">
        <f t="shared" ca="1" si="161"/>
        <v/>
      </c>
      <c r="Z606" s="256"/>
      <c r="AA606" s="219"/>
      <c r="AB606" s="295" t="str">
        <f t="shared" si="162"/>
        <v/>
      </c>
      <c r="AC606" s="296" t="str">
        <f t="shared" si="163"/>
        <v/>
      </c>
      <c r="AD606" s="219"/>
      <c r="AE606" s="219"/>
      <c r="AF606" s="295" t="str">
        <f>IF(AA606="","",VLOOKUP(AA606,Asta!$B:$H,7,FALSE))</f>
        <v/>
      </c>
      <c r="AG606" s="296" t="str">
        <f t="shared" si="164"/>
        <v/>
      </c>
      <c r="AH606" t="str">
        <f t="shared" si="165"/>
        <v/>
      </c>
      <c r="AI606" s="254" t="str">
        <f t="shared" ca="1" si="169"/>
        <v>587</v>
      </c>
      <c r="AJ606" s="254" t="str">
        <f t="shared" ca="1" si="170"/>
        <v>587</v>
      </c>
      <c r="AK606" s="351"/>
    </row>
    <row r="607" spans="1:37">
      <c r="A607" s="74">
        <v>588</v>
      </c>
      <c r="B607" s="252"/>
      <c r="C607" s="295" t="str">
        <f t="shared" si="155"/>
        <v/>
      </c>
      <c r="D607" s="296" t="str">
        <f t="shared" si="156"/>
        <v/>
      </c>
      <c r="E607" s="287"/>
      <c r="F607" s="295" t="str">
        <f t="shared" si="157"/>
        <v/>
      </c>
      <c r="G607" s="296" t="str">
        <f t="shared" si="158"/>
        <v/>
      </c>
      <c r="H607" s="290"/>
      <c r="I607" s="254" t="str">
        <f t="shared" ca="1" si="166"/>
        <v>1</v>
      </c>
      <c r="J607" s="254" t="str">
        <f t="shared" ca="1" si="167"/>
        <v>1</v>
      </c>
      <c r="K607" s="230" t="str">
        <f>IF(Giocatori!B604=0,"",Giocatori!B604)</f>
        <v/>
      </c>
      <c r="L607" s="230" t="str">
        <f>IF(Giocatori!A604=0,"",Giocatori!A604)</f>
        <v/>
      </c>
      <c r="M607" s="230" t="str">
        <f>IF(Giocatori!C604=0,"",Giocatori!C604)</f>
        <v/>
      </c>
      <c r="N607" s="69" t="str">
        <f t="shared" si="159"/>
        <v/>
      </c>
      <c r="O607" t="str">
        <f t="shared" si="160"/>
        <v/>
      </c>
      <c r="P607" s="7">
        <f t="shared" ca="1" si="168"/>
        <v>548</v>
      </c>
      <c r="Q607" s="7" t="str">
        <f t="shared" ca="1" si="161"/>
        <v/>
      </c>
      <c r="Z607" s="256"/>
      <c r="AA607" s="219"/>
      <c r="AB607" s="295" t="str">
        <f t="shared" si="162"/>
        <v/>
      </c>
      <c r="AC607" s="296" t="str">
        <f t="shared" si="163"/>
        <v/>
      </c>
      <c r="AD607" s="219"/>
      <c r="AE607" s="219"/>
      <c r="AF607" s="295" t="str">
        <f>IF(AA607="","",VLOOKUP(AA607,Asta!$B:$H,7,FALSE))</f>
        <v/>
      </c>
      <c r="AG607" s="296" t="str">
        <f t="shared" si="164"/>
        <v/>
      </c>
      <c r="AH607" t="str">
        <f t="shared" si="165"/>
        <v/>
      </c>
      <c r="AI607" s="254" t="str">
        <f t="shared" ca="1" si="169"/>
        <v>588</v>
      </c>
      <c r="AJ607" s="254" t="str">
        <f t="shared" ca="1" si="170"/>
        <v>588</v>
      </c>
      <c r="AK607" s="351"/>
    </row>
    <row r="608" spans="1:37">
      <c r="A608" s="74">
        <v>589</v>
      </c>
      <c r="B608" s="252"/>
      <c r="C608" s="295" t="str">
        <f t="shared" si="155"/>
        <v/>
      </c>
      <c r="D608" s="296" t="str">
        <f t="shared" si="156"/>
        <v/>
      </c>
      <c r="E608" s="287"/>
      <c r="F608" s="295" t="str">
        <f t="shared" si="157"/>
        <v/>
      </c>
      <c r="G608" s="296" t="str">
        <f t="shared" si="158"/>
        <v/>
      </c>
      <c r="H608" s="290"/>
      <c r="I608" s="254" t="str">
        <f t="shared" ca="1" si="166"/>
        <v>1</v>
      </c>
      <c r="J608" s="254" t="str">
        <f t="shared" ca="1" si="167"/>
        <v>1</v>
      </c>
      <c r="K608" s="230" t="str">
        <f>IF(Giocatori!B605=0,"",Giocatori!B605)</f>
        <v/>
      </c>
      <c r="L608" s="230" t="str">
        <f>IF(Giocatori!A605=0,"",Giocatori!A605)</f>
        <v/>
      </c>
      <c r="M608" s="230" t="str">
        <f>IF(Giocatori!C605=0,"",Giocatori!C605)</f>
        <v/>
      </c>
      <c r="N608" s="69" t="str">
        <f t="shared" si="159"/>
        <v/>
      </c>
      <c r="O608" t="str">
        <f t="shared" si="160"/>
        <v/>
      </c>
      <c r="P608" s="7">
        <f t="shared" ca="1" si="168"/>
        <v>548</v>
      </c>
      <c r="Q608" s="7" t="str">
        <f t="shared" ca="1" si="161"/>
        <v/>
      </c>
      <c r="Z608" s="256"/>
      <c r="AA608" s="219"/>
      <c r="AB608" s="295" t="str">
        <f t="shared" si="162"/>
        <v/>
      </c>
      <c r="AC608" s="296" t="str">
        <f t="shared" si="163"/>
        <v/>
      </c>
      <c r="AD608" s="219"/>
      <c r="AE608" s="219"/>
      <c r="AF608" s="295" t="str">
        <f>IF(AA608="","",VLOOKUP(AA608,Asta!$B:$H,7,FALSE))</f>
        <v/>
      </c>
      <c r="AG608" s="296" t="str">
        <f t="shared" si="164"/>
        <v/>
      </c>
      <c r="AH608" t="str">
        <f t="shared" si="165"/>
        <v/>
      </c>
      <c r="AI608" s="254" t="str">
        <f t="shared" ca="1" si="169"/>
        <v>589</v>
      </c>
      <c r="AJ608" s="254" t="str">
        <f t="shared" ca="1" si="170"/>
        <v>589</v>
      </c>
      <c r="AK608" s="351"/>
    </row>
    <row r="609" spans="1:37">
      <c r="A609" s="74">
        <v>590</v>
      </c>
      <c r="B609" s="252"/>
      <c r="C609" s="295" t="str">
        <f t="shared" si="155"/>
        <v/>
      </c>
      <c r="D609" s="296" t="str">
        <f t="shared" si="156"/>
        <v/>
      </c>
      <c r="E609" s="287"/>
      <c r="F609" s="295" t="str">
        <f t="shared" si="157"/>
        <v/>
      </c>
      <c r="G609" s="296" t="str">
        <f t="shared" si="158"/>
        <v/>
      </c>
      <c r="H609" s="290"/>
      <c r="I609" s="254" t="str">
        <f t="shared" ca="1" si="166"/>
        <v>1</v>
      </c>
      <c r="J609" s="254" t="str">
        <f t="shared" ca="1" si="167"/>
        <v>1</v>
      </c>
      <c r="K609" s="230" t="str">
        <f>IF(Giocatori!B606=0,"",Giocatori!B606)</f>
        <v/>
      </c>
      <c r="L609" s="230" t="str">
        <f>IF(Giocatori!A606=0,"",Giocatori!A606)</f>
        <v/>
      </c>
      <c r="M609" s="230" t="str">
        <f>IF(Giocatori!C606=0,"",Giocatori!C606)</f>
        <v/>
      </c>
      <c r="N609" s="69" t="str">
        <f t="shared" si="159"/>
        <v/>
      </c>
      <c r="O609" t="str">
        <f t="shared" si="160"/>
        <v/>
      </c>
      <c r="P609" s="7">
        <f t="shared" ca="1" si="168"/>
        <v>548</v>
      </c>
      <c r="Q609" s="7" t="str">
        <f t="shared" ca="1" si="161"/>
        <v/>
      </c>
      <c r="Z609" s="256"/>
      <c r="AA609" s="219"/>
      <c r="AB609" s="295" t="str">
        <f t="shared" si="162"/>
        <v/>
      </c>
      <c r="AC609" s="296" t="str">
        <f t="shared" si="163"/>
        <v/>
      </c>
      <c r="AD609" s="219"/>
      <c r="AE609" s="219"/>
      <c r="AF609" s="295" t="str">
        <f>IF(AA609="","",VLOOKUP(AA609,Asta!$B:$H,7,FALSE))</f>
        <v/>
      </c>
      <c r="AG609" s="296" t="str">
        <f t="shared" si="164"/>
        <v/>
      </c>
      <c r="AH609" t="str">
        <f t="shared" si="165"/>
        <v/>
      </c>
      <c r="AI609" s="254" t="str">
        <f t="shared" ca="1" si="169"/>
        <v>590</v>
      </c>
      <c r="AJ609" s="254" t="str">
        <f t="shared" ca="1" si="170"/>
        <v>590</v>
      </c>
      <c r="AK609" s="351"/>
    </row>
    <row r="610" spans="1:37">
      <c r="A610" s="74">
        <v>591</v>
      </c>
      <c r="B610" s="252"/>
      <c r="C610" s="295" t="str">
        <f t="shared" si="155"/>
        <v/>
      </c>
      <c r="D610" s="296" t="str">
        <f t="shared" si="156"/>
        <v/>
      </c>
      <c r="E610" s="287"/>
      <c r="F610" s="295" t="str">
        <f t="shared" si="157"/>
        <v/>
      </c>
      <c r="G610" s="296" t="str">
        <f t="shared" si="158"/>
        <v/>
      </c>
      <c r="H610" s="290"/>
      <c r="I610" s="254" t="str">
        <f t="shared" ca="1" si="166"/>
        <v>1</v>
      </c>
      <c r="J610" s="254" t="str">
        <f t="shared" ca="1" si="167"/>
        <v>1</v>
      </c>
      <c r="K610" s="230" t="str">
        <f>IF(Giocatori!B607=0,"",Giocatori!B607)</f>
        <v/>
      </c>
      <c r="L610" s="230" t="str">
        <f>IF(Giocatori!A607=0,"",Giocatori!A607)</f>
        <v/>
      </c>
      <c r="M610" s="230" t="str">
        <f>IF(Giocatori!C607=0,"",Giocatori!C607)</f>
        <v/>
      </c>
      <c r="N610" s="69" t="str">
        <f t="shared" si="159"/>
        <v/>
      </c>
      <c r="O610" t="str">
        <f t="shared" si="160"/>
        <v/>
      </c>
      <c r="P610" s="7">
        <f t="shared" ca="1" si="168"/>
        <v>548</v>
      </c>
      <c r="Q610" s="7" t="str">
        <f t="shared" ca="1" si="161"/>
        <v/>
      </c>
      <c r="Z610" s="256"/>
      <c r="AA610" s="219"/>
      <c r="AB610" s="295" t="str">
        <f t="shared" si="162"/>
        <v/>
      </c>
      <c r="AC610" s="296" t="str">
        <f t="shared" si="163"/>
        <v/>
      </c>
      <c r="AD610" s="219"/>
      <c r="AE610" s="219"/>
      <c r="AF610" s="295" t="str">
        <f>IF(AA610="","",VLOOKUP(AA610,Asta!$B:$H,7,FALSE))</f>
        <v/>
      </c>
      <c r="AG610" s="296" t="str">
        <f t="shared" si="164"/>
        <v/>
      </c>
      <c r="AH610" t="str">
        <f t="shared" si="165"/>
        <v/>
      </c>
      <c r="AI610" s="254" t="str">
        <f t="shared" ca="1" si="169"/>
        <v>591</v>
      </c>
      <c r="AJ610" s="254" t="str">
        <f t="shared" ca="1" si="170"/>
        <v>591</v>
      </c>
      <c r="AK610" s="351"/>
    </row>
    <row r="611" spans="1:37">
      <c r="A611" s="74">
        <v>592</v>
      </c>
      <c r="B611" s="252"/>
      <c r="C611" s="295" t="str">
        <f t="shared" si="155"/>
        <v/>
      </c>
      <c r="D611" s="296" t="str">
        <f t="shared" si="156"/>
        <v/>
      </c>
      <c r="E611" s="287"/>
      <c r="F611" s="295" t="str">
        <f t="shared" si="157"/>
        <v/>
      </c>
      <c r="G611" s="296" t="str">
        <f t="shared" si="158"/>
        <v/>
      </c>
      <c r="H611" s="290"/>
      <c r="I611" s="254" t="str">
        <f t="shared" ca="1" si="166"/>
        <v>1</v>
      </c>
      <c r="J611" s="254" t="str">
        <f t="shared" ca="1" si="167"/>
        <v>1</v>
      </c>
      <c r="K611" s="230" t="str">
        <f>IF(Giocatori!B608=0,"",Giocatori!B608)</f>
        <v/>
      </c>
      <c r="L611" s="230" t="str">
        <f>IF(Giocatori!A608=0,"",Giocatori!A608)</f>
        <v/>
      </c>
      <c r="M611" s="230" t="str">
        <f>IF(Giocatori!C608=0,"",Giocatori!C608)</f>
        <v/>
      </c>
      <c r="N611" s="69" t="str">
        <f t="shared" si="159"/>
        <v/>
      </c>
      <c r="O611" t="str">
        <f t="shared" si="160"/>
        <v/>
      </c>
      <c r="P611" s="7">
        <f t="shared" ca="1" si="168"/>
        <v>548</v>
      </c>
      <c r="Q611" s="7" t="str">
        <f t="shared" ca="1" si="161"/>
        <v/>
      </c>
      <c r="Z611" s="256"/>
      <c r="AA611" s="219"/>
      <c r="AB611" s="295" t="str">
        <f t="shared" si="162"/>
        <v/>
      </c>
      <c r="AC611" s="296" t="str">
        <f t="shared" si="163"/>
        <v/>
      </c>
      <c r="AD611" s="219"/>
      <c r="AE611" s="219"/>
      <c r="AF611" s="295" t="str">
        <f>IF(AA611="","",VLOOKUP(AA611,Asta!$B:$H,7,FALSE))</f>
        <v/>
      </c>
      <c r="AG611" s="296" t="str">
        <f t="shared" si="164"/>
        <v/>
      </c>
      <c r="AH611" t="str">
        <f t="shared" si="165"/>
        <v/>
      </c>
      <c r="AI611" s="254" t="str">
        <f t="shared" ca="1" si="169"/>
        <v>592</v>
      </c>
      <c r="AJ611" s="254" t="str">
        <f t="shared" ca="1" si="170"/>
        <v>592</v>
      </c>
      <c r="AK611" s="351"/>
    </row>
    <row r="612" spans="1:37">
      <c r="A612" s="74">
        <v>593</v>
      </c>
      <c r="B612" s="252"/>
      <c r="C612" s="295" t="str">
        <f t="shared" si="155"/>
        <v/>
      </c>
      <c r="D612" s="296" t="str">
        <f t="shared" si="156"/>
        <v/>
      </c>
      <c r="E612" s="287"/>
      <c r="F612" s="295" t="str">
        <f t="shared" si="157"/>
        <v/>
      </c>
      <c r="G612" s="296" t="str">
        <f t="shared" si="158"/>
        <v/>
      </c>
      <c r="H612" s="290"/>
      <c r="I612" s="254" t="str">
        <f t="shared" ca="1" si="166"/>
        <v>1</v>
      </c>
      <c r="J612" s="254" t="str">
        <f t="shared" ca="1" si="167"/>
        <v>1</v>
      </c>
      <c r="K612" s="230" t="str">
        <f>IF(Giocatori!B609=0,"",Giocatori!B609)</f>
        <v/>
      </c>
      <c r="L612" s="230" t="str">
        <f>IF(Giocatori!A609=0,"",Giocatori!A609)</f>
        <v/>
      </c>
      <c r="M612" s="230" t="str">
        <f>IF(Giocatori!C609=0,"",Giocatori!C609)</f>
        <v/>
      </c>
      <c r="N612" s="69" t="str">
        <f t="shared" si="159"/>
        <v/>
      </c>
      <c r="O612" t="str">
        <f t="shared" si="160"/>
        <v/>
      </c>
      <c r="P612" s="7">
        <f t="shared" ca="1" si="168"/>
        <v>548</v>
      </c>
      <c r="Q612" s="7" t="str">
        <f t="shared" ca="1" si="161"/>
        <v/>
      </c>
      <c r="Z612" s="256"/>
      <c r="AA612" s="219"/>
      <c r="AB612" s="295" t="str">
        <f t="shared" si="162"/>
        <v/>
      </c>
      <c r="AC612" s="296" t="str">
        <f t="shared" si="163"/>
        <v/>
      </c>
      <c r="AD612" s="219"/>
      <c r="AE612" s="219"/>
      <c r="AF612" s="295" t="str">
        <f>IF(AA612="","",VLOOKUP(AA612,Asta!$B:$H,7,FALSE))</f>
        <v/>
      </c>
      <c r="AG612" s="296" t="str">
        <f t="shared" si="164"/>
        <v/>
      </c>
      <c r="AH612" t="str">
        <f t="shared" si="165"/>
        <v/>
      </c>
      <c r="AI612" s="254" t="str">
        <f t="shared" ca="1" si="169"/>
        <v>593</v>
      </c>
      <c r="AJ612" s="254" t="str">
        <f t="shared" ca="1" si="170"/>
        <v>593</v>
      </c>
      <c r="AK612" s="351"/>
    </row>
    <row r="613" spans="1:37">
      <c r="A613" s="74">
        <v>594</v>
      </c>
      <c r="B613" s="252"/>
      <c r="C613" s="295" t="str">
        <f t="shared" ref="C613:C676" si="171">IF(B613&lt;&gt;"",VLOOKUP(B613,$K:$M,2,FALSE),"")</f>
        <v/>
      </c>
      <c r="D613" s="296" t="str">
        <f t="shared" ref="D613:D676" si="172">IF(B613&lt;&gt;"",VLOOKUP(B613,$K:$M,3,FALSE),"")</f>
        <v/>
      </c>
      <c r="E613" s="287"/>
      <c r="F613" s="295" t="str">
        <f t="shared" si="157"/>
        <v/>
      </c>
      <c r="G613" s="296" t="str">
        <f t="shared" si="158"/>
        <v/>
      </c>
      <c r="H613" s="290"/>
      <c r="I613" s="254" t="str">
        <f t="shared" ca="1" si="166"/>
        <v>1</v>
      </c>
      <c r="J613" s="254" t="str">
        <f t="shared" ca="1" si="167"/>
        <v>1</v>
      </c>
      <c r="K613" s="230" t="str">
        <f>IF(Giocatori!B610=0,"",Giocatori!B610)</f>
        <v/>
      </c>
      <c r="L613" s="230" t="str">
        <f>IF(Giocatori!A610=0,"",Giocatori!A610)</f>
        <v/>
      </c>
      <c r="M613" s="230" t="str">
        <f>IF(Giocatori!C610=0,"",Giocatori!C610)</f>
        <v/>
      </c>
      <c r="N613" s="69" t="str">
        <f t="shared" si="159"/>
        <v/>
      </c>
      <c r="O613" t="str">
        <f t="shared" si="160"/>
        <v/>
      </c>
      <c r="P613" s="7">
        <f t="shared" ca="1" si="168"/>
        <v>548</v>
      </c>
      <c r="Q613" s="7" t="str">
        <f t="shared" ca="1" si="161"/>
        <v/>
      </c>
      <c r="Z613" s="256"/>
      <c r="AA613" s="219"/>
      <c r="AB613" s="295" t="str">
        <f t="shared" si="162"/>
        <v/>
      </c>
      <c r="AC613" s="296" t="str">
        <f t="shared" si="163"/>
        <v/>
      </c>
      <c r="AD613" s="219"/>
      <c r="AE613" s="219"/>
      <c r="AF613" s="295" t="str">
        <f>IF(AA613="","",VLOOKUP(AA613,Asta!$B:$H,7,FALSE))</f>
        <v/>
      </c>
      <c r="AG613" s="296" t="str">
        <f t="shared" si="164"/>
        <v/>
      </c>
      <c r="AH613" t="str">
        <f t="shared" si="165"/>
        <v/>
      </c>
      <c r="AI613" s="254" t="str">
        <f t="shared" ca="1" si="169"/>
        <v>594</v>
      </c>
      <c r="AJ613" s="254" t="str">
        <f t="shared" ca="1" si="170"/>
        <v>594</v>
      </c>
      <c r="AK613" s="351"/>
    </row>
    <row r="614" spans="1:37">
      <c r="A614" s="74">
        <v>595</v>
      </c>
      <c r="B614" s="252"/>
      <c r="C614" s="295" t="str">
        <f t="shared" si="171"/>
        <v/>
      </c>
      <c r="D614" s="296" t="str">
        <f t="shared" si="172"/>
        <v/>
      </c>
      <c r="E614" s="287"/>
      <c r="F614" s="295" t="str">
        <f t="shared" si="157"/>
        <v/>
      </c>
      <c r="G614" s="296" t="str">
        <f t="shared" si="158"/>
        <v/>
      </c>
      <c r="H614" s="290"/>
      <c r="I614" s="254" t="str">
        <f t="shared" ca="1" si="166"/>
        <v>1</v>
      </c>
      <c r="J614" s="254" t="str">
        <f t="shared" ca="1" si="167"/>
        <v>1</v>
      </c>
      <c r="K614" s="230" t="str">
        <f>IF(Giocatori!B611=0,"",Giocatori!B611)</f>
        <v/>
      </c>
      <c r="L614" s="230" t="str">
        <f>IF(Giocatori!A611=0,"",Giocatori!A611)</f>
        <v/>
      </c>
      <c r="M614" s="230" t="str">
        <f>IF(Giocatori!C611=0,"",Giocatori!C611)</f>
        <v/>
      </c>
      <c r="N614" s="69" t="str">
        <f t="shared" si="159"/>
        <v/>
      </c>
      <c r="O614" t="str">
        <f t="shared" si="160"/>
        <v/>
      </c>
      <c r="P614" s="7">
        <f t="shared" ca="1" si="168"/>
        <v>548</v>
      </c>
      <c r="Q614" s="7" t="str">
        <f t="shared" ca="1" si="161"/>
        <v/>
      </c>
      <c r="Z614" s="256"/>
      <c r="AA614" s="219"/>
      <c r="AB614" s="295" t="str">
        <f t="shared" si="162"/>
        <v/>
      </c>
      <c r="AC614" s="296" t="str">
        <f t="shared" si="163"/>
        <v/>
      </c>
      <c r="AD614" s="219"/>
      <c r="AE614" s="219"/>
      <c r="AF614" s="295" t="str">
        <f>IF(AA614="","",VLOOKUP(AA614,Asta!$B:$H,7,FALSE))</f>
        <v/>
      </c>
      <c r="AG614" s="296" t="str">
        <f t="shared" si="164"/>
        <v/>
      </c>
      <c r="AH614" t="str">
        <f t="shared" si="165"/>
        <v/>
      </c>
      <c r="AI614" s="254" t="str">
        <f t="shared" ca="1" si="169"/>
        <v>595</v>
      </c>
      <c r="AJ614" s="254" t="str">
        <f t="shared" ca="1" si="170"/>
        <v>595</v>
      </c>
      <c r="AK614" s="351"/>
    </row>
    <row r="615" spans="1:37">
      <c r="A615" s="74">
        <v>596</v>
      </c>
      <c r="B615" s="252"/>
      <c r="C615" s="295" t="str">
        <f t="shared" si="171"/>
        <v/>
      </c>
      <c r="D615" s="296" t="str">
        <f t="shared" si="172"/>
        <v/>
      </c>
      <c r="E615" s="287"/>
      <c r="F615" s="295" t="str">
        <f t="shared" si="157"/>
        <v/>
      </c>
      <c r="G615" s="296" t="str">
        <f t="shared" si="158"/>
        <v/>
      </c>
      <c r="H615" s="290"/>
      <c r="I615" s="254" t="str">
        <f t="shared" ca="1" si="166"/>
        <v>1</v>
      </c>
      <c r="J615" s="254" t="str">
        <f t="shared" ca="1" si="167"/>
        <v>1</v>
      </c>
      <c r="K615" s="230" t="str">
        <f>IF(Giocatori!B612=0,"",Giocatori!B612)</f>
        <v/>
      </c>
      <c r="L615" s="230" t="str">
        <f>IF(Giocatori!A612=0,"",Giocatori!A612)</f>
        <v/>
      </c>
      <c r="M615" s="230" t="str">
        <f>IF(Giocatori!C612=0,"",Giocatori!C612)</f>
        <v/>
      </c>
      <c r="N615" s="69" t="str">
        <f t="shared" si="159"/>
        <v/>
      </c>
      <c r="O615" t="str">
        <f t="shared" si="160"/>
        <v/>
      </c>
      <c r="P615" s="7">
        <f t="shared" ca="1" si="168"/>
        <v>548</v>
      </c>
      <c r="Q615" s="7" t="str">
        <f t="shared" ca="1" si="161"/>
        <v/>
      </c>
      <c r="Z615" s="256"/>
      <c r="AA615" s="219"/>
      <c r="AB615" s="295" t="str">
        <f t="shared" si="162"/>
        <v/>
      </c>
      <c r="AC615" s="296" t="str">
        <f t="shared" si="163"/>
        <v/>
      </c>
      <c r="AD615" s="219"/>
      <c r="AE615" s="219"/>
      <c r="AF615" s="295" t="str">
        <f>IF(AA615="","",VLOOKUP(AA615,Asta!$B:$H,7,FALSE))</f>
        <v/>
      </c>
      <c r="AG615" s="296" t="str">
        <f t="shared" si="164"/>
        <v/>
      </c>
      <c r="AH615" t="str">
        <f t="shared" si="165"/>
        <v/>
      </c>
      <c r="AI615" s="254" t="str">
        <f t="shared" ca="1" si="169"/>
        <v>596</v>
      </c>
      <c r="AJ615" s="254" t="str">
        <f t="shared" ca="1" si="170"/>
        <v>596</v>
      </c>
      <c r="AK615" s="351"/>
    </row>
    <row r="616" spans="1:37">
      <c r="A616" s="74">
        <v>597</v>
      </c>
      <c r="B616" s="252"/>
      <c r="C616" s="295" t="str">
        <f t="shared" si="171"/>
        <v/>
      </c>
      <c r="D616" s="296" t="str">
        <f t="shared" si="172"/>
        <v/>
      </c>
      <c r="E616" s="287"/>
      <c r="F616" s="295" t="str">
        <f t="shared" si="157"/>
        <v/>
      </c>
      <c r="G616" s="296" t="str">
        <f t="shared" si="158"/>
        <v/>
      </c>
      <c r="H616" s="290"/>
      <c r="I616" s="254" t="str">
        <f t="shared" ca="1" si="166"/>
        <v>1</v>
      </c>
      <c r="J616" s="254" t="str">
        <f t="shared" ca="1" si="167"/>
        <v>1</v>
      </c>
      <c r="K616" s="230" t="str">
        <f>IF(Giocatori!B613=0,"",Giocatori!B613)</f>
        <v/>
      </c>
      <c r="L616" s="230" t="str">
        <f>IF(Giocatori!A613=0,"",Giocatori!A613)</f>
        <v/>
      </c>
      <c r="M616" s="230" t="str">
        <f>IF(Giocatori!C613=0,"",Giocatori!C613)</f>
        <v/>
      </c>
      <c r="N616" s="69" t="str">
        <f t="shared" si="159"/>
        <v/>
      </c>
      <c r="O616" t="str">
        <f t="shared" si="160"/>
        <v/>
      </c>
      <c r="P616" s="7">
        <f t="shared" ca="1" si="168"/>
        <v>548</v>
      </c>
      <c r="Q616" s="7" t="str">
        <f t="shared" ca="1" si="161"/>
        <v/>
      </c>
      <c r="Z616" s="256"/>
      <c r="AA616" s="219"/>
      <c r="AB616" s="295" t="str">
        <f t="shared" si="162"/>
        <v/>
      </c>
      <c r="AC616" s="296" t="str">
        <f t="shared" si="163"/>
        <v/>
      </c>
      <c r="AD616" s="219"/>
      <c r="AE616" s="219"/>
      <c r="AF616" s="295" t="str">
        <f>IF(AA616="","",VLOOKUP(AA616,Asta!$B:$H,7,FALSE))</f>
        <v/>
      </c>
      <c r="AG616" s="296" t="str">
        <f t="shared" si="164"/>
        <v/>
      </c>
      <c r="AH616" t="str">
        <f t="shared" si="165"/>
        <v/>
      </c>
      <c r="AI616" s="254" t="str">
        <f t="shared" ca="1" si="169"/>
        <v>597</v>
      </c>
      <c r="AJ616" s="254" t="str">
        <f t="shared" ca="1" si="170"/>
        <v>597</v>
      </c>
      <c r="AK616" s="351"/>
    </row>
    <row r="617" spans="1:37">
      <c r="A617" s="74">
        <v>598</v>
      </c>
      <c r="B617" s="252"/>
      <c r="C617" s="295" t="str">
        <f t="shared" si="171"/>
        <v/>
      </c>
      <c r="D617" s="296" t="str">
        <f t="shared" si="172"/>
        <v/>
      </c>
      <c r="E617" s="287"/>
      <c r="F617" s="295" t="str">
        <f t="shared" si="157"/>
        <v/>
      </c>
      <c r="G617" s="296" t="str">
        <f t="shared" si="158"/>
        <v/>
      </c>
      <c r="H617" s="290"/>
      <c r="I617" s="254" t="str">
        <f t="shared" ca="1" si="166"/>
        <v>1</v>
      </c>
      <c r="J617" s="254" t="str">
        <f t="shared" ca="1" si="167"/>
        <v>1</v>
      </c>
      <c r="K617" s="230" t="str">
        <f>IF(Giocatori!B614=0,"",Giocatori!B614)</f>
        <v/>
      </c>
      <c r="L617" s="230" t="str">
        <f>IF(Giocatori!A614=0,"",Giocatori!A614)</f>
        <v/>
      </c>
      <c r="M617" s="230" t="str">
        <f>IF(Giocatori!C614=0,"",Giocatori!C614)</f>
        <v/>
      </c>
      <c r="N617" s="69" t="str">
        <f t="shared" si="159"/>
        <v/>
      </c>
      <c r="O617" t="str">
        <f t="shared" si="160"/>
        <v/>
      </c>
      <c r="P617" s="7">
        <f t="shared" ca="1" si="168"/>
        <v>548</v>
      </c>
      <c r="Q617" s="7" t="str">
        <f t="shared" ca="1" si="161"/>
        <v/>
      </c>
      <c r="Z617" s="256"/>
      <c r="AA617" s="219"/>
      <c r="AB617" s="295" t="str">
        <f t="shared" si="162"/>
        <v/>
      </c>
      <c r="AC617" s="296" t="str">
        <f t="shared" si="163"/>
        <v/>
      </c>
      <c r="AD617" s="219"/>
      <c r="AE617" s="219"/>
      <c r="AF617" s="295" t="str">
        <f>IF(AA617="","",VLOOKUP(AA617,Asta!$B:$H,7,FALSE))</f>
        <v/>
      </c>
      <c r="AG617" s="296" t="str">
        <f t="shared" si="164"/>
        <v/>
      </c>
      <c r="AH617" t="str">
        <f t="shared" si="165"/>
        <v/>
      </c>
      <c r="AI617" s="254" t="str">
        <f t="shared" ca="1" si="169"/>
        <v>598</v>
      </c>
      <c r="AJ617" s="254" t="str">
        <f t="shared" ca="1" si="170"/>
        <v>598</v>
      </c>
      <c r="AK617" s="351"/>
    </row>
    <row r="618" spans="1:37">
      <c r="A618" s="74">
        <v>599</v>
      </c>
      <c r="B618" s="252"/>
      <c r="C618" s="295" t="str">
        <f t="shared" si="171"/>
        <v/>
      </c>
      <c r="D618" s="296" t="str">
        <f t="shared" si="172"/>
        <v/>
      </c>
      <c r="E618" s="287"/>
      <c r="F618" s="295" t="str">
        <f t="shared" si="157"/>
        <v/>
      </c>
      <c r="G618" s="296" t="str">
        <f t="shared" si="158"/>
        <v/>
      </c>
      <c r="H618" s="290"/>
      <c r="I618" s="254" t="str">
        <f t="shared" ca="1" si="166"/>
        <v>1</v>
      </c>
      <c r="J618" s="254" t="str">
        <f t="shared" ca="1" si="167"/>
        <v>1</v>
      </c>
      <c r="K618" s="230" t="str">
        <f>IF(Giocatori!B615=0,"",Giocatori!B615)</f>
        <v/>
      </c>
      <c r="L618" s="230" t="str">
        <f>IF(Giocatori!A615=0,"",Giocatori!A615)</f>
        <v/>
      </c>
      <c r="M618" s="230" t="str">
        <f>IF(Giocatori!C615=0,"",Giocatori!C615)</f>
        <v/>
      </c>
      <c r="N618" s="69" t="str">
        <f t="shared" si="159"/>
        <v/>
      </c>
      <c r="O618" t="str">
        <f t="shared" si="160"/>
        <v/>
      </c>
      <c r="P618" s="7">
        <f t="shared" ca="1" si="168"/>
        <v>548</v>
      </c>
      <c r="Q618" s="7" t="str">
        <f t="shared" ca="1" si="161"/>
        <v/>
      </c>
      <c r="Z618" s="256"/>
      <c r="AA618" s="219"/>
      <c r="AB618" s="295" t="str">
        <f t="shared" si="162"/>
        <v/>
      </c>
      <c r="AC618" s="296" t="str">
        <f t="shared" si="163"/>
        <v/>
      </c>
      <c r="AD618" s="219"/>
      <c r="AE618" s="219"/>
      <c r="AF618" s="295" t="str">
        <f>IF(AA618="","",VLOOKUP(AA618,Asta!$B:$H,7,FALSE))</f>
        <v/>
      </c>
      <c r="AG618" s="296" t="str">
        <f t="shared" si="164"/>
        <v/>
      </c>
      <c r="AH618" t="str">
        <f t="shared" si="165"/>
        <v/>
      </c>
      <c r="AI618" s="254" t="str">
        <f t="shared" ca="1" si="169"/>
        <v>599</v>
      </c>
      <c r="AJ618" s="254" t="str">
        <f t="shared" ca="1" si="170"/>
        <v>599</v>
      </c>
      <c r="AK618" s="351"/>
    </row>
    <row r="619" spans="1:37">
      <c r="A619" s="74">
        <v>600</v>
      </c>
      <c r="B619" s="252"/>
      <c r="C619" s="295" t="str">
        <f t="shared" si="171"/>
        <v/>
      </c>
      <c r="D619" s="296" t="str">
        <f t="shared" si="172"/>
        <v/>
      </c>
      <c r="E619" s="287"/>
      <c r="F619" s="295" t="str">
        <f t="shared" si="157"/>
        <v/>
      </c>
      <c r="G619" s="296" t="str">
        <f t="shared" si="158"/>
        <v/>
      </c>
      <c r="H619" s="290"/>
      <c r="I619" s="254" t="str">
        <f t="shared" ca="1" si="166"/>
        <v>1</v>
      </c>
      <c r="J619" s="254" t="str">
        <f t="shared" ca="1" si="167"/>
        <v>1</v>
      </c>
      <c r="K619" s="230" t="str">
        <f>IF(Giocatori!B616=0,"",Giocatori!B616)</f>
        <v/>
      </c>
      <c r="L619" s="230" t="str">
        <f>IF(Giocatori!A616=0,"",Giocatori!A616)</f>
        <v/>
      </c>
      <c r="M619" s="230" t="str">
        <f>IF(Giocatori!C616=0,"",Giocatori!C616)</f>
        <v/>
      </c>
      <c r="N619" s="69" t="str">
        <f t="shared" si="159"/>
        <v/>
      </c>
      <c r="O619" t="str">
        <f t="shared" si="160"/>
        <v/>
      </c>
      <c r="P619" s="7">
        <f t="shared" ca="1" si="168"/>
        <v>548</v>
      </c>
      <c r="Q619" s="7" t="str">
        <f t="shared" ca="1" si="161"/>
        <v/>
      </c>
      <c r="Z619" s="256"/>
      <c r="AA619" s="219"/>
      <c r="AB619" s="295" t="str">
        <f t="shared" si="162"/>
        <v/>
      </c>
      <c r="AC619" s="296" t="str">
        <f t="shared" si="163"/>
        <v/>
      </c>
      <c r="AD619" s="219"/>
      <c r="AE619" s="219"/>
      <c r="AF619" s="295" t="str">
        <f>IF(AA619="","",VLOOKUP(AA619,Asta!$B:$H,7,FALSE))</f>
        <v/>
      </c>
      <c r="AG619" s="296" t="str">
        <f t="shared" si="164"/>
        <v/>
      </c>
      <c r="AH619" t="str">
        <f t="shared" si="165"/>
        <v/>
      </c>
      <c r="AI619" s="254" t="str">
        <f t="shared" ca="1" si="169"/>
        <v>600</v>
      </c>
      <c r="AJ619" s="254" t="str">
        <f t="shared" ca="1" si="170"/>
        <v>600</v>
      </c>
      <c r="AK619" s="351"/>
    </row>
    <row r="620" spans="1:37">
      <c r="A620" s="74">
        <v>601</v>
      </c>
      <c r="B620" s="252"/>
      <c r="C620" s="295" t="str">
        <f t="shared" si="171"/>
        <v/>
      </c>
      <c r="D620" s="296" t="str">
        <f t="shared" si="172"/>
        <v/>
      </c>
      <c r="E620" s="287"/>
      <c r="F620" s="295" t="str">
        <f t="shared" si="157"/>
        <v/>
      </c>
      <c r="G620" s="296" t="str">
        <f t="shared" si="158"/>
        <v/>
      </c>
      <c r="H620" s="290"/>
      <c r="I620" s="254" t="str">
        <f t="shared" ca="1" si="166"/>
        <v>1</v>
      </c>
      <c r="J620" s="254" t="str">
        <f t="shared" ca="1" si="167"/>
        <v>1</v>
      </c>
      <c r="K620" s="230" t="str">
        <f>IF(Giocatori!B617=0,"",Giocatori!B617)</f>
        <v/>
      </c>
      <c r="L620" s="230" t="str">
        <f>IF(Giocatori!A617=0,"",Giocatori!A617)</f>
        <v/>
      </c>
      <c r="M620" s="230" t="str">
        <f>IF(Giocatori!C617=0,"",Giocatori!C617)</f>
        <v/>
      </c>
      <c r="N620" s="69" t="str">
        <f t="shared" si="159"/>
        <v/>
      </c>
      <c r="O620" t="str">
        <f t="shared" si="160"/>
        <v/>
      </c>
      <c r="P620" s="7">
        <f t="shared" ca="1" si="168"/>
        <v>548</v>
      </c>
      <c r="Q620" s="7" t="str">
        <f t="shared" ca="1" si="161"/>
        <v/>
      </c>
      <c r="Z620" s="256"/>
      <c r="AA620" s="219"/>
      <c r="AB620" s="295" t="str">
        <f t="shared" si="162"/>
        <v/>
      </c>
      <c r="AC620" s="296" t="str">
        <f t="shared" si="163"/>
        <v/>
      </c>
      <c r="AD620" s="219"/>
      <c r="AE620" s="219"/>
      <c r="AF620" s="295" t="str">
        <f>IF(AA620="","",VLOOKUP(AA620,Asta!$B:$H,7,FALSE))</f>
        <v/>
      </c>
      <c r="AG620" s="296" t="str">
        <f t="shared" si="164"/>
        <v/>
      </c>
      <c r="AH620" t="str">
        <f t="shared" si="165"/>
        <v/>
      </c>
      <c r="AI620" s="254" t="str">
        <f t="shared" ca="1" si="169"/>
        <v>601</v>
      </c>
      <c r="AJ620" s="254" t="str">
        <f t="shared" ca="1" si="170"/>
        <v>601</v>
      </c>
      <c r="AK620" s="351"/>
    </row>
    <row r="621" spans="1:37">
      <c r="A621" s="74">
        <v>602</v>
      </c>
      <c r="B621" s="252"/>
      <c r="C621" s="295" t="str">
        <f t="shared" si="171"/>
        <v/>
      </c>
      <c r="D621" s="296" t="str">
        <f t="shared" si="172"/>
        <v/>
      </c>
      <c r="E621" s="287"/>
      <c r="F621" s="295" t="str">
        <f t="shared" si="157"/>
        <v/>
      </c>
      <c r="G621" s="296" t="str">
        <f t="shared" si="158"/>
        <v/>
      </c>
      <c r="H621" s="290"/>
      <c r="I621" s="254" t="str">
        <f t="shared" ca="1" si="166"/>
        <v>1</v>
      </c>
      <c r="J621" s="254" t="str">
        <f t="shared" ca="1" si="167"/>
        <v>1</v>
      </c>
      <c r="K621" s="230" t="str">
        <f>IF(Giocatori!B618=0,"",Giocatori!B618)</f>
        <v/>
      </c>
      <c r="L621" s="230" t="str">
        <f>IF(Giocatori!A618=0,"",Giocatori!A618)</f>
        <v/>
      </c>
      <c r="M621" s="230" t="str">
        <f>IF(Giocatori!C618=0,"",Giocatori!C618)</f>
        <v/>
      </c>
      <c r="N621" s="69" t="str">
        <f t="shared" si="159"/>
        <v/>
      </c>
      <c r="O621" t="str">
        <f t="shared" si="160"/>
        <v/>
      </c>
      <c r="P621" s="7">
        <f t="shared" ca="1" si="168"/>
        <v>548</v>
      </c>
      <c r="Q621" s="7" t="str">
        <f t="shared" ca="1" si="161"/>
        <v/>
      </c>
      <c r="Z621" s="256"/>
      <c r="AA621" s="219"/>
      <c r="AB621" s="295" t="str">
        <f t="shared" si="162"/>
        <v/>
      </c>
      <c r="AC621" s="296" t="str">
        <f t="shared" si="163"/>
        <v/>
      </c>
      <c r="AD621" s="219"/>
      <c r="AE621" s="219"/>
      <c r="AF621" s="295" t="str">
        <f>IF(AA621="","",VLOOKUP(AA621,Asta!$B:$H,7,FALSE))</f>
        <v/>
      </c>
      <c r="AG621" s="296" t="str">
        <f t="shared" si="164"/>
        <v/>
      </c>
      <c r="AH621" t="str">
        <f t="shared" si="165"/>
        <v/>
      </c>
      <c r="AI621" s="254" t="str">
        <f t="shared" ca="1" si="169"/>
        <v>602</v>
      </c>
      <c r="AJ621" s="254" t="str">
        <f t="shared" ca="1" si="170"/>
        <v>602</v>
      </c>
      <c r="AK621" s="351"/>
    </row>
    <row r="622" spans="1:37">
      <c r="A622" s="74">
        <v>603</v>
      </c>
      <c r="B622" s="252"/>
      <c r="C622" s="295" t="str">
        <f t="shared" si="171"/>
        <v/>
      </c>
      <c r="D622" s="296" t="str">
        <f t="shared" si="172"/>
        <v/>
      </c>
      <c r="E622" s="287"/>
      <c r="F622" s="295" t="str">
        <f t="shared" si="157"/>
        <v/>
      </c>
      <c r="G622" s="296" t="str">
        <f t="shared" si="158"/>
        <v/>
      </c>
      <c r="H622" s="290"/>
      <c r="I622" s="254" t="str">
        <f t="shared" ca="1" si="166"/>
        <v>1</v>
      </c>
      <c r="J622" s="254" t="str">
        <f t="shared" ca="1" si="167"/>
        <v>1</v>
      </c>
      <c r="K622" s="230" t="str">
        <f>IF(Giocatori!B619=0,"",Giocatori!B619)</f>
        <v/>
      </c>
      <c r="L622" s="230" t="str">
        <f>IF(Giocatori!A619=0,"",Giocatori!A619)</f>
        <v/>
      </c>
      <c r="M622" s="230" t="str">
        <f>IF(Giocatori!C619=0,"",Giocatori!C619)</f>
        <v/>
      </c>
      <c r="N622" s="69" t="str">
        <f t="shared" si="159"/>
        <v/>
      </c>
      <c r="O622" t="str">
        <f t="shared" si="160"/>
        <v/>
      </c>
      <c r="P622" s="7">
        <f t="shared" ca="1" si="168"/>
        <v>548</v>
      </c>
      <c r="Q622" s="7" t="str">
        <f t="shared" ca="1" si="161"/>
        <v/>
      </c>
      <c r="Z622" s="256"/>
      <c r="AA622" s="219"/>
      <c r="AB622" s="295" t="str">
        <f t="shared" si="162"/>
        <v/>
      </c>
      <c r="AC622" s="296" t="str">
        <f t="shared" si="163"/>
        <v/>
      </c>
      <c r="AD622" s="219"/>
      <c r="AE622" s="219"/>
      <c r="AF622" s="295" t="str">
        <f>IF(AA622="","",VLOOKUP(AA622,Asta!$B:$H,7,FALSE))</f>
        <v/>
      </c>
      <c r="AG622" s="296" t="str">
        <f t="shared" si="164"/>
        <v/>
      </c>
      <c r="AH622" t="str">
        <f t="shared" si="165"/>
        <v/>
      </c>
      <c r="AI622" s="254" t="str">
        <f t="shared" ca="1" si="169"/>
        <v>603</v>
      </c>
      <c r="AJ622" s="254" t="str">
        <f t="shared" ca="1" si="170"/>
        <v>603</v>
      </c>
      <c r="AK622" s="351"/>
    </row>
    <row r="623" spans="1:37">
      <c r="A623" s="74">
        <v>604</v>
      </c>
      <c r="B623" s="252"/>
      <c r="C623" s="295" t="str">
        <f t="shared" si="171"/>
        <v/>
      </c>
      <c r="D623" s="296" t="str">
        <f t="shared" si="172"/>
        <v/>
      </c>
      <c r="E623" s="287"/>
      <c r="F623" s="295" t="str">
        <f t="shared" si="157"/>
        <v/>
      </c>
      <c r="G623" s="296" t="str">
        <f t="shared" si="158"/>
        <v/>
      </c>
      <c r="H623" s="290"/>
      <c r="I623" s="254" t="str">
        <f t="shared" ca="1" si="166"/>
        <v>1</v>
      </c>
      <c r="J623" s="254" t="str">
        <f t="shared" ca="1" si="167"/>
        <v>1</v>
      </c>
      <c r="K623" s="230" t="str">
        <f>IF(Giocatori!B620=0,"",Giocatori!B620)</f>
        <v/>
      </c>
      <c r="L623" s="230" t="str">
        <f>IF(Giocatori!A620=0,"",Giocatori!A620)</f>
        <v/>
      </c>
      <c r="M623" s="230" t="str">
        <f>IF(Giocatori!C620=0,"",Giocatori!C620)</f>
        <v/>
      </c>
      <c r="N623" s="69" t="str">
        <f t="shared" si="159"/>
        <v/>
      </c>
      <c r="O623" t="str">
        <f t="shared" si="160"/>
        <v/>
      </c>
      <c r="P623" s="7">
        <f t="shared" ca="1" si="168"/>
        <v>548</v>
      </c>
      <c r="Q623" s="7" t="str">
        <f t="shared" ca="1" si="161"/>
        <v/>
      </c>
      <c r="Z623" s="256"/>
      <c r="AA623" s="219"/>
      <c r="AB623" s="295" t="str">
        <f t="shared" si="162"/>
        <v/>
      </c>
      <c r="AC623" s="296" t="str">
        <f t="shared" si="163"/>
        <v/>
      </c>
      <c r="AD623" s="219"/>
      <c r="AE623" s="219"/>
      <c r="AF623" s="295" t="str">
        <f>IF(AA623="","",VLOOKUP(AA623,Asta!$B:$H,7,FALSE))</f>
        <v/>
      </c>
      <c r="AG623" s="296" t="str">
        <f t="shared" si="164"/>
        <v/>
      </c>
      <c r="AH623" t="str">
        <f t="shared" si="165"/>
        <v/>
      </c>
      <c r="AI623" s="254" t="str">
        <f t="shared" ca="1" si="169"/>
        <v>604</v>
      </c>
      <c r="AJ623" s="254" t="str">
        <f t="shared" ca="1" si="170"/>
        <v>604</v>
      </c>
      <c r="AK623" s="351"/>
    </row>
    <row r="624" spans="1:37">
      <c r="A624" s="74">
        <v>605</v>
      </c>
      <c r="B624" s="252"/>
      <c r="C624" s="295" t="str">
        <f t="shared" si="171"/>
        <v/>
      </c>
      <c r="D624" s="296" t="str">
        <f t="shared" si="172"/>
        <v/>
      </c>
      <c r="E624" s="287"/>
      <c r="F624" s="295" t="str">
        <f t="shared" si="157"/>
        <v/>
      </c>
      <c r="G624" s="296" t="str">
        <f t="shared" si="158"/>
        <v/>
      </c>
      <c r="H624" s="290"/>
      <c r="I624" s="254" t="str">
        <f t="shared" ca="1" si="166"/>
        <v>1</v>
      </c>
      <c r="J624" s="254" t="str">
        <f t="shared" ca="1" si="167"/>
        <v>1</v>
      </c>
      <c r="K624" s="230" t="str">
        <f>IF(Giocatori!B621=0,"",Giocatori!B621)</f>
        <v/>
      </c>
      <c r="L624" s="230" t="str">
        <f>IF(Giocatori!A621=0,"",Giocatori!A621)</f>
        <v/>
      </c>
      <c r="M624" s="230" t="str">
        <f>IF(Giocatori!C621=0,"",Giocatori!C621)</f>
        <v/>
      </c>
      <c r="N624" s="69" t="str">
        <f t="shared" si="159"/>
        <v/>
      </c>
      <c r="O624" t="str">
        <f t="shared" si="160"/>
        <v/>
      </c>
      <c r="P624" s="7">
        <f t="shared" ca="1" si="168"/>
        <v>548</v>
      </c>
      <c r="Q624" s="7" t="str">
        <f t="shared" ca="1" si="161"/>
        <v/>
      </c>
      <c r="Z624" s="256"/>
      <c r="AA624" s="219"/>
      <c r="AB624" s="295" t="str">
        <f t="shared" si="162"/>
        <v/>
      </c>
      <c r="AC624" s="296" t="str">
        <f t="shared" si="163"/>
        <v/>
      </c>
      <c r="AD624" s="219"/>
      <c r="AE624" s="219"/>
      <c r="AF624" s="295" t="str">
        <f>IF(AA624="","",VLOOKUP(AA624,Asta!$B:$H,7,FALSE))</f>
        <v/>
      </c>
      <c r="AG624" s="296" t="str">
        <f t="shared" si="164"/>
        <v/>
      </c>
      <c r="AH624" t="str">
        <f t="shared" si="165"/>
        <v/>
      </c>
      <c r="AI624" s="254" t="str">
        <f t="shared" ca="1" si="169"/>
        <v>605</v>
      </c>
      <c r="AJ624" s="254" t="str">
        <f t="shared" ca="1" si="170"/>
        <v>605</v>
      </c>
      <c r="AK624" s="351"/>
    </row>
    <row r="625" spans="1:37">
      <c r="A625" s="74">
        <v>606</v>
      </c>
      <c r="B625" s="252"/>
      <c r="C625" s="295" t="str">
        <f t="shared" si="171"/>
        <v/>
      </c>
      <c r="D625" s="296" t="str">
        <f t="shared" si="172"/>
        <v/>
      </c>
      <c r="E625" s="287"/>
      <c r="F625" s="295" t="str">
        <f t="shared" si="157"/>
        <v/>
      </c>
      <c r="G625" s="296" t="str">
        <f t="shared" si="158"/>
        <v/>
      </c>
      <c r="H625" s="290"/>
      <c r="I625" s="254" t="str">
        <f t="shared" ca="1" si="166"/>
        <v>1</v>
      </c>
      <c r="J625" s="254" t="str">
        <f t="shared" ca="1" si="167"/>
        <v>1</v>
      </c>
      <c r="K625" s="230" t="str">
        <f>IF(Giocatori!B622=0,"",Giocatori!B622)</f>
        <v/>
      </c>
      <c r="L625" s="230" t="str">
        <f>IF(Giocatori!A622=0,"",Giocatori!A622)</f>
        <v/>
      </c>
      <c r="M625" s="230" t="str">
        <f>IF(Giocatori!C622=0,"",Giocatori!C622)</f>
        <v/>
      </c>
      <c r="N625" s="69" t="str">
        <f t="shared" si="159"/>
        <v/>
      </c>
      <c r="O625" t="str">
        <f t="shared" si="160"/>
        <v/>
      </c>
      <c r="P625" s="7">
        <f t="shared" ca="1" si="168"/>
        <v>548</v>
      </c>
      <c r="Q625" s="7" t="str">
        <f t="shared" ca="1" si="161"/>
        <v/>
      </c>
      <c r="Z625" s="256"/>
      <c r="AA625" s="219"/>
      <c r="AB625" s="295" t="str">
        <f t="shared" si="162"/>
        <v/>
      </c>
      <c r="AC625" s="296" t="str">
        <f t="shared" si="163"/>
        <v/>
      </c>
      <c r="AD625" s="219"/>
      <c r="AE625" s="219"/>
      <c r="AF625" s="295" t="str">
        <f>IF(AA625="","",VLOOKUP(AA625,Asta!$B:$H,7,FALSE))</f>
        <v/>
      </c>
      <c r="AG625" s="296" t="str">
        <f t="shared" si="164"/>
        <v/>
      </c>
      <c r="AH625" t="str">
        <f t="shared" si="165"/>
        <v/>
      </c>
      <c r="AI625" s="254" t="str">
        <f t="shared" ca="1" si="169"/>
        <v>606</v>
      </c>
      <c r="AJ625" s="254" t="str">
        <f t="shared" ca="1" si="170"/>
        <v>606</v>
      </c>
      <c r="AK625" s="351"/>
    </row>
    <row r="626" spans="1:37">
      <c r="A626" s="74">
        <v>607</v>
      </c>
      <c r="B626" s="252"/>
      <c r="C626" s="295" t="str">
        <f t="shared" si="171"/>
        <v/>
      </c>
      <c r="D626" s="296" t="str">
        <f t="shared" si="172"/>
        <v/>
      </c>
      <c r="E626" s="287"/>
      <c r="F626" s="295" t="str">
        <f t="shared" si="157"/>
        <v/>
      </c>
      <c r="G626" s="296" t="str">
        <f t="shared" si="158"/>
        <v/>
      </c>
      <c r="H626" s="290"/>
      <c r="I626" s="254" t="str">
        <f t="shared" ca="1" si="166"/>
        <v>1</v>
      </c>
      <c r="J626" s="254" t="str">
        <f t="shared" ca="1" si="167"/>
        <v>1</v>
      </c>
      <c r="K626" s="230" t="str">
        <f>IF(Giocatori!B623=0,"",Giocatori!B623)</f>
        <v/>
      </c>
      <c r="L626" s="230" t="str">
        <f>IF(Giocatori!A623=0,"",Giocatori!A623)</f>
        <v/>
      </c>
      <c r="M626" s="230" t="str">
        <f>IF(Giocatori!C623=0,"",Giocatori!C623)</f>
        <v/>
      </c>
      <c r="N626" s="69" t="str">
        <f t="shared" si="159"/>
        <v/>
      </c>
      <c r="O626" t="str">
        <f t="shared" si="160"/>
        <v/>
      </c>
      <c r="P626" s="7">
        <f t="shared" ca="1" si="168"/>
        <v>548</v>
      </c>
      <c r="Q626" s="7" t="str">
        <f t="shared" ca="1" si="161"/>
        <v/>
      </c>
      <c r="Z626" s="256"/>
      <c r="AA626" s="219"/>
      <c r="AB626" s="295" t="str">
        <f t="shared" si="162"/>
        <v/>
      </c>
      <c r="AC626" s="296" t="str">
        <f t="shared" si="163"/>
        <v/>
      </c>
      <c r="AD626" s="219"/>
      <c r="AE626" s="219"/>
      <c r="AF626" s="295" t="str">
        <f>IF(AA626="","",VLOOKUP(AA626,Asta!$B:$H,7,FALSE))</f>
        <v/>
      </c>
      <c r="AG626" s="296" t="str">
        <f t="shared" si="164"/>
        <v/>
      </c>
      <c r="AH626" t="str">
        <f t="shared" si="165"/>
        <v/>
      </c>
      <c r="AI626" s="254" t="str">
        <f t="shared" ca="1" si="169"/>
        <v>607</v>
      </c>
      <c r="AJ626" s="254" t="str">
        <f t="shared" ca="1" si="170"/>
        <v>607</v>
      </c>
      <c r="AK626" s="351"/>
    </row>
    <row r="627" spans="1:37">
      <c r="A627" s="74">
        <v>608</v>
      </c>
      <c r="B627" s="252"/>
      <c r="C627" s="295" t="str">
        <f t="shared" si="171"/>
        <v/>
      </c>
      <c r="D627" s="296" t="str">
        <f t="shared" si="172"/>
        <v/>
      </c>
      <c r="E627" s="287"/>
      <c r="F627" s="295" t="str">
        <f t="shared" si="157"/>
        <v/>
      </c>
      <c r="G627" s="296" t="str">
        <f t="shared" si="158"/>
        <v/>
      </c>
      <c r="H627" s="290"/>
      <c r="I627" s="254" t="str">
        <f t="shared" ca="1" si="166"/>
        <v>1</v>
      </c>
      <c r="J627" s="254" t="str">
        <f t="shared" ca="1" si="167"/>
        <v>1</v>
      </c>
      <c r="K627" s="230" t="str">
        <f>IF(Giocatori!B624=0,"",Giocatori!B624)</f>
        <v/>
      </c>
      <c r="L627" s="230" t="str">
        <f>IF(Giocatori!A624=0,"",Giocatori!A624)</f>
        <v/>
      </c>
      <c r="M627" s="230" t="str">
        <f>IF(Giocatori!C624=0,"",Giocatori!C624)</f>
        <v/>
      </c>
      <c r="N627" s="69" t="str">
        <f t="shared" si="159"/>
        <v/>
      </c>
      <c r="O627" t="str">
        <f t="shared" si="160"/>
        <v/>
      </c>
      <c r="P627" s="7">
        <f t="shared" ca="1" si="168"/>
        <v>548</v>
      </c>
      <c r="Q627" s="7" t="str">
        <f t="shared" ca="1" si="161"/>
        <v/>
      </c>
      <c r="Z627" s="256"/>
      <c r="AA627" s="219"/>
      <c r="AB627" s="295" t="str">
        <f t="shared" si="162"/>
        <v/>
      </c>
      <c r="AC627" s="296" t="str">
        <f t="shared" si="163"/>
        <v/>
      </c>
      <c r="AD627" s="219"/>
      <c r="AE627" s="219"/>
      <c r="AF627" s="295" t="str">
        <f>IF(AA627="","",VLOOKUP(AA627,Asta!$B:$H,7,FALSE))</f>
        <v/>
      </c>
      <c r="AG627" s="296" t="str">
        <f t="shared" si="164"/>
        <v/>
      </c>
      <c r="AH627" t="str">
        <f t="shared" si="165"/>
        <v/>
      </c>
      <c r="AI627" s="254" t="str">
        <f t="shared" ca="1" si="169"/>
        <v>608</v>
      </c>
      <c r="AJ627" s="254" t="str">
        <f t="shared" ca="1" si="170"/>
        <v>608</v>
      </c>
      <c r="AK627" s="351"/>
    </row>
    <row r="628" spans="1:37">
      <c r="A628" s="74">
        <v>609</v>
      </c>
      <c r="B628" s="252"/>
      <c r="C628" s="295" t="str">
        <f t="shared" si="171"/>
        <v/>
      </c>
      <c r="D628" s="296" t="str">
        <f t="shared" si="172"/>
        <v/>
      </c>
      <c r="E628" s="287"/>
      <c r="F628" s="295" t="str">
        <f t="shared" si="157"/>
        <v/>
      </c>
      <c r="G628" s="296" t="str">
        <f t="shared" si="158"/>
        <v/>
      </c>
      <c r="H628" s="290"/>
      <c r="I628" s="254" t="str">
        <f t="shared" ca="1" si="166"/>
        <v>1</v>
      </c>
      <c r="J628" s="254" t="str">
        <f t="shared" ca="1" si="167"/>
        <v>1</v>
      </c>
      <c r="K628" s="230" t="str">
        <f>IF(Giocatori!B625=0,"",Giocatori!B625)</f>
        <v/>
      </c>
      <c r="L628" s="230" t="str">
        <f>IF(Giocatori!A625=0,"",Giocatori!A625)</f>
        <v/>
      </c>
      <c r="M628" s="230" t="str">
        <f>IF(Giocatori!C625=0,"",Giocatori!C625)</f>
        <v/>
      </c>
      <c r="N628" s="69" t="str">
        <f t="shared" si="159"/>
        <v/>
      </c>
      <c r="O628" t="str">
        <f t="shared" si="160"/>
        <v/>
      </c>
      <c r="P628" s="7">
        <f t="shared" ca="1" si="168"/>
        <v>548</v>
      </c>
      <c r="Q628" s="7" t="str">
        <f t="shared" ca="1" si="161"/>
        <v/>
      </c>
      <c r="Z628" s="256"/>
      <c r="AA628" s="219"/>
      <c r="AB628" s="295" t="str">
        <f t="shared" si="162"/>
        <v/>
      </c>
      <c r="AC628" s="296" t="str">
        <f t="shared" si="163"/>
        <v/>
      </c>
      <c r="AD628" s="219"/>
      <c r="AE628" s="219"/>
      <c r="AF628" s="295" t="str">
        <f>IF(AA628="","",VLOOKUP(AA628,Asta!$B:$H,7,FALSE))</f>
        <v/>
      </c>
      <c r="AG628" s="296" t="str">
        <f t="shared" si="164"/>
        <v/>
      </c>
      <c r="AH628" t="str">
        <f t="shared" si="165"/>
        <v/>
      </c>
      <c r="AI628" s="254" t="str">
        <f t="shared" ca="1" si="169"/>
        <v>609</v>
      </c>
      <c r="AJ628" s="254" t="str">
        <f t="shared" ca="1" si="170"/>
        <v>609</v>
      </c>
      <c r="AK628" s="351"/>
    </row>
    <row r="629" spans="1:37">
      <c r="A629" s="74">
        <v>610</v>
      </c>
      <c r="B629" s="252"/>
      <c r="C629" s="295" t="str">
        <f t="shared" si="171"/>
        <v/>
      </c>
      <c r="D629" s="296" t="str">
        <f t="shared" si="172"/>
        <v/>
      </c>
      <c r="E629" s="287"/>
      <c r="F629" s="295" t="str">
        <f t="shared" si="157"/>
        <v/>
      </c>
      <c r="G629" s="296" t="str">
        <f t="shared" si="158"/>
        <v/>
      </c>
      <c r="H629" s="290"/>
      <c r="I629" s="254" t="str">
        <f t="shared" ca="1" si="166"/>
        <v>1</v>
      </c>
      <c r="J629" s="254" t="str">
        <f t="shared" ca="1" si="167"/>
        <v>1</v>
      </c>
      <c r="K629" s="230" t="str">
        <f>IF(Giocatori!B626=0,"",Giocatori!B626)</f>
        <v/>
      </c>
      <c r="L629" s="230" t="str">
        <f>IF(Giocatori!A626=0,"",Giocatori!A626)</f>
        <v/>
      </c>
      <c r="M629" s="230" t="str">
        <f>IF(Giocatori!C626=0,"",Giocatori!C626)</f>
        <v/>
      </c>
      <c r="N629" s="69" t="str">
        <f t="shared" si="159"/>
        <v/>
      </c>
      <c r="O629" t="str">
        <f t="shared" si="160"/>
        <v/>
      </c>
      <c r="P629" s="7">
        <f t="shared" ca="1" si="168"/>
        <v>548</v>
      </c>
      <c r="Q629" s="7" t="str">
        <f t="shared" ca="1" si="161"/>
        <v/>
      </c>
      <c r="Z629" s="256"/>
      <c r="AA629" s="219"/>
      <c r="AB629" s="295" t="str">
        <f t="shared" si="162"/>
        <v/>
      </c>
      <c r="AC629" s="296" t="str">
        <f t="shared" si="163"/>
        <v/>
      </c>
      <c r="AD629" s="219"/>
      <c r="AE629" s="219"/>
      <c r="AF629" s="295" t="str">
        <f>IF(AA629="","",VLOOKUP(AA629,Asta!$B:$H,7,FALSE))</f>
        <v/>
      </c>
      <c r="AG629" s="296" t="str">
        <f t="shared" si="164"/>
        <v/>
      </c>
      <c r="AH629" t="str">
        <f t="shared" si="165"/>
        <v/>
      </c>
      <c r="AI629" s="254" t="str">
        <f t="shared" ca="1" si="169"/>
        <v>610</v>
      </c>
      <c r="AJ629" s="254" t="str">
        <f t="shared" ca="1" si="170"/>
        <v>610</v>
      </c>
      <c r="AK629" s="351"/>
    </row>
    <row r="630" spans="1:37">
      <c r="A630" s="74">
        <v>611</v>
      </c>
      <c r="B630" s="252"/>
      <c r="C630" s="295" t="str">
        <f t="shared" si="171"/>
        <v/>
      </c>
      <c r="D630" s="296" t="str">
        <f t="shared" si="172"/>
        <v/>
      </c>
      <c r="E630" s="287"/>
      <c r="F630" s="295" t="str">
        <f t="shared" si="157"/>
        <v/>
      </c>
      <c r="G630" s="296" t="str">
        <f t="shared" si="158"/>
        <v/>
      </c>
      <c r="H630" s="290"/>
      <c r="I630" s="254" t="str">
        <f t="shared" ca="1" si="166"/>
        <v>1</v>
      </c>
      <c r="J630" s="254" t="str">
        <f t="shared" ca="1" si="167"/>
        <v>1</v>
      </c>
      <c r="K630" s="230" t="str">
        <f>IF(Giocatori!B627=0,"",Giocatori!B627)</f>
        <v/>
      </c>
      <c r="L630" s="230" t="str">
        <f>IF(Giocatori!A627=0,"",Giocatori!A627)</f>
        <v/>
      </c>
      <c r="M630" s="230" t="str">
        <f>IF(Giocatori!C627=0,"",Giocatori!C627)</f>
        <v/>
      </c>
      <c r="N630" s="69" t="str">
        <f t="shared" si="159"/>
        <v/>
      </c>
      <c r="O630" t="str">
        <f t="shared" si="160"/>
        <v/>
      </c>
      <c r="P630" s="7">
        <f t="shared" ca="1" si="168"/>
        <v>548</v>
      </c>
      <c r="Q630" s="7" t="str">
        <f t="shared" ca="1" si="161"/>
        <v/>
      </c>
      <c r="Z630" s="256"/>
      <c r="AA630" s="219"/>
      <c r="AB630" s="295" t="str">
        <f t="shared" si="162"/>
        <v/>
      </c>
      <c r="AC630" s="296" t="str">
        <f t="shared" si="163"/>
        <v/>
      </c>
      <c r="AD630" s="219"/>
      <c r="AE630" s="219"/>
      <c r="AF630" s="295" t="str">
        <f>IF(AA630="","",VLOOKUP(AA630,Asta!$B:$H,7,FALSE))</f>
        <v/>
      </c>
      <c r="AG630" s="296" t="str">
        <f t="shared" si="164"/>
        <v/>
      </c>
      <c r="AH630" t="str">
        <f t="shared" si="165"/>
        <v/>
      </c>
      <c r="AI630" s="254" t="str">
        <f t="shared" ca="1" si="169"/>
        <v>611</v>
      </c>
      <c r="AJ630" s="254" t="str">
        <f t="shared" ca="1" si="170"/>
        <v>611</v>
      </c>
      <c r="AK630" s="351"/>
    </row>
    <row r="631" spans="1:37">
      <c r="A631" s="74">
        <v>612</v>
      </c>
      <c r="B631" s="252"/>
      <c r="C631" s="295" t="str">
        <f t="shared" si="171"/>
        <v/>
      </c>
      <c r="D631" s="296" t="str">
        <f t="shared" si="172"/>
        <v/>
      </c>
      <c r="E631" s="287"/>
      <c r="F631" s="295" t="str">
        <f t="shared" si="157"/>
        <v/>
      </c>
      <c r="G631" s="296" t="str">
        <f t="shared" si="158"/>
        <v/>
      </c>
      <c r="H631" s="290"/>
      <c r="I631" s="254" t="str">
        <f t="shared" ca="1" si="166"/>
        <v>1</v>
      </c>
      <c r="J631" s="254" t="str">
        <f t="shared" ca="1" si="167"/>
        <v>1</v>
      </c>
      <c r="K631" s="230" t="str">
        <f>IF(Giocatori!B628=0,"",Giocatori!B628)</f>
        <v/>
      </c>
      <c r="L631" s="230" t="str">
        <f>IF(Giocatori!A628=0,"",Giocatori!A628)</f>
        <v/>
      </c>
      <c r="M631" s="230" t="str">
        <f>IF(Giocatori!C628=0,"",Giocatori!C628)</f>
        <v/>
      </c>
      <c r="N631" s="69" t="str">
        <f t="shared" si="159"/>
        <v/>
      </c>
      <c r="O631" t="str">
        <f t="shared" si="160"/>
        <v/>
      </c>
      <c r="P631" s="7">
        <f t="shared" ca="1" si="168"/>
        <v>548</v>
      </c>
      <c r="Q631" s="7" t="str">
        <f t="shared" ca="1" si="161"/>
        <v/>
      </c>
      <c r="Z631" s="256"/>
      <c r="AA631" s="219"/>
      <c r="AB631" s="295" t="str">
        <f t="shared" si="162"/>
        <v/>
      </c>
      <c r="AC631" s="296" t="str">
        <f t="shared" si="163"/>
        <v/>
      </c>
      <c r="AD631" s="219"/>
      <c r="AE631" s="219"/>
      <c r="AF631" s="295" t="str">
        <f>IF(AA631="","",VLOOKUP(AA631,Asta!$B:$H,7,FALSE))</f>
        <v/>
      </c>
      <c r="AG631" s="296" t="str">
        <f t="shared" si="164"/>
        <v/>
      </c>
      <c r="AH631" t="str">
        <f t="shared" si="165"/>
        <v/>
      </c>
      <c r="AI631" s="254" t="str">
        <f t="shared" ca="1" si="169"/>
        <v>612</v>
      </c>
      <c r="AJ631" s="254" t="str">
        <f t="shared" ca="1" si="170"/>
        <v>612</v>
      </c>
      <c r="AK631" s="351"/>
    </row>
    <row r="632" spans="1:37">
      <c r="A632" s="74">
        <v>613</v>
      </c>
      <c r="B632" s="252"/>
      <c r="C632" s="295" t="str">
        <f t="shared" si="171"/>
        <v/>
      </c>
      <c r="D632" s="296" t="str">
        <f t="shared" si="172"/>
        <v/>
      </c>
      <c r="E632" s="287"/>
      <c r="F632" s="295" t="str">
        <f t="shared" si="157"/>
        <v/>
      </c>
      <c r="G632" s="296" t="str">
        <f t="shared" si="158"/>
        <v/>
      </c>
      <c r="H632" s="290"/>
      <c r="I632" s="254" t="str">
        <f t="shared" ca="1" si="166"/>
        <v>1</v>
      </c>
      <c r="J632" s="254" t="str">
        <f t="shared" ca="1" si="167"/>
        <v>1</v>
      </c>
      <c r="K632" s="230" t="str">
        <f>IF(Giocatori!B629=0,"",Giocatori!B629)</f>
        <v/>
      </c>
      <c r="L632" s="230" t="str">
        <f>IF(Giocatori!A629=0,"",Giocatori!A629)</f>
        <v/>
      </c>
      <c r="M632" s="230" t="str">
        <f>IF(Giocatori!C629=0,"",Giocatori!C629)</f>
        <v/>
      </c>
      <c r="N632" s="69" t="str">
        <f t="shared" si="159"/>
        <v/>
      </c>
      <c r="O632" t="str">
        <f t="shared" si="160"/>
        <v/>
      </c>
      <c r="P632" s="7">
        <f t="shared" ca="1" si="168"/>
        <v>548</v>
      </c>
      <c r="Q632" s="7" t="str">
        <f t="shared" ca="1" si="161"/>
        <v/>
      </c>
      <c r="Z632" s="256"/>
      <c r="AA632" s="219"/>
      <c r="AB632" s="295" t="str">
        <f t="shared" si="162"/>
        <v/>
      </c>
      <c r="AC632" s="296" t="str">
        <f t="shared" si="163"/>
        <v/>
      </c>
      <c r="AD632" s="219"/>
      <c r="AE632" s="219"/>
      <c r="AF632" s="295" t="str">
        <f>IF(AA632="","",VLOOKUP(AA632,Asta!$B:$H,7,FALSE))</f>
        <v/>
      </c>
      <c r="AG632" s="296" t="str">
        <f t="shared" si="164"/>
        <v/>
      </c>
      <c r="AH632" t="str">
        <f t="shared" si="165"/>
        <v/>
      </c>
      <c r="AI632" s="254" t="str">
        <f t="shared" ca="1" si="169"/>
        <v>613</v>
      </c>
      <c r="AJ632" s="254" t="str">
        <f t="shared" ca="1" si="170"/>
        <v>613</v>
      </c>
      <c r="AK632" s="351"/>
    </row>
    <row r="633" spans="1:37">
      <c r="A633" s="74">
        <v>614</v>
      </c>
      <c r="B633" s="252"/>
      <c r="C633" s="295" t="str">
        <f t="shared" si="171"/>
        <v/>
      </c>
      <c r="D633" s="296" t="str">
        <f t="shared" si="172"/>
        <v/>
      </c>
      <c r="E633" s="287"/>
      <c r="F633" s="295" t="str">
        <f t="shared" si="157"/>
        <v/>
      </c>
      <c r="G633" s="296" t="str">
        <f t="shared" si="158"/>
        <v/>
      </c>
      <c r="H633" s="290"/>
      <c r="I633" s="254" t="str">
        <f t="shared" ca="1" si="166"/>
        <v>1</v>
      </c>
      <c r="J633" s="254" t="str">
        <f t="shared" ca="1" si="167"/>
        <v>1</v>
      </c>
      <c r="K633" s="230" t="str">
        <f>IF(Giocatori!B630=0,"",Giocatori!B630)</f>
        <v/>
      </c>
      <c r="L633" s="230" t="str">
        <f>IF(Giocatori!A630=0,"",Giocatori!A630)</f>
        <v/>
      </c>
      <c r="M633" s="230" t="str">
        <f>IF(Giocatori!C630=0,"",Giocatori!C630)</f>
        <v/>
      </c>
      <c r="N633" s="69" t="str">
        <f t="shared" si="159"/>
        <v/>
      </c>
      <c r="O633" t="str">
        <f t="shared" si="160"/>
        <v/>
      </c>
      <c r="P633" s="7">
        <f t="shared" ca="1" si="168"/>
        <v>548</v>
      </c>
      <c r="Q633" s="7" t="str">
        <f t="shared" ca="1" si="161"/>
        <v/>
      </c>
      <c r="Z633" s="256"/>
      <c r="AA633" s="219"/>
      <c r="AB633" s="295" t="str">
        <f t="shared" si="162"/>
        <v/>
      </c>
      <c r="AC633" s="296" t="str">
        <f t="shared" si="163"/>
        <v/>
      </c>
      <c r="AD633" s="219"/>
      <c r="AE633" s="219"/>
      <c r="AF633" s="295" t="str">
        <f>IF(AA633="","",VLOOKUP(AA633,Asta!$B:$H,7,FALSE))</f>
        <v/>
      </c>
      <c r="AG633" s="296" t="str">
        <f t="shared" si="164"/>
        <v/>
      </c>
      <c r="AH633" t="str">
        <f t="shared" si="165"/>
        <v/>
      </c>
      <c r="AI633" s="254" t="str">
        <f t="shared" ca="1" si="169"/>
        <v>614</v>
      </c>
      <c r="AJ633" s="254" t="str">
        <f t="shared" ca="1" si="170"/>
        <v>614</v>
      </c>
      <c r="AK633" s="351"/>
    </row>
    <row r="634" spans="1:37">
      <c r="A634" s="74">
        <v>615</v>
      </c>
      <c r="B634" s="252"/>
      <c r="C634" s="295" t="str">
        <f t="shared" si="171"/>
        <v/>
      </c>
      <c r="D634" s="296" t="str">
        <f t="shared" si="172"/>
        <v/>
      </c>
      <c r="E634" s="287"/>
      <c r="F634" s="295" t="str">
        <f t="shared" si="157"/>
        <v/>
      </c>
      <c r="G634" s="296" t="str">
        <f t="shared" si="158"/>
        <v/>
      </c>
      <c r="H634" s="290"/>
      <c r="I634" s="254" t="str">
        <f t="shared" ca="1" si="166"/>
        <v>1</v>
      </c>
      <c r="J634" s="254" t="str">
        <f t="shared" ca="1" si="167"/>
        <v>1</v>
      </c>
      <c r="K634" s="230" t="str">
        <f>IF(Giocatori!B631=0,"",Giocatori!B631)</f>
        <v/>
      </c>
      <c r="L634" s="230" t="str">
        <f>IF(Giocatori!A631=0,"",Giocatori!A631)</f>
        <v/>
      </c>
      <c r="M634" s="230" t="str">
        <f>IF(Giocatori!C631=0,"",Giocatori!C631)</f>
        <v/>
      </c>
      <c r="N634" s="69" t="str">
        <f t="shared" si="159"/>
        <v/>
      </c>
      <c r="O634" t="str">
        <f t="shared" si="160"/>
        <v/>
      </c>
      <c r="P634" s="7">
        <f t="shared" ca="1" si="168"/>
        <v>548</v>
      </c>
      <c r="Q634" s="7" t="str">
        <f t="shared" ca="1" si="161"/>
        <v/>
      </c>
      <c r="Z634" s="256"/>
      <c r="AA634" s="219"/>
      <c r="AB634" s="295" t="str">
        <f t="shared" si="162"/>
        <v/>
      </c>
      <c r="AC634" s="296" t="str">
        <f t="shared" si="163"/>
        <v/>
      </c>
      <c r="AD634" s="219"/>
      <c r="AE634" s="219"/>
      <c r="AF634" s="295" t="str">
        <f>IF(AA634="","",VLOOKUP(AA634,Asta!$B:$H,7,FALSE))</f>
        <v/>
      </c>
      <c r="AG634" s="296" t="str">
        <f t="shared" si="164"/>
        <v/>
      </c>
      <c r="AH634" t="str">
        <f t="shared" si="165"/>
        <v/>
      </c>
      <c r="AI634" s="254" t="str">
        <f t="shared" ca="1" si="169"/>
        <v>615</v>
      </c>
      <c r="AJ634" s="254" t="str">
        <f t="shared" ca="1" si="170"/>
        <v>615</v>
      </c>
      <c r="AK634" s="351"/>
    </row>
    <row r="635" spans="1:37">
      <c r="A635" s="74">
        <v>616</v>
      </c>
      <c r="B635" s="252"/>
      <c r="C635" s="295" t="str">
        <f t="shared" si="171"/>
        <v/>
      </c>
      <c r="D635" s="296" t="str">
        <f t="shared" si="172"/>
        <v/>
      </c>
      <c r="E635" s="287"/>
      <c r="F635" s="295" t="str">
        <f t="shared" si="157"/>
        <v/>
      </c>
      <c r="G635" s="296" t="str">
        <f t="shared" si="158"/>
        <v/>
      </c>
      <c r="H635" s="290"/>
      <c r="I635" s="254" t="str">
        <f t="shared" ca="1" si="166"/>
        <v>1</v>
      </c>
      <c r="J635" s="254" t="str">
        <f t="shared" ca="1" si="167"/>
        <v>1</v>
      </c>
      <c r="K635" s="230" t="str">
        <f>IF(Giocatori!B632=0,"",Giocatori!B632)</f>
        <v/>
      </c>
      <c r="L635" s="230" t="str">
        <f>IF(Giocatori!A632=0,"",Giocatori!A632)</f>
        <v/>
      </c>
      <c r="M635" s="230" t="str">
        <f>IF(Giocatori!C632=0,"",Giocatori!C632)</f>
        <v/>
      </c>
      <c r="N635" s="69" t="str">
        <f t="shared" si="159"/>
        <v/>
      </c>
      <c r="O635" t="str">
        <f t="shared" si="160"/>
        <v/>
      </c>
      <c r="P635" s="7">
        <f t="shared" ca="1" si="168"/>
        <v>548</v>
      </c>
      <c r="Q635" s="7" t="str">
        <f t="shared" ca="1" si="161"/>
        <v/>
      </c>
      <c r="Z635" s="256"/>
      <c r="AA635" s="219"/>
      <c r="AB635" s="295" t="str">
        <f t="shared" si="162"/>
        <v/>
      </c>
      <c r="AC635" s="296" t="str">
        <f t="shared" si="163"/>
        <v/>
      </c>
      <c r="AD635" s="219"/>
      <c r="AE635" s="219"/>
      <c r="AF635" s="295" t="str">
        <f>IF(AA635="","",VLOOKUP(AA635,Asta!$B:$H,7,FALSE))</f>
        <v/>
      </c>
      <c r="AG635" s="296" t="str">
        <f t="shared" si="164"/>
        <v/>
      </c>
      <c r="AH635" t="str">
        <f t="shared" si="165"/>
        <v/>
      </c>
      <c r="AI635" s="254" t="str">
        <f t="shared" ca="1" si="169"/>
        <v>616</v>
      </c>
      <c r="AJ635" s="254" t="str">
        <f t="shared" ca="1" si="170"/>
        <v>616</v>
      </c>
      <c r="AK635" s="351"/>
    </row>
    <row r="636" spans="1:37">
      <c r="A636" s="74">
        <v>617</v>
      </c>
      <c r="B636" s="252"/>
      <c r="C636" s="295" t="str">
        <f t="shared" si="171"/>
        <v/>
      </c>
      <c r="D636" s="296" t="str">
        <f t="shared" si="172"/>
        <v/>
      </c>
      <c r="E636" s="287"/>
      <c r="F636" s="295" t="str">
        <f t="shared" si="157"/>
        <v/>
      </c>
      <c r="G636" s="296" t="str">
        <f t="shared" si="158"/>
        <v/>
      </c>
      <c r="H636" s="290"/>
      <c r="I636" s="254" t="str">
        <f t="shared" ca="1" si="166"/>
        <v>1</v>
      </c>
      <c r="J636" s="254" t="str">
        <f t="shared" ca="1" si="167"/>
        <v>1</v>
      </c>
      <c r="K636" s="230" t="str">
        <f>IF(Giocatori!B633=0,"",Giocatori!B633)</f>
        <v/>
      </c>
      <c r="L636" s="230" t="str">
        <f>IF(Giocatori!A633=0,"",Giocatori!A633)</f>
        <v/>
      </c>
      <c r="M636" s="230" t="str">
        <f>IF(Giocatori!C633=0,"",Giocatori!C633)</f>
        <v/>
      </c>
      <c r="N636" s="69" t="str">
        <f t="shared" si="159"/>
        <v/>
      </c>
      <c r="O636" t="str">
        <f t="shared" si="160"/>
        <v/>
      </c>
      <c r="P636" s="7">
        <f t="shared" ca="1" si="168"/>
        <v>548</v>
      </c>
      <c r="Q636" s="7" t="str">
        <f t="shared" ca="1" si="161"/>
        <v/>
      </c>
      <c r="Z636" s="256"/>
      <c r="AA636" s="219"/>
      <c r="AB636" s="295" t="str">
        <f t="shared" si="162"/>
        <v/>
      </c>
      <c r="AC636" s="296" t="str">
        <f t="shared" si="163"/>
        <v/>
      </c>
      <c r="AD636" s="219"/>
      <c r="AE636" s="219"/>
      <c r="AF636" s="295" t="str">
        <f>IF(AA636="","",VLOOKUP(AA636,Asta!$B:$H,7,FALSE))</f>
        <v/>
      </c>
      <c r="AG636" s="296" t="str">
        <f t="shared" si="164"/>
        <v/>
      </c>
      <c r="AH636" t="str">
        <f t="shared" si="165"/>
        <v/>
      </c>
      <c r="AI636" s="254" t="str">
        <f t="shared" ca="1" si="169"/>
        <v>617</v>
      </c>
      <c r="AJ636" s="254" t="str">
        <f t="shared" ca="1" si="170"/>
        <v>617</v>
      </c>
      <c r="AK636" s="351"/>
    </row>
    <row r="637" spans="1:37">
      <c r="A637" s="74">
        <v>618</v>
      </c>
      <c r="B637" s="252"/>
      <c r="C637" s="295" t="str">
        <f t="shared" si="171"/>
        <v/>
      </c>
      <c r="D637" s="296" t="str">
        <f t="shared" si="172"/>
        <v/>
      </c>
      <c r="E637" s="287"/>
      <c r="F637" s="295" t="str">
        <f t="shared" si="157"/>
        <v/>
      </c>
      <c r="G637" s="296" t="str">
        <f t="shared" si="158"/>
        <v/>
      </c>
      <c r="H637" s="290"/>
      <c r="I637" s="254" t="str">
        <f t="shared" ca="1" si="166"/>
        <v>1</v>
      </c>
      <c r="J637" s="254" t="str">
        <f t="shared" ca="1" si="167"/>
        <v>1</v>
      </c>
      <c r="K637" s="230" t="str">
        <f>IF(Giocatori!B634=0,"",Giocatori!B634)</f>
        <v/>
      </c>
      <c r="L637" s="230" t="str">
        <f>IF(Giocatori!A634=0,"",Giocatori!A634)</f>
        <v/>
      </c>
      <c r="M637" s="230" t="str">
        <f>IF(Giocatori!C634=0,"",Giocatori!C634)</f>
        <v/>
      </c>
      <c r="N637" s="69" t="str">
        <f t="shared" si="159"/>
        <v/>
      </c>
      <c r="O637" t="str">
        <f t="shared" si="160"/>
        <v/>
      </c>
      <c r="P637" s="7">
        <f t="shared" ca="1" si="168"/>
        <v>548</v>
      </c>
      <c r="Q637" s="7" t="str">
        <f t="shared" ca="1" si="161"/>
        <v/>
      </c>
      <c r="Z637" s="256"/>
      <c r="AA637" s="219"/>
      <c r="AB637" s="295" t="str">
        <f t="shared" si="162"/>
        <v/>
      </c>
      <c r="AC637" s="296" t="str">
        <f t="shared" si="163"/>
        <v/>
      </c>
      <c r="AD637" s="219"/>
      <c r="AE637" s="219"/>
      <c r="AF637" s="295" t="str">
        <f>IF(AA637="","",VLOOKUP(AA637,Asta!$B:$H,7,FALSE))</f>
        <v/>
      </c>
      <c r="AG637" s="296" t="str">
        <f t="shared" si="164"/>
        <v/>
      </c>
      <c r="AH637" t="str">
        <f t="shared" si="165"/>
        <v/>
      </c>
      <c r="AI637" s="254" t="str">
        <f t="shared" ca="1" si="169"/>
        <v>618</v>
      </c>
      <c r="AJ637" s="254" t="str">
        <f t="shared" ca="1" si="170"/>
        <v>618</v>
      </c>
      <c r="AK637" s="351"/>
    </row>
    <row r="638" spans="1:37">
      <c r="A638" s="74">
        <v>619</v>
      </c>
      <c r="B638" s="252"/>
      <c r="C638" s="295" t="str">
        <f t="shared" si="171"/>
        <v/>
      </c>
      <c r="D638" s="296" t="str">
        <f t="shared" si="172"/>
        <v/>
      </c>
      <c r="E638" s="287"/>
      <c r="F638" s="295" t="str">
        <f t="shared" si="157"/>
        <v/>
      </c>
      <c r="G638" s="296" t="str">
        <f t="shared" si="158"/>
        <v/>
      </c>
      <c r="H638" s="290"/>
      <c r="I638" s="254" t="str">
        <f t="shared" ca="1" si="166"/>
        <v>1</v>
      </c>
      <c r="J638" s="254" t="str">
        <f t="shared" ca="1" si="167"/>
        <v>1</v>
      </c>
      <c r="K638" s="230" t="str">
        <f>IF(Giocatori!B635=0,"",Giocatori!B635)</f>
        <v/>
      </c>
      <c r="L638" s="230" t="str">
        <f>IF(Giocatori!A635=0,"",Giocatori!A635)</f>
        <v/>
      </c>
      <c r="M638" s="230" t="str">
        <f>IF(Giocatori!C635=0,"",Giocatori!C635)</f>
        <v/>
      </c>
      <c r="N638" s="69" t="str">
        <f t="shared" si="159"/>
        <v/>
      </c>
      <c r="O638" t="str">
        <f t="shared" si="160"/>
        <v/>
      </c>
      <c r="P638" s="7">
        <f t="shared" ca="1" si="168"/>
        <v>548</v>
      </c>
      <c r="Q638" s="7" t="str">
        <f t="shared" ca="1" si="161"/>
        <v/>
      </c>
      <c r="Z638" s="256"/>
      <c r="AA638" s="219"/>
      <c r="AB638" s="295" t="str">
        <f t="shared" si="162"/>
        <v/>
      </c>
      <c r="AC638" s="296" t="str">
        <f t="shared" si="163"/>
        <v/>
      </c>
      <c r="AD638" s="219"/>
      <c r="AE638" s="219"/>
      <c r="AF638" s="295" t="str">
        <f>IF(AA638="","",VLOOKUP(AA638,Asta!$B:$H,7,FALSE))</f>
        <v/>
      </c>
      <c r="AG638" s="296" t="str">
        <f t="shared" si="164"/>
        <v/>
      </c>
      <c r="AH638" t="str">
        <f t="shared" si="165"/>
        <v/>
      </c>
      <c r="AI638" s="254" t="str">
        <f t="shared" ca="1" si="169"/>
        <v>619</v>
      </c>
      <c r="AJ638" s="254" t="str">
        <f t="shared" ca="1" si="170"/>
        <v>619</v>
      </c>
      <c r="AK638" s="351"/>
    </row>
    <row r="639" spans="1:37">
      <c r="A639" s="74">
        <v>620</v>
      </c>
      <c r="B639" s="252"/>
      <c r="C639" s="295" t="str">
        <f t="shared" si="171"/>
        <v/>
      </c>
      <c r="D639" s="296" t="str">
        <f t="shared" si="172"/>
        <v/>
      </c>
      <c r="E639" s="287"/>
      <c r="F639" s="295" t="str">
        <f t="shared" si="157"/>
        <v/>
      </c>
      <c r="G639" s="296" t="str">
        <f t="shared" si="158"/>
        <v/>
      </c>
      <c r="H639" s="290"/>
      <c r="I639" s="254" t="str">
        <f t="shared" ca="1" si="166"/>
        <v>1</v>
      </c>
      <c r="J639" s="254" t="str">
        <f t="shared" ca="1" si="167"/>
        <v>1</v>
      </c>
      <c r="K639" s="230" t="str">
        <f>IF(Giocatori!B636=0,"",Giocatori!B636)</f>
        <v/>
      </c>
      <c r="L639" s="230" t="str">
        <f>IF(Giocatori!A636=0,"",Giocatori!A636)</f>
        <v/>
      </c>
      <c r="M639" s="230" t="str">
        <f>IF(Giocatori!C636=0,"",Giocatori!C636)</f>
        <v/>
      </c>
      <c r="N639" s="69" t="str">
        <f t="shared" si="159"/>
        <v/>
      </c>
      <c r="O639" t="str">
        <f t="shared" si="160"/>
        <v/>
      </c>
      <c r="P639" s="7">
        <f t="shared" ca="1" si="168"/>
        <v>548</v>
      </c>
      <c r="Q639" s="7" t="str">
        <f t="shared" ca="1" si="161"/>
        <v/>
      </c>
      <c r="Z639" s="256"/>
      <c r="AA639" s="219"/>
      <c r="AB639" s="295" t="str">
        <f t="shared" si="162"/>
        <v/>
      </c>
      <c r="AC639" s="296" t="str">
        <f t="shared" si="163"/>
        <v/>
      </c>
      <c r="AD639" s="219"/>
      <c r="AE639" s="219"/>
      <c r="AF639" s="295" t="str">
        <f>IF(AA639="","",VLOOKUP(AA639,Asta!$B:$H,7,FALSE))</f>
        <v/>
      </c>
      <c r="AG639" s="296" t="str">
        <f t="shared" si="164"/>
        <v/>
      </c>
      <c r="AH639" t="str">
        <f t="shared" si="165"/>
        <v/>
      </c>
      <c r="AI639" s="254" t="str">
        <f t="shared" ca="1" si="169"/>
        <v>620</v>
      </c>
      <c r="AJ639" s="254" t="str">
        <f t="shared" ca="1" si="170"/>
        <v>620</v>
      </c>
      <c r="AK639" s="351"/>
    </row>
    <row r="640" spans="1:37">
      <c r="A640" s="74">
        <v>621</v>
      </c>
      <c r="B640" s="252"/>
      <c r="C640" s="295" t="str">
        <f t="shared" si="171"/>
        <v/>
      </c>
      <c r="D640" s="296" t="str">
        <f t="shared" si="172"/>
        <v/>
      </c>
      <c r="E640" s="287"/>
      <c r="F640" s="295" t="str">
        <f t="shared" si="157"/>
        <v/>
      </c>
      <c r="G640" s="296" t="str">
        <f t="shared" si="158"/>
        <v/>
      </c>
      <c r="H640" s="290"/>
      <c r="I640" s="254" t="str">
        <f t="shared" ca="1" si="166"/>
        <v>1</v>
      </c>
      <c r="J640" s="254" t="str">
        <f t="shared" ca="1" si="167"/>
        <v>1</v>
      </c>
      <c r="K640" s="230" t="str">
        <f>IF(Giocatori!B637=0,"",Giocatori!B637)</f>
        <v/>
      </c>
      <c r="L640" s="230" t="str">
        <f>IF(Giocatori!A637=0,"",Giocatori!A637)</f>
        <v/>
      </c>
      <c r="M640" s="230" t="str">
        <f>IF(Giocatori!C637=0,"",Giocatori!C637)</f>
        <v/>
      </c>
      <c r="N640" s="69" t="str">
        <f t="shared" si="159"/>
        <v/>
      </c>
      <c r="O640" t="str">
        <f t="shared" si="160"/>
        <v/>
      </c>
      <c r="P640" s="7">
        <f t="shared" ca="1" si="168"/>
        <v>548</v>
      </c>
      <c r="Q640" s="7" t="str">
        <f t="shared" ca="1" si="161"/>
        <v/>
      </c>
      <c r="Z640" s="256"/>
      <c r="AA640" s="219"/>
      <c r="AB640" s="295" t="str">
        <f t="shared" si="162"/>
        <v/>
      </c>
      <c r="AC640" s="296" t="str">
        <f t="shared" si="163"/>
        <v/>
      </c>
      <c r="AD640" s="219"/>
      <c r="AE640" s="219"/>
      <c r="AF640" s="295" t="str">
        <f>IF(AA640="","",VLOOKUP(AA640,Asta!$B:$H,7,FALSE))</f>
        <v/>
      </c>
      <c r="AG640" s="296" t="str">
        <f t="shared" si="164"/>
        <v/>
      </c>
      <c r="AH640" t="str">
        <f t="shared" si="165"/>
        <v/>
      </c>
      <c r="AI640" s="254" t="str">
        <f t="shared" ca="1" si="169"/>
        <v>621</v>
      </c>
      <c r="AJ640" s="254" t="str">
        <f t="shared" ca="1" si="170"/>
        <v>621</v>
      </c>
      <c r="AK640" s="351"/>
    </row>
    <row r="641" spans="1:37">
      <c r="A641" s="74">
        <v>622</v>
      </c>
      <c r="B641" s="252"/>
      <c r="C641" s="295" t="str">
        <f t="shared" si="171"/>
        <v/>
      </c>
      <c r="D641" s="296" t="str">
        <f t="shared" si="172"/>
        <v/>
      </c>
      <c r="E641" s="287"/>
      <c r="F641" s="295" t="str">
        <f t="shared" si="157"/>
        <v/>
      </c>
      <c r="G641" s="296" t="str">
        <f t="shared" si="158"/>
        <v/>
      </c>
      <c r="H641" s="290"/>
      <c r="I641" s="254" t="str">
        <f t="shared" ca="1" si="166"/>
        <v>1</v>
      </c>
      <c r="J641" s="254" t="str">
        <f t="shared" ca="1" si="167"/>
        <v>1</v>
      </c>
      <c r="K641" s="230" t="str">
        <f>IF(Giocatori!B638=0,"",Giocatori!B638)</f>
        <v/>
      </c>
      <c r="L641" s="230" t="str">
        <f>IF(Giocatori!A638=0,"",Giocatori!A638)</f>
        <v/>
      </c>
      <c r="M641" s="230" t="str">
        <f>IF(Giocatori!C638=0,"",Giocatori!C638)</f>
        <v/>
      </c>
      <c r="N641" s="69" t="str">
        <f t="shared" si="159"/>
        <v/>
      </c>
      <c r="O641" t="str">
        <f t="shared" si="160"/>
        <v/>
      </c>
      <c r="P641" s="7">
        <f t="shared" ca="1" si="168"/>
        <v>548</v>
      </c>
      <c r="Q641" s="7" t="str">
        <f t="shared" ca="1" si="161"/>
        <v/>
      </c>
      <c r="Z641" s="256"/>
      <c r="AA641" s="219"/>
      <c r="AB641" s="295" t="str">
        <f t="shared" si="162"/>
        <v/>
      </c>
      <c r="AC641" s="296" t="str">
        <f t="shared" si="163"/>
        <v/>
      </c>
      <c r="AD641" s="219"/>
      <c r="AE641" s="219"/>
      <c r="AF641" s="295" t="str">
        <f>IF(AA641="","",VLOOKUP(AA641,Asta!$B:$H,7,FALSE))</f>
        <v/>
      </c>
      <c r="AG641" s="296" t="str">
        <f t="shared" si="164"/>
        <v/>
      </c>
      <c r="AH641" t="str">
        <f t="shared" si="165"/>
        <v/>
      </c>
      <c r="AI641" s="254" t="str">
        <f t="shared" ca="1" si="169"/>
        <v>622</v>
      </c>
      <c r="AJ641" s="254" t="str">
        <f t="shared" ca="1" si="170"/>
        <v>622</v>
      </c>
      <c r="AK641" s="351"/>
    </row>
    <row r="642" spans="1:37">
      <c r="A642" s="74">
        <v>623</v>
      </c>
      <c r="B642" s="252"/>
      <c r="C642" s="295" t="str">
        <f t="shared" si="171"/>
        <v/>
      </c>
      <c r="D642" s="296" t="str">
        <f t="shared" si="172"/>
        <v/>
      </c>
      <c r="E642" s="287"/>
      <c r="F642" s="295" t="str">
        <f t="shared" si="157"/>
        <v/>
      </c>
      <c r="G642" s="296" t="str">
        <f t="shared" si="158"/>
        <v/>
      </c>
      <c r="H642" s="290"/>
      <c r="I642" s="254" t="str">
        <f t="shared" ca="1" si="166"/>
        <v>1</v>
      </c>
      <c r="J642" s="254" t="str">
        <f t="shared" ca="1" si="167"/>
        <v>1</v>
      </c>
      <c r="K642" s="230" t="str">
        <f>IF(Giocatori!B639=0,"",Giocatori!B639)</f>
        <v/>
      </c>
      <c r="L642" s="230" t="str">
        <f>IF(Giocatori!A639=0,"",Giocatori!A639)</f>
        <v/>
      </c>
      <c r="M642" s="230" t="str">
        <f>IF(Giocatori!C639=0,"",Giocatori!C639)</f>
        <v/>
      </c>
      <c r="N642" s="69" t="str">
        <f t="shared" si="159"/>
        <v/>
      </c>
      <c r="O642" t="str">
        <f t="shared" si="160"/>
        <v/>
      </c>
      <c r="P642" s="7">
        <f t="shared" ca="1" si="168"/>
        <v>548</v>
      </c>
      <c r="Q642" s="7" t="str">
        <f t="shared" ca="1" si="161"/>
        <v/>
      </c>
      <c r="Z642" s="256"/>
      <c r="AA642" s="219"/>
      <c r="AB642" s="295" t="str">
        <f t="shared" si="162"/>
        <v/>
      </c>
      <c r="AC642" s="296" t="str">
        <f t="shared" si="163"/>
        <v/>
      </c>
      <c r="AD642" s="219"/>
      <c r="AE642" s="219"/>
      <c r="AF642" s="295" t="str">
        <f>IF(AA642="","",VLOOKUP(AA642,Asta!$B:$H,7,FALSE))</f>
        <v/>
      </c>
      <c r="AG642" s="296" t="str">
        <f t="shared" si="164"/>
        <v/>
      </c>
      <c r="AH642" t="str">
        <f t="shared" si="165"/>
        <v/>
      </c>
      <c r="AI642" s="254" t="str">
        <f t="shared" ca="1" si="169"/>
        <v>623</v>
      </c>
      <c r="AJ642" s="254" t="str">
        <f t="shared" ca="1" si="170"/>
        <v>623</v>
      </c>
      <c r="AK642" s="351"/>
    </row>
    <row r="643" spans="1:37">
      <c r="A643" s="74">
        <v>624</v>
      </c>
      <c r="B643" s="252"/>
      <c r="C643" s="295" t="str">
        <f t="shared" si="171"/>
        <v/>
      </c>
      <c r="D643" s="296" t="str">
        <f t="shared" si="172"/>
        <v/>
      </c>
      <c r="E643" s="287"/>
      <c r="F643" s="295" t="str">
        <f t="shared" si="157"/>
        <v/>
      </c>
      <c r="G643" s="296" t="str">
        <f t="shared" si="158"/>
        <v/>
      </c>
      <c r="H643" s="290"/>
      <c r="I643" s="254" t="str">
        <f t="shared" ca="1" si="166"/>
        <v>1</v>
      </c>
      <c r="J643" s="254" t="str">
        <f t="shared" ca="1" si="167"/>
        <v>1</v>
      </c>
      <c r="K643" s="230" t="str">
        <f>IF(Giocatori!B640=0,"",Giocatori!B640)</f>
        <v/>
      </c>
      <c r="L643" s="230" t="str">
        <f>IF(Giocatori!A640=0,"",Giocatori!A640)</f>
        <v/>
      </c>
      <c r="M643" s="230" t="str">
        <f>IF(Giocatori!C640=0,"",Giocatori!C640)</f>
        <v/>
      </c>
      <c r="N643" s="69" t="str">
        <f t="shared" si="159"/>
        <v/>
      </c>
      <c r="O643" t="str">
        <f t="shared" si="160"/>
        <v/>
      </c>
      <c r="P643" s="7">
        <f t="shared" ca="1" si="168"/>
        <v>548</v>
      </c>
      <c r="Q643" s="7" t="str">
        <f t="shared" ca="1" si="161"/>
        <v/>
      </c>
      <c r="Z643" s="256"/>
      <c r="AA643" s="219"/>
      <c r="AB643" s="295" t="str">
        <f t="shared" si="162"/>
        <v/>
      </c>
      <c r="AC643" s="296" t="str">
        <f t="shared" si="163"/>
        <v/>
      </c>
      <c r="AD643" s="219"/>
      <c r="AE643" s="219"/>
      <c r="AF643" s="295" t="str">
        <f>IF(AA643="","",VLOOKUP(AA643,Asta!$B:$H,7,FALSE))</f>
        <v/>
      </c>
      <c r="AG643" s="296" t="str">
        <f t="shared" si="164"/>
        <v/>
      </c>
      <c r="AH643" t="str">
        <f t="shared" si="165"/>
        <v/>
      </c>
      <c r="AI643" s="254" t="str">
        <f t="shared" ca="1" si="169"/>
        <v>624</v>
      </c>
      <c r="AJ643" s="254" t="str">
        <f t="shared" ca="1" si="170"/>
        <v>624</v>
      </c>
      <c r="AK643" s="351"/>
    </row>
    <row r="644" spans="1:37">
      <c r="A644" s="74">
        <v>625</v>
      </c>
      <c r="B644" s="252"/>
      <c r="C644" s="295" t="str">
        <f t="shared" si="171"/>
        <v/>
      </c>
      <c r="D644" s="296" t="str">
        <f t="shared" si="172"/>
        <v/>
      </c>
      <c r="E644" s="287"/>
      <c r="F644" s="295" t="str">
        <f t="shared" si="157"/>
        <v/>
      </c>
      <c r="G644" s="296" t="str">
        <f t="shared" si="158"/>
        <v/>
      </c>
      <c r="H644" s="290"/>
      <c r="I644" s="254" t="str">
        <f t="shared" ca="1" si="166"/>
        <v>1</v>
      </c>
      <c r="J644" s="254" t="str">
        <f t="shared" ca="1" si="167"/>
        <v>1</v>
      </c>
      <c r="K644" s="230" t="str">
        <f>IF(Giocatori!B641=0,"",Giocatori!B641)</f>
        <v/>
      </c>
      <c r="L644" s="230" t="str">
        <f>IF(Giocatori!A641=0,"",Giocatori!A641)</f>
        <v/>
      </c>
      <c r="M644" s="230" t="str">
        <f>IF(Giocatori!C641=0,"",Giocatori!C641)</f>
        <v/>
      </c>
      <c r="N644" s="69" t="str">
        <f t="shared" si="159"/>
        <v/>
      </c>
      <c r="O644" t="str">
        <f t="shared" si="160"/>
        <v/>
      </c>
      <c r="P644" s="7">
        <f t="shared" ca="1" si="168"/>
        <v>548</v>
      </c>
      <c r="Q644" s="7" t="str">
        <f t="shared" ca="1" si="161"/>
        <v/>
      </c>
      <c r="Z644" s="256"/>
      <c r="AA644" s="219"/>
      <c r="AB644" s="295" t="str">
        <f t="shared" si="162"/>
        <v/>
      </c>
      <c r="AC644" s="296" t="str">
        <f t="shared" si="163"/>
        <v/>
      </c>
      <c r="AD644" s="219"/>
      <c r="AE644" s="219"/>
      <c r="AF644" s="295" t="str">
        <f>IF(AA644="","",VLOOKUP(AA644,Asta!$B:$H,7,FALSE))</f>
        <v/>
      </c>
      <c r="AG644" s="296" t="str">
        <f t="shared" si="164"/>
        <v/>
      </c>
      <c r="AH644" t="str">
        <f t="shared" si="165"/>
        <v/>
      </c>
      <c r="AI644" s="254" t="str">
        <f t="shared" ca="1" si="169"/>
        <v>625</v>
      </c>
      <c r="AJ644" s="254" t="str">
        <f t="shared" ca="1" si="170"/>
        <v>625</v>
      </c>
      <c r="AK644" s="351"/>
    </row>
    <row r="645" spans="1:37">
      <c r="A645" s="74">
        <v>626</v>
      </c>
      <c r="B645" s="252"/>
      <c r="C645" s="295" t="str">
        <f t="shared" si="171"/>
        <v/>
      </c>
      <c r="D645" s="296" t="str">
        <f t="shared" si="172"/>
        <v/>
      </c>
      <c r="E645" s="287"/>
      <c r="F645" s="295" t="str">
        <f t="shared" si="157"/>
        <v/>
      </c>
      <c r="G645" s="296" t="str">
        <f t="shared" si="158"/>
        <v/>
      </c>
      <c r="H645" s="290"/>
      <c r="I645" s="254" t="str">
        <f t="shared" ca="1" si="166"/>
        <v>1</v>
      </c>
      <c r="J645" s="254" t="str">
        <f t="shared" ca="1" si="167"/>
        <v>1</v>
      </c>
      <c r="K645" s="230" t="str">
        <f>IF(Giocatori!B642=0,"",Giocatori!B642)</f>
        <v/>
      </c>
      <c r="L645" s="230" t="str">
        <f>IF(Giocatori!A642=0,"",Giocatori!A642)</f>
        <v/>
      </c>
      <c r="M645" s="230" t="str">
        <f>IF(Giocatori!C642=0,"",Giocatori!C642)</f>
        <v/>
      </c>
      <c r="N645" s="69" t="str">
        <f t="shared" si="159"/>
        <v/>
      </c>
      <c r="O645" t="str">
        <f t="shared" si="160"/>
        <v/>
      </c>
      <c r="P645" s="7">
        <f t="shared" ca="1" si="168"/>
        <v>548</v>
      </c>
      <c r="Q645" s="7" t="str">
        <f t="shared" ca="1" si="161"/>
        <v/>
      </c>
      <c r="Z645" s="256"/>
      <c r="AA645" s="219"/>
      <c r="AB645" s="295" t="str">
        <f t="shared" si="162"/>
        <v/>
      </c>
      <c r="AC645" s="296" t="str">
        <f t="shared" si="163"/>
        <v/>
      </c>
      <c r="AD645" s="219"/>
      <c r="AE645" s="219"/>
      <c r="AF645" s="295" t="str">
        <f>IF(AA645="","",VLOOKUP(AA645,Asta!$B:$H,7,FALSE))</f>
        <v/>
      </c>
      <c r="AG645" s="296" t="str">
        <f t="shared" si="164"/>
        <v/>
      </c>
      <c r="AH645" t="str">
        <f t="shared" si="165"/>
        <v/>
      </c>
      <c r="AI645" s="254" t="str">
        <f t="shared" ca="1" si="169"/>
        <v>626</v>
      </c>
      <c r="AJ645" s="254" t="str">
        <f t="shared" ca="1" si="170"/>
        <v>626</v>
      </c>
      <c r="AK645" s="351"/>
    </row>
    <row r="646" spans="1:37">
      <c r="A646" s="74">
        <v>627</v>
      </c>
      <c r="B646" s="252"/>
      <c r="C646" s="295" t="str">
        <f t="shared" si="171"/>
        <v/>
      </c>
      <c r="D646" s="296" t="str">
        <f t="shared" si="172"/>
        <v/>
      </c>
      <c r="E646" s="287"/>
      <c r="F646" s="295" t="str">
        <f t="shared" si="157"/>
        <v/>
      </c>
      <c r="G646" s="296" t="str">
        <f t="shared" si="158"/>
        <v/>
      </c>
      <c r="H646" s="290"/>
      <c r="I646" s="254" t="str">
        <f t="shared" ca="1" si="166"/>
        <v>1</v>
      </c>
      <c r="J646" s="254" t="str">
        <f t="shared" ca="1" si="167"/>
        <v>1</v>
      </c>
      <c r="K646" s="230" t="str">
        <f>IF(Giocatori!B643=0,"",Giocatori!B643)</f>
        <v/>
      </c>
      <c r="L646" s="230" t="str">
        <f>IF(Giocatori!A643=0,"",Giocatori!A643)</f>
        <v/>
      </c>
      <c r="M646" s="230" t="str">
        <f>IF(Giocatori!C643=0,"",Giocatori!C643)</f>
        <v/>
      </c>
      <c r="N646" s="69" t="str">
        <f t="shared" si="159"/>
        <v/>
      </c>
      <c r="O646" t="str">
        <f t="shared" si="160"/>
        <v/>
      </c>
      <c r="P646" s="7">
        <f t="shared" ca="1" si="168"/>
        <v>548</v>
      </c>
      <c r="Q646" s="7" t="str">
        <f t="shared" ca="1" si="161"/>
        <v/>
      </c>
      <c r="Z646" s="256"/>
      <c r="AA646" s="219"/>
      <c r="AB646" s="295" t="str">
        <f t="shared" si="162"/>
        <v/>
      </c>
      <c r="AC646" s="296" t="str">
        <f t="shared" si="163"/>
        <v/>
      </c>
      <c r="AD646" s="219"/>
      <c r="AE646" s="219"/>
      <c r="AF646" s="295" t="str">
        <f>IF(AA646="","",VLOOKUP(AA646,Asta!$B:$H,7,FALSE))</f>
        <v/>
      </c>
      <c r="AG646" s="296" t="str">
        <f t="shared" si="164"/>
        <v/>
      </c>
      <c r="AH646" t="str">
        <f t="shared" si="165"/>
        <v/>
      </c>
      <c r="AI646" s="254" t="str">
        <f t="shared" ca="1" si="169"/>
        <v>627</v>
      </c>
      <c r="AJ646" s="254" t="str">
        <f t="shared" ca="1" si="170"/>
        <v>627</v>
      </c>
      <c r="AK646" s="351"/>
    </row>
    <row r="647" spans="1:37">
      <c r="A647" s="74">
        <v>628</v>
      </c>
      <c r="B647" s="252"/>
      <c r="C647" s="295" t="str">
        <f t="shared" si="171"/>
        <v/>
      </c>
      <c r="D647" s="296" t="str">
        <f t="shared" si="172"/>
        <v/>
      </c>
      <c r="E647" s="287"/>
      <c r="F647" s="295" t="str">
        <f t="shared" si="157"/>
        <v/>
      </c>
      <c r="G647" s="296" t="str">
        <f t="shared" si="158"/>
        <v/>
      </c>
      <c r="H647" s="290"/>
      <c r="I647" s="254" t="str">
        <f t="shared" ca="1" si="166"/>
        <v>1</v>
      </c>
      <c r="J647" s="254" t="str">
        <f t="shared" ca="1" si="167"/>
        <v>1</v>
      </c>
      <c r="K647" s="230" t="str">
        <f>IF(Giocatori!B644=0,"",Giocatori!B644)</f>
        <v/>
      </c>
      <c r="L647" s="230" t="str">
        <f>IF(Giocatori!A644=0,"",Giocatori!A644)</f>
        <v/>
      </c>
      <c r="M647" s="230" t="str">
        <f>IF(Giocatori!C644=0,"",Giocatori!C644)</f>
        <v/>
      </c>
      <c r="N647" s="69" t="str">
        <f t="shared" si="159"/>
        <v/>
      </c>
      <c r="O647" t="str">
        <f t="shared" si="160"/>
        <v/>
      </c>
      <c r="P647" s="7">
        <f t="shared" ca="1" si="168"/>
        <v>548</v>
      </c>
      <c r="Q647" s="7" t="str">
        <f t="shared" ca="1" si="161"/>
        <v/>
      </c>
      <c r="Z647" s="256"/>
      <c r="AA647" s="219"/>
      <c r="AB647" s="295" t="str">
        <f t="shared" si="162"/>
        <v/>
      </c>
      <c r="AC647" s="296" t="str">
        <f t="shared" si="163"/>
        <v/>
      </c>
      <c r="AD647" s="219"/>
      <c r="AE647" s="219"/>
      <c r="AF647" s="295" t="str">
        <f>IF(AA647="","",VLOOKUP(AA647,Asta!$B:$H,7,FALSE))</f>
        <v/>
      </c>
      <c r="AG647" s="296" t="str">
        <f t="shared" si="164"/>
        <v/>
      </c>
      <c r="AH647" t="str">
        <f t="shared" si="165"/>
        <v/>
      </c>
      <c r="AI647" s="254" t="str">
        <f t="shared" ca="1" si="169"/>
        <v>628</v>
      </c>
      <c r="AJ647" s="254" t="str">
        <f t="shared" ca="1" si="170"/>
        <v>628</v>
      </c>
      <c r="AK647" s="351"/>
    </row>
    <row r="648" spans="1:37">
      <c r="A648" s="74">
        <v>629</v>
      </c>
      <c r="B648" s="252"/>
      <c r="C648" s="295" t="str">
        <f t="shared" si="171"/>
        <v/>
      </c>
      <c r="D648" s="296" t="str">
        <f t="shared" si="172"/>
        <v/>
      </c>
      <c r="E648" s="287"/>
      <c r="F648" s="295" t="str">
        <f t="shared" si="157"/>
        <v/>
      </c>
      <c r="G648" s="296" t="str">
        <f t="shared" si="158"/>
        <v/>
      </c>
      <c r="H648" s="290"/>
      <c r="I648" s="254" t="str">
        <f t="shared" ca="1" si="166"/>
        <v>1</v>
      </c>
      <c r="J648" s="254" t="str">
        <f t="shared" ca="1" si="167"/>
        <v>1</v>
      </c>
      <c r="K648" s="230" t="str">
        <f>IF(Giocatori!B645=0,"",Giocatori!B645)</f>
        <v/>
      </c>
      <c r="L648" s="230" t="str">
        <f>IF(Giocatori!A645=0,"",Giocatori!A645)</f>
        <v/>
      </c>
      <c r="M648" s="230" t="str">
        <f>IF(Giocatori!C645=0,"",Giocatori!C645)</f>
        <v/>
      </c>
      <c r="N648" s="69" t="str">
        <f t="shared" si="159"/>
        <v/>
      </c>
      <c r="O648" t="str">
        <f t="shared" si="160"/>
        <v/>
      </c>
      <c r="P648" s="7">
        <f t="shared" ca="1" si="168"/>
        <v>548</v>
      </c>
      <c r="Q648" s="7" t="str">
        <f t="shared" ca="1" si="161"/>
        <v/>
      </c>
      <c r="Z648" s="256"/>
      <c r="AA648" s="219"/>
      <c r="AB648" s="295" t="str">
        <f t="shared" si="162"/>
        <v/>
      </c>
      <c r="AC648" s="296" t="str">
        <f t="shared" si="163"/>
        <v/>
      </c>
      <c r="AD648" s="219"/>
      <c r="AE648" s="219"/>
      <c r="AF648" s="295" t="str">
        <f>IF(AA648="","",VLOOKUP(AA648,Asta!$B:$H,7,FALSE))</f>
        <v/>
      </c>
      <c r="AG648" s="296" t="str">
        <f t="shared" si="164"/>
        <v/>
      </c>
      <c r="AH648" t="str">
        <f t="shared" si="165"/>
        <v/>
      </c>
      <c r="AI648" s="254" t="str">
        <f t="shared" ca="1" si="169"/>
        <v>629</v>
      </c>
      <c r="AJ648" s="254" t="str">
        <f t="shared" ca="1" si="170"/>
        <v>629</v>
      </c>
      <c r="AK648" s="351"/>
    </row>
    <row r="649" spans="1:37">
      <c r="A649" s="74">
        <v>630</v>
      </c>
      <c r="B649" s="252"/>
      <c r="C649" s="295" t="str">
        <f t="shared" si="171"/>
        <v/>
      </c>
      <c r="D649" s="296" t="str">
        <f t="shared" si="172"/>
        <v/>
      </c>
      <c r="E649" s="287"/>
      <c r="F649" s="295" t="str">
        <f t="shared" si="157"/>
        <v/>
      </c>
      <c r="G649" s="296" t="str">
        <f t="shared" si="158"/>
        <v/>
      </c>
      <c r="H649" s="290"/>
      <c r="I649" s="254" t="str">
        <f t="shared" ca="1" si="166"/>
        <v>1</v>
      </c>
      <c r="J649" s="254" t="str">
        <f t="shared" ca="1" si="167"/>
        <v>1</v>
      </c>
      <c r="K649" s="230" t="str">
        <f>IF(Giocatori!B646=0,"",Giocatori!B646)</f>
        <v/>
      </c>
      <c r="L649" s="230" t="str">
        <f>IF(Giocatori!A646=0,"",Giocatori!A646)</f>
        <v/>
      </c>
      <c r="M649" s="230" t="str">
        <f>IF(Giocatori!C646=0,"",Giocatori!C646)</f>
        <v/>
      </c>
      <c r="N649" s="69" t="str">
        <f t="shared" si="159"/>
        <v/>
      </c>
      <c r="O649" t="str">
        <f t="shared" si="160"/>
        <v/>
      </c>
      <c r="P649" s="7">
        <f t="shared" ca="1" si="168"/>
        <v>548</v>
      </c>
      <c r="Q649" s="7" t="str">
        <f t="shared" ca="1" si="161"/>
        <v/>
      </c>
      <c r="Z649" s="256"/>
      <c r="AA649" s="219"/>
      <c r="AB649" s="295" t="str">
        <f t="shared" si="162"/>
        <v/>
      </c>
      <c r="AC649" s="296" t="str">
        <f t="shared" si="163"/>
        <v/>
      </c>
      <c r="AD649" s="219"/>
      <c r="AE649" s="219"/>
      <c r="AF649" s="295" t="str">
        <f>IF(AA649="","",VLOOKUP(AA649,Asta!$B:$H,7,FALSE))</f>
        <v/>
      </c>
      <c r="AG649" s="296" t="str">
        <f t="shared" si="164"/>
        <v/>
      </c>
      <c r="AH649" t="str">
        <f t="shared" si="165"/>
        <v/>
      </c>
      <c r="AI649" s="254" t="str">
        <f t="shared" ca="1" si="169"/>
        <v>630</v>
      </c>
      <c r="AJ649" s="254" t="str">
        <f t="shared" ca="1" si="170"/>
        <v>630</v>
      </c>
      <c r="AK649" s="351"/>
    </row>
    <row r="650" spans="1:37">
      <c r="A650" s="74">
        <v>631</v>
      </c>
      <c r="B650" s="252"/>
      <c r="C650" s="295" t="str">
        <f t="shared" si="171"/>
        <v/>
      </c>
      <c r="D650" s="296" t="str">
        <f t="shared" si="172"/>
        <v/>
      </c>
      <c r="E650" s="287"/>
      <c r="F650" s="295" t="str">
        <f t="shared" si="157"/>
        <v/>
      </c>
      <c r="G650" s="296" t="str">
        <f t="shared" si="158"/>
        <v/>
      </c>
      <c r="H650" s="290"/>
      <c r="I650" s="254" t="str">
        <f t="shared" ca="1" si="166"/>
        <v>1</v>
      </c>
      <c r="J650" s="254" t="str">
        <f t="shared" ca="1" si="167"/>
        <v>1</v>
      </c>
      <c r="K650" s="230" t="str">
        <f>IF(Giocatori!B647=0,"",Giocatori!B647)</f>
        <v/>
      </c>
      <c r="L650" s="230" t="str">
        <f>IF(Giocatori!A647=0,"",Giocatori!A647)</f>
        <v/>
      </c>
      <c r="M650" s="230" t="str">
        <f>IF(Giocatori!C647=0,"",Giocatori!C647)</f>
        <v/>
      </c>
      <c r="N650" s="69" t="str">
        <f t="shared" si="159"/>
        <v/>
      </c>
      <c r="O650" t="str">
        <f t="shared" si="160"/>
        <v/>
      </c>
      <c r="P650" s="7">
        <f t="shared" ca="1" si="168"/>
        <v>548</v>
      </c>
      <c r="Q650" s="7" t="str">
        <f t="shared" ca="1" si="161"/>
        <v/>
      </c>
      <c r="Z650" s="256"/>
      <c r="AA650" s="219"/>
      <c r="AB650" s="295" t="str">
        <f t="shared" si="162"/>
        <v/>
      </c>
      <c r="AC650" s="296" t="str">
        <f t="shared" si="163"/>
        <v/>
      </c>
      <c r="AD650" s="219"/>
      <c r="AE650" s="219"/>
      <c r="AF650" s="295" t="str">
        <f>IF(AA650="","",VLOOKUP(AA650,Asta!$B:$H,7,FALSE))</f>
        <v/>
      </c>
      <c r="AG650" s="296" t="str">
        <f t="shared" si="164"/>
        <v/>
      </c>
      <c r="AH650" t="str">
        <f t="shared" si="165"/>
        <v/>
      </c>
      <c r="AI650" s="254" t="str">
        <f t="shared" ca="1" si="169"/>
        <v>631</v>
      </c>
      <c r="AJ650" s="254" t="str">
        <f t="shared" ca="1" si="170"/>
        <v>631</v>
      </c>
      <c r="AK650" s="351"/>
    </row>
    <row r="651" spans="1:37">
      <c r="A651" s="74">
        <v>632</v>
      </c>
      <c r="B651" s="252"/>
      <c r="C651" s="295" t="str">
        <f t="shared" si="171"/>
        <v/>
      </c>
      <c r="D651" s="296" t="str">
        <f t="shared" si="172"/>
        <v/>
      </c>
      <c r="E651" s="287"/>
      <c r="F651" s="295" t="str">
        <f t="shared" si="157"/>
        <v/>
      </c>
      <c r="G651" s="296" t="str">
        <f t="shared" si="158"/>
        <v/>
      </c>
      <c r="H651" s="290"/>
      <c r="I651" s="254" t="str">
        <f t="shared" ca="1" si="166"/>
        <v>1</v>
      </c>
      <c r="J651" s="254" t="str">
        <f t="shared" ca="1" si="167"/>
        <v>1</v>
      </c>
      <c r="K651" s="230" t="str">
        <f>IF(Giocatori!B648=0,"",Giocatori!B648)</f>
        <v/>
      </c>
      <c r="L651" s="230" t="str">
        <f>IF(Giocatori!A648=0,"",Giocatori!A648)</f>
        <v/>
      </c>
      <c r="M651" s="230" t="str">
        <f>IF(Giocatori!C648=0,"",Giocatori!C648)</f>
        <v/>
      </c>
      <c r="N651" s="69" t="str">
        <f t="shared" si="159"/>
        <v/>
      </c>
      <c r="O651" t="str">
        <f t="shared" si="160"/>
        <v/>
      </c>
      <c r="P651" s="7">
        <f t="shared" ca="1" si="168"/>
        <v>548</v>
      </c>
      <c r="Q651" s="7" t="str">
        <f t="shared" ca="1" si="161"/>
        <v/>
      </c>
      <c r="Z651" s="256"/>
      <c r="AA651" s="219"/>
      <c r="AB651" s="295" t="str">
        <f t="shared" si="162"/>
        <v/>
      </c>
      <c r="AC651" s="296" t="str">
        <f t="shared" si="163"/>
        <v/>
      </c>
      <c r="AD651" s="219"/>
      <c r="AE651" s="219"/>
      <c r="AF651" s="295" t="str">
        <f>IF(AA651="","",VLOOKUP(AA651,Asta!$B:$H,7,FALSE))</f>
        <v/>
      </c>
      <c r="AG651" s="296" t="str">
        <f t="shared" si="164"/>
        <v/>
      </c>
      <c r="AH651" t="str">
        <f t="shared" si="165"/>
        <v/>
      </c>
      <c r="AI651" s="254" t="str">
        <f t="shared" ca="1" si="169"/>
        <v>632</v>
      </c>
      <c r="AJ651" s="254" t="str">
        <f t="shared" ca="1" si="170"/>
        <v>632</v>
      </c>
      <c r="AK651" s="351"/>
    </row>
    <row r="652" spans="1:37">
      <c r="A652" s="74">
        <v>633</v>
      </c>
      <c r="B652" s="252"/>
      <c r="C652" s="295" t="str">
        <f t="shared" si="171"/>
        <v/>
      </c>
      <c r="D652" s="296" t="str">
        <f t="shared" si="172"/>
        <v/>
      </c>
      <c r="E652" s="287"/>
      <c r="F652" s="295" t="str">
        <f t="shared" si="157"/>
        <v/>
      </c>
      <c r="G652" s="296" t="str">
        <f t="shared" si="158"/>
        <v/>
      </c>
      <c r="H652" s="290"/>
      <c r="I652" s="254" t="str">
        <f t="shared" ca="1" si="166"/>
        <v>1</v>
      </c>
      <c r="J652" s="254" t="str">
        <f t="shared" ca="1" si="167"/>
        <v>1</v>
      </c>
      <c r="K652" s="230" t="str">
        <f>IF(Giocatori!B649=0,"",Giocatori!B649)</f>
        <v/>
      </c>
      <c r="L652" s="230" t="str">
        <f>IF(Giocatori!A649=0,"",Giocatori!A649)</f>
        <v/>
      </c>
      <c r="M652" s="230" t="str">
        <f>IF(Giocatori!C649=0,"",Giocatori!C649)</f>
        <v/>
      </c>
      <c r="N652" s="69" t="str">
        <f t="shared" si="159"/>
        <v/>
      </c>
      <c r="O652" t="str">
        <f t="shared" si="160"/>
        <v/>
      </c>
      <c r="P652" s="7">
        <f t="shared" ca="1" si="168"/>
        <v>548</v>
      </c>
      <c r="Q652" s="7" t="str">
        <f t="shared" ca="1" si="161"/>
        <v/>
      </c>
      <c r="Z652" s="256"/>
      <c r="AA652" s="219"/>
      <c r="AB652" s="295" t="str">
        <f t="shared" si="162"/>
        <v/>
      </c>
      <c r="AC652" s="296" t="str">
        <f t="shared" si="163"/>
        <v/>
      </c>
      <c r="AD652" s="219"/>
      <c r="AE652" s="219"/>
      <c r="AF652" s="295" t="str">
        <f>IF(AA652="","",VLOOKUP(AA652,Asta!$B:$H,7,FALSE))</f>
        <v/>
      </c>
      <c r="AG652" s="296" t="str">
        <f t="shared" si="164"/>
        <v/>
      </c>
      <c r="AH652" t="str">
        <f t="shared" si="165"/>
        <v/>
      </c>
      <c r="AI652" s="254" t="str">
        <f t="shared" ca="1" si="169"/>
        <v>633</v>
      </c>
      <c r="AJ652" s="254" t="str">
        <f t="shared" ca="1" si="170"/>
        <v>633</v>
      </c>
      <c r="AK652" s="351"/>
    </row>
    <row r="653" spans="1:37">
      <c r="A653" s="74">
        <v>634</v>
      </c>
      <c r="B653" s="252"/>
      <c r="C653" s="295" t="str">
        <f t="shared" si="171"/>
        <v/>
      </c>
      <c r="D653" s="296" t="str">
        <f t="shared" si="172"/>
        <v/>
      </c>
      <c r="E653" s="287"/>
      <c r="F653" s="295" t="str">
        <f t="shared" si="157"/>
        <v/>
      </c>
      <c r="G653" s="296" t="str">
        <f t="shared" si="158"/>
        <v/>
      </c>
      <c r="H653" s="290"/>
      <c r="I653" s="254" t="str">
        <f t="shared" ca="1" si="166"/>
        <v>1</v>
      </c>
      <c r="J653" s="254" t="str">
        <f t="shared" ca="1" si="167"/>
        <v>1</v>
      </c>
      <c r="K653" s="230" t="str">
        <f>IF(Giocatori!B650=0,"",Giocatori!B650)</f>
        <v/>
      </c>
      <c r="L653" s="230" t="str">
        <f>IF(Giocatori!A650=0,"",Giocatori!A650)</f>
        <v/>
      </c>
      <c r="M653" s="230" t="str">
        <f>IF(Giocatori!C650=0,"",Giocatori!C650)</f>
        <v/>
      </c>
      <c r="N653" s="69" t="str">
        <f t="shared" si="159"/>
        <v/>
      </c>
      <c r="O653" t="str">
        <f t="shared" si="160"/>
        <v/>
      </c>
      <c r="P653" s="7">
        <f t="shared" ca="1" si="168"/>
        <v>548</v>
      </c>
      <c r="Q653" s="7" t="str">
        <f t="shared" ca="1" si="161"/>
        <v/>
      </c>
      <c r="Z653" s="256"/>
      <c r="AA653" s="219"/>
      <c r="AB653" s="295" t="str">
        <f t="shared" si="162"/>
        <v/>
      </c>
      <c r="AC653" s="296" t="str">
        <f t="shared" si="163"/>
        <v/>
      </c>
      <c r="AD653" s="219"/>
      <c r="AE653" s="219"/>
      <c r="AF653" s="295" t="str">
        <f>IF(AA653="","",VLOOKUP(AA653,Asta!$B:$H,7,FALSE))</f>
        <v/>
      </c>
      <c r="AG653" s="296" t="str">
        <f t="shared" si="164"/>
        <v/>
      </c>
      <c r="AH653" t="str">
        <f t="shared" si="165"/>
        <v/>
      </c>
      <c r="AI653" s="254" t="str">
        <f t="shared" ca="1" si="169"/>
        <v>634</v>
      </c>
      <c r="AJ653" s="254" t="str">
        <f t="shared" ca="1" si="170"/>
        <v>634</v>
      </c>
      <c r="AK653" s="351"/>
    </row>
    <row r="654" spans="1:37">
      <c r="A654" s="74">
        <v>635</v>
      </c>
      <c r="B654" s="252"/>
      <c r="C654" s="295" t="str">
        <f t="shared" si="171"/>
        <v/>
      </c>
      <c r="D654" s="296" t="str">
        <f t="shared" si="172"/>
        <v/>
      </c>
      <c r="E654" s="287"/>
      <c r="F654" s="295" t="str">
        <f t="shared" si="157"/>
        <v/>
      </c>
      <c r="G654" s="296" t="str">
        <f t="shared" si="158"/>
        <v/>
      </c>
      <c r="H654" s="290"/>
      <c r="I654" s="254" t="str">
        <f t="shared" ca="1" si="166"/>
        <v>1</v>
      </c>
      <c r="J654" s="254" t="str">
        <f t="shared" ca="1" si="167"/>
        <v>1</v>
      </c>
      <c r="K654" s="230" t="str">
        <f>IF(Giocatori!B651=0,"",Giocatori!B651)</f>
        <v/>
      </c>
      <c r="L654" s="230" t="str">
        <f>IF(Giocatori!A651=0,"",Giocatori!A651)</f>
        <v/>
      </c>
      <c r="M654" s="230" t="str">
        <f>IF(Giocatori!C651=0,"",Giocatori!C651)</f>
        <v/>
      </c>
      <c r="N654" s="69" t="str">
        <f t="shared" si="159"/>
        <v/>
      </c>
      <c r="O654" t="str">
        <f t="shared" si="160"/>
        <v/>
      </c>
      <c r="P654" s="7">
        <f t="shared" ca="1" si="168"/>
        <v>548</v>
      </c>
      <c r="Q654" s="7" t="str">
        <f t="shared" ca="1" si="161"/>
        <v/>
      </c>
      <c r="Z654" s="256"/>
      <c r="AA654" s="219"/>
      <c r="AB654" s="295" t="str">
        <f t="shared" si="162"/>
        <v/>
      </c>
      <c r="AC654" s="296" t="str">
        <f t="shared" si="163"/>
        <v/>
      </c>
      <c r="AD654" s="219"/>
      <c r="AE654" s="219"/>
      <c r="AF654" s="295" t="str">
        <f>IF(AA654="","",VLOOKUP(AA654,Asta!$B:$H,7,FALSE))</f>
        <v/>
      </c>
      <c r="AG654" s="296" t="str">
        <f t="shared" si="164"/>
        <v/>
      </c>
      <c r="AH654" t="str">
        <f t="shared" si="165"/>
        <v/>
      </c>
      <c r="AI654" s="254" t="str">
        <f t="shared" ca="1" si="169"/>
        <v>635</v>
      </c>
      <c r="AJ654" s="254" t="str">
        <f t="shared" ca="1" si="170"/>
        <v>635</v>
      </c>
      <c r="AK654" s="351"/>
    </row>
    <row r="655" spans="1:37">
      <c r="A655" s="74">
        <v>636</v>
      </c>
      <c r="B655" s="252"/>
      <c r="C655" s="295" t="str">
        <f t="shared" si="171"/>
        <v/>
      </c>
      <c r="D655" s="296" t="str">
        <f t="shared" si="172"/>
        <v/>
      </c>
      <c r="E655" s="287"/>
      <c r="F655" s="295" t="str">
        <f t="shared" si="157"/>
        <v/>
      </c>
      <c r="G655" s="296" t="str">
        <f t="shared" si="158"/>
        <v/>
      </c>
      <c r="H655" s="290"/>
      <c r="I655" s="254" t="str">
        <f t="shared" ca="1" si="166"/>
        <v>1</v>
      </c>
      <c r="J655" s="254" t="str">
        <f t="shared" ca="1" si="167"/>
        <v>1</v>
      </c>
      <c r="K655" s="230" t="str">
        <f>IF(Giocatori!B652=0,"",Giocatori!B652)</f>
        <v/>
      </c>
      <c r="L655" s="230" t="str">
        <f>IF(Giocatori!A652=0,"",Giocatori!A652)</f>
        <v/>
      </c>
      <c r="M655" s="230" t="str">
        <f>IF(Giocatori!C652=0,"",Giocatori!C652)</f>
        <v/>
      </c>
      <c r="N655" s="69" t="str">
        <f t="shared" si="159"/>
        <v/>
      </c>
      <c r="O655" t="str">
        <f t="shared" si="160"/>
        <v/>
      </c>
      <c r="P655" s="7">
        <f t="shared" ca="1" si="168"/>
        <v>548</v>
      </c>
      <c r="Q655" s="7" t="str">
        <f t="shared" ca="1" si="161"/>
        <v/>
      </c>
      <c r="Z655" s="256"/>
      <c r="AA655" s="219"/>
      <c r="AB655" s="295" t="str">
        <f t="shared" si="162"/>
        <v/>
      </c>
      <c r="AC655" s="296" t="str">
        <f t="shared" si="163"/>
        <v/>
      </c>
      <c r="AD655" s="219"/>
      <c r="AE655" s="219"/>
      <c r="AF655" s="295" t="str">
        <f>IF(AA655="","",VLOOKUP(AA655,Asta!$B:$H,7,FALSE))</f>
        <v/>
      </c>
      <c r="AG655" s="296" t="str">
        <f t="shared" si="164"/>
        <v/>
      </c>
      <c r="AH655" t="str">
        <f t="shared" si="165"/>
        <v/>
      </c>
      <c r="AI655" s="254" t="str">
        <f t="shared" ca="1" si="169"/>
        <v>636</v>
      </c>
      <c r="AJ655" s="254" t="str">
        <f t="shared" ca="1" si="170"/>
        <v>636</v>
      </c>
      <c r="AK655" s="351"/>
    </row>
    <row r="656" spans="1:37">
      <c r="A656" s="74">
        <v>637</v>
      </c>
      <c r="B656" s="252"/>
      <c r="C656" s="295" t="str">
        <f t="shared" si="171"/>
        <v/>
      </c>
      <c r="D656" s="296" t="str">
        <f t="shared" si="172"/>
        <v/>
      </c>
      <c r="E656" s="287"/>
      <c r="F656" s="295" t="str">
        <f t="shared" si="157"/>
        <v/>
      </c>
      <c r="G656" s="296" t="str">
        <f t="shared" si="158"/>
        <v/>
      </c>
      <c r="H656" s="290"/>
      <c r="I656" s="254" t="str">
        <f t="shared" ca="1" si="166"/>
        <v>1</v>
      </c>
      <c r="J656" s="254" t="str">
        <f t="shared" ca="1" si="167"/>
        <v>1</v>
      </c>
      <c r="K656" s="230" t="str">
        <f>IF(Giocatori!B653=0,"",Giocatori!B653)</f>
        <v/>
      </c>
      <c r="L656" s="230" t="str">
        <f>IF(Giocatori!A653=0,"",Giocatori!A653)</f>
        <v/>
      </c>
      <c r="M656" s="230" t="str">
        <f>IF(Giocatori!C653=0,"",Giocatori!C653)</f>
        <v/>
      </c>
      <c r="N656" s="69" t="str">
        <f t="shared" si="159"/>
        <v/>
      </c>
      <c r="O656" t="str">
        <f t="shared" si="160"/>
        <v/>
      </c>
      <c r="P656" s="7">
        <f t="shared" ca="1" si="168"/>
        <v>548</v>
      </c>
      <c r="Q656" s="7" t="str">
        <f t="shared" ca="1" si="161"/>
        <v/>
      </c>
      <c r="Z656" s="256"/>
      <c r="AA656" s="219"/>
      <c r="AB656" s="295" t="str">
        <f t="shared" si="162"/>
        <v/>
      </c>
      <c r="AC656" s="296" t="str">
        <f t="shared" si="163"/>
        <v/>
      </c>
      <c r="AD656" s="219"/>
      <c r="AE656" s="219"/>
      <c r="AF656" s="295" t="str">
        <f>IF(AA656="","",VLOOKUP(AA656,Asta!$B:$H,7,FALSE))</f>
        <v/>
      </c>
      <c r="AG656" s="296" t="str">
        <f t="shared" si="164"/>
        <v/>
      </c>
      <c r="AH656" t="str">
        <f t="shared" si="165"/>
        <v/>
      </c>
      <c r="AI656" s="254" t="str">
        <f t="shared" ca="1" si="169"/>
        <v>637</v>
      </c>
      <c r="AJ656" s="254" t="str">
        <f t="shared" ca="1" si="170"/>
        <v>637</v>
      </c>
      <c r="AK656" s="351"/>
    </row>
    <row r="657" spans="1:37">
      <c r="A657" s="74">
        <v>638</v>
      </c>
      <c r="B657" s="252"/>
      <c r="C657" s="295" t="str">
        <f t="shared" si="171"/>
        <v/>
      </c>
      <c r="D657" s="296" t="str">
        <f t="shared" si="172"/>
        <v/>
      </c>
      <c r="E657" s="287"/>
      <c r="F657" s="295" t="str">
        <f t="shared" si="157"/>
        <v/>
      </c>
      <c r="G657" s="296" t="str">
        <f t="shared" si="158"/>
        <v/>
      </c>
      <c r="H657" s="290"/>
      <c r="I657" s="254" t="str">
        <f t="shared" ca="1" si="166"/>
        <v>1</v>
      </c>
      <c r="J657" s="254" t="str">
        <f t="shared" ca="1" si="167"/>
        <v>1</v>
      </c>
      <c r="K657" s="230" t="str">
        <f>IF(Giocatori!B654=0,"",Giocatori!B654)</f>
        <v/>
      </c>
      <c r="L657" s="230" t="str">
        <f>IF(Giocatori!A654=0,"",Giocatori!A654)</f>
        <v/>
      </c>
      <c r="M657" s="230" t="str">
        <f>IF(Giocatori!C654=0,"",Giocatori!C654)</f>
        <v/>
      </c>
      <c r="N657" s="69" t="str">
        <f t="shared" si="159"/>
        <v/>
      </c>
      <c r="O657" t="str">
        <f t="shared" si="160"/>
        <v/>
      </c>
      <c r="P657" s="7">
        <f t="shared" ca="1" si="168"/>
        <v>548</v>
      </c>
      <c r="Q657" s="7" t="str">
        <f t="shared" ca="1" si="161"/>
        <v/>
      </c>
      <c r="Z657" s="256"/>
      <c r="AA657" s="219"/>
      <c r="AB657" s="295" t="str">
        <f t="shared" si="162"/>
        <v/>
      </c>
      <c r="AC657" s="296" t="str">
        <f t="shared" si="163"/>
        <v/>
      </c>
      <c r="AD657" s="219"/>
      <c r="AE657" s="219"/>
      <c r="AF657" s="295" t="str">
        <f>IF(AA657="","",VLOOKUP(AA657,Asta!$B:$H,7,FALSE))</f>
        <v/>
      </c>
      <c r="AG657" s="296" t="str">
        <f t="shared" si="164"/>
        <v/>
      </c>
      <c r="AH657" t="str">
        <f t="shared" si="165"/>
        <v/>
      </c>
      <c r="AI657" s="254" t="str">
        <f t="shared" ca="1" si="169"/>
        <v>638</v>
      </c>
      <c r="AJ657" s="254" t="str">
        <f t="shared" ca="1" si="170"/>
        <v>638</v>
      </c>
      <c r="AK657" s="351"/>
    </row>
    <row r="658" spans="1:37">
      <c r="A658" s="74">
        <v>639</v>
      </c>
      <c r="B658" s="252"/>
      <c r="C658" s="295" t="str">
        <f t="shared" si="171"/>
        <v/>
      </c>
      <c r="D658" s="296" t="str">
        <f t="shared" si="172"/>
        <v/>
      </c>
      <c r="E658" s="287"/>
      <c r="F658" s="295" t="str">
        <f t="shared" si="157"/>
        <v/>
      </c>
      <c r="G658" s="296" t="str">
        <f t="shared" si="158"/>
        <v/>
      </c>
      <c r="H658" s="290"/>
      <c r="I658" s="254" t="str">
        <f t="shared" ca="1" si="166"/>
        <v>1</v>
      </c>
      <c r="J658" s="254" t="str">
        <f t="shared" ca="1" si="167"/>
        <v>1</v>
      </c>
      <c r="K658" s="230" t="str">
        <f>IF(Giocatori!B655=0,"",Giocatori!B655)</f>
        <v/>
      </c>
      <c r="L658" s="230" t="str">
        <f>IF(Giocatori!A655=0,"",Giocatori!A655)</f>
        <v/>
      </c>
      <c r="M658" s="230" t="str">
        <f>IF(Giocatori!C655=0,"",Giocatori!C655)</f>
        <v/>
      </c>
      <c r="N658" s="69" t="str">
        <f t="shared" si="159"/>
        <v/>
      </c>
      <c r="O658" t="str">
        <f t="shared" si="160"/>
        <v/>
      </c>
      <c r="P658" s="7">
        <f t="shared" ca="1" si="168"/>
        <v>548</v>
      </c>
      <c r="Q658" s="7" t="str">
        <f t="shared" ca="1" si="161"/>
        <v/>
      </c>
      <c r="Z658" s="256"/>
      <c r="AA658" s="219"/>
      <c r="AB658" s="295" t="str">
        <f t="shared" si="162"/>
        <v/>
      </c>
      <c r="AC658" s="296" t="str">
        <f t="shared" si="163"/>
        <v/>
      </c>
      <c r="AD658" s="219"/>
      <c r="AE658" s="219"/>
      <c r="AF658" s="295" t="str">
        <f>IF(AA658="","",VLOOKUP(AA658,Asta!$B:$H,7,FALSE))</f>
        <v/>
      </c>
      <c r="AG658" s="296" t="str">
        <f t="shared" si="164"/>
        <v/>
      </c>
      <c r="AH658" t="str">
        <f t="shared" si="165"/>
        <v/>
      </c>
      <c r="AI658" s="254" t="str">
        <f t="shared" ca="1" si="169"/>
        <v>639</v>
      </c>
      <c r="AJ658" s="254" t="str">
        <f t="shared" ca="1" si="170"/>
        <v>639</v>
      </c>
      <c r="AK658" s="351"/>
    </row>
    <row r="659" spans="1:37">
      <c r="A659" s="74">
        <v>640</v>
      </c>
      <c r="B659" s="252"/>
      <c r="C659" s="295" t="str">
        <f t="shared" si="171"/>
        <v/>
      </c>
      <c r="D659" s="296" t="str">
        <f t="shared" si="172"/>
        <v/>
      </c>
      <c r="E659" s="287"/>
      <c r="F659" s="295" t="str">
        <f t="shared" si="157"/>
        <v/>
      </c>
      <c r="G659" s="296" t="str">
        <f t="shared" si="158"/>
        <v/>
      </c>
      <c r="H659" s="290"/>
      <c r="I659" s="254" t="str">
        <f t="shared" ca="1" si="166"/>
        <v>1</v>
      </c>
      <c r="J659" s="254" t="str">
        <f t="shared" ca="1" si="167"/>
        <v>1</v>
      </c>
      <c r="K659" s="230" t="str">
        <f>IF(Giocatori!B656=0,"",Giocatori!B656)</f>
        <v/>
      </c>
      <c r="L659" s="230" t="str">
        <f>IF(Giocatori!A656=0,"",Giocatori!A656)</f>
        <v/>
      </c>
      <c r="M659" s="230" t="str">
        <f>IF(Giocatori!C656=0,"",Giocatori!C656)</f>
        <v/>
      </c>
      <c r="N659" s="69" t="str">
        <f t="shared" si="159"/>
        <v/>
      </c>
      <c r="O659" t="str">
        <f t="shared" si="160"/>
        <v/>
      </c>
      <c r="P659" s="7">
        <f t="shared" ca="1" si="168"/>
        <v>548</v>
      </c>
      <c r="Q659" s="7" t="str">
        <f t="shared" ca="1" si="161"/>
        <v/>
      </c>
      <c r="Z659" s="256"/>
      <c r="AA659" s="219"/>
      <c r="AB659" s="295" t="str">
        <f t="shared" si="162"/>
        <v/>
      </c>
      <c r="AC659" s="296" t="str">
        <f t="shared" si="163"/>
        <v/>
      </c>
      <c r="AD659" s="219"/>
      <c r="AE659" s="219"/>
      <c r="AF659" s="295" t="str">
        <f>IF(AA659="","",VLOOKUP(AA659,Asta!$B:$H,7,FALSE))</f>
        <v/>
      </c>
      <c r="AG659" s="296" t="str">
        <f t="shared" si="164"/>
        <v/>
      </c>
      <c r="AH659" t="str">
        <f t="shared" si="165"/>
        <v/>
      </c>
      <c r="AI659" s="254" t="str">
        <f t="shared" ca="1" si="169"/>
        <v>640</v>
      </c>
      <c r="AJ659" s="254" t="str">
        <f t="shared" ca="1" si="170"/>
        <v>640</v>
      </c>
      <c r="AK659" s="351"/>
    </row>
    <row r="660" spans="1:37">
      <c r="A660" s="74">
        <v>641</v>
      </c>
      <c r="B660" s="252"/>
      <c r="C660" s="295" t="str">
        <f t="shared" si="171"/>
        <v/>
      </c>
      <c r="D660" s="296" t="str">
        <f t="shared" si="172"/>
        <v/>
      </c>
      <c r="E660" s="287"/>
      <c r="F660" s="295" t="str">
        <f t="shared" si="157"/>
        <v/>
      </c>
      <c r="G660" s="296" t="str">
        <f t="shared" ref="G660:G716" si="173">IF(B660="","",IF(F660="",IF(E660="","",E660),F660))</f>
        <v/>
      </c>
      <c r="H660" s="290"/>
      <c r="I660" s="254" t="str">
        <f t="shared" ca="1" si="166"/>
        <v>1</v>
      </c>
      <c r="J660" s="254" t="str">
        <f t="shared" ca="1" si="167"/>
        <v>1</v>
      </c>
      <c r="K660" s="230" t="str">
        <f>IF(Giocatori!B657=0,"",Giocatori!B657)</f>
        <v/>
      </c>
      <c r="L660" s="230" t="str">
        <f>IF(Giocatori!A657=0,"",Giocatori!A657)</f>
        <v/>
      </c>
      <c r="M660" s="230" t="str">
        <f>IF(Giocatori!C657=0,"",Giocatori!C657)</f>
        <v/>
      </c>
      <c r="N660" s="69" t="str">
        <f t="shared" ref="N660:N720" si="174">IF(B660=0,"",B660)</f>
        <v/>
      </c>
      <c r="O660" t="str">
        <f t="shared" ref="O660:O720" si="175">IF(ISNA(VLOOKUP(K660,$N$20:$N$720,1,FALSE)),K660,"")</f>
        <v/>
      </c>
      <c r="P660" s="7">
        <f t="shared" ca="1" si="168"/>
        <v>548</v>
      </c>
      <c r="Q660" s="7" t="str">
        <f t="shared" ref="Q660:Q720" ca="1" si="176">IF(ISERROR(INDEX($O$6:$O$720,MATCH(ROW(),$P$6:$P$720,FALSE))),"",INDEX($O$6:$O$720,MATCH(ROW(),$P$6:$P$720,FALSE)))</f>
        <v/>
      </c>
      <c r="Z660" s="256"/>
      <c r="AA660" s="219"/>
      <c r="AB660" s="295" t="str">
        <f t="shared" ref="AB660:AB716" si="177">IF(AA660&lt;&gt;"",VLOOKUP(AA660,$K:$M,2,FALSE),"")</f>
        <v/>
      </c>
      <c r="AC660" s="296" t="str">
        <f t="shared" ref="AC660:AC716" si="178">IF(AA660&lt;&gt;"",VLOOKUP(AA660,$K:$M,3,FALSE),"")</f>
        <v/>
      </c>
      <c r="AD660" s="219"/>
      <c r="AE660" s="219"/>
      <c r="AF660" s="295" t="str">
        <f>IF(AA660="","",VLOOKUP(AA660,Asta!$B:$H,7,FALSE))</f>
        <v/>
      </c>
      <c r="AG660" s="296" t="str">
        <f t="shared" ref="AG660:AG701" si="179">IF(AD660="","",IF(AD660=$Y$20,-AF660,IF(AD660=$Y$21,AF660)))</f>
        <v/>
      </c>
      <c r="AH660" t="str">
        <f t="shared" ref="AH660:AH701" si="180">IF(AG660="","",-AG660)</f>
        <v/>
      </c>
      <c r="AI660" s="254" t="str">
        <f t="shared" ca="1" si="169"/>
        <v>641</v>
      </c>
      <c r="AJ660" s="254" t="str">
        <f t="shared" ca="1" si="170"/>
        <v>641</v>
      </c>
      <c r="AK660" s="351"/>
    </row>
    <row r="661" spans="1:37">
      <c r="A661" s="74">
        <v>642</v>
      </c>
      <c r="B661" s="252"/>
      <c r="C661" s="295" t="str">
        <f t="shared" si="171"/>
        <v/>
      </c>
      <c r="D661" s="296" t="str">
        <f t="shared" si="172"/>
        <v/>
      </c>
      <c r="E661" s="287"/>
      <c r="F661" s="295" t="str">
        <f t="shared" ref="F661:F716" si="181">IF(B661="","",IF(ISNA(VLOOKUP(B661,$AA$20:$AE$807,5,FALSE)),"",VLOOKUP(B661,$AA$20:$AE$807,5,FALSE)))</f>
        <v/>
      </c>
      <c r="G661" s="296" t="str">
        <f t="shared" si="173"/>
        <v/>
      </c>
      <c r="H661" s="290"/>
      <c r="I661" s="254" t="str">
        <f t="shared" ref="I661:I716" ca="1" si="182">G661&amp;C661&amp;COUNTIFS(INDIRECT("$C$19:$C$" &amp; ROW()-1),"="&amp;C661,INDIRECT("$G$19:$G$" &amp; ROW()-1),"="&amp;G661)+1</f>
        <v>1</v>
      </c>
      <c r="J661" s="254" t="str">
        <f t="shared" ref="J661:J716" ca="1" si="183">G661&amp;COUNTIFS(INDIRECT("$G$19:$G$" &amp; ROW()-1),"="&amp;G661)+1</f>
        <v>1</v>
      </c>
      <c r="K661" s="230" t="str">
        <f>IF(Giocatori!B658=0,"",Giocatori!B658)</f>
        <v/>
      </c>
      <c r="L661" s="230" t="str">
        <f>IF(Giocatori!A658=0,"",Giocatori!A658)</f>
        <v/>
      </c>
      <c r="M661" s="230" t="str">
        <f>IF(Giocatori!C658=0,"",Giocatori!C658)</f>
        <v/>
      </c>
      <c r="N661" s="69" t="str">
        <f t="shared" si="174"/>
        <v/>
      </c>
      <c r="O661" t="str">
        <f t="shared" si="175"/>
        <v/>
      </c>
      <c r="P661" s="7">
        <f t="shared" ref="P661:P720" ca="1" si="184">ROW()-COUNTBLANK(INDIRECT("$O$20:O"&amp;ROW()))</f>
        <v>548</v>
      </c>
      <c r="Q661" s="7" t="str">
        <f t="shared" ca="1" si="176"/>
        <v/>
      </c>
      <c r="Z661" s="256"/>
      <c r="AA661" s="219"/>
      <c r="AB661" s="295" t="str">
        <f t="shared" si="177"/>
        <v/>
      </c>
      <c r="AC661" s="296" t="str">
        <f t="shared" si="178"/>
        <v/>
      </c>
      <c r="AD661" s="219"/>
      <c r="AE661" s="219"/>
      <c r="AF661" s="295" t="str">
        <f>IF(AA661="","",VLOOKUP(AA661,Asta!$B:$H,7,FALSE))</f>
        <v/>
      </c>
      <c r="AG661" s="296" t="str">
        <f t="shared" si="179"/>
        <v/>
      </c>
      <c r="AH661" t="str">
        <f t="shared" si="180"/>
        <v/>
      </c>
      <c r="AI661" s="254" t="str">
        <f t="shared" ref="AI661:AI701" ca="1" si="185">Z661&amp;COUNTIFS(INDIRECT("$Z$20:$Z$" &amp; ROW()-1),"="&amp;Z661)+1</f>
        <v>642</v>
      </c>
      <c r="AJ661" s="254" t="str">
        <f t="shared" ref="AJ661:AJ701" ca="1" si="186">AE661&amp;COUNTIFS(INDIRECT("$AE$20:$AE$" &amp; ROW()-1),"="&amp;AE661)+1</f>
        <v>642</v>
      </c>
      <c r="AK661" s="351"/>
    </row>
    <row r="662" spans="1:37">
      <c r="A662" s="74">
        <v>643</v>
      </c>
      <c r="B662" s="252"/>
      <c r="C662" s="295" t="str">
        <f t="shared" si="171"/>
        <v/>
      </c>
      <c r="D662" s="296" t="str">
        <f t="shared" si="172"/>
        <v/>
      </c>
      <c r="E662" s="287"/>
      <c r="F662" s="295" t="str">
        <f t="shared" si="181"/>
        <v/>
      </c>
      <c r="G662" s="296" t="str">
        <f t="shared" si="173"/>
        <v/>
      </c>
      <c r="H662" s="290"/>
      <c r="I662" s="254" t="str">
        <f t="shared" ca="1" si="182"/>
        <v>1</v>
      </c>
      <c r="J662" s="254" t="str">
        <f t="shared" ca="1" si="183"/>
        <v>1</v>
      </c>
      <c r="K662" s="230" t="str">
        <f>IF(Giocatori!B659=0,"",Giocatori!B659)</f>
        <v/>
      </c>
      <c r="L662" s="230" t="str">
        <f>IF(Giocatori!A659=0,"",Giocatori!A659)</f>
        <v/>
      </c>
      <c r="M662" s="230" t="str">
        <f>IF(Giocatori!C659=0,"",Giocatori!C659)</f>
        <v/>
      </c>
      <c r="N662" s="69" t="str">
        <f t="shared" si="174"/>
        <v/>
      </c>
      <c r="O662" t="str">
        <f t="shared" si="175"/>
        <v/>
      </c>
      <c r="P662" s="7">
        <f t="shared" ca="1" si="184"/>
        <v>548</v>
      </c>
      <c r="Q662" s="7" t="str">
        <f t="shared" ca="1" si="176"/>
        <v/>
      </c>
      <c r="Z662" s="256"/>
      <c r="AA662" s="219"/>
      <c r="AB662" s="295" t="str">
        <f t="shared" si="177"/>
        <v/>
      </c>
      <c r="AC662" s="296" t="str">
        <f t="shared" si="178"/>
        <v/>
      </c>
      <c r="AD662" s="219"/>
      <c r="AE662" s="219"/>
      <c r="AF662" s="295" t="str">
        <f>IF(AA662="","",VLOOKUP(AA662,Asta!$B:$H,7,FALSE))</f>
        <v/>
      </c>
      <c r="AG662" s="296" t="str">
        <f t="shared" si="179"/>
        <v/>
      </c>
      <c r="AH662" t="str">
        <f t="shared" si="180"/>
        <v/>
      </c>
      <c r="AI662" s="254" t="str">
        <f t="shared" ca="1" si="185"/>
        <v>643</v>
      </c>
      <c r="AJ662" s="254" t="str">
        <f t="shared" ca="1" si="186"/>
        <v>643</v>
      </c>
      <c r="AK662" s="351"/>
    </row>
    <row r="663" spans="1:37">
      <c r="A663" s="74">
        <v>644</v>
      </c>
      <c r="B663" s="252"/>
      <c r="C663" s="295" t="str">
        <f t="shared" si="171"/>
        <v/>
      </c>
      <c r="D663" s="296" t="str">
        <f t="shared" si="172"/>
        <v/>
      </c>
      <c r="E663" s="287"/>
      <c r="F663" s="295" t="str">
        <f t="shared" si="181"/>
        <v/>
      </c>
      <c r="G663" s="296" t="str">
        <f t="shared" si="173"/>
        <v/>
      </c>
      <c r="H663" s="290"/>
      <c r="I663" s="254" t="str">
        <f t="shared" ca="1" si="182"/>
        <v>1</v>
      </c>
      <c r="J663" s="254" t="str">
        <f t="shared" ca="1" si="183"/>
        <v>1</v>
      </c>
      <c r="K663" s="230" t="str">
        <f>IF(Giocatori!B660=0,"",Giocatori!B660)</f>
        <v/>
      </c>
      <c r="L663" s="230" t="str">
        <f>IF(Giocatori!A660=0,"",Giocatori!A660)</f>
        <v/>
      </c>
      <c r="M663" s="230" t="str">
        <f>IF(Giocatori!C660=0,"",Giocatori!C660)</f>
        <v/>
      </c>
      <c r="N663" s="69" t="str">
        <f t="shared" si="174"/>
        <v/>
      </c>
      <c r="O663" t="str">
        <f t="shared" si="175"/>
        <v/>
      </c>
      <c r="P663" s="7">
        <f t="shared" ca="1" si="184"/>
        <v>548</v>
      </c>
      <c r="Q663" s="7" t="str">
        <f t="shared" ca="1" si="176"/>
        <v/>
      </c>
      <c r="Z663" s="256"/>
      <c r="AA663" s="219"/>
      <c r="AB663" s="295" t="str">
        <f t="shared" si="177"/>
        <v/>
      </c>
      <c r="AC663" s="296" t="str">
        <f t="shared" si="178"/>
        <v/>
      </c>
      <c r="AD663" s="219"/>
      <c r="AE663" s="219"/>
      <c r="AF663" s="295" t="str">
        <f>IF(AA663="","",VLOOKUP(AA663,Asta!$B:$H,7,FALSE))</f>
        <v/>
      </c>
      <c r="AG663" s="296" t="str">
        <f t="shared" si="179"/>
        <v/>
      </c>
      <c r="AH663" t="str">
        <f t="shared" si="180"/>
        <v/>
      </c>
      <c r="AI663" s="254" t="str">
        <f t="shared" ca="1" si="185"/>
        <v>644</v>
      </c>
      <c r="AJ663" s="254" t="str">
        <f t="shared" ca="1" si="186"/>
        <v>644</v>
      </c>
      <c r="AK663" s="351"/>
    </row>
    <row r="664" spans="1:37">
      <c r="A664" s="74">
        <v>645</v>
      </c>
      <c r="B664" s="252"/>
      <c r="C664" s="295" t="str">
        <f t="shared" si="171"/>
        <v/>
      </c>
      <c r="D664" s="296" t="str">
        <f t="shared" si="172"/>
        <v/>
      </c>
      <c r="E664" s="287"/>
      <c r="F664" s="295" t="str">
        <f t="shared" si="181"/>
        <v/>
      </c>
      <c r="G664" s="296" t="str">
        <f t="shared" si="173"/>
        <v/>
      </c>
      <c r="H664" s="290"/>
      <c r="I664" s="254" t="str">
        <f t="shared" ca="1" si="182"/>
        <v>1</v>
      </c>
      <c r="J664" s="254" t="str">
        <f t="shared" ca="1" si="183"/>
        <v>1</v>
      </c>
      <c r="K664" s="230" t="str">
        <f>IF(Giocatori!B661=0,"",Giocatori!B661)</f>
        <v/>
      </c>
      <c r="L664" s="230" t="str">
        <f>IF(Giocatori!A661=0,"",Giocatori!A661)</f>
        <v/>
      </c>
      <c r="M664" s="230" t="str">
        <f>IF(Giocatori!C661=0,"",Giocatori!C661)</f>
        <v/>
      </c>
      <c r="N664" s="69" t="str">
        <f t="shared" si="174"/>
        <v/>
      </c>
      <c r="O664" t="str">
        <f t="shared" si="175"/>
        <v/>
      </c>
      <c r="P664" s="7">
        <f t="shared" ca="1" si="184"/>
        <v>548</v>
      </c>
      <c r="Q664" s="7" t="str">
        <f t="shared" ca="1" si="176"/>
        <v/>
      </c>
      <c r="Z664" s="256"/>
      <c r="AA664" s="219"/>
      <c r="AB664" s="295" t="str">
        <f t="shared" si="177"/>
        <v/>
      </c>
      <c r="AC664" s="296" t="str">
        <f t="shared" si="178"/>
        <v/>
      </c>
      <c r="AD664" s="219"/>
      <c r="AE664" s="219"/>
      <c r="AF664" s="295" t="str">
        <f>IF(AA664="","",VLOOKUP(AA664,Asta!$B:$H,7,FALSE))</f>
        <v/>
      </c>
      <c r="AG664" s="296" t="str">
        <f t="shared" si="179"/>
        <v/>
      </c>
      <c r="AH664" t="str">
        <f t="shared" si="180"/>
        <v/>
      </c>
      <c r="AI664" s="254" t="str">
        <f t="shared" ca="1" si="185"/>
        <v>645</v>
      </c>
      <c r="AJ664" s="254" t="str">
        <f t="shared" ca="1" si="186"/>
        <v>645</v>
      </c>
      <c r="AK664" s="351"/>
    </row>
    <row r="665" spans="1:37">
      <c r="A665" s="74">
        <v>646</v>
      </c>
      <c r="B665" s="252"/>
      <c r="C665" s="295" t="str">
        <f t="shared" si="171"/>
        <v/>
      </c>
      <c r="D665" s="296" t="str">
        <f t="shared" si="172"/>
        <v/>
      </c>
      <c r="E665" s="287"/>
      <c r="F665" s="295" t="str">
        <f t="shared" si="181"/>
        <v/>
      </c>
      <c r="G665" s="296" t="str">
        <f t="shared" si="173"/>
        <v/>
      </c>
      <c r="H665" s="290"/>
      <c r="I665" s="254" t="str">
        <f t="shared" ca="1" si="182"/>
        <v>1</v>
      </c>
      <c r="J665" s="254" t="str">
        <f t="shared" ca="1" si="183"/>
        <v>1</v>
      </c>
      <c r="K665" s="230" t="str">
        <f>IF(Giocatori!B662=0,"",Giocatori!B662)</f>
        <v/>
      </c>
      <c r="L665" s="230" t="str">
        <f>IF(Giocatori!A662=0,"",Giocatori!A662)</f>
        <v/>
      </c>
      <c r="M665" s="230" t="str">
        <f>IF(Giocatori!C662=0,"",Giocatori!C662)</f>
        <v/>
      </c>
      <c r="N665" s="69" t="str">
        <f t="shared" si="174"/>
        <v/>
      </c>
      <c r="O665" t="str">
        <f t="shared" si="175"/>
        <v/>
      </c>
      <c r="P665" s="7">
        <f t="shared" ca="1" si="184"/>
        <v>548</v>
      </c>
      <c r="Q665" s="7" t="str">
        <f t="shared" ca="1" si="176"/>
        <v/>
      </c>
      <c r="Z665" s="256"/>
      <c r="AA665" s="219"/>
      <c r="AB665" s="295" t="str">
        <f t="shared" si="177"/>
        <v/>
      </c>
      <c r="AC665" s="296" t="str">
        <f t="shared" si="178"/>
        <v/>
      </c>
      <c r="AD665" s="219"/>
      <c r="AE665" s="219"/>
      <c r="AF665" s="295" t="str">
        <f>IF(AA665="","",VLOOKUP(AA665,Asta!$B:$H,7,FALSE))</f>
        <v/>
      </c>
      <c r="AG665" s="296" t="str">
        <f t="shared" si="179"/>
        <v/>
      </c>
      <c r="AH665" t="str">
        <f t="shared" si="180"/>
        <v/>
      </c>
      <c r="AI665" s="254" t="str">
        <f t="shared" ca="1" si="185"/>
        <v>646</v>
      </c>
      <c r="AJ665" s="254" t="str">
        <f t="shared" ca="1" si="186"/>
        <v>646</v>
      </c>
      <c r="AK665" s="351"/>
    </row>
    <row r="666" spans="1:37">
      <c r="A666" s="74">
        <v>647</v>
      </c>
      <c r="B666" s="252"/>
      <c r="C666" s="295" t="str">
        <f t="shared" si="171"/>
        <v/>
      </c>
      <c r="D666" s="296" t="str">
        <f t="shared" si="172"/>
        <v/>
      </c>
      <c r="E666" s="287"/>
      <c r="F666" s="295" t="str">
        <f t="shared" si="181"/>
        <v/>
      </c>
      <c r="G666" s="296" t="str">
        <f t="shared" si="173"/>
        <v/>
      </c>
      <c r="H666" s="290"/>
      <c r="I666" s="254" t="str">
        <f t="shared" ca="1" si="182"/>
        <v>1</v>
      </c>
      <c r="J666" s="254" t="str">
        <f t="shared" ca="1" si="183"/>
        <v>1</v>
      </c>
      <c r="K666" s="230" t="str">
        <f>IF(Giocatori!B663=0,"",Giocatori!B663)</f>
        <v/>
      </c>
      <c r="L666" s="230" t="str">
        <f>IF(Giocatori!A663=0,"",Giocatori!A663)</f>
        <v/>
      </c>
      <c r="M666" s="230" t="str">
        <f>IF(Giocatori!C663=0,"",Giocatori!C663)</f>
        <v/>
      </c>
      <c r="N666" s="69" t="str">
        <f t="shared" si="174"/>
        <v/>
      </c>
      <c r="O666" t="str">
        <f t="shared" si="175"/>
        <v/>
      </c>
      <c r="P666" s="7">
        <f t="shared" ca="1" si="184"/>
        <v>548</v>
      </c>
      <c r="Q666" s="7" t="str">
        <f t="shared" ca="1" si="176"/>
        <v/>
      </c>
      <c r="Z666" s="256"/>
      <c r="AA666" s="219"/>
      <c r="AB666" s="295" t="str">
        <f t="shared" si="177"/>
        <v/>
      </c>
      <c r="AC666" s="296" t="str">
        <f t="shared" si="178"/>
        <v/>
      </c>
      <c r="AD666" s="219"/>
      <c r="AE666" s="219"/>
      <c r="AF666" s="295" t="str">
        <f>IF(AA666="","",VLOOKUP(AA666,Asta!$B:$H,7,FALSE))</f>
        <v/>
      </c>
      <c r="AG666" s="296" t="str">
        <f t="shared" si="179"/>
        <v/>
      </c>
      <c r="AH666" t="str">
        <f t="shared" si="180"/>
        <v/>
      </c>
      <c r="AI666" s="254" t="str">
        <f t="shared" ca="1" si="185"/>
        <v>647</v>
      </c>
      <c r="AJ666" s="254" t="str">
        <f t="shared" ca="1" si="186"/>
        <v>647</v>
      </c>
      <c r="AK666" s="351"/>
    </row>
    <row r="667" spans="1:37">
      <c r="A667" s="74">
        <v>648</v>
      </c>
      <c r="B667" s="252"/>
      <c r="C667" s="295" t="str">
        <f t="shared" si="171"/>
        <v/>
      </c>
      <c r="D667" s="296" t="str">
        <f t="shared" si="172"/>
        <v/>
      </c>
      <c r="E667" s="287"/>
      <c r="F667" s="295" t="str">
        <f t="shared" si="181"/>
        <v/>
      </c>
      <c r="G667" s="296" t="str">
        <f t="shared" si="173"/>
        <v/>
      </c>
      <c r="H667" s="290"/>
      <c r="I667" s="254" t="str">
        <f t="shared" ca="1" si="182"/>
        <v>1</v>
      </c>
      <c r="J667" s="254" t="str">
        <f t="shared" ca="1" si="183"/>
        <v>1</v>
      </c>
      <c r="K667" s="230" t="str">
        <f>IF(Giocatori!B664=0,"",Giocatori!B664)</f>
        <v/>
      </c>
      <c r="L667" s="230" t="str">
        <f>IF(Giocatori!A664=0,"",Giocatori!A664)</f>
        <v/>
      </c>
      <c r="M667" s="230" t="str">
        <f>IF(Giocatori!C664=0,"",Giocatori!C664)</f>
        <v/>
      </c>
      <c r="N667" s="69" t="str">
        <f t="shared" si="174"/>
        <v/>
      </c>
      <c r="O667" t="str">
        <f t="shared" si="175"/>
        <v/>
      </c>
      <c r="P667" s="7">
        <f t="shared" ca="1" si="184"/>
        <v>548</v>
      </c>
      <c r="Q667" s="7" t="str">
        <f t="shared" ca="1" si="176"/>
        <v/>
      </c>
      <c r="Z667" s="256"/>
      <c r="AA667" s="219"/>
      <c r="AB667" s="295" t="str">
        <f t="shared" si="177"/>
        <v/>
      </c>
      <c r="AC667" s="296" t="str">
        <f t="shared" si="178"/>
        <v/>
      </c>
      <c r="AD667" s="219"/>
      <c r="AE667" s="219"/>
      <c r="AF667" s="295" t="str">
        <f>IF(AA667="","",VLOOKUP(AA667,Asta!$B:$H,7,FALSE))</f>
        <v/>
      </c>
      <c r="AG667" s="296" t="str">
        <f t="shared" si="179"/>
        <v/>
      </c>
      <c r="AH667" t="str">
        <f t="shared" si="180"/>
        <v/>
      </c>
      <c r="AI667" s="254" t="str">
        <f t="shared" ca="1" si="185"/>
        <v>648</v>
      </c>
      <c r="AJ667" s="254" t="str">
        <f t="shared" ca="1" si="186"/>
        <v>648</v>
      </c>
      <c r="AK667" s="351"/>
    </row>
    <row r="668" spans="1:37">
      <c r="A668" s="74">
        <v>649</v>
      </c>
      <c r="B668" s="252"/>
      <c r="C668" s="295" t="str">
        <f t="shared" si="171"/>
        <v/>
      </c>
      <c r="D668" s="296" t="str">
        <f t="shared" si="172"/>
        <v/>
      </c>
      <c r="E668" s="287"/>
      <c r="F668" s="295" t="str">
        <f t="shared" si="181"/>
        <v/>
      </c>
      <c r="G668" s="296" t="str">
        <f t="shared" si="173"/>
        <v/>
      </c>
      <c r="H668" s="290"/>
      <c r="I668" s="254" t="str">
        <f t="shared" ca="1" si="182"/>
        <v>1</v>
      </c>
      <c r="J668" s="254" t="str">
        <f t="shared" ca="1" si="183"/>
        <v>1</v>
      </c>
      <c r="K668" s="230" t="str">
        <f>IF(Giocatori!B665=0,"",Giocatori!B665)</f>
        <v/>
      </c>
      <c r="L668" s="230" t="str">
        <f>IF(Giocatori!A665=0,"",Giocatori!A665)</f>
        <v/>
      </c>
      <c r="M668" s="230" t="str">
        <f>IF(Giocatori!C665=0,"",Giocatori!C665)</f>
        <v/>
      </c>
      <c r="N668" s="69" t="str">
        <f t="shared" si="174"/>
        <v/>
      </c>
      <c r="O668" t="str">
        <f t="shared" si="175"/>
        <v/>
      </c>
      <c r="P668" s="7">
        <f t="shared" ca="1" si="184"/>
        <v>548</v>
      </c>
      <c r="Q668" s="7" t="str">
        <f t="shared" ca="1" si="176"/>
        <v/>
      </c>
      <c r="Z668" s="256"/>
      <c r="AA668" s="219"/>
      <c r="AB668" s="295" t="str">
        <f t="shared" si="177"/>
        <v/>
      </c>
      <c r="AC668" s="296" t="str">
        <f t="shared" si="178"/>
        <v/>
      </c>
      <c r="AD668" s="219"/>
      <c r="AE668" s="219"/>
      <c r="AF668" s="295" t="str">
        <f>IF(AA668="","",VLOOKUP(AA668,Asta!$B:$H,7,FALSE))</f>
        <v/>
      </c>
      <c r="AG668" s="296" t="str">
        <f t="shared" si="179"/>
        <v/>
      </c>
      <c r="AH668" t="str">
        <f t="shared" si="180"/>
        <v/>
      </c>
      <c r="AI668" s="254" t="str">
        <f t="shared" ca="1" si="185"/>
        <v>649</v>
      </c>
      <c r="AJ668" s="254" t="str">
        <f t="shared" ca="1" si="186"/>
        <v>649</v>
      </c>
      <c r="AK668" s="351"/>
    </row>
    <row r="669" spans="1:37">
      <c r="A669" s="74">
        <v>650</v>
      </c>
      <c r="B669" s="252"/>
      <c r="C669" s="295" t="str">
        <f t="shared" si="171"/>
        <v/>
      </c>
      <c r="D669" s="296" t="str">
        <f t="shared" si="172"/>
        <v/>
      </c>
      <c r="E669" s="287"/>
      <c r="F669" s="295" t="str">
        <f t="shared" si="181"/>
        <v/>
      </c>
      <c r="G669" s="296" t="str">
        <f t="shared" si="173"/>
        <v/>
      </c>
      <c r="H669" s="290"/>
      <c r="I669" s="254" t="str">
        <f t="shared" ca="1" si="182"/>
        <v>1</v>
      </c>
      <c r="J669" s="254" t="str">
        <f t="shared" ca="1" si="183"/>
        <v>1</v>
      </c>
      <c r="K669" s="230" t="str">
        <f>IF(Giocatori!B666=0,"",Giocatori!B666)</f>
        <v/>
      </c>
      <c r="L669" s="230" t="str">
        <f>IF(Giocatori!A666=0,"",Giocatori!A666)</f>
        <v/>
      </c>
      <c r="M669" s="230" t="str">
        <f>IF(Giocatori!C666=0,"",Giocatori!C666)</f>
        <v/>
      </c>
      <c r="N669" s="69" t="str">
        <f t="shared" si="174"/>
        <v/>
      </c>
      <c r="O669" t="str">
        <f t="shared" si="175"/>
        <v/>
      </c>
      <c r="P669" s="7">
        <f t="shared" ca="1" si="184"/>
        <v>548</v>
      </c>
      <c r="Q669" s="7" t="str">
        <f t="shared" ca="1" si="176"/>
        <v/>
      </c>
      <c r="Z669" s="256"/>
      <c r="AA669" s="219"/>
      <c r="AB669" s="295" t="str">
        <f t="shared" si="177"/>
        <v/>
      </c>
      <c r="AC669" s="296" t="str">
        <f t="shared" si="178"/>
        <v/>
      </c>
      <c r="AD669" s="219"/>
      <c r="AE669" s="219"/>
      <c r="AF669" s="295" t="str">
        <f>IF(AA669="","",VLOOKUP(AA669,Asta!$B:$H,7,FALSE))</f>
        <v/>
      </c>
      <c r="AG669" s="296" t="str">
        <f t="shared" si="179"/>
        <v/>
      </c>
      <c r="AH669" t="str">
        <f t="shared" si="180"/>
        <v/>
      </c>
      <c r="AI669" s="254" t="str">
        <f t="shared" ca="1" si="185"/>
        <v>650</v>
      </c>
      <c r="AJ669" s="254" t="str">
        <f t="shared" ca="1" si="186"/>
        <v>650</v>
      </c>
      <c r="AK669" s="351"/>
    </row>
    <row r="670" spans="1:37">
      <c r="A670" s="74">
        <v>651</v>
      </c>
      <c r="B670" s="252"/>
      <c r="C670" s="295" t="str">
        <f t="shared" si="171"/>
        <v/>
      </c>
      <c r="D670" s="296" t="str">
        <f t="shared" si="172"/>
        <v/>
      </c>
      <c r="E670" s="287"/>
      <c r="F670" s="295" t="str">
        <f t="shared" si="181"/>
        <v/>
      </c>
      <c r="G670" s="296" t="str">
        <f t="shared" si="173"/>
        <v/>
      </c>
      <c r="H670" s="290"/>
      <c r="I670" s="254" t="str">
        <f t="shared" ca="1" si="182"/>
        <v>1</v>
      </c>
      <c r="J670" s="254" t="str">
        <f t="shared" ca="1" si="183"/>
        <v>1</v>
      </c>
      <c r="K670" s="230" t="str">
        <f>IF(Giocatori!B667=0,"",Giocatori!B667)</f>
        <v/>
      </c>
      <c r="L670" s="230" t="str">
        <f>IF(Giocatori!A667=0,"",Giocatori!A667)</f>
        <v/>
      </c>
      <c r="M670" s="230" t="str">
        <f>IF(Giocatori!C667=0,"",Giocatori!C667)</f>
        <v/>
      </c>
      <c r="N670" s="69" t="str">
        <f t="shared" si="174"/>
        <v/>
      </c>
      <c r="O670" t="str">
        <f t="shared" si="175"/>
        <v/>
      </c>
      <c r="P670" s="7">
        <f t="shared" ca="1" si="184"/>
        <v>548</v>
      </c>
      <c r="Q670" s="7" t="str">
        <f t="shared" ca="1" si="176"/>
        <v/>
      </c>
      <c r="Z670" s="256"/>
      <c r="AA670" s="219"/>
      <c r="AB670" s="295" t="str">
        <f t="shared" si="177"/>
        <v/>
      </c>
      <c r="AC670" s="296" t="str">
        <f t="shared" si="178"/>
        <v/>
      </c>
      <c r="AD670" s="219"/>
      <c r="AE670" s="219"/>
      <c r="AF670" s="295" t="str">
        <f>IF(AA670="","",VLOOKUP(AA670,Asta!$B:$H,7,FALSE))</f>
        <v/>
      </c>
      <c r="AG670" s="296" t="str">
        <f t="shared" si="179"/>
        <v/>
      </c>
      <c r="AH670" t="str">
        <f t="shared" si="180"/>
        <v/>
      </c>
      <c r="AI670" s="254" t="str">
        <f t="shared" ca="1" si="185"/>
        <v>651</v>
      </c>
      <c r="AJ670" s="254" t="str">
        <f t="shared" ca="1" si="186"/>
        <v>651</v>
      </c>
      <c r="AK670" s="351"/>
    </row>
    <row r="671" spans="1:37">
      <c r="A671" s="74">
        <v>652</v>
      </c>
      <c r="B671" s="252"/>
      <c r="C671" s="295" t="str">
        <f t="shared" si="171"/>
        <v/>
      </c>
      <c r="D671" s="296" t="str">
        <f t="shared" si="172"/>
        <v/>
      </c>
      <c r="E671" s="287"/>
      <c r="F671" s="295" t="str">
        <f t="shared" si="181"/>
        <v/>
      </c>
      <c r="G671" s="296" t="str">
        <f t="shared" si="173"/>
        <v/>
      </c>
      <c r="H671" s="290"/>
      <c r="I671" s="254" t="str">
        <f t="shared" ca="1" si="182"/>
        <v>1</v>
      </c>
      <c r="J671" s="254" t="str">
        <f t="shared" ca="1" si="183"/>
        <v>1</v>
      </c>
      <c r="K671" s="230" t="str">
        <f>IF(Giocatori!B668=0,"",Giocatori!B668)</f>
        <v/>
      </c>
      <c r="L671" s="230" t="str">
        <f>IF(Giocatori!A668=0,"",Giocatori!A668)</f>
        <v/>
      </c>
      <c r="M671" s="230" t="str">
        <f>IF(Giocatori!C668=0,"",Giocatori!C668)</f>
        <v/>
      </c>
      <c r="N671" s="69" t="str">
        <f t="shared" si="174"/>
        <v/>
      </c>
      <c r="O671" t="str">
        <f t="shared" si="175"/>
        <v/>
      </c>
      <c r="P671" s="7">
        <f t="shared" ca="1" si="184"/>
        <v>548</v>
      </c>
      <c r="Q671" s="7" t="str">
        <f t="shared" ca="1" si="176"/>
        <v/>
      </c>
      <c r="Z671" s="256"/>
      <c r="AA671" s="219"/>
      <c r="AB671" s="295" t="str">
        <f t="shared" si="177"/>
        <v/>
      </c>
      <c r="AC671" s="296" t="str">
        <f t="shared" si="178"/>
        <v/>
      </c>
      <c r="AD671" s="219"/>
      <c r="AE671" s="219"/>
      <c r="AF671" s="295" t="str">
        <f>IF(AA671="","",VLOOKUP(AA671,Asta!$B:$H,7,FALSE))</f>
        <v/>
      </c>
      <c r="AG671" s="296" t="str">
        <f t="shared" si="179"/>
        <v/>
      </c>
      <c r="AH671" t="str">
        <f t="shared" si="180"/>
        <v/>
      </c>
      <c r="AI671" s="254" t="str">
        <f t="shared" ca="1" si="185"/>
        <v>652</v>
      </c>
      <c r="AJ671" s="254" t="str">
        <f t="shared" ca="1" si="186"/>
        <v>652</v>
      </c>
      <c r="AK671" s="351"/>
    </row>
    <row r="672" spans="1:37">
      <c r="A672" s="74">
        <v>653</v>
      </c>
      <c r="B672" s="252"/>
      <c r="C672" s="295" t="str">
        <f t="shared" si="171"/>
        <v/>
      </c>
      <c r="D672" s="296" t="str">
        <f t="shared" si="172"/>
        <v/>
      </c>
      <c r="E672" s="287"/>
      <c r="F672" s="295" t="str">
        <f t="shared" si="181"/>
        <v/>
      </c>
      <c r="G672" s="296" t="str">
        <f t="shared" si="173"/>
        <v/>
      </c>
      <c r="H672" s="290"/>
      <c r="I672" s="254" t="str">
        <f t="shared" ca="1" si="182"/>
        <v>1</v>
      </c>
      <c r="J672" s="254" t="str">
        <f t="shared" ca="1" si="183"/>
        <v>1</v>
      </c>
      <c r="K672" s="230" t="str">
        <f>IF(Giocatori!B669=0,"",Giocatori!B669)</f>
        <v/>
      </c>
      <c r="L672" s="230" t="str">
        <f>IF(Giocatori!A669=0,"",Giocatori!A669)</f>
        <v/>
      </c>
      <c r="M672" s="230" t="str">
        <f>IF(Giocatori!C669=0,"",Giocatori!C669)</f>
        <v/>
      </c>
      <c r="N672" s="69" t="str">
        <f t="shared" si="174"/>
        <v/>
      </c>
      <c r="O672" t="str">
        <f t="shared" si="175"/>
        <v/>
      </c>
      <c r="P672" s="7">
        <f t="shared" ca="1" si="184"/>
        <v>548</v>
      </c>
      <c r="Q672" s="7" t="str">
        <f t="shared" ca="1" si="176"/>
        <v/>
      </c>
      <c r="Z672" s="256"/>
      <c r="AA672" s="219"/>
      <c r="AB672" s="295" t="str">
        <f t="shared" si="177"/>
        <v/>
      </c>
      <c r="AC672" s="296" t="str">
        <f t="shared" si="178"/>
        <v/>
      </c>
      <c r="AD672" s="219"/>
      <c r="AE672" s="219"/>
      <c r="AF672" s="295" t="str">
        <f>IF(AA672="","",VLOOKUP(AA672,Asta!$B:$H,7,FALSE))</f>
        <v/>
      </c>
      <c r="AG672" s="296" t="str">
        <f t="shared" si="179"/>
        <v/>
      </c>
      <c r="AH672" t="str">
        <f t="shared" si="180"/>
        <v/>
      </c>
      <c r="AI672" s="254" t="str">
        <f t="shared" ca="1" si="185"/>
        <v>653</v>
      </c>
      <c r="AJ672" s="254" t="str">
        <f t="shared" ca="1" si="186"/>
        <v>653</v>
      </c>
      <c r="AK672" s="351"/>
    </row>
    <row r="673" spans="1:37">
      <c r="A673" s="74">
        <v>654</v>
      </c>
      <c r="B673" s="252"/>
      <c r="C673" s="295" t="str">
        <f t="shared" si="171"/>
        <v/>
      </c>
      <c r="D673" s="296" t="str">
        <f t="shared" si="172"/>
        <v/>
      </c>
      <c r="E673" s="287"/>
      <c r="F673" s="295" t="str">
        <f t="shared" si="181"/>
        <v/>
      </c>
      <c r="G673" s="296" t="str">
        <f t="shared" si="173"/>
        <v/>
      </c>
      <c r="H673" s="290"/>
      <c r="I673" s="254" t="str">
        <f t="shared" ca="1" si="182"/>
        <v>1</v>
      </c>
      <c r="J673" s="254" t="str">
        <f t="shared" ca="1" si="183"/>
        <v>1</v>
      </c>
      <c r="K673" s="230" t="str">
        <f>IF(Giocatori!B670=0,"",Giocatori!B670)</f>
        <v/>
      </c>
      <c r="L673" s="230" t="str">
        <f>IF(Giocatori!A670=0,"",Giocatori!A670)</f>
        <v/>
      </c>
      <c r="M673" s="230" t="str">
        <f>IF(Giocatori!C670=0,"",Giocatori!C670)</f>
        <v/>
      </c>
      <c r="N673" s="69" t="str">
        <f t="shared" si="174"/>
        <v/>
      </c>
      <c r="O673" t="str">
        <f t="shared" si="175"/>
        <v/>
      </c>
      <c r="P673" s="7">
        <f t="shared" ca="1" si="184"/>
        <v>548</v>
      </c>
      <c r="Q673" s="7" t="str">
        <f t="shared" ca="1" si="176"/>
        <v/>
      </c>
      <c r="Z673" s="256"/>
      <c r="AA673" s="219"/>
      <c r="AB673" s="295" t="str">
        <f t="shared" si="177"/>
        <v/>
      </c>
      <c r="AC673" s="296" t="str">
        <f t="shared" si="178"/>
        <v/>
      </c>
      <c r="AD673" s="219"/>
      <c r="AE673" s="219"/>
      <c r="AF673" s="295" t="str">
        <f>IF(AA673="","",VLOOKUP(AA673,Asta!$B:$H,7,FALSE))</f>
        <v/>
      </c>
      <c r="AG673" s="296" t="str">
        <f t="shared" si="179"/>
        <v/>
      </c>
      <c r="AH673" t="str">
        <f t="shared" si="180"/>
        <v/>
      </c>
      <c r="AI673" s="254" t="str">
        <f t="shared" ca="1" si="185"/>
        <v>654</v>
      </c>
      <c r="AJ673" s="254" t="str">
        <f t="shared" ca="1" si="186"/>
        <v>654</v>
      </c>
      <c r="AK673" s="351"/>
    </row>
    <row r="674" spans="1:37">
      <c r="A674" s="74">
        <v>655</v>
      </c>
      <c r="B674" s="252"/>
      <c r="C674" s="295" t="str">
        <f t="shared" si="171"/>
        <v/>
      </c>
      <c r="D674" s="296" t="str">
        <f t="shared" si="172"/>
        <v/>
      </c>
      <c r="E674" s="287"/>
      <c r="F674" s="295" t="str">
        <f t="shared" si="181"/>
        <v/>
      </c>
      <c r="G674" s="296" t="str">
        <f t="shared" si="173"/>
        <v/>
      </c>
      <c r="H674" s="290"/>
      <c r="I674" s="254" t="str">
        <f t="shared" ca="1" si="182"/>
        <v>1</v>
      </c>
      <c r="J674" s="254" t="str">
        <f t="shared" ca="1" si="183"/>
        <v>1</v>
      </c>
      <c r="K674" s="230" t="str">
        <f>IF(Giocatori!B671=0,"",Giocatori!B671)</f>
        <v/>
      </c>
      <c r="L674" s="230" t="str">
        <f>IF(Giocatori!A671=0,"",Giocatori!A671)</f>
        <v/>
      </c>
      <c r="M674" s="230" t="str">
        <f>IF(Giocatori!C671=0,"",Giocatori!C671)</f>
        <v/>
      </c>
      <c r="N674" s="69" t="str">
        <f t="shared" si="174"/>
        <v/>
      </c>
      <c r="O674" t="str">
        <f t="shared" si="175"/>
        <v/>
      </c>
      <c r="P674" s="7">
        <f t="shared" ca="1" si="184"/>
        <v>548</v>
      </c>
      <c r="Q674" s="7" t="str">
        <f t="shared" ca="1" si="176"/>
        <v/>
      </c>
      <c r="Z674" s="256"/>
      <c r="AA674" s="219"/>
      <c r="AB674" s="295" t="str">
        <f t="shared" si="177"/>
        <v/>
      </c>
      <c r="AC674" s="296" t="str">
        <f t="shared" si="178"/>
        <v/>
      </c>
      <c r="AD674" s="219"/>
      <c r="AE674" s="219"/>
      <c r="AF674" s="295" t="str">
        <f>IF(AA674="","",VLOOKUP(AA674,Asta!$B:$H,7,FALSE))</f>
        <v/>
      </c>
      <c r="AG674" s="296" t="str">
        <f t="shared" si="179"/>
        <v/>
      </c>
      <c r="AH674" t="str">
        <f t="shared" si="180"/>
        <v/>
      </c>
      <c r="AI674" s="254" t="str">
        <f t="shared" ca="1" si="185"/>
        <v>655</v>
      </c>
      <c r="AJ674" s="254" t="str">
        <f t="shared" ca="1" si="186"/>
        <v>655</v>
      </c>
      <c r="AK674" s="351"/>
    </row>
    <row r="675" spans="1:37">
      <c r="A675" s="74">
        <v>656</v>
      </c>
      <c r="B675" s="252"/>
      <c r="C675" s="295" t="str">
        <f t="shared" si="171"/>
        <v/>
      </c>
      <c r="D675" s="296" t="str">
        <f t="shared" si="172"/>
        <v/>
      </c>
      <c r="E675" s="287"/>
      <c r="F675" s="295" t="str">
        <f t="shared" si="181"/>
        <v/>
      </c>
      <c r="G675" s="296" t="str">
        <f t="shared" si="173"/>
        <v/>
      </c>
      <c r="H675" s="290"/>
      <c r="I675" s="254" t="str">
        <f t="shared" ca="1" si="182"/>
        <v>1</v>
      </c>
      <c r="J675" s="254" t="str">
        <f t="shared" ca="1" si="183"/>
        <v>1</v>
      </c>
      <c r="K675" s="230" t="str">
        <f>IF(Giocatori!B672=0,"",Giocatori!B672)</f>
        <v/>
      </c>
      <c r="L675" s="230" t="str">
        <f>IF(Giocatori!A672=0,"",Giocatori!A672)</f>
        <v/>
      </c>
      <c r="M675" s="230" t="str">
        <f>IF(Giocatori!C672=0,"",Giocatori!C672)</f>
        <v/>
      </c>
      <c r="N675" s="69" t="str">
        <f t="shared" si="174"/>
        <v/>
      </c>
      <c r="O675" t="str">
        <f t="shared" si="175"/>
        <v/>
      </c>
      <c r="P675" s="7">
        <f t="shared" ca="1" si="184"/>
        <v>548</v>
      </c>
      <c r="Q675" s="7" t="str">
        <f t="shared" ca="1" si="176"/>
        <v/>
      </c>
      <c r="Z675" s="256"/>
      <c r="AA675" s="219"/>
      <c r="AB675" s="295" t="str">
        <f t="shared" si="177"/>
        <v/>
      </c>
      <c r="AC675" s="296" t="str">
        <f t="shared" si="178"/>
        <v/>
      </c>
      <c r="AD675" s="219"/>
      <c r="AE675" s="219"/>
      <c r="AF675" s="295" t="str">
        <f>IF(AA675="","",VLOOKUP(AA675,Asta!$B:$H,7,FALSE))</f>
        <v/>
      </c>
      <c r="AG675" s="296" t="str">
        <f t="shared" si="179"/>
        <v/>
      </c>
      <c r="AH675" t="str">
        <f t="shared" si="180"/>
        <v/>
      </c>
      <c r="AI675" s="254" t="str">
        <f t="shared" ca="1" si="185"/>
        <v>656</v>
      </c>
      <c r="AJ675" s="254" t="str">
        <f t="shared" ca="1" si="186"/>
        <v>656</v>
      </c>
      <c r="AK675" s="351"/>
    </row>
    <row r="676" spans="1:37">
      <c r="A676" s="74">
        <v>657</v>
      </c>
      <c r="B676" s="252"/>
      <c r="C676" s="295" t="str">
        <f t="shared" si="171"/>
        <v/>
      </c>
      <c r="D676" s="296" t="str">
        <f t="shared" si="172"/>
        <v/>
      </c>
      <c r="E676" s="287"/>
      <c r="F676" s="295" t="str">
        <f t="shared" si="181"/>
        <v/>
      </c>
      <c r="G676" s="296" t="str">
        <f t="shared" si="173"/>
        <v/>
      </c>
      <c r="H676" s="290"/>
      <c r="I676" s="254" t="str">
        <f t="shared" ca="1" si="182"/>
        <v>1</v>
      </c>
      <c r="J676" s="254" t="str">
        <f t="shared" ca="1" si="183"/>
        <v>1</v>
      </c>
      <c r="K676" s="230" t="str">
        <f>IF(Giocatori!B673=0,"",Giocatori!B673)</f>
        <v/>
      </c>
      <c r="L676" s="230" t="str">
        <f>IF(Giocatori!A673=0,"",Giocatori!A673)</f>
        <v/>
      </c>
      <c r="M676" s="230" t="str">
        <f>IF(Giocatori!C673=0,"",Giocatori!C673)</f>
        <v/>
      </c>
      <c r="N676" s="69" t="str">
        <f t="shared" si="174"/>
        <v/>
      </c>
      <c r="O676" t="str">
        <f t="shared" si="175"/>
        <v/>
      </c>
      <c r="P676" s="7">
        <f t="shared" ca="1" si="184"/>
        <v>548</v>
      </c>
      <c r="Q676" s="7" t="str">
        <f t="shared" ca="1" si="176"/>
        <v/>
      </c>
      <c r="Z676" s="256"/>
      <c r="AA676" s="219"/>
      <c r="AB676" s="295" t="str">
        <f t="shared" si="177"/>
        <v/>
      </c>
      <c r="AC676" s="296" t="str">
        <f t="shared" si="178"/>
        <v/>
      </c>
      <c r="AD676" s="219"/>
      <c r="AE676" s="219"/>
      <c r="AF676" s="295" t="str">
        <f>IF(AA676="","",VLOOKUP(AA676,Asta!$B:$H,7,FALSE))</f>
        <v/>
      </c>
      <c r="AG676" s="296" t="str">
        <f t="shared" si="179"/>
        <v/>
      </c>
      <c r="AH676" t="str">
        <f t="shared" si="180"/>
        <v/>
      </c>
      <c r="AI676" s="254" t="str">
        <f t="shared" ca="1" si="185"/>
        <v>657</v>
      </c>
      <c r="AJ676" s="254" t="str">
        <f t="shared" ca="1" si="186"/>
        <v>657</v>
      </c>
      <c r="AK676" s="351"/>
    </row>
    <row r="677" spans="1:37">
      <c r="A677" s="74">
        <v>658</v>
      </c>
      <c r="B677" s="252"/>
      <c r="C677" s="295" t="str">
        <f t="shared" ref="C677:C716" si="187">IF(B677&lt;&gt;"",VLOOKUP(B677,$K:$M,2,FALSE),"")</f>
        <v/>
      </c>
      <c r="D677" s="296" t="str">
        <f t="shared" ref="D677:D716" si="188">IF(B677&lt;&gt;"",VLOOKUP(B677,$K:$M,3,FALSE),"")</f>
        <v/>
      </c>
      <c r="E677" s="287"/>
      <c r="F677" s="295" t="str">
        <f t="shared" si="181"/>
        <v/>
      </c>
      <c r="G677" s="296" t="str">
        <f t="shared" si="173"/>
        <v/>
      </c>
      <c r="H677" s="290"/>
      <c r="I677" s="254" t="str">
        <f t="shared" ca="1" si="182"/>
        <v>1</v>
      </c>
      <c r="J677" s="254" t="str">
        <f t="shared" ca="1" si="183"/>
        <v>1</v>
      </c>
      <c r="K677" s="230" t="str">
        <f>IF(Giocatori!B674=0,"",Giocatori!B674)</f>
        <v/>
      </c>
      <c r="L677" s="230" t="str">
        <f>IF(Giocatori!A674=0,"",Giocatori!A674)</f>
        <v/>
      </c>
      <c r="M677" s="230" t="str">
        <f>IF(Giocatori!C674=0,"",Giocatori!C674)</f>
        <v/>
      </c>
      <c r="N677" s="69" t="str">
        <f t="shared" si="174"/>
        <v/>
      </c>
      <c r="O677" t="str">
        <f t="shared" si="175"/>
        <v/>
      </c>
      <c r="P677" s="7">
        <f t="shared" ca="1" si="184"/>
        <v>548</v>
      </c>
      <c r="Q677" s="7" t="str">
        <f t="shared" ca="1" si="176"/>
        <v/>
      </c>
      <c r="Z677" s="256"/>
      <c r="AA677" s="219"/>
      <c r="AB677" s="295" t="str">
        <f t="shared" si="177"/>
        <v/>
      </c>
      <c r="AC677" s="296" t="str">
        <f t="shared" si="178"/>
        <v/>
      </c>
      <c r="AD677" s="219"/>
      <c r="AE677" s="219"/>
      <c r="AF677" s="295" t="str">
        <f>IF(AA677="","",VLOOKUP(AA677,Asta!$B:$H,7,FALSE))</f>
        <v/>
      </c>
      <c r="AG677" s="296" t="str">
        <f t="shared" si="179"/>
        <v/>
      </c>
      <c r="AH677" t="str">
        <f t="shared" si="180"/>
        <v/>
      </c>
      <c r="AI677" s="254" t="str">
        <f t="shared" ca="1" si="185"/>
        <v>658</v>
      </c>
      <c r="AJ677" s="254" t="str">
        <f t="shared" ca="1" si="186"/>
        <v>658</v>
      </c>
      <c r="AK677" s="351"/>
    </row>
    <row r="678" spans="1:37">
      <c r="A678" s="74">
        <v>659</v>
      </c>
      <c r="B678" s="252"/>
      <c r="C678" s="295" t="str">
        <f t="shared" si="187"/>
        <v/>
      </c>
      <c r="D678" s="296" t="str">
        <f t="shared" si="188"/>
        <v/>
      </c>
      <c r="E678" s="287"/>
      <c r="F678" s="295" t="str">
        <f t="shared" si="181"/>
        <v/>
      </c>
      <c r="G678" s="296" t="str">
        <f t="shared" si="173"/>
        <v/>
      </c>
      <c r="H678" s="290"/>
      <c r="I678" s="254" t="str">
        <f t="shared" ca="1" si="182"/>
        <v>1</v>
      </c>
      <c r="J678" s="254" t="str">
        <f t="shared" ca="1" si="183"/>
        <v>1</v>
      </c>
      <c r="K678" s="230" t="str">
        <f>IF(Giocatori!B675=0,"",Giocatori!B675)</f>
        <v/>
      </c>
      <c r="L678" s="230" t="str">
        <f>IF(Giocatori!A675=0,"",Giocatori!A675)</f>
        <v/>
      </c>
      <c r="M678" s="230" t="str">
        <f>IF(Giocatori!C675=0,"",Giocatori!C675)</f>
        <v/>
      </c>
      <c r="N678" s="69" t="str">
        <f t="shared" si="174"/>
        <v/>
      </c>
      <c r="O678" t="str">
        <f t="shared" si="175"/>
        <v/>
      </c>
      <c r="P678" s="7">
        <f t="shared" ca="1" si="184"/>
        <v>548</v>
      </c>
      <c r="Q678" s="7" t="str">
        <f t="shared" ca="1" si="176"/>
        <v/>
      </c>
      <c r="Z678" s="256"/>
      <c r="AA678" s="219"/>
      <c r="AB678" s="295" t="str">
        <f t="shared" si="177"/>
        <v/>
      </c>
      <c r="AC678" s="296" t="str">
        <f t="shared" si="178"/>
        <v/>
      </c>
      <c r="AD678" s="219"/>
      <c r="AE678" s="219"/>
      <c r="AF678" s="295" t="str">
        <f>IF(AA678="","",VLOOKUP(AA678,Asta!$B:$H,7,FALSE))</f>
        <v/>
      </c>
      <c r="AG678" s="296" t="str">
        <f t="shared" si="179"/>
        <v/>
      </c>
      <c r="AH678" t="str">
        <f t="shared" si="180"/>
        <v/>
      </c>
      <c r="AI678" s="254" t="str">
        <f t="shared" ca="1" si="185"/>
        <v>659</v>
      </c>
      <c r="AJ678" s="254" t="str">
        <f t="shared" ca="1" si="186"/>
        <v>659</v>
      </c>
      <c r="AK678" s="351"/>
    </row>
    <row r="679" spans="1:37">
      <c r="A679" s="74">
        <v>660</v>
      </c>
      <c r="B679" s="252"/>
      <c r="C679" s="295" t="str">
        <f t="shared" si="187"/>
        <v/>
      </c>
      <c r="D679" s="296" t="str">
        <f t="shared" si="188"/>
        <v/>
      </c>
      <c r="E679" s="287"/>
      <c r="F679" s="295" t="str">
        <f t="shared" si="181"/>
        <v/>
      </c>
      <c r="G679" s="296" t="str">
        <f t="shared" si="173"/>
        <v/>
      </c>
      <c r="H679" s="290"/>
      <c r="I679" s="254" t="str">
        <f t="shared" ca="1" si="182"/>
        <v>1</v>
      </c>
      <c r="J679" s="254" t="str">
        <f t="shared" ca="1" si="183"/>
        <v>1</v>
      </c>
      <c r="K679" s="230" t="str">
        <f>IF(Giocatori!B676=0,"",Giocatori!B676)</f>
        <v/>
      </c>
      <c r="L679" s="230" t="str">
        <f>IF(Giocatori!A676=0,"",Giocatori!A676)</f>
        <v/>
      </c>
      <c r="M679" s="230" t="str">
        <f>IF(Giocatori!C676=0,"",Giocatori!C676)</f>
        <v/>
      </c>
      <c r="N679" s="69" t="str">
        <f t="shared" si="174"/>
        <v/>
      </c>
      <c r="O679" t="str">
        <f t="shared" si="175"/>
        <v/>
      </c>
      <c r="P679" s="7">
        <f t="shared" ca="1" si="184"/>
        <v>548</v>
      </c>
      <c r="Q679" s="7" t="str">
        <f t="shared" ca="1" si="176"/>
        <v/>
      </c>
      <c r="Z679" s="256"/>
      <c r="AA679" s="219"/>
      <c r="AB679" s="295" t="str">
        <f t="shared" si="177"/>
        <v/>
      </c>
      <c r="AC679" s="296" t="str">
        <f t="shared" si="178"/>
        <v/>
      </c>
      <c r="AD679" s="219"/>
      <c r="AE679" s="219"/>
      <c r="AF679" s="295" t="str">
        <f>IF(AA679="","",VLOOKUP(AA679,Asta!$B:$H,7,FALSE))</f>
        <v/>
      </c>
      <c r="AG679" s="296" t="str">
        <f t="shared" si="179"/>
        <v/>
      </c>
      <c r="AH679" t="str">
        <f t="shared" si="180"/>
        <v/>
      </c>
      <c r="AI679" s="254" t="str">
        <f t="shared" ca="1" si="185"/>
        <v>660</v>
      </c>
      <c r="AJ679" s="254" t="str">
        <f t="shared" ca="1" si="186"/>
        <v>660</v>
      </c>
      <c r="AK679" s="351"/>
    </row>
    <row r="680" spans="1:37">
      <c r="A680" s="74">
        <v>661</v>
      </c>
      <c r="B680" s="252"/>
      <c r="C680" s="295" t="str">
        <f t="shared" si="187"/>
        <v/>
      </c>
      <c r="D680" s="296" t="str">
        <f t="shared" si="188"/>
        <v/>
      </c>
      <c r="E680" s="287"/>
      <c r="F680" s="295" t="str">
        <f t="shared" si="181"/>
        <v/>
      </c>
      <c r="G680" s="296" t="str">
        <f t="shared" si="173"/>
        <v/>
      </c>
      <c r="H680" s="290"/>
      <c r="I680" s="254" t="str">
        <f t="shared" ca="1" si="182"/>
        <v>1</v>
      </c>
      <c r="J680" s="254" t="str">
        <f t="shared" ca="1" si="183"/>
        <v>1</v>
      </c>
      <c r="K680" s="230" t="str">
        <f>IF(Giocatori!B677=0,"",Giocatori!B677)</f>
        <v/>
      </c>
      <c r="L680" s="230" t="str">
        <f>IF(Giocatori!A677=0,"",Giocatori!A677)</f>
        <v/>
      </c>
      <c r="M680" s="230" t="str">
        <f>IF(Giocatori!C677=0,"",Giocatori!C677)</f>
        <v/>
      </c>
      <c r="N680" s="69" t="str">
        <f t="shared" si="174"/>
        <v/>
      </c>
      <c r="O680" t="str">
        <f t="shared" si="175"/>
        <v/>
      </c>
      <c r="P680" s="7">
        <f t="shared" ca="1" si="184"/>
        <v>548</v>
      </c>
      <c r="Q680" s="7" t="str">
        <f t="shared" ca="1" si="176"/>
        <v/>
      </c>
      <c r="Z680" s="256"/>
      <c r="AA680" s="219"/>
      <c r="AB680" s="295" t="str">
        <f t="shared" si="177"/>
        <v/>
      </c>
      <c r="AC680" s="296" t="str">
        <f t="shared" si="178"/>
        <v/>
      </c>
      <c r="AD680" s="219"/>
      <c r="AE680" s="219"/>
      <c r="AF680" s="295" t="str">
        <f>IF(AA680="","",VLOOKUP(AA680,Asta!$B:$H,7,FALSE))</f>
        <v/>
      </c>
      <c r="AG680" s="296" t="str">
        <f t="shared" si="179"/>
        <v/>
      </c>
      <c r="AH680" t="str">
        <f t="shared" si="180"/>
        <v/>
      </c>
      <c r="AI680" s="254" t="str">
        <f t="shared" ca="1" si="185"/>
        <v>661</v>
      </c>
      <c r="AJ680" s="254" t="str">
        <f t="shared" ca="1" si="186"/>
        <v>661</v>
      </c>
      <c r="AK680" s="351"/>
    </row>
    <row r="681" spans="1:37">
      <c r="A681" s="74">
        <v>662</v>
      </c>
      <c r="B681" s="252"/>
      <c r="C681" s="295" t="str">
        <f t="shared" si="187"/>
        <v/>
      </c>
      <c r="D681" s="296" t="str">
        <f t="shared" si="188"/>
        <v/>
      </c>
      <c r="E681" s="287"/>
      <c r="F681" s="295" t="str">
        <f t="shared" si="181"/>
        <v/>
      </c>
      <c r="G681" s="296" t="str">
        <f t="shared" si="173"/>
        <v/>
      </c>
      <c r="H681" s="290"/>
      <c r="I681" s="254" t="str">
        <f t="shared" ca="1" si="182"/>
        <v>1</v>
      </c>
      <c r="J681" s="254" t="str">
        <f t="shared" ca="1" si="183"/>
        <v>1</v>
      </c>
      <c r="K681" s="230" t="str">
        <f>IF(Giocatori!B678=0,"",Giocatori!B678)</f>
        <v/>
      </c>
      <c r="L681" s="230" t="str">
        <f>IF(Giocatori!A678=0,"",Giocatori!A678)</f>
        <v/>
      </c>
      <c r="M681" s="230" t="str">
        <f>IF(Giocatori!C678=0,"",Giocatori!C678)</f>
        <v/>
      </c>
      <c r="N681" s="69" t="str">
        <f t="shared" si="174"/>
        <v/>
      </c>
      <c r="O681" t="str">
        <f t="shared" si="175"/>
        <v/>
      </c>
      <c r="P681" s="7">
        <f t="shared" ca="1" si="184"/>
        <v>548</v>
      </c>
      <c r="Q681" s="7" t="str">
        <f t="shared" ca="1" si="176"/>
        <v/>
      </c>
      <c r="Z681" s="256"/>
      <c r="AA681" s="219"/>
      <c r="AB681" s="295" t="str">
        <f t="shared" si="177"/>
        <v/>
      </c>
      <c r="AC681" s="296" t="str">
        <f t="shared" si="178"/>
        <v/>
      </c>
      <c r="AD681" s="219"/>
      <c r="AE681" s="219"/>
      <c r="AF681" s="295" t="str">
        <f>IF(AA681="","",VLOOKUP(AA681,Asta!$B:$H,7,FALSE))</f>
        <v/>
      </c>
      <c r="AG681" s="296" t="str">
        <f t="shared" si="179"/>
        <v/>
      </c>
      <c r="AH681" t="str">
        <f t="shared" si="180"/>
        <v/>
      </c>
      <c r="AI681" s="254" t="str">
        <f t="shared" ca="1" si="185"/>
        <v>662</v>
      </c>
      <c r="AJ681" s="254" t="str">
        <f t="shared" ca="1" si="186"/>
        <v>662</v>
      </c>
      <c r="AK681" s="351"/>
    </row>
    <row r="682" spans="1:37">
      <c r="A682" s="74">
        <v>663</v>
      </c>
      <c r="B682" s="252"/>
      <c r="C682" s="295" t="str">
        <f t="shared" si="187"/>
        <v/>
      </c>
      <c r="D682" s="296" t="str">
        <f t="shared" si="188"/>
        <v/>
      </c>
      <c r="E682" s="287"/>
      <c r="F682" s="295" t="str">
        <f t="shared" si="181"/>
        <v/>
      </c>
      <c r="G682" s="296" t="str">
        <f t="shared" si="173"/>
        <v/>
      </c>
      <c r="H682" s="290"/>
      <c r="I682" s="254" t="str">
        <f t="shared" ca="1" si="182"/>
        <v>1</v>
      </c>
      <c r="J682" s="254" t="str">
        <f t="shared" ca="1" si="183"/>
        <v>1</v>
      </c>
      <c r="K682" s="230" t="str">
        <f>IF(Giocatori!B679=0,"",Giocatori!B679)</f>
        <v/>
      </c>
      <c r="L682" s="230" t="str">
        <f>IF(Giocatori!A679=0,"",Giocatori!A679)</f>
        <v/>
      </c>
      <c r="M682" s="230" t="str">
        <f>IF(Giocatori!C679=0,"",Giocatori!C679)</f>
        <v/>
      </c>
      <c r="N682" s="69" t="str">
        <f t="shared" si="174"/>
        <v/>
      </c>
      <c r="O682" t="str">
        <f t="shared" si="175"/>
        <v/>
      </c>
      <c r="P682" s="7">
        <f t="shared" ca="1" si="184"/>
        <v>548</v>
      </c>
      <c r="Q682" s="7" t="str">
        <f t="shared" ca="1" si="176"/>
        <v/>
      </c>
      <c r="Z682" s="256"/>
      <c r="AA682" s="219"/>
      <c r="AB682" s="295" t="str">
        <f t="shared" si="177"/>
        <v/>
      </c>
      <c r="AC682" s="296" t="str">
        <f t="shared" si="178"/>
        <v/>
      </c>
      <c r="AD682" s="219"/>
      <c r="AE682" s="219"/>
      <c r="AF682" s="295" t="str">
        <f>IF(AA682="","",VLOOKUP(AA682,Asta!$B:$H,7,FALSE))</f>
        <v/>
      </c>
      <c r="AG682" s="296" t="str">
        <f t="shared" si="179"/>
        <v/>
      </c>
      <c r="AH682" t="str">
        <f t="shared" si="180"/>
        <v/>
      </c>
      <c r="AI682" s="254" t="str">
        <f t="shared" ca="1" si="185"/>
        <v>663</v>
      </c>
      <c r="AJ682" s="254" t="str">
        <f t="shared" ca="1" si="186"/>
        <v>663</v>
      </c>
      <c r="AK682" s="351"/>
    </row>
    <row r="683" spans="1:37">
      <c r="A683" s="74">
        <v>664</v>
      </c>
      <c r="B683" s="252"/>
      <c r="C683" s="295" t="str">
        <f t="shared" si="187"/>
        <v/>
      </c>
      <c r="D683" s="296" t="str">
        <f t="shared" si="188"/>
        <v/>
      </c>
      <c r="E683" s="287"/>
      <c r="F683" s="295" t="str">
        <f t="shared" si="181"/>
        <v/>
      </c>
      <c r="G683" s="296" t="str">
        <f t="shared" si="173"/>
        <v/>
      </c>
      <c r="H683" s="290"/>
      <c r="I683" s="254" t="str">
        <f t="shared" ca="1" si="182"/>
        <v>1</v>
      </c>
      <c r="J683" s="254" t="str">
        <f t="shared" ca="1" si="183"/>
        <v>1</v>
      </c>
      <c r="K683" s="230" t="str">
        <f>IF(Giocatori!B680=0,"",Giocatori!B680)</f>
        <v/>
      </c>
      <c r="L683" s="230" t="str">
        <f>IF(Giocatori!A680=0,"",Giocatori!A680)</f>
        <v/>
      </c>
      <c r="M683" s="230" t="str">
        <f>IF(Giocatori!C680=0,"",Giocatori!C680)</f>
        <v/>
      </c>
      <c r="N683" s="69" t="str">
        <f t="shared" si="174"/>
        <v/>
      </c>
      <c r="O683" t="str">
        <f t="shared" si="175"/>
        <v/>
      </c>
      <c r="P683" s="7">
        <f t="shared" ca="1" si="184"/>
        <v>548</v>
      </c>
      <c r="Q683" s="7" t="str">
        <f t="shared" ca="1" si="176"/>
        <v/>
      </c>
      <c r="Z683" s="256"/>
      <c r="AA683" s="219"/>
      <c r="AB683" s="295" t="str">
        <f t="shared" si="177"/>
        <v/>
      </c>
      <c r="AC683" s="296" t="str">
        <f t="shared" si="178"/>
        <v/>
      </c>
      <c r="AD683" s="219"/>
      <c r="AE683" s="219"/>
      <c r="AF683" s="295" t="str">
        <f>IF(AA683="","",VLOOKUP(AA683,Asta!$B:$H,7,FALSE))</f>
        <v/>
      </c>
      <c r="AG683" s="296" t="str">
        <f t="shared" si="179"/>
        <v/>
      </c>
      <c r="AH683" t="str">
        <f t="shared" si="180"/>
        <v/>
      </c>
      <c r="AI683" s="254" t="str">
        <f t="shared" ca="1" si="185"/>
        <v>664</v>
      </c>
      <c r="AJ683" s="254" t="str">
        <f t="shared" ca="1" si="186"/>
        <v>664</v>
      </c>
      <c r="AK683" s="351"/>
    </row>
    <row r="684" spans="1:37">
      <c r="A684" s="74">
        <v>665</v>
      </c>
      <c r="B684" s="252"/>
      <c r="C684" s="295" t="str">
        <f t="shared" si="187"/>
        <v/>
      </c>
      <c r="D684" s="296" t="str">
        <f t="shared" si="188"/>
        <v/>
      </c>
      <c r="E684" s="287"/>
      <c r="F684" s="295" t="str">
        <f t="shared" si="181"/>
        <v/>
      </c>
      <c r="G684" s="296" t="str">
        <f t="shared" si="173"/>
        <v/>
      </c>
      <c r="H684" s="290"/>
      <c r="I684" s="254" t="str">
        <f t="shared" ca="1" si="182"/>
        <v>1</v>
      </c>
      <c r="J684" s="254" t="str">
        <f t="shared" ca="1" si="183"/>
        <v>1</v>
      </c>
      <c r="K684" s="230" t="str">
        <f>IF(Giocatori!B681=0,"",Giocatori!B681)</f>
        <v/>
      </c>
      <c r="L684" s="230" t="str">
        <f>IF(Giocatori!A681=0,"",Giocatori!A681)</f>
        <v/>
      </c>
      <c r="M684" s="230" t="str">
        <f>IF(Giocatori!C681=0,"",Giocatori!C681)</f>
        <v/>
      </c>
      <c r="N684" s="69" t="str">
        <f t="shared" si="174"/>
        <v/>
      </c>
      <c r="O684" t="str">
        <f t="shared" si="175"/>
        <v/>
      </c>
      <c r="P684" s="7">
        <f t="shared" ca="1" si="184"/>
        <v>548</v>
      </c>
      <c r="Q684" s="7" t="str">
        <f t="shared" ca="1" si="176"/>
        <v/>
      </c>
      <c r="Z684" s="256"/>
      <c r="AA684" s="219"/>
      <c r="AB684" s="295" t="str">
        <f t="shared" si="177"/>
        <v/>
      </c>
      <c r="AC684" s="296" t="str">
        <f t="shared" si="178"/>
        <v/>
      </c>
      <c r="AD684" s="219"/>
      <c r="AE684" s="219"/>
      <c r="AF684" s="295" t="str">
        <f>IF(AA684="","",VLOOKUP(AA684,Asta!$B:$H,7,FALSE))</f>
        <v/>
      </c>
      <c r="AG684" s="296" t="str">
        <f t="shared" si="179"/>
        <v/>
      </c>
      <c r="AH684" t="str">
        <f t="shared" si="180"/>
        <v/>
      </c>
      <c r="AI684" s="254" t="str">
        <f t="shared" ca="1" si="185"/>
        <v>665</v>
      </c>
      <c r="AJ684" s="254" t="str">
        <f t="shared" ca="1" si="186"/>
        <v>665</v>
      </c>
      <c r="AK684" s="351"/>
    </row>
    <row r="685" spans="1:37">
      <c r="A685" s="74">
        <v>666</v>
      </c>
      <c r="B685" s="252"/>
      <c r="C685" s="295" t="str">
        <f t="shared" si="187"/>
        <v/>
      </c>
      <c r="D685" s="296" t="str">
        <f t="shared" si="188"/>
        <v/>
      </c>
      <c r="E685" s="287"/>
      <c r="F685" s="295" t="str">
        <f t="shared" si="181"/>
        <v/>
      </c>
      <c r="G685" s="296" t="str">
        <f t="shared" si="173"/>
        <v/>
      </c>
      <c r="H685" s="290"/>
      <c r="I685" s="254" t="str">
        <f t="shared" ca="1" si="182"/>
        <v>1</v>
      </c>
      <c r="J685" s="254" t="str">
        <f t="shared" ca="1" si="183"/>
        <v>1</v>
      </c>
      <c r="K685" s="230" t="str">
        <f>IF(Giocatori!B682=0,"",Giocatori!B682)</f>
        <v/>
      </c>
      <c r="L685" s="230" t="str">
        <f>IF(Giocatori!A682=0,"",Giocatori!A682)</f>
        <v/>
      </c>
      <c r="M685" s="230" t="str">
        <f>IF(Giocatori!C682=0,"",Giocatori!C682)</f>
        <v/>
      </c>
      <c r="N685" s="69" t="str">
        <f t="shared" si="174"/>
        <v/>
      </c>
      <c r="O685" t="str">
        <f t="shared" si="175"/>
        <v/>
      </c>
      <c r="P685" s="7">
        <f t="shared" ca="1" si="184"/>
        <v>548</v>
      </c>
      <c r="Q685" s="7" t="str">
        <f t="shared" ca="1" si="176"/>
        <v/>
      </c>
      <c r="Z685" s="256"/>
      <c r="AA685" s="219"/>
      <c r="AB685" s="295" t="str">
        <f t="shared" si="177"/>
        <v/>
      </c>
      <c r="AC685" s="296" t="str">
        <f t="shared" si="178"/>
        <v/>
      </c>
      <c r="AD685" s="219"/>
      <c r="AE685" s="219"/>
      <c r="AF685" s="295" t="str">
        <f>IF(AA685="","",VLOOKUP(AA685,Asta!$B:$H,7,FALSE))</f>
        <v/>
      </c>
      <c r="AG685" s="296" t="str">
        <f t="shared" si="179"/>
        <v/>
      </c>
      <c r="AH685" t="str">
        <f t="shared" si="180"/>
        <v/>
      </c>
      <c r="AI685" s="254" t="str">
        <f t="shared" ca="1" si="185"/>
        <v>666</v>
      </c>
      <c r="AJ685" s="254" t="str">
        <f t="shared" ca="1" si="186"/>
        <v>666</v>
      </c>
      <c r="AK685" s="351"/>
    </row>
    <row r="686" spans="1:37">
      <c r="A686" s="74">
        <v>667</v>
      </c>
      <c r="B686" s="252"/>
      <c r="C686" s="295" t="str">
        <f t="shared" si="187"/>
        <v/>
      </c>
      <c r="D686" s="296" t="str">
        <f t="shared" si="188"/>
        <v/>
      </c>
      <c r="E686" s="287"/>
      <c r="F686" s="295" t="str">
        <f t="shared" si="181"/>
        <v/>
      </c>
      <c r="G686" s="296" t="str">
        <f t="shared" si="173"/>
        <v/>
      </c>
      <c r="H686" s="290"/>
      <c r="I686" s="254" t="str">
        <f t="shared" ca="1" si="182"/>
        <v>1</v>
      </c>
      <c r="J686" s="254" t="str">
        <f t="shared" ca="1" si="183"/>
        <v>1</v>
      </c>
      <c r="K686" s="230" t="str">
        <f>IF(Giocatori!B683=0,"",Giocatori!B683)</f>
        <v/>
      </c>
      <c r="L686" s="230" t="str">
        <f>IF(Giocatori!A683=0,"",Giocatori!A683)</f>
        <v/>
      </c>
      <c r="M686" s="230" t="str">
        <f>IF(Giocatori!C683=0,"",Giocatori!C683)</f>
        <v/>
      </c>
      <c r="N686" s="69" t="str">
        <f t="shared" si="174"/>
        <v/>
      </c>
      <c r="O686" t="str">
        <f t="shared" si="175"/>
        <v/>
      </c>
      <c r="P686" s="7">
        <f t="shared" ca="1" si="184"/>
        <v>548</v>
      </c>
      <c r="Q686" s="7" t="str">
        <f t="shared" ca="1" si="176"/>
        <v/>
      </c>
      <c r="Z686" s="256"/>
      <c r="AA686" s="219"/>
      <c r="AB686" s="295" t="str">
        <f t="shared" si="177"/>
        <v/>
      </c>
      <c r="AC686" s="296" t="str">
        <f t="shared" si="178"/>
        <v/>
      </c>
      <c r="AD686" s="219"/>
      <c r="AE686" s="219"/>
      <c r="AF686" s="295" t="str">
        <f>IF(AA686="","",VLOOKUP(AA686,Asta!$B:$H,7,FALSE))</f>
        <v/>
      </c>
      <c r="AG686" s="296" t="str">
        <f t="shared" si="179"/>
        <v/>
      </c>
      <c r="AH686" t="str">
        <f t="shared" si="180"/>
        <v/>
      </c>
      <c r="AI686" s="254" t="str">
        <f t="shared" ca="1" si="185"/>
        <v>667</v>
      </c>
      <c r="AJ686" s="254" t="str">
        <f t="shared" ca="1" si="186"/>
        <v>667</v>
      </c>
      <c r="AK686" s="351"/>
    </row>
    <row r="687" spans="1:37">
      <c r="A687" s="74">
        <v>668</v>
      </c>
      <c r="B687" s="252"/>
      <c r="C687" s="295" t="str">
        <f t="shared" si="187"/>
        <v/>
      </c>
      <c r="D687" s="296" t="str">
        <f t="shared" si="188"/>
        <v/>
      </c>
      <c r="E687" s="287"/>
      <c r="F687" s="295" t="str">
        <f t="shared" si="181"/>
        <v/>
      </c>
      <c r="G687" s="296" t="str">
        <f t="shared" si="173"/>
        <v/>
      </c>
      <c r="H687" s="290"/>
      <c r="I687" s="254" t="str">
        <f t="shared" ca="1" si="182"/>
        <v>1</v>
      </c>
      <c r="J687" s="254" t="str">
        <f t="shared" ca="1" si="183"/>
        <v>1</v>
      </c>
      <c r="K687" s="230" t="str">
        <f>IF(Giocatori!B684=0,"",Giocatori!B684)</f>
        <v/>
      </c>
      <c r="L687" s="230" t="str">
        <f>IF(Giocatori!A684=0,"",Giocatori!A684)</f>
        <v/>
      </c>
      <c r="M687" s="230" t="str">
        <f>IF(Giocatori!C684=0,"",Giocatori!C684)</f>
        <v/>
      </c>
      <c r="N687" s="69" t="str">
        <f t="shared" si="174"/>
        <v/>
      </c>
      <c r="O687" t="str">
        <f t="shared" si="175"/>
        <v/>
      </c>
      <c r="P687" s="7">
        <f t="shared" ca="1" si="184"/>
        <v>548</v>
      </c>
      <c r="Q687" s="7" t="str">
        <f t="shared" ca="1" si="176"/>
        <v/>
      </c>
      <c r="Z687" s="256"/>
      <c r="AA687" s="219"/>
      <c r="AB687" s="295" t="str">
        <f t="shared" si="177"/>
        <v/>
      </c>
      <c r="AC687" s="296" t="str">
        <f t="shared" si="178"/>
        <v/>
      </c>
      <c r="AD687" s="219"/>
      <c r="AE687" s="219"/>
      <c r="AF687" s="295" t="str">
        <f>IF(AA687="","",VLOOKUP(AA687,Asta!$B:$H,7,FALSE))</f>
        <v/>
      </c>
      <c r="AG687" s="296" t="str">
        <f t="shared" si="179"/>
        <v/>
      </c>
      <c r="AH687" t="str">
        <f t="shared" si="180"/>
        <v/>
      </c>
      <c r="AI687" s="254" t="str">
        <f t="shared" ca="1" si="185"/>
        <v>668</v>
      </c>
      <c r="AJ687" s="254" t="str">
        <f t="shared" ca="1" si="186"/>
        <v>668</v>
      </c>
      <c r="AK687" s="351"/>
    </row>
    <row r="688" spans="1:37">
      <c r="A688" s="74">
        <v>669</v>
      </c>
      <c r="B688" s="252"/>
      <c r="C688" s="295" t="str">
        <f t="shared" si="187"/>
        <v/>
      </c>
      <c r="D688" s="296" t="str">
        <f t="shared" si="188"/>
        <v/>
      </c>
      <c r="E688" s="287"/>
      <c r="F688" s="295" t="str">
        <f t="shared" si="181"/>
        <v/>
      </c>
      <c r="G688" s="296" t="str">
        <f t="shared" si="173"/>
        <v/>
      </c>
      <c r="H688" s="290"/>
      <c r="I688" s="254" t="str">
        <f t="shared" ca="1" si="182"/>
        <v>1</v>
      </c>
      <c r="J688" s="254" t="str">
        <f t="shared" ca="1" si="183"/>
        <v>1</v>
      </c>
      <c r="K688" s="230" t="str">
        <f>IF(Giocatori!B685=0,"",Giocatori!B685)</f>
        <v/>
      </c>
      <c r="L688" s="230" t="str">
        <f>IF(Giocatori!A685=0,"",Giocatori!A685)</f>
        <v/>
      </c>
      <c r="M688" s="230" t="str">
        <f>IF(Giocatori!C685=0,"",Giocatori!C685)</f>
        <v/>
      </c>
      <c r="N688" s="69" t="str">
        <f t="shared" si="174"/>
        <v/>
      </c>
      <c r="O688" t="str">
        <f t="shared" si="175"/>
        <v/>
      </c>
      <c r="P688" s="7">
        <f t="shared" ca="1" si="184"/>
        <v>548</v>
      </c>
      <c r="Q688" s="7" t="str">
        <f t="shared" ca="1" si="176"/>
        <v/>
      </c>
      <c r="Z688" s="256"/>
      <c r="AA688" s="219"/>
      <c r="AB688" s="295" t="str">
        <f t="shared" si="177"/>
        <v/>
      </c>
      <c r="AC688" s="296" t="str">
        <f t="shared" si="178"/>
        <v/>
      </c>
      <c r="AD688" s="219"/>
      <c r="AE688" s="219"/>
      <c r="AF688" s="295" t="str">
        <f>IF(AA688="","",VLOOKUP(AA688,Asta!$B:$H,7,FALSE))</f>
        <v/>
      </c>
      <c r="AG688" s="296" t="str">
        <f t="shared" si="179"/>
        <v/>
      </c>
      <c r="AH688" t="str">
        <f t="shared" si="180"/>
        <v/>
      </c>
      <c r="AI688" s="254" t="str">
        <f t="shared" ca="1" si="185"/>
        <v>669</v>
      </c>
      <c r="AJ688" s="254" t="str">
        <f t="shared" ca="1" si="186"/>
        <v>669</v>
      </c>
      <c r="AK688" s="351"/>
    </row>
    <row r="689" spans="1:37">
      <c r="A689" s="74">
        <v>670</v>
      </c>
      <c r="B689" s="252"/>
      <c r="C689" s="295" t="str">
        <f t="shared" si="187"/>
        <v/>
      </c>
      <c r="D689" s="296" t="str">
        <f t="shared" si="188"/>
        <v/>
      </c>
      <c r="E689" s="287"/>
      <c r="F689" s="295" t="str">
        <f t="shared" si="181"/>
        <v/>
      </c>
      <c r="G689" s="296" t="str">
        <f t="shared" si="173"/>
        <v/>
      </c>
      <c r="H689" s="290"/>
      <c r="I689" s="254" t="str">
        <f t="shared" ca="1" si="182"/>
        <v>1</v>
      </c>
      <c r="J689" s="254" t="str">
        <f t="shared" ca="1" si="183"/>
        <v>1</v>
      </c>
      <c r="K689" s="230" t="str">
        <f>IF(Giocatori!B686=0,"",Giocatori!B686)</f>
        <v/>
      </c>
      <c r="L689" s="230" t="str">
        <f>IF(Giocatori!A686=0,"",Giocatori!A686)</f>
        <v/>
      </c>
      <c r="M689" s="230" t="str">
        <f>IF(Giocatori!C686=0,"",Giocatori!C686)</f>
        <v/>
      </c>
      <c r="N689" s="69" t="str">
        <f t="shared" si="174"/>
        <v/>
      </c>
      <c r="O689" t="str">
        <f t="shared" si="175"/>
        <v/>
      </c>
      <c r="P689" s="7">
        <f t="shared" ca="1" si="184"/>
        <v>548</v>
      </c>
      <c r="Q689" s="7" t="str">
        <f t="shared" ca="1" si="176"/>
        <v/>
      </c>
      <c r="Z689" s="256"/>
      <c r="AA689" s="219"/>
      <c r="AB689" s="295" t="str">
        <f t="shared" si="177"/>
        <v/>
      </c>
      <c r="AC689" s="296" t="str">
        <f t="shared" si="178"/>
        <v/>
      </c>
      <c r="AD689" s="219"/>
      <c r="AE689" s="219"/>
      <c r="AF689" s="295" t="str">
        <f>IF(AA689="","",VLOOKUP(AA689,Asta!$B:$H,7,FALSE))</f>
        <v/>
      </c>
      <c r="AG689" s="296" t="str">
        <f t="shared" si="179"/>
        <v/>
      </c>
      <c r="AH689" t="str">
        <f t="shared" si="180"/>
        <v/>
      </c>
      <c r="AI689" s="254" t="str">
        <f t="shared" ca="1" si="185"/>
        <v>670</v>
      </c>
      <c r="AJ689" s="254" t="str">
        <f t="shared" ca="1" si="186"/>
        <v>670</v>
      </c>
      <c r="AK689" s="351"/>
    </row>
    <row r="690" spans="1:37">
      <c r="A690" s="74">
        <v>671</v>
      </c>
      <c r="B690" s="252"/>
      <c r="C690" s="295" t="str">
        <f t="shared" si="187"/>
        <v/>
      </c>
      <c r="D690" s="296" t="str">
        <f t="shared" si="188"/>
        <v/>
      </c>
      <c r="E690" s="287"/>
      <c r="F690" s="295" t="str">
        <f t="shared" si="181"/>
        <v/>
      </c>
      <c r="G690" s="296" t="str">
        <f t="shared" si="173"/>
        <v/>
      </c>
      <c r="H690" s="290"/>
      <c r="I690" s="254" t="str">
        <f t="shared" ca="1" si="182"/>
        <v>1</v>
      </c>
      <c r="J690" s="254" t="str">
        <f t="shared" ca="1" si="183"/>
        <v>1</v>
      </c>
      <c r="K690" s="230" t="str">
        <f>IF(Giocatori!B687=0,"",Giocatori!B687)</f>
        <v/>
      </c>
      <c r="L690" s="230" t="str">
        <f>IF(Giocatori!A687=0,"",Giocatori!A687)</f>
        <v/>
      </c>
      <c r="M690" s="230" t="str">
        <f>IF(Giocatori!C687=0,"",Giocatori!C687)</f>
        <v/>
      </c>
      <c r="N690" s="69" t="str">
        <f t="shared" si="174"/>
        <v/>
      </c>
      <c r="O690" t="str">
        <f t="shared" si="175"/>
        <v/>
      </c>
      <c r="P690" s="7">
        <f t="shared" ca="1" si="184"/>
        <v>548</v>
      </c>
      <c r="Q690" s="7" t="str">
        <f t="shared" ca="1" si="176"/>
        <v/>
      </c>
      <c r="Z690" s="256"/>
      <c r="AA690" s="219"/>
      <c r="AB690" s="295" t="str">
        <f t="shared" si="177"/>
        <v/>
      </c>
      <c r="AC690" s="296" t="str">
        <f t="shared" si="178"/>
        <v/>
      </c>
      <c r="AD690" s="219"/>
      <c r="AE690" s="219"/>
      <c r="AF690" s="295" t="str">
        <f>IF(AA690="","",VLOOKUP(AA690,Asta!$B:$H,7,FALSE))</f>
        <v/>
      </c>
      <c r="AG690" s="296" t="str">
        <f t="shared" si="179"/>
        <v/>
      </c>
      <c r="AH690" t="str">
        <f t="shared" si="180"/>
        <v/>
      </c>
      <c r="AI690" s="254" t="str">
        <f t="shared" ca="1" si="185"/>
        <v>671</v>
      </c>
      <c r="AJ690" s="254" t="str">
        <f t="shared" ca="1" si="186"/>
        <v>671</v>
      </c>
      <c r="AK690" s="351"/>
    </row>
    <row r="691" spans="1:37">
      <c r="A691" s="74">
        <v>672</v>
      </c>
      <c r="B691" s="252"/>
      <c r="C691" s="295" t="str">
        <f t="shared" si="187"/>
        <v/>
      </c>
      <c r="D691" s="296" t="str">
        <f t="shared" si="188"/>
        <v/>
      </c>
      <c r="E691" s="287"/>
      <c r="F691" s="295" t="str">
        <f t="shared" si="181"/>
        <v/>
      </c>
      <c r="G691" s="296" t="str">
        <f t="shared" si="173"/>
        <v/>
      </c>
      <c r="H691" s="290"/>
      <c r="I691" s="254" t="str">
        <f t="shared" ca="1" si="182"/>
        <v>1</v>
      </c>
      <c r="J691" s="254" t="str">
        <f t="shared" ca="1" si="183"/>
        <v>1</v>
      </c>
      <c r="K691" s="230" t="str">
        <f>IF(Giocatori!B688=0,"",Giocatori!B688)</f>
        <v/>
      </c>
      <c r="L691" s="230" t="str">
        <f>IF(Giocatori!A688=0,"",Giocatori!A688)</f>
        <v/>
      </c>
      <c r="M691" s="230" t="str">
        <f>IF(Giocatori!C688=0,"",Giocatori!C688)</f>
        <v/>
      </c>
      <c r="N691" s="69" t="str">
        <f t="shared" si="174"/>
        <v/>
      </c>
      <c r="O691" t="str">
        <f t="shared" si="175"/>
        <v/>
      </c>
      <c r="P691" s="7">
        <f t="shared" ca="1" si="184"/>
        <v>548</v>
      </c>
      <c r="Q691" s="7" t="str">
        <f t="shared" ca="1" si="176"/>
        <v/>
      </c>
      <c r="Z691" s="256"/>
      <c r="AA691" s="219"/>
      <c r="AB691" s="295" t="str">
        <f t="shared" si="177"/>
        <v/>
      </c>
      <c r="AC691" s="296" t="str">
        <f t="shared" si="178"/>
        <v/>
      </c>
      <c r="AD691" s="219"/>
      <c r="AE691" s="219"/>
      <c r="AF691" s="295" t="str">
        <f>IF(AA691="","",VLOOKUP(AA691,Asta!$B:$H,7,FALSE))</f>
        <v/>
      </c>
      <c r="AG691" s="296" t="str">
        <f t="shared" si="179"/>
        <v/>
      </c>
      <c r="AH691" t="str">
        <f t="shared" si="180"/>
        <v/>
      </c>
      <c r="AI691" s="254" t="str">
        <f t="shared" ca="1" si="185"/>
        <v>672</v>
      </c>
      <c r="AJ691" s="254" t="str">
        <f t="shared" ca="1" si="186"/>
        <v>672</v>
      </c>
      <c r="AK691" s="351"/>
    </row>
    <row r="692" spans="1:37">
      <c r="A692" s="74">
        <v>673</v>
      </c>
      <c r="B692" s="252"/>
      <c r="C692" s="295" t="str">
        <f t="shared" si="187"/>
        <v/>
      </c>
      <c r="D692" s="296" t="str">
        <f t="shared" si="188"/>
        <v/>
      </c>
      <c r="E692" s="287"/>
      <c r="F692" s="295" t="str">
        <f t="shared" si="181"/>
        <v/>
      </c>
      <c r="G692" s="296" t="str">
        <f t="shared" si="173"/>
        <v/>
      </c>
      <c r="H692" s="290"/>
      <c r="I692" s="254" t="str">
        <f t="shared" ca="1" si="182"/>
        <v>1</v>
      </c>
      <c r="J692" s="254" t="str">
        <f t="shared" ca="1" si="183"/>
        <v>1</v>
      </c>
      <c r="K692" s="230" t="str">
        <f>IF(Giocatori!B689=0,"",Giocatori!B689)</f>
        <v/>
      </c>
      <c r="L692" s="230" t="str">
        <f>IF(Giocatori!A689=0,"",Giocatori!A689)</f>
        <v/>
      </c>
      <c r="M692" s="230" t="str">
        <f>IF(Giocatori!C689=0,"",Giocatori!C689)</f>
        <v/>
      </c>
      <c r="N692" s="69" t="str">
        <f t="shared" si="174"/>
        <v/>
      </c>
      <c r="O692" t="str">
        <f t="shared" si="175"/>
        <v/>
      </c>
      <c r="P692" s="7">
        <f t="shared" ca="1" si="184"/>
        <v>548</v>
      </c>
      <c r="Q692" s="7" t="str">
        <f t="shared" ca="1" si="176"/>
        <v/>
      </c>
      <c r="Z692" s="256"/>
      <c r="AA692" s="219"/>
      <c r="AB692" s="295" t="str">
        <f t="shared" si="177"/>
        <v/>
      </c>
      <c r="AC692" s="296" t="str">
        <f t="shared" si="178"/>
        <v/>
      </c>
      <c r="AD692" s="219"/>
      <c r="AE692" s="219"/>
      <c r="AF692" s="295" t="str">
        <f>IF(AA692="","",VLOOKUP(AA692,Asta!$B:$H,7,FALSE))</f>
        <v/>
      </c>
      <c r="AG692" s="296" t="str">
        <f t="shared" si="179"/>
        <v/>
      </c>
      <c r="AH692" t="str">
        <f t="shared" si="180"/>
        <v/>
      </c>
      <c r="AI692" s="254" t="str">
        <f t="shared" ca="1" si="185"/>
        <v>673</v>
      </c>
      <c r="AJ692" s="254" t="str">
        <f t="shared" ca="1" si="186"/>
        <v>673</v>
      </c>
      <c r="AK692" s="351"/>
    </row>
    <row r="693" spans="1:37">
      <c r="A693" s="74">
        <v>674</v>
      </c>
      <c r="B693" s="252"/>
      <c r="C693" s="295" t="str">
        <f t="shared" si="187"/>
        <v/>
      </c>
      <c r="D693" s="296" t="str">
        <f t="shared" si="188"/>
        <v/>
      </c>
      <c r="E693" s="287"/>
      <c r="F693" s="295" t="str">
        <f t="shared" si="181"/>
        <v/>
      </c>
      <c r="G693" s="296" t="str">
        <f t="shared" si="173"/>
        <v/>
      </c>
      <c r="H693" s="290"/>
      <c r="I693" s="254" t="str">
        <f t="shared" ca="1" si="182"/>
        <v>1</v>
      </c>
      <c r="J693" s="254" t="str">
        <f t="shared" ca="1" si="183"/>
        <v>1</v>
      </c>
      <c r="K693" s="230" t="str">
        <f>IF(Giocatori!B690=0,"",Giocatori!B690)</f>
        <v/>
      </c>
      <c r="L693" s="230" t="str">
        <f>IF(Giocatori!A690=0,"",Giocatori!A690)</f>
        <v/>
      </c>
      <c r="M693" s="230" t="str">
        <f>IF(Giocatori!C690=0,"",Giocatori!C690)</f>
        <v/>
      </c>
      <c r="N693" s="69" t="str">
        <f t="shared" si="174"/>
        <v/>
      </c>
      <c r="O693" t="str">
        <f t="shared" si="175"/>
        <v/>
      </c>
      <c r="P693" s="7">
        <f t="shared" ca="1" si="184"/>
        <v>548</v>
      </c>
      <c r="Q693" s="7" t="str">
        <f t="shared" ca="1" si="176"/>
        <v/>
      </c>
      <c r="Z693" s="256"/>
      <c r="AA693" s="219"/>
      <c r="AB693" s="295" t="str">
        <f t="shared" si="177"/>
        <v/>
      </c>
      <c r="AC693" s="296" t="str">
        <f t="shared" si="178"/>
        <v/>
      </c>
      <c r="AD693" s="219"/>
      <c r="AE693" s="219"/>
      <c r="AF693" s="295" t="str">
        <f>IF(AA693="","",VLOOKUP(AA693,Asta!$B:$H,7,FALSE))</f>
        <v/>
      </c>
      <c r="AG693" s="296" t="str">
        <f t="shared" si="179"/>
        <v/>
      </c>
      <c r="AH693" t="str">
        <f t="shared" si="180"/>
        <v/>
      </c>
      <c r="AI693" s="254" t="str">
        <f t="shared" ca="1" si="185"/>
        <v>674</v>
      </c>
      <c r="AJ693" s="254" t="str">
        <f t="shared" ca="1" si="186"/>
        <v>674</v>
      </c>
      <c r="AK693" s="351"/>
    </row>
    <row r="694" spans="1:37">
      <c r="A694" s="74">
        <v>675</v>
      </c>
      <c r="B694" s="252"/>
      <c r="C694" s="295" t="str">
        <f t="shared" si="187"/>
        <v/>
      </c>
      <c r="D694" s="296" t="str">
        <f t="shared" si="188"/>
        <v/>
      </c>
      <c r="E694" s="287"/>
      <c r="F694" s="295" t="str">
        <f t="shared" si="181"/>
        <v/>
      </c>
      <c r="G694" s="296" t="str">
        <f t="shared" si="173"/>
        <v/>
      </c>
      <c r="H694" s="290"/>
      <c r="I694" s="254" t="str">
        <f t="shared" ca="1" si="182"/>
        <v>1</v>
      </c>
      <c r="J694" s="254" t="str">
        <f t="shared" ca="1" si="183"/>
        <v>1</v>
      </c>
      <c r="K694" s="230" t="str">
        <f>IF(Giocatori!B691=0,"",Giocatori!B691)</f>
        <v/>
      </c>
      <c r="L694" s="230" t="str">
        <f>IF(Giocatori!A691=0,"",Giocatori!A691)</f>
        <v/>
      </c>
      <c r="M694" s="230" t="str">
        <f>IF(Giocatori!C691=0,"",Giocatori!C691)</f>
        <v/>
      </c>
      <c r="N694" s="69" t="str">
        <f t="shared" si="174"/>
        <v/>
      </c>
      <c r="O694" t="str">
        <f t="shared" si="175"/>
        <v/>
      </c>
      <c r="P694" s="7">
        <f t="shared" ca="1" si="184"/>
        <v>548</v>
      </c>
      <c r="Q694" s="7" t="str">
        <f t="shared" ca="1" si="176"/>
        <v/>
      </c>
      <c r="Z694" s="256"/>
      <c r="AA694" s="219"/>
      <c r="AB694" s="295" t="str">
        <f t="shared" si="177"/>
        <v/>
      </c>
      <c r="AC694" s="296" t="str">
        <f t="shared" si="178"/>
        <v/>
      </c>
      <c r="AD694" s="219"/>
      <c r="AE694" s="219"/>
      <c r="AF694" s="295" t="str">
        <f>IF(AA694="","",VLOOKUP(AA694,Asta!$B:$H,7,FALSE))</f>
        <v/>
      </c>
      <c r="AG694" s="296" t="str">
        <f t="shared" si="179"/>
        <v/>
      </c>
      <c r="AH694" t="str">
        <f t="shared" si="180"/>
        <v/>
      </c>
      <c r="AI694" s="254" t="str">
        <f t="shared" ca="1" si="185"/>
        <v>675</v>
      </c>
      <c r="AJ694" s="254" t="str">
        <f t="shared" ca="1" si="186"/>
        <v>675</v>
      </c>
      <c r="AK694" s="351"/>
    </row>
    <row r="695" spans="1:37">
      <c r="A695" s="74">
        <v>676</v>
      </c>
      <c r="B695" s="252"/>
      <c r="C695" s="295" t="str">
        <f t="shared" si="187"/>
        <v/>
      </c>
      <c r="D695" s="296" t="str">
        <f t="shared" si="188"/>
        <v/>
      </c>
      <c r="E695" s="287"/>
      <c r="F695" s="295" t="str">
        <f t="shared" si="181"/>
        <v/>
      </c>
      <c r="G695" s="296" t="str">
        <f t="shared" si="173"/>
        <v/>
      </c>
      <c r="H695" s="290"/>
      <c r="I695" s="254" t="str">
        <f t="shared" ca="1" si="182"/>
        <v>1</v>
      </c>
      <c r="J695" s="254" t="str">
        <f t="shared" ca="1" si="183"/>
        <v>1</v>
      </c>
      <c r="K695" s="230" t="str">
        <f>IF(Giocatori!B692=0,"",Giocatori!B692)</f>
        <v/>
      </c>
      <c r="L695" s="230" t="str">
        <f>IF(Giocatori!A692=0,"",Giocatori!A692)</f>
        <v/>
      </c>
      <c r="M695" s="230" t="str">
        <f>IF(Giocatori!C692=0,"",Giocatori!C692)</f>
        <v/>
      </c>
      <c r="N695" s="69" t="str">
        <f t="shared" si="174"/>
        <v/>
      </c>
      <c r="O695" t="str">
        <f t="shared" si="175"/>
        <v/>
      </c>
      <c r="P695" s="7">
        <f t="shared" ca="1" si="184"/>
        <v>548</v>
      </c>
      <c r="Q695" s="7" t="str">
        <f t="shared" ca="1" si="176"/>
        <v/>
      </c>
      <c r="Z695" s="256"/>
      <c r="AA695" s="219"/>
      <c r="AB695" s="295" t="str">
        <f t="shared" si="177"/>
        <v/>
      </c>
      <c r="AC695" s="296" t="str">
        <f t="shared" si="178"/>
        <v/>
      </c>
      <c r="AD695" s="219"/>
      <c r="AE695" s="219"/>
      <c r="AF695" s="295" t="str">
        <f>IF(AA695="","",VLOOKUP(AA695,Asta!$B:$H,7,FALSE))</f>
        <v/>
      </c>
      <c r="AG695" s="296" t="str">
        <f t="shared" si="179"/>
        <v/>
      </c>
      <c r="AH695" t="str">
        <f t="shared" si="180"/>
        <v/>
      </c>
      <c r="AI695" s="254" t="str">
        <f t="shared" ca="1" si="185"/>
        <v>676</v>
      </c>
      <c r="AJ695" s="254" t="str">
        <f t="shared" ca="1" si="186"/>
        <v>676</v>
      </c>
      <c r="AK695" s="351"/>
    </row>
    <row r="696" spans="1:37">
      <c r="A696" s="74">
        <v>677</v>
      </c>
      <c r="B696" s="252"/>
      <c r="C696" s="295" t="str">
        <f t="shared" si="187"/>
        <v/>
      </c>
      <c r="D696" s="296" t="str">
        <f t="shared" si="188"/>
        <v/>
      </c>
      <c r="E696" s="287"/>
      <c r="F696" s="295" t="str">
        <f t="shared" si="181"/>
        <v/>
      </c>
      <c r="G696" s="296" t="str">
        <f t="shared" si="173"/>
        <v/>
      </c>
      <c r="H696" s="290"/>
      <c r="I696" s="254" t="str">
        <f t="shared" ca="1" si="182"/>
        <v>1</v>
      </c>
      <c r="J696" s="254" t="str">
        <f t="shared" ca="1" si="183"/>
        <v>1</v>
      </c>
      <c r="K696" s="230" t="str">
        <f>IF(Giocatori!B693=0,"",Giocatori!B693)</f>
        <v/>
      </c>
      <c r="L696" s="230" t="str">
        <f>IF(Giocatori!A693=0,"",Giocatori!A693)</f>
        <v/>
      </c>
      <c r="M696" s="230" t="str">
        <f>IF(Giocatori!C693=0,"",Giocatori!C693)</f>
        <v/>
      </c>
      <c r="N696" s="69" t="str">
        <f t="shared" si="174"/>
        <v/>
      </c>
      <c r="O696" t="str">
        <f t="shared" si="175"/>
        <v/>
      </c>
      <c r="P696" s="7">
        <f t="shared" ca="1" si="184"/>
        <v>548</v>
      </c>
      <c r="Q696" s="7" t="str">
        <f t="shared" ca="1" si="176"/>
        <v/>
      </c>
      <c r="Z696" s="256"/>
      <c r="AA696" s="219"/>
      <c r="AB696" s="295" t="str">
        <f t="shared" si="177"/>
        <v/>
      </c>
      <c r="AC696" s="296" t="str">
        <f t="shared" si="178"/>
        <v/>
      </c>
      <c r="AD696" s="219"/>
      <c r="AE696" s="219"/>
      <c r="AF696" s="295" t="str">
        <f>IF(AA696="","",VLOOKUP(AA696,Asta!$B:$H,7,FALSE))</f>
        <v/>
      </c>
      <c r="AG696" s="296" t="str">
        <f t="shared" si="179"/>
        <v/>
      </c>
      <c r="AH696" t="str">
        <f t="shared" si="180"/>
        <v/>
      </c>
      <c r="AI696" s="254" t="str">
        <f t="shared" ca="1" si="185"/>
        <v>677</v>
      </c>
      <c r="AJ696" s="254" t="str">
        <f t="shared" ca="1" si="186"/>
        <v>677</v>
      </c>
      <c r="AK696" s="351"/>
    </row>
    <row r="697" spans="1:37">
      <c r="A697" s="74">
        <v>678</v>
      </c>
      <c r="B697" s="252"/>
      <c r="C697" s="295" t="str">
        <f t="shared" si="187"/>
        <v/>
      </c>
      <c r="D697" s="296" t="str">
        <f t="shared" si="188"/>
        <v/>
      </c>
      <c r="E697" s="287"/>
      <c r="F697" s="295" t="str">
        <f t="shared" si="181"/>
        <v/>
      </c>
      <c r="G697" s="296" t="str">
        <f t="shared" si="173"/>
        <v/>
      </c>
      <c r="H697" s="290"/>
      <c r="I697" s="254" t="str">
        <f t="shared" ca="1" si="182"/>
        <v>1</v>
      </c>
      <c r="J697" s="254" t="str">
        <f t="shared" ca="1" si="183"/>
        <v>1</v>
      </c>
      <c r="K697" s="230" t="str">
        <f>IF(Giocatori!B694=0,"",Giocatori!B694)</f>
        <v/>
      </c>
      <c r="L697" s="230" t="str">
        <f>IF(Giocatori!A694=0,"",Giocatori!A694)</f>
        <v/>
      </c>
      <c r="M697" s="230" t="str">
        <f>IF(Giocatori!C694=0,"",Giocatori!C694)</f>
        <v/>
      </c>
      <c r="N697" s="69" t="str">
        <f t="shared" si="174"/>
        <v/>
      </c>
      <c r="O697" t="str">
        <f t="shared" si="175"/>
        <v/>
      </c>
      <c r="P697" s="7">
        <f t="shared" ca="1" si="184"/>
        <v>548</v>
      </c>
      <c r="Q697" s="7" t="str">
        <f t="shared" ca="1" si="176"/>
        <v/>
      </c>
      <c r="Z697" s="256"/>
      <c r="AA697" s="219"/>
      <c r="AB697" s="295" t="str">
        <f t="shared" si="177"/>
        <v/>
      </c>
      <c r="AC697" s="296" t="str">
        <f t="shared" si="178"/>
        <v/>
      </c>
      <c r="AD697" s="219"/>
      <c r="AE697" s="219"/>
      <c r="AF697" s="295" t="str">
        <f>IF(AA697="","",VLOOKUP(AA697,Asta!$B:$H,7,FALSE))</f>
        <v/>
      </c>
      <c r="AG697" s="296" t="str">
        <f t="shared" si="179"/>
        <v/>
      </c>
      <c r="AH697" t="str">
        <f t="shared" si="180"/>
        <v/>
      </c>
      <c r="AI697" s="254" t="str">
        <f t="shared" ca="1" si="185"/>
        <v>678</v>
      </c>
      <c r="AJ697" s="254" t="str">
        <f t="shared" ca="1" si="186"/>
        <v>678</v>
      </c>
      <c r="AK697" s="351"/>
    </row>
    <row r="698" spans="1:37">
      <c r="A698" s="74">
        <v>679</v>
      </c>
      <c r="B698" s="252"/>
      <c r="C698" s="295" t="str">
        <f t="shared" si="187"/>
        <v/>
      </c>
      <c r="D698" s="296" t="str">
        <f t="shared" si="188"/>
        <v/>
      </c>
      <c r="E698" s="287"/>
      <c r="F698" s="295" t="str">
        <f t="shared" si="181"/>
        <v/>
      </c>
      <c r="G698" s="296" t="str">
        <f t="shared" si="173"/>
        <v/>
      </c>
      <c r="H698" s="290"/>
      <c r="I698" s="254" t="str">
        <f t="shared" ca="1" si="182"/>
        <v>1</v>
      </c>
      <c r="J698" s="254" t="str">
        <f t="shared" ca="1" si="183"/>
        <v>1</v>
      </c>
      <c r="K698" s="230" t="str">
        <f>IF(Giocatori!B695=0,"",Giocatori!B695)</f>
        <v/>
      </c>
      <c r="L698" s="230" t="str">
        <f>IF(Giocatori!A695=0,"",Giocatori!A695)</f>
        <v/>
      </c>
      <c r="M698" s="230" t="str">
        <f>IF(Giocatori!C695=0,"",Giocatori!C695)</f>
        <v/>
      </c>
      <c r="N698" s="69" t="str">
        <f t="shared" si="174"/>
        <v/>
      </c>
      <c r="O698" t="str">
        <f t="shared" si="175"/>
        <v/>
      </c>
      <c r="P698" s="7">
        <f t="shared" ca="1" si="184"/>
        <v>548</v>
      </c>
      <c r="Q698" s="7" t="str">
        <f t="shared" ca="1" si="176"/>
        <v/>
      </c>
      <c r="Z698" s="256"/>
      <c r="AA698" s="219"/>
      <c r="AB698" s="295" t="str">
        <f t="shared" si="177"/>
        <v/>
      </c>
      <c r="AC698" s="296" t="str">
        <f t="shared" si="178"/>
        <v/>
      </c>
      <c r="AD698" s="219"/>
      <c r="AE698" s="219"/>
      <c r="AF698" s="295" t="str">
        <f>IF(AA698="","",VLOOKUP(AA698,Asta!$B:$H,7,FALSE))</f>
        <v/>
      </c>
      <c r="AG698" s="296" t="str">
        <f t="shared" si="179"/>
        <v/>
      </c>
      <c r="AH698" t="str">
        <f t="shared" si="180"/>
        <v/>
      </c>
      <c r="AI698" s="254" t="str">
        <f t="shared" ca="1" si="185"/>
        <v>679</v>
      </c>
      <c r="AJ698" s="254" t="str">
        <f t="shared" ca="1" si="186"/>
        <v>679</v>
      </c>
      <c r="AK698" s="351"/>
    </row>
    <row r="699" spans="1:37">
      <c r="A699" s="74">
        <v>680</v>
      </c>
      <c r="B699" s="252"/>
      <c r="C699" s="295" t="str">
        <f t="shared" si="187"/>
        <v/>
      </c>
      <c r="D699" s="296" t="str">
        <f t="shared" si="188"/>
        <v/>
      </c>
      <c r="E699" s="287"/>
      <c r="F699" s="295" t="str">
        <f t="shared" si="181"/>
        <v/>
      </c>
      <c r="G699" s="296" t="str">
        <f t="shared" si="173"/>
        <v/>
      </c>
      <c r="H699" s="290"/>
      <c r="I699" s="254" t="str">
        <f t="shared" ca="1" si="182"/>
        <v>1</v>
      </c>
      <c r="J699" s="254" t="str">
        <f t="shared" ca="1" si="183"/>
        <v>1</v>
      </c>
      <c r="K699" s="230" t="str">
        <f>IF(Giocatori!B696=0,"",Giocatori!B696)</f>
        <v/>
      </c>
      <c r="L699" s="230" t="str">
        <f>IF(Giocatori!A696=0,"",Giocatori!A696)</f>
        <v/>
      </c>
      <c r="M699" s="230" t="str">
        <f>IF(Giocatori!C696=0,"",Giocatori!C696)</f>
        <v/>
      </c>
      <c r="N699" s="69" t="str">
        <f t="shared" si="174"/>
        <v/>
      </c>
      <c r="O699" t="str">
        <f t="shared" si="175"/>
        <v/>
      </c>
      <c r="P699" s="7">
        <f t="shared" ca="1" si="184"/>
        <v>548</v>
      </c>
      <c r="Q699" s="7" t="str">
        <f t="shared" ca="1" si="176"/>
        <v/>
      </c>
      <c r="Z699" s="256"/>
      <c r="AA699" s="219"/>
      <c r="AB699" s="295" t="str">
        <f t="shared" si="177"/>
        <v/>
      </c>
      <c r="AC699" s="296" t="str">
        <f t="shared" si="178"/>
        <v/>
      </c>
      <c r="AD699" s="219"/>
      <c r="AE699" s="219"/>
      <c r="AF699" s="295" t="str">
        <f>IF(AA699="","",VLOOKUP(AA699,Asta!$B:$H,7,FALSE))</f>
        <v/>
      </c>
      <c r="AG699" s="296" t="str">
        <f t="shared" si="179"/>
        <v/>
      </c>
      <c r="AH699" t="str">
        <f t="shared" si="180"/>
        <v/>
      </c>
      <c r="AI699" s="254" t="str">
        <f t="shared" ca="1" si="185"/>
        <v>680</v>
      </c>
      <c r="AJ699" s="254" t="str">
        <f t="shared" ca="1" si="186"/>
        <v>680</v>
      </c>
      <c r="AK699" s="351"/>
    </row>
    <row r="700" spans="1:37">
      <c r="A700" s="74">
        <v>681</v>
      </c>
      <c r="B700" s="252"/>
      <c r="C700" s="295" t="str">
        <f t="shared" si="187"/>
        <v/>
      </c>
      <c r="D700" s="296" t="str">
        <f t="shared" si="188"/>
        <v/>
      </c>
      <c r="E700" s="287"/>
      <c r="F700" s="295" t="str">
        <f t="shared" si="181"/>
        <v/>
      </c>
      <c r="G700" s="296" t="str">
        <f t="shared" si="173"/>
        <v/>
      </c>
      <c r="H700" s="290"/>
      <c r="I700" s="254" t="str">
        <f t="shared" ca="1" si="182"/>
        <v>1</v>
      </c>
      <c r="J700" s="254" t="str">
        <f t="shared" ca="1" si="183"/>
        <v>1</v>
      </c>
      <c r="K700" s="230" t="str">
        <f>IF(Giocatori!B697=0,"",Giocatori!B697)</f>
        <v/>
      </c>
      <c r="L700" s="230" t="str">
        <f>IF(Giocatori!A697=0,"",Giocatori!A697)</f>
        <v/>
      </c>
      <c r="M700" s="230" t="str">
        <f>IF(Giocatori!C697=0,"",Giocatori!C697)</f>
        <v/>
      </c>
      <c r="N700" s="69" t="str">
        <f t="shared" si="174"/>
        <v/>
      </c>
      <c r="O700" t="str">
        <f t="shared" si="175"/>
        <v/>
      </c>
      <c r="P700" s="7">
        <f t="shared" ca="1" si="184"/>
        <v>548</v>
      </c>
      <c r="Q700" s="7" t="str">
        <f t="shared" ca="1" si="176"/>
        <v/>
      </c>
      <c r="Z700" s="256"/>
      <c r="AA700" s="219"/>
      <c r="AB700" s="295" t="str">
        <f t="shared" si="177"/>
        <v/>
      </c>
      <c r="AC700" s="296" t="str">
        <f t="shared" si="178"/>
        <v/>
      </c>
      <c r="AD700" s="219"/>
      <c r="AE700" s="219"/>
      <c r="AF700" s="295" t="str">
        <f>IF(AA700="","",VLOOKUP(AA700,Asta!$B:$H,7,FALSE))</f>
        <v/>
      </c>
      <c r="AG700" s="296" t="str">
        <f t="shared" si="179"/>
        <v/>
      </c>
      <c r="AH700" t="str">
        <f t="shared" si="180"/>
        <v/>
      </c>
      <c r="AI700" s="254" t="str">
        <f t="shared" ca="1" si="185"/>
        <v>681</v>
      </c>
      <c r="AJ700" s="254" t="str">
        <f t="shared" ca="1" si="186"/>
        <v>681</v>
      </c>
      <c r="AK700" s="351"/>
    </row>
    <row r="701" spans="1:37" ht="13.5" thickBot="1">
      <c r="A701" s="74">
        <v>682</v>
      </c>
      <c r="B701" s="252"/>
      <c r="C701" s="295" t="str">
        <f t="shared" si="187"/>
        <v/>
      </c>
      <c r="D701" s="296" t="str">
        <f t="shared" si="188"/>
        <v/>
      </c>
      <c r="E701" s="287"/>
      <c r="F701" s="295" t="str">
        <f t="shared" si="181"/>
        <v/>
      </c>
      <c r="G701" s="296" t="str">
        <f t="shared" si="173"/>
        <v/>
      </c>
      <c r="H701" s="290"/>
      <c r="I701" s="254" t="str">
        <f t="shared" ca="1" si="182"/>
        <v>1</v>
      </c>
      <c r="J701" s="254" t="str">
        <f t="shared" ca="1" si="183"/>
        <v>1</v>
      </c>
      <c r="K701" s="230" t="str">
        <f>IF(Giocatori!B698=0,"",Giocatori!B698)</f>
        <v/>
      </c>
      <c r="L701" s="230" t="str">
        <f>IF(Giocatori!A698=0,"",Giocatori!A698)</f>
        <v/>
      </c>
      <c r="M701" s="230" t="str">
        <f>IF(Giocatori!C698=0,"",Giocatori!C698)</f>
        <v/>
      </c>
      <c r="N701" s="69" t="str">
        <f t="shared" si="174"/>
        <v/>
      </c>
      <c r="O701" t="str">
        <f t="shared" si="175"/>
        <v/>
      </c>
      <c r="P701" s="7">
        <f t="shared" ca="1" si="184"/>
        <v>548</v>
      </c>
      <c r="Q701" s="7" t="str">
        <f t="shared" ca="1" si="176"/>
        <v/>
      </c>
      <c r="Z701" s="257"/>
      <c r="AA701" s="258"/>
      <c r="AB701" s="295" t="str">
        <f t="shared" si="177"/>
        <v/>
      </c>
      <c r="AC701" s="296" t="str">
        <f t="shared" si="178"/>
        <v/>
      </c>
      <c r="AD701" s="219"/>
      <c r="AE701" s="258"/>
      <c r="AF701" s="295" t="str">
        <f>IF(AA701="","",VLOOKUP(AA701,Asta!$B:$H,7,FALSE))</f>
        <v/>
      </c>
      <c r="AG701" s="296" t="str">
        <f t="shared" si="179"/>
        <v/>
      </c>
      <c r="AH701" t="str">
        <f t="shared" si="180"/>
        <v/>
      </c>
      <c r="AI701" s="254" t="str">
        <f t="shared" ca="1" si="185"/>
        <v>682</v>
      </c>
      <c r="AJ701" s="254" t="str">
        <f t="shared" ca="1" si="186"/>
        <v>682</v>
      </c>
      <c r="AK701" s="351"/>
    </row>
    <row r="702" spans="1:37">
      <c r="A702" s="74">
        <v>683</v>
      </c>
      <c r="B702" s="252"/>
      <c r="C702" s="295" t="str">
        <f t="shared" si="187"/>
        <v/>
      </c>
      <c r="D702" s="296" t="str">
        <f t="shared" si="188"/>
        <v/>
      </c>
      <c r="E702" s="287"/>
      <c r="F702" s="295" t="str">
        <f t="shared" si="181"/>
        <v/>
      </c>
      <c r="G702" s="296" t="str">
        <f t="shared" si="173"/>
        <v/>
      </c>
      <c r="H702" s="290"/>
      <c r="I702" s="254" t="str">
        <f t="shared" ca="1" si="182"/>
        <v>1</v>
      </c>
      <c r="J702" s="254" t="str">
        <f t="shared" ca="1" si="183"/>
        <v>1</v>
      </c>
      <c r="K702" s="230" t="str">
        <f>IF(Giocatori!B699=0,"",Giocatori!B699)</f>
        <v/>
      </c>
      <c r="L702" s="230" t="str">
        <f>IF(Giocatori!A699=0,"",Giocatori!A699)</f>
        <v/>
      </c>
      <c r="M702" s="230" t="str">
        <f>IF(Giocatori!C699=0,"",Giocatori!C699)</f>
        <v/>
      </c>
      <c r="N702" s="69" t="str">
        <f t="shared" si="174"/>
        <v/>
      </c>
      <c r="O702" t="str">
        <f t="shared" si="175"/>
        <v/>
      </c>
      <c r="P702" s="7">
        <f t="shared" ca="1" si="184"/>
        <v>548</v>
      </c>
      <c r="Q702" s="7" t="str">
        <f t="shared" ca="1" si="176"/>
        <v/>
      </c>
      <c r="AB702" s="295" t="str">
        <f t="shared" si="177"/>
        <v/>
      </c>
      <c r="AC702" s="296" t="str">
        <f t="shared" si="178"/>
        <v/>
      </c>
      <c r="AF702" s="295"/>
      <c r="AG702" s="296"/>
    </row>
    <row r="703" spans="1:37">
      <c r="A703" s="74">
        <v>684</v>
      </c>
      <c r="B703" s="252"/>
      <c r="C703" s="295" t="str">
        <f t="shared" si="187"/>
        <v/>
      </c>
      <c r="D703" s="296" t="str">
        <f t="shared" si="188"/>
        <v/>
      </c>
      <c r="E703" s="287"/>
      <c r="F703" s="295" t="str">
        <f t="shared" si="181"/>
        <v/>
      </c>
      <c r="G703" s="296" t="str">
        <f t="shared" si="173"/>
        <v/>
      </c>
      <c r="H703" s="290"/>
      <c r="I703" s="254" t="str">
        <f t="shared" ca="1" si="182"/>
        <v>1</v>
      </c>
      <c r="J703" s="254" t="str">
        <f t="shared" ca="1" si="183"/>
        <v>1</v>
      </c>
      <c r="K703" s="230" t="str">
        <f>IF(Giocatori!B700=0,"",Giocatori!B700)</f>
        <v/>
      </c>
      <c r="L703" s="230" t="str">
        <f>IF(Giocatori!A700=0,"",Giocatori!A700)</f>
        <v/>
      </c>
      <c r="M703" s="230" t="str">
        <f>IF(Giocatori!C700=0,"",Giocatori!C700)</f>
        <v/>
      </c>
      <c r="N703" s="69" t="str">
        <f t="shared" si="174"/>
        <v/>
      </c>
      <c r="O703" t="str">
        <f t="shared" si="175"/>
        <v/>
      </c>
      <c r="P703" s="7">
        <f t="shared" ca="1" si="184"/>
        <v>548</v>
      </c>
      <c r="Q703" s="7" t="str">
        <f t="shared" ca="1" si="176"/>
        <v/>
      </c>
      <c r="AB703" s="295" t="str">
        <f t="shared" si="177"/>
        <v/>
      </c>
      <c r="AC703" s="296" t="str">
        <f t="shared" si="178"/>
        <v/>
      </c>
      <c r="AF703" s="295"/>
      <c r="AG703" s="296"/>
    </row>
    <row r="704" spans="1:37">
      <c r="A704" s="74">
        <v>685</v>
      </c>
      <c r="B704" s="252"/>
      <c r="C704" s="295" t="str">
        <f t="shared" si="187"/>
        <v/>
      </c>
      <c r="D704" s="296" t="str">
        <f t="shared" si="188"/>
        <v/>
      </c>
      <c r="E704" s="287"/>
      <c r="F704" s="295" t="str">
        <f t="shared" si="181"/>
        <v/>
      </c>
      <c r="G704" s="296" t="str">
        <f t="shared" si="173"/>
        <v/>
      </c>
      <c r="H704" s="290"/>
      <c r="I704" s="254" t="str">
        <f t="shared" ca="1" si="182"/>
        <v>1</v>
      </c>
      <c r="J704" s="254" t="str">
        <f t="shared" ca="1" si="183"/>
        <v>1</v>
      </c>
      <c r="K704" s="230" t="str">
        <f>IF(Giocatori!B701=0,"",Giocatori!B701)</f>
        <v/>
      </c>
      <c r="L704" s="230" t="str">
        <f>IF(Giocatori!A701=0,"",Giocatori!A701)</f>
        <v/>
      </c>
      <c r="M704" s="230" t="str">
        <f>IF(Giocatori!C701=0,"",Giocatori!C701)</f>
        <v/>
      </c>
      <c r="N704" s="69" t="str">
        <f t="shared" si="174"/>
        <v/>
      </c>
      <c r="O704" t="str">
        <f t="shared" si="175"/>
        <v/>
      </c>
      <c r="P704" s="7">
        <f t="shared" ca="1" si="184"/>
        <v>548</v>
      </c>
      <c r="Q704" s="7" t="str">
        <f t="shared" ca="1" si="176"/>
        <v/>
      </c>
      <c r="AB704" s="295" t="str">
        <f t="shared" si="177"/>
        <v/>
      </c>
      <c r="AC704" s="296" t="str">
        <f t="shared" si="178"/>
        <v/>
      </c>
      <c r="AF704" s="295"/>
      <c r="AG704" s="296"/>
    </row>
    <row r="705" spans="1:33">
      <c r="A705" s="74">
        <v>686</v>
      </c>
      <c r="B705" s="252"/>
      <c r="C705" s="295" t="str">
        <f t="shared" si="187"/>
        <v/>
      </c>
      <c r="D705" s="296" t="str">
        <f t="shared" si="188"/>
        <v/>
      </c>
      <c r="E705" s="287"/>
      <c r="F705" s="295" t="str">
        <f t="shared" si="181"/>
        <v/>
      </c>
      <c r="G705" s="296" t="str">
        <f t="shared" si="173"/>
        <v/>
      </c>
      <c r="H705" s="290"/>
      <c r="I705" s="254" t="str">
        <f t="shared" ca="1" si="182"/>
        <v>1</v>
      </c>
      <c r="J705" s="254" t="str">
        <f t="shared" ca="1" si="183"/>
        <v>1</v>
      </c>
      <c r="K705" s="230" t="str">
        <f>IF(Giocatori!B702=0,"",Giocatori!B702)</f>
        <v/>
      </c>
      <c r="L705" s="230" t="str">
        <f>IF(Giocatori!A702=0,"",Giocatori!A702)</f>
        <v/>
      </c>
      <c r="M705" s="230" t="str">
        <f>IF(Giocatori!C702=0,"",Giocatori!C702)</f>
        <v/>
      </c>
      <c r="N705" s="69" t="str">
        <f t="shared" si="174"/>
        <v/>
      </c>
      <c r="O705" t="str">
        <f t="shared" si="175"/>
        <v/>
      </c>
      <c r="P705" s="7">
        <f t="shared" ca="1" si="184"/>
        <v>548</v>
      </c>
      <c r="Q705" s="7" t="str">
        <f t="shared" ca="1" si="176"/>
        <v/>
      </c>
      <c r="AB705" s="295" t="str">
        <f t="shared" si="177"/>
        <v/>
      </c>
      <c r="AC705" s="296" t="str">
        <f t="shared" si="178"/>
        <v/>
      </c>
      <c r="AF705" s="295"/>
      <c r="AG705" s="296"/>
    </row>
    <row r="706" spans="1:33">
      <c r="A706" s="74">
        <v>687</v>
      </c>
      <c r="B706" s="252"/>
      <c r="C706" s="295" t="str">
        <f t="shared" si="187"/>
        <v/>
      </c>
      <c r="D706" s="296" t="str">
        <f t="shared" si="188"/>
        <v/>
      </c>
      <c r="E706" s="287"/>
      <c r="F706" s="295" t="str">
        <f t="shared" si="181"/>
        <v/>
      </c>
      <c r="G706" s="296" t="str">
        <f t="shared" si="173"/>
        <v/>
      </c>
      <c r="H706" s="290"/>
      <c r="I706" s="254" t="str">
        <f t="shared" ca="1" si="182"/>
        <v>1</v>
      </c>
      <c r="J706" s="254" t="str">
        <f t="shared" ca="1" si="183"/>
        <v>1</v>
      </c>
      <c r="K706" s="230" t="str">
        <f>IF(Giocatori!B703=0,"",Giocatori!B703)</f>
        <v/>
      </c>
      <c r="L706" s="230" t="str">
        <f>IF(Giocatori!A703=0,"",Giocatori!A703)</f>
        <v/>
      </c>
      <c r="M706" s="230" t="str">
        <f>IF(Giocatori!C703=0,"",Giocatori!C703)</f>
        <v/>
      </c>
      <c r="N706" s="69" t="str">
        <f t="shared" si="174"/>
        <v/>
      </c>
      <c r="O706" t="str">
        <f t="shared" si="175"/>
        <v/>
      </c>
      <c r="P706" s="7">
        <f t="shared" ca="1" si="184"/>
        <v>548</v>
      </c>
      <c r="Q706" s="7" t="str">
        <f t="shared" ca="1" si="176"/>
        <v/>
      </c>
      <c r="AB706" s="295" t="str">
        <f t="shared" si="177"/>
        <v/>
      </c>
      <c r="AC706" s="296" t="str">
        <f t="shared" si="178"/>
        <v/>
      </c>
      <c r="AF706" s="295"/>
      <c r="AG706" s="296"/>
    </row>
    <row r="707" spans="1:33">
      <c r="A707" s="74">
        <v>688</v>
      </c>
      <c r="B707" s="252"/>
      <c r="C707" s="295" t="str">
        <f t="shared" si="187"/>
        <v/>
      </c>
      <c r="D707" s="296" t="str">
        <f t="shared" si="188"/>
        <v/>
      </c>
      <c r="E707" s="287"/>
      <c r="F707" s="295" t="str">
        <f t="shared" si="181"/>
        <v/>
      </c>
      <c r="G707" s="296" t="str">
        <f t="shared" si="173"/>
        <v/>
      </c>
      <c r="H707" s="290"/>
      <c r="I707" s="254" t="str">
        <f t="shared" ca="1" si="182"/>
        <v>1</v>
      </c>
      <c r="J707" s="254" t="str">
        <f t="shared" ca="1" si="183"/>
        <v>1</v>
      </c>
      <c r="K707" s="230" t="str">
        <f>IF(Giocatori!B704=0,"",Giocatori!B704)</f>
        <v/>
      </c>
      <c r="L707" s="230" t="str">
        <f>IF(Giocatori!A704=0,"",Giocatori!A704)</f>
        <v/>
      </c>
      <c r="M707" s="230" t="str">
        <f>IF(Giocatori!C704=0,"",Giocatori!C704)</f>
        <v/>
      </c>
      <c r="N707" s="69" t="str">
        <f t="shared" si="174"/>
        <v/>
      </c>
      <c r="O707" t="str">
        <f t="shared" si="175"/>
        <v/>
      </c>
      <c r="P707" s="7">
        <f t="shared" ca="1" si="184"/>
        <v>548</v>
      </c>
      <c r="Q707" s="7" t="str">
        <f t="shared" ca="1" si="176"/>
        <v/>
      </c>
      <c r="AB707" s="295" t="str">
        <f t="shared" si="177"/>
        <v/>
      </c>
      <c r="AC707" s="296" t="str">
        <f t="shared" si="178"/>
        <v/>
      </c>
      <c r="AF707" s="295"/>
      <c r="AG707" s="296"/>
    </row>
    <row r="708" spans="1:33">
      <c r="A708" s="74">
        <v>689</v>
      </c>
      <c r="B708" s="252"/>
      <c r="C708" s="295" t="str">
        <f t="shared" si="187"/>
        <v/>
      </c>
      <c r="D708" s="296" t="str">
        <f t="shared" si="188"/>
        <v/>
      </c>
      <c r="E708" s="287"/>
      <c r="F708" s="295" t="str">
        <f t="shared" si="181"/>
        <v/>
      </c>
      <c r="G708" s="296" t="str">
        <f t="shared" si="173"/>
        <v/>
      </c>
      <c r="H708" s="290"/>
      <c r="I708" s="254" t="str">
        <f t="shared" ca="1" si="182"/>
        <v>1</v>
      </c>
      <c r="J708" s="254" t="str">
        <f t="shared" ca="1" si="183"/>
        <v>1</v>
      </c>
      <c r="K708" s="230" t="str">
        <f>IF(Giocatori!B705=0,"",Giocatori!B705)</f>
        <v/>
      </c>
      <c r="L708" s="230" t="str">
        <f>IF(Giocatori!A705=0,"",Giocatori!A705)</f>
        <v/>
      </c>
      <c r="M708" s="230" t="str">
        <f>IF(Giocatori!C705=0,"",Giocatori!C705)</f>
        <v/>
      </c>
      <c r="N708" s="69" t="str">
        <f t="shared" si="174"/>
        <v/>
      </c>
      <c r="O708" t="str">
        <f t="shared" si="175"/>
        <v/>
      </c>
      <c r="P708" s="7">
        <f t="shared" ca="1" si="184"/>
        <v>548</v>
      </c>
      <c r="Q708" s="7" t="str">
        <f t="shared" ca="1" si="176"/>
        <v/>
      </c>
      <c r="AB708" s="295" t="str">
        <f t="shared" si="177"/>
        <v/>
      </c>
      <c r="AC708" s="296" t="str">
        <f t="shared" si="178"/>
        <v/>
      </c>
      <c r="AF708" s="295"/>
      <c r="AG708" s="296"/>
    </row>
    <row r="709" spans="1:33">
      <c r="A709" s="74">
        <v>690</v>
      </c>
      <c r="B709" s="252"/>
      <c r="C709" s="295" t="str">
        <f t="shared" si="187"/>
        <v/>
      </c>
      <c r="D709" s="296" t="str">
        <f t="shared" si="188"/>
        <v/>
      </c>
      <c r="E709" s="287"/>
      <c r="F709" s="295" t="str">
        <f t="shared" si="181"/>
        <v/>
      </c>
      <c r="G709" s="296" t="str">
        <f t="shared" si="173"/>
        <v/>
      </c>
      <c r="H709" s="290"/>
      <c r="I709" s="254" t="str">
        <f t="shared" ca="1" si="182"/>
        <v>1</v>
      </c>
      <c r="J709" s="254" t="str">
        <f t="shared" ca="1" si="183"/>
        <v>1</v>
      </c>
      <c r="K709" s="230" t="str">
        <f>IF(Giocatori!B706=0,"",Giocatori!B706)</f>
        <v/>
      </c>
      <c r="L709" s="230" t="str">
        <f>IF(Giocatori!A706=0,"",Giocatori!A706)</f>
        <v/>
      </c>
      <c r="M709" s="230" t="str">
        <f>IF(Giocatori!C706=0,"",Giocatori!C706)</f>
        <v/>
      </c>
      <c r="N709" s="69" t="str">
        <f t="shared" si="174"/>
        <v/>
      </c>
      <c r="O709" t="str">
        <f t="shared" si="175"/>
        <v/>
      </c>
      <c r="P709" s="7">
        <f t="shared" ca="1" si="184"/>
        <v>548</v>
      </c>
      <c r="Q709" s="7" t="str">
        <f t="shared" ca="1" si="176"/>
        <v/>
      </c>
      <c r="AB709" s="295" t="str">
        <f t="shared" si="177"/>
        <v/>
      </c>
      <c r="AC709" s="296" t="str">
        <f t="shared" si="178"/>
        <v/>
      </c>
      <c r="AF709" s="295"/>
      <c r="AG709" s="296"/>
    </row>
    <row r="710" spans="1:33">
      <c r="A710" s="74">
        <v>691</v>
      </c>
      <c r="B710" s="252"/>
      <c r="C710" s="295" t="str">
        <f t="shared" si="187"/>
        <v/>
      </c>
      <c r="D710" s="296" t="str">
        <f t="shared" si="188"/>
        <v/>
      </c>
      <c r="E710" s="287"/>
      <c r="F710" s="295" t="str">
        <f t="shared" si="181"/>
        <v/>
      </c>
      <c r="G710" s="296" t="str">
        <f t="shared" si="173"/>
        <v/>
      </c>
      <c r="H710" s="290"/>
      <c r="I710" s="254" t="str">
        <f t="shared" ca="1" si="182"/>
        <v>1</v>
      </c>
      <c r="J710" s="254" t="str">
        <f t="shared" ca="1" si="183"/>
        <v>1</v>
      </c>
      <c r="K710" s="230" t="str">
        <f>IF(Giocatori!B707=0,"",Giocatori!B707)</f>
        <v/>
      </c>
      <c r="L710" s="230" t="str">
        <f>IF(Giocatori!A707=0,"",Giocatori!A707)</f>
        <v/>
      </c>
      <c r="M710" s="230" t="str">
        <f>IF(Giocatori!C707=0,"",Giocatori!C707)</f>
        <v/>
      </c>
      <c r="N710" s="69" t="str">
        <f t="shared" si="174"/>
        <v/>
      </c>
      <c r="O710" t="str">
        <f t="shared" si="175"/>
        <v/>
      </c>
      <c r="P710" s="7">
        <f t="shared" ca="1" si="184"/>
        <v>548</v>
      </c>
      <c r="Q710" s="7" t="str">
        <f t="shared" ca="1" si="176"/>
        <v/>
      </c>
      <c r="AB710" s="295" t="str">
        <f t="shared" si="177"/>
        <v/>
      </c>
      <c r="AC710" s="296" t="str">
        <f t="shared" si="178"/>
        <v/>
      </c>
      <c r="AF710" s="295"/>
      <c r="AG710" s="296"/>
    </row>
    <row r="711" spans="1:33">
      <c r="A711" s="74">
        <v>692</v>
      </c>
      <c r="B711" s="252"/>
      <c r="C711" s="295" t="str">
        <f t="shared" si="187"/>
        <v/>
      </c>
      <c r="D711" s="296" t="str">
        <f t="shared" si="188"/>
        <v/>
      </c>
      <c r="E711" s="287"/>
      <c r="F711" s="295" t="str">
        <f t="shared" si="181"/>
        <v/>
      </c>
      <c r="G711" s="296" t="str">
        <f t="shared" si="173"/>
        <v/>
      </c>
      <c r="H711" s="290"/>
      <c r="I711" s="254" t="str">
        <f t="shared" ca="1" si="182"/>
        <v>1</v>
      </c>
      <c r="J711" s="254" t="str">
        <f t="shared" ca="1" si="183"/>
        <v>1</v>
      </c>
      <c r="K711" s="230" t="str">
        <f>IF(Giocatori!B708=0,"",Giocatori!B708)</f>
        <v/>
      </c>
      <c r="L711" s="230" t="str">
        <f>IF(Giocatori!A708=0,"",Giocatori!A708)</f>
        <v/>
      </c>
      <c r="M711" s="230" t="str">
        <f>IF(Giocatori!C708=0,"",Giocatori!C708)</f>
        <v/>
      </c>
      <c r="N711" s="69" t="str">
        <f t="shared" si="174"/>
        <v/>
      </c>
      <c r="O711" t="str">
        <f t="shared" si="175"/>
        <v/>
      </c>
      <c r="P711" s="7">
        <f t="shared" ca="1" si="184"/>
        <v>548</v>
      </c>
      <c r="Q711" s="7" t="str">
        <f t="shared" ca="1" si="176"/>
        <v/>
      </c>
      <c r="AB711" s="295" t="str">
        <f t="shared" si="177"/>
        <v/>
      </c>
      <c r="AC711" s="296" t="str">
        <f t="shared" si="178"/>
        <v/>
      </c>
      <c r="AF711" s="295"/>
      <c r="AG711" s="296"/>
    </row>
    <row r="712" spans="1:33">
      <c r="A712" s="74">
        <v>693</v>
      </c>
      <c r="B712" s="252"/>
      <c r="C712" s="295" t="str">
        <f t="shared" si="187"/>
        <v/>
      </c>
      <c r="D712" s="296" t="str">
        <f t="shared" si="188"/>
        <v/>
      </c>
      <c r="E712" s="287"/>
      <c r="F712" s="295" t="str">
        <f t="shared" si="181"/>
        <v/>
      </c>
      <c r="G712" s="296" t="str">
        <f t="shared" si="173"/>
        <v/>
      </c>
      <c r="H712" s="290"/>
      <c r="I712" s="254" t="str">
        <f t="shared" ca="1" si="182"/>
        <v>1</v>
      </c>
      <c r="J712" s="254" t="str">
        <f t="shared" ca="1" si="183"/>
        <v>1</v>
      </c>
      <c r="K712" s="230" t="str">
        <f>IF(Giocatori!B709=0,"",Giocatori!B709)</f>
        <v/>
      </c>
      <c r="L712" s="230" t="str">
        <f>IF(Giocatori!A709=0,"",Giocatori!A709)</f>
        <v/>
      </c>
      <c r="M712" s="230" t="str">
        <f>IF(Giocatori!C709=0,"",Giocatori!C709)</f>
        <v/>
      </c>
      <c r="N712" s="69" t="str">
        <f t="shared" si="174"/>
        <v/>
      </c>
      <c r="O712" t="str">
        <f t="shared" si="175"/>
        <v/>
      </c>
      <c r="P712" s="7">
        <f t="shared" ca="1" si="184"/>
        <v>548</v>
      </c>
      <c r="Q712" s="7" t="str">
        <f t="shared" ca="1" si="176"/>
        <v/>
      </c>
      <c r="AB712" s="295" t="str">
        <f t="shared" si="177"/>
        <v/>
      </c>
      <c r="AC712" s="296" t="str">
        <f t="shared" si="178"/>
        <v/>
      </c>
      <c r="AF712" s="295"/>
      <c r="AG712" s="296"/>
    </row>
    <row r="713" spans="1:33">
      <c r="A713" s="74">
        <v>694</v>
      </c>
      <c r="B713" s="252"/>
      <c r="C713" s="295" t="str">
        <f t="shared" si="187"/>
        <v/>
      </c>
      <c r="D713" s="296" t="str">
        <f t="shared" si="188"/>
        <v/>
      </c>
      <c r="E713" s="287"/>
      <c r="F713" s="295" t="str">
        <f t="shared" si="181"/>
        <v/>
      </c>
      <c r="G713" s="296" t="str">
        <f t="shared" si="173"/>
        <v/>
      </c>
      <c r="H713" s="290"/>
      <c r="I713" s="254" t="str">
        <f t="shared" ca="1" si="182"/>
        <v>1</v>
      </c>
      <c r="J713" s="254" t="str">
        <f t="shared" ca="1" si="183"/>
        <v>1</v>
      </c>
      <c r="K713" s="230" t="str">
        <f>IF(Giocatori!B710=0,"",Giocatori!B710)</f>
        <v/>
      </c>
      <c r="L713" s="230" t="str">
        <f>IF(Giocatori!A710=0,"",Giocatori!A710)</f>
        <v/>
      </c>
      <c r="M713" s="230" t="str">
        <f>IF(Giocatori!C710=0,"",Giocatori!C710)</f>
        <v/>
      </c>
      <c r="N713" s="69" t="str">
        <f t="shared" si="174"/>
        <v/>
      </c>
      <c r="O713" t="str">
        <f t="shared" si="175"/>
        <v/>
      </c>
      <c r="P713" s="7">
        <f t="shared" ca="1" si="184"/>
        <v>548</v>
      </c>
      <c r="Q713" s="7" t="str">
        <f t="shared" ca="1" si="176"/>
        <v/>
      </c>
      <c r="AB713" s="295" t="str">
        <f t="shared" si="177"/>
        <v/>
      </c>
      <c r="AC713" s="296" t="str">
        <f t="shared" si="178"/>
        <v/>
      </c>
      <c r="AF713" s="295"/>
      <c r="AG713" s="296"/>
    </row>
    <row r="714" spans="1:33">
      <c r="A714" s="74">
        <v>695</v>
      </c>
      <c r="B714" s="252"/>
      <c r="C714" s="295" t="str">
        <f t="shared" si="187"/>
        <v/>
      </c>
      <c r="D714" s="296" t="str">
        <f t="shared" si="188"/>
        <v/>
      </c>
      <c r="E714" s="287"/>
      <c r="F714" s="295" t="str">
        <f t="shared" si="181"/>
        <v/>
      </c>
      <c r="G714" s="296" t="str">
        <f t="shared" si="173"/>
        <v/>
      </c>
      <c r="H714" s="290"/>
      <c r="I714" s="254" t="str">
        <f t="shared" ca="1" si="182"/>
        <v>1</v>
      </c>
      <c r="J714" s="254" t="str">
        <f t="shared" ca="1" si="183"/>
        <v>1</v>
      </c>
      <c r="K714" s="230" t="str">
        <f>IF(Giocatori!B711=0,"",Giocatori!B711)</f>
        <v/>
      </c>
      <c r="L714" s="230" t="str">
        <f>IF(Giocatori!A711=0,"",Giocatori!A711)</f>
        <v/>
      </c>
      <c r="M714" s="230" t="str">
        <f>IF(Giocatori!C711=0,"",Giocatori!C711)</f>
        <v/>
      </c>
      <c r="N714" s="69" t="str">
        <f t="shared" si="174"/>
        <v/>
      </c>
      <c r="O714" t="str">
        <f t="shared" si="175"/>
        <v/>
      </c>
      <c r="P714" s="7">
        <f t="shared" ca="1" si="184"/>
        <v>548</v>
      </c>
      <c r="Q714" s="7" t="str">
        <f t="shared" ca="1" si="176"/>
        <v/>
      </c>
      <c r="AB714" s="295" t="str">
        <f t="shared" si="177"/>
        <v/>
      </c>
      <c r="AC714" s="296" t="str">
        <f t="shared" si="178"/>
        <v/>
      </c>
      <c r="AF714" s="295"/>
      <c r="AG714" s="296"/>
    </row>
    <row r="715" spans="1:33">
      <c r="A715" s="74">
        <v>696</v>
      </c>
      <c r="B715" s="252"/>
      <c r="C715" s="295" t="str">
        <f t="shared" si="187"/>
        <v/>
      </c>
      <c r="D715" s="296" t="str">
        <f t="shared" si="188"/>
        <v/>
      </c>
      <c r="E715" s="287"/>
      <c r="F715" s="295" t="str">
        <f t="shared" si="181"/>
        <v/>
      </c>
      <c r="G715" s="296" t="str">
        <f t="shared" si="173"/>
        <v/>
      </c>
      <c r="H715" s="290"/>
      <c r="I715" s="254" t="str">
        <f t="shared" ca="1" si="182"/>
        <v>1</v>
      </c>
      <c r="J715" s="254" t="str">
        <f t="shared" ca="1" si="183"/>
        <v>1</v>
      </c>
      <c r="K715" s="230" t="str">
        <f>IF(Giocatori!B712=0,"",Giocatori!B712)</f>
        <v/>
      </c>
      <c r="L715" s="230" t="str">
        <f>IF(Giocatori!A712=0,"",Giocatori!A712)</f>
        <v/>
      </c>
      <c r="M715" s="230" t="str">
        <f>IF(Giocatori!C712=0,"",Giocatori!C712)</f>
        <v/>
      </c>
      <c r="N715" s="69" t="str">
        <f t="shared" si="174"/>
        <v/>
      </c>
      <c r="O715" t="str">
        <f t="shared" si="175"/>
        <v/>
      </c>
      <c r="P715" s="7">
        <f t="shared" ca="1" si="184"/>
        <v>548</v>
      </c>
      <c r="Q715" s="7" t="str">
        <f t="shared" ca="1" si="176"/>
        <v/>
      </c>
      <c r="AB715" s="295" t="str">
        <f t="shared" si="177"/>
        <v/>
      </c>
      <c r="AC715" s="296" t="str">
        <f t="shared" si="178"/>
        <v/>
      </c>
      <c r="AF715" s="295"/>
      <c r="AG715" s="296"/>
    </row>
    <row r="716" spans="1:33" ht="13.5" thickBot="1">
      <c r="A716" s="74">
        <v>697</v>
      </c>
      <c r="B716" s="266"/>
      <c r="C716" s="297" t="str">
        <f t="shared" si="187"/>
        <v/>
      </c>
      <c r="D716" s="298" t="str">
        <f t="shared" si="188"/>
        <v/>
      </c>
      <c r="E716" s="288"/>
      <c r="F716" s="297" t="str">
        <f t="shared" si="181"/>
        <v/>
      </c>
      <c r="G716" s="298" t="str">
        <f t="shared" si="173"/>
        <v/>
      </c>
      <c r="H716" s="291"/>
      <c r="I716" s="254" t="str">
        <f t="shared" ca="1" si="182"/>
        <v>1</v>
      </c>
      <c r="J716" s="254" t="str">
        <f t="shared" ca="1" si="183"/>
        <v>1</v>
      </c>
      <c r="K716" s="230" t="str">
        <f>IF(Giocatori!B713=0,"",Giocatori!B713)</f>
        <v/>
      </c>
      <c r="L716" s="230" t="str">
        <f>IF(Giocatori!A713=0,"",Giocatori!A713)</f>
        <v/>
      </c>
      <c r="M716" s="230" t="str">
        <f>IF(Giocatori!C713=0,"",Giocatori!C713)</f>
        <v/>
      </c>
      <c r="N716" s="69" t="str">
        <f t="shared" si="174"/>
        <v/>
      </c>
      <c r="O716" t="str">
        <f t="shared" si="175"/>
        <v/>
      </c>
      <c r="P716" s="7">
        <f t="shared" ca="1" si="184"/>
        <v>548</v>
      </c>
      <c r="Q716" s="7" t="str">
        <f t="shared" ca="1" si="176"/>
        <v/>
      </c>
      <c r="AB716" s="297" t="str">
        <f t="shared" si="177"/>
        <v/>
      </c>
      <c r="AC716" s="298" t="str">
        <f t="shared" si="178"/>
        <v/>
      </c>
      <c r="AF716" s="297"/>
      <c r="AG716" s="298"/>
    </row>
    <row r="717" spans="1:33">
      <c r="A717" s="74">
        <v>698</v>
      </c>
      <c r="K717" s="230" t="str">
        <f>IF(Giocatori!B714=0,"",Giocatori!B714)</f>
        <v/>
      </c>
      <c r="L717" s="230" t="str">
        <f>IF(Giocatori!A714=0,"",Giocatori!A714)</f>
        <v/>
      </c>
      <c r="M717" s="230" t="str">
        <f>IF(Giocatori!C714=0,"",Giocatori!C714)</f>
        <v/>
      </c>
      <c r="N717" s="69" t="str">
        <f t="shared" si="174"/>
        <v/>
      </c>
      <c r="O717" t="str">
        <f t="shared" si="175"/>
        <v/>
      </c>
      <c r="P717" s="7">
        <f t="shared" ca="1" si="184"/>
        <v>548</v>
      </c>
      <c r="Q717" s="7" t="str">
        <f t="shared" ca="1" si="176"/>
        <v/>
      </c>
    </row>
    <row r="718" spans="1:33">
      <c r="A718" s="74">
        <v>699</v>
      </c>
      <c r="K718" s="230" t="str">
        <f>IF(Giocatori!B715=0,"",Giocatori!B715)</f>
        <v/>
      </c>
      <c r="L718" s="230" t="str">
        <f>IF(Giocatori!A715=0,"",Giocatori!A715)</f>
        <v/>
      </c>
      <c r="M718" s="230" t="str">
        <f>IF(Giocatori!C715=0,"",Giocatori!C715)</f>
        <v/>
      </c>
      <c r="N718" s="69" t="str">
        <f t="shared" si="174"/>
        <v/>
      </c>
      <c r="O718" t="str">
        <f t="shared" si="175"/>
        <v/>
      </c>
      <c r="P718" s="7">
        <f t="shared" ca="1" si="184"/>
        <v>548</v>
      </c>
      <c r="Q718" s="7" t="str">
        <f t="shared" ca="1" si="176"/>
        <v/>
      </c>
    </row>
    <row r="719" spans="1:33">
      <c r="A719" s="74">
        <v>700</v>
      </c>
      <c r="K719" s="230" t="str">
        <f>IF(Giocatori!B716=0,"",Giocatori!B716)</f>
        <v/>
      </c>
      <c r="L719" s="230" t="str">
        <f>IF(Giocatori!A716=0,"",Giocatori!A716)</f>
        <v/>
      </c>
      <c r="M719" s="230" t="str">
        <f>IF(Giocatori!C716=0,"",Giocatori!C716)</f>
        <v/>
      </c>
      <c r="N719" s="69" t="str">
        <f t="shared" si="174"/>
        <v/>
      </c>
      <c r="O719" t="str">
        <f t="shared" si="175"/>
        <v/>
      </c>
      <c r="P719" s="7">
        <f t="shared" ca="1" si="184"/>
        <v>548</v>
      </c>
      <c r="Q719" s="7" t="str">
        <f t="shared" ca="1" si="176"/>
        <v/>
      </c>
    </row>
    <row r="720" spans="1:33">
      <c r="A720" s="74">
        <v>701</v>
      </c>
      <c r="K720" s="230" t="str">
        <f>IF(Giocatori!B717=0,"",Giocatori!B717)</f>
        <v/>
      </c>
      <c r="L720" s="230" t="str">
        <f>IF(Giocatori!A717=0,"",Giocatori!A717)</f>
        <v/>
      </c>
      <c r="M720" s="230" t="str">
        <f>IF(Giocatori!C717=0,"",Giocatori!C717)</f>
        <v/>
      </c>
      <c r="N720" s="69" t="str">
        <f t="shared" si="174"/>
        <v/>
      </c>
      <c r="O720" t="str">
        <f t="shared" si="175"/>
        <v/>
      </c>
      <c r="P720" s="7">
        <f t="shared" ca="1" si="184"/>
        <v>548</v>
      </c>
      <c r="Q720" s="7" t="str">
        <f t="shared" ca="1" si="176"/>
        <v/>
      </c>
    </row>
  </sheetData>
  <autoFilter ref="B19:H720" xr:uid="{00000000-0009-0000-0000-000001000000}"/>
  <mergeCells count="32">
    <mergeCell ref="AB15:AB16"/>
    <mergeCell ref="AC15:AD16"/>
    <mergeCell ref="U3:U4"/>
    <mergeCell ref="AC3:AC4"/>
    <mergeCell ref="B2:C2"/>
    <mergeCell ref="B3:B4"/>
    <mergeCell ref="G3:G4"/>
    <mergeCell ref="G2:H2"/>
    <mergeCell ref="D2:F2"/>
    <mergeCell ref="D3:F4"/>
    <mergeCell ref="AA15:AA16"/>
    <mergeCell ref="E15:F16"/>
    <mergeCell ref="B14:C14"/>
    <mergeCell ref="E14:F14"/>
    <mergeCell ref="D15:D16"/>
    <mergeCell ref="Z15:Z16"/>
    <mergeCell ref="AE15:AF16"/>
    <mergeCell ref="AE14:AF14"/>
    <mergeCell ref="Z18:AF18"/>
    <mergeCell ref="AE3:AE4"/>
    <mergeCell ref="B18:H18"/>
    <mergeCell ref="C3:C4"/>
    <mergeCell ref="H3:H4"/>
    <mergeCell ref="AA3:AA4"/>
    <mergeCell ref="G15:G16"/>
    <mergeCell ref="H15:H16"/>
    <mergeCell ref="AB3:AB4"/>
    <mergeCell ref="AD3:AD4"/>
    <mergeCell ref="U15:U16"/>
    <mergeCell ref="B15:C16"/>
    <mergeCell ref="G14:U14"/>
    <mergeCell ref="AC14:AD14"/>
  </mergeCells>
  <conditionalFormatting sqref="K220:M220 L221:M439 L221:L720">
    <cfRule type="expression" priority="29" stopIfTrue="1">
      <formula>LEN(TRIM(K220))=0</formula>
    </cfRule>
  </conditionalFormatting>
  <conditionalFormatting sqref="K221:K439">
    <cfRule type="expression" priority="26" stopIfTrue="1">
      <formula>LEN(TRIM(K221))=0</formula>
    </cfRule>
  </conditionalFormatting>
  <conditionalFormatting sqref="K440:M440 L441:L720">
    <cfRule type="expression" priority="17" stopIfTrue="1">
      <formula>LEN(TRIM(K440))=0</formula>
    </cfRule>
  </conditionalFormatting>
  <conditionalFormatting sqref="K441:M659">
    <cfRule type="expression" priority="14" stopIfTrue="1">
      <formula>LEN(TRIM(K441))=0</formula>
    </cfRule>
  </conditionalFormatting>
  <conditionalFormatting sqref="K660:M660 L661:L720">
    <cfRule type="expression" priority="11" stopIfTrue="1">
      <formula>LEN(TRIM(K660))=0</formula>
    </cfRule>
  </conditionalFormatting>
  <conditionalFormatting sqref="K661:M720">
    <cfRule type="expression" priority="8" stopIfTrue="1">
      <formula>LEN(TRIM(K661))=0</formula>
    </cfRule>
  </conditionalFormatting>
  <conditionalFormatting sqref="K31:M32">
    <cfRule type="expression" dxfId="483" priority="145" stopIfTrue="1">
      <formula>OR(COUNTIF($AD$20:$AD$226,#REF!)&gt;0)</formula>
    </cfRule>
    <cfRule type="expression" dxfId="482" priority="146" stopIfTrue="1">
      <formula>OR(COUNTIF(#REF!,#REF!)&gt;0)</formula>
    </cfRule>
  </conditionalFormatting>
  <conditionalFormatting sqref="K33:M720">
    <cfRule type="expression" dxfId="481" priority="147" stopIfTrue="1">
      <formula>OR(COUNTIF($AD$20:$AD$226,$A17)&gt;0)</formula>
    </cfRule>
    <cfRule type="expression" dxfId="480" priority="148" stopIfTrue="1">
      <formula>OR(COUNTIF(#REF!,$A17)&gt;0)</formula>
    </cfRule>
  </conditionalFormatting>
  <conditionalFormatting sqref="K30:M30">
    <cfRule type="expression" dxfId="479" priority="151" stopIfTrue="1">
      <formula>OR(COUNTIF($AD$20:$AD$226,$A13)&gt;0)</formula>
    </cfRule>
    <cfRule type="expression" dxfId="478" priority="152" stopIfTrue="1">
      <formula>OR(COUNTIF(#REF!,$A13)&gt;0)</formula>
    </cfRule>
  </conditionalFormatting>
  <conditionalFormatting sqref="K24:M29">
    <cfRule type="expression" dxfId="477" priority="153" stopIfTrue="1">
      <formula>OR(COUNTIF($AD$20:$AD$226,#REF!)&gt;0)</formula>
    </cfRule>
    <cfRule type="expression" dxfId="476" priority="154" stopIfTrue="1">
      <formula>OR(COUNTIF(#REF!,#REF!)&gt;0)</formula>
    </cfRule>
  </conditionalFormatting>
  <conditionalFormatting sqref="A7:T12 V7:XFD12">
    <cfRule type="expression" dxfId="475" priority="3" stopIfTrue="1">
      <formula>ROW()-6-$C$3/2&gt;0</formula>
    </cfRule>
  </conditionalFormatting>
  <conditionalFormatting sqref="U7:U12">
    <cfRule type="expression" dxfId="474" priority="1" stopIfTrue="1">
      <formula>ROW()-6-$C$3/2&gt;0</formula>
    </cfRule>
  </conditionalFormatting>
  <dataValidations count="6">
    <dataValidation type="list" allowBlank="1" showErrorMessage="1" sqref="E20:E716" xr:uid="{00000000-0002-0000-0100-000000000000}">
      <formula1>ListaSquadre</formula1>
    </dataValidation>
    <dataValidation type="list" allowBlank="1" showInputMessage="1" sqref="B20:B716" xr:uid="{00000000-0002-0000-0100-000001000000}">
      <formula1>ListaAsta</formula1>
    </dataValidation>
    <dataValidation type="list" allowBlank="1" showInputMessage="1" showErrorMessage="1" sqref="AD20:AD701" xr:uid="{00000000-0002-0000-0100-000002000000}">
      <formula1>$Y$20:$Y$21</formula1>
    </dataValidation>
    <dataValidation type="list" allowBlank="1" showInputMessage="1" showErrorMessage="1" sqref="AE20:AE39 Z20:Z701 D3:F4 B7:B12 Z7:Z12 V4:W5" xr:uid="{00000000-0002-0000-0100-000003000000}">
      <formula1>ListaSquadre</formula1>
    </dataValidation>
    <dataValidation type="list" allowBlank="1" showInputMessage="1" showErrorMessage="1" sqref="AA20:AA701" xr:uid="{00000000-0002-0000-0100-000004000000}">
      <formula1>CHOOSE(MATCH(Z20,$AM$19:$AX$19,0),Sq1Tratt,Sq2Tratt,Sq3Tratt,Sq4Tratt,Sq5Tratt,Sq6Tratt,Sq7Tratt,Sq8Tratt,Sq9Tratt,Sq10Tratt,Sq11Tratt,Sq12Tratt)</formula1>
    </dataValidation>
    <dataValidation type="list" allowBlank="1" showInputMessage="1" showErrorMessage="1" sqref="B15:C16" xr:uid="{00000000-0002-0000-0100-000005000000}">
      <formula1>ListaAsta</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4">
    <tabColor indexed="63"/>
  </sheetPr>
  <dimension ref="A1:AD23"/>
  <sheetViews>
    <sheetView workbookViewId="0">
      <pane xSplit="1" topLeftCell="B1" activePane="topRight" state="frozen"/>
      <selection pane="topRight" activeCell="B19" sqref="B19:B21"/>
    </sheetView>
  </sheetViews>
  <sheetFormatPr defaultRowHeight="12.75"/>
  <cols>
    <col min="1" max="1" width="10" style="135" customWidth="1"/>
    <col min="2" max="2" width="19.42578125" style="135" customWidth="1"/>
    <col min="3" max="3" width="19.5703125" style="135" customWidth="1"/>
    <col min="4" max="4" width="27.28515625" style="135" customWidth="1"/>
    <col min="5" max="5" width="5.5703125" style="135" bestFit="1" customWidth="1"/>
    <col min="6" max="10" width="3" style="135" customWidth="1"/>
    <col min="11" max="11" width="2" style="135" customWidth="1"/>
    <col min="12" max="16" width="3" style="135" customWidth="1"/>
    <col min="17" max="17" width="4" style="135" customWidth="1"/>
    <col min="18" max="19" width="3" style="135" customWidth="1"/>
    <col min="20" max="25" width="1.7109375" style="135" customWidth="1"/>
    <col min="26" max="26" width="3" style="135" customWidth="1"/>
    <col min="27" max="29" width="2" style="135" customWidth="1"/>
    <col min="30" max="30" width="6.85546875" style="135" customWidth="1"/>
    <col min="31" max="16384" width="9.140625" style="135"/>
  </cols>
  <sheetData>
    <row r="1" spans="1:30">
      <c r="A1" s="170" t="s">
        <v>900</v>
      </c>
      <c r="B1" s="170" t="s">
        <v>903</v>
      </c>
      <c r="C1" s="170" t="s">
        <v>904</v>
      </c>
      <c r="D1" s="170" t="s">
        <v>905</v>
      </c>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t="s">
        <v>902</v>
      </c>
    </row>
    <row r="2" spans="1:30">
      <c r="A2" s="140" t="s">
        <v>927</v>
      </c>
      <c r="B2" s="342">
        <f>AVERAGE(C2:D2)</f>
        <v>6.9</v>
      </c>
      <c r="C2" s="342">
        <v>6.59</v>
      </c>
      <c r="D2" s="172">
        <v>7.21</v>
      </c>
      <c r="E2" s="173">
        <v>8</v>
      </c>
      <c r="F2" s="187">
        <v>8</v>
      </c>
      <c r="G2" s="187">
        <v>7</v>
      </c>
      <c r="H2" s="187">
        <v>6</v>
      </c>
      <c r="I2" s="187">
        <v>6</v>
      </c>
      <c r="J2" s="187">
        <v>7</v>
      </c>
      <c r="K2" s="187">
        <v>7</v>
      </c>
      <c r="L2" s="187">
        <v>8</v>
      </c>
      <c r="M2" s="187">
        <v>7</v>
      </c>
      <c r="N2" s="187">
        <v>8</v>
      </c>
      <c r="O2" s="187">
        <v>8</v>
      </c>
      <c r="P2" s="187">
        <v>8</v>
      </c>
      <c r="Q2" s="187">
        <v>6</v>
      </c>
      <c r="R2" s="187">
        <v>7</v>
      </c>
      <c r="S2" s="187">
        <v>7</v>
      </c>
      <c r="T2" s="187">
        <v>8</v>
      </c>
      <c r="U2" s="187">
        <v>7</v>
      </c>
      <c r="V2" s="187">
        <v>8</v>
      </c>
      <c r="W2" s="187">
        <v>6</v>
      </c>
      <c r="X2" s="187" t="s">
        <v>1886</v>
      </c>
      <c r="AD2" s="344"/>
    </row>
    <row r="3" spans="1:30">
      <c r="A3" s="140" t="s">
        <v>1870</v>
      </c>
      <c r="B3" s="342"/>
      <c r="C3" s="342"/>
      <c r="D3" s="172">
        <v>4.78</v>
      </c>
      <c r="E3" s="173">
        <v>6</v>
      </c>
      <c r="F3" s="187">
        <v>4</v>
      </c>
      <c r="G3" s="187">
        <v>4</v>
      </c>
      <c r="H3" s="187">
        <v>5</v>
      </c>
      <c r="I3" s="187">
        <v>4</v>
      </c>
      <c r="J3" s="187">
        <v>7</v>
      </c>
      <c r="K3" s="187">
        <v>4</v>
      </c>
      <c r="L3" s="187">
        <v>6</v>
      </c>
      <c r="M3" s="187">
        <v>5</v>
      </c>
      <c r="N3" s="187">
        <v>6</v>
      </c>
      <c r="O3" s="187">
        <v>5</v>
      </c>
      <c r="P3" s="187">
        <v>6</v>
      </c>
      <c r="Q3" s="187">
        <v>5</v>
      </c>
      <c r="R3" s="187">
        <v>4</v>
      </c>
      <c r="S3" s="187">
        <v>3</v>
      </c>
      <c r="T3" s="187">
        <v>5</v>
      </c>
      <c r="U3" s="187">
        <v>4</v>
      </c>
      <c r="V3" s="187">
        <v>5</v>
      </c>
      <c r="W3" s="187">
        <v>3</v>
      </c>
      <c r="X3" s="187" t="s">
        <v>1887</v>
      </c>
      <c r="AD3" s="344"/>
    </row>
    <row r="4" spans="1:30">
      <c r="A4" s="140" t="s">
        <v>928</v>
      </c>
      <c r="B4" s="342">
        <f t="shared" ref="B4:B17" si="0">AVERAGE(C4:D4)</f>
        <v>6.3150000000000004</v>
      </c>
      <c r="C4" s="342">
        <v>6.98</v>
      </c>
      <c r="D4" s="172">
        <v>5.65</v>
      </c>
      <c r="E4" s="173">
        <v>6</v>
      </c>
      <c r="F4" s="187">
        <v>6</v>
      </c>
      <c r="G4" s="187">
        <v>5</v>
      </c>
      <c r="H4" s="187">
        <v>6</v>
      </c>
      <c r="I4" s="187">
        <v>4</v>
      </c>
      <c r="J4" s="187">
        <v>5</v>
      </c>
      <c r="K4" s="187">
        <v>5</v>
      </c>
      <c r="L4" s="187">
        <v>6</v>
      </c>
      <c r="M4" s="187">
        <v>6</v>
      </c>
      <c r="N4" s="187">
        <v>6</v>
      </c>
      <c r="O4" s="187">
        <v>6</v>
      </c>
      <c r="P4" s="187">
        <v>6</v>
      </c>
      <c r="Q4" s="187">
        <v>5</v>
      </c>
      <c r="R4" s="187">
        <v>6</v>
      </c>
      <c r="S4" s="187">
        <v>6</v>
      </c>
      <c r="T4" s="187">
        <v>5</v>
      </c>
      <c r="U4" s="187">
        <v>6</v>
      </c>
      <c r="V4" s="187">
        <v>6</v>
      </c>
      <c r="W4" s="187">
        <v>6</v>
      </c>
      <c r="X4" s="187" t="s">
        <v>1876</v>
      </c>
      <c r="AD4" s="344"/>
    </row>
    <row r="5" spans="1:30">
      <c r="A5" s="140" t="s">
        <v>929</v>
      </c>
      <c r="B5" s="342">
        <f t="shared" si="0"/>
        <v>6.5299999999999994</v>
      </c>
      <c r="C5" s="342">
        <v>7.01</v>
      </c>
      <c r="D5" s="172">
        <v>6.05</v>
      </c>
      <c r="E5" s="173">
        <v>7</v>
      </c>
      <c r="F5" s="187">
        <v>7</v>
      </c>
      <c r="G5" s="187">
        <v>6</v>
      </c>
      <c r="H5" s="187">
        <v>5</v>
      </c>
      <c r="I5" s="187">
        <v>5</v>
      </c>
      <c r="J5" s="187">
        <v>6</v>
      </c>
      <c r="K5" s="187">
        <v>6</v>
      </c>
      <c r="L5" s="187">
        <v>7</v>
      </c>
      <c r="M5" s="187">
        <v>7</v>
      </c>
      <c r="N5" s="187">
        <v>6</v>
      </c>
      <c r="O5" s="187">
        <v>7</v>
      </c>
      <c r="P5" s="187">
        <v>7</v>
      </c>
      <c r="Q5" s="187">
        <v>6</v>
      </c>
      <c r="R5" s="187">
        <v>6</v>
      </c>
      <c r="S5" s="187">
        <v>6</v>
      </c>
      <c r="T5" s="187">
        <v>5</v>
      </c>
      <c r="U5" s="187">
        <v>6</v>
      </c>
      <c r="V5" s="187">
        <v>5</v>
      </c>
      <c r="W5" s="187">
        <v>5</v>
      </c>
      <c r="X5" s="187" t="s">
        <v>1876</v>
      </c>
      <c r="AD5" s="344"/>
    </row>
    <row r="6" spans="1:30">
      <c r="A6" s="140" t="s">
        <v>946</v>
      </c>
      <c r="B6" s="342">
        <f t="shared" si="0"/>
        <v>6.6899999999999995</v>
      </c>
      <c r="C6" s="342">
        <v>7.02</v>
      </c>
      <c r="D6" s="172">
        <v>6.36</v>
      </c>
      <c r="E6" s="173">
        <v>7</v>
      </c>
      <c r="F6" s="187">
        <v>5</v>
      </c>
      <c r="G6" s="187">
        <v>6</v>
      </c>
      <c r="H6" s="187">
        <v>6</v>
      </c>
      <c r="I6" s="187">
        <v>6</v>
      </c>
      <c r="J6" s="187">
        <v>4</v>
      </c>
      <c r="K6" s="187">
        <v>6</v>
      </c>
      <c r="L6" s="187">
        <v>7</v>
      </c>
      <c r="M6" s="187">
        <v>7</v>
      </c>
      <c r="N6" s="187">
        <v>7</v>
      </c>
      <c r="O6" s="187">
        <v>6</v>
      </c>
      <c r="P6" s="187">
        <v>7</v>
      </c>
      <c r="Q6" s="187">
        <v>5</v>
      </c>
      <c r="R6" s="187">
        <v>7</v>
      </c>
      <c r="S6" s="187">
        <v>7</v>
      </c>
      <c r="T6" s="187">
        <v>8</v>
      </c>
      <c r="U6" s="187">
        <v>6</v>
      </c>
      <c r="V6" s="187">
        <v>8</v>
      </c>
      <c r="W6" s="187">
        <v>6</v>
      </c>
      <c r="X6" s="187" t="s">
        <v>1888</v>
      </c>
      <c r="AD6" s="344"/>
    </row>
    <row r="7" spans="1:30">
      <c r="A7" s="140" t="s">
        <v>931</v>
      </c>
      <c r="B7" s="342">
        <f t="shared" si="0"/>
        <v>6.4950000000000001</v>
      </c>
      <c r="C7" s="342">
        <v>7.54</v>
      </c>
      <c r="D7" s="172">
        <v>5.45</v>
      </c>
      <c r="E7" s="173">
        <v>7</v>
      </c>
      <c r="F7" s="187">
        <v>6</v>
      </c>
      <c r="G7" s="187">
        <v>5</v>
      </c>
      <c r="H7" s="187">
        <v>5</v>
      </c>
      <c r="I7" s="187">
        <v>5</v>
      </c>
      <c r="J7" s="187">
        <v>5</v>
      </c>
      <c r="K7" s="187">
        <v>5</v>
      </c>
      <c r="L7" s="187">
        <v>8</v>
      </c>
      <c r="M7" s="187">
        <v>6</v>
      </c>
      <c r="N7" s="187">
        <v>6</v>
      </c>
      <c r="O7" s="187">
        <v>6</v>
      </c>
      <c r="P7" s="187">
        <v>7</v>
      </c>
      <c r="Q7" s="187">
        <v>5</v>
      </c>
      <c r="R7" s="187">
        <v>4</v>
      </c>
      <c r="S7" s="187">
        <v>3</v>
      </c>
      <c r="T7" s="187">
        <v>5</v>
      </c>
      <c r="U7" s="187">
        <v>4</v>
      </c>
      <c r="V7" s="187">
        <v>6</v>
      </c>
      <c r="W7" s="187">
        <v>5</v>
      </c>
      <c r="X7" s="187" t="s">
        <v>1876</v>
      </c>
      <c r="AD7" s="344"/>
    </row>
    <row r="8" spans="1:30">
      <c r="A8" s="140" t="s">
        <v>932</v>
      </c>
      <c r="B8" s="342">
        <f t="shared" si="0"/>
        <v>6.51</v>
      </c>
      <c r="C8" s="342">
        <v>6.6</v>
      </c>
      <c r="D8" s="172">
        <v>6.42</v>
      </c>
      <c r="E8" s="173">
        <v>7</v>
      </c>
      <c r="F8" s="187">
        <v>6</v>
      </c>
      <c r="G8" s="187">
        <v>7</v>
      </c>
      <c r="H8" s="187">
        <v>6</v>
      </c>
      <c r="I8" s="187">
        <v>6</v>
      </c>
      <c r="J8" s="187">
        <v>7</v>
      </c>
      <c r="K8" s="187">
        <v>6</v>
      </c>
      <c r="L8" s="187">
        <v>7</v>
      </c>
      <c r="M8" s="187">
        <v>7</v>
      </c>
      <c r="N8" s="187">
        <v>7</v>
      </c>
      <c r="O8" s="187">
        <v>5</v>
      </c>
      <c r="P8" s="187">
        <v>7</v>
      </c>
      <c r="Q8" s="187">
        <v>7</v>
      </c>
      <c r="R8" s="187">
        <v>7</v>
      </c>
      <c r="S8" s="187">
        <v>7</v>
      </c>
      <c r="T8" s="187">
        <v>5</v>
      </c>
      <c r="U8" s="187">
        <v>6</v>
      </c>
      <c r="V8" s="187">
        <v>6</v>
      </c>
      <c r="W8" s="187">
        <v>6</v>
      </c>
      <c r="X8" s="187" t="s">
        <v>1889</v>
      </c>
      <c r="AD8" s="344"/>
    </row>
    <row r="9" spans="1:30">
      <c r="A9" s="140" t="s">
        <v>933</v>
      </c>
      <c r="B9" s="342">
        <f t="shared" si="0"/>
        <v>6.53</v>
      </c>
      <c r="C9" s="342">
        <v>7.49</v>
      </c>
      <c r="D9" s="172">
        <v>5.57</v>
      </c>
      <c r="E9" s="173">
        <v>6</v>
      </c>
      <c r="F9" s="187">
        <v>5</v>
      </c>
      <c r="G9" s="187">
        <v>5</v>
      </c>
      <c r="H9" s="187">
        <v>5</v>
      </c>
      <c r="I9" s="187">
        <v>6</v>
      </c>
      <c r="J9" s="187">
        <v>5</v>
      </c>
      <c r="K9" s="187">
        <v>5</v>
      </c>
      <c r="L9" s="187">
        <v>6</v>
      </c>
      <c r="M9" s="187">
        <v>5</v>
      </c>
      <c r="N9" s="187">
        <v>7</v>
      </c>
      <c r="O9" s="187">
        <v>5</v>
      </c>
      <c r="P9" s="187">
        <v>6</v>
      </c>
      <c r="Q9" s="187">
        <v>6</v>
      </c>
      <c r="R9" s="187">
        <v>6</v>
      </c>
      <c r="S9" s="187">
        <v>6</v>
      </c>
      <c r="T9" s="187">
        <v>5</v>
      </c>
      <c r="U9" s="187">
        <v>5</v>
      </c>
      <c r="V9" s="187">
        <v>5</v>
      </c>
      <c r="W9" s="187">
        <v>6</v>
      </c>
      <c r="X9" s="187" t="s">
        <v>1889</v>
      </c>
      <c r="AD9" s="344"/>
    </row>
    <row r="10" spans="1:30">
      <c r="A10" s="140" t="s">
        <v>934</v>
      </c>
      <c r="B10" s="342">
        <f t="shared" si="0"/>
        <v>6.85</v>
      </c>
      <c r="C10" s="342">
        <v>6.26</v>
      </c>
      <c r="D10" s="172">
        <v>7.44</v>
      </c>
      <c r="E10" s="173">
        <v>8</v>
      </c>
      <c r="F10" s="187">
        <v>7</v>
      </c>
      <c r="G10" s="187">
        <v>8</v>
      </c>
      <c r="H10" s="187">
        <v>8</v>
      </c>
      <c r="I10" s="187">
        <v>8</v>
      </c>
      <c r="J10" s="187">
        <v>7</v>
      </c>
      <c r="K10" s="187">
        <v>8</v>
      </c>
      <c r="L10" s="187">
        <v>8</v>
      </c>
      <c r="M10" s="187">
        <v>7</v>
      </c>
      <c r="N10" s="187">
        <v>7</v>
      </c>
      <c r="O10" s="187">
        <v>5</v>
      </c>
      <c r="P10" s="187">
        <v>8</v>
      </c>
      <c r="Q10" s="187">
        <v>7</v>
      </c>
      <c r="R10" s="187">
        <v>8</v>
      </c>
      <c r="S10" s="187">
        <v>8</v>
      </c>
      <c r="T10" s="187">
        <v>7</v>
      </c>
      <c r="U10" s="187">
        <v>6</v>
      </c>
      <c r="V10" s="187">
        <v>8</v>
      </c>
      <c r="W10" s="187">
        <v>8</v>
      </c>
      <c r="X10" s="187" t="s">
        <v>1890</v>
      </c>
      <c r="AD10" s="344"/>
    </row>
    <row r="11" spans="1:30">
      <c r="A11" s="140" t="s">
        <v>935</v>
      </c>
      <c r="B11" s="342">
        <f t="shared" si="0"/>
        <v>8.67</v>
      </c>
      <c r="C11" s="342">
        <v>7.5</v>
      </c>
      <c r="D11" s="172">
        <v>9.84</v>
      </c>
      <c r="E11" s="173">
        <v>10</v>
      </c>
      <c r="F11" s="187">
        <v>10</v>
      </c>
      <c r="G11" s="187">
        <v>10</v>
      </c>
      <c r="H11" s="187">
        <v>10</v>
      </c>
      <c r="I11" s="187">
        <v>10</v>
      </c>
      <c r="J11" s="187">
        <v>10</v>
      </c>
      <c r="K11" s="187">
        <v>10</v>
      </c>
      <c r="L11" s="187">
        <v>10</v>
      </c>
      <c r="M11" s="187">
        <v>9</v>
      </c>
      <c r="N11" s="187">
        <v>10</v>
      </c>
      <c r="O11" s="187">
        <v>8</v>
      </c>
      <c r="P11" s="187">
        <v>10</v>
      </c>
      <c r="Q11" s="187">
        <v>10</v>
      </c>
      <c r="R11" s="187">
        <v>10</v>
      </c>
      <c r="S11" s="187">
        <v>10</v>
      </c>
      <c r="T11" s="187">
        <v>10</v>
      </c>
      <c r="U11" s="187">
        <v>10</v>
      </c>
      <c r="V11" s="187">
        <v>10</v>
      </c>
      <c r="W11" s="187">
        <v>10</v>
      </c>
      <c r="X11" s="187" t="s">
        <v>1891</v>
      </c>
      <c r="AD11" s="344"/>
    </row>
    <row r="12" spans="1:30">
      <c r="A12" s="140" t="s">
        <v>936</v>
      </c>
      <c r="B12" s="342">
        <f t="shared" si="0"/>
        <v>7.5749999999999993</v>
      </c>
      <c r="C12" s="342">
        <v>7.88</v>
      </c>
      <c r="D12" s="172">
        <v>7.27</v>
      </c>
      <c r="E12" s="173">
        <v>8</v>
      </c>
      <c r="F12" s="187">
        <v>8</v>
      </c>
      <c r="G12" s="187">
        <v>7</v>
      </c>
      <c r="H12" s="187">
        <v>6</v>
      </c>
      <c r="I12" s="187">
        <v>7</v>
      </c>
      <c r="J12" s="187">
        <v>8</v>
      </c>
      <c r="K12" s="187">
        <v>7</v>
      </c>
      <c r="L12" s="187">
        <v>8</v>
      </c>
      <c r="M12" s="187">
        <v>7</v>
      </c>
      <c r="N12" s="187">
        <v>7</v>
      </c>
      <c r="O12" s="187">
        <v>7</v>
      </c>
      <c r="P12" s="187">
        <v>8</v>
      </c>
      <c r="Q12" s="187">
        <v>7</v>
      </c>
      <c r="R12" s="187">
        <v>8</v>
      </c>
      <c r="S12" s="187">
        <v>8</v>
      </c>
      <c r="T12" s="187">
        <v>7</v>
      </c>
      <c r="U12" s="187">
        <v>6</v>
      </c>
      <c r="V12" s="187">
        <v>7</v>
      </c>
      <c r="W12" s="187">
        <v>7</v>
      </c>
      <c r="X12" s="187" t="s">
        <v>1877</v>
      </c>
      <c r="AD12" s="344"/>
    </row>
    <row r="13" spans="1:30">
      <c r="A13" s="140" t="s">
        <v>937</v>
      </c>
      <c r="B13" s="342">
        <f t="shared" si="0"/>
        <v>7.33</v>
      </c>
      <c r="C13" s="342">
        <v>6.77</v>
      </c>
      <c r="D13" s="172">
        <v>7.89</v>
      </c>
      <c r="E13" s="173">
        <v>8</v>
      </c>
      <c r="F13" s="187">
        <v>8</v>
      </c>
      <c r="G13" s="187">
        <v>8</v>
      </c>
      <c r="H13" s="187">
        <v>8</v>
      </c>
      <c r="I13" s="187">
        <v>8</v>
      </c>
      <c r="J13" s="187">
        <v>8</v>
      </c>
      <c r="K13" s="187">
        <v>8</v>
      </c>
      <c r="L13" s="187">
        <v>8</v>
      </c>
      <c r="M13" s="187">
        <v>8</v>
      </c>
      <c r="N13" s="187">
        <v>7</v>
      </c>
      <c r="O13" s="187">
        <v>6</v>
      </c>
      <c r="P13" s="187">
        <v>8</v>
      </c>
      <c r="Q13" s="187">
        <v>7</v>
      </c>
      <c r="R13" s="187">
        <v>9</v>
      </c>
      <c r="S13" s="187">
        <v>9</v>
      </c>
      <c r="T13" s="187">
        <v>7</v>
      </c>
      <c r="U13" s="187">
        <v>8</v>
      </c>
      <c r="V13" s="187">
        <v>9</v>
      </c>
      <c r="W13" s="187">
        <v>8</v>
      </c>
      <c r="X13" s="187" t="s">
        <v>1890</v>
      </c>
      <c r="AD13" s="344"/>
    </row>
    <row r="14" spans="1:30">
      <c r="A14" s="140" t="s">
        <v>938</v>
      </c>
      <c r="B14" s="342">
        <f t="shared" si="0"/>
        <v>7.98</v>
      </c>
      <c r="C14" s="342">
        <v>7.31</v>
      </c>
      <c r="D14" s="172">
        <v>8.65</v>
      </c>
      <c r="E14" s="173">
        <v>9</v>
      </c>
      <c r="F14" s="187">
        <v>9</v>
      </c>
      <c r="G14" s="187">
        <v>9</v>
      </c>
      <c r="H14" s="187">
        <v>10</v>
      </c>
      <c r="I14" s="187">
        <v>8</v>
      </c>
      <c r="J14" s="187">
        <v>8</v>
      </c>
      <c r="K14" s="187">
        <v>9</v>
      </c>
      <c r="L14" s="187">
        <v>9</v>
      </c>
      <c r="M14" s="187">
        <v>10</v>
      </c>
      <c r="N14" s="187">
        <v>9</v>
      </c>
      <c r="O14" s="187">
        <v>7</v>
      </c>
      <c r="P14" s="187">
        <v>9</v>
      </c>
      <c r="Q14" s="187">
        <v>8</v>
      </c>
      <c r="R14" s="187">
        <v>8</v>
      </c>
      <c r="S14" s="187">
        <v>8</v>
      </c>
      <c r="T14" s="187">
        <v>8</v>
      </c>
      <c r="U14" s="187">
        <v>9</v>
      </c>
      <c r="V14" s="187">
        <v>8</v>
      </c>
      <c r="W14" s="187">
        <v>9</v>
      </c>
      <c r="X14" s="187" t="s">
        <v>1881</v>
      </c>
      <c r="AD14" s="344"/>
    </row>
    <row r="15" spans="1:30">
      <c r="A15" s="140" t="s">
        <v>940</v>
      </c>
      <c r="B15" s="342">
        <f t="shared" si="0"/>
        <v>7.9599999999999991</v>
      </c>
      <c r="C15" s="342">
        <v>7.38</v>
      </c>
      <c r="D15" s="172">
        <v>8.5399999999999991</v>
      </c>
      <c r="E15" s="173">
        <v>9</v>
      </c>
      <c r="F15" s="187">
        <v>9</v>
      </c>
      <c r="G15" s="187">
        <v>9</v>
      </c>
      <c r="H15" s="187">
        <v>8</v>
      </c>
      <c r="I15" s="187">
        <v>8</v>
      </c>
      <c r="J15" s="187">
        <v>9</v>
      </c>
      <c r="K15" s="187">
        <v>9</v>
      </c>
      <c r="L15" s="187">
        <v>9</v>
      </c>
      <c r="M15" s="187">
        <v>7</v>
      </c>
      <c r="N15" s="187">
        <v>8</v>
      </c>
      <c r="O15" s="187">
        <v>7</v>
      </c>
      <c r="P15" s="187">
        <v>9</v>
      </c>
      <c r="Q15" s="187">
        <v>9</v>
      </c>
      <c r="R15" s="187">
        <v>9</v>
      </c>
      <c r="S15" s="187">
        <v>9</v>
      </c>
      <c r="T15" s="187">
        <v>8</v>
      </c>
      <c r="U15" s="187">
        <v>9</v>
      </c>
      <c r="V15" s="187">
        <v>8</v>
      </c>
      <c r="W15" s="187">
        <v>9</v>
      </c>
      <c r="X15" s="187" t="s">
        <v>1892</v>
      </c>
      <c r="AD15" s="344"/>
    </row>
    <row r="16" spans="1:30">
      <c r="A16" s="140" t="s">
        <v>941</v>
      </c>
      <c r="B16" s="342">
        <f t="shared" si="0"/>
        <v>6.6099999999999994</v>
      </c>
      <c r="C16" s="342">
        <v>7.31</v>
      </c>
      <c r="D16" s="172">
        <v>5.91</v>
      </c>
      <c r="E16" s="173">
        <v>6</v>
      </c>
      <c r="F16" s="187">
        <v>6</v>
      </c>
      <c r="G16" s="187">
        <v>6</v>
      </c>
      <c r="H16" s="187">
        <v>6</v>
      </c>
      <c r="I16" s="187">
        <v>5</v>
      </c>
      <c r="J16" s="187">
        <v>5</v>
      </c>
      <c r="K16" s="187">
        <v>6</v>
      </c>
      <c r="L16" s="187">
        <v>7</v>
      </c>
      <c r="M16" s="187">
        <v>5</v>
      </c>
      <c r="N16" s="187">
        <v>7</v>
      </c>
      <c r="O16" s="187">
        <v>6</v>
      </c>
      <c r="P16" s="187">
        <v>6</v>
      </c>
      <c r="Q16" s="187">
        <v>6</v>
      </c>
      <c r="R16" s="187">
        <v>6</v>
      </c>
      <c r="S16" s="187">
        <v>6</v>
      </c>
      <c r="T16" s="187">
        <v>6</v>
      </c>
      <c r="U16" s="187">
        <v>5</v>
      </c>
      <c r="V16" s="187">
        <v>6</v>
      </c>
      <c r="W16" s="187">
        <v>6</v>
      </c>
      <c r="X16" s="187" t="s">
        <v>1888</v>
      </c>
      <c r="AD16" s="344"/>
    </row>
    <row r="17" spans="1:30">
      <c r="A17" s="140" t="s">
        <v>942</v>
      </c>
      <c r="B17" s="342">
        <f t="shared" si="0"/>
        <v>5.86</v>
      </c>
      <c r="C17" s="342">
        <v>5.57</v>
      </c>
      <c r="D17" s="172">
        <v>6.15</v>
      </c>
      <c r="E17" s="173">
        <v>7</v>
      </c>
      <c r="F17" s="187">
        <v>6</v>
      </c>
      <c r="G17" s="187">
        <v>6</v>
      </c>
      <c r="H17" s="187">
        <v>8</v>
      </c>
      <c r="I17" s="187">
        <v>5</v>
      </c>
      <c r="J17" s="187">
        <v>4</v>
      </c>
      <c r="K17" s="187">
        <v>6</v>
      </c>
      <c r="L17" s="187">
        <v>7</v>
      </c>
      <c r="M17" s="187">
        <v>6</v>
      </c>
      <c r="N17" s="187">
        <v>7</v>
      </c>
      <c r="O17" s="187">
        <v>6</v>
      </c>
      <c r="P17" s="187">
        <v>7</v>
      </c>
      <c r="Q17" s="187">
        <v>5</v>
      </c>
      <c r="R17" s="187">
        <v>6</v>
      </c>
      <c r="S17" s="187">
        <v>6</v>
      </c>
      <c r="T17" s="187">
        <v>6</v>
      </c>
      <c r="U17" s="187">
        <v>7</v>
      </c>
      <c r="V17" s="187">
        <v>6</v>
      </c>
      <c r="W17" s="187">
        <v>6</v>
      </c>
      <c r="X17" s="187" t="s">
        <v>1876</v>
      </c>
      <c r="AD17" s="344"/>
    </row>
    <row r="18" spans="1:30">
      <c r="A18" s="140" t="s">
        <v>1883</v>
      </c>
      <c r="B18" s="342"/>
      <c r="C18" s="342"/>
      <c r="D18" s="172">
        <v>4.93</v>
      </c>
      <c r="E18" s="173">
        <v>6</v>
      </c>
      <c r="F18" s="187">
        <v>5</v>
      </c>
      <c r="G18" s="187">
        <v>4</v>
      </c>
      <c r="H18" s="187">
        <v>5</v>
      </c>
      <c r="I18" s="187">
        <v>4</v>
      </c>
      <c r="J18" s="187">
        <v>6</v>
      </c>
      <c r="K18" s="187">
        <v>4</v>
      </c>
      <c r="L18" s="187">
        <v>6</v>
      </c>
      <c r="M18" s="187">
        <v>5</v>
      </c>
      <c r="N18" s="187">
        <v>6</v>
      </c>
      <c r="O18" s="187">
        <v>5</v>
      </c>
      <c r="P18" s="187">
        <v>6</v>
      </c>
      <c r="Q18" s="187">
        <v>6</v>
      </c>
      <c r="R18" s="187">
        <v>4</v>
      </c>
      <c r="S18" s="187">
        <v>4</v>
      </c>
      <c r="T18" s="187">
        <v>4</v>
      </c>
      <c r="U18" s="187">
        <v>4</v>
      </c>
      <c r="V18" s="187">
        <v>5</v>
      </c>
      <c r="W18" s="187">
        <v>5</v>
      </c>
      <c r="X18" s="187" t="s">
        <v>1887</v>
      </c>
      <c r="AD18" s="344"/>
    </row>
    <row r="19" spans="1:30">
      <c r="A19" s="140" t="s">
        <v>943</v>
      </c>
      <c r="B19" s="342">
        <f t="shared" ref="B19:B21" si="1">AVERAGE(C19:D19)</f>
        <v>6.835</v>
      </c>
      <c r="C19" s="342">
        <v>7.09</v>
      </c>
      <c r="D19" s="172">
        <v>6.58</v>
      </c>
      <c r="E19" s="173">
        <v>7</v>
      </c>
      <c r="F19" s="187">
        <v>6</v>
      </c>
      <c r="G19" s="187">
        <v>7</v>
      </c>
      <c r="H19" s="187">
        <v>8</v>
      </c>
      <c r="I19" s="187">
        <v>6</v>
      </c>
      <c r="J19" s="187">
        <v>7</v>
      </c>
      <c r="K19" s="187">
        <v>7</v>
      </c>
      <c r="L19" s="187">
        <v>7</v>
      </c>
      <c r="M19" s="187">
        <v>6</v>
      </c>
      <c r="N19" s="187">
        <v>7</v>
      </c>
      <c r="O19" s="187">
        <v>6</v>
      </c>
      <c r="P19" s="187">
        <v>7</v>
      </c>
      <c r="Q19" s="187">
        <v>7</v>
      </c>
      <c r="R19" s="187">
        <v>6</v>
      </c>
      <c r="S19" s="187">
        <v>6</v>
      </c>
      <c r="T19" s="187">
        <v>6</v>
      </c>
      <c r="U19" s="187">
        <v>6</v>
      </c>
      <c r="V19" s="187">
        <v>7</v>
      </c>
      <c r="W19" s="187">
        <v>6</v>
      </c>
      <c r="X19" s="187" t="s">
        <v>1884</v>
      </c>
      <c r="AD19" s="344"/>
    </row>
    <row r="20" spans="1:30">
      <c r="A20" s="140" t="s">
        <v>944</v>
      </c>
      <c r="B20" s="342">
        <f t="shared" si="1"/>
        <v>6.5350000000000001</v>
      </c>
      <c r="C20" s="342">
        <v>7.17</v>
      </c>
      <c r="D20" s="172">
        <v>5.9</v>
      </c>
      <c r="E20" s="173">
        <v>7</v>
      </c>
      <c r="F20" s="187">
        <v>6</v>
      </c>
      <c r="G20" s="187">
        <v>6</v>
      </c>
      <c r="H20" s="187">
        <v>7</v>
      </c>
      <c r="I20" s="187">
        <v>6</v>
      </c>
      <c r="J20" s="187">
        <v>6</v>
      </c>
      <c r="K20" s="187">
        <v>6</v>
      </c>
      <c r="L20" s="187">
        <v>7</v>
      </c>
      <c r="M20" s="187">
        <v>7</v>
      </c>
      <c r="N20" s="187">
        <v>7</v>
      </c>
      <c r="O20" s="187">
        <v>6</v>
      </c>
      <c r="P20" s="187">
        <v>7</v>
      </c>
      <c r="Q20" s="187">
        <v>5</v>
      </c>
      <c r="R20" s="187">
        <v>5</v>
      </c>
      <c r="S20" s="187">
        <v>5</v>
      </c>
      <c r="T20" s="187">
        <v>4</v>
      </c>
      <c r="U20" s="187">
        <v>4</v>
      </c>
      <c r="V20" s="187">
        <v>5</v>
      </c>
      <c r="W20" s="187">
        <v>6</v>
      </c>
      <c r="X20" s="187" t="s">
        <v>1876</v>
      </c>
      <c r="AD20" s="344"/>
    </row>
    <row r="21" spans="1:30">
      <c r="A21" s="174" t="s">
        <v>1885</v>
      </c>
      <c r="B21" s="342">
        <f t="shared" si="1"/>
        <v>6.2549999999999999</v>
      </c>
      <c r="C21" s="343">
        <v>7.17</v>
      </c>
      <c r="D21" s="172">
        <v>5.34</v>
      </c>
      <c r="E21" s="173">
        <v>6</v>
      </c>
      <c r="F21" s="187">
        <v>6</v>
      </c>
      <c r="G21" s="187">
        <v>5</v>
      </c>
      <c r="H21" s="187">
        <v>5</v>
      </c>
      <c r="I21" s="187">
        <v>5</v>
      </c>
      <c r="J21" s="187">
        <v>6</v>
      </c>
      <c r="K21" s="187">
        <v>5</v>
      </c>
      <c r="L21" s="187">
        <v>6</v>
      </c>
      <c r="M21" s="187">
        <v>5</v>
      </c>
      <c r="N21" s="187">
        <v>6</v>
      </c>
      <c r="O21" s="187">
        <v>5</v>
      </c>
      <c r="P21" s="187">
        <v>6</v>
      </c>
      <c r="Q21" s="187">
        <v>6</v>
      </c>
      <c r="R21" s="187">
        <v>6</v>
      </c>
      <c r="S21" s="187">
        <v>6</v>
      </c>
      <c r="T21" s="187">
        <v>4</v>
      </c>
      <c r="U21" s="187">
        <v>4</v>
      </c>
      <c r="V21" s="187">
        <v>5</v>
      </c>
      <c r="W21" s="187">
        <v>4</v>
      </c>
      <c r="X21" s="187" t="s">
        <v>1882</v>
      </c>
      <c r="AD21" s="344"/>
    </row>
    <row r="22" spans="1:30">
      <c r="C22" s="172"/>
    </row>
    <row r="23" spans="1:30">
      <c r="A23" s="576"/>
      <c r="B23" s="576"/>
      <c r="C23" s="576"/>
      <c r="D23" s="576"/>
    </row>
  </sheetData>
  <sheetProtection formatColumns="0" formatRows="0" selectLockedCells="1"/>
  <mergeCells count="1">
    <mergeCell ref="A23:D23"/>
  </mergeCell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5">
    <tabColor indexed="47"/>
  </sheetPr>
  <dimension ref="A1:AA22"/>
  <sheetViews>
    <sheetView workbookViewId="0">
      <pane xSplit="1" topLeftCell="B1" activePane="topRight" state="frozen"/>
      <selection pane="topRight" activeCell="B2" sqref="B2:B21"/>
    </sheetView>
  </sheetViews>
  <sheetFormatPr defaultRowHeight="12.75"/>
  <cols>
    <col min="1" max="1" width="10" style="135" customWidth="1"/>
    <col min="2" max="2" width="16.7109375" style="135" customWidth="1"/>
    <col min="3" max="25" width="2.5703125" style="135" customWidth="1"/>
    <col min="26" max="26" width="7.140625" style="135" bestFit="1" customWidth="1"/>
    <col min="27" max="16384" width="9.140625" style="135"/>
  </cols>
  <sheetData>
    <row r="1" spans="1:27">
      <c r="A1" s="170" t="s">
        <v>900</v>
      </c>
      <c r="B1" s="170" t="s">
        <v>906</v>
      </c>
      <c r="C1" s="171"/>
      <c r="D1" s="171"/>
      <c r="E1" s="171"/>
      <c r="F1" s="171"/>
      <c r="G1" s="171"/>
      <c r="H1" s="171"/>
      <c r="I1" s="171"/>
      <c r="J1" s="171"/>
      <c r="K1" s="171"/>
      <c r="L1" s="171"/>
      <c r="M1" s="171"/>
      <c r="N1" s="171"/>
      <c r="O1" s="171"/>
      <c r="P1" s="171"/>
      <c r="Q1" s="171"/>
      <c r="R1" s="171"/>
      <c r="S1" s="171"/>
      <c r="T1" s="171"/>
      <c r="U1" s="171"/>
      <c r="V1" s="171"/>
      <c r="W1" s="171"/>
      <c r="X1" s="171"/>
      <c r="Y1" s="171"/>
      <c r="Z1" s="171" t="s">
        <v>902</v>
      </c>
    </row>
    <row r="2" spans="1:27">
      <c r="A2" s="140" t="s">
        <v>927</v>
      </c>
      <c r="B2" s="188">
        <v>2.52</v>
      </c>
      <c r="C2">
        <v>2</v>
      </c>
      <c r="D2">
        <v>1</v>
      </c>
      <c r="E2">
        <v>2</v>
      </c>
      <c r="F2">
        <v>4</v>
      </c>
      <c r="G2">
        <v>3</v>
      </c>
      <c r="H2">
        <v>2</v>
      </c>
      <c r="I2">
        <v>2</v>
      </c>
      <c r="J2">
        <v>1</v>
      </c>
      <c r="K2">
        <v>2</v>
      </c>
      <c r="L2">
        <v>2</v>
      </c>
      <c r="M2">
        <v>2</v>
      </c>
      <c r="N2">
        <v>3</v>
      </c>
      <c r="O2">
        <v>2</v>
      </c>
      <c r="P2">
        <v>2</v>
      </c>
      <c r="Q2">
        <v>2</v>
      </c>
      <c r="R2">
        <v>4</v>
      </c>
      <c r="S2">
        <v>5</v>
      </c>
      <c r="T2">
        <v>4</v>
      </c>
      <c r="U2">
        <v>3</v>
      </c>
      <c r="V2" t="s">
        <v>1893</v>
      </c>
      <c r="W2"/>
      <c r="X2"/>
      <c r="Y2"/>
      <c r="Z2" s="192"/>
    </row>
    <row r="3" spans="1:27">
      <c r="A3" s="140" t="s">
        <v>1870</v>
      </c>
      <c r="B3" s="418" t="s">
        <v>1908</v>
      </c>
      <c r="C3">
        <v>-1</v>
      </c>
      <c r="D3">
        <v>-1</v>
      </c>
      <c r="E3">
        <v>3</v>
      </c>
      <c r="F3">
        <v>-5</v>
      </c>
      <c r="G3">
        <v>-5</v>
      </c>
      <c r="H3">
        <v>2</v>
      </c>
      <c r="I3">
        <v>3</v>
      </c>
      <c r="J3">
        <v>-2</v>
      </c>
      <c r="K3">
        <v>-2</v>
      </c>
      <c r="L3">
        <v>-3</v>
      </c>
      <c r="M3">
        <v>0</v>
      </c>
      <c r="N3">
        <v>-1</v>
      </c>
      <c r="O3">
        <v>0</v>
      </c>
      <c r="P3">
        <v>1</v>
      </c>
      <c r="Q3">
        <v>1</v>
      </c>
      <c r="R3">
        <v>-2</v>
      </c>
      <c r="S3">
        <v>-4</v>
      </c>
      <c r="T3">
        <v>-2</v>
      </c>
      <c r="U3">
        <v>2</v>
      </c>
      <c r="V3" s="347" t="s">
        <v>1894</v>
      </c>
      <c r="W3"/>
      <c r="X3"/>
      <c r="Y3"/>
      <c r="Z3" s="192"/>
    </row>
    <row r="4" spans="1:27">
      <c r="A4" s="140" t="s">
        <v>928</v>
      </c>
      <c r="B4" s="418" t="s">
        <v>1909</v>
      </c>
      <c r="C4">
        <v>0</v>
      </c>
      <c r="D4">
        <v>-1</v>
      </c>
      <c r="E4">
        <v>0</v>
      </c>
      <c r="F4">
        <v>1</v>
      </c>
      <c r="G4">
        <v>1</v>
      </c>
      <c r="H4">
        <v>1</v>
      </c>
      <c r="I4">
        <v>0</v>
      </c>
      <c r="J4">
        <v>0</v>
      </c>
      <c r="K4">
        <v>0</v>
      </c>
      <c r="L4">
        <v>1</v>
      </c>
      <c r="M4">
        <v>1</v>
      </c>
      <c r="N4">
        <v>0</v>
      </c>
      <c r="O4">
        <v>1</v>
      </c>
      <c r="P4">
        <v>-1</v>
      </c>
      <c r="Q4">
        <v>-1</v>
      </c>
      <c r="R4">
        <v>-1</v>
      </c>
      <c r="S4">
        <v>-3</v>
      </c>
      <c r="T4">
        <v>0</v>
      </c>
      <c r="U4">
        <v>0</v>
      </c>
      <c r="V4" t="s">
        <v>1895</v>
      </c>
      <c r="W4"/>
      <c r="X4"/>
      <c r="Y4"/>
      <c r="Z4" s="192"/>
    </row>
    <row r="5" spans="1:27">
      <c r="A5" s="140" t="s">
        <v>929</v>
      </c>
      <c r="B5" s="188">
        <v>1.51</v>
      </c>
      <c r="C5">
        <v>1</v>
      </c>
      <c r="D5">
        <v>3</v>
      </c>
      <c r="E5">
        <v>3</v>
      </c>
      <c r="F5">
        <v>2</v>
      </c>
      <c r="G5">
        <v>2</v>
      </c>
      <c r="H5">
        <v>3</v>
      </c>
      <c r="I5">
        <v>3</v>
      </c>
      <c r="J5">
        <v>3</v>
      </c>
      <c r="K5">
        <v>1</v>
      </c>
      <c r="L5">
        <v>1</v>
      </c>
      <c r="M5">
        <v>3</v>
      </c>
      <c r="N5">
        <v>1</v>
      </c>
      <c r="O5">
        <v>2</v>
      </c>
      <c r="P5">
        <v>1</v>
      </c>
      <c r="Q5">
        <v>1</v>
      </c>
      <c r="R5">
        <v>-1</v>
      </c>
      <c r="S5">
        <v>-1</v>
      </c>
      <c r="T5">
        <v>-2</v>
      </c>
      <c r="U5">
        <v>2</v>
      </c>
      <c r="V5" t="s">
        <v>1896</v>
      </c>
      <c r="W5"/>
      <c r="X5"/>
      <c r="Y5"/>
      <c r="Z5" s="192"/>
    </row>
    <row r="6" spans="1:27">
      <c r="A6" s="140" t="s">
        <v>946</v>
      </c>
      <c r="B6" s="418" t="s">
        <v>1910</v>
      </c>
      <c r="C6">
        <v>-4</v>
      </c>
      <c r="D6">
        <v>-2</v>
      </c>
      <c r="E6">
        <v>-2</v>
      </c>
      <c r="F6">
        <v>-3</v>
      </c>
      <c r="G6">
        <v>-2</v>
      </c>
      <c r="H6">
        <v>-2</v>
      </c>
      <c r="I6">
        <v>-1</v>
      </c>
      <c r="J6">
        <v>-4</v>
      </c>
      <c r="K6">
        <v>-2</v>
      </c>
      <c r="L6">
        <v>0</v>
      </c>
      <c r="M6">
        <v>-2</v>
      </c>
      <c r="N6">
        <v>-4</v>
      </c>
      <c r="O6">
        <v>0</v>
      </c>
      <c r="P6">
        <v>3</v>
      </c>
      <c r="Q6">
        <v>3</v>
      </c>
      <c r="R6">
        <v>1</v>
      </c>
      <c r="S6">
        <v>-2</v>
      </c>
      <c r="T6">
        <v>1</v>
      </c>
      <c r="U6">
        <v>-2</v>
      </c>
      <c r="V6" s="347" t="s">
        <v>1897</v>
      </c>
      <c r="W6"/>
      <c r="X6"/>
      <c r="Y6"/>
      <c r="Z6" s="192"/>
    </row>
    <row r="7" spans="1:27">
      <c r="A7" s="140" t="s">
        <v>931</v>
      </c>
      <c r="B7" s="418" t="s">
        <v>1911</v>
      </c>
      <c r="C7">
        <v>1</v>
      </c>
      <c r="D7">
        <v>-2</v>
      </c>
      <c r="E7">
        <v>-1</v>
      </c>
      <c r="F7">
        <v>-4</v>
      </c>
      <c r="G7">
        <v>-1</v>
      </c>
      <c r="H7">
        <v>0</v>
      </c>
      <c r="I7">
        <v>0</v>
      </c>
      <c r="J7">
        <v>-3</v>
      </c>
      <c r="K7">
        <v>0</v>
      </c>
      <c r="L7">
        <v>-1</v>
      </c>
      <c r="M7">
        <v>0</v>
      </c>
      <c r="N7">
        <v>1</v>
      </c>
      <c r="O7">
        <v>-1</v>
      </c>
      <c r="P7">
        <v>0</v>
      </c>
      <c r="Q7">
        <v>0</v>
      </c>
      <c r="R7">
        <v>1</v>
      </c>
      <c r="S7">
        <v>0</v>
      </c>
      <c r="T7">
        <v>1</v>
      </c>
      <c r="U7">
        <v>-3</v>
      </c>
      <c r="V7" s="347" t="s">
        <v>1898</v>
      </c>
      <c r="W7"/>
      <c r="X7"/>
      <c r="Y7"/>
      <c r="Z7" s="192"/>
    </row>
    <row r="8" spans="1:27">
      <c r="A8" s="140" t="s">
        <v>932</v>
      </c>
      <c r="B8" s="188">
        <v>1.03</v>
      </c>
      <c r="C8">
        <v>2</v>
      </c>
      <c r="D8">
        <v>1</v>
      </c>
      <c r="E8">
        <v>1</v>
      </c>
      <c r="F8">
        <v>2</v>
      </c>
      <c r="G8">
        <v>2</v>
      </c>
      <c r="H8">
        <v>1</v>
      </c>
      <c r="I8">
        <v>1</v>
      </c>
      <c r="J8">
        <v>1</v>
      </c>
      <c r="K8">
        <v>2</v>
      </c>
      <c r="L8">
        <v>0</v>
      </c>
      <c r="M8">
        <v>1</v>
      </c>
      <c r="N8">
        <v>2</v>
      </c>
      <c r="O8">
        <v>2</v>
      </c>
      <c r="P8">
        <v>1</v>
      </c>
      <c r="Q8">
        <v>1</v>
      </c>
      <c r="R8">
        <v>-1</v>
      </c>
      <c r="S8">
        <v>0</v>
      </c>
      <c r="T8">
        <v>-2</v>
      </c>
      <c r="U8">
        <v>3</v>
      </c>
      <c r="V8" t="s">
        <v>1899</v>
      </c>
      <c r="W8"/>
      <c r="X8"/>
      <c r="Y8"/>
      <c r="Z8" s="192"/>
    </row>
    <row r="9" spans="1:27">
      <c r="A9" s="140" t="s">
        <v>933</v>
      </c>
      <c r="B9" s="188">
        <v>0.89</v>
      </c>
      <c r="C9">
        <v>2</v>
      </c>
      <c r="D9">
        <v>3</v>
      </c>
      <c r="E9">
        <v>-1</v>
      </c>
      <c r="F9">
        <v>1</v>
      </c>
      <c r="G9">
        <v>3</v>
      </c>
      <c r="H9">
        <v>-2</v>
      </c>
      <c r="I9">
        <v>1</v>
      </c>
      <c r="J9">
        <v>1</v>
      </c>
      <c r="K9">
        <v>2</v>
      </c>
      <c r="L9">
        <v>-1</v>
      </c>
      <c r="M9">
        <v>1</v>
      </c>
      <c r="N9">
        <v>2</v>
      </c>
      <c r="O9">
        <v>2</v>
      </c>
      <c r="P9">
        <v>2</v>
      </c>
      <c r="Q9">
        <v>2</v>
      </c>
      <c r="R9">
        <v>-1</v>
      </c>
      <c r="S9">
        <v>-1</v>
      </c>
      <c r="T9">
        <v>0</v>
      </c>
      <c r="U9">
        <v>1</v>
      </c>
      <c r="V9" t="s">
        <v>1900</v>
      </c>
      <c r="W9"/>
      <c r="X9"/>
      <c r="Y9"/>
      <c r="Z9" s="192"/>
    </row>
    <row r="10" spans="1:27">
      <c r="A10" s="140" t="s">
        <v>934</v>
      </c>
      <c r="B10" s="188">
        <v>3.08</v>
      </c>
      <c r="C10">
        <v>3</v>
      </c>
      <c r="D10">
        <v>2</v>
      </c>
      <c r="E10">
        <v>4</v>
      </c>
      <c r="F10">
        <v>3</v>
      </c>
      <c r="G10">
        <v>4</v>
      </c>
      <c r="H10">
        <v>4</v>
      </c>
      <c r="I10">
        <v>4</v>
      </c>
      <c r="J10">
        <v>1</v>
      </c>
      <c r="K10">
        <v>3</v>
      </c>
      <c r="L10">
        <v>3</v>
      </c>
      <c r="M10">
        <v>2</v>
      </c>
      <c r="N10">
        <v>4</v>
      </c>
      <c r="O10">
        <v>1</v>
      </c>
      <c r="P10">
        <v>4</v>
      </c>
      <c r="Q10">
        <v>4</v>
      </c>
      <c r="R10">
        <v>3</v>
      </c>
      <c r="S10">
        <v>3</v>
      </c>
      <c r="T10">
        <v>3</v>
      </c>
      <c r="U10">
        <v>4</v>
      </c>
      <c r="V10" t="s">
        <v>1901</v>
      </c>
      <c r="W10"/>
      <c r="X10"/>
      <c r="Y10"/>
      <c r="Z10" s="192"/>
    </row>
    <row r="11" spans="1:27">
      <c r="A11" s="140" t="s">
        <v>935</v>
      </c>
      <c r="B11" s="188">
        <v>1.72</v>
      </c>
      <c r="C11">
        <v>1</v>
      </c>
      <c r="D11">
        <v>-1</v>
      </c>
      <c r="E11">
        <v>2</v>
      </c>
      <c r="F11">
        <v>2</v>
      </c>
      <c r="G11">
        <v>2</v>
      </c>
      <c r="H11">
        <v>2</v>
      </c>
      <c r="I11">
        <v>0</v>
      </c>
      <c r="J11">
        <v>1</v>
      </c>
      <c r="K11">
        <v>1</v>
      </c>
      <c r="L11">
        <v>3</v>
      </c>
      <c r="M11">
        <v>3</v>
      </c>
      <c r="N11">
        <v>1</v>
      </c>
      <c r="O11">
        <v>2</v>
      </c>
      <c r="P11">
        <v>3</v>
      </c>
      <c r="Q11">
        <v>3</v>
      </c>
      <c r="R11">
        <v>5</v>
      </c>
      <c r="S11">
        <v>2</v>
      </c>
      <c r="T11">
        <v>2</v>
      </c>
      <c r="U11">
        <v>-1</v>
      </c>
      <c r="V11" t="s">
        <v>1902</v>
      </c>
      <c r="W11"/>
      <c r="X11"/>
      <c r="Y11"/>
      <c r="Z11" s="192"/>
    </row>
    <row r="12" spans="1:27">
      <c r="A12" s="140" t="s">
        <v>936</v>
      </c>
      <c r="B12" s="188">
        <v>2.41</v>
      </c>
      <c r="C12">
        <v>2</v>
      </c>
      <c r="D12">
        <v>2</v>
      </c>
      <c r="E12">
        <v>2</v>
      </c>
      <c r="F12">
        <v>2</v>
      </c>
      <c r="G12">
        <v>3</v>
      </c>
      <c r="H12">
        <v>2</v>
      </c>
      <c r="I12">
        <v>2</v>
      </c>
      <c r="J12">
        <v>2</v>
      </c>
      <c r="K12">
        <v>2</v>
      </c>
      <c r="L12">
        <v>2</v>
      </c>
      <c r="M12">
        <v>2</v>
      </c>
      <c r="N12">
        <v>3</v>
      </c>
      <c r="O12">
        <v>2</v>
      </c>
      <c r="P12">
        <v>4</v>
      </c>
      <c r="Q12">
        <v>4</v>
      </c>
      <c r="R12">
        <v>4</v>
      </c>
      <c r="S12">
        <v>2</v>
      </c>
      <c r="T12">
        <v>3</v>
      </c>
      <c r="U12">
        <v>1</v>
      </c>
      <c r="V12" t="s">
        <v>1896</v>
      </c>
      <c r="W12"/>
      <c r="X12"/>
      <c r="Y12"/>
      <c r="Z12" s="192"/>
    </row>
    <row r="13" spans="1:27">
      <c r="A13" s="140" t="s">
        <v>937</v>
      </c>
      <c r="B13" s="188">
        <v>2.2999999999999998</v>
      </c>
      <c r="C13">
        <v>3</v>
      </c>
      <c r="D13">
        <v>2</v>
      </c>
      <c r="E13">
        <v>1</v>
      </c>
      <c r="F13">
        <v>3</v>
      </c>
      <c r="G13">
        <v>4</v>
      </c>
      <c r="H13">
        <v>2</v>
      </c>
      <c r="I13">
        <v>1</v>
      </c>
      <c r="J13">
        <v>3</v>
      </c>
      <c r="K13">
        <v>3</v>
      </c>
      <c r="L13">
        <v>2</v>
      </c>
      <c r="M13">
        <v>3</v>
      </c>
      <c r="N13">
        <v>3</v>
      </c>
      <c r="O13">
        <v>2</v>
      </c>
      <c r="P13">
        <v>2</v>
      </c>
      <c r="Q13">
        <v>2</v>
      </c>
      <c r="R13">
        <v>2</v>
      </c>
      <c r="S13">
        <v>3</v>
      </c>
      <c r="T13">
        <v>1</v>
      </c>
      <c r="U13">
        <v>2</v>
      </c>
      <c r="V13" t="s">
        <v>1903</v>
      </c>
      <c r="W13"/>
      <c r="X13"/>
      <c r="Y13"/>
      <c r="Z13" s="192"/>
      <c r="AA13" s="175"/>
    </row>
    <row r="14" spans="1:27">
      <c r="A14" s="140" t="s">
        <v>938</v>
      </c>
      <c r="B14" s="188">
        <v>4.2300000000000004</v>
      </c>
      <c r="C14">
        <v>5</v>
      </c>
      <c r="D14">
        <v>2</v>
      </c>
      <c r="E14">
        <v>5</v>
      </c>
      <c r="F14">
        <v>3</v>
      </c>
      <c r="G14">
        <v>5</v>
      </c>
      <c r="H14">
        <v>5</v>
      </c>
      <c r="I14">
        <v>3</v>
      </c>
      <c r="J14">
        <v>5</v>
      </c>
      <c r="K14">
        <v>5</v>
      </c>
      <c r="L14">
        <v>4</v>
      </c>
      <c r="M14">
        <v>4</v>
      </c>
      <c r="N14">
        <v>5</v>
      </c>
      <c r="O14">
        <v>3</v>
      </c>
      <c r="P14">
        <v>5</v>
      </c>
      <c r="Q14">
        <v>5</v>
      </c>
      <c r="R14">
        <v>5</v>
      </c>
      <c r="S14">
        <v>5</v>
      </c>
      <c r="T14">
        <v>4</v>
      </c>
      <c r="U14">
        <v>3</v>
      </c>
      <c r="V14" t="s">
        <v>1875</v>
      </c>
      <c r="W14"/>
      <c r="X14"/>
      <c r="Y14"/>
      <c r="Z14" s="192"/>
    </row>
    <row r="15" spans="1:27">
      <c r="A15" s="140" t="s">
        <v>940</v>
      </c>
      <c r="B15" s="188">
        <v>3.77</v>
      </c>
      <c r="C15">
        <v>5</v>
      </c>
      <c r="D15">
        <v>4</v>
      </c>
      <c r="E15">
        <v>5</v>
      </c>
      <c r="F15">
        <v>5</v>
      </c>
      <c r="G15">
        <v>5</v>
      </c>
      <c r="H15">
        <v>5</v>
      </c>
      <c r="I15">
        <v>3</v>
      </c>
      <c r="J15">
        <v>5</v>
      </c>
      <c r="K15">
        <v>3</v>
      </c>
      <c r="L15">
        <v>3</v>
      </c>
      <c r="M15">
        <v>2</v>
      </c>
      <c r="N15">
        <v>5</v>
      </c>
      <c r="O15">
        <v>3</v>
      </c>
      <c r="P15">
        <v>3</v>
      </c>
      <c r="Q15">
        <v>3</v>
      </c>
      <c r="R15">
        <v>3</v>
      </c>
      <c r="S15">
        <v>4</v>
      </c>
      <c r="T15">
        <v>3</v>
      </c>
      <c r="U15">
        <v>3</v>
      </c>
      <c r="V15" t="s">
        <v>1904</v>
      </c>
      <c r="W15"/>
      <c r="X15"/>
      <c r="Y15"/>
      <c r="Z15" s="192"/>
    </row>
    <row r="16" spans="1:27">
      <c r="A16" s="140" t="s">
        <v>941</v>
      </c>
      <c r="B16" s="191">
        <v>1.04</v>
      </c>
      <c r="C16">
        <v>1</v>
      </c>
      <c r="D16">
        <v>-2</v>
      </c>
      <c r="E16">
        <v>2</v>
      </c>
      <c r="F16">
        <v>0</v>
      </c>
      <c r="G16">
        <v>-2</v>
      </c>
      <c r="H16">
        <v>2</v>
      </c>
      <c r="I16">
        <v>2</v>
      </c>
      <c r="J16">
        <v>2</v>
      </c>
      <c r="K16">
        <v>1</v>
      </c>
      <c r="L16">
        <v>1</v>
      </c>
      <c r="M16">
        <v>1</v>
      </c>
      <c r="N16">
        <v>1</v>
      </c>
      <c r="O16">
        <v>1</v>
      </c>
      <c r="P16">
        <v>1</v>
      </c>
      <c r="Q16">
        <v>1</v>
      </c>
      <c r="R16">
        <v>3</v>
      </c>
      <c r="S16">
        <v>1</v>
      </c>
      <c r="T16">
        <v>3</v>
      </c>
      <c r="U16">
        <v>1</v>
      </c>
      <c r="V16" t="s">
        <v>1900</v>
      </c>
      <c r="W16"/>
      <c r="X16"/>
      <c r="Y16"/>
      <c r="Z16" s="190"/>
    </row>
    <row r="17" spans="1:26">
      <c r="A17" s="140" t="s">
        <v>942</v>
      </c>
      <c r="B17" s="188">
        <v>0.48</v>
      </c>
      <c r="C17">
        <v>2</v>
      </c>
      <c r="D17">
        <v>1</v>
      </c>
      <c r="E17">
        <v>-1</v>
      </c>
      <c r="F17">
        <v>-1</v>
      </c>
      <c r="G17">
        <v>-2</v>
      </c>
      <c r="H17">
        <v>-1</v>
      </c>
      <c r="I17">
        <v>-1</v>
      </c>
      <c r="J17">
        <v>2</v>
      </c>
      <c r="K17">
        <v>3</v>
      </c>
      <c r="L17">
        <v>1</v>
      </c>
      <c r="M17">
        <v>1</v>
      </c>
      <c r="N17">
        <v>1</v>
      </c>
      <c r="O17">
        <v>2</v>
      </c>
      <c r="P17">
        <v>0</v>
      </c>
      <c r="Q17">
        <v>0</v>
      </c>
      <c r="R17">
        <v>0</v>
      </c>
      <c r="S17">
        <v>0</v>
      </c>
      <c r="T17">
        <v>0</v>
      </c>
      <c r="U17">
        <v>2</v>
      </c>
      <c r="V17" t="s">
        <v>1899</v>
      </c>
      <c r="W17"/>
      <c r="X17"/>
      <c r="Y17"/>
      <c r="Z17" s="190"/>
    </row>
    <row r="18" spans="1:26">
      <c r="A18" s="140" t="s">
        <v>1883</v>
      </c>
      <c r="B18" s="418" t="s">
        <v>1912</v>
      </c>
      <c r="C18">
        <v>0</v>
      </c>
      <c r="D18">
        <v>-1</v>
      </c>
      <c r="E18">
        <v>0</v>
      </c>
      <c r="F18">
        <v>-3</v>
      </c>
      <c r="G18">
        <v>-3</v>
      </c>
      <c r="H18">
        <v>0</v>
      </c>
      <c r="I18">
        <v>1</v>
      </c>
      <c r="J18">
        <v>0</v>
      </c>
      <c r="K18">
        <v>0</v>
      </c>
      <c r="L18">
        <v>-2</v>
      </c>
      <c r="M18">
        <v>-1</v>
      </c>
      <c r="N18">
        <v>0</v>
      </c>
      <c r="O18">
        <v>-1</v>
      </c>
      <c r="P18">
        <v>0</v>
      </c>
      <c r="Q18">
        <v>0</v>
      </c>
      <c r="R18">
        <v>-1</v>
      </c>
      <c r="S18">
        <v>0</v>
      </c>
      <c r="T18">
        <v>1</v>
      </c>
      <c r="U18">
        <v>0</v>
      </c>
      <c r="V18" s="347" t="s">
        <v>1905</v>
      </c>
      <c r="W18"/>
      <c r="X18"/>
      <c r="Y18"/>
      <c r="Z18" s="190"/>
    </row>
    <row r="19" spans="1:26">
      <c r="A19" s="140" t="s">
        <v>943</v>
      </c>
      <c r="B19" s="188">
        <v>2.77</v>
      </c>
      <c r="C19">
        <v>3</v>
      </c>
      <c r="D19">
        <v>4</v>
      </c>
      <c r="E19">
        <v>4</v>
      </c>
      <c r="F19">
        <v>4</v>
      </c>
      <c r="G19">
        <v>2</v>
      </c>
      <c r="H19">
        <v>4</v>
      </c>
      <c r="I19">
        <v>4</v>
      </c>
      <c r="J19">
        <v>4</v>
      </c>
      <c r="K19">
        <v>3</v>
      </c>
      <c r="L19">
        <v>2</v>
      </c>
      <c r="M19">
        <v>2</v>
      </c>
      <c r="N19">
        <v>3</v>
      </c>
      <c r="O19">
        <v>2</v>
      </c>
      <c r="P19">
        <v>1</v>
      </c>
      <c r="Q19">
        <v>1</v>
      </c>
      <c r="R19">
        <v>2</v>
      </c>
      <c r="S19">
        <v>2</v>
      </c>
      <c r="T19">
        <v>2</v>
      </c>
      <c r="U19">
        <v>4</v>
      </c>
      <c r="V19" t="s">
        <v>1893</v>
      </c>
      <c r="W19"/>
      <c r="X19"/>
      <c r="Y19"/>
      <c r="Z19" s="192"/>
    </row>
    <row r="20" spans="1:26">
      <c r="A20" s="140" t="s">
        <v>944</v>
      </c>
      <c r="B20" s="418" t="s">
        <v>1913</v>
      </c>
      <c r="C20">
        <v>-1</v>
      </c>
      <c r="D20">
        <v>1</v>
      </c>
      <c r="E20">
        <v>0</v>
      </c>
      <c r="F20">
        <v>-1</v>
      </c>
      <c r="G20">
        <v>0</v>
      </c>
      <c r="H20">
        <v>-1</v>
      </c>
      <c r="I20">
        <v>0</v>
      </c>
      <c r="J20">
        <v>-1</v>
      </c>
      <c r="K20">
        <v>0</v>
      </c>
      <c r="L20">
        <v>1</v>
      </c>
      <c r="M20">
        <v>0</v>
      </c>
      <c r="N20">
        <v>-1</v>
      </c>
      <c r="O20">
        <v>1</v>
      </c>
      <c r="P20">
        <v>1</v>
      </c>
      <c r="Q20">
        <v>1</v>
      </c>
      <c r="R20">
        <v>1</v>
      </c>
      <c r="S20">
        <v>-2</v>
      </c>
      <c r="T20">
        <v>1</v>
      </c>
      <c r="U20">
        <v>0</v>
      </c>
      <c r="V20" s="347" t="s">
        <v>1906</v>
      </c>
      <c r="W20"/>
      <c r="X20"/>
      <c r="Y20"/>
      <c r="Z20" s="190"/>
    </row>
    <row r="21" spans="1:26">
      <c r="A21" s="174" t="s">
        <v>1885</v>
      </c>
      <c r="B21" s="418" t="s">
        <v>1914</v>
      </c>
      <c r="C21">
        <v>0</v>
      </c>
      <c r="D21">
        <v>-1</v>
      </c>
      <c r="E21">
        <v>0</v>
      </c>
      <c r="F21">
        <v>0</v>
      </c>
      <c r="G21">
        <v>1</v>
      </c>
      <c r="H21">
        <v>0</v>
      </c>
      <c r="I21">
        <v>0</v>
      </c>
      <c r="J21">
        <v>0</v>
      </c>
      <c r="K21">
        <v>0</v>
      </c>
      <c r="L21">
        <v>-2</v>
      </c>
      <c r="M21">
        <v>1</v>
      </c>
      <c r="N21">
        <v>0</v>
      </c>
      <c r="O21">
        <v>1</v>
      </c>
      <c r="P21">
        <v>0</v>
      </c>
      <c r="Q21">
        <v>0</v>
      </c>
      <c r="R21">
        <v>-2</v>
      </c>
      <c r="S21">
        <v>-1</v>
      </c>
      <c r="T21">
        <v>0</v>
      </c>
      <c r="U21">
        <v>1</v>
      </c>
      <c r="V21" t="s">
        <v>1907</v>
      </c>
      <c r="W21"/>
      <c r="X21"/>
      <c r="Y21"/>
      <c r="Z21" s="190"/>
    </row>
    <row r="22" spans="1:26">
      <c r="U22" s="175"/>
    </row>
  </sheetData>
  <sheetProtection formatColumns="0" formatRows="0" selectLockedCells="1"/>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6">
    <tabColor indexed="63"/>
  </sheetPr>
  <dimension ref="A2:DS88"/>
  <sheetViews>
    <sheetView workbookViewId="0"/>
  </sheetViews>
  <sheetFormatPr defaultRowHeight="12.75"/>
  <cols>
    <col min="1" max="1" width="132.85546875" customWidth="1"/>
    <col min="2" max="4" width="0" hidden="1" customWidth="1"/>
    <col min="5" max="7" width="10" hidden="1" customWidth="1"/>
    <col min="8" max="10" width="0" hidden="1" customWidth="1"/>
    <col min="11" max="13" width="10" hidden="1" customWidth="1"/>
    <col min="14" max="16" width="0" hidden="1" customWidth="1"/>
    <col min="17" max="19" width="10" hidden="1" customWidth="1"/>
    <col min="20" max="21" width="0" hidden="1" customWidth="1"/>
    <col min="22" max="24" width="10" hidden="1" customWidth="1"/>
    <col min="25" max="27" width="0" hidden="1" customWidth="1"/>
    <col min="28" max="30" width="10" hidden="1" customWidth="1"/>
    <col min="31" max="33" width="0" hidden="1" customWidth="1"/>
    <col min="34" max="36" width="10" hidden="1" customWidth="1"/>
    <col min="37" max="39" width="0" hidden="1" customWidth="1"/>
    <col min="40" max="42" width="10" hidden="1" customWidth="1"/>
    <col min="43" max="45" width="0" hidden="1" customWidth="1"/>
    <col min="46" max="48" width="10" hidden="1" customWidth="1"/>
    <col min="49" max="51" width="0" hidden="1" customWidth="1"/>
    <col min="52" max="54" width="10" hidden="1" customWidth="1"/>
    <col min="55" max="57" width="0" hidden="1" customWidth="1"/>
    <col min="58" max="60" width="10" hidden="1" customWidth="1"/>
    <col min="61" max="63" width="0" hidden="1" customWidth="1"/>
    <col min="64" max="66" width="10" hidden="1" customWidth="1"/>
    <col min="67" max="69" width="0" hidden="1" customWidth="1"/>
    <col min="70" max="72" width="10" hidden="1" customWidth="1"/>
    <col min="73" max="75" width="0" hidden="1" customWidth="1"/>
    <col min="76" max="78" width="10" hidden="1" customWidth="1"/>
    <col min="79" max="81" width="0" hidden="1" customWidth="1"/>
    <col min="82" max="84" width="10" hidden="1" customWidth="1"/>
    <col min="85" max="123" width="0" hidden="1" customWidth="1"/>
  </cols>
  <sheetData>
    <row r="2" spans="1:123" ht="41.25" customHeight="1">
      <c r="A2" s="176" t="s">
        <v>907</v>
      </c>
      <c r="D2" t="s">
        <v>947</v>
      </c>
      <c r="G2" s="577" t="s">
        <v>948</v>
      </c>
      <c r="H2" s="577"/>
      <c r="I2" s="577"/>
      <c r="J2" t="s">
        <v>947</v>
      </c>
      <c r="M2" s="577" t="s">
        <v>948</v>
      </c>
      <c r="N2" s="577"/>
      <c r="O2" s="577"/>
      <c r="P2" t="s">
        <v>947</v>
      </c>
      <c r="S2" s="577" t="s">
        <v>948</v>
      </c>
      <c r="T2" s="577"/>
      <c r="U2" s="577"/>
      <c r="V2" t="s">
        <v>947</v>
      </c>
      <c r="Y2" s="577" t="s">
        <v>948</v>
      </c>
      <c r="Z2" s="577"/>
      <c r="AA2" s="577"/>
      <c r="AB2" t="s">
        <v>947</v>
      </c>
      <c r="AE2" s="577" t="s">
        <v>948</v>
      </c>
      <c r="AF2" s="577"/>
      <c r="AG2" s="577"/>
      <c r="AH2" t="s">
        <v>947</v>
      </c>
      <c r="AK2" s="577" t="s">
        <v>948</v>
      </c>
      <c r="AL2" s="577"/>
      <c r="AM2" s="577"/>
      <c r="AN2" t="s">
        <v>947</v>
      </c>
      <c r="AQ2" s="577" t="s">
        <v>948</v>
      </c>
      <c r="AR2" s="577"/>
      <c r="AS2" s="577"/>
      <c r="AT2" t="s">
        <v>947</v>
      </c>
      <c r="AW2" s="577" t="s">
        <v>948</v>
      </c>
      <c r="AX2" s="577"/>
      <c r="AY2" s="577"/>
      <c r="AZ2" t="s">
        <v>947</v>
      </c>
      <c r="BC2" s="577" t="s">
        <v>948</v>
      </c>
      <c r="BD2" s="577"/>
      <c r="BE2" s="577"/>
      <c r="BF2" t="s">
        <v>947</v>
      </c>
      <c r="BI2" s="577" t="s">
        <v>948</v>
      </c>
      <c r="BJ2" s="577"/>
      <c r="BK2" s="577"/>
      <c r="BL2" t="s">
        <v>947</v>
      </c>
      <c r="BO2" s="577" t="s">
        <v>948</v>
      </c>
      <c r="BP2" s="577"/>
      <c r="BQ2" s="577"/>
      <c r="BR2" t="s">
        <v>947</v>
      </c>
      <c r="BU2" s="577" t="s">
        <v>948</v>
      </c>
      <c r="BV2" s="577"/>
      <c r="BW2" s="577"/>
      <c r="BX2" t="s">
        <v>947</v>
      </c>
      <c r="CA2" s="577" t="s">
        <v>948</v>
      </c>
      <c r="CB2" s="577"/>
      <c r="CC2" s="577"/>
      <c r="CD2" t="s">
        <v>947</v>
      </c>
      <c r="CG2" s="577" t="s">
        <v>948</v>
      </c>
      <c r="CH2" s="577"/>
      <c r="CI2" s="577"/>
      <c r="CJ2" t="s">
        <v>947</v>
      </c>
      <c r="CM2" s="577" t="s">
        <v>948</v>
      </c>
      <c r="CN2" s="577"/>
      <c r="CO2" s="577"/>
      <c r="CP2" t="s">
        <v>947</v>
      </c>
      <c r="CS2" s="577" t="s">
        <v>948</v>
      </c>
      <c r="CT2" s="577"/>
      <c r="CU2" s="577"/>
      <c r="CV2" t="s">
        <v>947</v>
      </c>
      <c r="CY2" s="577" t="s">
        <v>948</v>
      </c>
      <c r="CZ2" s="577"/>
      <c r="DA2" s="577"/>
      <c r="DB2" t="s">
        <v>947</v>
      </c>
      <c r="DE2" s="577" t="s">
        <v>948</v>
      </c>
      <c r="DF2" s="577"/>
      <c r="DG2" s="577"/>
      <c r="DH2" t="s">
        <v>947</v>
      </c>
      <c r="DK2" s="577" t="s">
        <v>948</v>
      </c>
      <c r="DL2" s="577"/>
      <c r="DM2" s="577"/>
      <c r="DN2" t="s">
        <v>947</v>
      </c>
      <c r="DQ2" s="577" t="s">
        <v>948</v>
      </c>
      <c r="DR2" s="577"/>
      <c r="DS2" s="577"/>
    </row>
    <row r="3" spans="1:123">
      <c r="C3" s="181" t="s">
        <v>686</v>
      </c>
      <c r="D3" s="181" t="s">
        <v>949</v>
      </c>
      <c r="E3">
        <f>FIND(" ",D3,LEN($C3)+2)</f>
        <v>11</v>
      </c>
      <c r="F3">
        <f>FIND(" ",D3,E3+1)</f>
        <v>13</v>
      </c>
      <c r="G3" s="185" t="str">
        <f>MID(D3,LEN($C3)+2,E3-LEN($C3)-2)</f>
        <v>7</v>
      </c>
      <c r="H3" s="185" t="str">
        <f>MID(D3,E3+1,F3-E3-1)</f>
        <v>8</v>
      </c>
      <c r="I3" s="185" t="str">
        <f>MID(D3,F3+1,2)</f>
        <v>+3</v>
      </c>
      <c r="J3" s="181" t="s">
        <v>969</v>
      </c>
      <c r="K3">
        <f>FIND(" ",J3,LEN($C3)+2)</f>
        <v>11</v>
      </c>
      <c r="L3">
        <f>FIND(" ",J3,K3+1)</f>
        <v>13</v>
      </c>
      <c r="M3" t="str">
        <f>MID(J3,LEN($C3)+2,K3-LEN($C3)-2)</f>
        <v>5</v>
      </c>
      <c r="N3" t="str">
        <f>MID(J3,K3+1,L3-K3-1)</f>
        <v>7</v>
      </c>
      <c r="O3" t="str">
        <f>MID(J3,L3+1,2)</f>
        <v>1</v>
      </c>
      <c r="P3" s="181" t="s">
        <v>989</v>
      </c>
      <c r="Q3">
        <f>FIND(" ",P3,LEN($C3)+2)</f>
        <v>11</v>
      </c>
      <c r="R3">
        <f>FIND(" ",P3,Q3+1)</f>
        <v>13</v>
      </c>
      <c r="S3" t="str">
        <f>MID(P3,LEN($C3)+2,Q3-LEN($C3)-2)</f>
        <v>5</v>
      </c>
      <c r="T3" t="str">
        <f>MID(P3,Q3+1,R3-Q3-1)</f>
        <v>7</v>
      </c>
      <c r="U3" t="str">
        <f>MID(P3,R3+1,2)</f>
        <v>+2</v>
      </c>
      <c r="V3" s="181" t="s">
        <v>1009</v>
      </c>
      <c r="W3">
        <f>FIND(" ",V3,LEN($C3)+2)</f>
        <v>11</v>
      </c>
      <c r="X3">
        <f>FIND(" ",V3,W3+1)</f>
        <v>13</v>
      </c>
      <c r="Y3" t="str">
        <f>MID(V3,LEN($C3)+2,W3-LEN($C3)-2)</f>
        <v>6</v>
      </c>
      <c r="Z3" t="str">
        <f>MID(V3,W3+1,X3-W3-1)</f>
        <v>6</v>
      </c>
      <c r="AA3" t="str">
        <f>MID(V3,X3+1,2)</f>
        <v>+3</v>
      </c>
      <c r="AB3" s="181" t="s">
        <v>1028</v>
      </c>
      <c r="AC3">
        <f>FIND(" ",AB3,LEN($C3)+2)</f>
        <v>11</v>
      </c>
      <c r="AD3">
        <f>FIND(" ",AB3,AC3+1)</f>
        <v>13</v>
      </c>
      <c r="AE3" t="str">
        <f>MID(AB3,LEN($C3)+2,AC3-LEN($C3)-2)</f>
        <v>6</v>
      </c>
      <c r="AF3" t="str">
        <f>MID(AB3,AC3+1,AD3-AC3-1)</f>
        <v>7</v>
      </c>
      <c r="AG3" t="str">
        <f>MID(AB3,AD3+1,2)</f>
        <v>+3</v>
      </c>
      <c r="AH3" s="183" t="s">
        <v>1042</v>
      </c>
      <c r="AI3">
        <f>FIND(" ",AH3,LEN($C3)+2)</f>
        <v>11</v>
      </c>
      <c r="AJ3">
        <f>FIND(" ",AH3,AI3+1)</f>
        <v>13</v>
      </c>
      <c r="AK3" t="str">
        <f>MID(AH3,LEN($C3)+2,AI3-LEN($C3)-2)</f>
        <v>6</v>
      </c>
      <c r="AL3" t="str">
        <f>MID(AH3,AI3+1,AJ3-AI3-1)</f>
        <v>6</v>
      </c>
      <c r="AM3" t="str">
        <f>MID(AH3,AJ3+1,2)</f>
        <v>+2</v>
      </c>
      <c r="AN3" s="183" t="s">
        <v>1061</v>
      </c>
      <c r="AO3">
        <f>FIND(" ",AN3,LEN($C3)+2)</f>
        <v>11</v>
      </c>
      <c r="AP3">
        <f>FIND(" ",AN3,AO3+1)</f>
        <v>13</v>
      </c>
      <c r="AQ3" t="str">
        <f>MID(AN3,LEN($C3)+2,AO3-LEN($C3)-2)</f>
        <v>5</v>
      </c>
      <c r="AR3" t="str">
        <f>MID(AN3,AO3+1,AP3-AO3-1)</f>
        <v>6</v>
      </c>
      <c r="AS3" t="str">
        <f>MID(AN3,AP3+1,2)</f>
        <v>+2</v>
      </c>
      <c r="AT3" s="183" t="s">
        <v>1076</v>
      </c>
      <c r="AU3">
        <f>FIND(" ",AT3,LEN($C3)+2)</f>
        <v>11</v>
      </c>
      <c r="AV3">
        <f>FIND(" ",AT3,AU3+1)</f>
        <v>13</v>
      </c>
      <c r="AW3" t="str">
        <f>MID(AT3,LEN($C3)+2,AU3-LEN($C3)-2)</f>
        <v>6</v>
      </c>
      <c r="AX3" t="str">
        <f>MID(AT3,AU3+1,AV3-AU3-1)</f>
        <v>6</v>
      </c>
      <c r="AY3" t="str">
        <f>MID(AT3,AV3+1,2)</f>
        <v>1</v>
      </c>
      <c r="AZ3" s="183" t="s">
        <v>1092</v>
      </c>
      <c r="BA3">
        <f>FIND(" ",AZ3,LEN($C3)+2)</f>
        <v>11</v>
      </c>
      <c r="BB3">
        <f>FIND(" ",AZ3,BA3+1)</f>
        <v>13</v>
      </c>
      <c r="BC3" t="str">
        <f>MID(AZ3,LEN($C3)+2,BA3-LEN($C3)-2)</f>
        <v>6</v>
      </c>
      <c r="BD3" t="str">
        <f>MID(AZ3,BA3+1,BB3-BA3-1)</f>
        <v>6</v>
      </c>
      <c r="BE3" t="str">
        <f>MID(AZ3,BB3+1,2)</f>
        <v>3</v>
      </c>
      <c r="BF3" s="183" t="s">
        <v>1028</v>
      </c>
      <c r="BG3">
        <f>FIND(" ",BF3,LEN($C3)+2)</f>
        <v>11</v>
      </c>
      <c r="BH3">
        <f>FIND(" ",BF3,BG3+1)</f>
        <v>13</v>
      </c>
      <c r="BI3" t="str">
        <f>MID(BF3,LEN($C3)+2,BG3-LEN($C3)-2)</f>
        <v>6</v>
      </c>
      <c r="BJ3" t="str">
        <f>MID(BF3,BG3+1,BH3-BG3-1)</f>
        <v>7</v>
      </c>
      <c r="BK3" t="str">
        <f>MID(BF3,BH3+1,2)</f>
        <v>+3</v>
      </c>
      <c r="BL3" s="183" t="s">
        <v>1123</v>
      </c>
      <c r="BM3">
        <f>FIND(" ",BL3,LEN($C3)+2)</f>
        <v>11</v>
      </c>
      <c r="BN3">
        <f>FIND(" ",BL3,BM3+1)</f>
        <v>13</v>
      </c>
      <c r="BO3" t="str">
        <f>MID(BL3,LEN($C3)+2,BM3-LEN($C3)-2)</f>
        <v>6</v>
      </c>
      <c r="BP3" t="str">
        <f>MID(BL3,BM3+1,BN3-BM3-1)</f>
        <v>7</v>
      </c>
      <c r="BQ3" t="str">
        <f>MID(BL3,BN3+1,2)</f>
        <v>2</v>
      </c>
      <c r="BR3" s="183" t="s">
        <v>1138</v>
      </c>
      <c r="BS3">
        <f>FIND(" ",BR3,LEN($C3)+2)</f>
        <v>11</v>
      </c>
      <c r="BT3">
        <f>FIND(" ",BR3,BS3+1)</f>
        <v>13</v>
      </c>
      <c r="BU3" t="str">
        <f>MID(BR3,LEN($C3)+2,BS3-LEN($C3)-2)</f>
        <v>6</v>
      </c>
      <c r="BV3" t="str">
        <f>MID(BR3,BS3+1,BT3-BS3-1)</f>
        <v>7</v>
      </c>
      <c r="BW3" t="str">
        <f>MID(BR3,BT3+1,2)</f>
        <v>+1</v>
      </c>
      <c r="BX3" s="183" t="s">
        <v>1156</v>
      </c>
      <c r="BY3">
        <f>FIND(" ",BX3,LEN($C3)+2)</f>
        <v>11</v>
      </c>
      <c r="BZ3">
        <f>FIND(" ",BX3,BY3+1)</f>
        <v>13</v>
      </c>
      <c r="CA3" t="str">
        <f>MID(BX3,LEN($C3)+2,BY3-LEN($C3)-2)</f>
        <v>6</v>
      </c>
      <c r="CB3" t="str">
        <f>MID(BX3,BY3+1,BZ3-BY3-1)</f>
        <v>4</v>
      </c>
      <c r="CC3" t="str">
        <f>MID(BX3,BZ3+1,2)</f>
        <v>4</v>
      </c>
      <c r="CD3" s="181" t="s">
        <v>1176</v>
      </c>
      <c r="CE3">
        <f>FIND(" ",CD3,LEN($C3)+2)</f>
        <v>11</v>
      </c>
      <c r="CF3">
        <f>FIND(" ",CD3,CE3+1)</f>
        <v>13</v>
      </c>
      <c r="CG3" t="str">
        <f>MID(CD3,LEN($C3)+2,CE3-LEN($C3)-2)</f>
        <v>6</v>
      </c>
      <c r="CH3" t="str">
        <f>MID(CD3,CE3+1,CF3-CE3-1)</f>
        <v>7</v>
      </c>
      <c r="CI3" t="str">
        <f>MID(CD3,CF3+1,2)</f>
        <v>1</v>
      </c>
      <c r="CJ3" s="181" t="s">
        <v>1193</v>
      </c>
      <c r="CK3">
        <f>FIND(" ",CJ3,LEN($C3)+2)</f>
        <v>11</v>
      </c>
      <c r="CL3">
        <f>FIND(" ",CJ3,CK3+1)</f>
        <v>13</v>
      </c>
      <c r="CM3" t="str">
        <f>MID(CJ3,LEN($C3)+2,CK3-LEN($C3)-2)</f>
        <v>6</v>
      </c>
      <c r="CN3" t="str">
        <f>MID(CJ3,CK3+1,CL3-CK3-1)</f>
        <v>6</v>
      </c>
      <c r="CO3" t="str">
        <f>MID(CJ3,CL3+1,2)</f>
        <v>4</v>
      </c>
      <c r="CP3" s="181" t="s">
        <v>1211</v>
      </c>
      <c r="CQ3">
        <f>FIND(" ",CP3,LEN($C3)+2)</f>
        <v>11</v>
      </c>
      <c r="CR3">
        <f>FIND(" ",CP3,CQ3+1)</f>
        <v>13</v>
      </c>
      <c r="CS3" t="str">
        <f>MID(CP3,LEN($C3)+2,CQ3-LEN($C3)-2)</f>
        <v>6</v>
      </c>
      <c r="CT3" t="str">
        <f>MID(CP3,CQ3+1,CR3-CQ3-1)</f>
        <v>7</v>
      </c>
      <c r="CU3" t="str">
        <f>MID(CP3,CR3+1,2)</f>
        <v>3</v>
      </c>
      <c r="CV3" s="181" t="s">
        <v>1028</v>
      </c>
      <c r="CW3">
        <f>FIND(" ",CV3,LEN($C3)+2)</f>
        <v>11</v>
      </c>
      <c r="CX3">
        <f>FIND(" ",CV3,CW3+1)</f>
        <v>13</v>
      </c>
      <c r="CY3" t="str">
        <f>MID(CV3,LEN($C3)+2,CW3-LEN($C3)-2)</f>
        <v>6</v>
      </c>
      <c r="CZ3" t="str">
        <f>MID(CV3,CW3+1,CX3-CW3-1)</f>
        <v>7</v>
      </c>
      <c r="DA3" t="str">
        <f>MID(CV3,CX3+1,2)</f>
        <v>+3</v>
      </c>
      <c r="DB3" s="181" t="s">
        <v>1092</v>
      </c>
      <c r="DC3">
        <f>FIND(" ",DB3,LEN($C3)+2)</f>
        <v>11</v>
      </c>
      <c r="DD3">
        <f>FIND(" ",DB3,DC3+1)</f>
        <v>13</v>
      </c>
      <c r="DE3" t="str">
        <f>MID(DB3,LEN($C3)+2,DC3-LEN($C3)-2)</f>
        <v>6</v>
      </c>
      <c r="DF3" t="str">
        <f>MID(DB3,DC3+1,DD3-DC3-1)</f>
        <v>6</v>
      </c>
      <c r="DG3" t="str">
        <f>MID(DB3,DD3+1,2)</f>
        <v>3</v>
      </c>
      <c r="DH3" s="181" t="s">
        <v>1242</v>
      </c>
      <c r="DI3">
        <f>FIND(" ",DH3,LEN($C3)+2)</f>
        <v>11</v>
      </c>
      <c r="DJ3">
        <f>FIND(" ",DH3,DI3+1)</f>
        <v>13</v>
      </c>
      <c r="DK3" t="str">
        <f>MID(DH3,LEN($C3)+2,DI3-LEN($C3)-2)</f>
        <v>6</v>
      </c>
      <c r="DL3" t="str">
        <f>MID(DH3,DI3+1,DJ3-DI3-1)</f>
        <v>7</v>
      </c>
      <c r="DM3" t="str">
        <f>MID(DH3,DJ3+1,2)</f>
        <v>4</v>
      </c>
      <c r="DN3" s="181" t="s">
        <v>1260</v>
      </c>
      <c r="DO3">
        <f>FIND(" ",DN3,LEN($C3)+2)</f>
        <v>11</v>
      </c>
      <c r="DP3">
        <f>FIND(" ",DN3,DO3+1)</f>
        <v>13</v>
      </c>
      <c r="DQ3" t="str">
        <f>MID(DN3,LEN($C3)+2,DO3-LEN($C3)-2)</f>
        <v>7</v>
      </c>
      <c r="DR3" t="str">
        <f>MID(DN3,DO3+1,DP3-DO3-1)</f>
        <v>6</v>
      </c>
      <c r="DS3" t="str">
        <f>MID(DN3,DP3+1,2)</f>
        <v>2</v>
      </c>
    </row>
    <row r="4" spans="1:123">
      <c r="C4" s="181" t="s">
        <v>691</v>
      </c>
      <c r="D4" s="181" t="s">
        <v>950</v>
      </c>
      <c r="E4">
        <f t="shared" ref="E4:E22" si="0">FIND(" ",D4,LEN($C4)+2)</f>
        <v>10</v>
      </c>
      <c r="F4">
        <f t="shared" ref="F4:F22" si="1">FIND(" ",D4,E4+1)</f>
        <v>12</v>
      </c>
      <c r="G4" s="185" t="str">
        <f t="shared" ref="G4:G22" si="2">MID(D4,LEN($C4)+2,E4-LEN($C4)-2)</f>
        <v>7</v>
      </c>
      <c r="H4" s="185" t="str">
        <f t="shared" ref="H4:H22" si="3">MID(D4,E4+1,F4-E4-1)</f>
        <v>5</v>
      </c>
      <c r="I4" s="185" t="str">
        <f t="shared" ref="I4:I22" si="4">MID(D4,F4+1,2)</f>
        <v>+1</v>
      </c>
      <c r="J4" s="181" t="s">
        <v>970</v>
      </c>
      <c r="K4">
        <f t="shared" ref="K4:K22" si="5">FIND(" ",J4,LEN($C4)+2)</f>
        <v>10</v>
      </c>
      <c r="L4">
        <f t="shared" ref="L4:L22" si="6">FIND(" ",J4,K4+1)</f>
        <v>12</v>
      </c>
      <c r="M4" t="str">
        <f t="shared" ref="M4:M22" si="7">MID(J4,LEN($C4)+2,K4-LEN($C4)-2)</f>
        <v>5</v>
      </c>
      <c r="N4" t="str">
        <f t="shared" ref="N4:N22" si="8">MID(J4,K4+1,L4-K4-1)</f>
        <v>6</v>
      </c>
      <c r="O4" t="str">
        <f t="shared" ref="O4:O22" si="9">MID(J4,L4+1,2)</f>
        <v>0</v>
      </c>
      <c r="P4" s="181" t="s">
        <v>990</v>
      </c>
      <c r="Q4">
        <f t="shared" ref="Q4:Q22" si="10">FIND(" ",P4,LEN($C4)+2)</f>
        <v>10</v>
      </c>
      <c r="R4">
        <f t="shared" ref="R4:R22" si="11">FIND(" ",P4,Q4+1)</f>
        <v>12</v>
      </c>
      <c r="S4" t="str">
        <f t="shared" ref="S4:S22" si="12">MID(P4,LEN($C4)+2,Q4-LEN($C4)-2)</f>
        <v>6</v>
      </c>
      <c r="T4" t="str">
        <f t="shared" ref="T4:T22" si="13">MID(P4,Q4+1,R4-Q4-1)</f>
        <v>5</v>
      </c>
      <c r="U4" t="str">
        <f t="shared" ref="U4:U22" si="14">MID(P4,R4+1,2)</f>
        <v>-4</v>
      </c>
      <c r="V4" s="181" t="s">
        <v>1010</v>
      </c>
      <c r="W4">
        <f t="shared" ref="W4:W22" si="15">FIND(" ",V4,LEN($C4)+2)</f>
        <v>10</v>
      </c>
      <c r="X4">
        <f t="shared" ref="X4:X22" si="16">FIND(" ",V4,W4+1)</f>
        <v>12</v>
      </c>
      <c r="Y4" t="str">
        <f t="shared" ref="Y4:Y22" si="17">MID(V4,LEN($C4)+2,W4-LEN($C4)-2)</f>
        <v>5</v>
      </c>
      <c r="Z4" t="str">
        <f t="shared" ref="Z4:Z22" si="18">MID(V4,W4+1,X4-W4-1)</f>
        <v>5</v>
      </c>
      <c r="AA4" t="str">
        <f t="shared" ref="AA4:AA22" si="19">MID(V4,X4+1,2)</f>
        <v>+1</v>
      </c>
      <c r="AB4" s="181" t="s">
        <v>1029</v>
      </c>
      <c r="AC4">
        <f t="shared" ref="AC4:AC22" si="20">FIND(" ",AB4,LEN($C4)+2)</f>
        <v>10</v>
      </c>
      <c r="AD4">
        <f t="shared" ref="AD4:AD22" si="21">FIND(" ",AB4,AC4+1)</f>
        <v>12</v>
      </c>
      <c r="AE4" t="str">
        <f t="shared" ref="AE4:AE22" si="22">MID(AB4,LEN($C4)+2,AC4-LEN($C4)-2)</f>
        <v>6</v>
      </c>
      <c r="AF4" t="str">
        <f t="shared" ref="AF4:AF22" si="23">MID(AB4,AC4+1,AD4-AC4-1)</f>
        <v>7</v>
      </c>
      <c r="AG4" t="str">
        <f t="shared" ref="AG4:AG22" si="24">MID(AB4,AD4+1,2)</f>
        <v>+1</v>
      </c>
      <c r="AH4" s="183" t="s">
        <v>1043</v>
      </c>
      <c r="AI4">
        <f t="shared" ref="AI4:AI22" si="25">FIND(" ",AH4,LEN($C4)+2)</f>
        <v>10</v>
      </c>
      <c r="AJ4">
        <f t="shared" ref="AJ4:AJ22" si="26">FIND(" ",AH4,AI4+1)</f>
        <v>12</v>
      </c>
      <c r="AK4" t="str">
        <f t="shared" ref="AK4:AK22" si="27">MID(AH4,LEN($C4)+2,AI4-LEN($C4)-2)</f>
        <v>7</v>
      </c>
      <c r="AL4" t="str">
        <f t="shared" ref="AL4:AL22" si="28">MID(AH4,AI4+1,AJ4-AI4-1)</f>
        <v>7</v>
      </c>
      <c r="AM4" t="str">
        <f t="shared" ref="AM4:AM22" si="29">MID(AH4,AJ4+1,2)</f>
        <v>-1</v>
      </c>
      <c r="AN4" s="183" t="s">
        <v>1062</v>
      </c>
      <c r="AO4">
        <f t="shared" ref="AO4:AO22" si="30">FIND(" ",AN4,LEN($C4)+2)</f>
        <v>10</v>
      </c>
      <c r="AP4">
        <f t="shared" ref="AP4:AP22" si="31">FIND(" ",AN4,AO4+1)</f>
        <v>12</v>
      </c>
      <c r="AQ4" t="str">
        <f t="shared" ref="AQ4:AQ22" si="32">MID(AN4,LEN($C4)+2,AO4-LEN($C4)-2)</f>
        <v>6</v>
      </c>
      <c r="AR4" t="str">
        <f t="shared" ref="AR4:AR22" si="33">MID(AN4,AO4+1,AP4-AO4-1)</f>
        <v>5</v>
      </c>
      <c r="AS4" t="str">
        <f t="shared" ref="AS4:AS22" si="34">MID(AN4,AP4+1,2)</f>
        <v>-1</v>
      </c>
      <c r="AT4" s="183" t="s">
        <v>1077</v>
      </c>
      <c r="AU4">
        <f t="shared" ref="AU4:AU22" si="35">FIND(" ",AT4,LEN($C4)+2)</f>
        <v>10</v>
      </c>
      <c r="AV4">
        <f t="shared" ref="AV4:AV22" si="36">FIND(" ",AT4,AU4+1)</f>
        <v>12</v>
      </c>
      <c r="AW4" t="str">
        <f t="shared" ref="AW4:AW22" si="37">MID(AT4,LEN($C4)+2,AU4-LEN($C4)-2)</f>
        <v>6</v>
      </c>
      <c r="AX4" t="str">
        <f t="shared" ref="AX4:AX22" si="38">MID(AT4,AU4+1,AV4-AU4-1)</f>
        <v>6</v>
      </c>
      <c r="AY4" t="str">
        <f t="shared" ref="AY4:AY22" si="39">MID(AT4,AV4+1,2)</f>
        <v>2</v>
      </c>
      <c r="AZ4" s="183" t="s">
        <v>1093</v>
      </c>
      <c r="BA4">
        <f t="shared" ref="BA4:BA22" si="40">FIND(" ",AZ4,LEN($C4)+2)</f>
        <v>10</v>
      </c>
      <c r="BB4">
        <f t="shared" ref="BB4:BB22" si="41">FIND(" ",AZ4,BA4+1)</f>
        <v>12</v>
      </c>
      <c r="BC4" t="str">
        <f t="shared" ref="BC4:BC22" si="42">MID(AZ4,LEN($C4)+2,BA4-LEN($C4)-2)</f>
        <v>5</v>
      </c>
      <c r="BD4" t="str">
        <f t="shared" ref="BD4:BD22" si="43">MID(AZ4,BA4+1,BB4-BA4-1)</f>
        <v>5</v>
      </c>
      <c r="BE4" t="str">
        <f t="shared" ref="BE4:BE22" si="44">MID(AZ4,BB4+1,2)</f>
        <v>-2</v>
      </c>
      <c r="BF4" s="183" t="s">
        <v>1107</v>
      </c>
      <c r="BG4">
        <f t="shared" ref="BG4:BG22" si="45">FIND(" ",BF4,LEN($C4)+2)</f>
        <v>10</v>
      </c>
      <c r="BH4">
        <f t="shared" ref="BH4:BH22" si="46">FIND(" ",BF4,BG4+1)</f>
        <v>12</v>
      </c>
      <c r="BI4" t="str">
        <f t="shared" ref="BI4:BI22" si="47">MID(BF4,LEN($C4)+2,BG4-LEN($C4)-2)</f>
        <v>5</v>
      </c>
      <c r="BJ4" t="str">
        <f t="shared" ref="BJ4:BJ22" si="48">MID(BF4,BG4+1,BH4-BG4-1)</f>
        <v>6</v>
      </c>
      <c r="BK4" t="str">
        <f t="shared" ref="BK4:BK22" si="49">MID(BF4,BH4+1,2)</f>
        <v>+1</v>
      </c>
      <c r="BL4" s="183" t="s">
        <v>1124</v>
      </c>
      <c r="BM4">
        <f t="shared" ref="BM4:BM22" si="50">FIND(" ",BL4,LEN($C4)+2)</f>
        <v>10</v>
      </c>
      <c r="BN4">
        <f t="shared" ref="BN4:BN22" si="51">FIND(" ",BL4,BM4+1)</f>
        <v>12</v>
      </c>
      <c r="BO4" t="str">
        <f t="shared" ref="BO4:BO22" si="52">MID(BL4,LEN($C4)+2,BM4-LEN($C4)-2)</f>
        <v>5</v>
      </c>
      <c r="BP4" t="str">
        <f t="shared" ref="BP4:BP22" si="53">MID(BL4,BM4+1,BN4-BM4-1)</f>
        <v>6</v>
      </c>
      <c r="BQ4" t="str">
        <f t="shared" ref="BQ4:BQ22" si="54">MID(BL4,BN4+1,2)</f>
        <v>-1</v>
      </c>
      <c r="BR4" s="183" t="s">
        <v>1139</v>
      </c>
      <c r="BS4">
        <f t="shared" ref="BS4:BS22" si="55">FIND(" ",BR4,LEN($C4)+2)</f>
        <v>10</v>
      </c>
      <c r="BT4">
        <f t="shared" ref="BT4:BT22" si="56">FIND(" ",BR4,BS4+1)</f>
        <v>12</v>
      </c>
      <c r="BU4" t="str">
        <f t="shared" ref="BU4:BU22" si="57">MID(BR4,LEN($C4)+2,BS4-LEN($C4)-2)</f>
        <v>6</v>
      </c>
      <c r="BV4" t="str">
        <f t="shared" ref="BV4:BV22" si="58">MID(BR4,BS4+1,BT4-BS4-1)</f>
        <v>6</v>
      </c>
      <c r="BW4" t="str">
        <f t="shared" ref="BW4:BW22" si="59">MID(BR4,BT4+1,2)</f>
        <v>-2</v>
      </c>
      <c r="BX4" s="183" t="s">
        <v>1157</v>
      </c>
      <c r="BY4">
        <f t="shared" ref="BY4:BY22" si="60">FIND(" ",BX4,LEN($C4)+2)</f>
        <v>10</v>
      </c>
      <c r="BZ4">
        <f t="shared" ref="BZ4:BZ22" si="61">FIND(" ",BX4,BY4+1)</f>
        <v>12</v>
      </c>
      <c r="CA4" t="str">
        <f t="shared" ref="CA4:CA22" si="62">MID(BX4,LEN($C4)+2,BY4-LEN($C4)-2)</f>
        <v>3</v>
      </c>
      <c r="CB4" t="str">
        <f t="shared" ref="CB4:CB22" si="63">MID(BX4,BY4+1,BZ4-BY4-1)</f>
        <v>4</v>
      </c>
      <c r="CC4" t="str">
        <f t="shared" ref="CC4:CC22" si="64">MID(BX4,BZ4+1,2)</f>
        <v>3</v>
      </c>
      <c r="CD4" s="181" t="s">
        <v>1177</v>
      </c>
      <c r="CE4">
        <f t="shared" ref="CE4:CE22" si="65">FIND(" ",CD4,LEN($C4)+2)</f>
        <v>10</v>
      </c>
      <c r="CF4">
        <f t="shared" ref="CF4:CF22" si="66">FIND(" ",CD4,CE4+1)</f>
        <v>12</v>
      </c>
      <c r="CG4" t="str">
        <f t="shared" ref="CG4:CG22" si="67">MID(CD4,LEN($C4)+2,CE4-LEN($C4)-2)</f>
        <v>6</v>
      </c>
      <c r="CH4" t="str">
        <f t="shared" ref="CH4:CH22" si="68">MID(CD4,CE4+1,CF4-CE4-1)</f>
        <v>7</v>
      </c>
      <c r="CI4" t="str">
        <f t="shared" ref="CI4:CI22" si="69">MID(CD4,CF4+1,2)</f>
        <v>0</v>
      </c>
      <c r="CJ4" s="181" t="s">
        <v>1194</v>
      </c>
      <c r="CK4">
        <f t="shared" ref="CK4:CK22" si="70">FIND(" ",CJ4,LEN($C4)+2)</f>
        <v>10</v>
      </c>
      <c r="CL4">
        <f t="shared" ref="CL4:CL22" si="71">FIND(" ",CJ4,CK4+1)</f>
        <v>12</v>
      </c>
      <c r="CM4" t="str">
        <f t="shared" ref="CM4:CM22" si="72">MID(CJ4,LEN($C4)+2,CK4-LEN($C4)-2)</f>
        <v>5</v>
      </c>
      <c r="CN4" t="str">
        <f t="shared" ref="CN4:CN22" si="73">MID(CJ4,CK4+1,CL4-CK4-1)</f>
        <v>5</v>
      </c>
      <c r="CO4" t="str">
        <f t="shared" ref="CO4:CO22" si="74">MID(CJ4,CL4+1,2)</f>
        <v>0</v>
      </c>
      <c r="CP4" s="181" t="s">
        <v>1212</v>
      </c>
      <c r="CQ4">
        <f t="shared" ref="CQ4:CQ22" si="75">FIND(" ",CP4,LEN($C4)+2)</f>
        <v>10</v>
      </c>
      <c r="CR4">
        <f t="shared" ref="CR4:CR22" si="76">FIND(" ",CP4,CQ4+1)</f>
        <v>12</v>
      </c>
      <c r="CS4" t="str">
        <f t="shared" ref="CS4:CS22" si="77">MID(CP4,LEN($C4)+2,CQ4-LEN($C4)-2)</f>
        <v>6</v>
      </c>
      <c r="CT4" t="str">
        <f t="shared" ref="CT4:CT22" si="78">MID(CP4,CQ4+1,CR4-CQ4-1)</f>
        <v>6</v>
      </c>
      <c r="CU4" t="str">
        <f t="shared" ref="CU4:CU22" si="79">MID(CP4,CR4+1,2)</f>
        <v>1</v>
      </c>
      <c r="CV4" s="181" t="s">
        <v>1029</v>
      </c>
      <c r="CW4">
        <f t="shared" ref="CW4:CW22" si="80">FIND(" ",CV4,LEN($C4)+2)</f>
        <v>10</v>
      </c>
      <c r="CX4">
        <f t="shared" ref="CX4:CX22" si="81">FIND(" ",CV4,CW4+1)</f>
        <v>12</v>
      </c>
      <c r="CY4" t="str">
        <f t="shared" ref="CY4:CY22" si="82">MID(CV4,LEN($C4)+2,CW4-LEN($C4)-2)</f>
        <v>6</v>
      </c>
      <c r="CZ4" t="str">
        <f t="shared" ref="CZ4:CZ22" si="83">MID(CV4,CW4+1,CX4-CW4-1)</f>
        <v>7</v>
      </c>
      <c r="DA4" t="str">
        <f t="shared" ref="DA4:DA22" si="84">MID(CV4,CX4+1,2)</f>
        <v>+1</v>
      </c>
      <c r="DB4" s="181" t="s">
        <v>1229</v>
      </c>
      <c r="DC4">
        <f t="shared" ref="DC4:DC22" si="85">FIND(" ",DB4,LEN($C4)+2)</f>
        <v>10</v>
      </c>
      <c r="DD4">
        <f t="shared" ref="DD4:DD22" si="86">FIND(" ",DB4,DC4+1)</f>
        <v>12</v>
      </c>
      <c r="DE4" t="str">
        <f t="shared" ref="DE4:DE22" si="87">MID(DB4,LEN($C4)+2,DC4-LEN($C4)-2)</f>
        <v>6</v>
      </c>
      <c r="DF4" t="str">
        <f t="shared" ref="DF4:DF22" si="88">MID(DB4,DC4+1,DD4-DC4-1)</f>
        <v>5</v>
      </c>
      <c r="DG4" t="str">
        <f t="shared" ref="DG4:DG22" si="89">MID(DB4,DD4+1,2)</f>
        <v>-2</v>
      </c>
      <c r="DH4" s="181" t="s">
        <v>1243</v>
      </c>
      <c r="DI4">
        <f t="shared" ref="DI4:DI22" si="90">FIND(" ",DH4,LEN($C4)+2)</f>
        <v>10</v>
      </c>
      <c r="DJ4">
        <f t="shared" ref="DJ4:DJ22" si="91">FIND(" ",DH4,DI4+1)</f>
        <v>12</v>
      </c>
      <c r="DK4" t="str">
        <f t="shared" ref="DK4:DK22" si="92">MID(DH4,LEN($C4)+2,DI4-LEN($C4)-2)</f>
        <v>6</v>
      </c>
      <c r="DL4" t="str">
        <f t="shared" ref="DL4:DL22" si="93">MID(DH4,DI4+1,DJ4-DI4-1)</f>
        <v>5</v>
      </c>
      <c r="DM4" t="str">
        <f t="shared" ref="DM4:DM22" si="94">MID(DH4,DJ4+1,2)</f>
        <v>1</v>
      </c>
      <c r="DN4" s="181" t="s">
        <v>1261</v>
      </c>
      <c r="DO4">
        <f t="shared" ref="DO4:DO22" si="95">FIND(" ",DN4,LEN($C4)+2)</f>
        <v>10</v>
      </c>
      <c r="DP4">
        <f t="shared" ref="DP4:DP22" si="96">FIND(" ",DN4,DO4+1)</f>
        <v>12</v>
      </c>
      <c r="DQ4" t="str">
        <f t="shared" ref="DQ4:DQ22" si="97">MID(DN4,LEN($C4)+2,DO4-LEN($C4)-2)</f>
        <v>7</v>
      </c>
      <c r="DR4" t="str">
        <f t="shared" ref="DR4:DR22" si="98">MID(DN4,DO4+1,DP4-DO4-1)</f>
        <v>6</v>
      </c>
      <c r="DS4" t="str">
        <f t="shared" ref="DS4:DS22" si="99">MID(DN4,DP4+1,2)</f>
        <v>2</v>
      </c>
    </row>
    <row r="5" spans="1:123">
      <c r="C5" s="181" t="s">
        <v>700</v>
      </c>
      <c r="D5" s="181" t="s">
        <v>951</v>
      </c>
      <c r="E5">
        <f t="shared" si="0"/>
        <v>11</v>
      </c>
      <c r="F5">
        <f t="shared" si="1"/>
        <v>13</v>
      </c>
      <c r="G5" s="185" t="str">
        <f t="shared" si="2"/>
        <v>7</v>
      </c>
      <c r="H5" s="185" t="str">
        <f t="shared" si="3"/>
        <v>6</v>
      </c>
      <c r="I5" s="185" t="str">
        <f t="shared" si="4"/>
        <v>0</v>
      </c>
      <c r="J5" s="181" t="s">
        <v>971</v>
      </c>
      <c r="K5">
        <f t="shared" si="5"/>
        <v>11</v>
      </c>
      <c r="L5">
        <f t="shared" si="6"/>
        <v>13</v>
      </c>
      <c r="M5" t="str">
        <f t="shared" si="7"/>
        <v>5</v>
      </c>
      <c r="N5" t="str">
        <f t="shared" si="8"/>
        <v>7</v>
      </c>
      <c r="O5" t="str">
        <f t="shared" si="9"/>
        <v>3</v>
      </c>
      <c r="P5" s="181" t="s">
        <v>991</v>
      </c>
      <c r="Q5">
        <f t="shared" si="10"/>
        <v>11</v>
      </c>
      <c r="R5">
        <f t="shared" si="11"/>
        <v>13</v>
      </c>
      <c r="S5" t="str">
        <f t="shared" si="12"/>
        <v>5</v>
      </c>
      <c r="T5" t="str">
        <f t="shared" si="13"/>
        <v>5</v>
      </c>
      <c r="U5" t="str">
        <f t="shared" si="14"/>
        <v>+1</v>
      </c>
      <c r="V5" s="181" t="s">
        <v>1011</v>
      </c>
      <c r="W5">
        <f t="shared" si="15"/>
        <v>11</v>
      </c>
      <c r="X5">
        <f t="shared" si="16"/>
        <v>13</v>
      </c>
      <c r="Y5" t="str">
        <f t="shared" si="17"/>
        <v>5</v>
      </c>
      <c r="Z5" t="str">
        <f t="shared" si="18"/>
        <v>5</v>
      </c>
      <c r="AA5" t="str">
        <f t="shared" si="19"/>
        <v>+2</v>
      </c>
      <c r="AB5" s="181" t="s">
        <v>1030</v>
      </c>
      <c r="AC5">
        <f t="shared" si="20"/>
        <v>11</v>
      </c>
      <c r="AD5">
        <f t="shared" si="21"/>
        <v>13</v>
      </c>
      <c r="AE5" t="str">
        <f t="shared" si="22"/>
        <v>6</v>
      </c>
      <c r="AF5" t="str">
        <f t="shared" si="23"/>
        <v>7</v>
      </c>
      <c r="AG5" t="str">
        <f t="shared" si="24"/>
        <v>+2</v>
      </c>
      <c r="AH5" s="183" t="s">
        <v>1044</v>
      </c>
      <c r="AI5">
        <f t="shared" si="25"/>
        <v>11</v>
      </c>
      <c r="AJ5">
        <f t="shared" si="26"/>
        <v>13</v>
      </c>
      <c r="AK5" t="str">
        <f t="shared" si="27"/>
        <v>5</v>
      </c>
      <c r="AL5" t="str">
        <f t="shared" si="28"/>
        <v>6</v>
      </c>
      <c r="AM5" t="str">
        <f t="shared" si="29"/>
        <v>+1</v>
      </c>
      <c r="AN5" s="183" t="s">
        <v>1063</v>
      </c>
      <c r="AO5">
        <f t="shared" si="30"/>
        <v>11</v>
      </c>
      <c r="AP5">
        <f t="shared" si="31"/>
        <v>13</v>
      </c>
      <c r="AQ5" t="str">
        <f t="shared" si="32"/>
        <v>6</v>
      </c>
      <c r="AR5" t="str">
        <f t="shared" si="33"/>
        <v>6</v>
      </c>
      <c r="AS5" t="str">
        <f t="shared" si="34"/>
        <v>+1</v>
      </c>
      <c r="AT5" s="183" t="s">
        <v>1078</v>
      </c>
      <c r="AU5">
        <f t="shared" si="35"/>
        <v>11</v>
      </c>
      <c r="AV5">
        <f t="shared" si="36"/>
        <v>13</v>
      </c>
      <c r="AW5" t="str">
        <f t="shared" si="37"/>
        <v>3</v>
      </c>
      <c r="AX5" t="str">
        <f t="shared" si="38"/>
        <v>4</v>
      </c>
      <c r="AY5" t="str">
        <f t="shared" si="39"/>
        <v>-1</v>
      </c>
      <c r="AZ5" s="183" t="s">
        <v>1094</v>
      </c>
      <c r="BA5">
        <f t="shared" si="40"/>
        <v>11</v>
      </c>
      <c r="BB5">
        <f t="shared" si="41"/>
        <v>13</v>
      </c>
      <c r="BC5" t="str">
        <f t="shared" si="42"/>
        <v>5</v>
      </c>
      <c r="BD5" t="str">
        <f t="shared" si="43"/>
        <v>5</v>
      </c>
      <c r="BE5" t="str">
        <f t="shared" si="44"/>
        <v>1</v>
      </c>
      <c r="BF5" s="183" t="s">
        <v>1108</v>
      </c>
      <c r="BG5">
        <f t="shared" si="45"/>
        <v>11</v>
      </c>
      <c r="BH5">
        <f t="shared" si="46"/>
        <v>13</v>
      </c>
      <c r="BI5" t="str">
        <f t="shared" si="47"/>
        <v>4</v>
      </c>
      <c r="BJ5" t="str">
        <f t="shared" si="48"/>
        <v>7</v>
      </c>
      <c r="BK5" t="str">
        <f t="shared" si="49"/>
        <v>0</v>
      </c>
      <c r="BL5" s="183" t="s">
        <v>1125</v>
      </c>
      <c r="BM5">
        <f t="shared" si="50"/>
        <v>11</v>
      </c>
      <c r="BN5">
        <f t="shared" si="51"/>
        <v>13</v>
      </c>
      <c r="BO5" t="str">
        <f t="shared" si="52"/>
        <v>5</v>
      </c>
      <c r="BP5" t="str">
        <f t="shared" si="53"/>
        <v>7</v>
      </c>
      <c r="BQ5" t="str">
        <f t="shared" si="54"/>
        <v>0</v>
      </c>
      <c r="BR5" s="183" t="s">
        <v>1140</v>
      </c>
      <c r="BS5">
        <f t="shared" si="55"/>
        <v>11</v>
      </c>
      <c r="BT5">
        <f t="shared" si="56"/>
        <v>13</v>
      </c>
      <c r="BU5" t="str">
        <f t="shared" si="57"/>
        <v>6</v>
      </c>
      <c r="BV5" t="str">
        <f t="shared" si="58"/>
        <v>7</v>
      </c>
      <c r="BW5" t="str">
        <f t="shared" si="59"/>
        <v>-3</v>
      </c>
      <c r="BX5" s="183" t="s">
        <v>1158</v>
      </c>
      <c r="BY5">
        <f t="shared" si="60"/>
        <v>11</v>
      </c>
      <c r="BZ5">
        <f t="shared" si="61"/>
        <v>13</v>
      </c>
      <c r="CA5" t="str">
        <f t="shared" si="62"/>
        <v>7</v>
      </c>
      <c r="CB5" t="str">
        <f t="shared" si="63"/>
        <v>5</v>
      </c>
      <c r="CC5" t="str">
        <f t="shared" si="64"/>
        <v>6</v>
      </c>
      <c r="CD5" s="181" t="s">
        <v>1178</v>
      </c>
      <c r="CE5">
        <f t="shared" si="65"/>
        <v>11</v>
      </c>
      <c r="CF5">
        <f t="shared" si="66"/>
        <v>13</v>
      </c>
      <c r="CG5" t="str">
        <f t="shared" si="67"/>
        <v>6</v>
      </c>
      <c r="CH5" t="str">
        <f t="shared" si="68"/>
        <v>7</v>
      </c>
      <c r="CI5" t="str">
        <f t="shared" si="69"/>
        <v>0</v>
      </c>
      <c r="CJ5" s="181" t="s">
        <v>1195</v>
      </c>
      <c r="CK5">
        <f t="shared" si="70"/>
        <v>11</v>
      </c>
      <c r="CL5">
        <f t="shared" si="71"/>
        <v>13</v>
      </c>
      <c r="CM5" t="str">
        <f t="shared" si="72"/>
        <v>5</v>
      </c>
      <c r="CN5" t="str">
        <f t="shared" si="73"/>
        <v>6</v>
      </c>
      <c r="CO5" t="str">
        <f t="shared" si="74"/>
        <v>1</v>
      </c>
      <c r="CP5" s="181" t="s">
        <v>1125</v>
      </c>
      <c r="CQ5">
        <f t="shared" si="75"/>
        <v>11</v>
      </c>
      <c r="CR5">
        <f t="shared" si="76"/>
        <v>13</v>
      </c>
      <c r="CS5" t="str">
        <f t="shared" si="77"/>
        <v>5</v>
      </c>
      <c r="CT5" t="str">
        <f t="shared" si="78"/>
        <v>7</v>
      </c>
      <c r="CU5" t="str">
        <f t="shared" si="79"/>
        <v>0</v>
      </c>
      <c r="CV5" s="181" t="s">
        <v>1030</v>
      </c>
      <c r="CW5">
        <f t="shared" si="80"/>
        <v>11</v>
      </c>
      <c r="CX5">
        <f t="shared" si="81"/>
        <v>13</v>
      </c>
      <c r="CY5" t="str">
        <f t="shared" si="82"/>
        <v>6</v>
      </c>
      <c r="CZ5" t="str">
        <f t="shared" si="83"/>
        <v>7</v>
      </c>
      <c r="DA5" t="str">
        <f t="shared" si="84"/>
        <v>+2</v>
      </c>
      <c r="DB5" s="181" t="s">
        <v>1230</v>
      </c>
      <c r="DC5">
        <f t="shared" si="85"/>
        <v>11</v>
      </c>
      <c r="DD5">
        <f t="shared" si="86"/>
        <v>13</v>
      </c>
      <c r="DE5" t="str">
        <f t="shared" si="87"/>
        <v>5</v>
      </c>
      <c r="DF5" t="str">
        <f t="shared" si="88"/>
        <v>6</v>
      </c>
      <c r="DG5" t="str">
        <f t="shared" si="89"/>
        <v>-1</v>
      </c>
      <c r="DH5" s="181" t="s">
        <v>1244</v>
      </c>
      <c r="DI5">
        <f t="shared" si="90"/>
        <v>11</v>
      </c>
      <c r="DJ5">
        <f t="shared" si="91"/>
        <v>13</v>
      </c>
      <c r="DK5" t="str">
        <f t="shared" si="92"/>
        <v>5</v>
      </c>
      <c r="DL5" t="str">
        <f t="shared" si="93"/>
        <v>7</v>
      </c>
      <c r="DM5" t="str">
        <f t="shared" si="94"/>
        <v>1</v>
      </c>
      <c r="DN5" s="181" t="s">
        <v>1262</v>
      </c>
      <c r="DO5">
        <f t="shared" si="95"/>
        <v>11</v>
      </c>
      <c r="DP5">
        <f t="shared" si="96"/>
        <v>13</v>
      </c>
      <c r="DQ5" t="str">
        <f t="shared" si="97"/>
        <v>6</v>
      </c>
      <c r="DR5" t="str">
        <f t="shared" si="98"/>
        <v>6</v>
      </c>
      <c r="DS5" t="str">
        <f t="shared" si="99"/>
        <v>0</v>
      </c>
    </row>
    <row r="6" spans="1:123">
      <c r="A6" s="177" t="s">
        <v>908</v>
      </c>
      <c r="C6" s="181" t="s">
        <v>680</v>
      </c>
      <c r="D6" s="181" t="s">
        <v>952</v>
      </c>
      <c r="E6">
        <f t="shared" si="0"/>
        <v>9</v>
      </c>
      <c r="F6">
        <f t="shared" si="1"/>
        <v>11</v>
      </c>
      <c r="G6" s="185" t="str">
        <f t="shared" si="2"/>
        <v>5</v>
      </c>
      <c r="H6" s="185" t="str">
        <f t="shared" si="3"/>
        <v>7</v>
      </c>
      <c r="I6" s="185" t="str">
        <f t="shared" si="4"/>
        <v>-3</v>
      </c>
      <c r="J6" s="181" t="s">
        <v>972</v>
      </c>
      <c r="K6">
        <f t="shared" si="5"/>
        <v>9</v>
      </c>
      <c r="L6">
        <f t="shared" si="6"/>
        <v>11</v>
      </c>
      <c r="M6" t="str">
        <f t="shared" si="7"/>
        <v>5</v>
      </c>
      <c r="N6" t="str">
        <f t="shared" si="8"/>
        <v>6</v>
      </c>
      <c r="O6" t="str">
        <f t="shared" si="9"/>
        <v>-3</v>
      </c>
      <c r="P6" s="181" t="s">
        <v>992</v>
      </c>
      <c r="Q6">
        <f t="shared" si="10"/>
        <v>9</v>
      </c>
      <c r="R6">
        <f t="shared" si="11"/>
        <v>11</v>
      </c>
      <c r="S6" t="str">
        <f t="shared" si="12"/>
        <v>5</v>
      </c>
      <c r="T6" t="str">
        <f t="shared" si="13"/>
        <v>6</v>
      </c>
      <c r="U6" t="str">
        <f t="shared" si="14"/>
        <v>-2</v>
      </c>
      <c r="V6" s="181" t="s">
        <v>972</v>
      </c>
      <c r="W6">
        <f t="shared" si="15"/>
        <v>9</v>
      </c>
      <c r="X6">
        <f t="shared" si="16"/>
        <v>11</v>
      </c>
      <c r="Y6" t="str">
        <f t="shared" si="17"/>
        <v>5</v>
      </c>
      <c r="Z6" t="str">
        <f t="shared" si="18"/>
        <v>6</v>
      </c>
      <c r="AA6" t="str">
        <f t="shared" si="19"/>
        <v>-3</v>
      </c>
      <c r="AB6" s="181" t="s">
        <v>1031</v>
      </c>
      <c r="AC6">
        <f t="shared" si="20"/>
        <v>9</v>
      </c>
      <c r="AD6">
        <f t="shared" si="21"/>
        <v>11</v>
      </c>
      <c r="AE6" t="str">
        <f t="shared" si="22"/>
        <v>6</v>
      </c>
      <c r="AF6" t="str">
        <f t="shared" si="23"/>
        <v>6</v>
      </c>
      <c r="AG6" t="str">
        <f t="shared" si="24"/>
        <v>0</v>
      </c>
      <c r="AH6" s="183" t="s">
        <v>1045</v>
      </c>
      <c r="AI6">
        <f t="shared" si="25"/>
        <v>9</v>
      </c>
      <c r="AJ6">
        <f t="shared" si="26"/>
        <v>11</v>
      </c>
      <c r="AK6" t="str">
        <f t="shared" si="27"/>
        <v>5</v>
      </c>
      <c r="AL6" t="str">
        <f t="shared" si="28"/>
        <v>7</v>
      </c>
      <c r="AM6" t="str">
        <f t="shared" si="29"/>
        <v>-4</v>
      </c>
      <c r="AN6" s="183" t="s">
        <v>952</v>
      </c>
      <c r="AO6">
        <f t="shared" si="30"/>
        <v>9</v>
      </c>
      <c r="AP6">
        <f t="shared" si="31"/>
        <v>11</v>
      </c>
      <c r="AQ6" t="str">
        <f t="shared" si="32"/>
        <v>5</v>
      </c>
      <c r="AR6" t="str">
        <f t="shared" si="33"/>
        <v>7</v>
      </c>
      <c r="AS6" t="str">
        <f t="shared" si="34"/>
        <v>-3</v>
      </c>
      <c r="AT6" s="183" t="s">
        <v>1079</v>
      </c>
      <c r="AU6">
        <f t="shared" si="35"/>
        <v>9</v>
      </c>
      <c r="AV6">
        <f t="shared" si="36"/>
        <v>11</v>
      </c>
      <c r="AW6" t="str">
        <f t="shared" si="37"/>
        <v>6</v>
      </c>
      <c r="AX6" t="str">
        <f t="shared" si="38"/>
        <v>7</v>
      </c>
      <c r="AY6" t="str">
        <f t="shared" si="39"/>
        <v>-3</v>
      </c>
      <c r="AZ6" s="183" t="s">
        <v>1095</v>
      </c>
      <c r="BA6">
        <f t="shared" si="40"/>
        <v>9</v>
      </c>
      <c r="BB6">
        <f t="shared" si="41"/>
        <v>11</v>
      </c>
      <c r="BC6" t="str">
        <f t="shared" si="42"/>
        <v>6</v>
      </c>
      <c r="BD6" t="str">
        <f t="shared" si="43"/>
        <v>8</v>
      </c>
      <c r="BE6" t="str">
        <f t="shared" si="44"/>
        <v>-2</v>
      </c>
      <c r="BF6" s="183" t="s">
        <v>1109</v>
      </c>
      <c r="BG6">
        <f t="shared" si="45"/>
        <v>9</v>
      </c>
      <c r="BH6">
        <f t="shared" si="46"/>
        <v>11</v>
      </c>
      <c r="BI6" t="str">
        <f t="shared" si="47"/>
        <v>5</v>
      </c>
      <c r="BJ6" t="str">
        <f t="shared" si="48"/>
        <v>6</v>
      </c>
      <c r="BK6" t="str">
        <f t="shared" si="49"/>
        <v>0</v>
      </c>
      <c r="BL6" s="183" t="s">
        <v>1126</v>
      </c>
      <c r="BM6">
        <f t="shared" si="50"/>
        <v>9</v>
      </c>
      <c r="BN6">
        <f t="shared" si="51"/>
        <v>11</v>
      </c>
      <c r="BO6" t="str">
        <f t="shared" si="52"/>
        <v>6</v>
      </c>
      <c r="BP6" t="str">
        <f t="shared" si="53"/>
        <v>8</v>
      </c>
      <c r="BQ6" t="str">
        <f t="shared" si="54"/>
        <v>-3</v>
      </c>
      <c r="BR6" s="183" t="s">
        <v>1141</v>
      </c>
      <c r="BS6">
        <f t="shared" si="55"/>
        <v>9</v>
      </c>
      <c r="BT6">
        <f t="shared" si="56"/>
        <v>11</v>
      </c>
      <c r="BU6" t="str">
        <f t="shared" si="57"/>
        <v>6</v>
      </c>
      <c r="BV6" t="str">
        <f t="shared" si="58"/>
        <v>8</v>
      </c>
      <c r="BW6" t="str">
        <f t="shared" si="59"/>
        <v>-1</v>
      </c>
      <c r="BX6" s="183" t="s">
        <v>1159</v>
      </c>
      <c r="BY6">
        <f t="shared" si="60"/>
        <v>9</v>
      </c>
      <c r="BZ6">
        <f t="shared" si="61"/>
        <v>11</v>
      </c>
      <c r="CA6" t="str">
        <f t="shared" si="62"/>
        <v>5</v>
      </c>
      <c r="CB6" t="str">
        <f t="shared" si="63"/>
        <v>8</v>
      </c>
      <c r="CC6" t="str">
        <f t="shared" si="64"/>
        <v>5</v>
      </c>
      <c r="CD6" s="181" t="s">
        <v>1179</v>
      </c>
      <c r="CE6">
        <f t="shared" si="65"/>
        <v>9</v>
      </c>
      <c r="CF6">
        <f t="shared" si="66"/>
        <v>11</v>
      </c>
      <c r="CG6" t="str">
        <f t="shared" si="67"/>
        <v>6</v>
      </c>
      <c r="CH6" t="str">
        <f t="shared" si="68"/>
        <v>6</v>
      </c>
      <c r="CI6" t="str">
        <f t="shared" si="69"/>
        <v>-2</v>
      </c>
      <c r="CJ6" s="181" t="s">
        <v>1196</v>
      </c>
      <c r="CK6">
        <f t="shared" si="70"/>
        <v>9</v>
      </c>
      <c r="CL6">
        <f t="shared" si="71"/>
        <v>11</v>
      </c>
      <c r="CM6" t="str">
        <f t="shared" si="72"/>
        <v>4</v>
      </c>
      <c r="CN6" t="str">
        <f t="shared" si="73"/>
        <v>7</v>
      </c>
      <c r="CO6" t="str">
        <f t="shared" si="74"/>
        <v>-1</v>
      </c>
      <c r="CP6" s="181" t="s">
        <v>1213</v>
      </c>
      <c r="CQ6">
        <f t="shared" si="75"/>
        <v>9</v>
      </c>
      <c r="CR6">
        <f t="shared" si="76"/>
        <v>11</v>
      </c>
      <c r="CS6" t="str">
        <f t="shared" si="77"/>
        <v>5</v>
      </c>
      <c r="CT6" t="str">
        <f t="shared" si="78"/>
        <v>6</v>
      </c>
      <c r="CU6" t="str">
        <f t="shared" si="79"/>
        <v>-1</v>
      </c>
      <c r="CV6" s="181" t="s">
        <v>1031</v>
      </c>
      <c r="CW6">
        <f t="shared" si="80"/>
        <v>9</v>
      </c>
      <c r="CX6">
        <f t="shared" si="81"/>
        <v>11</v>
      </c>
      <c r="CY6" t="str">
        <f t="shared" si="82"/>
        <v>6</v>
      </c>
      <c r="CZ6" t="str">
        <f t="shared" si="83"/>
        <v>6</v>
      </c>
      <c r="DA6" t="str">
        <f t="shared" si="84"/>
        <v>0</v>
      </c>
      <c r="DB6" s="181" t="s">
        <v>992</v>
      </c>
      <c r="DC6">
        <f t="shared" si="85"/>
        <v>9</v>
      </c>
      <c r="DD6">
        <f t="shared" si="86"/>
        <v>11</v>
      </c>
      <c r="DE6" t="str">
        <f t="shared" si="87"/>
        <v>5</v>
      </c>
      <c r="DF6" t="str">
        <f t="shared" si="88"/>
        <v>6</v>
      </c>
      <c r="DG6" t="str">
        <f t="shared" si="89"/>
        <v>-2</v>
      </c>
      <c r="DH6" s="181" t="s">
        <v>1245</v>
      </c>
      <c r="DI6">
        <f t="shared" si="90"/>
        <v>9</v>
      </c>
      <c r="DJ6">
        <f t="shared" si="91"/>
        <v>11</v>
      </c>
      <c r="DK6" t="str">
        <f t="shared" si="92"/>
        <v>5</v>
      </c>
      <c r="DL6" t="str">
        <f t="shared" si="93"/>
        <v>7</v>
      </c>
      <c r="DM6" t="str">
        <f t="shared" si="94"/>
        <v>-1</v>
      </c>
      <c r="DN6" s="181" t="s">
        <v>1263</v>
      </c>
      <c r="DO6">
        <f t="shared" si="95"/>
        <v>9</v>
      </c>
      <c r="DP6">
        <f t="shared" si="96"/>
        <v>11</v>
      </c>
      <c r="DQ6" t="str">
        <f t="shared" si="97"/>
        <v>6</v>
      </c>
      <c r="DR6" t="str">
        <f t="shared" si="98"/>
        <v>6</v>
      </c>
      <c r="DS6" t="str">
        <f t="shared" si="99"/>
        <v>1</v>
      </c>
    </row>
    <row r="7" spans="1:123">
      <c r="C7" s="181" t="s">
        <v>701</v>
      </c>
      <c r="D7" s="181" t="s">
        <v>953</v>
      </c>
      <c r="E7">
        <f t="shared" si="0"/>
        <v>10</v>
      </c>
      <c r="F7">
        <f t="shared" si="1"/>
        <v>12</v>
      </c>
      <c r="G7" s="185" t="str">
        <f t="shared" si="2"/>
        <v>4</v>
      </c>
      <c r="H7" s="185" t="str">
        <f t="shared" si="3"/>
        <v>5</v>
      </c>
      <c r="I7" s="185" t="str">
        <f t="shared" si="4"/>
        <v>-4</v>
      </c>
      <c r="J7" s="181" t="s">
        <v>973</v>
      </c>
      <c r="K7">
        <f t="shared" si="5"/>
        <v>10</v>
      </c>
      <c r="L7">
        <f t="shared" si="6"/>
        <v>12</v>
      </c>
      <c r="M7" t="str">
        <f t="shared" si="7"/>
        <v>1</v>
      </c>
      <c r="N7" t="str">
        <f t="shared" si="8"/>
        <v>8</v>
      </c>
      <c r="O7" t="str">
        <f t="shared" si="9"/>
        <v>3</v>
      </c>
      <c r="P7" s="181" t="s">
        <v>993</v>
      </c>
      <c r="Q7">
        <f t="shared" si="10"/>
        <v>10</v>
      </c>
      <c r="R7">
        <f t="shared" si="11"/>
        <v>12</v>
      </c>
      <c r="S7" t="str">
        <f t="shared" si="12"/>
        <v>1</v>
      </c>
      <c r="T7" t="str">
        <f t="shared" si="13"/>
        <v>3</v>
      </c>
      <c r="U7" t="str">
        <f t="shared" si="14"/>
        <v>-2</v>
      </c>
      <c r="V7" s="181" t="s">
        <v>1012</v>
      </c>
      <c r="W7">
        <f t="shared" si="15"/>
        <v>10</v>
      </c>
      <c r="X7">
        <f t="shared" si="16"/>
        <v>12</v>
      </c>
      <c r="Y7" t="str">
        <f t="shared" si="17"/>
        <v>4</v>
      </c>
      <c r="Z7" t="str">
        <f t="shared" si="18"/>
        <v>4</v>
      </c>
      <c r="AA7" t="str">
        <f t="shared" si="19"/>
        <v>0</v>
      </c>
      <c r="AB7" s="181" t="s">
        <v>1032</v>
      </c>
      <c r="AC7">
        <f t="shared" si="20"/>
        <v>10</v>
      </c>
      <c r="AD7">
        <f t="shared" si="21"/>
        <v>12</v>
      </c>
      <c r="AE7" t="str">
        <f t="shared" si="22"/>
        <v>4</v>
      </c>
      <c r="AF7" t="str">
        <f t="shared" si="23"/>
        <v>6</v>
      </c>
      <c r="AG7" t="str">
        <f t="shared" si="24"/>
        <v>0</v>
      </c>
      <c r="AH7" s="183" t="s">
        <v>1046</v>
      </c>
      <c r="AI7">
        <f t="shared" si="25"/>
        <v>10</v>
      </c>
      <c r="AJ7">
        <f t="shared" si="26"/>
        <v>12</v>
      </c>
      <c r="AK7" t="str">
        <f t="shared" si="27"/>
        <v>4</v>
      </c>
      <c r="AL7" t="str">
        <f t="shared" si="28"/>
        <v>5</v>
      </c>
      <c r="AM7" t="str">
        <f t="shared" si="29"/>
        <v>-2</v>
      </c>
      <c r="AN7" s="183" t="s">
        <v>1064</v>
      </c>
      <c r="AO7">
        <f t="shared" si="30"/>
        <v>10</v>
      </c>
      <c r="AP7">
        <f t="shared" si="31"/>
        <v>12</v>
      </c>
      <c r="AQ7" t="str">
        <f t="shared" si="32"/>
        <v>3</v>
      </c>
      <c r="AR7" t="str">
        <f t="shared" si="33"/>
        <v>5</v>
      </c>
      <c r="AS7" t="str">
        <f t="shared" si="34"/>
        <v>+1</v>
      </c>
      <c r="AT7" s="183" t="s">
        <v>1080</v>
      </c>
      <c r="AU7">
        <f t="shared" si="35"/>
        <v>10</v>
      </c>
      <c r="AV7">
        <f t="shared" si="36"/>
        <v>12</v>
      </c>
      <c r="AW7" t="str">
        <f t="shared" si="37"/>
        <v>2</v>
      </c>
      <c r="AX7" t="str">
        <f t="shared" si="38"/>
        <v>4</v>
      </c>
      <c r="AY7" t="str">
        <f t="shared" si="39"/>
        <v>-1</v>
      </c>
      <c r="AZ7" s="183" t="s">
        <v>1012</v>
      </c>
      <c r="BA7">
        <f t="shared" si="40"/>
        <v>10</v>
      </c>
      <c r="BB7">
        <f t="shared" si="41"/>
        <v>12</v>
      </c>
      <c r="BC7" t="str">
        <f t="shared" si="42"/>
        <v>4</v>
      </c>
      <c r="BD7" t="str">
        <f t="shared" si="43"/>
        <v>4</v>
      </c>
      <c r="BE7" t="str">
        <f t="shared" si="44"/>
        <v>0</v>
      </c>
      <c r="BF7" s="183" t="s">
        <v>1032</v>
      </c>
      <c r="BG7">
        <f t="shared" si="45"/>
        <v>10</v>
      </c>
      <c r="BH7">
        <f t="shared" si="46"/>
        <v>12</v>
      </c>
      <c r="BI7" t="str">
        <f t="shared" si="47"/>
        <v>4</v>
      </c>
      <c r="BJ7" t="str">
        <f t="shared" si="48"/>
        <v>6</v>
      </c>
      <c r="BK7" t="str">
        <f t="shared" si="49"/>
        <v>0</v>
      </c>
      <c r="BL7" s="183" t="s">
        <v>1127</v>
      </c>
      <c r="BM7">
        <f t="shared" si="50"/>
        <v>10</v>
      </c>
      <c r="BN7">
        <f t="shared" si="51"/>
        <v>12</v>
      </c>
      <c r="BO7" t="str">
        <f t="shared" si="52"/>
        <v>3</v>
      </c>
      <c r="BP7" t="str">
        <f t="shared" si="53"/>
        <v>5</v>
      </c>
      <c r="BQ7" t="str">
        <f t="shared" si="54"/>
        <v>-2</v>
      </c>
      <c r="BR7" s="183" t="s">
        <v>1142</v>
      </c>
      <c r="BS7">
        <f t="shared" si="55"/>
        <v>10</v>
      </c>
      <c r="BT7">
        <f t="shared" si="56"/>
        <v>12</v>
      </c>
      <c r="BU7" t="str">
        <f t="shared" si="57"/>
        <v>3</v>
      </c>
      <c r="BV7" t="str">
        <f t="shared" si="58"/>
        <v>1</v>
      </c>
      <c r="BW7" t="str">
        <f t="shared" si="59"/>
        <v>0</v>
      </c>
      <c r="BX7" s="183" t="s">
        <v>1160</v>
      </c>
      <c r="BY7">
        <f t="shared" si="60"/>
        <v>10</v>
      </c>
      <c r="BZ7">
        <f t="shared" si="61"/>
        <v>12</v>
      </c>
      <c r="CA7" t="str">
        <f t="shared" si="62"/>
        <v>2</v>
      </c>
      <c r="CB7" t="str">
        <f t="shared" si="63"/>
        <v>4</v>
      </c>
      <c r="CC7" t="str">
        <f t="shared" si="64"/>
        <v>5</v>
      </c>
      <c r="CD7" s="181" t="s">
        <v>1180</v>
      </c>
      <c r="CE7">
        <f t="shared" si="65"/>
        <v>10</v>
      </c>
      <c r="CF7">
        <f t="shared" si="66"/>
        <v>12</v>
      </c>
      <c r="CG7" t="str">
        <f t="shared" si="67"/>
        <v>4</v>
      </c>
      <c r="CH7" t="str">
        <f t="shared" si="68"/>
        <v>7</v>
      </c>
      <c r="CI7" t="str">
        <f t="shared" si="69"/>
        <v>0</v>
      </c>
      <c r="CJ7" s="181" t="s">
        <v>1197</v>
      </c>
      <c r="CK7">
        <f t="shared" si="70"/>
        <v>10</v>
      </c>
      <c r="CL7">
        <f t="shared" si="71"/>
        <v>12</v>
      </c>
      <c r="CM7" t="str">
        <f t="shared" si="72"/>
        <v>2</v>
      </c>
      <c r="CN7" t="str">
        <f t="shared" si="73"/>
        <v>4</v>
      </c>
      <c r="CO7" t="str">
        <f t="shared" si="74"/>
        <v>0</v>
      </c>
      <c r="CP7" s="181" t="s">
        <v>1032</v>
      </c>
      <c r="CQ7">
        <f t="shared" si="75"/>
        <v>10</v>
      </c>
      <c r="CR7">
        <f t="shared" si="76"/>
        <v>12</v>
      </c>
      <c r="CS7" t="str">
        <f t="shared" si="77"/>
        <v>4</v>
      </c>
      <c r="CT7" t="str">
        <f t="shared" si="78"/>
        <v>6</v>
      </c>
      <c r="CU7" t="str">
        <f t="shared" si="79"/>
        <v>0</v>
      </c>
      <c r="CV7" s="181" t="s">
        <v>1032</v>
      </c>
      <c r="CW7">
        <f t="shared" si="80"/>
        <v>10</v>
      </c>
      <c r="CX7">
        <f t="shared" si="81"/>
        <v>12</v>
      </c>
      <c r="CY7" t="str">
        <f t="shared" si="82"/>
        <v>4</v>
      </c>
      <c r="CZ7" t="str">
        <f t="shared" si="83"/>
        <v>6</v>
      </c>
      <c r="DA7" t="str">
        <f t="shared" si="84"/>
        <v>0</v>
      </c>
      <c r="DB7" s="181" t="s">
        <v>1231</v>
      </c>
      <c r="DC7">
        <f t="shared" si="85"/>
        <v>10</v>
      </c>
      <c r="DD7">
        <f t="shared" si="86"/>
        <v>12</v>
      </c>
      <c r="DE7" t="str">
        <f t="shared" si="87"/>
        <v>5</v>
      </c>
      <c r="DF7" t="str">
        <f t="shared" si="88"/>
        <v>6</v>
      </c>
      <c r="DG7" t="str">
        <f t="shared" si="89"/>
        <v>2</v>
      </c>
      <c r="DH7" s="181" t="s">
        <v>1246</v>
      </c>
      <c r="DI7">
        <f t="shared" si="90"/>
        <v>10</v>
      </c>
      <c r="DJ7">
        <f t="shared" si="91"/>
        <v>12</v>
      </c>
      <c r="DK7" t="str">
        <f t="shared" si="92"/>
        <v>2</v>
      </c>
      <c r="DL7" t="str">
        <f t="shared" si="93"/>
        <v>8</v>
      </c>
      <c r="DM7" t="str">
        <f t="shared" si="94"/>
        <v>2</v>
      </c>
      <c r="DN7" s="181" t="s">
        <v>1264</v>
      </c>
      <c r="DO7">
        <f t="shared" si="95"/>
        <v>10</v>
      </c>
      <c r="DP7">
        <f t="shared" si="96"/>
        <v>12</v>
      </c>
      <c r="DQ7" t="str">
        <f t="shared" si="97"/>
        <v>5</v>
      </c>
      <c r="DR7" t="str">
        <f t="shared" si="98"/>
        <v>5</v>
      </c>
      <c r="DS7" t="str">
        <f t="shared" si="99"/>
        <v>-2</v>
      </c>
    </row>
    <row r="8" spans="1:123">
      <c r="C8" s="181" t="s">
        <v>693</v>
      </c>
      <c r="D8" s="181" t="s">
        <v>954</v>
      </c>
      <c r="E8">
        <f t="shared" si="0"/>
        <v>9</v>
      </c>
      <c r="F8">
        <f t="shared" si="1"/>
        <v>11</v>
      </c>
      <c r="G8" s="185" t="str">
        <f t="shared" si="2"/>
        <v>7</v>
      </c>
      <c r="H8" s="185" t="str">
        <f t="shared" si="3"/>
        <v>6</v>
      </c>
      <c r="I8" s="185" t="str">
        <f t="shared" si="4"/>
        <v>-2</v>
      </c>
      <c r="J8" s="181" t="s">
        <v>974</v>
      </c>
      <c r="K8">
        <f t="shared" si="5"/>
        <v>9</v>
      </c>
      <c r="L8">
        <f t="shared" si="6"/>
        <v>11</v>
      </c>
      <c r="M8" t="str">
        <f t="shared" si="7"/>
        <v>4</v>
      </c>
      <c r="N8" t="str">
        <f t="shared" si="8"/>
        <v>6</v>
      </c>
      <c r="O8" t="str">
        <f t="shared" si="9"/>
        <v>1</v>
      </c>
      <c r="P8" s="181" t="s">
        <v>994</v>
      </c>
      <c r="Q8">
        <f t="shared" si="10"/>
        <v>9</v>
      </c>
      <c r="R8">
        <f t="shared" si="11"/>
        <v>11</v>
      </c>
      <c r="S8" t="str">
        <f t="shared" si="12"/>
        <v>3</v>
      </c>
      <c r="T8" t="str">
        <f t="shared" si="13"/>
        <v>4</v>
      </c>
      <c r="U8" t="str">
        <f t="shared" si="14"/>
        <v>0</v>
      </c>
      <c r="V8" s="181" t="s">
        <v>1013</v>
      </c>
      <c r="W8">
        <f t="shared" si="15"/>
        <v>9</v>
      </c>
      <c r="X8">
        <f t="shared" si="16"/>
        <v>11</v>
      </c>
      <c r="Y8" t="str">
        <f t="shared" si="17"/>
        <v>6</v>
      </c>
      <c r="Z8" t="str">
        <f t="shared" si="18"/>
        <v>5</v>
      </c>
      <c r="AA8" t="str">
        <f t="shared" si="19"/>
        <v>-1</v>
      </c>
      <c r="AB8" s="181" t="s">
        <v>1033</v>
      </c>
      <c r="AC8">
        <f t="shared" si="20"/>
        <v>9</v>
      </c>
      <c r="AD8">
        <f t="shared" si="21"/>
        <v>11</v>
      </c>
      <c r="AE8" t="str">
        <f t="shared" si="22"/>
        <v>6</v>
      </c>
      <c r="AF8" t="str">
        <f t="shared" si="23"/>
        <v>6</v>
      </c>
      <c r="AG8" t="str">
        <f t="shared" si="24"/>
        <v>0</v>
      </c>
      <c r="AH8" s="183" t="s">
        <v>1047</v>
      </c>
      <c r="AI8">
        <f t="shared" si="25"/>
        <v>9</v>
      </c>
      <c r="AJ8">
        <f t="shared" si="26"/>
        <v>11</v>
      </c>
      <c r="AK8" t="str">
        <f t="shared" si="27"/>
        <v>6</v>
      </c>
      <c r="AL8" t="str">
        <f t="shared" si="28"/>
        <v>6</v>
      </c>
      <c r="AM8" t="str">
        <f t="shared" si="29"/>
        <v>-1</v>
      </c>
      <c r="AN8" s="183" t="s">
        <v>1065</v>
      </c>
      <c r="AO8">
        <f t="shared" si="30"/>
        <v>9</v>
      </c>
      <c r="AP8">
        <f t="shared" si="31"/>
        <v>11</v>
      </c>
      <c r="AQ8" t="str">
        <f t="shared" si="32"/>
        <v>5</v>
      </c>
      <c r="AR8" t="str">
        <f t="shared" si="33"/>
        <v>6</v>
      </c>
      <c r="AS8" t="str">
        <f t="shared" si="34"/>
        <v>-1</v>
      </c>
      <c r="AT8" s="183" t="s">
        <v>1065</v>
      </c>
      <c r="AU8">
        <f t="shared" si="35"/>
        <v>9</v>
      </c>
      <c r="AV8">
        <f t="shared" si="36"/>
        <v>11</v>
      </c>
      <c r="AW8" t="str">
        <f t="shared" si="37"/>
        <v>5</v>
      </c>
      <c r="AX8" t="str">
        <f t="shared" si="38"/>
        <v>6</v>
      </c>
      <c r="AY8" t="str">
        <f t="shared" si="39"/>
        <v>-1</v>
      </c>
      <c r="AZ8" s="183" t="s">
        <v>1033</v>
      </c>
      <c r="BA8">
        <f t="shared" si="40"/>
        <v>9</v>
      </c>
      <c r="BB8">
        <f t="shared" si="41"/>
        <v>11</v>
      </c>
      <c r="BC8" t="str">
        <f t="shared" si="42"/>
        <v>6</v>
      </c>
      <c r="BD8" t="str">
        <f t="shared" si="43"/>
        <v>6</v>
      </c>
      <c r="BE8" t="str">
        <f t="shared" si="44"/>
        <v>0</v>
      </c>
      <c r="BF8" s="183" t="s">
        <v>1110</v>
      </c>
      <c r="BG8">
        <f t="shared" si="45"/>
        <v>9</v>
      </c>
      <c r="BH8">
        <f t="shared" si="46"/>
        <v>11</v>
      </c>
      <c r="BI8" t="str">
        <f t="shared" si="47"/>
        <v>6</v>
      </c>
      <c r="BJ8" t="str">
        <f t="shared" si="48"/>
        <v>5</v>
      </c>
      <c r="BK8" t="str">
        <f t="shared" si="49"/>
        <v>0</v>
      </c>
      <c r="BL8" s="183" t="s">
        <v>1065</v>
      </c>
      <c r="BM8">
        <f t="shared" si="50"/>
        <v>9</v>
      </c>
      <c r="BN8">
        <f t="shared" si="51"/>
        <v>11</v>
      </c>
      <c r="BO8" t="str">
        <f t="shared" si="52"/>
        <v>5</v>
      </c>
      <c r="BP8" t="str">
        <f t="shared" si="53"/>
        <v>6</v>
      </c>
      <c r="BQ8" t="str">
        <f t="shared" si="54"/>
        <v>-1</v>
      </c>
      <c r="BR8" s="183" t="s">
        <v>1143</v>
      </c>
      <c r="BS8">
        <f t="shared" si="55"/>
        <v>9</v>
      </c>
      <c r="BT8">
        <f t="shared" si="56"/>
        <v>11</v>
      </c>
      <c r="BU8" t="str">
        <f t="shared" si="57"/>
        <v>5</v>
      </c>
      <c r="BV8" t="str">
        <f t="shared" si="58"/>
        <v>5</v>
      </c>
      <c r="BW8" t="str">
        <f t="shared" si="59"/>
        <v>0</v>
      </c>
      <c r="BX8" s="183" t="s">
        <v>1161</v>
      </c>
      <c r="BY8">
        <f t="shared" si="60"/>
        <v>9</v>
      </c>
      <c r="BZ8">
        <f t="shared" si="61"/>
        <v>11</v>
      </c>
      <c r="CA8" t="str">
        <f t="shared" si="62"/>
        <v>7</v>
      </c>
      <c r="CB8" t="str">
        <f t="shared" si="63"/>
        <v>7</v>
      </c>
      <c r="CC8" t="str">
        <f t="shared" si="64"/>
        <v>7</v>
      </c>
      <c r="CD8" s="181" t="s">
        <v>1181</v>
      </c>
      <c r="CE8">
        <f t="shared" si="65"/>
        <v>9</v>
      </c>
      <c r="CF8">
        <f t="shared" si="66"/>
        <v>11</v>
      </c>
      <c r="CG8" t="str">
        <f t="shared" si="67"/>
        <v>5</v>
      </c>
      <c r="CH8" t="str">
        <f t="shared" si="68"/>
        <v>6</v>
      </c>
      <c r="CI8" t="str">
        <f t="shared" si="69"/>
        <v>0</v>
      </c>
      <c r="CJ8" s="181" t="s">
        <v>1198</v>
      </c>
      <c r="CK8">
        <f t="shared" si="70"/>
        <v>9</v>
      </c>
      <c r="CL8">
        <f t="shared" si="71"/>
        <v>11</v>
      </c>
      <c r="CM8" t="str">
        <f t="shared" si="72"/>
        <v>4</v>
      </c>
      <c r="CN8" t="str">
        <f t="shared" si="73"/>
        <v>6</v>
      </c>
      <c r="CO8" t="str">
        <f t="shared" si="74"/>
        <v>0</v>
      </c>
      <c r="CP8" s="181" t="s">
        <v>1143</v>
      </c>
      <c r="CQ8">
        <f t="shared" si="75"/>
        <v>9</v>
      </c>
      <c r="CR8">
        <f t="shared" si="76"/>
        <v>11</v>
      </c>
      <c r="CS8" t="str">
        <f t="shared" si="77"/>
        <v>5</v>
      </c>
      <c r="CT8" t="str">
        <f t="shared" si="78"/>
        <v>5</v>
      </c>
      <c r="CU8" t="str">
        <f t="shared" si="79"/>
        <v>0</v>
      </c>
      <c r="CV8" s="181" t="s">
        <v>1110</v>
      </c>
      <c r="CW8">
        <f t="shared" si="80"/>
        <v>9</v>
      </c>
      <c r="CX8">
        <f t="shared" si="81"/>
        <v>11</v>
      </c>
      <c r="CY8" t="str">
        <f t="shared" si="82"/>
        <v>6</v>
      </c>
      <c r="CZ8" t="str">
        <f t="shared" si="83"/>
        <v>5</v>
      </c>
      <c r="DA8" t="str">
        <f t="shared" si="84"/>
        <v>0</v>
      </c>
      <c r="DB8" s="181" t="s">
        <v>1232</v>
      </c>
      <c r="DC8">
        <f t="shared" si="85"/>
        <v>9</v>
      </c>
      <c r="DD8">
        <f t="shared" si="86"/>
        <v>11</v>
      </c>
      <c r="DE8" t="str">
        <f t="shared" si="87"/>
        <v>6</v>
      </c>
      <c r="DF8" t="str">
        <f t="shared" si="88"/>
        <v>6</v>
      </c>
      <c r="DG8" t="str">
        <f t="shared" si="89"/>
        <v>3</v>
      </c>
      <c r="DH8" s="181" t="s">
        <v>1247</v>
      </c>
      <c r="DI8">
        <f t="shared" si="90"/>
        <v>9</v>
      </c>
      <c r="DJ8">
        <f t="shared" si="91"/>
        <v>11</v>
      </c>
      <c r="DK8" t="str">
        <f t="shared" si="92"/>
        <v>5</v>
      </c>
      <c r="DL8" t="str">
        <f t="shared" si="93"/>
        <v>6</v>
      </c>
      <c r="DM8" t="str">
        <f t="shared" si="94"/>
        <v>1</v>
      </c>
      <c r="DN8" s="181" t="s">
        <v>1143</v>
      </c>
      <c r="DO8">
        <f t="shared" si="95"/>
        <v>9</v>
      </c>
      <c r="DP8">
        <f t="shared" si="96"/>
        <v>11</v>
      </c>
      <c r="DQ8" t="str">
        <f t="shared" si="97"/>
        <v>5</v>
      </c>
      <c r="DR8" t="str">
        <f t="shared" si="98"/>
        <v>5</v>
      </c>
      <c r="DS8" t="str">
        <f t="shared" si="99"/>
        <v>0</v>
      </c>
    </row>
    <row r="9" spans="1:123">
      <c r="C9" s="181" t="s">
        <v>692</v>
      </c>
      <c r="D9" s="181" t="s">
        <v>955</v>
      </c>
      <c r="E9">
        <f t="shared" si="0"/>
        <v>13</v>
      </c>
      <c r="F9">
        <f t="shared" si="1"/>
        <v>15</v>
      </c>
      <c r="G9" s="185" t="str">
        <f t="shared" si="2"/>
        <v>8</v>
      </c>
      <c r="H9" s="185" t="str">
        <f t="shared" si="3"/>
        <v>5</v>
      </c>
      <c r="I9" s="185" t="str">
        <f t="shared" si="4"/>
        <v>+3</v>
      </c>
      <c r="J9" s="181" t="s">
        <v>975</v>
      </c>
      <c r="K9">
        <f t="shared" si="5"/>
        <v>13</v>
      </c>
      <c r="L9">
        <f t="shared" si="6"/>
        <v>15</v>
      </c>
      <c r="M9" t="str">
        <f t="shared" si="7"/>
        <v>7</v>
      </c>
      <c r="N9" t="str">
        <f t="shared" si="8"/>
        <v>7</v>
      </c>
      <c r="O9" t="str">
        <f t="shared" si="9"/>
        <v>2</v>
      </c>
      <c r="P9" s="181" t="s">
        <v>995</v>
      </c>
      <c r="Q9">
        <f t="shared" si="10"/>
        <v>13</v>
      </c>
      <c r="R9">
        <f t="shared" si="11"/>
        <v>15</v>
      </c>
      <c r="S9" t="str">
        <f t="shared" si="12"/>
        <v>7</v>
      </c>
      <c r="T9" t="str">
        <f t="shared" si="13"/>
        <v>8</v>
      </c>
      <c r="U9" t="str">
        <f t="shared" si="14"/>
        <v>-1</v>
      </c>
      <c r="V9" s="181" t="s">
        <v>1014</v>
      </c>
      <c r="W9">
        <f t="shared" si="15"/>
        <v>13</v>
      </c>
      <c r="X9">
        <f t="shared" si="16"/>
        <v>15</v>
      </c>
      <c r="Y9" t="str">
        <f t="shared" si="17"/>
        <v>7</v>
      </c>
      <c r="Z9" t="str">
        <f t="shared" si="18"/>
        <v>7</v>
      </c>
      <c r="AA9" t="str">
        <f t="shared" si="19"/>
        <v>+3</v>
      </c>
      <c r="AB9" s="181" t="s">
        <v>1034</v>
      </c>
      <c r="AC9">
        <f t="shared" si="20"/>
        <v>13</v>
      </c>
      <c r="AD9">
        <f t="shared" si="21"/>
        <v>15</v>
      </c>
      <c r="AE9" t="str">
        <f t="shared" si="22"/>
        <v>7</v>
      </c>
      <c r="AF9" t="str">
        <f t="shared" si="23"/>
        <v>7</v>
      </c>
      <c r="AG9" t="str">
        <f t="shared" si="24"/>
        <v>+2</v>
      </c>
      <c r="AH9" s="183" t="s">
        <v>1048</v>
      </c>
      <c r="AI9">
        <f t="shared" si="25"/>
        <v>13</v>
      </c>
      <c r="AJ9">
        <f t="shared" si="26"/>
        <v>15</v>
      </c>
      <c r="AK9" t="str">
        <f t="shared" si="27"/>
        <v>8</v>
      </c>
      <c r="AL9" t="str">
        <f t="shared" si="28"/>
        <v>8</v>
      </c>
      <c r="AM9" t="str">
        <f t="shared" si="29"/>
        <v>+2</v>
      </c>
      <c r="AN9" s="183" t="s">
        <v>1066</v>
      </c>
      <c r="AO9">
        <f t="shared" si="30"/>
        <v>13</v>
      </c>
      <c r="AP9">
        <f t="shared" si="31"/>
        <v>15</v>
      </c>
      <c r="AQ9" t="str">
        <f t="shared" si="32"/>
        <v>8</v>
      </c>
      <c r="AR9" t="str">
        <f t="shared" si="33"/>
        <v>7</v>
      </c>
      <c r="AS9" t="str">
        <f t="shared" si="34"/>
        <v>+2</v>
      </c>
      <c r="AT9" s="183" t="s">
        <v>1081</v>
      </c>
      <c r="AU9">
        <f t="shared" si="35"/>
        <v>13</v>
      </c>
      <c r="AV9">
        <f t="shared" si="36"/>
        <v>15</v>
      </c>
      <c r="AW9" t="str">
        <f t="shared" si="37"/>
        <v>8</v>
      </c>
      <c r="AX9" t="str">
        <f t="shared" si="38"/>
        <v>8</v>
      </c>
      <c r="AY9" t="str">
        <f t="shared" si="39"/>
        <v>3</v>
      </c>
      <c r="AZ9" s="183" t="s">
        <v>975</v>
      </c>
      <c r="BA9">
        <f t="shared" si="40"/>
        <v>13</v>
      </c>
      <c r="BB9">
        <f t="shared" si="41"/>
        <v>15</v>
      </c>
      <c r="BC9" t="str">
        <f t="shared" si="42"/>
        <v>7</v>
      </c>
      <c r="BD9" t="str">
        <f t="shared" si="43"/>
        <v>7</v>
      </c>
      <c r="BE9" t="str">
        <f t="shared" si="44"/>
        <v>2</v>
      </c>
      <c r="BF9" s="183" t="s">
        <v>1111</v>
      </c>
      <c r="BG9">
        <f t="shared" si="45"/>
        <v>13</v>
      </c>
      <c r="BH9">
        <f t="shared" si="46"/>
        <v>15</v>
      </c>
      <c r="BI9" t="str">
        <f t="shared" si="47"/>
        <v>7</v>
      </c>
      <c r="BJ9" t="str">
        <f t="shared" si="48"/>
        <v>8</v>
      </c>
      <c r="BK9" t="str">
        <f t="shared" si="49"/>
        <v>+3</v>
      </c>
      <c r="BL9" s="183" t="s">
        <v>1128</v>
      </c>
      <c r="BM9">
        <f t="shared" si="50"/>
        <v>13</v>
      </c>
      <c r="BN9">
        <f t="shared" si="51"/>
        <v>15</v>
      </c>
      <c r="BO9" t="str">
        <f t="shared" si="52"/>
        <v>7</v>
      </c>
      <c r="BP9" t="str">
        <f t="shared" si="53"/>
        <v>7</v>
      </c>
      <c r="BQ9" t="str">
        <f t="shared" si="54"/>
        <v>1</v>
      </c>
      <c r="BR9" s="183" t="s">
        <v>1144</v>
      </c>
      <c r="BS9">
        <f t="shared" si="55"/>
        <v>13</v>
      </c>
      <c r="BT9">
        <f t="shared" si="56"/>
        <v>15</v>
      </c>
      <c r="BU9" t="str">
        <f t="shared" si="57"/>
        <v>7</v>
      </c>
      <c r="BV9" t="str">
        <f t="shared" si="58"/>
        <v>7</v>
      </c>
      <c r="BW9" t="str">
        <f t="shared" si="59"/>
        <v>0</v>
      </c>
      <c r="BX9" s="183" t="s">
        <v>1162</v>
      </c>
      <c r="BY9">
        <f t="shared" si="60"/>
        <v>13</v>
      </c>
      <c r="BZ9">
        <f t="shared" si="61"/>
        <v>15</v>
      </c>
      <c r="CA9" t="str">
        <f t="shared" si="62"/>
        <v>8</v>
      </c>
      <c r="CB9" t="str">
        <f t="shared" si="63"/>
        <v>7</v>
      </c>
      <c r="CC9" t="str">
        <f t="shared" si="64"/>
        <v>8</v>
      </c>
      <c r="CD9" s="181" t="s">
        <v>1182</v>
      </c>
      <c r="CE9">
        <f t="shared" si="65"/>
        <v>13</v>
      </c>
      <c r="CF9">
        <f t="shared" si="66"/>
        <v>15</v>
      </c>
      <c r="CG9" t="str">
        <f t="shared" si="67"/>
        <v>7</v>
      </c>
      <c r="CH9" t="str">
        <f t="shared" si="68"/>
        <v>8</v>
      </c>
      <c r="CI9" t="str">
        <f t="shared" si="69"/>
        <v>0</v>
      </c>
      <c r="CJ9" s="181" t="s">
        <v>1199</v>
      </c>
      <c r="CK9">
        <f t="shared" si="70"/>
        <v>13</v>
      </c>
      <c r="CL9">
        <f t="shared" si="71"/>
        <v>15</v>
      </c>
      <c r="CM9" t="str">
        <f t="shared" si="72"/>
        <v>6</v>
      </c>
      <c r="CN9" t="str">
        <f t="shared" si="73"/>
        <v>5</v>
      </c>
      <c r="CO9" t="str">
        <f t="shared" si="74"/>
        <v>1</v>
      </c>
      <c r="CP9" s="181" t="s">
        <v>1214</v>
      </c>
      <c r="CQ9">
        <f t="shared" si="75"/>
        <v>13</v>
      </c>
      <c r="CR9">
        <f t="shared" si="76"/>
        <v>15</v>
      </c>
      <c r="CS9" t="str">
        <f t="shared" si="77"/>
        <v>7</v>
      </c>
      <c r="CT9" t="str">
        <f t="shared" si="78"/>
        <v>8</v>
      </c>
      <c r="CU9" t="str">
        <f t="shared" si="79"/>
        <v>3</v>
      </c>
      <c r="CV9" s="181" t="s">
        <v>1034</v>
      </c>
      <c r="CW9">
        <f t="shared" si="80"/>
        <v>13</v>
      </c>
      <c r="CX9">
        <f t="shared" si="81"/>
        <v>15</v>
      </c>
      <c r="CY9" t="str">
        <f t="shared" si="82"/>
        <v>7</v>
      </c>
      <c r="CZ9" t="str">
        <f t="shared" si="83"/>
        <v>7</v>
      </c>
      <c r="DA9" t="str">
        <f t="shared" si="84"/>
        <v>+2</v>
      </c>
      <c r="DB9" s="181" t="s">
        <v>1081</v>
      </c>
      <c r="DC9">
        <f t="shared" si="85"/>
        <v>13</v>
      </c>
      <c r="DD9">
        <f t="shared" si="86"/>
        <v>15</v>
      </c>
      <c r="DE9" t="str">
        <f t="shared" si="87"/>
        <v>8</v>
      </c>
      <c r="DF9" t="str">
        <f t="shared" si="88"/>
        <v>8</v>
      </c>
      <c r="DG9" t="str">
        <f t="shared" si="89"/>
        <v>3</v>
      </c>
      <c r="DH9" s="181" t="s">
        <v>1248</v>
      </c>
      <c r="DI9">
        <f t="shared" si="90"/>
        <v>13</v>
      </c>
      <c r="DJ9">
        <f t="shared" si="91"/>
        <v>15</v>
      </c>
      <c r="DK9" t="str">
        <f t="shared" si="92"/>
        <v>7</v>
      </c>
      <c r="DL9" t="str">
        <f t="shared" si="93"/>
        <v>6</v>
      </c>
      <c r="DM9" t="str">
        <f t="shared" si="94"/>
        <v>1</v>
      </c>
      <c r="DN9" s="181" t="s">
        <v>1265</v>
      </c>
      <c r="DO9">
        <f t="shared" si="95"/>
        <v>13</v>
      </c>
      <c r="DP9">
        <f t="shared" si="96"/>
        <v>15</v>
      </c>
      <c r="DQ9" t="str">
        <f t="shared" si="97"/>
        <v>7</v>
      </c>
      <c r="DR9" t="str">
        <f t="shared" si="98"/>
        <v>7</v>
      </c>
      <c r="DS9" t="str">
        <f t="shared" si="99"/>
        <v>3</v>
      </c>
    </row>
    <row r="10" spans="1:123">
      <c r="C10" s="181" t="s">
        <v>679</v>
      </c>
      <c r="D10" s="181" t="s">
        <v>956</v>
      </c>
      <c r="E10">
        <f t="shared" si="0"/>
        <v>8</v>
      </c>
      <c r="F10">
        <f t="shared" si="1"/>
        <v>10</v>
      </c>
      <c r="G10" s="185" t="str">
        <f t="shared" si="2"/>
        <v>7</v>
      </c>
      <c r="H10" s="185" t="str">
        <f t="shared" si="3"/>
        <v>7</v>
      </c>
      <c r="I10" s="185" t="str">
        <f t="shared" si="4"/>
        <v>+2</v>
      </c>
      <c r="J10" s="181" t="s">
        <v>976</v>
      </c>
      <c r="K10">
        <f t="shared" si="5"/>
        <v>8</v>
      </c>
      <c r="L10">
        <f t="shared" si="6"/>
        <v>10</v>
      </c>
      <c r="M10" t="str">
        <f t="shared" si="7"/>
        <v>5</v>
      </c>
      <c r="N10" t="str">
        <f t="shared" si="8"/>
        <v>8</v>
      </c>
      <c r="O10" t="str">
        <f t="shared" si="9"/>
        <v>2</v>
      </c>
      <c r="P10" s="181" t="s">
        <v>996</v>
      </c>
      <c r="Q10">
        <f t="shared" si="10"/>
        <v>8</v>
      </c>
      <c r="R10">
        <f t="shared" si="11"/>
        <v>10</v>
      </c>
      <c r="S10" t="str">
        <f t="shared" si="12"/>
        <v>5</v>
      </c>
      <c r="T10" t="str">
        <f t="shared" si="13"/>
        <v>6</v>
      </c>
      <c r="U10" t="str">
        <f t="shared" si="14"/>
        <v>-3</v>
      </c>
      <c r="V10" s="181" t="s">
        <v>1015</v>
      </c>
      <c r="W10">
        <f t="shared" si="15"/>
        <v>8</v>
      </c>
      <c r="X10">
        <f t="shared" si="16"/>
        <v>10</v>
      </c>
      <c r="Y10" t="str">
        <f t="shared" si="17"/>
        <v>7</v>
      </c>
      <c r="Z10" t="str">
        <f t="shared" si="18"/>
        <v>7</v>
      </c>
      <c r="AA10" t="str">
        <f t="shared" si="19"/>
        <v>+4</v>
      </c>
      <c r="AB10" s="181" t="s">
        <v>1035</v>
      </c>
      <c r="AC10">
        <f t="shared" si="20"/>
        <v>8</v>
      </c>
      <c r="AD10">
        <f t="shared" si="21"/>
        <v>10</v>
      </c>
      <c r="AE10" t="str">
        <f t="shared" si="22"/>
        <v>7</v>
      </c>
      <c r="AF10" t="str">
        <f t="shared" si="23"/>
        <v>7</v>
      </c>
      <c r="AG10" t="str">
        <f t="shared" si="24"/>
        <v>+1</v>
      </c>
      <c r="AH10" s="183" t="s">
        <v>1035</v>
      </c>
      <c r="AI10">
        <f t="shared" si="25"/>
        <v>8</v>
      </c>
      <c r="AJ10">
        <f t="shared" si="26"/>
        <v>10</v>
      </c>
      <c r="AK10" t="str">
        <f t="shared" si="27"/>
        <v>7</v>
      </c>
      <c r="AL10" t="str">
        <f t="shared" si="28"/>
        <v>7</v>
      </c>
      <c r="AM10" t="str">
        <f t="shared" si="29"/>
        <v>+1</v>
      </c>
      <c r="AN10" s="183" t="s">
        <v>1067</v>
      </c>
      <c r="AO10">
        <f t="shared" si="30"/>
        <v>8</v>
      </c>
      <c r="AP10">
        <f t="shared" si="31"/>
        <v>10</v>
      </c>
      <c r="AQ10" t="str">
        <f t="shared" si="32"/>
        <v>6</v>
      </c>
      <c r="AR10" t="str">
        <f t="shared" si="33"/>
        <v>6</v>
      </c>
      <c r="AS10" t="str">
        <f t="shared" si="34"/>
        <v>+2</v>
      </c>
      <c r="AT10" s="183" t="s">
        <v>1082</v>
      </c>
      <c r="AU10">
        <f t="shared" si="35"/>
        <v>8</v>
      </c>
      <c r="AV10">
        <f t="shared" si="36"/>
        <v>10</v>
      </c>
      <c r="AW10" t="str">
        <f t="shared" si="37"/>
        <v>5</v>
      </c>
      <c r="AX10" t="str">
        <f t="shared" si="38"/>
        <v>6</v>
      </c>
      <c r="AY10" t="str">
        <f t="shared" si="39"/>
        <v>-1</v>
      </c>
      <c r="AZ10" s="183" t="s">
        <v>1096</v>
      </c>
      <c r="BA10">
        <f t="shared" si="40"/>
        <v>8</v>
      </c>
      <c r="BB10">
        <f t="shared" si="41"/>
        <v>10</v>
      </c>
      <c r="BC10" t="str">
        <f t="shared" si="42"/>
        <v>6</v>
      </c>
      <c r="BD10" t="str">
        <f t="shared" si="43"/>
        <v>7</v>
      </c>
      <c r="BE10" t="str">
        <f t="shared" si="44"/>
        <v>0</v>
      </c>
      <c r="BF10" s="183" t="s">
        <v>1112</v>
      </c>
      <c r="BG10">
        <f t="shared" si="45"/>
        <v>8</v>
      </c>
      <c r="BH10">
        <f t="shared" si="46"/>
        <v>10</v>
      </c>
      <c r="BI10" t="str">
        <f t="shared" si="47"/>
        <v>7</v>
      </c>
      <c r="BJ10" t="str">
        <f t="shared" si="48"/>
        <v>8</v>
      </c>
      <c r="BK10" t="str">
        <f t="shared" si="49"/>
        <v>+3</v>
      </c>
      <c r="BL10" s="183" t="s">
        <v>1096</v>
      </c>
      <c r="BM10">
        <f t="shared" si="50"/>
        <v>8</v>
      </c>
      <c r="BN10">
        <f t="shared" si="51"/>
        <v>10</v>
      </c>
      <c r="BO10" t="str">
        <f t="shared" si="52"/>
        <v>6</v>
      </c>
      <c r="BP10" t="str">
        <f t="shared" si="53"/>
        <v>7</v>
      </c>
      <c r="BQ10" t="str">
        <f t="shared" si="54"/>
        <v>0</v>
      </c>
      <c r="BR10" s="183" t="s">
        <v>1145</v>
      </c>
      <c r="BS10">
        <f t="shared" si="55"/>
        <v>8</v>
      </c>
      <c r="BT10">
        <f t="shared" si="56"/>
        <v>10</v>
      </c>
      <c r="BU10" t="str">
        <f t="shared" si="57"/>
        <v>6</v>
      </c>
      <c r="BV10" t="str">
        <f t="shared" si="58"/>
        <v>7</v>
      </c>
      <c r="BW10" t="str">
        <f t="shared" si="59"/>
        <v>-1</v>
      </c>
      <c r="BX10" s="183" t="s">
        <v>1163</v>
      </c>
      <c r="BY10">
        <f t="shared" si="60"/>
        <v>8</v>
      </c>
      <c r="BZ10">
        <f t="shared" si="61"/>
        <v>10</v>
      </c>
      <c r="CA10" t="str">
        <f t="shared" si="62"/>
        <v>7</v>
      </c>
      <c r="CB10" t="str">
        <f t="shared" si="63"/>
        <v>7</v>
      </c>
      <c r="CC10" t="str">
        <f t="shared" si="64"/>
        <v>8</v>
      </c>
      <c r="CD10" s="181" t="s">
        <v>1183</v>
      </c>
      <c r="CE10">
        <f t="shared" si="65"/>
        <v>8</v>
      </c>
      <c r="CF10">
        <f t="shared" si="66"/>
        <v>10</v>
      </c>
      <c r="CG10" t="str">
        <f t="shared" si="67"/>
        <v>6</v>
      </c>
      <c r="CH10" t="str">
        <f t="shared" si="68"/>
        <v>7</v>
      </c>
      <c r="CI10" t="str">
        <f t="shared" si="69"/>
        <v>1</v>
      </c>
      <c r="CJ10" s="181" t="s">
        <v>1200</v>
      </c>
      <c r="CK10">
        <f t="shared" si="70"/>
        <v>8</v>
      </c>
      <c r="CL10">
        <f t="shared" si="71"/>
        <v>10</v>
      </c>
      <c r="CM10" t="str">
        <f t="shared" si="72"/>
        <v>6</v>
      </c>
      <c r="CN10" t="str">
        <f t="shared" si="73"/>
        <v>4</v>
      </c>
      <c r="CO10" t="str">
        <f t="shared" si="74"/>
        <v>-1</v>
      </c>
      <c r="CP10" s="181" t="s">
        <v>1215</v>
      </c>
      <c r="CQ10">
        <f t="shared" si="75"/>
        <v>8</v>
      </c>
      <c r="CR10">
        <f t="shared" si="76"/>
        <v>10</v>
      </c>
      <c r="CS10" t="str">
        <f t="shared" si="77"/>
        <v>6</v>
      </c>
      <c r="CT10" t="str">
        <f t="shared" si="78"/>
        <v>8</v>
      </c>
      <c r="CU10" t="str">
        <f t="shared" si="79"/>
        <v>2</v>
      </c>
      <c r="CV10" s="181" t="s">
        <v>1225</v>
      </c>
      <c r="CW10">
        <f t="shared" si="80"/>
        <v>8</v>
      </c>
      <c r="CX10">
        <f t="shared" si="81"/>
        <v>10</v>
      </c>
      <c r="CY10" t="str">
        <f t="shared" si="82"/>
        <v>7</v>
      </c>
      <c r="CZ10" t="str">
        <f t="shared" si="83"/>
        <v>6</v>
      </c>
      <c r="DA10" t="str">
        <f t="shared" si="84"/>
        <v>+1</v>
      </c>
      <c r="DB10" s="181" t="s">
        <v>1233</v>
      </c>
      <c r="DC10">
        <f t="shared" si="85"/>
        <v>8</v>
      </c>
      <c r="DD10">
        <f t="shared" si="86"/>
        <v>10</v>
      </c>
      <c r="DE10" t="str">
        <f t="shared" si="87"/>
        <v>7</v>
      </c>
      <c r="DF10" t="str">
        <f t="shared" si="88"/>
        <v>7</v>
      </c>
      <c r="DG10" t="str">
        <f t="shared" si="89"/>
        <v>4</v>
      </c>
      <c r="DH10" s="181" t="s">
        <v>1249</v>
      </c>
      <c r="DI10">
        <f t="shared" si="90"/>
        <v>8</v>
      </c>
      <c r="DJ10">
        <f t="shared" si="91"/>
        <v>10</v>
      </c>
      <c r="DK10" t="str">
        <f t="shared" si="92"/>
        <v>6</v>
      </c>
      <c r="DL10" t="str">
        <f t="shared" si="93"/>
        <v>8</v>
      </c>
      <c r="DM10" t="str">
        <f t="shared" si="94"/>
        <v>3</v>
      </c>
      <c r="DN10" s="181" t="s">
        <v>1266</v>
      </c>
      <c r="DO10">
        <f t="shared" si="95"/>
        <v>8</v>
      </c>
      <c r="DP10">
        <f t="shared" si="96"/>
        <v>10</v>
      </c>
      <c r="DQ10" t="str">
        <f t="shared" si="97"/>
        <v>7</v>
      </c>
      <c r="DR10" t="str">
        <f t="shared" si="98"/>
        <v>8</v>
      </c>
      <c r="DS10" t="str">
        <f t="shared" si="99"/>
        <v>3</v>
      </c>
    </row>
    <row r="11" spans="1:123">
      <c r="C11" s="181" t="s">
        <v>677</v>
      </c>
      <c r="D11" s="181" t="s">
        <v>957</v>
      </c>
      <c r="E11">
        <f t="shared" si="0"/>
        <v>8</v>
      </c>
      <c r="F11">
        <f t="shared" si="1"/>
        <v>10</v>
      </c>
      <c r="G11" s="185" t="str">
        <f t="shared" si="2"/>
        <v>9</v>
      </c>
      <c r="H11" s="185" t="str">
        <f t="shared" si="3"/>
        <v>8</v>
      </c>
      <c r="I11" s="185" t="str">
        <f t="shared" si="4"/>
        <v>-4</v>
      </c>
      <c r="J11" s="181" t="s">
        <v>977</v>
      </c>
      <c r="K11">
        <f t="shared" si="5"/>
        <v>8</v>
      </c>
      <c r="L11">
        <f t="shared" si="6"/>
        <v>10</v>
      </c>
      <c r="M11" t="str">
        <f t="shared" si="7"/>
        <v>8</v>
      </c>
      <c r="N11" t="str">
        <f t="shared" si="8"/>
        <v>6</v>
      </c>
      <c r="O11" t="str">
        <f t="shared" si="9"/>
        <v>1</v>
      </c>
      <c r="P11" s="181" t="s">
        <v>997</v>
      </c>
      <c r="Q11">
        <f t="shared" si="10"/>
        <v>8</v>
      </c>
      <c r="R11">
        <f t="shared" si="11"/>
        <v>10</v>
      </c>
      <c r="S11" t="str">
        <f t="shared" si="12"/>
        <v>8</v>
      </c>
      <c r="T11" t="str">
        <f t="shared" si="13"/>
        <v>8</v>
      </c>
      <c r="U11" t="str">
        <f t="shared" si="14"/>
        <v>-2</v>
      </c>
      <c r="V11" s="181" t="s">
        <v>1016</v>
      </c>
      <c r="W11">
        <f t="shared" si="15"/>
        <v>8</v>
      </c>
      <c r="X11">
        <f t="shared" si="16"/>
        <v>10</v>
      </c>
      <c r="Y11" t="str">
        <f t="shared" si="17"/>
        <v>8</v>
      </c>
      <c r="Z11" t="str">
        <f t="shared" si="18"/>
        <v>7</v>
      </c>
      <c r="AA11" t="str">
        <f t="shared" si="19"/>
        <v>+2</v>
      </c>
      <c r="AB11" s="181" t="s">
        <v>1016</v>
      </c>
      <c r="AC11">
        <f t="shared" si="20"/>
        <v>8</v>
      </c>
      <c r="AD11">
        <f t="shared" si="21"/>
        <v>10</v>
      </c>
      <c r="AE11" t="str">
        <f t="shared" si="22"/>
        <v>8</v>
      </c>
      <c r="AF11" t="str">
        <f t="shared" si="23"/>
        <v>7</v>
      </c>
      <c r="AG11" t="str">
        <f t="shared" si="24"/>
        <v>+2</v>
      </c>
      <c r="AH11" s="183" t="s">
        <v>1049</v>
      </c>
      <c r="AI11">
        <f t="shared" si="25"/>
        <v>8</v>
      </c>
      <c r="AJ11">
        <f t="shared" si="26"/>
        <v>10</v>
      </c>
      <c r="AK11" t="str">
        <f t="shared" si="27"/>
        <v>9</v>
      </c>
      <c r="AL11" t="str">
        <f t="shared" si="28"/>
        <v>7</v>
      </c>
      <c r="AM11" t="str">
        <f t="shared" si="29"/>
        <v>-2</v>
      </c>
      <c r="AN11" s="183" t="s">
        <v>1016</v>
      </c>
      <c r="AO11">
        <f t="shared" si="30"/>
        <v>8</v>
      </c>
      <c r="AP11">
        <f t="shared" si="31"/>
        <v>10</v>
      </c>
      <c r="AQ11" t="str">
        <f t="shared" si="32"/>
        <v>8</v>
      </c>
      <c r="AR11" t="str">
        <f t="shared" si="33"/>
        <v>7</v>
      </c>
      <c r="AS11" t="str">
        <f t="shared" si="34"/>
        <v>+2</v>
      </c>
      <c r="AT11" s="183" t="s">
        <v>1083</v>
      </c>
      <c r="AU11">
        <f t="shared" si="35"/>
        <v>8</v>
      </c>
      <c r="AV11">
        <f t="shared" si="36"/>
        <v>10</v>
      </c>
      <c r="AW11" t="str">
        <f t="shared" si="37"/>
        <v>9</v>
      </c>
      <c r="AX11" t="str">
        <f t="shared" si="38"/>
        <v>8</v>
      </c>
      <c r="AY11" t="str">
        <f t="shared" si="39"/>
        <v>2</v>
      </c>
      <c r="AZ11" s="183" t="s">
        <v>1097</v>
      </c>
      <c r="BA11">
        <f t="shared" si="40"/>
        <v>8</v>
      </c>
      <c r="BB11">
        <f t="shared" si="41"/>
        <v>10</v>
      </c>
      <c r="BC11" t="str">
        <f t="shared" si="42"/>
        <v>8</v>
      </c>
      <c r="BD11" t="str">
        <f t="shared" si="43"/>
        <v>8</v>
      </c>
      <c r="BE11" t="str">
        <f t="shared" si="44"/>
        <v>0</v>
      </c>
      <c r="BF11" s="183" t="s">
        <v>1113</v>
      </c>
      <c r="BG11">
        <f t="shared" si="45"/>
        <v>8</v>
      </c>
      <c r="BH11">
        <f t="shared" si="46"/>
        <v>10</v>
      </c>
      <c r="BI11" t="str">
        <f t="shared" si="47"/>
        <v>8</v>
      </c>
      <c r="BJ11" t="str">
        <f t="shared" si="48"/>
        <v>8</v>
      </c>
      <c r="BK11" t="str">
        <f t="shared" si="49"/>
        <v>+2</v>
      </c>
      <c r="BL11" s="183" t="s">
        <v>1129</v>
      </c>
      <c r="BM11">
        <f t="shared" si="50"/>
        <v>8</v>
      </c>
      <c r="BN11">
        <f t="shared" si="51"/>
        <v>10</v>
      </c>
      <c r="BO11" t="str">
        <f t="shared" si="52"/>
        <v>7</v>
      </c>
      <c r="BP11" t="str">
        <f t="shared" si="53"/>
        <v>7</v>
      </c>
      <c r="BQ11" t="str">
        <f t="shared" si="54"/>
        <v>1</v>
      </c>
      <c r="BR11" s="183" t="s">
        <v>977</v>
      </c>
      <c r="BS11">
        <f t="shared" si="55"/>
        <v>8</v>
      </c>
      <c r="BT11">
        <f t="shared" si="56"/>
        <v>10</v>
      </c>
      <c r="BU11" t="str">
        <f t="shared" si="57"/>
        <v>8</v>
      </c>
      <c r="BV11" t="str">
        <f t="shared" si="58"/>
        <v>6</v>
      </c>
      <c r="BW11" t="str">
        <f t="shared" si="59"/>
        <v>1</v>
      </c>
      <c r="BX11" s="183" t="s">
        <v>1164</v>
      </c>
      <c r="BY11">
        <f t="shared" si="60"/>
        <v>8</v>
      </c>
      <c r="BZ11">
        <f t="shared" si="61"/>
        <v>10</v>
      </c>
      <c r="CA11" t="str">
        <f t="shared" si="62"/>
        <v>8</v>
      </c>
      <c r="CB11" t="str">
        <f t="shared" si="63"/>
        <v>6</v>
      </c>
      <c r="CC11" t="str">
        <f t="shared" si="64"/>
        <v>8</v>
      </c>
      <c r="CD11" s="181" t="s">
        <v>1184</v>
      </c>
      <c r="CE11">
        <f t="shared" si="65"/>
        <v>8</v>
      </c>
      <c r="CF11">
        <f t="shared" si="66"/>
        <v>10</v>
      </c>
      <c r="CG11" t="str">
        <f t="shared" si="67"/>
        <v>9</v>
      </c>
      <c r="CH11" t="str">
        <f t="shared" si="68"/>
        <v>7</v>
      </c>
      <c r="CI11" t="str">
        <f t="shared" si="69"/>
        <v>-1</v>
      </c>
      <c r="CJ11" s="181" t="s">
        <v>1201</v>
      </c>
      <c r="CK11">
        <f t="shared" si="70"/>
        <v>8</v>
      </c>
      <c r="CL11">
        <f t="shared" si="71"/>
        <v>10</v>
      </c>
      <c r="CM11" t="str">
        <f t="shared" si="72"/>
        <v>8</v>
      </c>
      <c r="CN11" t="str">
        <f t="shared" si="73"/>
        <v>6</v>
      </c>
      <c r="CO11" t="str">
        <f t="shared" si="74"/>
        <v>0</v>
      </c>
      <c r="CP11" s="181" t="s">
        <v>1216</v>
      </c>
      <c r="CQ11">
        <f t="shared" si="75"/>
        <v>8</v>
      </c>
      <c r="CR11">
        <f t="shared" si="76"/>
        <v>10</v>
      </c>
      <c r="CS11" t="str">
        <f t="shared" si="77"/>
        <v>8</v>
      </c>
      <c r="CT11" t="str">
        <f t="shared" si="78"/>
        <v>8</v>
      </c>
      <c r="CU11" t="str">
        <f t="shared" si="79"/>
        <v>2</v>
      </c>
      <c r="CV11" s="181" t="s">
        <v>1016</v>
      </c>
      <c r="CW11">
        <f t="shared" si="80"/>
        <v>8</v>
      </c>
      <c r="CX11">
        <f t="shared" si="81"/>
        <v>10</v>
      </c>
      <c r="CY11" t="str">
        <f t="shared" si="82"/>
        <v>8</v>
      </c>
      <c r="CZ11" t="str">
        <f t="shared" si="83"/>
        <v>7</v>
      </c>
      <c r="DA11" t="str">
        <f t="shared" si="84"/>
        <v>+2</v>
      </c>
      <c r="DB11" s="181" t="s">
        <v>1216</v>
      </c>
      <c r="DC11">
        <f t="shared" si="85"/>
        <v>8</v>
      </c>
      <c r="DD11">
        <f t="shared" si="86"/>
        <v>10</v>
      </c>
      <c r="DE11" t="str">
        <f t="shared" si="87"/>
        <v>8</v>
      </c>
      <c r="DF11" t="str">
        <f t="shared" si="88"/>
        <v>8</v>
      </c>
      <c r="DG11" t="str">
        <f t="shared" si="89"/>
        <v>2</v>
      </c>
      <c r="DH11" s="181" t="s">
        <v>1250</v>
      </c>
      <c r="DI11">
        <f t="shared" si="90"/>
        <v>8</v>
      </c>
      <c r="DJ11">
        <f t="shared" si="91"/>
        <v>10</v>
      </c>
      <c r="DK11" t="str">
        <f t="shared" si="92"/>
        <v>8</v>
      </c>
      <c r="DL11" t="str">
        <f t="shared" si="93"/>
        <v>7</v>
      </c>
      <c r="DM11" t="str">
        <f t="shared" si="94"/>
        <v>0</v>
      </c>
      <c r="DN11" s="181" t="s">
        <v>1216</v>
      </c>
      <c r="DO11">
        <f t="shared" si="95"/>
        <v>8</v>
      </c>
      <c r="DP11">
        <f t="shared" si="96"/>
        <v>10</v>
      </c>
      <c r="DQ11" t="str">
        <f t="shared" si="97"/>
        <v>8</v>
      </c>
      <c r="DR11" t="str">
        <f t="shared" si="98"/>
        <v>8</v>
      </c>
      <c r="DS11" t="str">
        <f t="shared" si="99"/>
        <v>2</v>
      </c>
    </row>
    <row r="12" spans="1:123">
      <c r="C12" s="181" t="s">
        <v>676</v>
      </c>
      <c r="D12" s="181" t="s">
        <v>958</v>
      </c>
      <c r="E12">
        <f t="shared" si="0"/>
        <v>12</v>
      </c>
      <c r="F12">
        <f t="shared" si="1"/>
        <v>15</v>
      </c>
      <c r="G12" s="185" t="str">
        <f t="shared" si="2"/>
        <v>10</v>
      </c>
      <c r="H12" s="185" t="str">
        <f t="shared" si="3"/>
        <v>10</v>
      </c>
      <c r="I12" s="185" t="str">
        <f t="shared" si="4"/>
        <v>+3</v>
      </c>
      <c r="J12" s="181" t="s">
        <v>978</v>
      </c>
      <c r="K12">
        <f t="shared" si="5"/>
        <v>12</v>
      </c>
      <c r="L12">
        <f t="shared" si="6"/>
        <v>14</v>
      </c>
      <c r="M12" t="str">
        <f t="shared" si="7"/>
        <v>10</v>
      </c>
      <c r="N12" t="str">
        <f t="shared" si="8"/>
        <v>5</v>
      </c>
      <c r="O12" t="str">
        <f t="shared" si="9"/>
        <v>3</v>
      </c>
      <c r="P12" s="181" t="s">
        <v>998</v>
      </c>
      <c r="Q12">
        <f t="shared" si="10"/>
        <v>12</v>
      </c>
      <c r="R12">
        <f t="shared" si="11"/>
        <v>15</v>
      </c>
      <c r="S12" t="str">
        <f t="shared" si="12"/>
        <v>10</v>
      </c>
      <c r="T12" t="str">
        <f t="shared" si="13"/>
        <v>10</v>
      </c>
      <c r="U12" t="str">
        <f t="shared" si="14"/>
        <v>0</v>
      </c>
      <c r="V12" s="181" t="s">
        <v>1017</v>
      </c>
      <c r="W12">
        <f t="shared" si="15"/>
        <v>11</v>
      </c>
      <c r="X12">
        <f t="shared" si="16"/>
        <v>14</v>
      </c>
      <c r="Y12" t="str">
        <f t="shared" si="17"/>
        <v>9</v>
      </c>
      <c r="Z12" t="str">
        <f t="shared" si="18"/>
        <v>10</v>
      </c>
      <c r="AA12" t="str">
        <f t="shared" si="19"/>
        <v>+3</v>
      </c>
      <c r="AB12" s="181" t="s">
        <v>958</v>
      </c>
      <c r="AC12">
        <f t="shared" si="20"/>
        <v>12</v>
      </c>
      <c r="AD12">
        <f t="shared" si="21"/>
        <v>15</v>
      </c>
      <c r="AE12" t="str">
        <f t="shared" si="22"/>
        <v>10</v>
      </c>
      <c r="AF12" t="str">
        <f t="shared" si="23"/>
        <v>10</v>
      </c>
      <c r="AG12" t="str">
        <f t="shared" si="24"/>
        <v>+3</v>
      </c>
      <c r="AH12" s="183" t="s">
        <v>1050</v>
      </c>
      <c r="AI12">
        <f t="shared" si="25"/>
        <v>12</v>
      </c>
      <c r="AJ12">
        <f t="shared" si="26"/>
        <v>15</v>
      </c>
      <c r="AK12" t="str">
        <f t="shared" si="27"/>
        <v>10</v>
      </c>
      <c r="AL12" t="str">
        <f t="shared" si="28"/>
        <v>10</v>
      </c>
      <c r="AM12" t="str">
        <f t="shared" si="29"/>
        <v>+2</v>
      </c>
      <c r="AN12" s="183" t="s">
        <v>1068</v>
      </c>
      <c r="AO12">
        <f t="shared" si="30"/>
        <v>12</v>
      </c>
      <c r="AP12">
        <f t="shared" si="31"/>
        <v>15</v>
      </c>
      <c r="AQ12" t="str">
        <f t="shared" si="32"/>
        <v>10</v>
      </c>
      <c r="AR12" t="str">
        <f t="shared" si="33"/>
        <v>10</v>
      </c>
      <c r="AS12" t="str">
        <f t="shared" si="34"/>
        <v>+1</v>
      </c>
      <c r="AT12" s="183" t="s">
        <v>998</v>
      </c>
      <c r="AU12">
        <f t="shared" si="35"/>
        <v>12</v>
      </c>
      <c r="AV12">
        <f t="shared" si="36"/>
        <v>15</v>
      </c>
      <c r="AW12" t="str">
        <f t="shared" si="37"/>
        <v>10</v>
      </c>
      <c r="AX12" t="str">
        <f t="shared" si="38"/>
        <v>10</v>
      </c>
      <c r="AY12" t="str">
        <f t="shared" si="39"/>
        <v>0</v>
      </c>
      <c r="AZ12" s="183" t="s">
        <v>1098</v>
      </c>
      <c r="BA12">
        <f t="shared" si="40"/>
        <v>12</v>
      </c>
      <c r="BB12">
        <f t="shared" si="41"/>
        <v>15</v>
      </c>
      <c r="BC12" t="str">
        <f t="shared" si="42"/>
        <v>10</v>
      </c>
      <c r="BD12" t="str">
        <f t="shared" si="43"/>
        <v>10</v>
      </c>
      <c r="BE12" t="str">
        <f t="shared" si="44"/>
        <v>1</v>
      </c>
      <c r="BF12" s="183" t="s">
        <v>998</v>
      </c>
      <c r="BG12">
        <f t="shared" si="45"/>
        <v>12</v>
      </c>
      <c r="BH12">
        <f t="shared" si="46"/>
        <v>15</v>
      </c>
      <c r="BI12" t="str">
        <f t="shared" si="47"/>
        <v>10</v>
      </c>
      <c r="BJ12" t="str">
        <f t="shared" si="48"/>
        <v>10</v>
      </c>
      <c r="BK12" t="str">
        <f t="shared" si="49"/>
        <v>0</v>
      </c>
      <c r="BL12" s="183" t="s">
        <v>998</v>
      </c>
      <c r="BM12">
        <f t="shared" si="50"/>
        <v>12</v>
      </c>
      <c r="BN12">
        <f t="shared" si="51"/>
        <v>15</v>
      </c>
      <c r="BO12" t="str">
        <f t="shared" si="52"/>
        <v>10</v>
      </c>
      <c r="BP12" t="str">
        <f t="shared" si="53"/>
        <v>10</v>
      </c>
      <c r="BQ12" t="str">
        <f t="shared" si="54"/>
        <v>0</v>
      </c>
      <c r="BR12" s="183" t="s">
        <v>1146</v>
      </c>
      <c r="BS12">
        <f t="shared" si="55"/>
        <v>12</v>
      </c>
      <c r="BT12">
        <f t="shared" si="56"/>
        <v>15</v>
      </c>
      <c r="BU12" t="str">
        <f t="shared" si="57"/>
        <v>10</v>
      </c>
      <c r="BV12" t="str">
        <f t="shared" si="58"/>
        <v>10</v>
      </c>
      <c r="BW12" t="str">
        <f t="shared" si="59"/>
        <v>-2</v>
      </c>
      <c r="BX12" s="183" t="s">
        <v>1165</v>
      </c>
      <c r="BY12">
        <f t="shared" si="60"/>
        <v>12</v>
      </c>
      <c r="BZ12">
        <f t="shared" si="61"/>
        <v>15</v>
      </c>
      <c r="CA12" t="str">
        <f t="shared" si="62"/>
        <v>10</v>
      </c>
      <c r="CB12" t="str">
        <f t="shared" si="63"/>
        <v>10</v>
      </c>
      <c r="CC12" t="str">
        <f t="shared" si="64"/>
        <v>10</v>
      </c>
      <c r="CD12" s="181" t="s">
        <v>998</v>
      </c>
      <c r="CE12">
        <f t="shared" si="65"/>
        <v>12</v>
      </c>
      <c r="CF12">
        <f t="shared" si="66"/>
        <v>15</v>
      </c>
      <c r="CG12" t="str">
        <f t="shared" si="67"/>
        <v>10</v>
      </c>
      <c r="CH12" t="str">
        <f t="shared" si="68"/>
        <v>10</v>
      </c>
      <c r="CI12" t="str">
        <f t="shared" si="69"/>
        <v>0</v>
      </c>
      <c r="CJ12" s="181" t="s">
        <v>1098</v>
      </c>
      <c r="CK12">
        <f t="shared" si="70"/>
        <v>12</v>
      </c>
      <c r="CL12">
        <f t="shared" si="71"/>
        <v>15</v>
      </c>
      <c r="CM12" t="str">
        <f t="shared" si="72"/>
        <v>10</v>
      </c>
      <c r="CN12" t="str">
        <f t="shared" si="73"/>
        <v>10</v>
      </c>
      <c r="CO12" t="str">
        <f t="shared" si="74"/>
        <v>1</v>
      </c>
      <c r="CP12" s="181" t="s">
        <v>1098</v>
      </c>
      <c r="CQ12">
        <f t="shared" si="75"/>
        <v>12</v>
      </c>
      <c r="CR12">
        <f t="shared" si="76"/>
        <v>15</v>
      </c>
      <c r="CS12" t="str">
        <f t="shared" si="77"/>
        <v>10</v>
      </c>
      <c r="CT12" t="str">
        <f t="shared" si="78"/>
        <v>10</v>
      </c>
      <c r="CU12" t="str">
        <f t="shared" si="79"/>
        <v>1</v>
      </c>
      <c r="CV12" s="181" t="s">
        <v>1226</v>
      </c>
      <c r="CW12">
        <f t="shared" si="80"/>
        <v>12</v>
      </c>
      <c r="CX12">
        <f t="shared" si="81"/>
        <v>14</v>
      </c>
      <c r="CY12" t="str">
        <f t="shared" si="82"/>
        <v>10</v>
      </c>
      <c r="CZ12" t="str">
        <f t="shared" si="83"/>
        <v>9</v>
      </c>
      <c r="DA12" t="str">
        <f t="shared" si="84"/>
        <v>+3</v>
      </c>
      <c r="DB12" s="181" t="s">
        <v>1234</v>
      </c>
      <c r="DC12">
        <f t="shared" si="85"/>
        <v>12</v>
      </c>
      <c r="DD12">
        <f t="shared" si="86"/>
        <v>14</v>
      </c>
      <c r="DE12" t="str">
        <f t="shared" si="87"/>
        <v>10</v>
      </c>
      <c r="DF12" t="str">
        <f t="shared" si="88"/>
        <v>9</v>
      </c>
      <c r="DG12" t="str">
        <f t="shared" si="89"/>
        <v>3</v>
      </c>
      <c r="DH12" s="181" t="s">
        <v>1234</v>
      </c>
      <c r="DI12">
        <f t="shared" si="90"/>
        <v>12</v>
      </c>
      <c r="DJ12">
        <f t="shared" si="91"/>
        <v>14</v>
      </c>
      <c r="DK12" t="str">
        <f t="shared" si="92"/>
        <v>10</v>
      </c>
      <c r="DL12" t="str">
        <f t="shared" si="93"/>
        <v>9</v>
      </c>
      <c r="DM12" t="str">
        <f t="shared" si="94"/>
        <v>3</v>
      </c>
      <c r="DN12" s="181" t="s">
        <v>1267</v>
      </c>
      <c r="DO12">
        <f t="shared" si="95"/>
        <v>12</v>
      </c>
      <c r="DP12">
        <f t="shared" si="96"/>
        <v>15</v>
      </c>
      <c r="DQ12" t="str">
        <f t="shared" si="97"/>
        <v>10</v>
      </c>
      <c r="DR12" t="str">
        <f t="shared" si="98"/>
        <v>10</v>
      </c>
      <c r="DS12" t="str">
        <f t="shared" si="99"/>
        <v>4</v>
      </c>
    </row>
    <row r="13" spans="1:123">
      <c r="C13" s="181" t="s">
        <v>682</v>
      </c>
      <c r="D13" s="181" t="s">
        <v>959</v>
      </c>
      <c r="E13">
        <f t="shared" si="0"/>
        <v>8</v>
      </c>
      <c r="F13">
        <f t="shared" si="1"/>
        <v>10</v>
      </c>
      <c r="G13" s="185" t="str">
        <f t="shared" si="2"/>
        <v>7</v>
      </c>
      <c r="H13" s="185" t="str">
        <f t="shared" si="3"/>
        <v>5</v>
      </c>
      <c r="I13" s="185" t="str">
        <f t="shared" si="4"/>
        <v>+1</v>
      </c>
      <c r="J13" s="181" t="s">
        <v>979</v>
      </c>
      <c r="K13">
        <f t="shared" si="5"/>
        <v>8</v>
      </c>
      <c r="L13">
        <f t="shared" si="6"/>
        <v>10</v>
      </c>
      <c r="M13" t="str">
        <f t="shared" si="7"/>
        <v>6</v>
      </c>
      <c r="N13" t="str">
        <f t="shared" si="8"/>
        <v>6</v>
      </c>
      <c r="O13" t="str">
        <f t="shared" si="9"/>
        <v>2</v>
      </c>
      <c r="P13" s="181" t="s">
        <v>999</v>
      </c>
      <c r="Q13">
        <f t="shared" si="10"/>
        <v>8</v>
      </c>
      <c r="R13">
        <f t="shared" si="11"/>
        <v>10</v>
      </c>
      <c r="S13" t="str">
        <f t="shared" si="12"/>
        <v>6</v>
      </c>
      <c r="T13" t="str">
        <f t="shared" si="13"/>
        <v>6</v>
      </c>
      <c r="U13" t="str">
        <f t="shared" si="14"/>
        <v>+2</v>
      </c>
      <c r="V13" s="181" t="s">
        <v>1018</v>
      </c>
      <c r="W13">
        <f t="shared" si="15"/>
        <v>8</v>
      </c>
      <c r="X13">
        <f t="shared" si="16"/>
        <v>10</v>
      </c>
      <c r="Y13" t="str">
        <f t="shared" si="17"/>
        <v>7</v>
      </c>
      <c r="Z13" t="str">
        <f t="shared" si="18"/>
        <v>7</v>
      </c>
      <c r="AA13" t="str">
        <f t="shared" si="19"/>
        <v>+2</v>
      </c>
      <c r="AB13" s="181" t="s">
        <v>1018</v>
      </c>
      <c r="AC13">
        <f t="shared" si="20"/>
        <v>8</v>
      </c>
      <c r="AD13">
        <f t="shared" si="21"/>
        <v>10</v>
      </c>
      <c r="AE13" t="str">
        <f t="shared" si="22"/>
        <v>7</v>
      </c>
      <c r="AF13" t="str">
        <f t="shared" si="23"/>
        <v>7</v>
      </c>
      <c r="AG13" t="str">
        <f t="shared" si="24"/>
        <v>+2</v>
      </c>
      <c r="AH13" s="183" t="s">
        <v>1051</v>
      </c>
      <c r="AI13">
        <f t="shared" si="25"/>
        <v>8</v>
      </c>
      <c r="AJ13">
        <f t="shared" si="26"/>
        <v>10</v>
      </c>
      <c r="AK13" t="str">
        <f t="shared" si="27"/>
        <v>7</v>
      </c>
      <c r="AL13" t="str">
        <f t="shared" si="28"/>
        <v>7</v>
      </c>
      <c r="AM13" t="str">
        <f t="shared" si="29"/>
        <v>+1</v>
      </c>
      <c r="AN13" s="183" t="s">
        <v>1069</v>
      </c>
      <c r="AO13">
        <f t="shared" si="30"/>
        <v>8</v>
      </c>
      <c r="AP13">
        <f t="shared" si="31"/>
        <v>10</v>
      </c>
      <c r="AQ13" t="str">
        <f t="shared" si="32"/>
        <v>7</v>
      </c>
      <c r="AR13" t="str">
        <f t="shared" si="33"/>
        <v>6</v>
      </c>
      <c r="AS13" t="str">
        <f t="shared" si="34"/>
        <v>+2</v>
      </c>
      <c r="AT13" s="183" t="s">
        <v>1084</v>
      </c>
      <c r="AU13">
        <f t="shared" si="35"/>
        <v>8</v>
      </c>
      <c r="AV13">
        <f t="shared" si="36"/>
        <v>10</v>
      </c>
      <c r="AW13" t="str">
        <f t="shared" si="37"/>
        <v>7</v>
      </c>
      <c r="AX13" t="str">
        <f t="shared" si="38"/>
        <v>7</v>
      </c>
      <c r="AY13" t="str">
        <f t="shared" si="39"/>
        <v>2</v>
      </c>
      <c r="AZ13" s="183" t="s">
        <v>1084</v>
      </c>
      <c r="BA13">
        <f t="shared" si="40"/>
        <v>8</v>
      </c>
      <c r="BB13">
        <f t="shared" si="41"/>
        <v>10</v>
      </c>
      <c r="BC13" t="str">
        <f t="shared" si="42"/>
        <v>7</v>
      </c>
      <c r="BD13" t="str">
        <f t="shared" si="43"/>
        <v>7</v>
      </c>
      <c r="BE13" t="str">
        <f t="shared" si="44"/>
        <v>2</v>
      </c>
      <c r="BF13" s="183" t="s">
        <v>1114</v>
      </c>
      <c r="BG13">
        <f t="shared" si="45"/>
        <v>8</v>
      </c>
      <c r="BH13">
        <f t="shared" si="46"/>
        <v>10</v>
      </c>
      <c r="BI13" t="str">
        <f t="shared" si="47"/>
        <v>7</v>
      </c>
      <c r="BJ13" t="str">
        <f t="shared" si="48"/>
        <v>6</v>
      </c>
      <c r="BK13" t="str">
        <f t="shared" si="49"/>
        <v>0</v>
      </c>
      <c r="BL13" s="183" t="s">
        <v>1130</v>
      </c>
      <c r="BM13">
        <f t="shared" si="50"/>
        <v>8</v>
      </c>
      <c r="BN13">
        <f t="shared" si="51"/>
        <v>10</v>
      </c>
      <c r="BO13" t="str">
        <f t="shared" si="52"/>
        <v>7</v>
      </c>
      <c r="BP13" t="str">
        <f t="shared" si="53"/>
        <v>7</v>
      </c>
      <c r="BQ13" t="str">
        <f t="shared" si="54"/>
        <v>-1</v>
      </c>
      <c r="BR13" s="183" t="s">
        <v>1147</v>
      </c>
      <c r="BS13">
        <f t="shared" si="55"/>
        <v>8</v>
      </c>
      <c r="BT13">
        <f t="shared" si="56"/>
        <v>10</v>
      </c>
      <c r="BU13" t="str">
        <f t="shared" si="57"/>
        <v>7</v>
      </c>
      <c r="BV13" t="str">
        <f t="shared" si="58"/>
        <v>5</v>
      </c>
      <c r="BW13" t="str">
        <f t="shared" si="59"/>
        <v>0</v>
      </c>
      <c r="BX13" s="183" t="s">
        <v>1166</v>
      </c>
      <c r="BY13">
        <f t="shared" si="60"/>
        <v>8</v>
      </c>
      <c r="BZ13">
        <f t="shared" si="61"/>
        <v>10</v>
      </c>
      <c r="CA13" t="str">
        <f t="shared" si="62"/>
        <v>6</v>
      </c>
      <c r="CB13" t="str">
        <f t="shared" si="63"/>
        <v>7</v>
      </c>
      <c r="CC13" t="str">
        <f t="shared" si="64"/>
        <v>6</v>
      </c>
      <c r="CD13" s="181" t="s">
        <v>1185</v>
      </c>
      <c r="CE13">
        <f t="shared" si="65"/>
        <v>8</v>
      </c>
      <c r="CF13">
        <f t="shared" si="66"/>
        <v>10</v>
      </c>
      <c r="CG13" t="str">
        <f t="shared" si="67"/>
        <v>7</v>
      </c>
      <c r="CH13" t="str">
        <f t="shared" si="68"/>
        <v>7</v>
      </c>
      <c r="CI13" t="str">
        <f t="shared" si="69"/>
        <v>0</v>
      </c>
      <c r="CJ13" s="181" t="s">
        <v>1202</v>
      </c>
      <c r="CK13">
        <f t="shared" si="70"/>
        <v>8</v>
      </c>
      <c r="CL13">
        <f t="shared" si="71"/>
        <v>10</v>
      </c>
      <c r="CM13" t="str">
        <f t="shared" si="72"/>
        <v>6</v>
      </c>
      <c r="CN13" t="str">
        <f t="shared" si="73"/>
        <v>5</v>
      </c>
      <c r="CO13" t="str">
        <f t="shared" si="74"/>
        <v>3</v>
      </c>
      <c r="CP13" s="181" t="s">
        <v>1217</v>
      </c>
      <c r="CQ13">
        <f t="shared" si="75"/>
        <v>8</v>
      </c>
      <c r="CR13">
        <f t="shared" si="76"/>
        <v>10</v>
      </c>
      <c r="CS13" t="str">
        <f t="shared" si="77"/>
        <v>7</v>
      </c>
      <c r="CT13" t="str">
        <f t="shared" si="78"/>
        <v>6</v>
      </c>
      <c r="CU13" t="str">
        <f t="shared" si="79"/>
        <v>1</v>
      </c>
      <c r="CV13" s="181" t="s">
        <v>1069</v>
      </c>
      <c r="CW13">
        <f t="shared" si="80"/>
        <v>8</v>
      </c>
      <c r="CX13">
        <f t="shared" si="81"/>
        <v>10</v>
      </c>
      <c r="CY13" t="str">
        <f t="shared" si="82"/>
        <v>7</v>
      </c>
      <c r="CZ13" t="str">
        <f t="shared" si="83"/>
        <v>6</v>
      </c>
      <c r="DA13" t="str">
        <f t="shared" si="84"/>
        <v>+2</v>
      </c>
      <c r="DB13" s="181" t="s">
        <v>1084</v>
      </c>
      <c r="DC13">
        <f t="shared" si="85"/>
        <v>8</v>
      </c>
      <c r="DD13">
        <f t="shared" si="86"/>
        <v>10</v>
      </c>
      <c r="DE13" t="str">
        <f t="shared" si="87"/>
        <v>7</v>
      </c>
      <c r="DF13" t="str">
        <f t="shared" si="88"/>
        <v>7</v>
      </c>
      <c r="DG13" t="str">
        <f t="shared" si="89"/>
        <v>2</v>
      </c>
      <c r="DH13" s="181" t="s">
        <v>1251</v>
      </c>
      <c r="DI13">
        <f t="shared" si="90"/>
        <v>8</v>
      </c>
      <c r="DJ13">
        <f t="shared" si="91"/>
        <v>10</v>
      </c>
      <c r="DK13" t="str">
        <f t="shared" si="92"/>
        <v>7</v>
      </c>
      <c r="DL13" t="str">
        <f t="shared" si="93"/>
        <v>4</v>
      </c>
      <c r="DM13" t="str">
        <f t="shared" si="94"/>
        <v>3</v>
      </c>
      <c r="DN13" s="181" t="s">
        <v>1268</v>
      </c>
      <c r="DO13">
        <f t="shared" si="95"/>
        <v>8</v>
      </c>
      <c r="DP13">
        <f t="shared" si="96"/>
        <v>10</v>
      </c>
      <c r="DQ13" t="str">
        <f t="shared" si="97"/>
        <v>7</v>
      </c>
      <c r="DR13" t="str">
        <f t="shared" si="98"/>
        <v>6</v>
      </c>
      <c r="DS13" t="str">
        <f t="shared" si="99"/>
        <v>3</v>
      </c>
    </row>
    <row r="14" spans="1:123">
      <c r="C14" s="181" t="s">
        <v>678</v>
      </c>
      <c r="D14" s="181" t="s">
        <v>960</v>
      </c>
      <c r="E14">
        <f t="shared" si="0"/>
        <v>8</v>
      </c>
      <c r="F14">
        <f t="shared" si="1"/>
        <v>10</v>
      </c>
      <c r="G14" s="185" t="str">
        <f t="shared" si="2"/>
        <v>7</v>
      </c>
      <c r="H14" s="185" t="str">
        <f t="shared" si="3"/>
        <v>4</v>
      </c>
      <c r="I14" s="185" t="str">
        <f t="shared" si="4"/>
        <v>+2</v>
      </c>
      <c r="J14" s="181" t="s">
        <v>980</v>
      </c>
      <c r="K14">
        <f t="shared" si="5"/>
        <v>8</v>
      </c>
      <c r="L14">
        <f t="shared" si="6"/>
        <v>10</v>
      </c>
      <c r="M14" t="str">
        <f t="shared" si="7"/>
        <v>6</v>
      </c>
      <c r="N14" t="str">
        <f t="shared" si="8"/>
        <v>6</v>
      </c>
      <c r="O14" t="str">
        <f t="shared" si="9"/>
        <v>2</v>
      </c>
      <c r="P14" s="181" t="s">
        <v>1000</v>
      </c>
      <c r="Q14">
        <f t="shared" si="10"/>
        <v>8</v>
      </c>
      <c r="R14">
        <f t="shared" si="11"/>
        <v>10</v>
      </c>
      <c r="S14" t="str">
        <f t="shared" si="12"/>
        <v>6</v>
      </c>
      <c r="T14" t="str">
        <f t="shared" si="13"/>
        <v>5</v>
      </c>
      <c r="U14" t="str">
        <f t="shared" si="14"/>
        <v>+3</v>
      </c>
      <c r="V14" s="181" t="s">
        <v>1019</v>
      </c>
      <c r="W14">
        <f t="shared" si="15"/>
        <v>8</v>
      </c>
      <c r="X14">
        <f t="shared" si="16"/>
        <v>10</v>
      </c>
      <c r="Y14" t="str">
        <f t="shared" si="17"/>
        <v>7</v>
      </c>
      <c r="Z14" t="str">
        <f t="shared" si="18"/>
        <v>7</v>
      </c>
      <c r="AA14" t="str">
        <f t="shared" si="19"/>
        <v>+3</v>
      </c>
      <c r="AB14" s="181" t="s">
        <v>1036</v>
      </c>
      <c r="AC14">
        <f t="shared" si="20"/>
        <v>8</v>
      </c>
      <c r="AD14">
        <f t="shared" si="21"/>
        <v>10</v>
      </c>
      <c r="AE14" t="str">
        <f t="shared" si="22"/>
        <v>7</v>
      </c>
      <c r="AF14" t="str">
        <f t="shared" si="23"/>
        <v>6</v>
      </c>
      <c r="AG14" t="str">
        <f t="shared" si="24"/>
        <v>+1</v>
      </c>
      <c r="AH14" s="183" t="s">
        <v>1052</v>
      </c>
      <c r="AI14">
        <f t="shared" si="25"/>
        <v>8</v>
      </c>
      <c r="AJ14">
        <f t="shared" si="26"/>
        <v>10</v>
      </c>
      <c r="AK14" t="str">
        <f t="shared" si="27"/>
        <v>7</v>
      </c>
      <c r="AL14" t="str">
        <f t="shared" si="28"/>
        <v>7</v>
      </c>
      <c r="AM14" t="str">
        <f t="shared" si="29"/>
        <v>+2</v>
      </c>
      <c r="AN14" s="183" t="s">
        <v>1052</v>
      </c>
      <c r="AO14">
        <f t="shared" si="30"/>
        <v>8</v>
      </c>
      <c r="AP14">
        <f t="shared" si="31"/>
        <v>10</v>
      </c>
      <c r="AQ14" t="str">
        <f t="shared" si="32"/>
        <v>7</v>
      </c>
      <c r="AR14" t="str">
        <f t="shared" si="33"/>
        <v>7</v>
      </c>
      <c r="AS14" t="str">
        <f t="shared" si="34"/>
        <v>+2</v>
      </c>
      <c r="AT14" s="183" t="s">
        <v>1085</v>
      </c>
      <c r="AU14">
        <f t="shared" si="35"/>
        <v>8</v>
      </c>
      <c r="AV14">
        <f t="shared" si="36"/>
        <v>10</v>
      </c>
      <c r="AW14" t="str">
        <f t="shared" si="37"/>
        <v>6</v>
      </c>
      <c r="AX14" t="str">
        <f t="shared" si="38"/>
        <v>7</v>
      </c>
      <c r="AY14" t="str">
        <f t="shared" si="39"/>
        <v>3</v>
      </c>
      <c r="AZ14" s="183" t="s">
        <v>1099</v>
      </c>
      <c r="BA14">
        <f t="shared" si="40"/>
        <v>8</v>
      </c>
      <c r="BB14">
        <f t="shared" si="41"/>
        <v>10</v>
      </c>
      <c r="BC14" t="str">
        <f t="shared" si="42"/>
        <v>7</v>
      </c>
      <c r="BD14" t="str">
        <f t="shared" si="43"/>
        <v>7</v>
      </c>
      <c r="BE14" t="str">
        <f t="shared" si="44"/>
        <v>2</v>
      </c>
      <c r="BF14" s="183" t="s">
        <v>1115</v>
      </c>
      <c r="BG14">
        <f t="shared" si="45"/>
        <v>8</v>
      </c>
      <c r="BH14">
        <f t="shared" si="46"/>
        <v>10</v>
      </c>
      <c r="BI14" t="str">
        <f t="shared" si="47"/>
        <v>8</v>
      </c>
      <c r="BJ14" t="str">
        <f t="shared" si="48"/>
        <v>4</v>
      </c>
      <c r="BK14" t="str">
        <f t="shared" si="49"/>
        <v>+5</v>
      </c>
      <c r="BL14" s="183" t="s">
        <v>1131</v>
      </c>
      <c r="BM14">
        <f t="shared" si="50"/>
        <v>8</v>
      </c>
      <c r="BN14">
        <f t="shared" si="51"/>
        <v>10</v>
      </c>
      <c r="BO14" t="str">
        <f t="shared" si="52"/>
        <v>6</v>
      </c>
      <c r="BP14" t="str">
        <f t="shared" si="53"/>
        <v>7</v>
      </c>
      <c r="BQ14" t="str">
        <f t="shared" si="54"/>
        <v>2</v>
      </c>
      <c r="BR14" s="183" t="s">
        <v>1148</v>
      </c>
      <c r="BS14">
        <f t="shared" si="55"/>
        <v>8</v>
      </c>
      <c r="BT14">
        <f t="shared" si="56"/>
        <v>10</v>
      </c>
      <c r="BU14" t="str">
        <f t="shared" si="57"/>
        <v>7</v>
      </c>
      <c r="BV14" t="str">
        <f t="shared" si="58"/>
        <v>6</v>
      </c>
      <c r="BW14" t="str">
        <f t="shared" si="59"/>
        <v>2</v>
      </c>
      <c r="BX14" s="183" t="s">
        <v>1167</v>
      </c>
      <c r="BY14">
        <f t="shared" si="60"/>
        <v>8</v>
      </c>
      <c r="BZ14">
        <f t="shared" si="61"/>
        <v>10</v>
      </c>
      <c r="CA14" t="str">
        <f t="shared" si="62"/>
        <v>6</v>
      </c>
      <c r="CB14" t="str">
        <f t="shared" si="63"/>
        <v>7</v>
      </c>
      <c r="CC14" t="str">
        <f t="shared" si="64"/>
        <v>5</v>
      </c>
      <c r="CD14" s="181" t="s">
        <v>1186</v>
      </c>
      <c r="CE14">
        <f t="shared" si="65"/>
        <v>8</v>
      </c>
      <c r="CF14">
        <f t="shared" si="66"/>
        <v>10</v>
      </c>
      <c r="CG14" t="str">
        <f t="shared" si="67"/>
        <v>7</v>
      </c>
      <c r="CH14" t="str">
        <f t="shared" si="68"/>
        <v>7</v>
      </c>
      <c r="CI14" t="str">
        <f t="shared" si="69"/>
        <v>1</v>
      </c>
      <c r="CJ14" s="181" t="s">
        <v>980</v>
      </c>
      <c r="CK14">
        <f t="shared" si="70"/>
        <v>8</v>
      </c>
      <c r="CL14">
        <f t="shared" si="71"/>
        <v>10</v>
      </c>
      <c r="CM14" t="str">
        <f t="shared" si="72"/>
        <v>6</v>
      </c>
      <c r="CN14" t="str">
        <f t="shared" si="73"/>
        <v>6</v>
      </c>
      <c r="CO14" t="str">
        <f t="shared" si="74"/>
        <v>2</v>
      </c>
      <c r="CP14" s="181" t="s">
        <v>1218</v>
      </c>
      <c r="CQ14">
        <f t="shared" si="75"/>
        <v>8</v>
      </c>
      <c r="CR14">
        <f t="shared" si="76"/>
        <v>10</v>
      </c>
      <c r="CS14" t="str">
        <f t="shared" si="77"/>
        <v>7</v>
      </c>
      <c r="CT14" t="str">
        <f t="shared" si="78"/>
        <v>5</v>
      </c>
      <c r="CU14" t="str">
        <f t="shared" si="79"/>
        <v>3</v>
      </c>
      <c r="CV14" s="181" t="s">
        <v>1227</v>
      </c>
      <c r="CW14">
        <f t="shared" si="80"/>
        <v>8</v>
      </c>
      <c r="CX14">
        <f t="shared" si="81"/>
        <v>10</v>
      </c>
      <c r="CY14" t="str">
        <f t="shared" si="82"/>
        <v>7</v>
      </c>
      <c r="CZ14" t="str">
        <f t="shared" si="83"/>
        <v>6</v>
      </c>
      <c r="DA14" t="str">
        <f t="shared" si="84"/>
        <v>+2</v>
      </c>
      <c r="DB14" s="181" t="s">
        <v>1235</v>
      </c>
      <c r="DC14">
        <f t="shared" si="85"/>
        <v>8</v>
      </c>
      <c r="DD14">
        <f t="shared" si="86"/>
        <v>10</v>
      </c>
      <c r="DE14" t="str">
        <f t="shared" si="87"/>
        <v>7</v>
      </c>
      <c r="DF14" t="str">
        <f t="shared" si="88"/>
        <v>7</v>
      </c>
      <c r="DG14" t="str">
        <f t="shared" si="89"/>
        <v>3</v>
      </c>
      <c r="DH14" s="181" t="s">
        <v>1252</v>
      </c>
      <c r="DI14">
        <f t="shared" si="90"/>
        <v>8</v>
      </c>
      <c r="DJ14">
        <f t="shared" si="91"/>
        <v>10</v>
      </c>
      <c r="DK14" t="str">
        <f t="shared" si="92"/>
        <v>7</v>
      </c>
      <c r="DL14" t="str">
        <f t="shared" si="93"/>
        <v>4</v>
      </c>
      <c r="DM14" t="str">
        <f t="shared" si="94"/>
        <v>4</v>
      </c>
      <c r="DN14" s="181" t="s">
        <v>1269</v>
      </c>
      <c r="DO14">
        <f t="shared" si="95"/>
        <v>8</v>
      </c>
      <c r="DP14">
        <f t="shared" si="96"/>
        <v>10</v>
      </c>
      <c r="DQ14" t="str">
        <f t="shared" si="97"/>
        <v>6</v>
      </c>
      <c r="DR14" t="str">
        <f t="shared" si="98"/>
        <v>6</v>
      </c>
      <c r="DS14" t="str">
        <f t="shared" si="99"/>
        <v>1</v>
      </c>
    </row>
    <row r="15" spans="1:123">
      <c r="C15" s="181" t="s">
        <v>681</v>
      </c>
      <c r="D15" s="181" t="s">
        <v>961</v>
      </c>
      <c r="E15">
        <f t="shared" si="0"/>
        <v>9</v>
      </c>
      <c r="F15">
        <f t="shared" si="1"/>
        <v>11</v>
      </c>
      <c r="G15" s="185" t="str">
        <f t="shared" si="2"/>
        <v>9</v>
      </c>
      <c r="H15" s="185" t="str">
        <f t="shared" si="3"/>
        <v>9</v>
      </c>
      <c r="I15" s="185" t="str">
        <f t="shared" si="4"/>
        <v>+4</v>
      </c>
      <c r="J15" s="181" t="s">
        <v>981</v>
      </c>
      <c r="K15">
        <f t="shared" si="5"/>
        <v>9</v>
      </c>
      <c r="L15">
        <f t="shared" si="6"/>
        <v>11</v>
      </c>
      <c r="M15" t="str">
        <f t="shared" si="7"/>
        <v>8</v>
      </c>
      <c r="N15" t="str">
        <f t="shared" si="8"/>
        <v>7</v>
      </c>
      <c r="O15" t="str">
        <f t="shared" si="9"/>
        <v>4</v>
      </c>
      <c r="P15" s="181" t="s">
        <v>1001</v>
      </c>
      <c r="Q15">
        <f t="shared" si="10"/>
        <v>9</v>
      </c>
      <c r="R15">
        <f t="shared" si="11"/>
        <v>11</v>
      </c>
      <c r="S15" t="str">
        <f t="shared" si="12"/>
        <v>8</v>
      </c>
      <c r="T15" t="str">
        <f t="shared" si="13"/>
        <v>8</v>
      </c>
      <c r="U15" t="str">
        <f t="shared" si="14"/>
        <v>0</v>
      </c>
      <c r="V15" s="181" t="s">
        <v>1020</v>
      </c>
      <c r="W15">
        <f t="shared" si="15"/>
        <v>9</v>
      </c>
      <c r="X15">
        <f t="shared" si="16"/>
        <v>11</v>
      </c>
      <c r="Y15" t="str">
        <f t="shared" si="17"/>
        <v>8</v>
      </c>
      <c r="Z15" t="str">
        <f t="shared" si="18"/>
        <v>9</v>
      </c>
      <c r="AA15" t="str">
        <f t="shared" si="19"/>
        <v>+4</v>
      </c>
      <c r="AB15" s="181" t="s">
        <v>1037</v>
      </c>
      <c r="AC15">
        <f t="shared" si="20"/>
        <v>9</v>
      </c>
      <c r="AD15">
        <f t="shared" si="21"/>
        <v>11</v>
      </c>
      <c r="AE15" t="str">
        <f t="shared" si="22"/>
        <v>8</v>
      </c>
      <c r="AF15" t="str">
        <f t="shared" si="23"/>
        <v>8</v>
      </c>
      <c r="AG15" t="str">
        <f t="shared" si="24"/>
        <v>+3</v>
      </c>
      <c r="AH15" s="183" t="s">
        <v>1053</v>
      </c>
      <c r="AI15">
        <f t="shared" si="25"/>
        <v>9</v>
      </c>
      <c r="AJ15">
        <f t="shared" si="26"/>
        <v>12</v>
      </c>
      <c r="AK15" t="str">
        <f t="shared" si="27"/>
        <v>9</v>
      </c>
      <c r="AL15" t="str">
        <f t="shared" si="28"/>
        <v>10</v>
      </c>
      <c r="AM15" t="str">
        <f t="shared" si="29"/>
        <v>+3</v>
      </c>
      <c r="AN15" s="183" t="s">
        <v>1070</v>
      </c>
      <c r="AO15">
        <f t="shared" si="30"/>
        <v>9</v>
      </c>
      <c r="AP15">
        <f t="shared" si="31"/>
        <v>11</v>
      </c>
      <c r="AQ15" t="str">
        <f t="shared" si="32"/>
        <v>9</v>
      </c>
      <c r="AR15" t="str">
        <f t="shared" si="33"/>
        <v>9</v>
      </c>
      <c r="AS15" t="str">
        <f t="shared" si="34"/>
        <v>+3</v>
      </c>
      <c r="AT15" s="183" t="s">
        <v>1086</v>
      </c>
      <c r="AU15">
        <f t="shared" si="35"/>
        <v>9</v>
      </c>
      <c r="AV15">
        <f t="shared" si="36"/>
        <v>11</v>
      </c>
      <c r="AW15" t="str">
        <f t="shared" si="37"/>
        <v>9</v>
      </c>
      <c r="AX15" t="str">
        <f t="shared" si="38"/>
        <v>9</v>
      </c>
      <c r="AY15" t="str">
        <f t="shared" si="39"/>
        <v>4</v>
      </c>
      <c r="AZ15" s="183" t="s">
        <v>1100</v>
      </c>
      <c r="BA15">
        <f t="shared" si="40"/>
        <v>9</v>
      </c>
      <c r="BB15">
        <f t="shared" si="41"/>
        <v>11</v>
      </c>
      <c r="BC15" t="str">
        <f t="shared" si="42"/>
        <v>9</v>
      </c>
      <c r="BD15" t="str">
        <f t="shared" si="43"/>
        <v>9</v>
      </c>
      <c r="BE15" t="str">
        <f t="shared" si="44"/>
        <v>3</v>
      </c>
      <c r="BF15" s="183" t="s">
        <v>1116</v>
      </c>
      <c r="BG15">
        <f t="shared" si="45"/>
        <v>9</v>
      </c>
      <c r="BH15">
        <f t="shared" si="46"/>
        <v>11</v>
      </c>
      <c r="BI15" t="str">
        <f t="shared" si="47"/>
        <v>9</v>
      </c>
      <c r="BJ15" t="str">
        <f t="shared" si="48"/>
        <v>8</v>
      </c>
      <c r="BK15" t="str">
        <f t="shared" si="49"/>
        <v>+3</v>
      </c>
      <c r="BL15" s="183" t="s">
        <v>1132</v>
      </c>
      <c r="BM15">
        <f t="shared" si="50"/>
        <v>9</v>
      </c>
      <c r="BN15">
        <f t="shared" si="51"/>
        <v>11</v>
      </c>
      <c r="BO15" t="str">
        <f t="shared" si="52"/>
        <v>8</v>
      </c>
      <c r="BP15" t="str">
        <f t="shared" si="53"/>
        <v>9</v>
      </c>
      <c r="BQ15" t="str">
        <f t="shared" si="54"/>
        <v>2</v>
      </c>
      <c r="BR15" s="183" t="s">
        <v>1149</v>
      </c>
      <c r="BS15">
        <f t="shared" si="55"/>
        <v>9</v>
      </c>
      <c r="BT15">
        <f t="shared" si="56"/>
        <v>11</v>
      </c>
      <c r="BU15" t="str">
        <f t="shared" si="57"/>
        <v>9</v>
      </c>
      <c r="BV15" t="str">
        <f t="shared" si="58"/>
        <v>9</v>
      </c>
      <c r="BW15" t="str">
        <f t="shared" si="59"/>
        <v>1</v>
      </c>
      <c r="BX15" s="183" t="s">
        <v>1168</v>
      </c>
      <c r="BY15">
        <f t="shared" si="60"/>
        <v>9</v>
      </c>
      <c r="BZ15">
        <f t="shared" si="61"/>
        <v>11</v>
      </c>
      <c r="CA15" t="str">
        <f t="shared" si="62"/>
        <v>8</v>
      </c>
      <c r="CB15" t="str">
        <f t="shared" si="63"/>
        <v>8</v>
      </c>
      <c r="CC15" t="str">
        <f t="shared" si="64"/>
        <v>8</v>
      </c>
      <c r="CD15" s="181" t="s">
        <v>1187</v>
      </c>
      <c r="CE15">
        <f t="shared" si="65"/>
        <v>9</v>
      </c>
      <c r="CF15">
        <f t="shared" si="66"/>
        <v>12</v>
      </c>
      <c r="CG15" t="str">
        <f t="shared" si="67"/>
        <v>9</v>
      </c>
      <c r="CH15" t="str">
        <f t="shared" si="68"/>
        <v>10</v>
      </c>
      <c r="CI15" t="str">
        <f t="shared" si="69"/>
        <v>0</v>
      </c>
      <c r="CJ15" s="181" t="s">
        <v>1203</v>
      </c>
      <c r="CK15">
        <f t="shared" si="70"/>
        <v>9</v>
      </c>
      <c r="CL15">
        <f t="shared" si="71"/>
        <v>11</v>
      </c>
      <c r="CM15" t="str">
        <f t="shared" si="72"/>
        <v>8</v>
      </c>
      <c r="CN15" t="str">
        <f t="shared" si="73"/>
        <v>9</v>
      </c>
      <c r="CO15" t="str">
        <f t="shared" si="74"/>
        <v>3</v>
      </c>
      <c r="CP15" s="181" t="s">
        <v>1219</v>
      </c>
      <c r="CQ15">
        <f t="shared" si="75"/>
        <v>9</v>
      </c>
      <c r="CR15">
        <f t="shared" si="76"/>
        <v>11</v>
      </c>
      <c r="CS15" t="str">
        <f t="shared" si="77"/>
        <v>9</v>
      </c>
      <c r="CT15" t="str">
        <f t="shared" si="78"/>
        <v>8</v>
      </c>
      <c r="CU15" t="str">
        <f t="shared" si="79"/>
        <v>3</v>
      </c>
      <c r="CV15" s="181" t="s">
        <v>1037</v>
      </c>
      <c r="CW15">
        <f t="shared" si="80"/>
        <v>9</v>
      </c>
      <c r="CX15">
        <f t="shared" si="81"/>
        <v>11</v>
      </c>
      <c r="CY15" t="str">
        <f t="shared" si="82"/>
        <v>8</v>
      </c>
      <c r="CZ15" t="str">
        <f t="shared" si="83"/>
        <v>8</v>
      </c>
      <c r="DA15" t="str">
        <f t="shared" si="84"/>
        <v>+3</v>
      </c>
      <c r="DB15" s="181" t="s">
        <v>1236</v>
      </c>
      <c r="DC15">
        <f t="shared" si="85"/>
        <v>9</v>
      </c>
      <c r="DD15">
        <f t="shared" si="86"/>
        <v>12</v>
      </c>
      <c r="DE15" t="str">
        <f t="shared" si="87"/>
        <v>9</v>
      </c>
      <c r="DF15" t="str">
        <f t="shared" si="88"/>
        <v>10</v>
      </c>
      <c r="DG15" t="str">
        <f t="shared" si="89"/>
        <v>4</v>
      </c>
      <c r="DH15" s="181" t="s">
        <v>1086</v>
      </c>
      <c r="DI15">
        <f t="shared" si="90"/>
        <v>9</v>
      </c>
      <c r="DJ15">
        <f t="shared" si="91"/>
        <v>11</v>
      </c>
      <c r="DK15" t="str">
        <f t="shared" si="92"/>
        <v>9</v>
      </c>
      <c r="DL15" t="str">
        <f t="shared" si="93"/>
        <v>9</v>
      </c>
      <c r="DM15" t="str">
        <f t="shared" si="94"/>
        <v>4</v>
      </c>
      <c r="DN15" s="181" t="s">
        <v>1100</v>
      </c>
      <c r="DO15">
        <f t="shared" si="95"/>
        <v>9</v>
      </c>
      <c r="DP15">
        <f t="shared" si="96"/>
        <v>11</v>
      </c>
      <c r="DQ15" t="str">
        <f t="shared" si="97"/>
        <v>9</v>
      </c>
      <c r="DR15" t="str">
        <f t="shared" si="98"/>
        <v>9</v>
      </c>
      <c r="DS15" t="str">
        <f t="shared" si="99"/>
        <v>3</v>
      </c>
    </row>
    <row r="16" spans="1:123">
      <c r="C16" s="181" t="s">
        <v>703</v>
      </c>
      <c r="D16" s="181" t="s">
        <v>962</v>
      </c>
      <c r="E16">
        <f t="shared" si="0"/>
        <v>10</v>
      </c>
      <c r="F16">
        <f t="shared" si="1"/>
        <v>12</v>
      </c>
      <c r="G16" s="185" t="str">
        <f t="shared" si="2"/>
        <v>4</v>
      </c>
      <c r="H16" s="185" t="str">
        <f t="shared" si="3"/>
        <v>5</v>
      </c>
      <c r="I16" s="185" t="str">
        <f t="shared" si="4"/>
        <v>-2</v>
      </c>
      <c r="J16" s="181" t="s">
        <v>982</v>
      </c>
      <c r="K16">
        <f t="shared" si="5"/>
        <v>10</v>
      </c>
      <c r="L16">
        <f t="shared" si="6"/>
        <v>12</v>
      </c>
      <c r="M16" t="str">
        <f t="shared" si="7"/>
        <v>1</v>
      </c>
      <c r="N16" t="str">
        <f t="shared" si="8"/>
        <v>6</v>
      </c>
      <c r="O16" t="str">
        <f t="shared" si="9"/>
        <v>0</v>
      </c>
      <c r="P16" s="181" t="s">
        <v>1002</v>
      </c>
      <c r="Q16">
        <f t="shared" si="10"/>
        <v>10</v>
      </c>
      <c r="R16">
        <f t="shared" si="11"/>
        <v>12</v>
      </c>
      <c r="S16" t="str">
        <f t="shared" si="12"/>
        <v>3</v>
      </c>
      <c r="T16" t="str">
        <f t="shared" si="13"/>
        <v>3</v>
      </c>
      <c r="U16" t="str">
        <f t="shared" si="14"/>
        <v>0</v>
      </c>
      <c r="V16" s="181" t="s">
        <v>1021</v>
      </c>
      <c r="W16">
        <f t="shared" si="15"/>
        <v>10</v>
      </c>
      <c r="X16">
        <f t="shared" si="16"/>
        <v>12</v>
      </c>
      <c r="Y16" t="str">
        <f t="shared" si="17"/>
        <v>4</v>
      </c>
      <c r="Z16" t="str">
        <f t="shared" si="18"/>
        <v>4</v>
      </c>
      <c r="AA16" t="str">
        <f t="shared" si="19"/>
        <v>-2</v>
      </c>
      <c r="AB16" s="181" t="s">
        <v>962</v>
      </c>
      <c r="AC16">
        <f t="shared" si="20"/>
        <v>10</v>
      </c>
      <c r="AD16">
        <f t="shared" si="21"/>
        <v>12</v>
      </c>
      <c r="AE16" t="str">
        <f t="shared" si="22"/>
        <v>4</v>
      </c>
      <c r="AF16" t="str">
        <f t="shared" si="23"/>
        <v>5</v>
      </c>
      <c r="AG16" t="str">
        <f t="shared" si="24"/>
        <v>-2</v>
      </c>
      <c r="AH16" s="183" t="s">
        <v>1054</v>
      </c>
      <c r="AI16">
        <f t="shared" si="25"/>
        <v>10</v>
      </c>
      <c r="AJ16">
        <f t="shared" si="26"/>
        <v>12</v>
      </c>
      <c r="AK16" t="str">
        <f t="shared" si="27"/>
        <v>4</v>
      </c>
      <c r="AL16" t="str">
        <f t="shared" si="28"/>
        <v>6</v>
      </c>
      <c r="AM16" t="str">
        <f t="shared" si="29"/>
        <v>-2</v>
      </c>
      <c r="AN16" s="183" t="s">
        <v>1071</v>
      </c>
      <c r="AO16">
        <f t="shared" si="30"/>
        <v>10</v>
      </c>
      <c r="AP16">
        <f t="shared" si="31"/>
        <v>12</v>
      </c>
      <c r="AQ16" t="str">
        <f t="shared" si="32"/>
        <v>4</v>
      </c>
      <c r="AR16" t="str">
        <f t="shared" si="33"/>
        <v>5</v>
      </c>
      <c r="AS16" t="str">
        <f t="shared" si="34"/>
        <v>-1</v>
      </c>
      <c r="AT16" s="183" t="s">
        <v>1071</v>
      </c>
      <c r="AU16">
        <f t="shared" si="35"/>
        <v>10</v>
      </c>
      <c r="AV16">
        <f t="shared" si="36"/>
        <v>12</v>
      </c>
      <c r="AW16" t="str">
        <f t="shared" si="37"/>
        <v>4</v>
      </c>
      <c r="AX16" t="str">
        <f t="shared" si="38"/>
        <v>5</v>
      </c>
      <c r="AY16" t="str">
        <f t="shared" si="39"/>
        <v>-1</v>
      </c>
      <c r="AZ16" s="183" t="s">
        <v>1101</v>
      </c>
      <c r="BA16">
        <f t="shared" si="40"/>
        <v>10</v>
      </c>
      <c r="BB16">
        <f t="shared" si="41"/>
        <v>12</v>
      </c>
      <c r="BC16" t="str">
        <f t="shared" si="42"/>
        <v>4</v>
      </c>
      <c r="BD16" t="str">
        <f t="shared" si="43"/>
        <v>4</v>
      </c>
      <c r="BE16" t="str">
        <f t="shared" si="44"/>
        <v>0</v>
      </c>
      <c r="BF16" s="183" t="s">
        <v>1117</v>
      </c>
      <c r="BG16">
        <f t="shared" si="45"/>
        <v>10</v>
      </c>
      <c r="BH16">
        <f t="shared" si="46"/>
        <v>12</v>
      </c>
      <c r="BI16" t="str">
        <f t="shared" si="47"/>
        <v>5</v>
      </c>
      <c r="BJ16" t="str">
        <f t="shared" si="48"/>
        <v>5</v>
      </c>
      <c r="BK16" t="str">
        <f t="shared" si="49"/>
        <v>0</v>
      </c>
      <c r="BL16" s="183" t="s">
        <v>1133</v>
      </c>
      <c r="BM16">
        <f t="shared" si="50"/>
        <v>10</v>
      </c>
      <c r="BN16">
        <f t="shared" si="51"/>
        <v>12</v>
      </c>
      <c r="BO16" t="str">
        <f t="shared" si="52"/>
        <v>5</v>
      </c>
      <c r="BP16" t="str">
        <f t="shared" si="53"/>
        <v>6</v>
      </c>
      <c r="BQ16" t="str">
        <f t="shared" si="54"/>
        <v>1</v>
      </c>
      <c r="BR16" s="183" t="s">
        <v>1150</v>
      </c>
      <c r="BS16">
        <f t="shared" si="55"/>
        <v>10</v>
      </c>
      <c r="BT16">
        <f t="shared" si="56"/>
        <v>12</v>
      </c>
      <c r="BU16" t="str">
        <f t="shared" si="57"/>
        <v>4</v>
      </c>
      <c r="BV16" t="str">
        <f t="shared" si="58"/>
        <v>6</v>
      </c>
      <c r="BW16" t="str">
        <f t="shared" si="59"/>
        <v>-1</v>
      </c>
      <c r="BX16" s="183" t="s">
        <v>1169</v>
      </c>
      <c r="BY16">
        <f t="shared" si="60"/>
        <v>10</v>
      </c>
      <c r="BZ16">
        <f t="shared" si="61"/>
        <v>12</v>
      </c>
      <c r="CA16" t="str">
        <f t="shared" si="62"/>
        <v>4</v>
      </c>
      <c r="CB16" t="str">
        <f t="shared" si="63"/>
        <v>4</v>
      </c>
      <c r="CC16" t="str">
        <f t="shared" si="64"/>
        <v>5</v>
      </c>
      <c r="CD16" s="181" t="s">
        <v>1188</v>
      </c>
      <c r="CE16">
        <f t="shared" si="65"/>
        <v>10</v>
      </c>
      <c r="CF16">
        <f t="shared" si="66"/>
        <v>12</v>
      </c>
      <c r="CG16" t="str">
        <f t="shared" si="67"/>
        <v>4</v>
      </c>
      <c r="CH16" t="str">
        <f t="shared" si="68"/>
        <v>6</v>
      </c>
      <c r="CI16" t="str">
        <f t="shared" si="69"/>
        <v>0</v>
      </c>
      <c r="CJ16" s="181" t="s">
        <v>1204</v>
      </c>
      <c r="CK16">
        <f t="shared" si="70"/>
        <v>10</v>
      </c>
      <c r="CL16">
        <f t="shared" si="71"/>
        <v>12</v>
      </c>
      <c r="CM16" t="str">
        <f t="shared" si="72"/>
        <v>2</v>
      </c>
      <c r="CN16" t="str">
        <f t="shared" si="73"/>
        <v>3</v>
      </c>
      <c r="CO16" t="str">
        <f t="shared" si="74"/>
        <v>-1</v>
      </c>
      <c r="CP16" s="181" t="s">
        <v>1220</v>
      </c>
      <c r="CQ16">
        <f t="shared" si="75"/>
        <v>10</v>
      </c>
      <c r="CR16">
        <f t="shared" si="76"/>
        <v>12</v>
      </c>
      <c r="CS16" t="str">
        <f t="shared" si="77"/>
        <v>4</v>
      </c>
      <c r="CT16" t="str">
        <f t="shared" si="78"/>
        <v>5</v>
      </c>
      <c r="CU16" t="str">
        <f t="shared" si="79"/>
        <v>1</v>
      </c>
      <c r="CV16" s="181" t="s">
        <v>962</v>
      </c>
      <c r="CW16">
        <f t="shared" si="80"/>
        <v>10</v>
      </c>
      <c r="CX16">
        <f t="shared" si="81"/>
        <v>12</v>
      </c>
      <c r="CY16" t="str">
        <f t="shared" si="82"/>
        <v>4</v>
      </c>
      <c r="CZ16" t="str">
        <f t="shared" si="83"/>
        <v>5</v>
      </c>
      <c r="DA16" t="str">
        <f t="shared" si="84"/>
        <v>-2</v>
      </c>
      <c r="DB16" s="181" t="s">
        <v>1237</v>
      </c>
      <c r="DC16">
        <f t="shared" si="85"/>
        <v>10</v>
      </c>
      <c r="DD16">
        <f t="shared" si="86"/>
        <v>12</v>
      </c>
      <c r="DE16" t="str">
        <f t="shared" si="87"/>
        <v>4</v>
      </c>
      <c r="DF16" t="str">
        <f t="shared" si="88"/>
        <v>5</v>
      </c>
      <c r="DG16" t="str">
        <f t="shared" si="89"/>
        <v>-3</v>
      </c>
      <c r="DH16" s="181" t="s">
        <v>1253</v>
      </c>
      <c r="DI16">
        <f t="shared" si="90"/>
        <v>10</v>
      </c>
      <c r="DJ16">
        <f t="shared" si="91"/>
        <v>12</v>
      </c>
      <c r="DK16" t="str">
        <f t="shared" si="92"/>
        <v>1</v>
      </c>
      <c r="DL16" t="str">
        <f t="shared" si="93"/>
        <v>7</v>
      </c>
      <c r="DM16" t="str">
        <f t="shared" si="94"/>
        <v>0</v>
      </c>
      <c r="DN16" s="181" t="s">
        <v>1270</v>
      </c>
      <c r="DO16">
        <f t="shared" si="95"/>
        <v>10</v>
      </c>
      <c r="DP16">
        <f t="shared" si="96"/>
        <v>12</v>
      </c>
      <c r="DQ16" t="str">
        <f t="shared" si="97"/>
        <v>5</v>
      </c>
      <c r="DR16" t="str">
        <f t="shared" si="98"/>
        <v>5</v>
      </c>
      <c r="DS16" t="str">
        <f t="shared" si="99"/>
        <v>-2</v>
      </c>
    </row>
    <row r="17" spans="1:123">
      <c r="C17" s="181" t="s">
        <v>683</v>
      </c>
      <c r="D17" s="181" t="s">
        <v>963</v>
      </c>
      <c r="E17">
        <f t="shared" si="0"/>
        <v>10</v>
      </c>
      <c r="F17">
        <f t="shared" si="1"/>
        <v>12</v>
      </c>
      <c r="G17" s="185" t="str">
        <f t="shared" si="2"/>
        <v>6</v>
      </c>
      <c r="H17" s="185" t="str">
        <f t="shared" si="3"/>
        <v>6</v>
      </c>
      <c r="I17" s="185" t="str">
        <f t="shared" si="4"/>
        <v>+3</v>
      </c>
      <c r="J17" s="181" t="s">
        <v>983</v>
      </c>
      <c r="K17">
        <f t="shared" si="5"/>
        <v>10</v>
      </c>
      <c r="L17">
        <f t="shared" si="6"/>
        <v>12</v>
      </c>
      <c r="M17" t="str">
        <f t="shared" si="7"/>
        <v>2</v>
      </c>
      <c r="N17" t="str">
        <f t="shared" si="8"/>
        <v>7</v>
      </c>
      <c r="O17" t="str">
        <f t="shared" si="9"/>
        <v>3</v>
      </c>
      <c r="P17" s="181" t="s">
        <v>1003</v>
      </c>
      <c r="Q17">
        <f t="shared" si="10"/>
        <v>10</v>
      </c>
      <c r="R17">
        <f t="shared" si="11"/>
        <v>12</v>
      </c>
      <c r="S17" t="str">
        <f t="shared" si="12"/>
        <v>1</v>
      </c>
      <c r="T17" t="str">
        <f t="shared" si="13"/>
        <v>2</v>
      </c>
      <c r="U17" t="str">
        <f t="shared" si="14"/>
        <v>+3</v>
      </c>
      <c r="V17" s="181" t="s">
        <v>1022</v>
      </c>
      <c r="W17">
        <f t="shared" si="15"/>
        <v>10</v>
      </c>
      <c r="X17">
        <f t="shared" si="16"/>
        <v>12</v>
      </c>
      <c r="Y17" t="str">
        <f t="shared" si="17"/>
        <v>4</v>
      </c>
      <c r="Z17" t="str">
        <f t="shared" si="18"/>
        <v>4</v>
      </c>
      <c r="AA17" t="str">
        <f t="shared" si="19"/>
        <v>+1</v>
      </c>
      <c r="AB17" s="181" t="s">
        <v>1038</v>
      </c>
      <c r="AC17">
        <f t="shared" si="20"/>
        <v>10</v>
      </c>
      <c r="AD17">
        <f t="shared" si="21"/>
        <v>12</v>
      </c>
      <c r="AE17" t="str">
        <f t="shared" si="22"/>
        <v>5</v>
      </c>
      <c r="AF17" t="str">
        <f t="shared" si="23"/>
        <v>6</v>
      </c>
      <c r="AG17" t="str">
        <f t="shared" si="24"/>
        <v>+1</v>
      </c>
      <c r="AH17" s="183" t="s">
        <v>1055</v>
      </c>
      <c r="AI17">
        <f t="shared" si="25"/>
        <v>10</v>
      </c>
      <c r="AJ17">
        <f t="shared" si="26"/>
        <v>12</v>
      </c>
      <c r="AK17" t="str">
        <f t="shared" si="27"/>
        <v>6</v>
      </c>
      <c r="AL17" t="str">
        <f t="shared" si="28"/>
        <v>6</v>
      </c>
      <c r="AM17" t="str">
        <f t="shared" si="29"/>
        <v>+2</v>
      </c>
      <c r="AN17" s="183" t="s">
        <v>1072</v>
      </c>
      <c r="AO17">
        <f t="shared" si="30"/>
        <v>10</v>
      </c>
      <c r="AP17">
        <f t="shared" si="31"/>
        <v>12</v>
      </c>
      <c r="AQ17" t="str">
        <f t="shared" si="32"/>
        <v>4</v>
      </c>
      <c r="AR17" t="str">
        <f t="shared" si="33"/>
        <v>6</v>
      </c>
      <c r="AS17" t="str">
        <f t="shared" si="34"/>
        <v>+3</v>
      </c>
      <c r="AT17" s="183" t="s">
        <v>1087</v>
      </c>
      <c r="AU17">
        <f t="shared" si="35"/>
        <v>10</v>
      </c>
      <c r="AV17">
        <f t="shared" si="36"/>
        <v>12</v>
      </c>
      <c r="AW17" t="str">
        <f t="shared" si="37"/>
        <v>3</v>
      </c>
      <c r="AX17" t="str">
        <f t="shared" si="38"/>
        <v>4</v>
      </c>
      <c r="AY17" t="str">
        <f t="shared" si="39"/>
        <v>1</v>
      </c>
      <c r="AZ17" s="183" t="s">
        <v>1102</v>
      </c>
      <c r="BA17">
        <f t="shared" si="40"/>
        <v>10</v>
      </c>
      <c r="BB17">
        <f t="shared" si="41"/>
        <v>12</v>
      </c>
      <c r="BC17" t="str">
        <f t="shared" si="42"/>
        <v>4</v>
      </c>
      <c r="BD17" t="str">
        <f t="shared" si="43"/>
        <v>4</v>
      </c>
      <c r="BE17" t="str">
        <f t="shared" si="44"/>
        <v>1</v>
      </c>
      <c r="BF17" s="183" t="s">
        <v>1118</v>
      </c>
      <c r="BG17">
        <f t="shared" si="45"/>
        <v>10</v>
      </c>
      <c r="BH17">
        <f t="shared" si="46"/>
        <v>12</v>
      </c>
      <c r="BI17" t="str">
        <f t="shared" si="47"/>
        <v>4</v>
      </c>
      <c r="BJ17" t="str">
        <f t="shared" si="48"/>
        <v>6</v>
      </c>
      <c r="BK17" t="str">
        <f t="shared" si="49"/>
        <v>0</v>
      </c>
      <c r="BL17" s="183" t="s">
        <v>1134</v>
      </c>
      <c r="BM17">
        <f t="shared" si="50"/>
        <v>10</v>
      </c>
      <c r="BN17">
        <f t="shared" si="51"/>
        <v>12</v>
      </c>
      <c r="BO17" t="str">
        <f t="shared" si="52"/>
        <v>4</v>
      </c>
      <c r="BP17" t="str">
        <f t="shared" si="53"/>
        <v>5</v>
      </c>
      <c r="BQ17" t="str">
        <f t="shared" si="54"/>
        <v>0</v>
      </c>
      <c r="BR17" s="183" t="s">
        <v>1151</v>
      </c>
      <c r="BS17">
        <f t="shared" si="55"/>
        <v>10</v>
      </c>
      <c r="BT17">
        <f t="shared" si="56"/>
        <v>12</v>
      </c>
      <c r="BU17" t="str">
        <f t="shared" si="57"/>
        <v>4</v>
      </c>
      <c r="BV17" t="str">
        <f t="shared" si="58"/>
        <v>5</v>
      </c>
      <c r="BW17" t="str">
        <f t="shared" si="59"/>
        <v>3</v>
      </c>
      <c r="BX17" s="183" t="s">
        <v>1170</v>
      </c>
      <c r="BY17">
        <f t="shared" si="60"/>
        <v>10</v>
      </c>
      <c r="BZ17">
        <f t="shared" si="61"/>
        <v>12</v>
      </c>
      <c r="CA17" t="str">
        <f t="shared" si="62"/>
        <v>6</v>
      </c>
      <c r="CB17" t="str">
        <f t="shared" si="63"/>
        <v>5</v>
      </c>
      <c r="CC17" t="str">
        <f t="shared" si="64"/>
        <v>4</v>
      </c>
      <c r="CD17" s="181" t="s">
        <v>1189</v>
      </c>
      <c r="CE17">
        <f t="shared" si="65"/>
        <v>10</v>
      </c>
      <c r="CF17">
        <f t="shared" si="66"/>
        <v>12</v>
      </c>
      <c r="CG17" t="str">
        <f t="shared" si="67"/>
        <v>5</v>
      </c>
      <c r="CH17" t="str">
        <f t="shared" si="68"/>
        <v>7</v>
      </c>
      <c r="CI17" t="str">
        <f t="shared" si="69"/>
        <v>1</v>
      </c>
      <c r="CJ17" s="181" t="s">
        <v>1205</v>
      </c>
      <c r="CK17">
        <f t="shared" si="70"/>
        <v>10</v>
      </c>
      <c r="CL17">
        <f t="shared" si="71"/>
        <v>12</v>
      </c>
      <c r="CM17" t="str">
        <f t="shared" si="72"/>
        <v>4</v>
      </c>
      <c r="CN17" t="str">
        <f t="shared" si="73"/>
        <v>3</v>
      </c>
      <c r="CO17" t="str">
        <f t="shared" si="74"/>
        <v>2</v>
      </c>
      <c r="CP17" s="181" t="s">
        <v>1118</v>
      </c>
      <c r="CQ17">
        <f t="shared" si="75"/>
        <v>10</v>
      </c>
      <c r="CR17">
        <f t="shared" si="76"/>
        <v>12</v>
      </c>
      <c r="CS17" t="str">
        <f t="shared" si="77"/>
        <v>4</v>
      </c>
      <c r="CT17" t="str">
        <f t="shared" si="78"/>
        <v>6</v>
      </c>
      <c r="CU17" t="str">
        <f t="shared" si="79"/>
        <v>0</v>
      </c>
      <c r="CV17" s="181" t="s">
        <v>1038</v>
      </c>
      <c r="CW17">
        <f t="shared" si="80"/>
        <v>10</v>
      </c>
      <c r="CX17">
        <f t="shared" si="81"/>
        <v>12</v>
      </c>
      <c r="CY17" t="str">
        <f t="shared" si="82"/>
        <v>5</v>
      </c>
      <c r="CZ17" t="str">
        <f t="shared" si="83"/>
        <v>6</v>
      </c>
      <c r="DA17" t="str">
        <f t="shared" si="84"/>
        <v>+1</v>
      </c>
      <c r="DB17" s="181" t="s">
        <v>1238</v>
      </c>
      <c r="DC17">
        <f t="shared" si="85"/>
        <v>10</v>
      </c>
      <c r="DD17">
        <f t="shared" si="86"/>
        <v>12</v>
      </c>
      <c r="DE17" t="str">
        <f t="shared" si="87"/>
        <v>5</v>
      </c>
      <c r="DF17" t="str">
        <f t="shared" si="88"/>
        <v>6</v>
      </c>
      <c r="DG17" t="str">
        <f t="shared" si="89"/>
        <v>2</v>
      </c>
      <c r="DH17" s="181" t="s">
        <v>1254</v>
      </c>
      <c r="DI17">
        <f t="shared" si="90"/>
        <v>10</v>
      </c>
      <c r="DJ17">
        <f t="shared" si="91"/>
        <v>12</v>
      </c>
      <c r="DK17" t="str">
        <f t="shared" si="92"/>
        <v>3</v>
      </c>
      <c r="DL17" t="str">
        <f t="shared" si="93"/>
        <v>7</v>
      </c>
      <c r="DM17" t="str">
        <f t="shared" si="94"/>
        <v>3</v>
      </c>
      <c r="DN17" s="181" t="s">
        <v>1271</v>
      </c>
      <c r="DO17">
        <f t="shared" si="95"/>
        <v>10</v>
      </c>
      <c r="DP17">
        <f t="shared" si="96"/>
        <v>12</v>
      </c>
      <c r="DQ17" t="str">
        <f t="shared" si="97"/>
        <v>6</v>
      </c>
      <c r="DR17" t="str">
        <f t="shared" si="98"/>
        <v>7</v>
      </c>
      <c r="DS17" t="str">
        <f t="shared" si="99"/>
        <v>2</v>
      </c>
    </row>
    <row r="18" spans="1:123">
      <c r="A18" s="178" t="s">
        <v>909</v>
      </c>
      <c r="C18" s="181" t="s">
        <v>695</v>
      </c>
      <c r="D18" s="181" t="s">
        <v>964</v>
      </c>
      <c r="E18">
        <f t="shared" si="0"/>
        <v>7</v>
      </c>
      <c r="F18">
        <f t="shared" si="1"/>
        <v>9</v>
      </c>
      <c r="G18" s="185" t="str">
        <f t="shared" si="2"/>
        <v>9</v>
      </c>
      <c r="H18" s="185" t="str">
        <f t="shared" si="3"/>
        <v>9</v>
      </c>
      <c r="I18" s="185" t="str">
        <f t="shared" si="4"/>
        <v>+5</v>
      </c>
      <c r="J18" s="181" t="s">
        <v>984</v>
      </c>
      <c r="K18">
        <f t="shared" si="5"/>
        <v>7</v>
      </c>
      <c r="L18">
        <f t="shared" si="6"/>
        <v>9</v>
      </c>
      <c r="M18" t="str">
        <f t="shared" si="7"/>
        <v>8</v>
      </c>
      <c r="N18" t="str">
        <f t="shared" si="8"/>
        <v>7</v>
      </c>
      <c r="O18" t="str">
        <f t="shared" si="9"/>
        <v>4</v>
      </c>
      <c r="P18" s="181" t="s">
        <v>1004</v>
      </c>
      <c r="Q18">
        <f t="shared" si="10"/>
        <v>7</v>
      </c>
      <c r="R18">
        <f t="shared" si="11"/>
        <v>9</v>
      </c>
      <c r="S18" t="str">
        <f t="shared" si="12"/>
        <v>8</v>
      </c>
      <c r="T18" t="str">
        <f t="shared" si="13"/>
        <v>8</v>
      </c>
      <c r="U18" t="str">
        <f t="shared" si="14"/>
        <v>+3</v>
      </c>
      <c r="V18" s="181" t="s">
        <v>1023</v>
      </c>
      <c r="W18">
        <f t="shared" si="15"/>
        <v>7</v>
      </c>
      <c r="X18">
        <f t="shared" si="16"/>
        <v>9</v>
      </c>
      <c r="Y18" t="str">
        <f t="shared" si="17"/>
        <v>8</v>
      </c>
      <c r="Z18" t="str">
        <f t="shared" si="18"/>
        <v>8</v>
      </c>
      <c r="AA18" t="str">
        <f t="shared" si="19"/>
        <v>+4</v>
      </c>
      <c r="AB18" s="181" t="s">
        <v>1004</v>
      </c>
      <c r="AC18">
        <f t="shared" si="20"/>
        <v>7</v>
      </c>
      <c r="AD18">
        <f t="shared" si="21"/>
        <v>9</v>
      </c>
      <c r="AE18" t="str">
        <f t="shared" si="22"/>
        <v>8</v>
      </c>
      <c r="AF18" t="str">
        <f t="shared" si="23"/>
        <v>8</v>
      </c>
      <c r="AG18" t="str">
        <f t="shared" si="24"/>
        <v>+3</v>
      </c>
      <c r="AH18" s="183" t="s">
        <v>1056</v>
      </c>
      <c r="AI18">
        <f t="shared" si="25"/>
        <v>7</v>
      </c>
      <c r="AJ18">
        <f t="shared" si="26"/>
        <v>9</v>
      </c>
      <c r="AK18" t="str">
        <f t="shared" si="27"/>
        <v>9</v>
      </c>
      <c r="AL18" t="str">
        <f t="shared" si="28"/>
        <v>8</v>
      </c>
      <c r="AM18" t="str">
        <f t="shared" si="29"/>
        <v>+3</v>
      </c>
      <c r="AN18" s="183" t="s">
        <v>1056</v>
      </c>
      <c r="AO18">
        <f t="shared" si="30"/>
        <v>7</v>
      </c>
      <c r="AP18">
        <f t="shared" si="31"/>
        <v>9</v>
      </c>
      <c r="AQ18" t="str">
        <f t="shared" si="32"/>
        <v>9</v>
      </c>
      <c r="AR18" t="str">
        <f t="shared" si="33"/>
        <v>8</v>
      </c>
      <c r="AS18" t="str">
        <f t="shared" si="34"/>
        <v>+3</v>
      </c>
      <c r="AT18" s="183" t="s">
        <v>1088</v>
      </c>
      <c r="AU18">
        <f t="shared" si="35"/>
        <v>7</v>
      </c>
      <c r="AV18">
        <f t="shared" si="36"/>
        <v>9</v>
      </c>
      <c r="AW18" t="str">
        <f t="shared" si="37"/>
        <v>9</v>
      </c>
      <c r="AX18" t="str">
        <f t="shared" si="38"/>
        <v>9</v>
      </c>
      <c r="AY18" t="str">
        <f t="shared" si="39"/>
        <v>4</v>
      </c>
      <c r="AZ18" s="183" t="s">
        <v>1103</v>
      </c>
      <c r="BA18">
        <f t="shared" si="40"/>
        <v>7</v>
      </c>
      <c r="BB18">
        <f t="shared" si="41"/>
        <v>9</v>
      </c>
      <c r="BC18" t="str">
        <f t="shared" si="42"/>
        <v>9</v>
      </c>
      <c r="BD18" t="str">
        <f t="shared" si="43"/>
        <v>9</v>
      </c>
      <c r="BE18" t="str">
        <f t="shared" si="44"/>
        <v>3</v>
      </c>
      <c r="BF18" s="183" t="s">
        <v>1119</v>
      </c>
      <c r="BG18">
        <f t="shared" si="45"/>
        <v>7</v>
      </c>
      <c r="BH18">
        <f t="shared" si="46"/>
        <v>9</v>
      </c>
      <c r="BI18" t="str">
        <f t="shared" si="47"/>
        <v>9</v>
      </c>
      <c r="BJ18" t="str">
        <f t="shared" si="48"/>
        <v>8</v>
      </c>
      <c r="BK18" t="str">
        <f t="shared" si="49"/>
        <v>0</v>
      </c>
      <c r="BL18" s="183" t="s">
        <v>1103</v>
      </c>
      <c r="BM18">
        <f t="shared" si="50"/>
        <v>7</v>
      </c>
      <c r="BN18">
        <f t="shared" si="51"/>
        <v>9</v>
      </c>
      <c r="BO18" t="str">
        <f t="shared" si="52"/>
        <v>9</v>
      </c>
      <c r="BP18" t="str">
        <f t="shared" si="53"/>
        <v>9</v>
      </c>
      <c r="BQ18" t="str">
        <f t="shared" si="54"/>
        <v>3</v>
      </c>
      <c r="BR18" s="183" t="s">
        <v>1152</v>
      </c>
      <c r="BS18">
        <f t="shared" si="55"/>
        <v>7</v>
      </c>
      <c r="BT18">
        <f t="shared" si="56"/>
        <v>9</v>
      </c>
      <c r="BU18" t="str">
        <f t="shared" si="57"/>
        <v>9</v>
      </c>
      <c r="BV18" t="str">
        <f t="shared" si="58"/>
        <v>8</v>
      </c>
      <c r="BW18" t="str">
        <f t="shared" si="59"/>
        <v>3</v>
      </c>
      <c r="BX18" s="183" t="s">
        <v>1171</v>
      </c>
      <c r="BY18">
        <f t="shared" si="60"/>
        <v>7</v>
      </c>
      <c r="BZ18">
        <f t="shared" si="61"/>
        <v>9</v>
      </c>
      <c r="CA18" t="str">
        <f t="shared" si="62"/>
        <v>9</v>
      </c>
      <c r="CB18" t="str">
        <f t="shared" si="63"/>
        <v>8</v>
      </c>
      <c r="CC18" t="str">
        <f t="shared" si="64"/>
        <v>9</v>
      </c>
      <c r="CD18" s="181" t="s">
        <v>1190</v>
      </c>
      <c r="CE18">
        <f t="shared" si="65"/>
        <v>7</v>
      </c>
      <c r="CF18">
        <f t="shared" si="66"/>
        <v>9</v>
      </c>
      <c r="CG18" t="str">
        <f t="shared" si="67"/>
        <v>9</v>
      </c>
      <c r="CH18" t="str">
        <f t="shared" si="68"/>
        <v>9</v>
      </c>
      <c r="CI18" t="str">
        <f t="shared" si="69"/>
        <v>0</v>
      </c>
      <c r="CJ18" s="181" t="s">
        <v>1206</v>
      </c>
      <c r="CK18">
        <f t="shared" si="70"/>
        <v>7</v>
      </c>
      <c r="CL18">
        <f t="shared" si="71"/>
        <v>9</v>
      </c>
      <c r="CM18" t="str">
        <f t="shared" si="72"/>
        <v>8</v>
      </c>
      <c r="CN18" t="str">
        <f t="shared" si="73"/>
        <v>8</v>
      </c>
      <c r="CO18" t="str">
        <f t="shared" si="74"/>
        <v>3</v>
      </c>
      <c r="CP18" s="181" t="s">
        <v>1221</v>
      </c>
      <c r="CQ18">
        <f t="shared" si="75"/>
        <v>7</v>
      </c>
      <c r="CR18">
        <f t="shared" si="76"/>
        <v>9</v>
      </c>
      <c r="CS18" t="str">
        <f t="shared" si="77"/>
        <v>9</v>
      </c>
      <c r="CT18" t="str">
        <f t="shared" si="78"/>
        <v>8</v>
      </c>
      <c r="CU18" t="str">
        <f t="shared" si="79"/>
        <v>1</v>
      </c>
      <c r="CV18" s="181" t="s">
        <v>1004</v>
      </c>
      <c r="CW18">
        <f t="shared" si="80"/>
        <v>7</v>
      </c>
      <c r="CX18">
        <f t="shared" si="81"/>
        <v>9</v>
      </c>
      <c r="CY18" t="str">
        <f t="shared" si="82"/>
        <v>8</v>
      </c>
      <c r="CZ18" t="str">
        <f t="shared" si="83"/>
        <v>8</v>
      </c>
      <c r="DA18" t="str">
        <f t="shared" si="84"/>
        <v>+3</v>
      </c>
      <c r="DB18" s="181" t="s">
        <v>1088</v>
      </c>
      <c r="DC18">
        <f t="shared" si="85"/>
        <v>7</v>
      </c>
      <c r="DD18">
        <f t="shared" si="86"/>
        <v>9</v>
      </c>
      <c r="DE18" t="str">
        <f t="shared" si="87"/>
        <v>9</v>
      </c>
      <c r="DF18" t="str">
        <f t="shared" si="88"/>
        <v>9</v>
      </c>
      <c r="DG18" t="str">
        <f t="shared" si="89"/>
        <v>4</v>
      </c>
      <c r="DH18" s="181" t="s">
        <v>1255</v>
      </c>
      <c r="DI18">
        <f t="shared" si="90"/>
        <v>7</v>
      </c>
      <c r="DJ18">
        <f t="shared" si="91"/>
        <v>9</v>
      </c>
      <c r="DK18" t="str">
        <f t="shared" si="92"/>
        <v>9</v>
      </c>
      <c r="DL18" t="str">
        <f t="shared" si="93"/>
        <v>6</v>
      </c>
      <c r="DM18" t="str">
        <f t="shared" si="94"/>
        <v>4</v>
      </c>
      <c r="DN18" s="181" t="s">
        <v>1103</v>
      </c>
      <c r="DO18">
        <f t="shared" si="95"/>
        <v>7</v>
      </c>
      <c r="DP18">
        <f t="shared" si="96"/>
        <v>9</v>
      </c>
      <c r="DQ18" t="str">
        <f t="shared" si="97"/>
        <v>9</v>
      </c>
      <c r="DR18" t="str">
        <f t="shared" si="98"/>
        <v>9</v>
      </c>
      <c r="DS18" t="str">
        <f t="shared" si="99"/>
        <v>3</v>
      </c>
    </row>
    <row r="19" spans="1:123">
      <c r="A19" s="156" t="s">
        <v>910</v>
      </c>
      <c r="C19" s="181" t="s">
        <v>688</v>
      </c>
      <c r="D19" s="181" t="s">
        <v>965</v>
      </c>
      <c r="E19">
        <f t="shared" si="0"/>
        <v>12</v>
      </c>
      <c r="F19">
        <f t="shared" si="1"/>
        <v>14</v>
      </c>
      <c r="G19" s="185" t="str">
        <f t="shared" si="2"/>
        <v>5</v>
      </c>
      <c r="H19" s="185" t="str">
        <f t="shared" si="3"/>
        <v>6</v>
      </c>
      <c r="I19" s="185" t="str">
        <f t="shared" si="4"/>
        <v>-2</v>
      </c>
      <c r="J19" s="181" t="s">
        <v>985</v>
      </c>
      <c r="K19">
        <f t="shared" si="5"/>
        <v>12</v>
      </c>
      <c r="L19">
        <f t="shared" si="6"/>
        <v>14</v>
      </c>
      <c r="M19" t="str">
        <f t="shared" si="7"/>
        <v>5</v>
      </c>
      <c r="N19" t="str">
        <f t="shared" si="8"/>
        <v>7</v>
      </c>
      <c r="O19" t="str">
        <f t="shared" si="9"/>
        <v>1</v>
      </c>
      <c r="P19" s="181" t="s">
        <v>1005</v>
      </c>
      <c r="Q19">
        <f t="shared" si="10"/>
        <v>12</v>
      </c>
      <c r="R19">
        <f t="shared" si="11"/>
        <v>14</v>
      </c>
      <c r="S19" t="str">
        <f t="shared" si="12"/>
        <v>5</v>
      </c>
      <c r="T19" t="str">
        <f t="shared" si="13"/>
        <v>6</v>
      </c>
      <c r="U19" t="str">
        <f t="shared" si="14"/>
        <v>-1</v>
      </c>
      <c r="V19" s="181" t="s">
        <v>1024</v>
      </c>
      <c r="W19">
        <f t="shared" si="15"/>
        <v>12</v>
      </c>
      <c r="X19">
        <f t="shared" si="16"/>
        <v>14</v>
      </c>
      <c r="Y19" t="str">
        <f t="shared" si="17"/>
        <v>6</v>
      </c>
      <c r="Z19" t="str">
        <f t="shared" si="18"/>
        <v>6</v>
      </c>
      <c r="AA19" t="str">
        <f t="shared" si="19"/>
        <v>+1</v>
      </c>
      <c r="AB19" s="181" t="s">
        <v>1024</v>
      </c>
      <c r="AC19">
        <f t="shared" si="20"/>
        <v>12</v>
      </c>
      <c r="AD19">
        <f t="shared" si="21"/>
        <v>14</v>
      </c>
      <c r="AE19" t="str">
        <f t="shared" si="22"/>
        <v>6</v>
      </c>
      <c r="AF19" t="str">
        <f t="shared" si="23"/>
        <v>6</v>
      </c>
      <c r="AG19" t="str">
        <f t="shared" si="24"/>
        <v>+1</v>
      </c>
      <c r="AH19" s="183" t="s">
        <v>1057</v>
      </c>
      <c r="AI19">
        <f t="shared" si="25"/>
        <v>12</v>
      </c>
      <c r="AJ19">
        <f t="shared" si="26"/>
        <v>14</v>
      </c>
      <c r="AK19" t="str">
        <f t="shared" si="27"/>
        <v>6</v>
      </c>
      <c r="AL19" t="str">
        <f t="shared" si="28"/>
        <v>7</v>
      </c>
      <c r="AM19" t="str">
        <f t="shared" si="29"/>
        <v>-1</v>
      </c>
      <c r="AN19" s="183" t="s">
        <v>1073</v>
      </c>
      <c r="AO19">
        <f t="shared" si="30"/>
        <v>12</v>
      </c>
      <c r="AP19">
        <f t="shared" si="31"/>
        <v>14</v>
      </c>
      <c r="AQ19" t="str">
        <f t="shared" si="32"/>
        <v>6</v>
      </c>
      <c r="AR19" t="str">
        <f t="shared" si="33"/>
        <v>6</v>
      </c>
      <c r="AS19" t="str">
        <f t="shared" si="34"/>
        <v>-1</v>
      </c>
      <c r="AT19" s="183" t="s">
        <v>1073</v>
      </c>
      <c r="AU19">
        <f t="shared" si="35"/>
        <v>12</v>
      </c>
      <c r="AV19">
        <f t="shared" si="36"/>
        <v>14</v>
      </c>
      <c r="AW19" t="str">
        <f t="shared" si="37"/>
        <v>6</v>
      </c>
      <c r="AX19" t="str">
        <f t="shared" si="38"/>
        <v>6</v>
      </c>
      <c r="AY19" t="str">
        <f t="shared" si="39"/>
        <v>-1</v>
      </c>
      <c r="AZ19" s="183" t="s">
        <v>1104</v>
      </c>
      <c r="BA19">
        <f t="shared" si="40"/>
        <v>12</v>
      </c>
      <c r="BB19">
        <f t="shared" si="41"/>
        <v>14</v>
      </c>
      <c r="BC19" t="str">
        <f t="shared" si="42"/>
        <v>6</v>
      </c>
      <c r="BD19" t="str">
        <f t="shared" si="43"/>
        <v>7</v>
      </c>
      <c r="BE19" t="str">
        <f t="shared" si="44"/>
        <v>0</v>
      </c>
      <c r="BF19" s="183" t="s">
        <v>1120</v>
      </c>
      <c r="BG19">
        <f t="shared" si="45"/>
        <v>12</v>
      </c>
      <c r="BH19">
        <f t="shared" si="46"/>
        <v>14</v>
      </c>
      <c r="BI19" t="str">
        <f t="shared" si="47"/>
        <v>6</v>
      </c>
      <c r="BJ19" t="str">
        <f t="shared" si="48"/>
        <v>6</v>
      </c>
      <c r="BK19" t="str">
        <f t="shared" si="49"/>
        <v>0</v>
      </c>
      <c r="BL19" s="183" t="s">
        <v>1135</v>
      </c>
      <c r="BM19">
        <f t="shared" si="50"/>
        <v>12</v>
      </c>
      <c r="BN19">
        <f t="shared" si="51"/>
        <v>14</v>
      </c>
      <c r="BO19" t="str">
        <f t="shared" si="52"/>
        <v>6</v>
      </c>
      <c r="BP19" t="str">
        <f t="shared" si="53"/>
        <v>6</v>
      </c>
      <c r="BQ19" t="str">
        <f t="shared" si="54"/>
        <v>1</v>
      </c>
      <c r="BR19" s="183" t="s">
        <v>1153</v>
      </c>
      <c r="BS19">
        <f t="shared" si="55"/>
        <v>12</v>
      </c>
      <c r="BT19">
        <f t="shared" si="56"/>
        <v>14</v>
      </c>
      <c r="BU19" t="str">
        <f t="shared" si="57"/>
        <v>6</v>
      </c>
      <c r="BV19" t="str">
        <f t="shared" si="58"/>
        <v>6</v>
      </c>
      <c r="BW19" t="str">
        <f t="shared" si="59"/>
        <v>-3</v>
      </c>
      <c r="BX19" s="183" t="s">
        <v>1172</v>
      </c>
      <c r="BY19">
        <f t="shared" si="60"/>
        <v>12</v>
      </c>
      <c r="BZ19">
        <f t="shared" si="61"/>
        <v>14</v>
      </c>
      <c r="CA19" t="str">
        <f t="shared" si="62"/>
        <v>7</v>
      </c>
      <c r="CB19" t="str">
        <f t="shared" si="63"/>
        <v>6</v>
      </c>
      <c r="CC19" t="str">
        <f t="shared" si="64"/>
        <v>6</v>
      </c>
      <c r="CD19" s="181" t="s">
        <v>1104</v>
      </c>
      <c r="CE19">
        <f t="shared" si="65"/>
        <v>12</v>
      </c>
      <c r="CF19">
        <f t="shared" si="66"/>
        <v>14</v>
      </c>
      <c r="CG19" t="str">
        <f t="shared" si="67"/>
        <v>6</v>
      </c>
      <c r="CH19" t="str">
        <f t="shared" si="68"/>
        <v>7</v>
      </c>
      <c r="CI19" t="str">
        <f t="shared" si="69"/>
        <v>0</v>
      </c>
      <c r="CJ19" s="181" t="s">
        <v>1207</v>
      </c>
      <c r="CK19">
        <f t="shared" si="70"/>
        <v>12</v>
      </c>
      <c r="CL19">
        <f t="shared" si="71"/>
        <v>14</v>
      </c>
      <c r="CM19" t="str">
        <f t="shared" si="72"/>
        <v>5</v>
      </c>
      <c r="CN19" t="str">
        <f t="shared" si="73"/>
        <v>6</v>
      </c>
      <c r="CO19" t="str">
        <f t="shared" si="74"/>
        <v>0</v>
      </c>
      <c r="CP19" s="181" t="s">
        <v>1120</v>
      </c>
      <c r="CQ19">
        <f t="shared" si="75"/>
        <v>12</v>
      </c>
      <c r="CR19">
        <f t="shared" si="76"/>
        <v>14</v>
      </c>
      <c r="CS19" t="str">
        <f t="shared" si="77"/>
        <v>6</v>
      </c>
      <c r="CT19" t="str">
        <f t="shared" si="78"/>
        <v>6</v>
      </c>
      <c r="CU19" t="str">
        <f t="shared" si="79"/>
        <v>0</v>
      </c>
      <c r="CV19" s="181" t="s">
        <v>1024</v>
      </c>
      <c r="CW19">
        <f t="shared" si="80"/>
        <v>12</v>
      </c>
      <c r="CX19">
        <f t="shared" si="81"/>
        <v>14</v>
      </c>
      <c r="CY19" t="str">
        <f t="shared" si="82"/>
        <v>6</v>
      </c>
      <c r="CZ19" t="str">
        <f t="shared" si="83"/>
        <v>6</v>
      </c>
      <c r="DA19" t="str">
        <f t="shared" si="84"/>
        <v>+1</v>
      </c>
      <c r="DB19" s="181" t="s">
        <v>1239</v>
      </c>
      <c r="DC19">
        <f t="shared" si="85"/>
        <v>12</v>
      </c>
      <c r="DD19">
        <f t="shared" si="86"/>
        <v>14</v>
      </c>
      <c r="DE19" t="str">
        <f t="shared" si="87"/>
        <v>6</v>
      </c>
      <c r="DF19" t="str">
        <f t="shared" si="88"/>
        <v>6</v>
      </c>
      <c r="DG19" t="str">
        <f t="shared" si="89"/>
        <v>2</v>
      </c>
      <c r="DH19" s="181" t="s">
        <v>1256</v>
      </c>
      <c r="DI19">
        <f t="shared" si="90"/>
        <v>12</v>
      </c>
      <c r="DJ19">
        <f t="shared" si="91"/>
        <v>14</v>
      </c>
      <c r="DK19" t="str">
        <f t="shared" si="92"/>
        <v>4</v>
      </c>
      <c r="DL19" t="str">
        <f t="shared" si="93"/>
        <v>7</v>
      </c>
      <c r="DM19" t="str">
        <f t="shared" si="94"/>
        <v>-1</v>
      </c>
      <c r="DN19" s="181" t="s">
        <v>1272</v>
      </c>
      <c r="DO19">
        <f t="shared" si="95"/>
        <v>12</v>
      </c>
      <c r="DP19">
        <f t="shared" si="96"/>
        <v>14</v>
      </c>
      <c r="DQ19" t="str">
        <f t="shared" si="97"/>
        <v>6</v>
      </c>
      <c r="DR19" t="str">
        <f t="shared" si="98"/>
        <v>5</v>
      </c>
      <c r="DS19" t="str">
        <f t="shared" si="99"/>
        <v>0</v>
      </c>
    </row>
    <row r="20" spans="1:123">
      <c r="A20" s="156" t="s">
        <v>911</v>
      </c>
      <c r="C20" s="181" t="s">
        <v>685</v>
      </c>
      <c r="D20" s="181" t="s">
        <v>966</v>
      </c>
      <c r="E20">
        <f t="shared" si="0"/>
        <v>11</v>
      </c>
      <c r="F20">
        <f t="shared" si="1"/>
        <v>13</v>
      </c>
      <c r="G20" s="185" t="str">
        <f t="shared" si="2"/>
        <v>8</v>
      </c>
      <c r="H20" s="185" t="str">
        <f t="shared" si="3"/>
        <v>5</v>
      </c>
      <c r="I20" s="185" t="str">
        <f t="shared" si="4"/>
        <v>+4</v>
      </c>
      <c r="J20" s="181" t="s">
        <v>986</v>
      </c>
      <c r="K20">
        <f t="shared" si="5"/>
        <v>11</v>
      </c>
      <c r="L20">
        <f t="shared" si="6"/>
        <v>13</v>
      </c>
      <c r="M20" t="str">
        <f t="shared" si="7"/>
        <v>6</v>
      </c>
      <c r="N20" t="str">
        <f t="shared" si="8"/>
        <v>6</v>
      </c>
      <c r="O20" t="str">
        <f t="shared" si="9"/>
        <v>3</v>
      </c>
      <c r="P20" s="181" t="s">
        <v>1006</v>
      </c>
      <c r="Q20">
        <f t="shared" si="10"/>
        <v>11</v>
      </c>
      <c r="R20">
        <f t="shared" si="11"/>
        <v>13</v>
      </c>
      <c r="S20" t="str">
        <f t="shared" si="12"/>
        <v>6</v>
      </c>
      <c r="T20" t="str">
        <f t="shared" si="13"/>
        <v>5</v>
      </c>
      <c r="U20" t="str">
        <f t="shared" si="14"/>
        <v>+2</v>
      </c>
      <c r="V20" s="181" t="s">
        <v>1025</v>
      </c>
      <c r="W20">
        <f t="shared" si="15"/>
        <v>11</v>
      </c>
      <c r="X20">
        <f t="shared" si="16"/>
        <v>13</v>
      </c>
      <c r="Y20" t="str">
        <f t="shared" si="17"/>
        <v>7</v>
      </c>
      <c r="Z20" t="str">
        <f t="shared" si="18"/>
        <v>7</v>
      </c>
      <c r="AA20" t="str">
        <f t="shared" si="19"/>
        <v>+3</v>
      </c>
      <c r="AB20" s="181" t="s">
        <v>1039</v>
      </c>
      <c r="AC20">
        <f t="shared" si="20"/>
        <v>11</v>
      </c>
      <c r="AD20">
        <f t="shared" si="21"/>
        <v>13</v>
      </c>
      <c r="AE20" t="str">
        <f t="shared" si="22"/>
        <v>7</v>
      </c>
      <c r="AF20" t="str">
        <f t="shared" si="23"/>
        <v>7</v>
      </c>
      <c r="AG20" t="str">
        <f t="shared" si="24"/>
        <v>+1</v>
      </c>
      <c r="AH20" s="183" t="s">
        <v>1058</v>
      </c>
      <c r="AI20">
        <f t="shared" si="25"/>
        <v>11</v>
      </c>
      <c r="AJ20">
        <f t="shared" si="26"/>
        <v>13</v>
      </c>
      <c r="AK20" t="str">
        <f t="shared" si="27"/>
        <v>7</v>
      </c>
      <c r="AL20" t="str">
        <f t="shared" si="28"/>
        <v>7</v>
      </c>
      <c r="AM20" t="str">
        <f t="shared" si="29"/>
        <v>+2</v>
      </c>
      <c r="AN20" s="183" t="s">
        <v>1058</v>
      </c>
      <c r="AO20">
        <f t="shared" si="30"/>
        <v>11</v>
      </c>
      <c r="AP20">
        <f t="shared" si="31"/>
        <v>13</v>
      </c>
      <c r="AQ20" t="str">
        <f t="shared" si="32"/>
        <v>7</v>
      </c>
      <c r="AR20" t="str">
        <f t="shared" si="33"/>
        <v>7</v>
      </c>
      <c r="AS20" t="str">
        <f t="shared" si="34"/>
        <v>+2</v>
      </c>
      <c r="AT20" s="183" t="s">
        <v>1089</v>
      </c>
      <c r="AU20">
        <f t="shared" si="35"/>
        <v>11</v>
      </c>
      <c r="AV20">
        <f t="shared" si="36"/>
        <v>13</v>
      </c>
      <c r="AW20" t="str">
        <f t="shared" si="37"/>
        <v>7</v>
      </c>
      <c r="AX20" t="str">
        <f t="shared" si="38"/>
        <v>7</v>
      </c>
      <c r="AY20" t="str">
        <f t="shared" si="39"/>
        <v>1</v>
      </c>
      <c r="AZ20" s="183" t="s">
        <v>1105</v>
      </c>
      <c r="BA20">
        <f t="shared" si="40"/>
        <v>11</v>
      </c>
      <c r="BB20">
        <f t="shared" si="41"/>
        <v>13</v>
      </c>
      <c r="BC20" t="str">
        <f t="shared" si="42"/>
        <v>7</v>
      </c>
      <c r="BD20" t="str">
        <f t="shared" si="43"/>
        <v>7</v>
      </c>
      <c r="BE20" t="str">
        <f t="shared" si="44"/>
        <v>3</v>
      </c>
      <c r="BF20" s="183" t="s">
        <v>1121</v>
      </c>
      <c r="BG20">
        <f t="shared" si="45"/>
        <v>11</v>
      </c>
      <c r="BH20">
        <f t="shared" si="46"/>
        <v>13</v>
      </c>
      <c r="BI20" t="str">
        <f t="shared" si="47"/>
        <v>8</v>
      </c>
      <c r="BJ20" t="str">
        <f t="shared" si="48"/>
        <v>8</v>
      </c>
      <c r="BK20" t="str">
        <f t="shared" si="49"/>
        <v>-1</v>
      </c>
      <c r="BL20" s="183" t="s">
        <v>1136</v>
      </c>
      <c r="BM20">
        <f t="shared" si="50"/>
        <v>11</v>
      </c>
      <c r="BN20">
        <f t="shared" si="51"/>
        <v>13</v>
      </c>
      <c r="BO20" t="str">
        <f t="shared" si="52"/>
        <v>7</v>
      </c>
      <c r="BP20" t="str">
        <f t="shared" si="53"/>
        <v>8</v>
      </c>
      <c r="BQ20" t="str">
        <f t="shared" si="54"/>
        <v>2</v>
      </c>
      <c r="BR20" s="183" t="s">
        <v>1154</v>
      </c>
      <c r="BS20">
        <f t="shared" si="55"/>
        <v>11</v>
      </c>
      <c r="BT20">
        <f t="shared" si="56"/>
        <v>13</v>
      </c>
      <c r="BU20" t="str">
        <f t="shared" si="57"/>
        <v>7</v>
      </c>
      <c r="BV20" t="str">
        <f t="shared" si="58"/>
        <v>6</v>
      </c>
      <c r="BW20" t="str">
        <f t="shared" si="59"/>
        <v>4</v>
      </c>
      <c r="BX20" s="183" t="s">
        <v>1173</v>
      </c>
      <c r="BY20">
        <f t="shared" si="60"/>
        <v>11</v>
      </c>
      <c r="BZ20">
        <f t="shared" si="61"/>
        <v>13</v>
      </c>
      <c r="CA20" t="str">
        <f t="shared" si="62"/>
        <v>8</v>
      </c>
      <c r="CB20" t="str">
        <f t="shared" si="63"/>
        <v>7</v>
      </c>
      <c r="CC20" t="str">
        <f t="shared" si="64"/>
        <v>7</v>
      </c>
      <c r="CD20" s="181" t="s">
        <v>1191</v>
      </c>
      <c r="CE20">
        <f t="shared" si="65"/>
        <v>11</v>
      </c>
      <c r="CF20">
        <f t="shared" si="66"/>
        <v>13</v>
      </c>
      <c r="CG20" t="str">
        <f t="shared" si="67"/>
        <v>7</v>
      </c>
      <c r="CH20" t="str">
        <f t="shared" si="68"/>
        <v>7</v>
      </c>
      <c r="CI20" t="str">
        <f t="shared" si="69"/>
        <v>0</v>
      </c>
      <c r="CJ20" s="181" t="s">
        <v>1208</v>
      </c>
      <c r="CK20">
        <f t="shared" si="70"/>
        <v>11</v>
      </c>
      <c r="CL20">
        <f t="shared" si="71"/>
        <v>13</v>
      </c>
      <c r="CM20" t="str">
        <f t="shared" si="72"/>
        <v>7</v>
      </c>
      <c r="CN20" t="str">
        <f t="shared" si="73"/>
        <v>7</v>
      </c>
      <c r="CO20" t="str">
        <f t="shared" si="74"/>
        <v>2</v>
      </c>
      <c r="CP20" s="181" t="s">
        <v>1222</v>
      </c>
      <c r="CQ20">
        <f t="shared" si="75"/>
        <v>11</v>
      </c>
      <c r="CR20">
        <f t="shared" si="76"/>
        <v>13</v>
      </c>
      <c r="CS20" t="str">
        <f t="shared" si="77"/>
        <v>7</v>
      </c>
      <c r="CT20" t="str">
        <f t="shared" si="78"/>
        <v>8</v>
      </c>
      <c r="CU20" t="str">
        <f t="shared" si="79"/>
        <v>1</v>
      </c>
      <c r="CV20" s="181" t="s">
        <v>1039</v>
      </c>
      <c r="CW20">
        <f t="shared" si="80"/>
        <v>11</v>
      </c>
      <c r="CX20">
        <f t="shared" si="81"/>
        <v>13</v>
      </c>
      <c r="CY20" t="str">
        <f t="shared" si="82"/>
        <v>7</v>
      </c>
      <c r="CZ20" t="str">
        <f t="shared" si="83"/>
        <v>7</v>
      </c>
      <c r="DA20" t="str">
        <f t="shared" si="84"/>
        <v>+1</v>
      </c>
      <c r="DB20" s="181" t="s">
        <v>1105</v>
      </c>
      <c r="DC20">
        <f t="shared" si="85"/>
        <v>11</v>
      </c>
      <c r="DD20">
        <f t="shared" si="86"/>
        <v>13</v>
      </c>
      <c r="DE20" t="str">
        <f t="shared" si="87"/>
        <v>7</v>
      </c>
      <c r="DF20" t="str">
        <f t="shared" si="88"/>
        <v>7</v>
      </c>
      <c r="DG20" t="str">
        <f t="shared" si="89"/>
        <v>3</v>
      </c>
      <c r="DH20" s="181" t="s">
        <v>1257</v>
      </c>
      <c r="DI20">
        <f t="shared" si="90"/>
        <v>11</v>
      </c>
      <c r="DJ20">
        <f t="shared" si="91"/>
        <v>13</v>
      </c>
      <c r="DK20" t="str">
        <f t="shared" si="92"/>
        <v>6</v>
      </c>
      <c r="DL20" t="str">
        <f t="shared" si="93"/>
        <v>7</v>
      </c>
      <c r="DM20" t="str">
        <f t="shared" si="94"/>
        <v>2</v>
      </c>
      <c r="DN20" s="181" t="s">
        <v>1273</v>
      </c>
      <c r="DO20">
        <f t="shared" si="95"/>
        <v>11</v>
      </c>
      <c r="DP20">
        <f t="shared" si="96"/>
        <v>13</v>
      </c>
      <c r="DQ20" t="str">
        <f t="shared" si="97"/>
        <v>7</v>
      </c>
      <c r="DR20" t="str">
        <f t="shared" si="98"/>
        <v>8</v>
      </c>
      <c r="DS20" t="str">
        <f t="shared" si="99"/>
        <v>3</v>
      </c>
    </row>
    <row r="21" spans="1:123">
      <c r="A21" s="156" t="s">
        <v>912</v>
      </c>
      <c r="C21" s="181" t="s">
        <v>687</v>
      </c>
      <c r="D21" s="181" t="s">
        <v>967</v>
      </c>
      <c r="E21">
        <f t="shared" si="0"/>
        <v>9</v>
      </c>
      <c r="F21">
        <f t="shared" si="1"/>
        <v>11</v>
      </c>
      <c r="G21" s="185" t="str">
        <f t="shared" si="2"/>
        <v>8</v>
      </c>
      <c r="H21" s="185" t="str">
        <f t="shared" si="3"/>
        <v>7</v>
      </c>
      <c r="I21" s="185" t="str">
        <f t="shared" si="4"/>
        <v>-3</v>
      </c>
      <c r="J21" s="181" t="s">
        <v>987</v>
      </c>
      <c r="K21">
        <f t="shared" si="5"/>
        <v>9</v>
      </c>
      <c r="L21">
        <f t="shared" si="6"/>
        <v>11</v>
      </c>
      <c r="M21" t="str">
        <f t="shared" si="7"/>
        <v>6</v>
      </c>
      <c r="N21" t="str">
        <f t="shared" si="8"/>
        <v>7</v>
      </c>
      <c r="O21" t="str">
        <f t="shared" si="9"/>
        <v>0</v>
      </c>
      <c r="P21" s="181" t="s">
        <v>1007</v>
      </c>
      <c r="Q21">
        <f t="shared" si="10"/>
        <v>9</v>
      </c>
      <c r="R21">
        <f t="shared" si="11"/>
        <v>11</v>
      </c>
      <c r="S21" t="str">
        <f t="shared" si="12"/>
        <v>6</v>
      </c>
      <c r="T21" t="str">
        <f t="shared" si="13"/>
        <v>6</v>
      </c>
      <c r="U21" t="str">
        <f t="shared" si="14"/>
        <v>-2</v>
      </c>
      <c r="V21" s="181" t="s">
        <v>1026</v>
      </c>
      <c r="W21">
        <f t="shared" si="15"/>
        <v>9</v>
      </c>
      <c r="X21">
        <f t="shared" si="16"/>
        <v>11</v>
      </c>
      <c r="Y21" t="str">
        <f t="shared" si="17"/>
        <v>7</v>
      </c>
      <c r="Z21" t="str">
        <f t="shared" si="18"/>
        <v>7</v>
      </c>
      <c r="AA21" t="str">
        <f t="shared" si="19"/>
        <v>+3</v>
      </c>
      <c r="AB21" s="181" t="s">
        <v>1040</v>
      </c>
      <c r="AC21">
        <f t="shared" si="20"/>
        <v>9</v>
      </c>
      <c r="AD21">
        <f t="shared" si="21"/>
        <v>11</v>
      </c>
      <c r="AE21" t="str">
        <f t="shared" si="22"/>
        <v>7</v>
      </c>
      <c r="AF21" t="str">
        <f t="shared" si="23"/>
        <v>7</v>
      </c>
      <c r="AG21" t="str">
        <f t="shared" si="24"/>
        <v>+1</v>
      </c>
      <c r="AH21" s="183" t="s">
        <v>1059</v>
      </c>
      <c r="AI21">
        <f t="shared" si="25"/>
        <v>9</v>
      </c>
      <c r="AJ21">
        <f t="shared" si="26"/>
        <v>11</v>
      </c>
      <c r="AK21" t="str">
        <f t="shared" si="27"/>
        <v>7</v>
      </c>
      <c r="AL21" t="str">
        <f t="shared" si="28"/>
        <v>7</v>
      </c>
      <c r="AM21" t="str">
        <f t="shared" si="29"/>
        <v>-3</v>
      </c>
      <c r="AN21" s="183" t="s">
        <v>1074</v>
      </c>
      <c r="AO21">
        <f t="shared" si="30"/>
        <v>9</v>
      </c>
      <c r="AP21">
        <f t="shared" si="31"/>
        <v>11</v>
      </c>
      <c r="AQ21" t="str">
        <f t="shared" si="32"/>
        <v>6</v>
      </c>
      <c r="AR21" t="str">
        <f t="shared" si="33"/>
        <v>7</v>
      </c>
      <c r="AS21" t="str">
        <f t="shared" si="34"/>
        <v>+1</v>
      </c>
      <c r="AT21" s="183" t="s">
        <v>1090</v>
      </c>
      <c r="AU21">
        <f t="shared" si="35"/>
        <v>9</v>
      </c>
      <c r="AV21">
        <f t="shared" si="36"/>
        <v>11</v>
      </c>
      <c r="AW21" t="str">
        <f t="shared" si="37"/>
        <v>7</v>
      </c>
      <c r="AX21" t="str">
        <f t="shared" si="38"/>
        <v>7</v>
      </c>
      <c r="AY21" t="str">
        <f t="shared" si="39"/>
        <v>2</v>
      </c>
      <c r="AZ21" s="183" t="s">
        <v>1106</v>
      </c>
      <c r="BA21">
        <f t="shared" si="40"/>
        <v>9</v>
      </c>
      <c r="BB21">
        <f t="shared" si="41"/>
        <v>11</v>
      </c>
      <c r="BC21" t="str">
        <f t="shared" si="42"/>
        <v>8</v>
      </c>
      <c r="BD21" t="str">
        <f t="shared" si="43"/>
        <v>7</v>
      </c>
      <c r="BE21" t="str">
        <f t="shared" si="44"/>
        <v>0</v>
      </c>
      <c r="BF21" s="183" t="s">
        <v>1106</v>
      </c>
      <c r="BG21">
        <f t="shared" si="45"/>
        <v>9</v>
      </c>
      <c r="BH21">
        <f t="shared" si="46"/>
        <v>11</v>
      </c>
      <c r="BI21" t="str">
        <f t="shared" si="47"/>
        <v>8</v>
      </c>
      <c r="BJ21" t="str">
        <f t="shared" si="48"/>
        <v>7</v>
      </c>
      <c r="BK21" t="str">
        <f t="shared" si="49"/>
        <v>0</v>
      </c>
      <c r="BL21" s="183" t="s">
        <v>1137</v>
      </c>
      <c r="BM21">
        <f t="shared" si="50"/>
        <v>9</v>
      </c>
      <c r="BN21">
        <f t="shared" si="51"/>
        <v>11</v>
      </c>
      <c r="BO21" t="str">
        <f t="shared" si="52"/>
        <v>7</v>
      </c>
      <c r="BP21" t="str">
        <f t="shared" si="53"/>
        <v>7</v>
      </c>
      <c r="BQ21" t="str">
        <f t="shared" si="54"/>
        <v>1</v>
      </c>
      <c r="BR21" s="183" t="s">
        <v>987</v>
      </c>
      <c r="BS21">
        <f t="shared" si="55"/>
        <v>9</v>
      </c>
      <c r="BT21">
        <f t="shared" si="56"/>
        <v>11</v>
      </c>
      <c r="BU21" t="str">
        <f t="shared" si="57"/>
        <v>6</v>
      </c>
      <c r="BV21" t="str">
        <f t="shared" si="58"/>
        <v>7</v>
      </c>
      <c r="BW21" t="str">
        <f t="shared" si="59"/>
        <v>0</v>
      </c>
      <c r="BX21" s="183" t="s">
        <v>1174</v>
      </c>
      <c r="BY21">
        <f t="shared" si="60"/>
        <v>9</v>
      </c>
      <c r="BZ21">
        <f t="shared" si="61"/>
        <v>11</v>
      </c>
      <c r="CA21" t="str">
        <f t="shared" si="62"/>
        <v>7</v>
      </c>
      <c r="CB21" t="str">
        <f t="shared" si="63"/>
        <v>7</v>
      </c>
      <c r="CC21" t="str">
        <f t="shared" si="64"/>
        <v>6</v>
      </c>
      <c r="CD21" s="181" t="s">
        <v>1192</v>
      </c>
      <c r="CE21">
        <f t="shared" si="65"/>
        <v>9</v>
      </c>
      <c r="CF21">
        <f t="shared" si="66"/>
        <v>11</v>
      </c>
      <c r="CG21" t="str">
        <f t="shared" si="67"/>
        <v>7</v>
      </c>
      <c r="CH21" t="str">
        <f t="shared" si="68"/>
        <v>8</v>
      </c>
      <c r="CI21" t="str">
        <f t="shared" si="69"/>
        <v>-1</v>
      </c>
      <c r="CJ21" s="181" t="s">
        <v>1209</v>
      </c>
      <c r="CK21">
        <f t="shared" si="70"/>
        <v>9</v>
      </c>
      <c r="CL21">
        <f t="shared" si="71"/>
        <v>11</v>
      </c>
      <c r="CM21" t="str">
        <f t="shared" si="72"/>
        <v>7</v>
      </c>
      <c r="CN21" t="str">
        <f t="shared" si="73"/>
        <v>6</v>
      </c>
      <c r="CO21" t="str">
        <f t="shared" si="74"/>
        <v>0</v>
      </c>
      <c r="CP21" s="181" t="s">
        <v>1223</v>
      </c>
      <c r="CQ21">
        <f t="shared" si="75"/>
        <v>9</v>
      </c>
      <c r="CR21">
        <f t="shared" si="76"/>
        <v>11</v>
      </c>
      <c r="CS21" t="str">
        <f t="shared" si="77"/>
        <v>7</v>
      </c>
      <c r="CT21" t="str">
        <f t="shared" si="78"/>
        <v>7</v>
      </c>
      <c r="CU21" t="str">
        <f t="shared" si="79"/>
        <v>0</v>
      </c>
      <c r="CV21" s="181" t="s">
        <v>1040</v>
      </c>
      <c r="CW21">
        <f t="shared" si="80"/>
        <v>9</v>
      </c>
      <c r="CX21">
        <f t="shared" si="81"/>
        <v>11</v>
      </c>
      <c r="CY21" t="str">
        <f t="shared" si="82"/>
        <v>7</v>
      </c>
      <c r="CZ21" t="str">
        <f t="shared" si="83"/>
        <v>7</v>
      </c>
      <c r="DA21" t="str">
        <f t="shared" si="84"/>
        <v>+1</v>
      </c>
      <c r="DB21" s="181" t="s">
        <v>1240</v>
      </c>
      <c r="DC21">
        <f t="shared" si="85"/>
        <v>9</v>
      </c>
      <c r="DD21">
        <f t="shared" si="86"/>
        <v>11</v>
      </c>
      <c r="DE21" t="str">
        <f t="shared" si="87"/>
        <v>7</v>
      </c>
      <c r="DF21" t="str">
        <f t="shared" si="88"/>
        <v>5</v>
      </c>
      <c r="DG21" t="str">
        <f t="shared" si="89"/>
        <v>2</v>
      </c>
      <c r="DH21" s="181" t="s">
        <v>1258</v>
      </c>
      <c r="DI21">
        <f t="shared" si="90"/>
        <v>9</v>
      </c>
      <c r="DJ21">
        <f t="shared" si="91"/>
        <v>11</v>
      </c>
      <c r="DK21" t="str">
        <f t="shared" si="92"/>
        <v>6</v>
      </c>
      <c r="DL21" t="str">
        <f t="shared" si="93"/>
        <v>8</v>
      </c>
      <c r="DM21" t="str">
        <f t="shared" si="94"/>
        <v>1</v>
      </c>
      <c r="DN21" s="181" t="s">
        <v>1274</v>
      </c>
      <c r="DO21">
        <f t="shared" si="95"/>
        <v>9</v>
      </c>
      <c r="DP21">
        <f t="shared" si="96"/>
        <v>11</v>
      </c>
      <c r="DQ21" t="str">
        <f t="shared" si="97"/>
        <v>7</v>
      </c>
      <c r="DR21" t="str">
        <f t="shared" si="98"/>
        <v>6</v>
      </c>
      <c r="DS21" t="str">
        <f t="shared" si="99"/>
        <v>1</v>
      </c>
    </row>
    <row r="22" spans="1:123">
      <c r="A22" s="156" t="s">
        <v>913</v>
      </c>
      <c r="C22" s="182" t="s">
        <v>684</v>
      </c>
      <c r="D22" s="182" t="s">
        <v>968</v>
      </c>
      <c r="E22">
        <f t="shared" si="0"/>
        <v>10</v>
      </c>
      <c r="F22">
        <f t="shared" si="1"/>
        <v>12</v>
      </c>
      <c r="G22" s="185" t="str">
        <f t="shared" si="2"/>
        <v>5</v>
      </c>
      <c r="H22" s="185" t="str">
        <f t="shared" si="3"/>
        <v>4</v>
      </c>
      <c r="I22" s="185" t="str">
        <f t="shared" si="4"/>
        <v>-1</v>
      </c>
      <c r="J22" s="182" t="s">
        <v>988</v>
      </c>
      <c r="K22">
        <f t="shared" si="5"/>
        <v>10</v>
      </c>
      <c r="L22">
        <f t="shared" si="6"/>
        <v>12</v>
      </c>
      <c r="M22" t="str">
        <f t="shared" si="7"/>
        <v>5</v>
      </c>
      <c r="N22" t="str">
        <f t="shared" si="8"/>
        <v>7</v>
      </c>
      <c r="O22" t="str">
        <f t="shared" si="9"/>
        <v>-1</v>
      </c>
      <c r="P22" s="182" t="s">
        <v>1008</v>
      </c>
      <c r="Q22">
        <f t="shared" si="10"/>
        <v>10</v>
      </c>
      <c r="R22">
        <f t="shared" si="11"/>
        <v>12</v>
      </c>
      <c r="S22" t="str">
        <f t="shared" si="12"/>
        <v>5</v>
      </c>
      <c r="T22" t="str">
        <f t="shared" si="13"/>
        <v>4</v>
      </c>
      <c r="U22" t="str">
        <f t="shared" si="14"/>
        <v>0</v>
      </c>
      <c r="V22" s="182" t="s">
        <v>1027</v>
      </c>
      <c r="W22">
        <f t="shared" si="15"/>
        <v>10</v>
      </c>
      <c r="X22">
        <f t="shared" si="16"/>
        <v>12</v>
      </c>
      <c r="Y22" t="str">
        <f t="shared" si="17"/>
        <v>7</v>
      </c>
      <c r="Z22" t="str">
        <f t="shared" si="18"/>
        <v>6</v>
      </c>
      <c r="AA22" t="str">
        <f t="shared" si="19"/>
        <v>+1</v>
      </c>
      <c r="AB22" s="182" t="s">
        <v>1041</v>
      </c>
      <c r="AC22">
        <f t="shared" si="20"/>
        <v>10</v>
      </c>
      <c r="AD22">
        <f t="shared" si="21"/>
        <v>12</v>
      </c>
      <c r="AE22" t="str">
        <f t="shared" si="22"/>
        <v>6</v>
      </c>
      <c r="AF22" t="str">
        <f t="shared" si="23"/>
        <v>7</v>
      </c>
      <c r="AG22" t="str">
        <f t="shared" si="24"/>
        <v>0</v>
      </c>
      <c r="AH22" s="184" t="s">
        <v>1060</v>
      </c>
      <c r="AI22">
        <f t="shared" si="25"/>
        <v>10</v>
      </c>
      <c r="AJ22">
        <f t="shared" si="26"/>
        <v>12</v>
      </c>
      <c r="AK22" t="str">
        <f t="shared" si="27"/>
        <v>6</v>
      </c>
      <c r="AL22" t="str">
        <f t="shared" si="28"/>
        <v>7</v>
      </c>
      <c r="AM22" t="str">
        <f t="shared" si="29"/>
        <v>-2</v>
      </c>
      <c r="AN22" s="184" t="s">
        <v>1075</v>
      </c>
      <c r="AO22">
        <f t="shared" si="30"/>
        <v>10</v>
      </c>
      <c r="AP22">
        <f t="shared" si="31"/>
        <v>12</v>
      </c>
      <c r="AQ22" t="str">
        <f t="shared" si="32"/>
        <v>6</v>
      </c>
      <c r="AR22" t="str">
        <f t="shared" si="33"/>
        <v>6</v>
      </c>
      <c r="AS22" t="str">
        <f t="shared" si="34"/>
        <v>-2</v>
      </c>
      <c r="AT22" s="184" t="s">
        <v>1091</v>
      </c>
      <c r="AU22">
        <f t="shared" si="35"/>
        <v>10</v>
      </c>
      <c r="AV22">
        <f t="shared" si="36"/>
        <v>12</v>
      </c>
      <c r="AW22" t="str">
        <f t="shared" si="37"/>
        <v>6</v>
      </c>
      <c r="AX22" t="str">
        <f t="shared" si="38"/>
        <v>6</v>
      </c>
      <c r="AY22" t="str">
        <f t="shared" si="39"/>
        <v>-1</v>
      </c>
      <c r="AZ22" s="184" t="s">
        <v>1075</v>
      </c>
      <c r="BA22">
        <f t="shared" si="40"/>
        <v>10</v>
      </c>
      <c r="BB22">
        <f t="shared" si="41"/>
        <v>12</v>
      </c>
      <c r="BC22" t="str">
        <f t="shared" si="42"/>
        <v>6</v>
      </c>
      <c r="BD22" t="str">
        <f t="shared" si="43"/>
        <v>6</v>
      </c>
      <c r="BE22" t="str">
        <f t="shared" si="44"/>
        <v>-2</v>
      </c>
      <c r="BF22" s="184" t="s">
        <v>1122</v>
      </c>
      <c r="BG22">
        <f t="shared" si="45"/>
        <v>10</v>
      </c>
      <c r="BH22">
        <f t="shared" si="46"/>
        <v>12</v>
      </c>
      <c r="BI22" t="str">
        <f t="shared" si="47"/>
        <v>5</v>
      </c>
      <c r="BJ22" t="str">
        <f t="shared" si="48"/>
        <v>5</v>
      </c>
      <c r="BK22" t="str">
        <f t="shared" si="49"/>
        <v>-1</v>
      </c>
      <c r="BL22" s="184" t="s">
        <v>1091</v>
      </c>
      <c r="BM22">
        <f t="shared" si="50"/>
        <v>10</v>
      </c>
      <c r="BN22">
        <f t="shared" si="51"/>
        <v>12</v>
      </c>
      <c r="BO22" t="str">
        <f t="shared" si="52"/>
        <v>6</v>
      </c>
      <c r="BP22" t="str">
        <f t="shared" si="53"/>
        <v>6</v>
      </c>
      <c r="BQ22" t="str">
        <f t="shared" si="54"/>
        <v>-1</v>
      </c>
      <c r="BR22" s="184" t="s">
        <v>1155</v>
      </c>
      <c r="BS22">
        <f t="shared" si="55"/>
        <v>10</v>
      </c>
      <c r="BT22">
        <f t="shared" si="56"/>
        <v>12</v>
      </c>
      <c r="BU22" t="str">
        <f t="shared" si="57"/>
        <v>5</v>
      </c>
      <c r="BV22" t="str">
        <f t="shared" si="58"/>
        <v>7</v>
      </c>
      <c r="BW22" t="str">
        <f t="shared" si="59"/>
        <v>-2</v>
      </c>
      <c r="BX22" s="184" t="s">
        <v>1175</v>
      </c>
      <c r="BY22">
        <f t="shared" si="60"/>
        <v>10</v>
      </c>
      <c r="BZ22">
        <f t="shared" si="61"/>
        <v>12</v>
      </c>
      <c r="CA22" t="str">
        <f t="shared" si="62"/>
        <v>6</v>
      </c>
      <c r="CB22" t="str">
        <f t="shared" si="63"/>
        <v>8</v>
      </c>
      <c r="CC22" t="str">
        <f t="shared" si="64"/>
        <v>5</v>
      </c>
      <c r="CD22" s="182" t="s">
        <v>1091</v>
      </c>
      <c r="CE22">
        <f t="shared" si="65"/>
        <v>10</v>
      </c>
      <c r="CF22">
        <f t="shared" si="66"/>
        <v>12</v>
      </c>
      <c r="CG22" t="str">
        <f t="shared" si="67"/>
        <v>6</v>
      </c>
      <c r="CH22" t="str">
        <f t="shared" si="68"/>
        <v>6</v>
      </c>
      <c r="CI22" t="str">
        <f t="shared" si="69"/>
        <v>-1</v>
      </c>
      <c r="CJ22" s="182" t="s">
        <v>1210</v>
      </c>
      <c r="CK22">
        <f t="shared" si="70"/>
        <v>10</v>
      </c>
      <c r="CL22">
        <f t="shared" si="71"/>
        <v>12</v>
      </c>
      <c r="CM22" t="str">
        <f t="shared" si="72"/>
        <v>4</v>
      </c>
      <c r="CN22" t="str">
        <f t="shared" si="73"/>
        <v>3</v>
      </c>
      <c r="CO22" t="str">
        <f t="shared" si="74"/>
        <v>-2</v>
      </c>
      <c r="CP22" s="182" t="s">
        <v>1224</v>
      </c>
      <c r="CQ22">
        <f t="shared" si="75"/>
        <v>10</v>
      </c>
      <c r="CR22">
        <f t="shared" si="76"/>
        <v>12</v>
      </c>
      <c r="CS22" t="str">
        <f t="shared" si="77"/>
        <v>6</v>
      </c>
      <c r="CT22" t="str">
        <f t="shared" si="78"/>
        <v>7</v>
      </c>
      <c r="CU22" t="str">
        <f t="shared" si="79"/>
        <v>-1</v>
      </c>
      <c r="CV22" s="182" t="s">
        <v>1228</v>
      </c>
      <c r="CW22">
        <f t="shared" si="80"/>
        <v>10</v>
      </c>
      <c r="CX22">
        <f t="shared" si="81"/>
        <v>12</v>
      </c>
      <c r="CY22" t="str">
        <f t="shared" si="82"/>
        <v>6</v>
      </c>
      <c r="CZ22" t="str">
        <f t="shared" si="83"/>
        <v>6</v>
      </c>
      <c r="DA22" t="str">
        <f t="shared" si="84"/>
        <v>0</v>
      </c>
      <c r="DB22" s="182" t="s">
        <v>1241</v>
      </c>
      <c r="DC22">
        <f t="shared" si="85"/>
        <v>10</v>
      </c>
      <c r="DD22">
        <f t="shared" si="86"/>
        <v>12</v>
      </c>
      <c r="DE22" t="str">
        <f t="shared" si="87"/>
        <v>7</v>
      </c>
      <c r="DF22" t="str">
        <f t="shared" si="88"/>
        <v>5</v>
      </c>
      <c r="DG22" t="str">
        <f t="shared" si="89"/>
        <v>3</v>
      </c>
      <c r="DH22" s="182" t="s">
        <v>1259</v>
      </c>
      <c r="DI22">
        <f t="shared" si="90"/>
        <v>10</v>
      </c>
      <c r="DJ22">
        <f t="shared" si="91"/>
        <v>12</v>
      </c>
      <c r="DK22" t="str">
        <f t="shared" si="92"/>
        <v>5</v>
      </c>
      <c r="DL22" t="str">
        <f t="shared" si="93"/>
        <v>7</v>
      </c>
      <c r="DM22" t="str">
        <f t="shared" si="94"/>
        <v>0</v>
      </c>
      <c r="DN22" s="182" t="s">
        <v>1228</v>
      </c>
      <c r="DO22">
        <f t="shared" si="95"/>
        <v>10</v>
      </c>
      <c r="DP22">
        <f t="shared" si="96"/>
        <v>12</v>
      </c>
      <c r="DQ22" t="str">
        <f t="shared" si="97"/>
        <v>6</v>
      </c>
      <c r="DR22" t="str">
        <f t="shared" si="98"/>
        <v>6</v>
      </c>
      <c r="DS22" t="str">
        <f t="shared" si="99"/>
        <v>0</v>
      </c>
    </row>
    <row r="23" spans="1:123">
      <c r="A23" s="156" t="s">
        <v>914</v>
      </c>
    </row>
    <row r="24" spans="1:123">
      <c r="A24" s="156"/>
      <c r="D24">
        <v>7</v>
      </c>
      <c r="E24">
        <f>D24+6</f>
        <v>13</v>
      </c>
      <c r="F24">
        <f t="shared" ref="F24:AH24" si="100">E24+6</f>
        <v>19</v>
      </c>
      <c r="G24">
        <f t="shared" si="100"/>
        <v>25</v>
      </c>
      <c r="H24">
        <f t="shared" si="100"/>
        <v>31</v>
      </c>
      <c r="I24">
        <f t="shared" si="100"/>
        <v>37</v>
      </c>
      <c r="J24">
        <f t="shared" si="100"/>
        <v>43</v>
      </c>
      <c r="K24">
        <f t="shared" si="100"/>
        <v>49</v>
      </c>
      <c r="L24">
        <f t="shared" si="100"/>
        <v>55</v>
      </c>
      <c r="M24">
        <f t="shared" si="100"/>
        <v>61</v>
      </c>
      <c r="N24">
        <f t="shared" si="100"/>
        <v>67</v>
      </c>
      <c r="O24">
        <f t="shared" si="100"/>
        <v>73</v>
      </c>
      <c r="P24">
        <f t="shared" si="100"/>
        <v>79</v>
      </c>
      <c r="Q24">
        <f t="shared" si="100"/>
        <v>85</v>
      </c>
      <c r="R24">
        <f t="shared" si="100"/>
        <v>91</v>
      </c>
      <c r="S24">
        <f t="shared" si="100"/>
        <v>97</v>
      </c>
      <c r="T24">
        <f t="shared" si="100"/>
        <v>103</v>
      </c>
      <c r="U24">
        <f t="shared" si="100"/>
        <v>109</v>
      </c>
      <c r="V24">
        <f t="shared" si="100"/>
        <v>115</v>
      </c>
      <c r="W24">
        <f t="shared" si="100"/>
        <v>121</v>
      </c>
      <c r="X24">
        <f t="shared" si="100"/>
        <v>127</v>
      </c>
      <c r="Y24">
        <f t="shared" si="100"/>
        <v>133</v>
      </c>
      <c r="Z24">
        <f t="shared" si="100"/>
        <v>139</v>
      </c>
      <c r="AA24">
        <f t="shared" si="100"/>
        <v>145</v>
      </c>
      <c r="AB24">
        <f t="shared" si="100"/>
        <v>151</v>
      </c>
      <c r="AC24">
        <f t="shared" si="100"/>
        <v>157</v>
      </c>
      <c r="AD24">
        <f t="shared" si="100"/>
        <v>163</v>
      </c>
      <c r="AE24">
        <f t="shared" si="100"/>
        <v>169</v>
      </c>
      <c r="AF24">
        <f t="shared" si="100"/>
        <v>175</v>
      </c>
      <c r="AG24">
        <f t="shared" si="100"/>
        <v>181</v>
      </c>
      <c r="AH24">
        <f t="shared" si="100"/>
        <v>187</v>
      </c>
    </row>
    <row r="25" spans="1:123">
      <c r="A25" s="156" t="s">
        <v>915</v>
      </c>
      <c r="B25">
        <v>3</v>
      </c>
      <c r="C25" s="140" t="s">
        <v>927</v>
      </c>
      <c r="D25" s="166" t="str">
        <f t="shared" ref="D25:D44" ca="1" si="101">INDIRECT(ADDRESS($B25,D$24,1,1))</f>
        <v>7</v>
      </c>
      <c r="E25" s="186" t="str">
        <f t="shared" ref="E25:U39" ca="1" si="102">INDIRECT(ADDRESS($B25,E$24,1,1))</f>
        <v>5</v>
      </c>
      <c r="F25" s="186" t="str">
        <f t="shared" ca="1" si="102"/>
        <v>5</v>
      </c>
      <c r="G25" s="186" t="str">
        <f t="shared" ca="1" si="102"/>
        <v>6</v>
      </c>
      <c r="H25" s="186" t="str">
        <f t="shared" ca="1" si="102"/>
        <v>6</v>
      </c>
      <c r="I25" s="186" t="str">
        <f t="shared" ca="1" si="102"/>
        <v>6</v>
      </c>
      <c r="J25" s="186" t="str">
        <f t="shared" ca="1" si="102"/>
        <v>5</v>
      </c>
      <c r="K25" s="186" t="str">
        <f t="shared" ca="1" si="102"/>
        <v>6</v>
      </c>
      <c r="L25" s="186" t="str">
        <f t="shared" ca="1" si="102"/>
        <v>6</v>
      </c>
      <c r="M25" s="186" t="str">
        <f t="shared" ca="1" si="102"/>
        <v>6</v>
      </c>
      <c r="N25" s="186" t="str">
        <f t="shared" ca="1" si="102"/>
        <v>6</v>
      </c>
      <c r="O25" s="186" t="str">
        <f t="shared" ca="1" si="102"/>
        <v>6</v>
      </c>
      <c r="P25" s="186" t="str">
        <f t="shared" ca="1" si="102"/>
        <v>6</v>
      </c>
      <c r="Q25" s="186" t="str">
        <f t="shared" ca="1" si="102"/>
        <v>6</v>
      </c>
      <c r="R25" s="186" t="str">
        <f t="shared" ca="1" si="102"/>
        <v>6</v>
      </c>
      <c r="S25" s="186" t="str">
        <f t="shared" ca="1" si="102"/>
        <v>6</v>
      </c>
      <c r="T25" s="186" t="str">
        <f t="shared" ca="1" si="102"/>
        <v>6</v>
      </c>
      <c r="U25" s="186" t="str">
        <f t="shared" ca="1" si="102"/>
        <v>6</v>
      </c>
      <c r="V25" s="186" t="str">
        <f t="shared" ref="V25:AH25" ca="1" si="103">INDIRECT(ADDRESS($B25,V$24,1,1))</f>
        <v>6</v>
      </c>
      <c r="W25" s="186" t="str">
        <f t="shared" ca="1" si="103"/>
        <v>7</v>
      </c>
      <c r="X25">
        <f t="shared" ca="1" si="103"/>
        <v>0</v>
      </c>
      <c r="Y25">
        <f t="shared" ca="1" si="103"/>
        <v>0</v>
      </c>
      <c r="Z25">
        <f t="shared" ca="1" si="103"/>
        <v>0</v>
      </c>
      <c r="AA25">
        <f t="shared" ca="1" si="103"/>
        <v>0</v>
      </c>
      <c r="AB25">
        <f t="shared" ca="1" si="103"/>
        <v>0</v>
      </c>
      <c r="AC25">
        <f t="shared" ca="1" si="103"/>
        <v>0</v>
      </c>
      <c r="AD25">
        <f t="shared" ca="1" si="103"/>
        <v>0</v>
      </c>
      <c r="AE25">
        <f t="shared" ca="1" si="103"/>
        <v>0</v>
      </c>
      <c r="AF25">
        <f t="shared" ca="1" si="103"/>
        <v>0</v>
      </c>
      <c r="AG25">
        <f t="shared" ca="1" si="103"/>
        <v>0</v>
      </c>
      <c r="AH25">
        <f t="shared" ca="1" si="103"/>
        <v>0</v>
      </c>
    </row>
    <row r="26" spans="1:123">
      <c r="A26" s="156" t="s">
        <v>916</v>
      </c>
      <c r="B26">
        <v>4</v>
      </c>
      <c r="C26" s="140" t="s">
        <v>928</v>
      </c>
      <c r="D26" s="186" t="str">
        <f t="shared" ca="1" si="101"/>
        <v>7</v>
      </c>
      <c r="E26" s="186" t="str">
        <f t="shared" ca="1" si="102"/>
        <v>5</v>
      </c>
      <c r="F26" s="186" t="str">
        <f t="shared" ca="1" si="102"/>
        <v>6</v>
      </c>
      <c r="G26" s="186" t="str">
        <f t="shared" ca="1" si="102"/>
        <v>5</v>
      </c>
      <c r="H26" s="186" t="str">
        <f t="shared" ca="1" si="102"/>
        <v>6</v>
      </c>
      <c r="I26" s="186" t="str">
        <f t="shared" ca="1" si="102"/>
        <v>7</v>
      </c>
      <c r="J26" s="186" t="str">
        <f t="shared" ca="1" si="102"/>
        <v>6</v>
      </c>
      <c r="K26" s="186" t="str">
        <f t="shared" ca="1" si="102"/>
        <v>6</v>
      </c>
      <c r="L26" s="186" t="str">
        <f t="shared" ca="1" si="102"/>
        <v>5</v>
      </c>
      <c r="M26" s="186" t="str">
        <f t="shared" ca="1" si="102"/>
        <v>5</v>
      </c>
      <c r="N26" s="186" t="str">
        <f t="shared" ca="1" si="102"/>
        <v>5</v>
      </c>
      <c r="O26" s="186" t="str">
        <f t="shared" ca="1" si="102"/>
        <v>6</v>
      </c>
      <c r="P26" s="186" t="str">
        <f t="shared" ca="1" si="102"/>
        <v>3</v>
      </c>
      <c r="Q26" s="186" t="str">
        <f t="shared" ca="1" si="102"/>
        <v>6</v>
      </c>
      <c r="R26" s="186" t="str">
        <f t="shared" ca="1" si="102"/>
        <v>5</v>
      </c>
      <c r="S26" s="186" t="str">
        <f t="shared" ca="1" si="102"/>
        <v>6</v>
      </c>
      <c r="T26" s="186" t="str">
        <f t="shared" ca="1" si="102"/>
        <v>6</v>
      </c>
      <c r="U26" s="186" t="str">
        <f t="shared" ca="1" si="102"/>
        <v>6</v>
      </c>
      <c r="V26" s="186" t="str">
        <f t="shared" ref="V26:W40" ca="1" si="104">INDIRECT(ADDRESS($B26,V$24,1,1))</f>
        <v>6</v>
      </c>
      <c r="W26" s="186" t="str">
        <f t="shared" ca="1" si="104"/>
        <v>7</v>
      </c>
    </row>
    <row r="27" spans="1:123">
      <c r="A27" s="156" t="s">
        <v>917</v>
      </c>
      <c r="B27">
        <v>5</v>
      </c>
      <c r="C27" s="140" t="s">
        <v>929</v>
      </c>
      <c r="D27" s="186" t="str">
        <f t="shared" ca="1" si="101"/>
        <v>7</v>
      </c>
      <c r="E27" s="186" t="str">
        <f t="shared" ca="1" si="102"/>
        <v>5</v>
      </c>
      <c r="F27" s="186" t="str">
        <f t="shared" ca="1" si="102"/>
        <v>5</v>
      </c>
      <c r="G27" s="186" t="str">
        <f t="shared" ca="1" si="102"/>
        <v>5</v>
      </c>
      <c r="H27" s="186" t="str">
        <f t="shared" ca="1" si="102"/>
        <v>6</v>
      </c>
      <c r="I27" s="186" t="str">
        <f t="shared" ca="1" si="102"/>
        <v>5</v>
      </c>
      <c r="J27" s="186" t="str">
        <f t="shared" ca="1" si="102"/>
        <v>6</v>
      </c>
      <c r="K27" s="186" t="str">
        <f t="shared" ca="1" si="102"/>
        <v>3</v>
      </c>
      <c r="L27" s="186" t="str">
        <f t="shared" ca="1" si="102"/>
        <v>5</v>
      </c>
      <c r="M27" s="186" t="str">
        <f t="shared" ca="1" si="102"/>
        <v>4</v>
      </c>
      <c r="N27" s="186" t="str">
        <f t="shared" ca="1" si="102"/>
        <v>5</v>
      </c>
      <c r="O27" s="186" t="str">
        <f t="shared" ca="1" si="102"/>
        <v>6</v>
      </c>
      <c r="P27" s="186" t="str">
        <f t="shared" ca="1" si="102"/>
        <v>7</v>
      </c>
      <c r="Q27" s="186" t="str">
        <f t="shared" ca="1" si="102"/>
        <v>6</v>
      </c>
      <c r="R27" s="186" t="str">
        <f t="shared" ca="1" si="102"/>
        <v>5</v>
      </c>
      <c r="S27" s="186" t="str">
        <f t="shared" ca="1" si="102"/>
        <v>5</v>
      </c>
      <c r="T27" s="186" t="str">
        <f t="shared" ca="1" si="102"/>
        <v>6</v>
      </c>
      <c r="U27" s="186" t="str">
        <f t="shared" ca="1" si="102"/>
        <v>5</v>
      </c>
      <c r="V27" s="186" t="str">
        <f t="shared" ca="1" si="104"/>
        <v>5</v>
      </c>
      <c r="W27" s="186" t="str">
        <f t="shared" ca="1" si="104"/>
        <v>6</v>
      </c>
    </row>
    <row r="28" spans="1:123">
      <c r="A28" s="156" t="s">
        <v>918</v>
      </c>
      <c r="B28">
        <v>6</v>
      </c>
      <c r="C28" s="140" t="s">
        <v>946</v>
      </c>
      <c r="D28" s="186" t="str">
        <f t="shared" ca="1" si="101"/>
        <v>5</v>
      </c>
      <c r="E28" s="186" t="str">
        <f t="shared" ca="1" si="102"/>
        <v>5</v>
      </c>
      <c r="F28" s="186" t="str">
        <f t="shared" ca="1" si="102"/>
        <v>5</v>
      </c>
      <c r="G28" s="186" t="str">
        <f t="shared" ca="1" si="102"/>
        <v>5</v>
      </c>
      <c r="H28" s="186" t="str">
        <f t="shared" ca="1" si="102"/>
        <v>6</v>
      </c>
      <c r="I28" s="186" t="str">
        <f t="shared" ca="1" si="102"/>
        <v>5</v>
      </c>
      <c r="J28" s="186" t="str">
        <f t="shared" ca="1" si="102"/>
        <v>5</v>
      </c>
      <c r="K28" s="186" t="str">
        <f t="shared" ca="1" si="102"/>
        <v>6</v>
      </c>
      <c r="L28" s="186" t="str">
        <f t="shared" ca="1" si="102"/>
        <v>6</v>
      </c>
      <c r="M28" s="186" t="str">
        <f t="shared" ca="1" si="102"/>
        <v>5</v>
      </c>
      <c r="N28" s="186" t="str">
        <f t="shared" ca="1" si="102"/>
        <v>6</v>
      </c>
      <c r="O28" s="186" t="str">
        <f t="shared" ca="1" si="102"/>
        <v>6</v>
      </c>
      <c r="P28" s="186" t="str">
        <f t="shared" ca="1" si="102"/>
        <v>5</v>
      </c>
      <c r="Q28" s="186" t="str">
        <f t="shared" ca="1" si="102"/>
        <v>6</v>
      </c>
      <c r="R28" s="186" t="str">
        <f t="shared" ca="1" si="102"/>
        <v>4</v>
      </c>
      <c r="S28" s="186" t="str">
        <f t="shared" ca="1" si="102"/>
        <v>5</v>
      </c>
      <c r="T28" s="186" t="str">
        <f t="shared" ca="1" si="102"/>
        <v>6</v>
      </c>
      <c r="U28" s="186" t="str">
        <f t="shared" ca="1" si="102"/>
        <v>5</v>
      </c>
      <c r="V28" s="186" t="str">
        <f t="shared" ca="1" si="104"/>
        <v>5</v>
      </c>
      <c r="W28" s="186" t="str">
        <f t="shared" ca="1" si="104"/>
        <v>6</v>
      </c>
    </row>
    <row r="29" spans="1:123">
      <c r="A29" s="156" t="s">
        <v>919</v>
      </c>
      <c r="B29">
        <v>7</v>
      </c>
      <c r="C29" s="140" t="s">
        <v>931</v>
      </c>
      <c r="D29" s="186" t="str">
        <f t="shared" ca="1" si="101"/>
        <v>4</v>
      </c>
      <c r="E29" s="186" t="str">
        <f t="shared" ca="1" si="102"/>
        <v>1</v>
      </c>
      <c r="F29" s="186" t="str">
        <f t="shared" ca="1" si="102"/>
        <v>1</v>
      </c>
      <c r="G29" s="186" t="str">
        <f t="shared" ca="1" si="102"/>
        <v>4</v>
      </c>
      <c r="H29" s="186" t="str">
        <f t="shared" ca="1" si="102"/>
        <v>4</v>
      </c>
      <c r="I29" s="186" t="str">
        <f t="shared" ca="1" si="102"/>
        <v>4</v>
      </c>
      <c r="J29" s="186" t="str">
        <f t="shared" ca="1" si="102"/>
        <v>3</v>
      </c>
      <c r="K29" s="186" t="str">
        <f t="shared" ca="1" si="102"/>
        <v>2</v>
      </c>
      <c r="L29" s="186" t="str">
        <f t="shared" ca="1" si="102"/>
        <v>4</v>
      </c>
      <c r="M29" s="186" t="str">
        <f t="shared" ca="1" si="102"/>
        <v>4</v>
      </c>
      <c r="N29" s="186" t="str">
        <f t="shared" ca="1" si="102"/>
        <v>3</v>
      </c>
      <c r="O29" s="186" t="str">
        <f t="shared" ca="1" si="102"/>
        <v>3</v>
      </c>
      <c r="P29" s="186" t="str">
        <f t="shared" ca="1" si="102"/>
        <v>2</v>
      </c>
      <c r="Q29" s="186" t="str">
        <f t="shared" ca="1" si="102"/>
        <v>4</v>
      </c>
      <c r="R29" s="186" t="str">
        <f t="shared" ca="1" si="102"/>
        <v>2</v>
      </c>
      <c r="S29" s="186" t="str">
        <f t="shared" ca="1" si="102"/>
        <v>4</v>
      </c>
      <c r="T29" s="186" t="str">
        <f t="shared" ca="1" si="102"/>
        <v>4</v>
      </c>
      <c r="U29" s="186" t="str">
        <f t="shared" ca="1" si="102"/>
        <v>5</v>
      </c>
      <c r="V29" s="186" t="str">
        <f t="shared" ca="1" si="104"/>
        <v>2</v>
      </c>
      <c r="W29" s="186" t="str">
        <f t="shared" ca="1" si="104"/>
        <v>5</v>
      </c>
    </row>
    <row r="30" spans="1:123">
      <c r="B30">
        <v>8</v>
      </c>
      <c r="C30" s="140" t="s">
        <v>930</v>
      </c>
      <c r="D30" s="186" t="str">
        <f t="shared" ca="1" si="101"/>
        <v>7</v>
      </c>
      <c r="E30" s="186" t="str">
        <f t="shared" ca="1" si="102"/>
        <v>4</v>
      </c>
      <c r="F30" s="186" t="str">
        <f t="shared" ca="1" si="102"/>
        <v>3</v>
      </c>
      <c r="G30" s="186" t="str">
        <f t="shared" ca="1" si="102"/>
        <v>6</v>
      </c>
      <c r="H30" s="186" t="str">
        <f t="shared" ca="1" si="102"/>
        <v>6</v>
      </c>
      <c r="I30" s="186" t="str">
        <f t="shared" ca="1" si="102"/>
        <v>6</v>
      </c>
      <c r="J30" s="186" t="str">
        <f t="shared" ca="1" si="102"/>
        <v>5</v>
      </c>
      <c r="K30" s="186" t="str">
        <f t="shared" ca="1" si="102"/>
        <v>5</v>
      </c>
      <c r="L30" s="186" t="str">
        <f t="shared" ca="1" si="102"/>
        <v>6</v>
      </c>
      <c r="M30" s="186" t="str">
        <f t="shared" ca="1" si="102"/>
        <v>6</v>
      </c>
      <c r="N30" s="186" t="str">
        <f t="shared" ca="1" si="102"/>
        <v>5</v>
      </c>
      <c r="O30" s="186" t="str">
        <f t="shared" ca="1" si="102"/>
        <v>5</v>
      </c>
      <c r="P30" s="186" t="str">
        <f t="shared" ca="1" si="102"/>
        <v>7</v>
      </c>
      <c r="Q30" s="186" t="str">
        <f t="shared" ca="1" si="102"/>
        <v>5</v>
      </c>
      <c r="R30" s="186" t="str">
        <f t="shared" ca="1" si="102"/>
        <v>4</v>
      </c>
      <c r="S30" s="186" t="str">
        <f t="shared" ca="1" si="102"/>
        <v>5</v>
      </c>
      <c r="T30" s="186" t="str">
        <f t="shared" ca="1" si="102"/>
        <v>6</v>
      </c>
      <c r="U30" s="186" t="str">
        <f t="shared" ca="1" si="102"/>
        <v>6</v>
      </c>
      <c r="V30" s="186" t="str">
        <f t="shared" ca="1" si="104"/>
        <v>5</v>
      </c>
      <c r="W30" s="186" t="str">
        <f t="shared" ca="1" si="104"/>
        <v>5</v>
      </c>
    </row>
    <row r="31" spans="1:123">
      <c r="B31">
        <v>9</v>
      </c>
      <c r="C31" s="140" t="s">
        <v>932</v>
      </c>
      <c r="D31" s="186" t="str">
        <f t="shared" ca="1" si="101"/>
        <v>8</v>
      </c>
      <c r="E31" s="186" t="str">
        <f t="shared" ca="1" si="102"/>
        <v>7</v>
      </c>
      <c r="F31" s="186" t="str">
        <f t="shared" ca="1" si="102"/>
        <v>7</v>
      </c>
      <c r="G31" s="186" t="str">
        <f t="shared" ca="1" si="102"/>
        <v>7</v>
      </c>
      <c r="H31" s="186" t="str">
        <f t="shared" ca="1" si="102"/>
        <v>7</v>
      </c>
      <c r="I31" s="186" t="str">
        <f t="shared" ca="1" si="102"/>
        <v>8</v>
      </c>
      <c r="J31" s="186" t="str">
        <f t="shared" ca="1" si="102"/>
        <v>8</v>
      </c>
      <c r="K31" s="186" t="str">
        <f t="shared" ca="1" si="102"/>
        <v>8</v>
      </c>
      <c r="L31" s="186" t="str">
        <f t="shared" ca="1" si="102"/>
        <v>7</v>
      </c>
      <c r="M31" s="186" t="str">
        <f t="shared" ca="1" si="102"/>
        <v>7</v>
      </c>
      <c r="N31" s="186" t="str">
        <f t="shared" ca="1" si="102"/>
        <v>7</v>
      </c>
      <c r="O31" s="186" t="str">
        <f t="shared" ca="1" si="102"/>
        <v>7</v>
      </c>
      <c r="P31" s="186" t="str">
        <f t="shared" ca="1" si="102"/>
        <v>8</v>
      </c>
      <c r="Q31" s="186" t="str">
        <f t="shared" ca="1" si="102"/>
        <v>7</v>
      </c>
      <c r="R31" s="186" t="str">
        <f t="shared" ca="1" si="102"/>
        <v>6</v>
      </c>
      <c r="S31" s="186" t="str">
        <f t="shared" ca="1" si="102"/>
        <v>7</v>
      </c>
      <c r="T31" s="186" t="str">
        <f t="shared" ca="1" si="102"/>
        <v>7</v>
      </c>
      <c r="U31" s="186" t="str">
        <f t="shared" ca="1" si="102"/>
        <v>8</v>
      </c>
      <c r="V31" s="186" t="str">
        <f t="shared" ca="1" si="104"/>
        <v>7</v>
      </c>
      <c r="W31" s="186" t="str">
        <f t="shared" ca="1" si="104"/>
        <v>7</v>
      </c>
    </row>
    <row r="32" spans="1:123">
      <c r="B32">
        <v>10</v>
      </c>
      <c r="C32" s="140" t="s">
        <v>933</v>
      </c>
      <c r="D32" s="186" t="str">
        <f t="shared" ca="1" si="101"/>
        <v>7</v>
      </c>
      <c r="E32" s="186" t="str">
        <f t="shared" ca="1" si="102"/>
        <v>5</v>
      </c>
      <c r="F32" s="186" t="str">
        <f t="shared" ca="1" si="102"/>
        <v>5</v>
      </c>
      <c r="G32" s="186" t="str">
        <f t="shared" ca="1" si="102"/>
        <v>7</v>
      </c>
      <c r="H32" s="186" t="str">
        <f t="shared" ca="1" si="102"/>
        <v>7</v>
      </c>
      <c r="I32" s="186" t="str">
        <f t="shared" ca="1" si="102"/>
        <v>7</v>
      </c>
      <c r="J32" s="186" t="str">
        <f t="shared" ca="1" si="102"/>
        <v>6</v>
      </c>
      <c r="K32" s="186" t="str">
        <f t="shared" ca="1" si="102"/>
        <v>5</v>
      </c>
      <c r="L32" s="186" t="str">
        <f t="shared" ca="1" si="102"/>
        <v>6</v>
      </c>
      <c r="M32" s="186" t="str">
        <f t="shared" ca="1" si="102"/>
        <v>7</v>
      </c>
      <c r="N32" s="186" t="str">
        <f t="shared" ca="1" si="102"/>
        <v>6</v>
      </c>
      <c r="O32" s="186" t="str">
        <f t="shared" ca="1" si="102"/>
        <v>6</v>
      </c>
      <c r="P32" s="186" t="str">
        <f t="shared" ca="1" si="102"/>
        <v>7</v>
      </c>
      <c r="Q32" s="186" t="str">
        <f t="shared" ca="1" si="102"/>
        <v>6</v>
      </c>
      <c r="R32" s="186" t="str">
        <f t="shared" ca="1" si="102"/>
        <v>6</v>
      </c>
      <c r="S32" s="186" t="str">
        <f t="shared" ca="1" si="102"/>
        <v>6</v>
      </c>
      <c r="T32" s="186" t="str">
        <f t="shared" ca="1" si="102"/>
        <v>7</v>
      </c>
      <c r="U32" s="186" t="str">
        <f t="shared" ca="1" si="102"/>
        <v>7</v>
      </c>
      <c r="V32" s="186" t="str">
        <f t="shared" ca="1" si="104"/>
        <v>6</v>
      </c>
      <c r="W32" s="186" t="str">
        <f t="shared" ca="1" si="104"/>
        <v>7</v>
      </c>
    </row>
    <row r="33" spans="2:23">
      <c r="B33">
        <v>11</v>
      </c>
      <c r="C33" s="140" t="s">
        <v>934</v>
      </c>
      <c r="D33" s="186" t="str">
        <f t="shared" ca="1" si="101"/>
        <v>9</v>
      </c>
      <c r="E33" s="186" t="str">
        <f t="shared" ca="1" si="102"/>
        <v>8</v>
      </c>
      <c r="F33" s="186" t="str">
        <f t="shared" ca="1" si="102"/>
        <v>8</v>
      </c>
      <c r="G33" s="186" t="str">
        <f t="shared" ca="1" si="102"/>
        <v>8</v>
      </c>
      <c r="H33" s="186" t="str">
        <f t="shared" ca="1" si="102"/>
        <v>8</v>
      </c>
      <c r="I33" s="186" t="str">
        <f t="shared" ca="1" si="102"/>
        <v>9</v>
      </c>
      <c r="J33" s="186" t="str">
        <f t="shared" ca="1" si="102"/>
        <v>8</v>
      </c>
      <c r="K33" s="186" t="str">
        <f t="shared" ca="1" si="102"/>
        <v>9</v>
      </c>
      <c r="L33" s="186" t="str">
        <f t="shared" ca="1" si="102"/>
        <v>8</v>
      </c>
      <c r="M33" s="186" t="str">
        <f t="shared" ca="1" si="102"/>
        <v>8</v>
      </c>
      <c r="N33" s="186" t="str">
        <f t="shared" ca="1" si="102"/>
        <v>7</v>
      </c>
      <c r="O33" s="186" t="str">
        <f t="shared" ca="1" si="102"/>
        <v>8</v>
      </c>
      <c r="P33" s="186" t="str">
        <f t="shared" ca="1" si="102"/>
        <v>8</v>
      </c>
      <c r="Q33" s="186" t="str">
        <f t="shared" ca="1" si="102"/>
        <v>9</v>
      </c>
      <c r="R33" s="186" t="str">
        <f t="shared" ca="1" si="102"/>
        <v>8</v>
      </c>
      <c r="S33" s="186" t="str">
        <f t="shared" ca="1" si="102"/>
        <v>8</v>
      </c>
      <c r="T33" s="186" t="str">
        <f t="shared" ca="1" si="102"/>
        <v>8</v>
      </c>
      <c r="U33" s="186" t="str">
        <f t="shared" ca="1" si="102"/>
        <v>8</v>
      </c>
      <c r="V33" s="186" t="str">
        <f t="shared" ca="1" si="104"/>
        <v>8</v>
      </c>
      <c r="W33" s="186" t="str">
        <f t="shared" ca="1" si="104"/>
        <v>8</v>
      </c>
    </row>
    <row r="34" spans="2:23">
      <c r="B34">
        <v>12</v>
      </c>
      <c r="C34" s="140" t="s">
        <v>935</v>
      </c>
      <c r="D34" s="186" t="str">
        <f t="shared" ca="1" si="101"/>
        <v>10</v>
      </c>
      <c r="E34" s="186" t="str">
        <f t="shared" ca="1" si="102"/>
        <v>10</v>
      </c>
      <c r="F34" s="186" t="str">
        <f t="shared" ca="1" si="102"/>
        <v>10</v>
      </c>
      <c r="G34" s="186" t="str">
        <f t="shared" ca="1" si="102"/>
        <v>9</v>
      </c>
      <c r="H34" s="186" t="str">
        <f t="shared" ca="1" si="102"/>
        <v>10</v>
      </c>
      <c r="I34" s="186" t="str">
        <f t="shared" ca="1" si="102"/>
        <v>10</v>
      </c>
      <c r="J34" s="186" t="str">
        <f t="shared" ca="1" si="102"/>
        <v>10</v>
      </c>
      <c r="K34" s="186" t="str">
        <f t="shared" ca="1" si="102"/>
        <v>10</v>
      </c>
      <c r="L34" s="186" t="str">
        <f t="shared" ca="1" si="102"/>
        <v>10</v>
      </c>
      <c r="M34" s="186" t="str">
        <f t="shared" ca="1" si="102"/>
        <v>10</v>
      </c>
      <c r="N34" s="186" t="str">
        <f t="shared" ca="1" si="102"/>
        <v>10</v>
      </c>
      <c r="O34" s="186" t="str">
        <f t="shared" ca="1" si="102"/>
        <v>10</v>
      </c>
      <c r="P34" s="186" t="str">
        <f t="shared" ca="1" si="102"/>
        <v>10</v>
      </c>
      <c r="Q34" s="186" t="str">
        <f t="shared" ca="1" si="102"/>
        <v>10</v>
      </c>
      <c r="R34" s="186" t="str">
        <f t="shared" ca="1" si="102"/>
        <v>10</v>
      </c>
      <c r="S34" s="186" t="str">
        <f t="shared" ca="1" si="102"/>
        <v>10</v>
      </c>
      <c r="T34" s="186" t="str">
        <f t="shared" ca="1" si="102"/>
        <v>10</v>
      </c>
      <c r="U34" s="186" t="str">
        <f t="shared" ca="1" si="102"/>
        <v>10</v>
      </c>
      <c r="V34" s="186" t="str">
        <f t="shared" ca="1" si="104"/>
        <v>10</v>
      </c>
      <c r="W34" s="186" t="str">
        <f t="shared" ca="1" si="104"/>
        <v>10</v>
      </c>
    </row>
    <row r="35" spans="2:23">
      <c r="B35">
        <v>13</v>
      </c>
      <c r="C35" s="140" t="s">
        <v>936</v>
      </c>
      <c r="D35" s="186" t="str">
        <f t="shared" ca="1" si="101"/>
        <v>7</v>
      </c>
      <c r="E35" s="186" t="str">
        <f t="shared" ca="1" si="102"/>
        <v>6</v>
      </c>
      <c r="F35" s="186" t="str">
        <f t="shared" ca="1" si="102"/>
        <v>6</v>
      </c>
      <c r="G35" s="186" t="str">
        <f t="shared" ca="1" si="102"/>
        <v>7</v>
      </c>
      <c r="H35" s="186" t="str">
        <f t="shared" ca="1" si="102"/>
        <v>7</v>
      </c>
      <c r="I35" s="186" t="str">
        <f t="shared" ca="1" si="102"/>
        <v>7</v>
      </c>
      <c r="J35" s="186" t="str">
        <f t="shared" ca="1" si="102"/>
        <v>7</v>
      </c>
      <c r="K35" s="186" t="str">
        <f t="shared" ca="1" si="102"/>
        <v>7</v>
      </c>
      <c r="L35" s="186" t="str">
        <f t="shared" ca="1" si="102"/>
        <v>7</v>
      </c>
      <c r="M35" s="186" t="str">
        <f t="shared" ca="1" si="102"/>
        <v>7</v>
      </c>
      <c r="N35" s="186" t="str">
        <f t="shared" ca="1" si="102"/>
        <v>7</v>
      </c>
      <c r="O35" s="186" t="str">
        <f t="shared" ca="1" si="102"/>
        <v>7</v>
      </c>
      <c r="P35" s="186" t="str">
        <f t="shared" ca="1" si="102"/>
        <v>6</v>
      </c>
      <c r="Q35" s="186" t="str">
        <f t="shared" ca="1" si="102"/>
        <v>7</v>
      </c>
      <c r="R35" s="186" t="str">
        <f t="shared" ca="1" si="102"/>
        <v>6</v>
      </c>
      <c r="S35" s="186" t="str">
        <f t="shared" ca="1" si="102"/>
        <v>7</v>
      </c>
      <c r="T35" s="186" t="str">
        <f t="shared" ca="1" si="102"/>
        <v>7</v>
      </c>
      <c r="U35" s="186" t="str">
        <f t="shared" ca="1" si="102"/>
        <v>7</v>
      </c>
      <c r="V35" s="186" t="str">
        <f t="shared" ca="1" si="104"/>
        <v>7</v>
      </c>
      <c r="W35" s="186" t="str">
        <f t="shared" ca="1" si="104"/>
        <v>7</v>
      </c>
    </row>
    <row r="36" spans="2:23">
      <c r="B36">
        <v>14</v>
      </c>
      <c r="C36" s="140" t="s">
        <v>937</v>
      </c>
      <c r="D36" s="186" t="str">
        <f t="shared" ca="1" si="101"/>
        <v>7</v>
      </c>
      <c r="E36" s="186" t="str">
        <f t="shared" ca="1" si="102"/>
        <v>6</v>
      </c>
      <c r="F36" s="186" t="str">
        <f t="shared" ca="1" si="102"/>
        <v>6</v>
      </c>
      <c r="G36" s="186" t="str">
        <f t="shared" ca="1" si="102"/>
        <v>7</v>
      </c>
      <c r="H36" s="186" t="str">
        <f t="shared" ca="1" si="102"/>
        <v>7</v>
      </c>
      <c r="I36" s="186" t="str">
        <f t="shared" ca="1" si="102"/>
        <v>7</v>
      </c>
      <c r="J36" s="186" t="str">
        <f t="shared" ca="1" si="102"/>
        <v>7</v>
      </c>
      <c r="K36" s="186" t="str">
        <f t="shared" ca="1" si="102"/>
        <v>6</v>
      </c>
      <c r="L36" s="186" t="str">
        <f t="shared" ca="1" si="102"/>
        <v>7</v>
      </c>
      <c r="M36" s="186" t="str">
        <f t="shared" ca="1" si="102"/>
        <v>8</v>
      </c>
      <c r="N36" s="186" t="str">
        <f t="shared" ca="1" si="102"/>
        <v>6</v>
      </c>
      <c r="O36" s="186" t="str">
        <f t="shared" ca="1" si="102"/>
        <v>7</v>
      </c>
      <c r="P36" s="186" t="str">
        <f t="shared" ca="1" si="102"/>
        <v>6</v>
      </c>
      <c r="Q36" s="186" t="str">
        <f t="shared" ca="1" si="102"/>
        <v>7</v>
      </c>
      <c r="R36" s="186" t="str">
        <f t="shared" ca="1" si="102"/>
        <v>6</v>
      </c>
      <c r="S36" s="186" t="str">
        <f t="shared" ca="1" si="102"/>
        <v>7</v>
      </c>
      <c r="T36" s="186" t="str">
        <f t="shared" ca="1" si="102"/>
        <v>7</v>
      </c>
      <c r="U36" s="186" t="str">
        <f t="shared" ca="1" si="102"/>
        <v>7</v>
      </c>
      <c r="V36" s="186" t="str">
        <f t="shared" ca="1" si="104"/>
        <v>7</v>
      </c>
      <c r="W36" s="186" t="str">
        <f t="shared" ca="1" si="104"/>
        <v>6</v>
      </c>
    </row>
    <row r="37" spans="2:23">
      <c r="B37">
        <v>15</v>
      </c>
      <c r="C37" s="140" t="s">
        <v>938</v>
      </c>
      <c r="D37" s="186" t="str">
        <f t="shared" ca="1" si="101"/>
        <v>9</v>
      </c>
      <c r="E37" s="186" t="str">
        <f t="shared" ca="1" si="102"/>
        <v>8</v>
      </c>
      <c r="F37" s="186" t="str">
        <f t="shared" ca="1" si="102"/>
        <v>8</v>
      </c>
      <c r="G37" s="186" t="str">
        <f t="shared" ca="1" si="102"/>
        <v>8</v>
      </c>
      <c r="H37" s="186" t="str">
        <f t="shared" ca="1" si="102"/>
        <v>8</v>
      </c>
      <c r="I37" s="186" t="str">
        <f t="shared" ca="1" si="102"/>
        <v>9</v>
      </c>
      <c r="J37" s="186" t="str">
        <f t="shared" ca="1" si="102"/>
        <v>9</v>
      </c>
      <c r="K37" s="186" t="str">
        <f t="shared" ca="1" si="102"/>
        <v>9</v>
      </c>
      <c r="L37" s="186" t="str">
        <f t="shared" ca="1" si="102"/>
        <v>9</v>
      </c>
      <c r="M37" s="186" t="str">
        <f t="shared" ca="1" si="102"/>
        <v>9</v>
      </c>
      <c r="N37" s="186" t="str">
        <f t="shared" ca="1" si="102"/>
        <v>8</v>
      </c>
      <c r="O37" s="186" t="str">
        <f t="shared" ca="1" si="102"/>
        <v>9</v>
      </c>
      <c r="P37" s="186" t="str">
        <f t="shared" ca="1" si="102"/>
        <v>8</v>
      </c>
      <c r="Q37" s="186" t="str">
        <f t="shared" ca="1" si="102"/>
        <v>9</v>
      </c>
      <c r="R37" s="186" t="str">
        <f t="shared" ca="1" si="102"/>
        <v>8</v>
      </c>
      <c r="S37" s="186" t="str">
        <f t="shared" ca="1" si="102"/>
        <v>9</v>
      </c>
      <c r="T37" s="186" t="str">
        <f t="shared" ca="1" si="102"/>
        <v>8</v>
      </c>
      <c r="U37" s="186" t="str">
        <f t="shared" ca="1" si="102"/>
        <v>9</v>
      </c>
      <c r="V37" s="186" t="str">
        <f t="shared" ca="1" si="104"/>
        <v>9</v>
      </c>
      <c r="W37" s="186" t="str">
        <f t="shared" ca="1" si="104"/>
        <v>9</v>
      </c>
    </row>
    <row r="38" spans="2:23">
      <c r="B38">
        <v>16</v>
      </c>
      <c r="C38" s="140" t="s">
        <v>939</v>
      </c>
      <c r="D38" s="186" t="str">
        <f t="shared" ca="1" si="101"/>
        <v>4</v>
      </c>
      <c r="E38" s="186" t="str">
        <f t="shared" ca="1" si="102"/>
        <v>1</v>
      </c>
      <c r="F38" s="186" t="str">
        <f t="shared" ca="1" si="102"/>
        <v>3</v>
      </c>
      <c r="G38" s="186" t="str">
        <f t="shared" ca="1" si="102"/>
        <v>4</v>
      </c>
      <c r="H38" s="186" t="str">
        <f t="shared" ca="1" si="102"/>
        <v>4</v>
      </c>
      <c r="I38" s="186" t="str">
        <f t="shared" ca="1" si="102"/>
        <v>4</v>
      </c>
      <c r="J38" s="186" t="str">
        <f t="shared" ca="1" si="102"/>
        <v>4</v>
      </c>
      <c r="K38" s="186" t="str">
        <f t="shared" ca="1" si="102"/>
        <v>4</v>
      </c>
      <c r="L38" s="186" t="str">
        <f t="shared" ca="1" si="102"/>
        <v>4</v>
      </c>
      <c r="M38" s="186" t="str">
        <f t="shared" ca="1" si="102"/>
        <v>5</v>
      </c>
      <c r="N38" s="186" t="str">
        <f t="shared" ca="1" si="102"/>
        <v>5</v>
      </c>
      <c r="O38" s="186" t="str">
        <f t="shared" ca="1" si="102"/>
        <v>4</v>
      </c>
      <c r="P38" s="186" t="str">
        <f t="shared" ca="1" si="102"/>
        <v>4</v>
      </c>
      <c r="Q38" s="186" t="str">
        <f t="shared" ca="1" si="102"/>
        <v>4</v>
      </c>
      <c r="R38" s="186" t="str">
        <f t="shared" ca="1" si="102"/>
        <v>2</v>
      </c>
      <c r="S38" s="186" t="str">
        <f t="shared" ca="1" si="102"/>
        <v>4</v>
      </c>
      <c r="T38" s="186" t="str">
        <f t="shared" ca="1" si="102"/>
        <v>4</v>
      </c>
      <c r="U38" s="186" t="str">
        <f t="shared" ca="1" si="102"/>
        <v>4</v>
      </c>
      <c r="V38" s="186" t="str">
        <f t="shared" ca="1" si="104"/>
        <v>1</v>
      </c>
      <c r="W38" s="186" t="str">
        <f t="shared" ca="1" si="104"/>
        <v>5</v>
      </c>
    </row>
    <row r="39" spans="2:23">
      <c r="B39">
        <v>17</v>
      </c>
      <c r="C39" s="140" t="s">
        <v>945</v>
      </c>
      <c r="D39" s="186" t="str">
        <f t="shared" ca="1" si="101"/>
        <v>6</v>
      </c>
      <c r="E39" s="186" t="str">
        <f t="shared" ca="1" si="102"/>
        <v>2</v>
      </c>
      <c r="F39" s="186" t="str">
        <f t="shared" ca="1" si="102"/>
        <v>1</v>
      </c>
      <c r="G39" s="186" t="str">
        <f t="shared" ca="1" si="102"/>
        <v>4</v>
      </c>
      <c r="H39" s="186" t="str">
        <f t="shared" ca="1" si="102"/>
        <v>5</v>
      </c>
      <c r="I39" s="186" t="str">
        <f t="shared" ca="1" si="102"/>
        <v>6</v>
      </c>
      <c r="J39" s="186" t="str">
        <f t="shared" ca="1" si="102"/>
        <v>4</v>
      </c>
      <c r="K39" s="186" t="str">
        <f t="shared" ca="1" si="102"/>
        <v>3</v>
      </c>
      <c r="L39" s="186" t="str">
        <f t="shared" ca="1" si="102"/>
        <v>4</v>
      </c>
      <c r="M39" s="186" t="str">
        <f t="shared" ca="1" si="102"/>
        <v>4</v>
      </c>
      <c r="N39" s="186" t="str">
        <f t="shared" ca="1" si="102"/>
        <v>4</v>
      </c>
      <c r="O39" s="186" t="str">
        <f t="shared" ca="1" si="102"/>
        <v>4</v>
      </c>
      <c r="P39" s="186" t="str">
        <f t="shared" ca="1" si="102"/>
        <v>6</v>
      </c>
      <c r="Q39" s="186" t="str">
        <f t="shared" ca="1" si="102"/>
        <v>5</v>
      </c>
      <c r="R39" s="186" t="str">
        <f t="shared" ca="1" si="102"/>
        <v>4</v>
      </c>
      <c r="S39" s="186" t="str">
        <f t="shared" ca="1" si="102"/>
        <v>4</v>
      </c>
      <c r="T39" s="186" t="str">
        <f t="shared" ca="1" si="102"/>
        <v>5</v>
      </c>
      <c r="U39" s="186" t="str">
        <f t="shared" ca="1" si="102"/>
        <v>5</v>
      </c>
      <c r="V39" s="186" t="str">
        <f t="shared" ca="1" si="104"/>
        <v>3</v>
      </c>
      <c r="W39" s="186" t="str">
        <f t="shared" ca="1" si="104"/>
        <v>6</v>
      </c>
    </row>
    <row r="40" spans="2:23">
      <c r="B40">
        <v>18</v>
      </c>
      <c r="C40" s="140" t="s">
        <v>940</v>
      </c>
      <c r="D40" s="186" t="str">
        <f t="shared" ca="1" si="101"/>
        <v>9</v>
      </c>
      <c r="E40" s="186" t="str">
        <f t="shared" ref="E40:S44" ca="1" si="105">INDIRECT(ADDRESS($B40,E$24,1,1))</f>
        <v>8</v>
      </c>
      <c r="F40" s="186" t="str">
        <f t="shared" ca="1" si="105"/>
        <v>8</v>
      </c>
      <c r="G40" s="186" t="str">
        <f t="shared" ca="1" si="105"/>
        <v>8</v>
      </c>
      <c r="H40" s="186" t="str">
        <f t="shared" ca="1" si="105"/>
        <v>8</v>
      </c>
      <c r="I40" s="186" t="str">
        <f t="shared" ca="1" si="105"/>
        <v>9</v>
      </c>
      <c r="J40" s="186" t="str">
        <f t="shared" ca="1" si="105"/>
        <v>9</v>
      </c>
      <c r="K40" s="186" t="str">
        <f t="shared" ca="1" si="105"/>
        <v>9</v>
      </c>
      <c r="L40" s="186" t="str">
        <f t="shared" ca="1" si="105"/>
        <v>9</v>
      </c>
      <c r="M40" s="186" t="str">
        <f t="shared" ca="1" si="105"/>
        <v>9</v>
      </c>
      <c r="N40" s="186" t="str">
        <f t="shared" ca="1" si="105"/>
        <v>9</v>
      </c>
      <c r="O40" s="186" t="str">
        <f t="shared" ca="1" si="105"/>
        <v>9</v>
      </c>
      <c r="P40" s="186" t="str">
        <f t="shared" ca="1" si="105"/>
        <v>9</v>
      </c>
      <c r="Q40" s="186" t="str">
        <f t="shared" ca="1" si="105"/>
        <v>9</v>
      </c>
      <c r="R40" s="186" t="str">
        <f t="shared" ca="1" si="105"/>
        <v>8</v>
      </c>
      <c r="S40" s="186" t="str">
        <f t="shared" ca="1" si="105"/>
        <v>9</v>
      </c>
      <c r="T40" s="186" t="str">
        <f t="shared" ref="T40:W44" ca="1" si="106">INDIRECT(ADDRESS($B40,T$24,1,1))</f>
        <v>8</v>
      </c>
      <c r="U40" s="186" t="str">
        <f t="shared" ca="1" si="106"/>
        <v>9</v>
      </c>
      <c r="V40" s="186" t="str">
        <f t="shared" ca="1" si="104"/>
        <v>9</v>
      </c>
      <c r="W40" s="186" t="str">
        <f t="shared" ca="1" si="104"/>
        <v>9</v>
      </c>
    </row>
    <row r="41" spans="2:23">
      <c r="B41">
        <v>19</v>
      </c>
      <c r="C41" s="140" t="s">
        <v>941</v>
      </c>
      <c r="D41" s="186" t="str">
        <f t="shared" ca="1" si="101"/>
        <v>5</v>
      </c>
      <c r="E41" s="186" t="str">
        <f t="shared" ca="1" si="105"/>
        <v>5</v>
      </c>
      <c r="F41" s="186" t="str">
        <f t="shared" ca="1" si="105"/>
        <v>5</v>
      </c>
      <c r="G41" s="186" t="str">
        <f t="shared" ca="1" si="105"/>
        <v>6</v>
      </c>
      <c r="H41" s="186" t="str">
        <f t="shared" ca="1" si="105"/>
        <v>6</v>
      </c>
      <c r="I41" s="186" t="str">
        <f t="shared" ca="1" si="105"/>
        <v>6</v>
      </c>
      <c r="J41" s="186" t="str">
        <f t="shared" ca="1" si="105"/>
        <v>6</v>
      </c>
      <c r="K41" s="186" t="str">
        <f t="shared" ca="1" si="105"/>
        <v>6</v>
      </c>
      <c r="L41" s="186" t="str">
        <f t="shared" ca="1" si="105"/>
        <v>6</v>
      </c>
      <c r="M41" s="186" t="str">
        <f t="shared" ca="1" si="105"/>
        <v>6</v>
      </c>
      <c r="N41" s="186" t="str">
        <f t="shared" ca="1" si="105"/>
        <v>6</v>
      </c>
      <c r="O41" s="186" t="str">
        <f t="shared" ca="1" si="105"/>
        <v>6</v>
      </c>
      <c r="P41" s="186" t="str">
        <f t="shared" ca="1" si="105"/>
        <v>7</v>
      </c>
      <c r="Q41" s="186" t="str">
        <f t="shared" ca="1" si="105"/>
        <v>6</v>
      </c>
      <c r="R41" s="186" t="str">
        <f t="shared" ca="1" si="105"/>
        <v>5</v>
      </c>
      <c r="S41" s="186" t="str">
        <f t="shared" ca="1" si="105"/>
        <v>6</v>
      </c>
      <c r="T41" s="186" t="str">
        <f t="shared" ca="1" si="106"/>
        <v>6</v>
      </c>
      <c r="U41" s="186" t="str">
        <f t="shared" ca="1" si="106"/>
        <v>6</v>
      </c>
      <c r="V41" s="186" t="str">
        <f t="shared" ca="1" si="106"/>
        <v>4</v>
      </c>
      <c r="W41" s="186" t="str">
        <f t="shared" ca="1" si="106"/>
        <v>6</v>
      </c>
    </row>
    <row r="42" spans="2:23">
      <c r="B42">
        <v>20</v>
      </c>
      <c r="C42" s="140" t="s">
        <v>942</v>
      </c>
      <c r="D42" s="186" t="str">
        <f t="shared" ca="1" si="101"/>
        <v>8</v>
      </c>
      <c r="E42" s="186" t="str">
        <f t="shared" ca="1" si="105"/>
        <v>6</v>
      </c>
      <c r="F42" s="186" t="str">
        <f t="shared" ca="1" si="105"/>
        <v>6</v>
      </c>
      <c r="G42" s="186" t="str">
        <f t="shared" ca="1" si="105"/>
        <v>7</v>
      </c>
      <c r="H42" s="186" t="str">
        <f t="shared" ca="1" si="105"/>
        <v>7</v>
      </c>
      <c r="I42" s="186" t="str">
        <f t="shared" ca="1" si="105"/>
        <v>7</v>
      </c>
      <c r="J42" s="186" t="str">
        <f t="shared" ca="1" si="105"/>
        <v>7</v>
      </c>
      <c r="K42" s="186" t="str">
        <f t="shared" ca="1" si="105"/>
        <v>7</v>
      </c>
      <c r="L42" s="186" t="str">
        <f t="shared" ca="1" si="105"/>
        <v>7</v>
      </c>
      <c r="M42" s="186" t="str">
        <f t="shared" ca="1" si="105"/>
        <v>8</v>
      </c>
      <c r="N42" s="186" t="str">
        <f t="shared" ca="1" si="105"/>
        <v>7</v>
      </c>
      <c r="O42" s="186" t="str">
        <f t="shared" ca="1" si="105"/>
        <v>7</v>
      </c>
      <c r="P42" s="186" t="str">
        <f t="shared" ca="1" si="105"/>
        <v>8</v>
      </c>
      <c r="Q42" s="186" t="str">
        <f t="shared" ca="1" si="105"/>
        <v>7</v>
      </c>
      <c r="R42" s="186" t="str">
        <f t="shared" ca="1" si="105"/>
        <v>7</v>
      </c>
      <c r="S42" s="186" t="str">
        <f t="shared" ca="1" si="105"/>
        <v>7</v>
      </c>
      <c r="T42" s="186" t="str">
        <f t="shared" ca="1" si="106"/>
        <v>7</v>
      </c>
      <c r="U42" s="186" t="str">
        <f t="shared" ca="1" si="106"/>
        <v>7</v>
      </c>
      <c r="V42" s="186" t="str">
        <f t="shared" ca="1" si="106"/>
        <v>6</v>
      </c>
      <c r="W42" s="186" t="str">
        <f t="shared" ca="1" si="106"/>
        <v>7</v>
      </c>
    </row>
    <row r="43" spans="2:23">
      <c r="B43">
        <v>21</v>
      </c>
      <c r="C43" s="140" t="s">
        <v>943</v>
      </c>
      <c r="D43" s="186" t="str">
        <f t="shared" ca="1" si="101"/>
        <v>8</v>
      </c>
      <c r="E43" s="186" t="str">
        <f t="shared" ca="1" si="105"/>
        <v>6</v>
      </c>
      <c r="F43" s="186" t="str">
        <f t="shared" ca="1" si="105"/>
        <v>6</v>
      </c>
      <c r="G43" s="186" t="str">
        <f t="shared" ca="1" si="105"/>
        <v>7</v>
      </c>
      <c r="H43" s="186" t="str">
        <f t="shared" ca="1" si="105"/>
        <v>7</v>
      </c>
      <c r="I43" s="186" t="str">
        <f t="shared" ca="1" si="105"/>
        <v>7</v>
      </c>
      <c r="J43" s="186" t="str">
        <f t="shared" ca="1" si="105"/>
        <v>6</v>
      </c>
      <c r="K43" s="186" t="str">
        <f t="shared" ca="1" si="105"/>
        <v>7</v>
      </c>
      <c r="L43" s="186" t="str">
        <f t="shared" ca="1" si="105"/>
        <v>8</v>
      </c>
      <c r="M43" s="186" t="str">
        <f t="shared" ca="1" si="105"/>
        <v>8</v>
      </c>
      <c r="N43" s="186" t="str">
        <f t="shared" ca="1" si="105"/>
        <v>7</v>
      </c>
      <c r="O43" s="186" t="str">
        <f t="shared" ca="1" si="105"/>
        <v>6</v>
      </c>
      <c r="P43" s="186" t="str">
        <f t="shared" ca="1" si="105"/>
        <v>7</v>
      </c>
      <c r="Q43" s="186" t="str">
        <f t="shared" ca="1" si="105"/>
        <v>7</v>
      </c>
      <c r="R43" s="186" t="str">
        <f t="shared" ca="1" si="105"/>
        <v>7</v>
      </c>
      <c r="S43" s="186" t="str">
        <f t="shared" ca="1" si="105"/>
        <v>7</v>
      </c>
      <c r="T43" s="186" t="str">
        <f t="shared" ca="1" si="106"/>
        <v>7</v>
      </c>
      <c r="U43" s="186" t="str">
        <f t="shared" ca="1" si="106"/>
        <v>7</v>
      </c>
      <c r="V43" s="186" t="str">
        <f t="shared" ca="1" si="106"/>
        <v>6</v>
      </c>
      <c r="W43" s="186" t="str">
        <f t="shared" ca="1" si="106"/>
        <v>7</v>
      </c>
    </row>
    <row r="44" spans="2:23">
      <c r="B44">
        <v>22</v>
      </c>
      <c r="C44" s="174" t="s">
        <v>944</v>
      </c>
      <c r="D44" s="186" t="str">
        <f t="shared" ca="1" si="101"/>
        <v>5</v>
      </c>
      <c r="E44" s="186" t="str">
        <f t="shared" ca="1" si="105"/>
        <v>5</v>
      </c>
      <c r="F44" s="186" t="str">
        <f t="shared" ca="1" si="105"/>
        <v>5</v>
      </c>
      <c r="G44" s="186" t="str">
        <f t="shared" ca="1" si="105"/>
        <v>7</v>
      </c>
      <c r="H44" s="186" t="str">
        <f t="shared" ca="1" si="105"/>
        <v>6</v>
      </c>
      <c r="I44" s="186" t="str">
        <f t="shared" ca="1" si="105"/>
        <v>6</v>
      </c>
      <c r="J44" s="186" t="str">
        <f t="shared" ca="1" si="105"/>
        <v>6</v>
      </c>
      <c r="K44" s="186" t="str">
        <f t="shared" ca="1" si="105"/>
        <v>6</v>
      </c>
      <c r="L44" s="186" t="str">
        <f t="shared" ca="1" si="105"/>
        <v>6</v>
      </c>
      <c r="M44" s="186" t="str">
        <f t="shared" ca="1" si="105"/>
        <v>5</v>
      </c>
      <c r="N44" s="186" t="str">
        <f t="shared" ca="1" si="105"/>
        <v>6</v>
      </c>
      <c r="O44" s="186" t="str">
        <f t="shared" ca="1" si="105"/>
        <v>5</v>
      </c>
      <c r="P44" s="186" t="str">
        <f t="shared" ca="1" si="105"/>
        <v>6</v>
      </c>
      <c r="Q44" s="186" t="str">
        <f t="shared" ca="1" si="105"/>
        <v>6</v>
      </c>
      <c r="R44" s="186" t="str">
        <f t="shared" ca="1" si="105"/>
        <v>4</v>
      </c>
      <c r="S44" s="186" t="str">
        <f t="shared" ca="1" si="105"/>
        <v>6</v>
      </c>
      <c r="T44" s="186" t="str">
        <f t="shared" ca="1" si="106"/>
        <v>6</v>
      </c>
      <c r="U44" s="186" t="str">
        <f t="shared" ca="1" si="106"/>
        <v>7</v>
      </c>
      <c r="V44" s="186" t="str">
        <f t="shared" ca="1" si="106"/>
        <v>5</v>
      </c>
      <c r="W44" s="186" t="str">
        <f t="shared" ca="1" si="106"/>
        <v>6</v>
      </c>
    </row>
    <row r="46" spans="2:23">
      <c r="D46">
        <v>8</v>
      </c>
      <c r="E46">
        <f>D46+6</f>
        <v>14</v>
      </c>
      <c r="F46">
        <f t="shared" ref="F46:W46" si="107">E46+6</f>
        <v>20</v>
      </c>
      <c r="G46">
        <f t="shared" si="107"/>
        <v>26</v>
      </c>
      <c r="H46">
        <f t="shared" si="107"/>
        <v>32</v>
      </c>
      <c r="I46">
        <f t="shared" si="107"/>
        <v>38</v>
      </c>
      <c r="J46">
        <f t="shared" si="107"/>
        <v>44</v>
      </c>
      <c r="K46">
        <f t="shared" si="107"/>
        <v>50</v>
      </c>
      <c r="L46">
        <f t="shared" si="107"/>
        <v>56</v>
      </c>
      <c r="M46">
        <f t="shared" si="107"/>
        <v>62</v>
      </c>
      <c r="N46">
        <f t="shared" si="107"/>
        <v>68</v>
      </c>
      <c r="O46">
        <f t="shared" si="107"/>
        <v>74</v>
      </c>
      <c r="P46">
        <f t="shared" si="107"/>
        <v>80</v>
      </c>
      <c r="Q46">
        <f t="shared" si="107"/>
        <v>86</v>
      </c>
      <c r="R46">
        <f t="shared" si="107"/>
        <v>92</v>
      </c>
      <c r="S46">
        <f t="shared" si="107"/>
        <v>98</v>
      </c>
      <c r="T46">
        <f t="shared" si="107"/>
        <v>104</v>
      </c>
      <c r="U46">
        <f t="shared" si="107"/>
        <v>110</v>
      </c>
      <c r="V46">
        <f t="shared" si="107"/>
        <v>116</v>
      </c>
      <c r="W46">
        <f t="shared" si="107"/>
        <v>122</v>
      </c>
    </row>
    <row r="47" spans="2:23">
      <c r="B47">
        <v>3</v>
      </c>
      <c r="C47" s="140" t="s">
        <v>927</v>
      </c>
      <c r="D47" t="str">
        <f t="shared" ref="D47:D66" ca="1" si="108">INDIRECT(ADDRESS($B47,D$46,1,1))</f>
        <v>8</v>
      </c>
      <c r="E47" t="str">
        <f t="shared" ref="E47:U61" ca="1" si="109">INDIRECT(ADDRESS($B47,E$46,1,1))</f>
        <v>7</v>
      </c>
      <c r="F47" t="str">
        <f t="shared" ca="1" si="109"/>
        <v>7</v>
      </c>
      <c r="G47" t="str">
        <f t="shared" ca="1" si="109"/>
        <v>6</v>
      </c>
      <c r="H47" t="str">
        <f t="shared" ca="1" si="109"/>
        <v>7</v>
      </c>
      <c r="I47" t="str">
        <f t="shared" ca="1" si="109"/>
        <v>6</v>
      </c>
      <c r="J47" t="str">
        <f t="shared" ca="1" si="109"/>
        <v>6</v>
      </c>
      <c r="K47" t="str">
        <f t="shared" ca="1" si="109"/>
        <v>6</v>
      </c>
      <c r="L47" t="str">
        <f t="shared" ca="1" si="109"/>
        <v>6</v>
      </c>
      <c r="M47" t="str">
        <f t="shared" ca="1" si="109"/>
        <v>7</v>
      </c>
      <c r="N47" t="str">
        <f t="shared" ca="1" si="109"/>
        <v>7</v>
      </c>
      <c r="O47" t="str">
        <f t="shared" ca="1" si="109"/>
        <v>7</v>
      </c>
      <c r="P47" t="str">
        <f t="shared" ca="1" si="109"/>
        <v>4</v>
      </c>
      <c r="Q47" t="str">
        <f t="shared" ca="1" si="109"/>
        <v>7</v>
      </c>
      <c r="R47" t="str">
        <f t="shared" ca="1" si="109"/>
        <v>6</v>
      </c>
      <c r="S47" t="str">
        <f t="shared" ca="1" si="109"/>
        <v>7</v>
      </c>
      <c r="T47" t="str">
        <f t="shared" ca="1" si="109"/>
        <v>7</v>
      </c>
      <c r="U47" t="str">
        <f t="shared" ca="1" si="109"/>
        <v>6</v>
      </c>
      <c r="V47" t="str">
        <f t="shared" ref="V47:W62" ca="1" si="110">INDIRECT(ADDRESS($B47,V$46,1,1))</f>
        <v>7</v>
      </c>
      <c r="W47" t="str">
        <f t="shared" ca="1" si="110"/>
        <v>6</v>
      </c>
    </row>
    <row r="48" spans="2:23">
      <c r="B48">
        <v>4</v>
      </c>
      <c r="C48" s="140" t="s">
        <v>928</v>
      </c>
      <c r="D48" t="str">
        <f t="shared" ca="1" si="108"/>
        <v>5</v>
      </c>
      <c r="E48" t="str">
        <f t="shared" ca="1" si="109"/>
        <v>6</v>
      </c>
      <c r="F48" t="str">
        <f t="shared" ca="1" si="109"/>
        <v>5</v>
      </c>
      <c r="G48" t="str">
        <f t="shared" ca="1" si="109"/>
        <v>5</v>
      </c>
      <c r="H48" t="str">
        <f t="shared" ca="1" si="109"/>
        <v>7</v>
      </c>
      <c r="I48" t="str">
        <f t="shared" ca="1" si="109"/>
        <v>7</v>
      </c>
      <c r="J48" t="str">
        <f t="shared" ca="1" si="109"/>
        <v>5</v>
      </c>
      <c r="K48" t="str">
        <f t="shared" ca="1" si="109"/>
        <v>6</v>
      </c>
      <c r="L48" t="str">
        <f t="shared" ca="1" si="109"/>
        <v>5</v>
      </c>
      <c r="M48" t="str">
        <f t="shared" ca="1" si="109"/>
        <v>6</v>
      </c>
      <c r="N48" t="str">
        <f t="shared" ca="1" si="109"/>
        <v>6</v>
      </c>
      <c r="O48" t="str">
        <f t="shared" ca="1" si="109"/>
        <v>6</v>
      </c>
      <c r="P48" t="str">
        <f t="shared" ca="1" si="109"/>
        <v>4</v>
      </c>
      <c r="Q48" t="str">
        <f t="shared" ca="1" si="109"/>
        <v>7</v>
      </c>
      <c r="R48" t="str">
        <f t="shared" ca="1" si="109"/>
        <v>5</v>
      </c>
      <c r="S48" t="str">
        <f t="shared" ca="1" si="109"/>
        <v>6</v>
      </c>
      <c r="T48" t="str">
        <f t="shared" ca="1" si="109"/>
        <v>7</v>
      </c>
      <c r="U48" t="str">
        <f t="shared" ca="1" si="109"/>
        <v>5</v>
      </c>
      <c r="V48" t="str">
        <f t="shared" ca="1" si="110"/>
        <v>5</v>
      </c>
      <c r="W48" t="str">
        <f t="shared" ca="1" si="110"/>
        <v>6</v>
      </c>
    </row>
    <row r="49" spans="2:23">
      <c r="B49">
        <v>5</v>
      </c>
      <c r="C49" s="140" t="s">
        <v>929</v>
      </c>
      <c r="D49" t="str">
        <f t="shared" ca="1" si="108"/>
        <v>6</v>
      </c>
      <c r="E49" t="str">
        <f t="shared" ca="1" si="109"/>
        <v>7</v>
      </c>
      <c r="F49" t="str">
        <f t="shared" ca="1" si="109"/>
        <v>5</v>
      </c>
      <c r="G49" t="str">
        <f t="shared" ca="1" si="109"/>
        <v>5</v>
      </c>
      <c r="H49" t="str">
        <f t="shared" ca="1" si="109"/>
        <v>7</v>
      </c>
      <c r="I49" t="str">
        <f t="shared" ca="1" si="109"/>
        <v>6</v>
      </c>
      <c r="J49" t="str">
        <f t="shared" ca="1" si="109"/>
        <v>6</v>
      </c>
      <c r="K49" t="str">
        <f t="shared" ca="1" si="109"/>
        <v>4</v>
      </c>
      <c r="L49" t="str">
        <f t="shared" ca="1" si="109"/>
        <v>5</v>
      </c>
      <c r="M49" t="str">
        <f t="shared" ca="1" si="109"/>
        <v>7</v>
      </c>
      <c r="N49" t="str">
        <f t="shared" ca="1" si="109"/>
        <v>7</v>
      </c>
      <c r="O49" t="str">
        <f t="shared" ca="1" si="109"/>
        <v>7</v>
      </c>
      <c r="P49" t="str">
        <f t="shared" ca="1" si="109"/>
        <v>5</v>
      </c>
      <c r="Q49" t="str">
        <f t="shared" ca="1" si="109"/>
        <v>7</v>
      </c>
      <c r="R49" t="str">
        <f t="shared" ca="1" si="109"/>
        <v>6</v>
      </c>
      <c r="S49" t="str">
        <f t="shared" ca="1" si="109"/>
        <v>7</v>
      </c>
      <c r="T49" t="str">
        <f t="shared" ca="1" si="109"/>
        <v>7</v>
      </c>
      <c r="U49" t="str">
        <f t="shared" ca="1" si="109"/>
        <v>6</v>
      </c>
      <c r="V49" t="str">
        <f t="shared" ca="1" si="110"/>
        <v>7</v>
      </c>
      <c r="W49" t="str">
        <f t="shared" ca="1" si="110"/>
        <v>6</v>
      </c>
    </row>
    <row r="50" spans="2:23">
      <c r="B50">
        <v>6</v>
      </c>
      <c r="C50" s="140" t="s">
        <v>946</v>
      </c>
      <c r="D50" t="str">
        <f t="shared" ca="1" si="108"/>
        <v>7</v>
      </c>
      <c r="E50" t="str">
        <f t="shared" ca="1" si="109"/>
        <v>6</v>
      </c>
      <c r="F50" t="str">
        <f t="shared" ca="1" si="109"/>
        <v>6</v>
      </c>
      <c r="G50" t="str">
        <f t="shared" ca="1" si="109"/>
        <v>6</v>
      </c>
      <c r="H50" t="str">
        <f t="shared" ca="1" si="109"/>
        <v>6</v>
      </c>
      <c r="I50" t="str">
        <f t="shared" ca="1" si="109"/>
        <v>7</v>
      </c>
      <c r="J50" t="str">
        <f t="shared" ca="1" si="109"/>
        <v>7</v>
      </c>
      <c r="K50" t="str">
        <f t="shared" ca="1" si="109"/>
        <v>7</v>
      </c>
      <c r="L50" t="str">
        <f t="shared" ca="1" si="109"/>
        <v>8</v>
      </c>
      <c r="M50" t="str">
        <f t="shared" ca="1" si="109"/>
        <v>6</v>
      </c>
      <c r="N50" t="str">
        <f t="shared" ca="1" si="109"/>
        <v>8</v>
      </c>
      <c r="O50" t="str">
        <f t="shared" ca="1" si="109"/>
        <v>8</v>
      </c>
      <c r="P50" t="str">
        <f t="shared" ca="1" si="109"/>
        <v>8</v>
      </c>
      <c r="Q50" t="str">
        <f t="shared" ca="1" si="109"/>
        <v>6</v>
      </c>
      <c r="R50" t="str">
        <f t="shared" ca="1" si="109"/>
        <v>7</v>
      </c>
      <c r="S50" t="str">
        <f t="shared" ca="1" si="109"/>
        <v>6</v>
      </c>
      <c r="T50" t="str">
        <f t="shared" ca="1" si="109"/>
        <v>6</v>
      </c>
      <c r="U50" t="str">
        <f t="shared" ca="1" si="109"/>
        <v>6</v>
      </c>
      <c r="V50" t="str">
        <f t="shared" ca="1" si="110"/>
        <v>7</v>
      </c>
      <c r="W50" t="str">
        <f t="shared" ca="1" si="110"/>
        <v>6</v>
      </c>
    </row>
    <row r="51" spans="2:23">
      <c r="B51">
        <v>7</v>
      </c>
      <c r="C51" s="140" t="s">
        <v>931</v>
      </c>
      <c r="D51" t="str">
        <f t="shared" ca="1" si="108"/>
        <v>5</v>
      </c>
      <c r="E51" t="str">
        <f t="shared" ca="1" si="109"/>
        <v>8</v>
      </c>
      <c r="F51" t="str">
        <f t="shared" ca="1" si="109"/>
        <v>3</v>
      </c>
      <c r="G51" t="str">
        <f t="shared" ca="1" si="109"/>
        <v>4</v>
      </c>
      <c r="H51" t="str">
        <f t="shared" ca="1" si="109"/>
        <v>6</v>
      </c>
      <c r="I51" t="str">
        <f t="shared" ca="1" si="109"/>
        <v>5</v>
      </c>
      <c r="J51" t="str">
        <f t="shared" ca="1" si="109"/>
        <v>5</v>
      </c>
      <c r="K51" t="str">
        <f t="shared" ca="1" si="109"/>
        <v>4</v>
      </c>
      <c r="L51" t="str">
        <f t="shared" ca="1" si="109"/>
        <v>4</v>
      </c>
      <c r="M51" t="str">
        <f t="shared" ca="1" si="109"/>
        <v>6</v>
      </c>
      <c r="N51" t="str">
        <f t="shared" ca="1" si="109"/>
        <v>5</v>
      </c>
      <c r="O51" t="str">
        <f t="shared" ca="1" si="109"/>
        <v>1</v>
      </c>
      <c r="P51" t="str">
        <f t="shared" ca="1" si="109"/>
        <v>4</v>
      </c>
      <c r="Q51" t="str">
        <f t="shared" ca="1" si="109"/>
        <v>7</v>
      </c>
      <c r="R51" t="str">
        <f t="shared" ca="1" si="109"/>
        <v>4</v>
      </c>
      <c r="S51" t="str">
        <f t="shared" ca="1" si="109"/>
        <v>6</v>
      </c>
      <c r="T51" t="str">
        <f t="shared" ca="1" si="109"/>
        <v>6</v>
      </c>
      <c r="U51" t="str">
        <f t="shared" ca="1" si="109"/>
        <v>6</v>
      </c>
      <c r="V51" t="str">
        <f t="shared" ca="1" si="110"/>
        <v>8</v>
      </c>
      <c r="W51" t="str">
        <f t="shared" ca="1" si="110"/>
        <v>5</v>
      </c>
    </row>
    <row r="52" spans="2:23">
      <c r="B52">
        <v>8</v>
      </c>
      <c r="C52" s="140" t="s">
        <v>930</v>
      </c>
      <c r="D52" t="str">
        <f t="shared" ca="1" si="108"/>
        <v>6</v>
      </c>
      <c r="E52" t="str">
        <f t="shared" ca="1" si="109"/>
        <v>6</v>
      </c>
      <c r="F52" t="str">
        <f t="shared" ca="1" si="109"/>
        <v>4</v>
      </c>
      <c r="G52" t="str">
        <f t="shared" ca="1" si="109"/>
        <v>5</v>
      </c>
      <c r="H52" t="str">
        <f t="shared" ca="1" si="109"/>
        <v>6</v>
      </c>
      <c r="I52" t="str">
        <f t="shared" ca="1" si="109"/>
        <v>6</v>
      </c>
      <c r="J52" t="str">
        <f t="shared" ca="1" si="109"/>
        <v>6</v>
      </c>
      <c r="K52" t="str">
        <f t="shared" ca="1" si="109"/>
        <v>6</v>
      </c>
      <c r="L52" t="str">
        <f t="shared" ca="1" si="109"/>
        <v>6</v>
      </c>
      <c r="M52" t="str">
        <f t="shared" ca="1" si="109"/>
        <v>5</v>
      </c>
      <c r="N52" t="str">
        <f t="shared" ca="1" si="109"/>
        <v>6</v>
      </c>
      <c r="O52" t="str">
        <f t="shared" ca="1" si="109"/>
        <v>5</v>
      </c>
      <c r="P52" t="str">
        <f t="shared" ca="1" si="109"/>
        <v>7</v>
      </c>
      <c r="Q52" t="str">
        <f t="shared" ca="1" si="109"/>
        <v>6</v>
      </c>
      <c r="R52" t="str">
        <f t="shared" ca="1" si="109"/>
        <v>6</v>
      </c>
      <c r="S52" t="str">
        <f t="shared" ca="1" si="109"/>
        <v>5</v>
      </c>
      <c r="T52" t="str">
        <f t="shared" ca="1" si="109"/>
        <v>5</v>
      </c>
      <c r="U52" t="str">
        <f t="shared" ca="1" si="109"/>
        <v>6</v>
      </c>
      <c r="V52" t="str">
        <f t="shared" ca="1" si="110"/>
        <v>6</v>
      </c>
      <c r="W52" t="str">
        <f t="shared" ca="1" si="110"/>
        <v>5</v>
      </c>
    </row>
    <row r="53" spans="2:23">
      <c r="B53">
        <v>9</v>
      </c>
      <c r="C53" s="140" t="s">
        <v>932</v>
      </c>
      <c r="D53" t="str">
        <f t="shared" ca="1" si="108"/>
        <v>5</v>
      </c>
      <c r="E53" t="str">
        <f t="shared" ca="1" si="109"/>
        <v>7</v>
      </c>
      <c r="F53" t="str">
        <f t="shared" ca="1" si="109"/>
        <v>8</v>
      </c>
      <c r="G53" t="str">
        <f t="shared" ca="1" si="109"/>
        <v>7</v>
      </c>
      <c r="H53" t="str">
        <f t="shared" ca="1" si="109"/>
        <v>7</v>
      </c>
      <c r="I53" t="str">
        <f t="shared" ca="1" si="109"/>
        <v>8</v>
      </c>
      <c r="J53" t="str">
        <f t="shared" ca="1" si="109"/>
        <v>7</v>
      </c>
      <c r="K53" t="str">
        <f t="shared" ca="1" si="109"/>
        <v>8</v>
      </c>
      <c r="L53" t="str">
        <f t="shared" ca="1" si="109"/>
        <v>7</v>
      </c>
      <c r="M53" t="str">
        <f t="shared" ca="1" si="109"/>
        <v>8</v>
      </c>
      <c r="N53" t="str">
        <f t="shared" ca="1" si="109"/>
        <v>7</v>
      </c>
      <c r="O53" t="str">
        <f t="shared" ca="1" si="109"/>
        <v>7</v>
      </c>
      <c r="P53" t="str">
        <f t="shared" ca="1" si="109"/>
        <v>7</v>
      </c>
      <c r="Q53" t="str">
        <f t="shared" ca="1" si="109"/>
        <v>8</v>
      </c>
      <c r="R53" t="str">
        <f t="shared" ca="1" si="109"/>
        <v>5</v>
      </c>
      <c r="S53" t="str">
        <f t="shared" ca="1" si="109"/>
        <v>8</v>
      </c>
      <c r="T53" t="str">
        <f t="shared" ca="1" si="109"/>
        <v>7</v>
      </c>
      <c r="U53" t="str">
        <f t="shared" ca="1" si="109"/>
        <v>8</v>
      </c>
      <c r="V53" t="str">
        <f t="shared" ca="1" si="110"/>
        <v>6</v>
      </c>
      <c r="W53" t="str">
        <f t="shared" ca="1" si="110"/>
        <v>7</v>
      </c>
    </row>
    <row r="54" spans="2:23">
      <c r="B54">
        <v>10</v>
      </c>
      <c r="C54" s="140" t="s">
        <v>933</v>
      </c>
      <c r="D54" t="str">
        <f t="shared" ca="1" si="108"/>
        <v>7</v>
      </c>
      <c r="E54" t="str">
        <f t="shared" ca="1" si="109"/>
        <v>8</v>
      </c>
      <c r="F54" t="str">
        <f t="shared" ca="1" si="109"/>
        <v>6</v>
      </c>
      <c r="G54" t="str">
        <f t="shared" ca="1" si="109"/>
        <v>7</v>
      </c>
      <c r="H54" t="str">
        <f t="shared" ca="1" si="109"/>
        <v>7</v>
      </c>
      <c r="I54" t="str">
        <f t="shared" ca="1" si="109"/>
        <v>7</v>
      </c>
      <c r="J54" t="str">
        <f t="shared" ca="1" si="109"/>
        <v>6</v>
      </c>
      <c r="K54" t="str">
        <f t="shared" ca="1" si="109"/>
        <v>6</v>
      </c>
      <c r="L54" t="str">
        <f t="shared" ca="1" si="109"/>
        <v>7</v>
      </c>
      <c r="M54" t="str">
        <f t="shared" ca="1" si="109"/>
        <v>8</v>
      </c>
      <c r="N54" t="str">
        <f t="shared" ca="1" si="109"/>
        <v>7</v>
      </c>
      <c r="O54" t="str">
        <f t="shared" ca="1" si="109"/>
        <v>7</v>
      </c>
      <c r="P54" t="str">
        <f t="shared" ca="1" si="109"/>
        <v>7</v>
      </c>
      <c r="Q54" t="str">
        <f t="shared" ca="1" si="109"/>
        <v>7</v>
      </c>
      <c r="R54" t="str">
        <f t="shared" ca="1" si="109"/>
        <v>4</v>
      </c>
      <c r="S54" t="str">
        <f t="shared" ca="1" si="109"/>
        <v>8</v>
      </c>
      <c r="T54" t="str">
        <f t="shared" ca="1" si="109"/>
        <v>6</v>
      </c>
      <c r="U54" t="str">
        <f t="shared" ca="1" si="109"/>
        <v>7</v>
      </c>
      <c r="V54" t="str">
        <f t="shared" ca="1" si="110"/>
        <v>8</v>
      </c>
      <c r="W54" t="str">
        <f t="shared" ca="1" si="110"/>
        <v>8</v>
      </c>
    </row>
    <row r="55" spans="2:23">
      <c r="B55">
        <v>11</v>
      </c>
      <c r="C55" s="140" t="s">
        <v>934</v>
      </c>
      <c r="D55" t="str">
        <f t="shared" ca="1" si="108"/>
        <v>8</v>
      </c>
      <c r="E55" t="str">
        <f t="shared" ca="1" si="109"/>
        <v>6</v>
      </c>
      <c r="F55" t="str">
        <f t="shared" ca="1" si="109"/>
        <v>8</v>
      </c>
      <c r="G55" t="str">
        <f t="shared" ca="1" si="109"/>
        <v>7</v>
      </c>
      <c r="H55" t="str">
        <f t="shared" ca="1" si="109"/>
        <v>7</v>
      </c>
      <c r="I55" t="str">
        <f t="shared" ca="1" si="109"/>
        <v>7</v>
      </c>
      <c r="J55" t="str">
        <f t="shared" ca="1" si="109"/>
        <v>7</v>
      </c>
      <c r="K55" t="str">
        <f t="shared" ca="1" si="109"/>
        <v>8</v>
      </c>
      <c r="L55" t="str">
        <f t="shared" ca="1" si="109"/>
        <v>8</v>
      </c>
      <c r="M55" t="str">
        <f t="shared" ca="1" si="109"/>
        <v>8</v>
      </c>
      <c r="N55" t="str">
        <f t="shared" ca="1" si="109"/>
        <v>7</v>
      </c>
      <c r="O55" t="str">
        <f t="shared" ca="1" si="109"/>
        <v>6</v>
      </c>
      <c r="P55" t="str">
        <f t="shared" ca="1" si="109"/>
        <v>6</v>
      </c>
      <c r="Q55" t="str">
        <f t="shared" ca="1" si="109"/>
        <v>7</v>
      </c>
      <c r="R55" t="str">
        <f t="shared" ca="1" si="109"/>
        <v>6</v>
      </c>
      <c r="S55" t="str">
        <f t="shared" ca="1" si="109"/>
        <v>8</v>
      </c>
      <c r="T55" t="str">
        <f t="shared" ca="1" si="109"/>
        <v>7</v>
      </c>
      <c r="U55" t="str">
        <f t="shared" ca="1" si="109"/>
        <v>8</v>
      </c>
      <c r="V55" t="str">
        <f t="shared" ca="1" si="110"/>
        <v>7</v>
      </c>
      <c r="W55" t="str">
        <f t="shared" ca="1" si="110"/>
        <v>8</v>
      </c>
    </row>
    <row r="56" spans="2:23">
      <c r="B56">
        <v>12</v>
      </c>
      <c r="C56" s="140" t="s">
        <v>935</v>
      </c>
      <c r="D56" t="str">
        <f t="shared" ca="1" si="108"/>
        <v>10</v>
      </c>
      <c r="E56" t="str">
        <f t="shared" ca="1" si="109"/>
        <v>5</v>
      </c>
      <c r="F56" t="str">
        <f t="shared" ca="1" si="109"/>
        <v>10</v>
      </c>
      <c r="G56" t="str">
        <f t="shared" ca="1" si="109"/>
        <v>10</v>
      </c>
      <c r="H56" t="str">
        <f t="shared" ca="1" si="109"/>
        <v>10</v>
      </c>
      <c r="I56" t="str">
        <f t="shared" ca="1" si="109"/>
        <v>10</v>
      </c>
      <c r="J56" t="str">
        <f t="shared" ca="1" si="109"/>
        <v>10</v>
      </c>
      <c r="K56" t="str">
        <f t="shared" ca="1" si="109"/>
        <v>10</v>
      </c>
      <c r="L56" t="str">
        <f t="shared" ca="1" si="109"/>
        <v>10</v>
      </c>
      <c r="M56" t="str">
        <f t="shared" ca="1" si="109"/>
        <v>10</v>
      </c>
      <c r="N56" t="str">
        <f t="shared" ca="1" si="109"/>
        <v>10</v>
      </c>
      <c r="O56" t="str">
        <f t="shared" ca="1" si="109"/>
        <v>10</v>
      </c>
      <c r="P56" t="str">
        <f t="shared" ca="1" si="109"/>
        <v>10</v>
      </c>
      <c r="Q56" t="str">
        <f t="shared" ca="1" si="109"/>
        <v>10</v>
      </c>
      <c r="R56" t="str">
        <f t="shared" ca="1" si="109"/>
        <v>10</v>
      </c>
      <c r="S56" t="str">
        <f t="shared" ca="1" si="109"/>
        <v>10</v>
      </c>
      <c r="T56" t="str">
        <f t="shared" ca="1" si="109"/>
        <v>9</v>
      </c>
      <c r="U56" t="str">
        <f t="shared" ca="1" si="109"/>
        <v>9</v>
      </c>
      <c r="V56" t="str">
        <f t="shared" ca="1" si="110"/>
        <v>9</v>
      </c>
      <c r="W56" t="str">
        <f t="shared" ca="1" si="110"/>
        <v>10</v>
      </c>
    </row>
    <row r="57" spans="2:23">
      <c r="B57">
        <v>13</v>
      </c>
      <c r="C57" s="140" t="s">
        <v>936</v>
      </c>
      <c r="D57" t="str">
        <f t="shared" ca="1" si="108"/>
        <v>5</v>
      </c>
      <c r="E57" t="str">
        <f t="shared" ca="1" si="109"/>
        <v>6</v>
      </c>
      <c r="F57" t="str">
        <f t="shared" ca="1" si="109"/>
        <v>6</v>
      </c>
      <c r="G57" t="str">
        <f t="shared" ca="1" si="109"/>
        <v>7</v>
      </c>
      <c r="H57" t="str">
        <f t="shared" ca="1" si="109"/>
        <v>7</v>
      </c>
      <c r="I57" t="str">
        <f t="shared" ca="1" si="109"/>
        <v>7</v>
      </c>
      <c r="J57" t="str">
        <f t="shared" ca="1" si="109"/>
        <v>6</v>
      </c>
      <c r="K57" t="str">
        <f t="shared" ca="1" si="109"/>
        <v>7</v>
      </c>
      <c r="L57" t="str">
        <f t="shared" ca="1" si="109"/>
        <v>7</v>
      </c>
      <c r="M57" t="str">
        <f t="shared" ca="1" si="109"/>
        <v>6</v>
      </c>
      <c r="N57" t="str">
        <f t="shared" ca="1" si="109"/>
        <v>7</v>
      </c>
      <c r="O57" t="str">
        <f t="shared" ca="1" si="109"/>
        <v>5</v>
      </c>
      <c r="P57" t="str">
        <f t="shared" ca="1" si="109"/>
        <v>7</v>
      </c>
      <c r="Q57" t="str">
        <f t="shared" ca="1" si="109"/>
        <v>7</v>
      </c>
      <c r="R57" t="str">
        <f t="shared" ca="1" si="109"/>
        <v>5</v>
      </c>
      <c r="S57" t="str">
        <f t="shared" ca="1" si="109"/>
        <v>6</v>
      </c>
      <c r="T57" t="str">
        <f t="shared" ca="1" si="109"/>
        <v>6</v>
      </c>
      <c r="U57" t="str">
        <f t="shared" ca="1" si="109"/>
        <v>7</v>
      </c>
      <c r="V57" t="str">
        <f t="shared" ca="1" si="110"/>
        <v>4</v>
      </c>
      <c r="W57" t="str">
        <f t="shared" ca="1" si="110"/>
        <v>6</v>
      </c>
    </row>
    <row r="58" spans="2:23">
      <c r="B58">
        <v>14</v>
      </c>
      <c r="C58" s="140" t="s">
        <v>937</v>
      </c>
      <c r="D58" t="str">
        <f t="shared" ca="1" si="108"/>
        <v>4</v>
      </c>
      <c r="E58" t="str">
        <f t="shared" ca="1" si="109"/>
        <v>6</v>
      </c>
      <c r="F58" t="str">
        <f t="shared" ca="1" si="109"/>
        <v>5</v>
      </c>
      <c r="G58" t="str">
        <f t="shared" ca="1" si="109"/>
        <v>7</v>
      </c>
      <c r="H58" t="str">
        <f t="shared" ca="1" si="109"/>
        <v>6</v>
      </c>
      <c r="I58" t="str">
        <f t="shared" ca="1" si="109"/>
        <v>7</v>
      </c>
      <c r="J58" t="str">
        <f t="shared" ca="1" si="109"/>
        <v>7</v>
      </c>
      <c r="K58" t="str">
        <f t="shared" ca="1" si="109"/>
        <v>7</v>
      </c>
      <c r="L58" t="str">
        <f t="shared" ca="1" si="109"/>
        <v>7</v>
      </c>
      <c r="M58" t="str">
        <f t="shared" ca="1" si="109"/>
        <v>4</v>
      </c>
      <c r="N58" t="str">
        <f t="shared" ca="1" si="109"/>
        <v>7</v>
      </c>
      <c r="O58" t="str">
        <f t="shared" ca="1" si="109"/>
        <v>6</v>
      </c>
      <c r="P58" t="str">
        <f t="shared" ca="1" si="109"/>
        <v>7</v>
      </c>
      <c r="Q58" t="str">
        <f t="shared" ca="1" si="109"/>
        <v>7</v>
      </c>
      <c r="R58" t="str">
        <f t="shared" ca="1" si="109"/>
        <v>6</v>
      </c>
      <c r="S58" t="str">
        <f t="shared" ca="1" si="109"/>
        <v>5</v>
      </c>
      <c r="T58" t="str">
        <f t="shared" ca="1" si="109"/>
        <v>6</v>
      </c>
      <c r="U58" t="str">
        <f t="shared" ca="1" si="109"/>
        <v>7</v>
      </c>
      <c r="V58" t="str">
        <f t="shared" ca="1" si="110"/>
        <v>4</v>
      </c>
      <c r="W58" t="str">
        <f t="shared" ca="1" si="110"/>
        <v>6</v>
      </c>
    </row>
    <row r="59" spans="2:23">
      <c r="B59">
        <v>15</v>
      </c>
      <c r="C59" s="140" t="s">
        <v>938</v>
      </c>
      <c r="D59" t="str">
        <f t="shared" ca="1" si="108"/>
        <v>9</v>
      </c>
      <c r="E59" t="str">
        <f t="shared" ca="1" si="109"/>
        <v>7</v>
      </c>
      <c r="F59" t="str">
        <f t="shared" ca="1" si="109"/>
        <v>8</v>
      </c>
      <c r="G59" t="str">
        <f t="shared" ca="1" si="109"/>
        <v>9</v>
      </c>
      <c r="H59" t="str">
        <f t="shared" ca="1" si="109"/>
        <v>8</v>
      </c>
      <c r="I59" t="str">
        <f t="shared" ca="1" si="109"/>
        <v>10</v>
      </c>
      <c r="J59" t="str">
        <f t="shared" ca="1" si="109"/>
        <v>9</v>
      </c>
      <c r="K59" t="str">
        <f t="shared" ca="1" si="109"/>
        <v>9</v>
      </c>
      <c r="L59" t="str">
        <f t="shared" ca="1" si="109"/>
        <v>9</v>
      </c>
      <c r="M59" t="str">
        <f t="shared" ca="1" si="109"/>
        <v>8</v>
      </c>
      <c r="N59" t="str">
        <f t="shared" ca="1" si="109"/>
        <v>9</v>
      </c>
      <c r="O59" t="str">
        <f t="shared" ca="1" si="109"/>
        <v>9</v>
      </c>
      <c r="P59" t="str">
        <f t="shared" ca="1" si="109"/>
        <v>8</v>
      </c>
      <c r="Q59" t="str">
        <f t="shared" ca="1" si="109"/>
        <v>10</v>
      </c>
      <c r="R59" t="str">
        <f t="shared" ca="1" si="109"/>
        <v>9</v>
      </c>
      <c r="S59" t="str">
        <f t="shared" ca="1" si="109"/>
        <v>8</v>
      </c>
      <c r="T59" t="str">
        <f t="shared" ca="1" si="109"/>
        <v>8</v>
      </c>
      <c r="U59" t="str">
        <f t="shared" ca="1" si="109"/>
        <v>10</v>
      </c>
      <c r="V59" t="str">
        <f t="shared" ca="1" si="110"/>
        <v>9</v>
      </c>
      <c r="W59" t="str">
        <f t="shared" ca="1" si="110"/>
        <v>9</v>
      </c>
    </row>
    <row r="60" spans="2:23">
      <c r="B60">
        <v>16</v>
      </c>
      <c r="C60" s="140" t="s">
        <v>939</v>
      </c>
      <c r="D60" t="str">
        <f t="shared" ca="1" si="108"/>
        <v>5</v>
      </c>
      <c r="E60" t="str">
        <f t="shared" ca="1" si="109"/>
        <v>6</v>
      </c>
      <c r="F60" t="str">
        <f t="shared" ca="1" si="109"/>
        <v>3</v>
      </c>
      <c r="G60" t="str">
        <f t="shared" ca="1" si="109"/>
        <v>4</v>
      </c>
      <c r="H60" t="str">
        <f t="shared" ca="1" si="109"/>
        <v>5</v>
      </c>
      <c r="I60" t="str">
        <f t="shared" ca="1" si="109"/>
        <v>6</v>
      </c>
      <c r="J60" t="str">
        <f t="shared" ca="1" si="109"/>
        <v>5</v>
      </c>
      <c r="K60" t="str">
        <f t="shared" ca="1" si="109"/>
        <v>5</v>
      </c>
      <c r="L60" t="str">
        <f t="shared" ca="1" si="109"/>
        <v>4</v>
      </c>
      <c r="M60" t="str">
        <f t="shared" ca="1" si="109"/>
        <v>5</v>
      </c>
      <c r="N60" t="str">
        <f t="shared" ca="1" si="109"/>
        <v>6</v>
      </c>
      <c r="O60" t="str">
        <f t="shared" ca="1" si="109"/>
        <v>6</v>
      </c>
      <c r="P60" t="str">
        <f t="shared" ca="1" si="109"/>
        <v>4</v>
      </c>
      <c r="Q60" t="str">
        <f t="shared" ca="1" si="109"/>
        <v>6</v>
      </c>
      <c r="R60" t="str">
        <f t="shared" ca="1" si="109"/>
        <v>3</v>
      </c>
      <c r="S60" t="str">
        <f t="shared" ca="1" si="109"/>
        <v>5</v>
      </c>
      <c r="T60" t="str">
        <f t="shared" ca="1" si="109"/>
        <v>5</v>
      </c>
      <c r="U60" t="str">
        <f t="shared" ca="1" si="109"/>
        <v>5</v>
      </c>
      <c r="V60" t="str">
        <f t="shared" ca="1" si="110"/>
        <v>7</v>
      </c>
      <c r="W60" t="str">
        <f t="shared" ca="1" si="110"/>
        <v>5</v>
      </c>
    </row>
    <row r="61" spans="2:23">
      <c r="B61">
        <v>17</v>
      </c>
      <c r="C61" s="140" t="s">
        <v>945</v>
      </c>
      <c r="D61" t="str">
        <f t="shared" ca="1" si="108"/>
        <v>6</v>
      </c>
      <c r="E61" t="str">
        <f t="shared" ca="1" si="109"/>
        <v>7</v>
      </c>
      <c r="F61" t="str">
        <f t="shared" ca="1" si="109"/>
        <v>2</v>
      </c>
      <c r="G61" t="str">
        <f t="shared" ca="1" si="109"/>
        <v>4</v>
      </c>
      <c r="H61" t="str">
        <f t="shared" ca="1" si="109"/>
        <v>6</v>
      </c>
      <c r="I61" t="str">
        <f t="shared" ca="1" si="109"/>
        <v>6</v>
      </c>
      <c r="J61" t="str">
        <f t="shared" ca="1" si="109"/>
        <v>6</v>
      </c>
      <c r="K61" t="str">
        <f t="shared" ca="1" si="109"/>
        <v>4</v>
      </c>
      <c r="L61" t="str">
        <f t="shared" ca="1" si="109"/>
        <v>4</v>
      </c>
      <c r="M61" t="str">
        <f t="shared" ca="1" si="109"/>
        <v>6</v>
      </c>
      <c r="N61" t="str">
        <f t="shared" ca="1" si="109"/>
        <v>5</v>
      </c>
      <c r="O61" t="str">
        <f t="shared" ca="1" si="109"/>
        <v>5</v>
      </c>
      <c r="P61" t="str">
        <f t="shared" ca="1" si="109"/>
        <v>5</v>
      </c>
      <c r="Q61" t="str">
        <f t="shared" ca="1" si="109"/>
        <v>7</v>
      </c>
      <c r="R61" t="str">
        <f t="shared" ca="1" si="109"/>
        <v>3</v>
      </c>
      <c r="S61" t="str">
        <f t="shared" ca="1" si="109"/>
        <v>6</v>
      </c>
      <c r="T61" t="str">
        <f t="shared" ca="1" si="109"/>
        <v>6</v>
      </c>
      <c r="U61" t="str">
        <f t="shared" ca="1" si="109"/>
        <v>6</v>
      </c>
      <c r="V61" t="str">
        <f t="shared" ca="1" si="110"/>
        <v>7</v>
      </c>
      <c r="W61" t="str">
        <f t="shared" ca="1" si="110"/>
        <v>7</v>
      </c>
    </row>
    <row r="62" spans="2:23">
      <c r="B62">
        <v>18</v>
      </c>
      <c r="C62" s="140" t="s">
        <v>940</v>
      </c>
      <c r="D62" t="str">
        <f t="shared" ca="1" si="108"/>
        <v>9</v>
      </c>
      <c r="E62" t="str">
        <f t="shared" ref="E62:S66" ca="1" si="111">INDIRECT(ADDRESS($B62,E$46,1,1))</f>
        <v>7</v>
      </c>
      <c r="F62" t="str">
        <f t="shared" ca="1" si="111"/>
        <v>8</v>
      </c>
      <c r="G62" t="str">
        <f t="shared" ca="1" si="111"/>
        <v>8</v>
      </c>
      <c r="H62" t="str">
        <f t="shared" ca="1" si="111"/>
        <v>8</v>
      </c>
      <c r="I62" t="str">
        <f t="shared" ca="1" si="111"/>
        <v>8</v>
      </c>
      <c r="J62" t="str">
        <f t="shared" ca="1" si="111"/>
        <v>8</v>
      </c>
      <c r="K62" t="str">
        <f t="shared" ca="1" si="111"/>
        <v>9</v>
      </c>
      <c r="L62" t="str">
        <f t="shared" ca="1" si="111"/>
        <v>9</v>
      </c>
      <c r="M62" t="str">
        <f t="shared" ca="1" si="111"/>
        <v>8</v>
      </c>
      <c r="N62" t="str">
        <f t="shared" ca="1" si="111"/>
        <v>9</v>
      </c>
      <c r="O62" t="str">
        <f t="shared" ca="1" si="111"/>
        <v>8</v>
      </c>
      <c r="P62" t="str">
        <f t="shared" ca="1" si="111"/>
        <v>8</v>
      </c>
      <c r="Q62" t="str">
        <f t="shared" ca="1" si="111"/>
        <v>9</v>
      </c>
      <c r="R62" t="str">
        <f t="shared" ca="1" si="111"/>
        <v>8</v>
      </c>
      <c r="S62" t="str">
        <f t="shared" ca="1" si="111"/>
        <v>8</v>
      </c>
      <c r="T62" t="str">
        <f t="shared" ref="T62:W66" ca="1" si="112">INDIRECT(ADDRESS($B62,T$46,1,1))</f>
        <v>8</v>
      </c>
      <c r="U62" t="str">
        <f t="shared" ca="1" si="112"/>
        <v>9</v>
      </c>
      <c r="V62" t="str">
        <f t="shared" ca="1" si="110"/>
        <v>6</v>
      </c>
      <c r="W62" t="str">
        <f t="shared" ca="1" si="110"/>
        <v>9</v>
      </c>
    </row>
    <row r="63" spans="2:23">
      <c r="B63">
        <v>19</v>
      </c>
      <c r="C63" s="140" t="s">
        <v>941</v>
      </c>
      <c r="D63" t="str">
        <f t="shared" ca="1" si="108"/>
        <v>6</v>
      </c>
      <c r="E63" t="str">
        <f t="shared" ca="1" si="111"/>
        <v>7</v>
      </c>
      <c r="F63" t="str">
        <f t="shared" ca="1" si="111"/>
        <v>6</v>
      </c>
      <c r="G63" t="str">
        <f t="shared" ca="1" si="111"/>
        <v>6</v>
      </c>
      <c r="H63" t="str">
        <f t="shared" ca="1" si="111"/>
        <v>6</v>
      </c>
      <c r="I63" t="str">
        <f t="shared" ca="1" si="111"/>
        <v>7</v>
      </c>
      <c r="J63" t="str">
        <f t="shared" ca="1" si="111"/>
        <v>6</v>
      </c>
      <c r="K63" t="str">
        <f t="shared" ca="1" si="111"/>
        <v>6</v>
      </c>
      <c r="L63" t="str">
        <f t="shared" ca="1" si="111"/>
        <v>7</v>
      </c>
      <c r="M63" t="str">
        <f t="shared" ca="1" si="111"/>
        <v>6</v>
      </c>
      <c r="N63" t="str">
        <f t="shared" ca="1" si="111"/>
        <v>6</v>
      </c>
      <c r="O63" t="str">
        <f t="shared" ca="1" si="111"/>
        <v>6</v>
      </c>
      <c r="P63" t="str">
        <f t="shared" ca="1" si="111"/>
        <v>6</v>
      </c>
      <c r="Q63" t="str">
        <f t="shared" ca="1" si="111"/>
        <v>7</v>
      </c>
      <c r="R63" t="str">
        <f t="shared" ca="1" si="111"/>
        <v>6</v>
      </c>
      <c r="S63" t="str">
        <f t="shared" ca="1" si="111"/>
        <v>6</v>
      </c>
      <c r="T63" t="str">
        <f t="shared" ca="1" si="112"/>
        <v>6</v>
      </c>
      <c r="U63" t="str">
        <f t="shared" ca="1" si="112"/>
        <v>6</v>
      </c>
      <c r="V63" t="str">
        <f t="shared" ca="1" si="112"/>
        <v>7</v>
      </c>
      <c r="W63" t="str">
        <f t="shared" ca="1" si="112"/>
        <v>5</v>
      </c>
    </row>
    <row r="64" spans="2:23">
      <c r="B64">
        <v>20</v>
      </c>
      <c r="C64" s="140" t="s">
        <v>942</v>
      </c>
      <c r="D64" t="str">
        <f t="shared" ca="1" si="108"/>
        <v>5</v>
      </c>
      <c r="E64" t="str">
        <f t="shared" ca="1" si="111"/>
        <v>6</v>
      </c>
      <c r="F64" t="str">
        <f t="shared" ca="1" si="111"/>
        <v>5</v>
      </c>
      <c r="G64" t="str">
        <f t="shared" ca="1" si="111"/>
        <v>7</v>
      </c>
      <c r="H64" t="str">
        <f t="shared" ca="1" si="111"/>
        <v>7</v>
      </c>
      <c r="I64" t="str">
        <f t="shared" ca="1" si="111"/>
        <v>7</v>
      </c>
      <c r="J64" t="str">
        <f t="shared" ca="1" si="111"/>
        <v>7</v>
      </c>
      <c r="K64" t="str">
        <f t="shared" ca="1" si="111"/>
        <v>7</v>
      </c>
      <c r="L64" t="str">
        <f t="shared" ca="1" si="111"/>
        <v>7</v>
      </c>
      <c r="M64" t="str">
        <f t="shared" ca="1" si="111"/>
        <v>8</v>
      </c>
      <c r="N64" t="str">
        <f t="shared" ca="1" si="111"/>
        <v>8</v>
      </c>
      <c r="O64" t="str">
        <f t="shared" ca="1" si="111"/>
        <v>6</v>
      </c>
      <c r="P64" t="str">
        <f t="shared" ca="1" si="111"/>
        <v>7</v>
      </c>
      <c r="Q64" t="str">
        <f t="shared" ca="1" si="111"/>
        <v>7</v>
      </c>
      <c r="R64" t="str">
        <f t="shared" ca="1" si="111"/>
        <v>7</v>
      </c>
      <c r="S64" t="str">
        <f t="shared" ca="1" si="111"/>
        <v>8</v>
      </c>
      <c r="T64" t="str">
        <f t="shared" ca="1" si="112"/>
        <v>7</v>
      </c>
      <c r="U64" t="str">
        <f t="shared" ca="1" si="112"/>
        <v>7</v>
      </c>
      <c r="V64" t="str">
        <f t="shared" ca="1" si="112"/>
        <v>7</v>
      </c>
      <c r="W64" t="str">
        <f t="shared" ca="1" si="112"/>
        <v>8</v>
      </c>
    </row>
    <row r="65" spans="2:23">
      <c r="B65">
        <v>21</v>
      </c>
      <c r="C65" s="140" t="s">
        <v>943</v>
      </c>
      <c r="D65" t="str">
        <f t="shared" ca="1" si="108"/>
        <v>7</v>
      </c>
      <c r="E65" t="str">
        <f t="shared" ca="1" si="111"/>
        <v>7</v>
      </c>
      <c r="F65" t="str">
        <f t="shared" ca="1" si="111"/>
        <v>6</v>
      </c>
      <c r="G65" t="str">
        <f t="shared" ca="1" si="111"/>
        <v>7</v>
      </c>
      <c r="H65" t="str">
        <f t="shared" ca="1" si="111"/>
        <v>7</v>
      </c>
      <c r="I65" t="str">
        <f t="shared" ca="1" si="111"/>
        <v>7</v>
      </c>
      <c r="J65" t="str">
        <f t="shared" ca="1" si="111"/>
        <v>7</v>
      </c>
      <c r="K65" t="str">
        <f t="shared" ca="1" si="111"/>
        <v>7</v>
      </c>
      <c r="L65" t="str">
        <f t="shared" ca="1" si="111"/>
        <v>7</v>
      </c>
      <c r="M65" t="str">
        <f t="shared" ca="1" si="111"/>
        <v>7</v>
      </c>
      <c r="N65" t="str">
        <f t="shared" ca="1" si="111"/>
        <v>7</v>
      </c>
      <c r="O65" t="str">
        <f t="shared" ca="1" si="111"/>
        <v>7</v>
      </c>
      <c r="P65" t="str">
        <f t="shared" ca="1" si="111"/>
        <v>7</v>
      </c>
      <c r="Q65" t="str">
        <f t="shared" ca="1" si="111"/>
        <v>8</v>
      </c>
      <c r="R65" t="str">
        <f t="shared" ca="1" si="111"/>
        <v>6</v>
      </c>
      <c r="S65" t="str">
        <f t="shared" ca="1" si="111"/>
        <v>7</v>
      </c>
      <c r="T65" t="str">
        <f t="shared" ca="1" si="112"/>
        <v>7</v>
      </c>
      <c r="U65" t="str">
        <f t="shared" ca="1" si="112"/>
        <v>5</v>
      </c>
      <c r="V65" t="str">
        <f t="shared" ca="1" si="112"/>
        <v>8</v>
      </c>
      <c r="W65" t="str">
        <f t="shared" ca="1" si="112"/>
        <v>6</v>
      </c>
    </row>
    <row r="66" spans="2:23">
      <c r="B66">
        <v>22</v>
      </c>
      <c r="C66" s="174" t="s">
        <v>944</v>
      </c>
      <c r="D66" t="str">
        <f t="shared" ca="1" si="108"/>
        <v>4</v>
      </c>
      <c r="E66" t="str">
        <f t="shared" ca="1" si="111"/>
        <v>7</v>
      </c>
      <c r="F66" t="str">
        <f t="shared" ca="1" si="111"/>
        <v>4</v>
      </c>
      <c r="G66" t="str">
        <f t="shared" ca="1" si="111"/>
        <v>6</v>
      </c>
      <c r="H66" t="str">
        <f t="shared" ca="1" si="111"/>
        <v>7</v>
      </c>
      <c r="I66" t="str">
        <f t="shared" ca="1" si="111"/>
        <v>7</v>
      </c>
      <c r="J66" t="str">
        <f t="shared" ca="1" si="111"/>
        <v>6</v>
      </c>
      <c r="K66" t="str">
        <f t="shared" ca="1" si="111"/>
        <v>6</v>
      </c>
      <c r="L66" t="str">
        <f t="shared" ca="1" si="111"/>
        <v>6</v>
      </c>
      <c r="M66" t="str">
        <f t="shared" ca="1" si="111"/>
        <v>5</v>
      </c>
      <c r="N66" t="str">
        <f t="shared" ca="1" si="111"/>
        <v>6</v>
      </c>
      <c r="O66" t="str">
        <f t="shared" ca="1" si="111"/>
        <v>7</v>
      </c>
      <c r="P66" t="str">
        <f t="shared" ca="1" si="111"/>
        <v>8</v>
      </c>
      <c r="Q66" t="str">
        <f t="shared" ca="1" si="111"/>
        <v>6</v>
      </c>
      <c r="R66" t="str">
        <f t="shared" ca="1" si="111"/>
        <v>3</v>
      </c>
      <c r="S66" t="str">
        <f t="shared" ca="1" si="111"/>
        <v>7</v>
      </c>
      <c r="T66" t="str">
        <f t="shared" ca="1" si="112"/>
        <v>6</v>
      </c>
      <c r="U66" t="str">
        <f t="shared" ca="1" si="112"/>
        <v>5</v>
      </c>
      <c r="V66" t="str">
        <f t="shared" ca="1" si="112"/>
        <v>7</v>
      </c>
      <c r="W66" t="str">
        <f t="shared" ca="1" si="112"/>
        <v>6</v>
      </c>
    </row>
    <row r="68" spans="2:23">
      <c r="D68">
        <v>9</v>
      </c>
      <c r="E68">
        <f>D68+6</f>
        <v>15</v>
      </c>
      <c r="F68">
        <f t="shared" ref="F68:W68" si="113">E68+6</f>
        <v>21</v>
      </c>
      <c r="G68">
        <f t="shared" si="113"/>
        <v>27</v>
      </c>
      <c r="H68">
        <f t="shared" si="113"/>
        <v>33</v>
      </c>
      <c r="I68">
        <f t="shared" si="113"/>
        <v>39</v>
      </c>
      <c r="J68">
        <f t="shared" si="113"/>
        <v>45</v>
      </c>
      <c r="K68">
        <f t="shared" si="113"/>
        <v>51</v>
      </c>
      <c r="L68">
        <f t="shared" si="113"/>
        <v>57</v>
      </c>
      <c r="M68">
        <f t="shared" si="113"/>
        <v>63</v>
      </c>
      <c r="N68">
        <f t="shared" si="113"/>
        <v>69</v>
      </c>
      <c r="O68">
        <f t="shared" si="113"/>
        <v>75</v>
      </c>
      <c r="P68">
        <f t="shared" si="113"/>
        <v>81</v>
      </c>
      <c r="Q68">
        <f t="shared" si="113"/>
        <v>87</v>
      </c>
      <c r="R68">
        <f t="shared" si="113"/>
        <v>93</v>
      </c>
      <c r="S68">
        <f t="shared" si="113"/>
        <v>99</v>
      </c>
      <c r="T68">
        <f t="shared" si="113"/>
        <v>105</v>
      </c>
      <c r="U68">
        <f t="shared" si="113"/>
        <v>111</v>
      </c>
      <c r="V68">
        <f t="shared" si="113"/>
        <v>117</v>
      </c>
      <c r="W68">
        <f t="shared" si="113"/>
        <v>123</v>
      </c>
    </row>
    <row r="69" spans="2:23">
      <c r="B69">
        <v>3</v>
      </c>
      <c r="C69" s="140" t="s">
        <v>927</v>
      </c>
      <c r="D69" t="str">
        <f t="shared" ref="D69:D88" ca="1" si="114">INDIRECT(ADDRESS($B69,D$68,1,1))</f>
        <v>+3</v>
      </c>
      <c r="E69" t="str">
        <f t="shared" ref="E69:U83" ca="1" si="115">INDIRECT(ADDRESS($B69,E$68,1,1))</f>
        <v>1</v>
      </c>
      <c r="F69" t="str">
        <f t="shared" ca="1" si="115"/>
        <v>+2</v>
      </c>
      <c r="G69" t="str">
        <f t="shared" ca="1" si="115"/>
        <v>+3</v>
      </c>
      <c r="H69" t="str">
        <f t="shared" ca="1" si="115"/>
        <v>+3</v>
      </c>
      <c r="I69" t="str">
        <f t="shared" ca="1" si="115"/>
        <v>+2</v>
      </c>
      <c r="J69" t="str">
        <f t="shared" ca="1" si="115"/>
        <v>+2</v>
      </c>
      <c r="K69" t="str">
        <f t="shared" ca="1" si="115"/>
        <v>1</v>
      </c>
      <c r="L69" t="str">
        <f t="shared" ca="1" si="115"/>
        <v>3</v>
      </c>
      <c r="M69" t="str">
        <f t="shared" ca="1" si="115"/>
        <v>+3</v>
      </c>
      <c r="N69" t="str">
        <f t="shared" ca="1" si="115"/>
        <v>2</v>
      </c>
      <c r="O69" t="str">
        <f t="shared" ca="1" si="115"/>
        <v>+1</v>
      </c>
      <c r="P69" t="str">
        <f t="shared" ca="1" si="115"/>
        <v>4</v>
      </c>
      <c r="Q69" t="str">
        <f t="shared" ca="1" si="115"/>
        <v>1</v>
      </c>
      <c r="R69" t="str">
        <f t="shared" ca="1" si="115"/>
        <v>4</v>
      </c>
      <c r="S69" t="str">
        <f t="shared" ca="1" si="115"/>
        <v>3</v>
      </c>
      <c r="T69" t="str">
        <f t="shared" ca="1" si="115"/>
        <v>+3</v>
      </c>
      <c r="U69" t="str">
        <f t="shared" ca="1" si="115"/>
        <v>3</v>
      </c>
      <c r="V69" t="str">
        <f t="shared" ref="V69:W84" ca="1" si="116">INDIRECT(ADDRESS($B69,V$68,1,1))</f>
        <v>4</v>
      </c>
      <c r="W69" t="str">
        <f t="shared" ca="1" si="116"/>
        <v>2</v>
      </c>
    </row>
    <row r="70" spans="2:23">
      <c r="B70">
        <v>4</v>
      </c>
      <c r="C70" s="140" t="s">
        <v>928</v>
      </c>
      <c r="D70" t="str">
        <f t="shared" ca="1" si="114"/>
        <v>+1</v>
      </c>
      <c r="E70" t="str">
        <f t="shared" ca="1" si="115"/>
        <v>0</v>
      </c>
      <c r="F70" t="str">
        <f t="shared" ca="1" si="115"/>
        <v>-4</v>
      </c>
      <c r="G70" t="str">
        <f t="shared" ca="1" si="115"/>
        <v>+1</v>
      </c>
      <c r="H70" t="str">
        <f t="shared" ca="1" si="115"/>
        <v>+1</v>
      </c>
      <c r="I70" t="str">
        <f t="shared" ca="1" si="115"/>
        <v>-1</v>
      </c>
      <c r="J70" t="str">
        <f t="shared" ca="1" si="115"/>
        <v>-1</v>
      </c>
      <c r="K70" t="str">
        <f t="shared" ca="1" si="115"/>
        <v>2</v>
      </c>
      <c r="L70" t="str">
        <f t="shared" ca="1" si="115"/>
        <v>-2</v>
      </c>
      <c r="M70" t="str">
        <f t="shared" ca="1" si="115"/>
        <v>+1</v>
      </c>
      <c r="N70" t="str">
        <f t="shared" ca="1" si="115"/>
        <v>-1</v>
      </c>
      <c r="O70" t="str">
        <f t="shared" ca="1" si="115"/>
        <v>-2</v>
      </c>
      <c r="P70" t="str">
        <f t="shared" ca="1" si="115"/>
        <v>3</v>
      </c>
      <c r="Q70" t="str">
        <f t="shared" ca="1" si="115"/>
        <v>0</v>
      </c>
      <c r="R70" t="str">
        <f t="shared" ca="1" si="115"/>
        <v>0</v>
      </c>
      <c r="S70" t="str">
        <f t="shared" ca="1" si="115"/>
        <v>1</v>
      </c>
      <c r="T70" t="str">
        <f t="shared" ca="1" si="115"/>
        <v>+1</v>
      </c>
      <c r="U70" t="str">
        <f t="shared" ca="1" si="115"/>
        <v>-2</v>
      </c>
      <c r="V70" t="str">
        <f t="shared" ca="1" si="116"/>
        <v>1</v>
      </c>
      <c r="W70" t="str">
        <f t="shared" ca="1" si="116"/>
        <v>2</v>
      </c>
    </row>
    <row r="71" spans="2:23">
      <c r="B71">
        <v>5</v>
      </c>
      <c r="C71" s="140" t="s">
        <v>929</v>
      </c>
      <c r="D71" t="str">
        <f t="shared" ca="1" si="114"/>
        <v>0</v>
      </c>
      <c r="E71" t="str">
        <f t="shared" ca="1" si="115"/>
        <v>3</v>
      </c>
      <c r="F71" t="str">
        <f t="shared" ca="1" si="115"/>
        <v>+1</v>
      </c>
      <c r="G71" t="str">
        <f t="shared" ca="1" si="115"/>
        <v>+2</v>
      </c>
      <c r="H71" t="str">
        <f t="shared" ca="1" si="115"/>
        <v>+2</v>
      </c>
      <c r="I71" t="str">
        <f t="shared" ca="1" si="115"/>
        <v>+1</v>
      </c>
      <c r="J71" t="str">
        <f t="shared" ca="1" si="115"/>
        <v>+1</v>
      </c>
      <c r="K71" t="str">
        <f t="shared" ca="1" si="115"/>
        <v>-1</v>
      </c>
      <c r="L71" t="str">
        <f t="shared" ca="1" si="115"/>
        <v>1</v>
      </c>
      <c r="M71" t="str">
        <f t="shared" ca="1" si="115"/>
        <v>0</v>
      </c>
      <c r="N71" t="str">
        <f t="shared" ca="1" si="115"/>
        <v>0</v>
      </c>
      <c r="O71" t="str">
        <f t="shared" ca="1" si="115"/>
        <v>-3</v>
      </c>
      <c r="P71" t="str">
        <f t="shared" ca="1" si="115"/>
        <v>6</v>
      </c>
      <c r="Q71" t="str">
        <f t="shared" ca="1" si="115"/>
        <v>0</v>
      </c>
      <c r="R71" t="str">
        <f t="shared" ca="1" si="115"/>
        <v>1</v>
      </c>
      <c r="S71" t="str">
        <f t="shared" ca="1" si="115"/>
        <v>0</v>
      </c>
      <c r="T71" t="str">
        <f t="shared" ca="1" si="115"/>
        <v>+2</v>
      </c>
      <c r="U71" t="str">
        <f t="shared" ca="1" si="115"/>
        <v>-1</v>
      </c>
      <c r="V71" t="str">
        <f t="shared" ca="1" si="116"/>
        <v>1</v>
      </c>
      <c r="W71" t="str">
        <f t="shared" ca="1" si="116"/>
        <v>0</v>
      </c>
    </row>
    <row r="72" spans="2:23">
      <c r="B72">
        <v>6</v>
      </c>
      <c r="C72" s="140" t="s">
        <v>946</v>
      </c>
      <c r="D72" t="str">
        <f t="shared" ca="1" si="114"/>
        <v>-3</v>
      </c>
      <c r="E72" t="str">
        <f t="shared" ca="1" si="115"/>
        <v>-3</v>
      </c>
      <c r="F72" t="str">
        <f t="shared" ca="1" si="115"/>
        <v>-2</v>
      </c>
      <c r="G72" t="str">
        <f t="shared" ca="1" si="115"/>
        <v>-3</v>
      </c>
      <c r="H72" t="str">
        <f t="shared" ca="1" si="115"/>
        <v>0</v>
      </c>
      <c r="I72" t="str">
        <f t="shared" ca="1" si="115"/>
        <v>-4</v>
      </c>
      <c r="J72" t="str">
        <f t="shared" ca="1" si="115"/>
        <v>-3</v>
      </c>
      <c r="K72" t="str">
        <f t="shared" ca="1" si="115"/>
        <v>-3</v>
      </c>
      <c r="L72" t="str">
        <f t="shared" ca="1" si="115"/>
        <v>-2</v>
      </c>
      <c r="M72" t="str">
        <f t="shared" ca="1" si="115"/>
        <v>0</v>
      </c>
      <c r="N72" t="str">
        <f t="shared" ca="1" si="115"/>
        <v>-3</v>
      </c>
      <c r="O72" t="str">
        <f t="shared" ca="1" si="115"/>
        <v>-1</v>
      </c>
      <c r="P72" t="str">
        <f t="shared" ca="1" si="115"/>
        <v>5</v>
      </c>
      <c r="Q72" t="str">
        <f t="shared" ca="1" si="115"/>
        <v>-2</v>
      </c>
      <c r="R72" t="str">
        <f t="shared" ca="1" si="115"/>
        <v>-1</v>
      </c>
      <c r="S72" t="str">
        <f t="shared" ca="1" si="115"/>
        <v>-1</v>
      </c>
      <c r="T72" t="str">
        <f t="shared" ca="1" si="115"/>
        <v>0</v>
      </c>
      <c r="U72" t="str">
        <f t="shared" ca="1" si="115"/>
        <v>-2</v>
      </c>
      <c r="V72" t="str">
        <f t="shared" ca="1" si="116"/>
        <v>-1</v>
      </c>
      <c r="W72" t="str">
        <f t="shared" ca="1" si="116"/>
        <v>1</v>
      </c>
    </row>
    <row r="73" spans="2:23">
      <c r="B73">
        <v>7</v>
      </c>
      <c r="C73" s="140" t="s">
        <v>931</v>
      </c>
      <c r="D73" t="str">
        <f t="shared" ca="1" si="114"/>
        <v>-4</v>
      </c>
      <c r="E73" t="str">
        <f t="shared" ca="1" si="115"/>
        <v>3</v>
      </c>
      <c r="F73" t="str">
        <f t="shared" ca="1" si="115"/>
        <v>-2</v>
      </c>
      <c r="G73" t="str">
        <f t="shared" ca="1" si="115"/>
        <v>0</v>
      </c>
      <c r="H73" t="str">
        <f t="shared" ca="1" si="115"/>
        <v>0</v>
      </c>
      <c r="I73" t="str">
        <f t="shared" ca="1" si="115"/>
        <v>-2</v>
      </c>
      <c r="J73" t="str">
        <f t="shared" ca="1" si="115"/>
        <v>+1</v>
      </c>
      <c r="K73" t="str">
        <f t="shared" ca="1" si="115"/>
        <v>-1</v>
      </c>
      <c r="L73" t="str">
        <f t="shared" ca="1" si="115"/>
        <v>0</v>
      </c>
      <c r="M73" t="str">
        <f t="shared" ca="1" si="115"/>
        <v>0</v>
      </c>
      <c r="N73" t="str">
        <f t="shared" ca="1" si="115"/>
        <v>-2</v>
      </c>
      <c r="O73" t="str">
        <f t="shared" ca="1" si="115"/>
        <v>0</v>
      </c>
      <c r="P73" t="str">
        <f t="shared" ca="1" si="115"/>
        <v>5</v>
      </c>
      <c r="Q73" t="str">
        <f t="shared" ca="1" si="115"/>
        <v>0</v>
      </c>
      <c r="R73" t="str">
        <f t="shared" ca="1" si="115"/>
        <v>0</v>
      </c>
      <c r="S73" t="str">
        <f t="shared" ca="1" si="115"/>
        <v>0</v>
      </c>
      <c r="T73" t="str">
        <f t="shared" ca="1" si="115"/>
        <v>0</v>
      </c>
      <c r="U73" t="str">
        <f t="shared" ca="1" si="115"/>
        <v>2</v>
      </c>
      <c r="V73" t="str">
        <f t="shared" ca="1" si="116"/>
        <v>2</v>
      </c>
      <c r="W73" t="str">
        <f t="shared" ca="1" si="116"/>
        <v>-2</v>
      </c>
    </row>
    <row r="74" spans="2:23">
      <c r="B74">
        <v>8</v>
      </c>
      <c r="C74" s="140" t="s">
        <v>930</v>
      </c>
      <c r="D74" t="str">
        <f t="shared" ca="1" si="114"/>
        <v>-2</v>
      </c>
      <c r="E74" t="str">
        <f t="shared" ca="1" si="115"/>
        <v>1</v>
      </c>
      <c r="F74" t="str">
        <f t="shared" ca="1" si="115"/>
        <v>0</v>
      </c>
      <c r="G74" t="str">
        <f t="shared" ca="1" si="115"/>
        <v>-1</v>
      </c>
      <c r="H74" t="str">
        <f t="shared" ca="1" si="115"/>
        <v>0</v>
      </c>
      <c r="I74" t="str">
        <f t="shared" ca="1" si="115"/>
        <v>-1</v>
      </c>
      <c r="J74" t="str">
        <f t="shared" ca="1" si="115"/>
        <v>-1</v>
      </c>
      <c r="K74" t="str">
        <f t="shared" ca="1" si="115"/>
        <v>-1</v>
      </c>
      <c r="L74" t="str">
        <f t="shared" ca="1" si="115"/>
        <v>0</v>
      </c>
      <c r="M74" t="str">
        <f t="shared" ca="1" si="115"/>
        <v>0</v>
      </c>
      <c r="N74" t="str">
        <f t="shared" ca="1" si="115"/>
        <v>-1</v>
      </c>
      <c r="O74" t="str">
        <f t="shared" ca="1" si="115"/>
        <v>0</v>
      </c>
      <c r="P74" t="str">
        <f t="shared" ca="1" si="115"/>
        <v>7</v>
      </c>
      <c r="Q74" t="str">
        <f t="shared" ca="1" si="115"/>
        <v>0</v>
      </c>
      <c r="R74" t="str">
        <f t="shared" ca="1" si="115"/>
        <v>0</v>
      </c>
      <c r="S74" t="str">
        <f t="shared" ca="1" si="115"/>
        <v>0</v>
      </c>
      <c r="T74" t="str">
        <f t="shared" ca="1" si="115"/>
        <v>0</v>
      </c>
      <c r="U74" t="str">
        <f t="shared" ca="1" si="115"/>
        <v>3</v>
      </c>
      <c r="V74" t="str">
        <f t="shared" ca="1" si="116"/>
        <v>1</v>
      </c>
      <c r="W74" t="str">
        <f t="shared" ca="1" si="116"/>
        <v>0</v>
      </c>
    </row>
    <row r="75" spans="2:23">
      <c r="B75">
        <v>9</v>
      </c>
      <c r="C75" s="140" t="s">
        <v>932</v>
      </c>
      <c r="D75" t="str">
        <f t="shared" ca="1" si="114"/>
        <v>+3</v>
      </c>
      <c r="E75" t="str">
        <f t="shared" ca="1" si="115"/>
        <v>2</v>
      </c>
      <c r="F75" t="str">
        <f t="shared" ca="1" si="115"/>
        <v>-1</v>
      </c>
      <c r="G75" t="str">
        <f t="shared" ca="1" si="115"/>
        <v>+3</v>
      </c>
      <c r="H75" t="str">
        <f t="shared" ca="1" si="115"/>
        <v>+2</v>
      </c>
      <c r="I75" t="str">
        <f t="shared" ca="1" si="115"/>
        <v>+2</v>
      </c>
      <c r="J75" t="str">
        <f t="shared" ca="1" si="115"/>
        <v>+2</v>
      </c>
      <c r="K75" t="str">
        <f t="shared" ca="1" si="115"/>
        <v>3</v>
      </c>
      <c r="L75" t="str">
        <f t="shared" ca="1" si="115"/>
        <v>2</v>
      </c>
      <c r="M75" t="str">
        <f t="shared" ca="1" si="115"/>
        <v>+3</v>
      </c>
      <c r="N75" t="str">
        <f t="shared" ca="1" si="115"/>
        <v>1</v>
      </c>
      <c r="O75" t="str">
        <f t="shared" ca="1" si="115"/>
        <v>0</v>
      </c>
      <c r="P75" t="str">
        <f t="shared" ca="1" si="115"/>
        <v>8</v>
      </c>
      <c r="Q75" t="str">
        <f t="shared" ca="1" si="115"/>
        <v>0</v>
      </c>
      <c r="R75" t="str">
        <f t="shared" ca="1" si="115"/>
        <v>1</v>
      </c>
      <c r="S75" t="str">
        <f t="shared" ca="1" si="115"/>
        <v>3</v>
      </c>
      <c r="T75" t="str">
        <f t="shared" ca="1" si="115"/>
        <v>+2</v>
      </c>
      <c r="U75" t="str">
        <f t="shared" ca="1" si="115"/>
        <v>3</v>
      </c>
      <c r="V75" t="str">
        <f t="shared" ca="1" si="116"/>
        <v>1</v>
      </c>
      <c r="W75" t="str">
        <f t="shared" ca="1" si="116"/>
        <v>3</v>
      </c>
    </row>
    <row r="76" spans="2:23">
      <c r="B76">
        <v>10</v>
      </c>
      <c r="C76" s="140" t="s">
        <v>933</v>
      </c>
      <c r="D76" t="str">
        <f t="shared" ca="1" si="114"/>
        <v>+2</v>
      </c>
      <c r="E76" t="str">
        <f t="shared" ca="1" si="115"/>
        <v>2</v>
      </c>
      <c r="F76" t="str">
        <f t="shared" ca="1" si="115"/>
        <v>-3</v>
      </c>
      <c r="G76" t="str">
        <f t="shared" ca="1" si="115"/>
        <v>+4</v>
      </c>
      <c r="H76" t="str">
        <f t="shared" ca="1" si="115"/>
        <v>+1</v>
      </c>
      <c r="I76" t="str">
        <f t="shared" ca="1" si="115"/>
        <v>+1</v>
      </c>
      <c r="J76" t="str">
        <f t="shared" ca="1" si="115"/>
        <v>+2</v>
      </c>
      <c r="K76" t="str">
        <f t="shared" ca="1" si="115"/>
        <v>-1</v>
      </c>
      <c r="L76" t="str">
        <f t="shared" ca="1" si="115"/>
        <v>0</v>
      </c>
      <c r="M76" t="str">
        <f t="shared" ca="1" si="115"/>
        <v>+3</v>
      </c>
      <c r="N76" t="str">
        <f t="shared" ca="1" si="115"/>
        <v>0</v>
      </c>
      <c r="O76" t="str">
        <f t="shared" ca="1" si="115"/>
        <v>-1</v>
      </c>
      <c r="P76" t="str">
        <f t="shared" ca="1" si="115"/>
        <v>8</v>
      </c>
      <c r="Q76" t="str">
        <f t="shared" ca="1" si="115"/>
        <v>1</v>
      </c>
      <c r="R76" t="str">
        <f t="shared" ca="1" si="115"/>
        <v>-1</v>
      </c>
      <c r="S76" t="str">
        <f t="shared" ca="1" si="115"/>
        <v>2</v>
      </c>
      <c r="T76" t="str">
        <f t="shared" ca="1" si="115"/>
        <v>+1</v>
      </c>
      <c r="U76" t="str">
        <f t="shared" ca="1" si="115"/>
        <v>4</v>
      </c>
      <c r="V76" t="str">
        <f t="shared" ca="1" si="116"/>
        <v>3</v>
      </c>
      <c r="W76" t="str">
        <f t="shared" ca="1" si="116"/>
        <v>3</v>
      </c>
    </row>
    <row r="77" spans="2:23">
      <c r="B77">
        <v>11</v>
      </c>
      <c r="C77" s="140" t="s">
        <v>934</v>
      </c>
      <c r="D77" t="str">
        <f t="shared" ca="1" si="114"/>
        <v>-4</v>
      </c>
      <c r="E77" t="str">
        <f t="shared" ca="1" si="115"/>
        <v>1</v>
      </c>
      <c r="F77" t="str">
        <f t="shared" ca="1" si="115"/>
        <v>-2</v>
      </c>
      <c r="G77" t="str">
        <f t="shared" ca="1" si="115"/>
        <v>+2</v>
      </c>
      <c r="H77" t="str">
        <f t="shared" ca="1" si="115"/>
        <v>+2</v>
      </c>
      <c r="I77" t="str">
        <f t="shared" ca="1" si="115"/>
        <v>-2</v>
      </c>
      <c r="J77" t="str">
        <f t="shared" ca="1" si="115"/>
        <v>+2</v>
      </c>
      <c r="K77" t="str">
        <f t="shared" ca="1" si="115"/>
        <v>2</v>
      </c>
      <c r="L77" t="str">
        <f t="shared" ca="1" si="115"/>
        <v>0</v>
      </c>
      <c r="M77" t="str">
        <f t="shared" ca="1" si="115"/>
        <v>+2</v>
      </c>
      <c r="N77" t="str">
        <f t="shared" ca="1" si="115"/>
        <v>1</v>
      </c>
      <c r="O77" t="str">
        <f t="shared" ca="1" si="115"/>
        <v>1</v>
      </c>
      <c r="P77" t="str">
        <f t="shared" ca="1" si="115"/>
        <v>8</v>
      </c>
      <c r="Q77" t="str">
        <f t="shared" ca="1" si="115"/>
        <v>-1</v>
      </c>
      <c r="R77" t="str">
        <f t="shared" ca="1" si="115"/>
        <v>0</v>
      </c>
      <c r="S77" t="str">
        <f t="shared" ca="1" si="115"/>
        <v>2</v>
      </c>
      <c r="T77" t="str">
        <f t="shared" ca="1" si="115"/>
        <v>+2</v>
      </c>
      <c r="U77" t="str">
        <f t="shared" ca="1" si="115"/>
        <v>2</v>
      </c>
      <c r="V77" t="str">
        <f t="shared" ca="1" si="116"/>
        <v>0</v>
      </c>
      <c r="W77" t="str">
        <f t="shared" ca="1" si="116"/>
        <v>2</v>
      </c>
    </row>
    <row r="78" spans="2:23">
      <c r="B78">
        <v>12</v>
      </c>
      <c r="C78" s="140" t="s">
        <v>935</v>
      </c>
      <c r="D78" t="str">
        <f t="shared" ca="1" si="114"/>
        <v>+3</v>
      </c>
      <c r="E78" t="str">
        <f t="shared" ca="1" si="115"/>
        <v>3</v>
      </c>
      <c r="F78" t="str">
        <f t="shared" ca="1" si="115"/>
        <v>0</v>
      </c>
      <c r="G78" t="str">
        <f t="shared" ca="1" si="115"/>
        <v>+3</v>
      </c>
      <c r="H78" t="str">
        <f t="shared" ca="1" si="115"/>
        <v>+3</v>
      </c>
      <c r="I78" t="str">
        <f t="shared" ca="1" si="115"/>
        <v>+2</v>
      </c>
      <c r="J78" t="str">
        <f t="shared" ca="1" si="115"/>
        <v>+1</v>
      </c>
      <c r="K78" t="str">
        <f t="shared" ca="1" si="115"/>
        <v>0</v>
      </c>
      <c r="L78" t="str">
        <f t="shared" ca="1" si="115"/>
        <v>1</v>
      </c>
      <c r="M78" t="str">
        <f t="shared" ca="1" si="115"/>
        <v>0</v>
      </c>
      <c r="N78" t="str">
        <f t="shared" ca="1" si="115"/>
        <v>0</v>
      </c>
      <c r="O78" t="str">
        <f t="shared" ca="1" si="115"/>
        <v>-2</v>
      </c>
      <c r="P78" t="str">
        <f t="shared" ca="1" si="115"/>
        <v>10</v>
      </c>
      <c r="Q78" t="str">
        <f t="shared" ca="1" si="115"/>
        <v>0</v>
      </c>
      <c r="R78" t="str">
        <f t="shared" ca="1" si="115"/>
        <v>1</v>
      </c>
      <c r="S78" t="str">
        <f t="shared" ca="1" si="115"/>
        <v>1</v>
      </c>
      <c r="T78" t="str">
        <f t="shared" ca="1" si="115"/>
        <v>+3</v>
      </c>
      <c r="U78" t="str">
        <f t="shared" ca="1" si="115"/>
        <v>3</v>
      </c>
      <c r="V78" t="str">
        <f t="shared" ca="1" si="116"/>
        <v>3</v>
      </c>
      <c r="W78" t="str">
        <f t="shared" ca="1" si="116"/>
        <v>4</v>
      </c>
    </row>
    <row r="79" spans="2:23">
      <c r="B79">
        <v>13</v>
      </c>
      <c r="C79" s="140" t="s">
        <v>936</v>
      </c>
      <c r="D79" t="str">
        <f t="shared" ca="1" si="114"/>
        <v>+1</v>
      </c>
      <c r="E79" t="str">
        <f t="shared" ca="1" si="115"/>
        <v>2</v>
      </c>
      <c r="F79" t="str">
        <f t="shared" ca="1" si="115"/>
        <v>+2</v>
      </c>
      <c r="G79" t="str">
        <f t="shared" ca="1" si="115"/>
        <v>+2</v>
      </c>
      <c r="H79" t="str">
        <f t="shared" ca="1" si="115"/>
        <v>+2</v>
      </c>
      <c r="I79" t="str">
        <f t="shared" ca="1" si="115"/>
        <v>+1</v>
      </c>
      <c r="J79" t="str">
        <f t="shared" ca="1" si="115"/>
        <v>+2</v>
      </c>
      <c r="K79" t="str">
        <f t="shared" ca="1" si="115"/>
        <v>2</v>
      </c>
      <c r="L79" t="str">
        <f t="shared" ca="1" si="115"/>
        <v>2</v>
      </c>
      <c r="M79" t="str">
        <f t="shared" ca="1" si="115"/>
        <v>0</v>
      </c>
      <c r="N79" t="str">
        <f t="shared" ca="1" si="115"/>
        <v>-1</v>
      </c>
      <c r="O79" t="str">
        <f t="shared" ca="1" si="115"/>
        <v>0</v>
      </c>
      <c r="P79" t="str">
        <f t="shared" ca="1" si="115"/>
        <v>6</v>
      </c>
      <c r="Q79" t="str">
        <f t="shared" ca="1" si="115"/>
        <v>0</v>
      </c>
      <c r="R79" t="str">
        <f t="shared" ca="1" si="115"/>
        <v>3</v>
      </c>
      <c r="S79" t="str">
        <f t="shared" ca="1" si="115"/>
        <v>1</v>
      </c>
      <c r="T79" t="str">
        <f t="shared" ca="1" si="115"/>
        <v>+2</v>
      </c>
      <c r="U79" t="str">
        <f t="shared" ca="1" si="115"/>
        <v>2</v>
      </c>
      <c r="V79" t="str">
        <f t="shared" ca="1" si="116"/>
        <v>3</v>
      </c>
      <c r="W79" t="str">
        <f t="shared" ca="1" si="116"/>
        <v>3</v>
      </c>
    </row>
    <row r="80" spans="2:23">
      <c r="B80">
        <v>14</v>
      </c>
      <c r="C80" s="140" t="s">
        <v>937</v>
      </c>
      <c r="D80" t="str">
        <f t="shared" ca="1" si="114"/>
        <v>+2</v>
      </c>
      <c r="E80" t="str">
        <f t="shared" ca="1" si="115"/>
        <v>2</v>
      </c>
      <c r="F80" t="str">
        <f t="shared" ca="1" si="115"/>
        <v>+3</v>
      </c>
      <c r="G80" t="str">
        <f t="shared" ca="1" si="115"/>
        <v>+3</v>
      </c>
      <c r="H80" t="str">
        <f t="shared" ca="1" si="115"/>
        <v>+1</v>
      </c>
      <c r="I80" t="str">
        <f t="shared" ca="1" si="115"/>
        <v>+2</v>
      </c>
      <c r="J80" t="str">
        <f t="shared" ca="1" si="115"/>
        <v>+2</v>
      </c>
      <c r="K80" t="str">
        <f t="shared" ca="1" si="115"/>
        <v>3</v>
      </c>
      <c r="L80" t="str">
        <f t="shared" ca="1" si="115"/>
        <v>2</v>
      </c>
      <c r="M80" t="str">
        <f t="shared" ca="1" si="115"/>
        <v>+5</v>
      </c>
      <c r="N80" t="str">
        <f t="shared" ca="1" si="115"/>
        <v>2</v>
      </c>
      <c r="O80" t="str">
        <f t="shared" ca="1" si="115"/>
        <v>2</v>
      </c>
      <c r="P80" t="str">
        <f t="shared" ca="1" si="115"/>
        <v>5</v>
      </c>
      <c r="Q80" t="str">
        <f t="shared" ca="1" si="115"/>
        <v>1</v>
      </c>
      <c r="R80" t="str">
        <f t="shared" ca="1" si="115"/>
        <v>2</v>
      </c>
      <c r="S80" t="str">
        <f t="shared" ca="1" si="115"/>
        <v>3</v>
      </c>
      <c r="T80" t="str">
        <f t="shared" ca="1" si="115"/>
        <v>+2</v>
      </c>
      <c r="U80" t="str">
        <f t="shared" ca="1" si="115"/>
        <v>3</v>
      </c>
      <c r="V80" t="str">
        <f t="shared" ca="1" si="116"/>
        <v>4</v>
      </c>
      <c r="W80" t="str">
        <f t="shared" ca="1" si="116"/>
        <v>1</v>
      </c>
    </row>
    <row r="81" spans="2:23">
      <c r="B81">
        <v>15</v>
      </c>
      <c r="C81" s="140" t="s">
        <v>938</v>
      </c>
      <c r="D81" t="str">
        <f t="shared" ca="1" si="114"/>
        <v>+4</v>
      </c>
      <c r="E81" t="str">
        <f t="shared" ca="1" si="115"/>
        <v>4</v>
      </c>
      <c r="F81" t="str">
        <f t="shared" ca="1" si="115"/>
        <v>0</v>
      </c>
      <c r="G81" t="str">
        <f t="shared" ca="1" si="115"/>
        <v>+4</v>
      </c>
      <c r="H81" t="str">
        <f t="shared" ca="1" si="115"/>
        <v>+3</v>
      </c>
      <c r="I81" t="str">
        <f t="shared" ca="1" si="115"/>
        <v>+3</v>
      </c>
      <c r="J81" t="str">
        <f t="shared" ca="1" si="115"/>
        <v>+3</v>
      </c>
      <c r="K81" t="str">
        <f t="shared" ca="1" si="115"/>
        <v>4</v>
      </c>
      <c r="L81" t="str">
        <f t="shared" ca="1" si="115"/>
        <v>3</v>
      </c>
      <c r="M81" t="str">
        <f t="shared" ca="1" si="115"/>
        <v>+3</v>
      </c>
      <c r="N81" t="str">
        <f t="shared" ca="1" si="115"/>
        <v>2</v>
      </c>
      <c r="O81" t="str">
        <f t="shared" ca="1" si="115"/>
        <v>1</v>
      </c>
      <c r="P81" t="str">
        <f t="shared" ca="1" si="115"/>
        <v>8</v>
      </c>
      <c r="Q81" t="str">
        <f t="shared" ca="1" si="115"/>
        <v>0</v>
      </c>
      <c r="R81" t="str">
        <f t="shared" ca="1" si="115"/>
        <v>3</v>
      </c>
      <c r="S81" t="str">
        <f t="shared" ca="1" si="115"/>
        <v>3</v>
      </c>
      <c r="T81" t="str">
        <f t="shared" ca="1" si="115"/>
        <v>+3</v>
      </c>
      <c r="U81" t="str">
        <f t="shared" ca="1" si="115"/>
        <v>4</v>
      </c>
      <c r="V81" t="str">
        <f t="shared" ca="1" si="116"/>
        <v>4</v>
      </c>
      <c r="W81" t="str">
        <f t="shared" ca="1" si="116"/>
        <v>3</v>
      </c>
    </row>
    <row r="82" spans="2:23">
      <c r="B82">
        <v>16</v>
      </c>
      <c r="C82" s="140" t="s">
        <v>939</v>
      </c>
      <c r="D82" t="str">
        <f t="shared" ca="1" si="114"/>
        <v>-2</v>
      </c>
      <c r="E82" t="str">
        <f t="shared" ca="1" si="115"/>
        <v>0</v>
      </c>
      <c r="F82" t="str">
        <f t="shared" ca="1" si="115"/>
        <v>0</v>
      </c>
      <c r="G82" t="str">
        <f t="shared" ca="1" si="115"/>
        <v>-2</v>
      </c>
      <c r="H82" t="str">
        <f t="shared" ca="1" si="115"/>
        <v>-2</v>
      </c>
      <c r="I82" t="str">
        <f t="shared" ca="1" si="115"/>
        <v>-2</v>
      </c>
      <c r="J82" t="str">
        <f t="shared" ca="1" si="115"/>
        <v>-1</v>
      </c>
      <c r="K82" t="str">
        <f t="shared" ca="1" si="115"/>
        <v>-1</v>
      </c>
      <c r="L82" t="str">
        <f t="shared" ca="1" si="115"/>
        <v>0</v>
      </c>
      <c r="M82" t="str">
        <f t="shared" ca="1" si="115"/>
        <v>0</v>
      </c>
      <c r="N82" t="str">
        <f t="shared" ca="1" si="115"/>
        <v>1</v>
      </c>
      <c r="O82" t="str">
        <f t="shared" ca="1" si="115"/>
        <v>-1</v>
      </c>
      <c r="P82" t="str">
        <f t="shared" ca="1" si="115"/>
        <v>5</v>
      </c>
      <c r="Q82" t="str">
        <f t="shared" ca="1" si="115"/>
        <v>0</v>
      </c>
      <c r="R82" t="str">
        <f t="shared" ca="1" si="115"/>
        <v>-1</v>
      </c>
      <c r="S82" t="str">
        <f t="shared" ca="1" si="115"/>
        <v>1</v>
      </c>
      <c r="T82" t="str">
        <f t="shared" ca="1" si="115"/>
        <v>-2</v>
      </c>
      <c r="U82" t="str">
        <f t="shared" ca="1" si="115"/>
        <v>-3</v>
      </c>
      <c r="V82" t="str">
        <f t="shared" ca="1" si="116"/>
        <v>0</v>
      </c>
      <c r="W82" t="str">
        <f t="shared" ca="1" si="116"/>
        <v>-2</v>
      </c>
    </row>
    <row r="83" spans="2:23">
      <c r="B83">
        <v>17</v>
      </c>
      <c r="C83" s="140" t="s">
        <v>945</v>
      </c>
      <c r="D83" t="str">
        <f t="shared" ca="1" si="114"/>
        <v>+3</v>
      </c>
      <c r="E83" t="str">
        <f t="shared" ca="1" si="115"/>
        <v>3</v>
      </c>
      <c r="F83" t="str">
        <f t="shared" ca="1" si="115"/>
        <v>+3</v>
      </c>
      <c r="G83" t="str">
        <f t="shared" ca="1" si="115"/>
        <v>+1</v>
      </c>
      <c r="H83" t="str">
        <f t="shared" ca="1" si="115"/>
        <v>+1</v>
      </c>
      <c r="I83" t="str">
        <f t="shared" ca="1" si="115"/>
        <v>+2</v>
      </c>
      <c r="J83" t="str">
        <f t="shared" ca="1" si="115"/>
        <v>+3</v>
      </c>
      <c r="K83" t="str">
        <f t="shared" ca="1" si="115"/>
        <v>1</v>
      </c>
      <c r="L83" t="str">
        <f t="shared" ca="1" si="115"/>
        <v>1</v>
      </c>
      <c r="M83" t="str">
        <f t="shared" ca="1" si="115"/>
        <v>0</v>
      </c>
      <c r="N83" t="str">
        <f t="shared" ca="1" si="115"/>
        <v>0</v>
      </c>
      <c r="O83" t="str">
        <f t="shared" ca="1" si="115"/>
        <v>3</v>
      </c>
      <c r="P83" t="str">
        <f t="shared" ca="1" si="115"/>
        <v>4</v>
      </c>
      <c r="Q83" t="str">
        <f t="shared" ca="1" si="115"/>
        <v>1</v>
      </c>
      <c r="R83" t="str">
        <f t="shared" ca="1" si="115"/>
        <v>2</v>
      </c>
      <c r="S83" t="str">
        <f t="shared" ca="1" si="115"/>
        <v>0</v>
      </c>
      <c r="T83" t="str">
        <f t="shared" ca="1" si="115"/>
        <v>+1</v>
      </c>
      <c r="U83" t="str">
        <f t="shared" ca="1" si="115"/>
        <v>2</v>
      </c>
      <c r="V83" t="str">
        <f t="shared" ca="1" si="116"/>
        <v>3</v>
      </c>
      <c r="W83" t="str">
        <f t="shared" ca="1" si="116"/>
        <v>2</v>
      </c>
    </row>
    <row r="84" spans="2:23">
      <c r="B84">
        <v>18</v>
      </c>
      <c r="C84" s="140" t="s">
        <v>940</v>
      </c>
      <c r="D84" t="str">
        <f t="shared" ca="1" si="114"/>
        <v>+5</v>
      </c>
      <c r="E84" t="str">
        <f t="shared" ref="E84:S88" ca="1" si="117">INDIRECT(ADDRESS($B84,E$68,1,1))</f>
        <v>4</v>
      </c>
      <c r="F84" t="str">
        <f t="shared" ca="1" si="117"/>
        <v>+3</v>
      </c>
      <c r="G84" t="str">
        <f t="shared" ca="1" si="117"/>
        <v>+4</v>
      </c>
      <c r="H84" t="str">
        <f t="shared" ca="1" si="117"/>
        <v>+3</v>
      </c>
      <c r="I84" t="str">
        <f t="shared" ca="1" si="117"/>
        <v>+3</v>
      </c>
      <c r="J84" t="str">
        <f t="shared" ca="1" si="117"/>
        <v>+3</v>
      </c>
      <c r="K84" t="str">
        <f t="shared" ca="1" si="117"/>
        <v>4</v>
      </c>
      <c r="L84" t="str">
        <f t="shared" ca="1" si="117"/>
        <v>3</v>
      </c>
      <c r="M84" t="str">
        <f t="shared" ca="1" si="117"/>
        <v>0</v>
      </c>
      <c r="N84" t="str">
        <f t="shared" ca="1" si="117"/>
        <v>3</v>
      </c>
      <c r="O84" t="str">
        <f t="shared" ca="1" si="117"/>
        <v>3</v>
      </c>
      <c r="P84" t="str">
        <f t="shared" ca="1" si="117"/>
        <v>9</v>
      </c>
      <c r="Q84" t="str">
        <f t="shared" ca="1" si="117"/>
        <v>0</v>
      </c>
      <c r="R84" t="str">
        <f t="shared" ca="1" si="117"/>
        <v>3</v>
      </c>
      <c r="S84" t="str">
        <f t="shared" ca="1" si="117"/>
        <v>1</v>
      </c>
      <c r="T84" t="str">
        <f t="shared" ref="T84:W88" ca="1" si="118">INDIRECT(ADDRESS($B84,T$68,1,1))</f>
        <v>+3</v>
      </c>
      <c r="U84" t="str">
        <f t="shared" ca="1" si="118"/>
        <v>4</v>
      </c>
      <c r="V84" t="str">
        <f t="shared" ca="1" si="116"/>
        <v>4</v>
      </c>
      <c r="W84" t="str">
        <f t="shared" ca="1" si="116"/>
        <v>3</v>
      </c>
    </row>
    <row r="85" spans="2:23">
      <c r="B85">
        <v>19</v>
      </c>
      <c r="C85" s="140" t="s">
        <v>941</v>
      </c>
      <c r="D85" t="str">
        <f t="shared" ca="1" si="114"/>
        <v>-2</v>
      </c>
      <c r="E85" t="str">
        <f t="shared" ca="1" si="117"/>
        <v>1</v>
      </c>
      <c r="F85" t="str">
        <f t="shared" ca="1" si="117"/>
        <v>-1</v>
      </c>
      <c r="G85" t="str">
        <f t="shared" ca="1" si="117"/>
        <v>+1</v>
      </c>
      <c r="H85" t="str">
        <f t="shared" ca="1" si="117"/>
        <v>+1</v>
      </c>
      <c r="I85" t="str">
        <f t="shared" ca="1" si="117"/>
        <v>-1</v>
      </c>
      <c r="J85" t="str">
        <f t="shared" ca="1" si="117"/>
        <v>-1</v>
      </c>
      <c r="K85" t="str">
        <f t="shared" ca="1" si="117"/>
        <v>-1</v>
      </c>
      <c r="L85" t="str">
        <f t="shared" ca="1" si="117"/>
        <v>0</v>
      </c>
      <c r="M85" t="str">
        <f t="shared" ca="1" si="117"/>
        <v>0</v>
      </c>
      <c r="N85" t="str">
        <f t="shared" ca="1" si="117"/>
        <v>1</v>
      </c>
      <c r="O85" t="str">
        <f t="shared" ca="1" si="117"/>
        <v>-3</v>
      </c>
      <c r="P85" t="str">
        <f t="shared" ca="1" si="117"/>
        <v>6</v>
      </c>
      <c r="Q85" t="str">
        <f t="shared" ca="1" si="117"/>
        <v>0</v>
      </c>
      <c r="R85" t="str">
        <f t="shared" ca="1" si="117"/>
        <v>0</v>
      </c>
      <c r="S85" t="str">
        <f t="shared" ca="1" si="117"/>
        <v>0</v>
      </c>
      <c r="T85" t="str">
        <f t="shared" ca="1" si="118"/>
        <v>+1</v>
      </c>
      <c r="U85" t="str">
        <f t="shared" ca="1" si="118"/>
        <v>2</v>
      </c>
      <c r="V85" t="str">
        <f t="shared" ca="1" si="118"/>
        <v>-1</v>
      </c>
      <c r="W85" t="str">
        <f t="shared" ca="1" si="118"/>
        <v>0</v>
      </c>
    </row>
    <row r="86" spans="2:23">
      <c r="B86">
        <v>20</v>
      </c>
      <c r="C86" s="140" t="s">
        <v>942</v>
      </c>
      <c r="D86" t="str">
        <f t="shared" ca="1" si="114"/>
        <v>+4</v>
      </c>
      <c r="E86" t="str">
        <f t="shared" ca="1" si="117"/>
        <v>3</v>
      </c>
      <c r="F86" t="str">
        <f t="shared" ca="1" si="117"/>
        <v>+2</v>
      </c>
      <c r="G86" t="str">
        <f t="shared" ca="1" si="117"/>
        <v>+3</v>
      </c>
      <c r="H86" t="str">
        <f t="shared" ca="1" si="117"/>
        <v>+1</v>
      </c>
      <c r="I86" t="str">
        <f t="shared" ca="1" si="117"/>
        <v>+2</v>
      </c>
      <c r="J86" t="str">
        <f t="shared" ca="1" si="117"/>
        <v>+2</v>
      </c>
      <c r="K86" t="str">
        <f t="shared" ca="1" si="117"/>
        <v>1</v>
      </c>
      <c r="L86" t="str">
        <f t="shared" ca="1" si="117"/>
        <v>3</v>
      </c>
      <c r="M86" t="str">
        <f t="shared" ca="1" si="117"/>
        <v>-1</v>
      </c>
      <c r="N86" t="str">
        <f t="shared" ca="1" si="117"/>
        <v>2</v>
      </c>
      <c r="O86" t="str">
        <f t="shared" ca="1" si="117"/>
        <v>4</v>
      </c>
      <c r="P86" t="str">
        <f t="shared" ca="1" si="117"/>
        <v>7</v>
      </c>
      <c r="Q86" t="str">
        <f t="shared" ca="1" si="117"/>
        <v>0</v>
      </c>
      <c r="R86" t="str">
        <f t="shared" ca="1" si="117"/>
        <v>2</v>
      </c>
      <c r="S86" t="str">
        <f t="shared" ca="1" si="117"/>
        <v>1</v>
      </c>
      <c r="T86" t="str">
        <f t="shared" ca="1" si="118"/>
        <v>+1</v>
      </c>
      <c r="U86" t="str">
        <f t="shared" ca="1" si="118"/>
        <v>3</v>
      </c>
      <c r="V86" t="str">
        <f t="shared" ca="1" si="118"/>
        <v>2</v>
      </c>
      <c r="W86" t="str">
        <f t="shared" ca="1" si="118"/>
        <v>3</v>
      </c>
    </row>
    <row r="87" spans="2:23">
      <c r="B87">
        <v>21</v>
      </c>
      <c r="C87" s="140" t="s">
        <v>943</v>
      </c>
      <c r="D87" t="str">
        <f t="shared" ca="1" si="114"/>
        <v>-3</v>
      </c>
      <c r="E87" t="str">
        <f t="shared" ca="1" si="117"/>
        <v>0</v>
      </c>
      <c r="F87" t="str">
        <f t="shared" ca="1" si="117"/>
        <v>-2</v>
      </c>
      <c r="G87" t="str">
        <f t="shared" ca="1" si="117"/>
        <v>+3</v>
      </c>
      <c r="H87" t="str">
        <f t="shared" ca="1" si="117"/>
        <v>+1</v>
      </c>
      <c r="I87" t="str">
        <f t="shared" ca="1" si="117"/>
        <v>-3</v>
      </c>
      <c r="J87" t="str">
        <f t="shared" ca="1" si="117"/>
        <v>+1</v>
      </c>
      <c r="K87" t="str">
        <f t="shared" ca="1" si="117"/>
        <v>2</v>
      </c>
      <c r="L87" t="str">
        <f t="shared" ca="1" si="117"/>
        <v>0</v>
      </c>
      <c r="M87" t="str">
        <f t="shared" ca="1" si="117"/>
        <v>0</v>
      </c>
      <c r="N87" t="str">
        <f t="shared" ca="1" si="117"/>
        <v>1</v>
      </c>
      <c r="O87" t="str">
        <f t="shared" ca="1" si="117"/>
        <v>0</v>
      </c>
      <c r="P87" t="str">
        <f t="shared" ca="1" si="117"/>
        <v>6</v>
      </c>
      <c r="Q87" t="str">
        <f t="shared" ca="1" si="117"/>
        <v>-1</v>
      </c>
      <c r="R87" t="str">
        <f t="shared" ca="1" si="117"/>
        <v>0</v>
      </c>
      <c r="S87" t="str">
        <f t="shared" ca="1" si="117"/>
        <v>0</v>
      </c>
      <c r="T87" t="str">
        <f t="shared" ca="1" si="118"/>
        <v>+1</v>
      </c>
      <c r="U87" t="str">
        <f t="shared" ca="1" si="118"/>
        <v>2</v>
      </c>
      <c r="V87" t="str">
        <f t="shared" ca="1" si="118"/>
        <v>1</v>
      </c>
      <c r="W87" t="str">
        <f t="shared" ca="1" si="118"/>
        <v>1</v>
      </c>
    </row>
    <row r="88" spans="2:23">
      <c r="B88">
        <v>22</v>
      </c>
      <c r="C88" s="174" t="s">
        <v>944</v>
      </c>
      <c r="D88" t="str">
        <f t="shared" ca="1" si="114"/>
        <v>-1</v>
      </c>
      <c r="E88" t="str">
        <f t="shared" ca="1" si="117"/>
        <v>-1</v>
      </c>
      <c r="F88" t="str">
        <f t="shared" ca="1" si="117"/>
        <v>0</v>
      </c>
      <c r="G88" t="str">
        <f t="shared" ca="1" si="117"/>
        <v>+1</v>
      </c>
      <c r="H88" t="str">
        <f t="shared" ca="1" si="117"/>
        <v>0</v>
      </c>
      <c r="I88" t="str">
        <f t="shared" ca="1" si="117"/>
        <v>-2</v>
      </c>
      <c r="J88" t="str">
        <f t="shared" ca="1" si="117"/>
        <v>-2</v>
      </c>
      <c r="K88" t="str">
        <f t="shared" ca="1" si="117"/>
        <v>-1</v>
      </c>
      <c r="L88" t="str">
        <f t="shared" ca="1" si="117"/>
        <v>-2</v>
      </c>
      <c r="M88" t="str">
        <f t="shared" ca="1" si="117"/>
        <v>-1</v>
      </c>
      <c r="N88" t="str">
        <f t="shared" ca="1" si="117"/>
        <v>-1</v>
      </c>
      <c r="O88" t="str">
        <f t="shared" ca="1" si="117"/>
        <v>-2</v>
      </c>
      <c r="P88" t="str">
        <f t="shared" ca="1" si="117"/>
        <v>5</v>
      </c>
      <c r="Q88" t="str">
        <f t="shared" ca="1" si="117"/>
        <v>-1</v>
      </c>
      <c r="R88" t="str">
        <f t="shared" ca="1" si="117"/>
        <v>-2</v>
      </c>
      <c r="S88" t="str">
        <f t="shared" ca="1" si="117"/>
        <v>-1</v>
      </c>
      <c r="T88" t="str">
        <f t="shared" ca="1" si="118"/>
        <v>0</v>
      </c>
      <c r="U88" t="str">
        <f t="shared" ca="1" si="118"/>
        <v>3</v>
      </c>
      <c r="V88" t="str">
        <f t="shared" ca="1" si="118"/>
        <v>0</v>
      </c>
      <c r="W88" t="str">
        <f t="shared" ca="1" si="118"/>
        <v>0</v>
      </c>
    </row>
  </sheetData>
  <sheetProtection sheet="1" objects="1" scenarios="1" formatColumns="0" formatRows="0"/>
  <mergeCells count="20">
    <mergeCell ref="CG2:CI2"/>
    <mergeCell ref="DK2:DM2"/>
    <mergeCell ref="DQ2:DS2"/>
    <mergeCell ref="CM2:CO2"/>
    <mergeCell ref="CS2:CU2"/>
    <mergeCell ref="CY2:DA2"/>
    <mergeCell ref="DE2:DG2"/>
    <mergeCell ref="G2:I2"/>
    <mergeCell ref="M2:O2"/>
    <mergeCell ref="S2:U2"/>
    <mergeCell ref="Y2:AA2"/>
    <mergeCell ref="AE2:AG2"/>
    <mergeCell ref="AK2:AM2"/>
    <mergeCell ref="AQ2:AS2"/>
    <mergeCell ref="AW2:AY2"/>
    <mergeCell ref="BC2:BE2"/>
    <mergeCell ref="CA2:CC2"/>
    <mergeCell ref="BI2:BK2"/>
    <mergeCell ref="BO2:BQ2"/>
    <mergeCell ref="BU2:BW2"/>
  </mergeCells>
  <hyperlinks>
    <hyperlink ref="A2" r:id="rId1" xr:uid="{00000000-0004-0000-1300-000000000000}"/>
    <hyperlink ref="A6" r:id="rId2" xr:uid="{00000000-0004-0000-1300-000001000000}"/>
  </hyperlinks>
  <pageMargins left="0.75" right="0.75" top="1" bottom="1" header="0.51180555555555551" footer="0.51180555555555551"/>
  <pageSetup paperSize="9" firstPageNumber="0" orientation="portrait" horizontalDpi="300" verticalDpi="300"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rgb="FFFFCC99"/>
  </sheetPr>
  <dimension ref="A1:K592"/>
  <sheetViews>
    <sheetView topLeftCell="A381" workbookViewId="0">
      <selection activeCell="D399" sqref="D399"/>
    </sheetView>
  </sheetViews>
  <sheetFormatPr defaultRowHeight="12.75"/>
  <cols>
    <col min="2" max="2" width="19.28515625" bestFit="1" customWidth="1"/>
    <col min="3" max="3" width="10.42578125" bestFit="1" customWidth="1"/>
    <col min="6" max="6" width="9.140625" customWidth="1"/>
    <col min="7" max="7" width="5.28515625" bestFit="1" customWidth="1"/>
    <col min="10" max="10" width="18.85546875" customWidth="1"/>
    <col min="12" max="12" width="19.7109375" bestFit="1" customWidth="1"/>
  </cols>
  <sheetData>
    <row r="1" spans="1:11">
      <c r="A1" t="s">
        <v>638</v>
      </c>
      <c r="B1" t="s">
        <v>1949</v>
      </c>
      <c r="C1" t="s">
        <v>637</v>
      </c>
    </row>
    <row r="2" spans="1:11" ht="15">
      <c r="A2" s="217" t="s">
        <v>35</v>
      </c>
      <c r="B2" s="217" t="s">
        <v>300</v>
      </c>
      <c r="C2" s="217" t="s">
        <v>695</v>
      </c>
      <c r="D2" s="216">
        <v>88</v>
      </c>
      <c r="E2" s="216" t="str">
        <f>VLOOKUP(B2,Tutti!$B$2:$C$598,2,FALSE)</f>
        <v>ROM</v>
      </c>
      <c r="F2" t="b">
        <f t="shared" ref="F2:F65" si="0">E2=MID(C2,1,3)</f>
        <v>1</v>
      </c>
      <c r="G2" s="183" t="str">
        <f t="shared" ref="G2:G65" si="1">UPPER(MID(C2,1,3))</f>
        <v>ROM</v>
      </c>
      <c r="I2" s="425"/>
      <c r="J2" s="425"/>
      <c r="K2" s="425"/>
    </row>
    <row r="3" spans="1:11" ht="15">
      <c r="A3" s="217" t="s">
        <v>35</v>
      </c>
      <c r="B3" s="217" t="s">
        <v>1678</v>
      </c>
      <c r="C3" s="217" t="s">
        <v>1672</v>
      </c>
      <c r="D3" s="216">
        <v>62</v>
      </c>
      <c r="E3" s="216" t="str">
        <f>VLOOKUP(B3,Tutti!$B$2:$C$598,2,FALSE)</f>
        <v>BEN</v>
      </c>
      <c r="F3" t="b">
        <f t="shared" si="0"/>
        <v>1</v>
      </c>
      <c r="G3" s="183" t="str">
        <f t="shared" si="1"/>
        <v>BEN</v>
      </c>
      <c r="I3" s="425"/>
      <c r="J3" s="425"/>
      <c r="K3" s="425"/>
    </row>
    <row r="4" spans="1:11" ht="15">
      <c r="A4" s="217" t="s">
        <v>35</v>
      </c>
      <c r="B4" s="217" t="s">
        <v>311</v>
      </c>
      <c r="C4" s="217" t="s">
        <v>686</v>
      </c>
      <c r="D4" s="216">
        <v>83</v>
      </c>
      <c r="E4" s="216" t="str">
        <f>VLOOKUP(B4,Tutti!$B$2:$C$598,2,FALSE)</f>
        <v>ATA</v>
      </c>
      <c r="F4" t="b">
        <f t="shared" si="0"/>
        <v>1</v>
      </c>
      <c r="G4" s="183" t="str">
        <f t="shared" si="1"/>
        <v>ATA</v>
      </c>
      <c r="I4" s="425"/>
      <c r="J4" s="425"/>
      <c r="K4" s="425"/>
    </row>
    <row r="5" spans="1:11" ht="15">
      <c r="A5" s="217" t="s">
        <v>35</v>
      </c>
      <c r="B5" s="217" t="s">
        <v>885</v>
      </c>
      <c r="C5" s="217" t="s">
        <v>677</v>
      </c>
      <c r="D5" s="216">
        <v>5</v>
      </c>
      <c r="E5" s="216" t="str">
        <f>VLOOKUP(B5,Tutti!$B$2:$C$598,2,FALSE)</f>
        <v>INT</v>
      </c>
      <c r="F5" t="b">
        <f t="shared" si="0"/>
        <v>1</v>
      </c>
      <c r="G5" s="183" t="str">
        <f t="shared" si="1"/>
        <v>INT</v>
      </c>
      <c r="I5" s="425"/>
      <c r="J5" s="425"/>
      <c r="K5" s="425"/>
    </row>
    <row r="6" spans="1:11" ht="15">
      <c r="A6" s="217" t="s">
        <v>35</v>
      </c>
      <c r="B6" s="217" t="s">
        <v>314</v>
      </c>
      <c r="C6" s="217" t="s">
        <v>684</v>
      </c>
      <c r="D6" s="216">
        <v>20</v>
      </c>
      <c r="E6" s="216" t="str">
        <f>VLOOKUP(B6,Tutti!$B$2:$C$598,2,FALSE)</f>
        <v>UDI</v>
      </c>
      <c r="F6" t="b">
        <f t="shared" si="0"/>
        <v>1</v>
      </c>
      <c r="G6" s="183" t="str">
        <f t="shared" si="1"/>
        <v>UDI</v>
      </c>
      <c r="I6" s="425"/>
      <c r="J6" s="425"/>
      <c r="K6" s="425"/>
    </row>
    <row r="7" spans="1:11" ht="15">
      <c r="A7" s="217" t="s">
        <v>35</v>
      </c>
      <c r="B7" s="217" t="s">
        <v>1920</v>
      </c>
      <c r="C7" s="217" t="s">
        <v>1672</v>
      </c>
      <c r="D7" s="216">
        <v>25</v>
      </c>
      <c r="E7" s="216" t="str">
        <f>VLOOKUP(B7,Tutti!$B$2:$C$598,2,FALSE)</f>
        <v>BEN</v>
      </c>
      <c r="F7" t="b">
        <f t="shared" si="0"/>
        <v>1</v>
      </c>
      <c r="G7" s="183" t="str">
        <f t="shared" si="1"/>
        <v>BEN</v>
      </c>
      <c r="I7" s="425"/>
      <c r="J7" s="425"/>
      <c r="K7" s="425"/>
    </row>
    <row r="8" spans="1:11" ht="15">
      <c r="A8" s="217" t="s">
        <v>35</v>
      </c>
      <c r="B8" s="217" t="s">
        <v>316</v>
      </c>
      <c r="C8" s="217" t="s">
        <v>676</v>
      </c>
      <c r="D8" s="216">
        <v>96</v>
      </c>
      <c r="E8" s="216" t="str">
        <f>VLOOKUP(B8,Tutti!$B$2:$C$598,2,FALSE)</f>
        <v>JUV</v>
      </c>
      <c r="F8" t="b">
        <f t="shared" si="0"/>
        <v>1</v>
      </c>
      <c r="G8" s="183" t="str">
        <f t="shared" si="1"/>
        <v>JUV</v>
      </c>
      <c r="I8" s="425"/>
      <c r="J8" s="425"/>
      <c r="K8" s="425"/>
    </row>
    <row r="9" spans="1:11" ht="15">
      <c r="A9" s="217" t="s">
        <v>35</v>
      </c>
      <c r="B9" s="217" t="s">
        <v>1934</v>
      </c>
      <c r="C9" s="217" t="s">
        <v>692</v>
      </c>
      <c r="D9" s="216">
        <v>5</v>
      </c>
      <c r="E9" s="216" t="str">
        <f>VLOOKUP(B9,Tutti!$B$2:$C$598,2,FALSE)</f>
        <v>FIO</v>
      </c>
      <c r="F9" t="b">
        <f t="shared" si="0"/>
        <v>1</v>
      </c>
      <c r="G9" s="183" t="str">
        <f t="shared" si="1"/>
        <v>FIO</v>
      </c>
      <c r="I9" s="425"/>
      <c r="J9" s="425"/>
      <c r="K9" s="425"/>
    </row>
    <row r="10" spans="1:11" ht="15">
      <c r="A10" s="217" t="s">
        <v>35</v>
      </c>
      <c r="B10" s="217" t="s">
        <v>1688</v>
      </c>
      <c r="C10" s="217" t="s">
        <v>680</v>
      </c>
      <c r="D10" s="216">
        <v>5</v>
      </c>
      <c r="E10" s="216" t="str">
        <f>VLOOKUP(B10,Tutti!$B$2:$C$598,2,FALSE)</f>
        <v>CHI</v>
      </c>
      <c r="F10" t="b">
        <f t="shared" si="0"/>
        <v>1</v>
      </c>
      <c r="G10" s="183" t="str">
        <f t="shared" si="1"/>
        <v>CHI</v>
      </c>
      <c r="I10" s="425"/>
      <c r="J10" s="425"/>
      <c r="K10" s="425"/>
    </row>
    <row r="11" spans="1:11" ht="15">
      <c r="A11" s="217" t="s">
        <v>35</v>
      </c>
      <c r="B11" s="217" t="s">
        <v>325</v>
      </c>
      <c r="C11" s="217" t="s">
        <v>685</v>
      </c>
      <c r="D11" s="216">
        <v>83</v>
      </c>
      <c r="E11" s="216" t="str">
        <f>VLOOKUP(B11,Tutti!$B$2:$C$598,2,FALSE)</f>
        <v>SAS</v>
      </c>
      <c r="F11" t="b">
        <f t="shared" si="0"/>
        <v>1</v>
      </c>
      <c r="G11" s="183" t="str">
        <f t="shared" si="1"/>
        <v>SAS</v>
      </c>
      <c r="I11" s="425"/>
      <c r="J11" s="425"/>
      <c r="K11" s="425"/>
    </row>
    <row r="12" spans="1:11" ht="15">
      <c r="A12" s="217" t="s">
        <v>35</v>
      </c>
      <c r="B12" s="217" t="s">
        <v>1690</v>
      </c>
      <c r="C12" s="217" t="s">
        <v>1674</v>
      </c>
      <c r="D12" s="216">
        <v>5</v>
      </c>
      <c r="E12" s="216" t="str">
        <f>VLOOKUP(B12,Tutti!$B$2:$C$598,2,FALSE)</f>
        <v>VER</v>
      </c>
      <c r="F12" t="b">
        <f t="shared" si="0"/>
        <v>1</v>
      </c>
      <c r="G12" s="183" t="str">
        <f t="shared" si="1"/>
        <v>VER</v>
      </c>
      <c r="I12" s="425"/>
      <c r="J12" s="425"/>
      <c r="K12" s="425"/>
    </row>
    <row r="13" spans="1:11" ht="15">
      <c r="A13" s="217" t="s">
        <v>35</v>
      </c>
      <c r="B13" s="217" t="s">
        <v>329</v>
      </c>
      <c r="C13" s="217" t="s">
        <v>701</v>
      </c>
      <c r="D13" s="216">
        <v>70</v>
      </c>
      <c r="E13" s="216" t="str">
        <f>VLOOKUP(B13,Tutti!$B$2:$C$598,2,FALSE)</f>
        <v>CRO</v>
      </c>
      <c r="F13" t="b">
        <f t="shared" si="0"/>
        <v>1</v>
      </c>
      <c r="G13" s="183" t="str">
        <f t="shared" si="1"/>
        <v>CRO</v>
      </c>
      <c r="I13" s="425"/>
      <c r="J13" s="425"/>
      <c r="K13" s="425"/>
    </row>
    <row r="14" spans="1:11" ht="15">
      <c r="A14" s="217" t="s">
        <v>35</v>
      </c>
      <c r="B14" s="217" t="s">
        <v>1812</v>
      </c>
      <c r="C14" s="217" t="s">
        <v>1672</v>
      </c>
      <c r="D14" s="216">
        <v>5</v>
      </c>
      <c r="E14" s="216" t="str">
        <f>VLOOKUP(B14,Tutti!$B$2:$C$598,2,FALSE)</f>
        <v>BEN</v>
      </c>
      <c r="F14" t="b">
        <f t="shared" si="0"/>
        <v>1</v>
      </c>
      <c r="G14" s="183" t="str">
        <f t="shared" si="1"/>
        <v>BEN</v>
      </c>
      <c r="I14" s="425"/>
      <c r="J14" s="425"/>
      <c r="K14" s="425"/>
    </row>
    <row r="15" spans="1:11" ht="15">
      <c r="A15" s="217" t="s">
        <v>35</v>
      </c>
      <c r="B15" s="217" t="s">
        <v>1677</v>
      </c>
      <c r="C15" s="217" t="s">
        <v>700</v>
      </c>
      <c r="D15" s="216">
        <v>69</v>
      </c>
      <c r="E15" s="216" t="str">
        <f>VLOOKUP(B15,Tutti!$B$2:$C$598,2,FALSE)</f>
        <v>CAG</v>
      </c>
      <c r="F15" t="b">
        <f t="shared" si="0"/>
        <v>1</v>
      </c>
      <c r="G15" s="183" t="str">
        <f t="shared" si="1"/>
        <v>CAG</v>
      </c>
      <c r="I15" s="425"/>
      <c r="J15" s="425"/>
      <c r="K15" s="425"/>
    </row>
    <row r="16" spans="1:11" ht="15">
      <c r="A16" s="217" t="s">
        <v>35</v>
      </c>
      <c r="B16" s="217" t="s">
        <v>1687</v>
      </c>
      <c r="C16" s="217" t="s">
        <v>700</v>
      </c>
      <c r="D16" s="216">
        <v>5</v>
      </c>
      <c r="E16" s="216" t="str">
        <f>VLOOKUP(B16,Tutti!$B$2:$C$598,2,FALSE)</f>
        <v>CAG</v>
      </c>
      <c r="F16" t="b">
        <f t="shared" si="0"/>
        <v>1</v>
      </c>
      <c r="G16" s="183" t="str">
        <f t="shared" si="1"/>
        <v>CAG</v>
      </c>
      <c r="I16" s="425"/>
      <c r="J16" s="425"/>
      <c r="K16" s="425"/>
    </row>
    <row r="17" spans="1:11" ht="15">
      <c r="A17" s="217" t="s">
        <v>35</v>
      </c>
      <c r="B17" s="217" t="s">
        <v>332</v>
      </c>
      <c r="C17" s="217" t="s">
        <v>691</v>
      </c>
      <c r="D17" s="216">
        <v>35</v>
      </c>
      <c r="E17" s="216" t="str">
        <f>VLOOKUP(B17,Tutti!$B$2:$C$598,2,FALSE)</f>
        <v>BOL</v>
      </c>
      <c r="F17" t="b">
        <f t="shared" si="0"/>
        <v>1</v>
      </c>
      <c r="G17" s="183" t="str">
        <f t="shared" si="1"/>
        <v>BOL</v>
      </c>
      <c r="I17" s="425"/>
      <c r="J17" s="425"/>
      <c r="K17" s="425"/>
    </row>
    <row r="18" spans="1:11" ht="15">
      <c r="A18" s="217" t="s">
        <v>35</v>
      </c>
      <c r="B18" s="217" t="s">
        <v>1867</v>
      </c>
      <c r="C18" s="217" t="s">
        <v>678</v>
      </c>
      <c r="D18" s="216">
        <v>5</v>
      </c>
      <c r="E18" s="216" t="str">
        <f>VLOOKUP(B18,Tutti!$B$2:$C$598,2,FALSE)</f>
        <v>MIL</v>
      </c>
      <c r="F18" t="b">
        <f t="shared" si="0"/>
        <v>1</v>
      </c>
      <c r="G18" s="183" t="str">
        <f t="shared" si="1"/>
        <v>MIL</v>
      </c>
      <c r="I18" s="425"/>
      <c r="J18" s="425"/>
      <c r="K18" s="425"/>
    </row>
    <row r="19" spans="1:11" ht="15">
      <c r="A19" s="217" t="s">
        <v>35</v>
      </c>
      <c r="B19" s="217" t="s">
        <v>1294</v>
      </c>
      <c r="C19" s="217" t="s">
        <v>678</v>
      </c>
      <c r="D19" s="216">
        <v>95</v>
      </c>
      <c r="E19" s="216" t="str">
        <f>VLOOKUP(B19,Tutti!$B$2:$C$598,2,FALSE)</f>
        <v>MIL</v>
      </c>
      <c r="F19" t="b">
        <f t="shared" si="0"/>
        <v>1</v>
      </c>
      <c r="G19" s="183" t="str">
        <f t="shared" si="1"/>
        <v>MIL</v>
      </c>
      <c r="I19" s="425"/>
      <c r="J19" s="425"/>
      <c r="K19" s="425"/>
    </row>
    <row r="20" spans="1:11" ht="15">
      <c r="A20" s="217" t="s">
        <v>35</v>
      </c>
      <c r="B20" s="217" t="s">
        <v>338</v>
      </c>
      <c r="C20" s="217" t="s">
        <v>692</v>
      </c>
      <c r="D20" s="216">
        <v>20</v>
      </c>
      <c r="E20" s="216" t="str">
        <f>VLOOKUP(B20,Tutti!$B$2:$C$598,2,FALSE)</f>
        <v>FIO</v>
      </c>
      <c r="F20" t="b">
        <f t="shared" si="0"/>
        <v>1</v>
      </c>
      <c r="G20" s="183" t="str">
        <f t="shared" si="1"/>
        <v>FIO</v>
      </c>
      <c r="I20" s="425"/>
      <c r="J20" s="425"/>
      <c r="K20" s="425"/>
    </row>
    <row r="21" spans="1:11" ht="15">
      <c r="A21" s="217" t="s">
        <v>35</v>
      </c>
      <c r="B21" s="217" t="s">
        <v>342</v>
      </c>
      <c r="C21" s="217" t="s">
        <v>701</v>
      </c>
      <c r="D21" s="216">
        <v>20</v>
      </c>
      <c r="E21" s="216" t="str">
        <f>VLOOKUP(B21,Tutti!$B$2:$C$598,2,FALSE)</f>
        <v>CRO</v>
      </c>
      <c r="F21" t="b">
        <f t="shared" si="0"/>
        <v>1</v>
      </c>
      <c r="G21" s="183" t="str">
        <f t="shared" si="1"/>
        <v>CRO</v>
      </c>
      <c r="I21" s="425"/>
      <c r="J21" s="425"/>
      <c r="K21" s="425"/>
    </row>
    <row r="22" spans="1:11" ht="15">
      <c r="A22" s="217" t="s">
        <v>35</v>
      </c>
      <c r="B22" s="217" t="s">
        <v>348</v>
      </c>
      <c r="C22" s="217" t="s">
        <v>678</v>
      </c>
      <c r="D22" s="216">
        <v>15</v>
      </c>
      <c r="E22" s="216" t="str">
        <f>VLOOKUP(B22,Tutti!$B$2:$C$598,2,FALSE)</f>
        <v>MIL</v>
      </c>
      <c r="F22" t="b">
        <f t="shared" si="0"/>
        <v>1</v>
      </c>
      <c r="G22" s="183" t="str">
        <f t="shared" si="1"/>
        <v>MIL</v>
      </c>
      <c r="I22" s="425"/>
      <c r="J22" s="425"/>
      <c r="K22" s="425"/>
    </row>
    <row r="23" spans="1:11" ht="15">
      <c r="A23" s="217" t="s">
        <v>35</v>
      </c>
      <c r="B23" s="217" t="s">
        <v>1680</v>
      </c>
      <c r="C23" s="217" t="s">
        <v>686</v>
      </c>
      <c r="D23" s="216">
        <v>25</v>
      </c>
      <c r="E23" s="216" t="str">
        <f>VLOOKUP(B23,Tutti!$B$2:$C$598,2,FALSE)</f>
        <v>ATA</v>
      </c>
      <c r="F23" t="b">
        <f t="shared" si="0"/>
        <v>1</v>
      </c>
      <c r="G23" s="183" t="str">
        <f t="shared" si="1"/>
        <v>ATA</v>
      </c>
      <c r="I23" s="425"/>
      <c r="J23" s="425"/>
      <c r="K23" s="425"/>
    </row>
    <row r="24" spans="1:11" ht="15">
      <c r="A24" s="217" t="s">
        <v>35</v>
      </c>
      <c r="B24" s="217" t="s">
        <v>352</v>
      </c>
      <c r="C24" s="217" t="s">
        <v>1477</v>
      </c>
      <c r="D24" s="216">
        <v>40</v>
      </c>
      <c r="E24" s="216" t="str">
        <f>VLOOKUP(B24,Tutti!$B$2:$C$598,2,FALSE)</f>
        <v>SPA</v>
      </c>
      <c r="F24" t="b">
        <f t="shared" si="0"/>
        <v>1</v>
      </c>
      <c r="G24" s="183" t="str">
        <f t="shared" si="1"/>
        <v>SPA</v>
      </c>
      <c r="I24" s="425"/>
      <c r="J24" s="425"/>
      <c r="K24" s="425"/>
    </row>
    <row r="25" spans="1:11" ht="15">
      <c r="A25" s="217" t="s">
        <v>35</v>
      </c>
      <c r="B25" s="217" t="s">
        <v>1686</v>
      </c>
      <c r="C25" s="217" t="s">
        <v>682</v>
      </c>
      <c r="D25" s="216">
        <v>5</v>
      </c>
      <c r="E25" s="216" t="str">
        <f>VLOOKUP(B25,Tutti!$B$2:$C$598,2,FALSE)</f>
        <v>LAZ</v>
      </c>
      <c r="F25" t="b">
        <f t="shared" si="0"/>
        <v>1</v>
      </c>
      <c r="G25" s="183" t="str">
        <f t="shared" si="1"/>
        <v>LAZ</v>
      </c>
      <c r="I25" s="425"/>
      <c r="J25" s="425"/>
      <c r="K25" s="425"/>
    </row>
    <row r="26" spans="1:11" ht="15">
      <c r="A26" s="217" t="s">
        <v>35</v>
      </c>
      <c r="B26" s="217" t="s">
        <v>356</v>
      </c>
      <c r="C26" s="217" t="s">
        <v>677</v>
      </c>
      <c r="D26" s="216">
        <v>94</v>
      </c>
      <c r="E26" s="216" t="str">
        <f>VLOOKUP(B26,Tutti!$B$2:$C$598,2,FALSE)</f>
        <v>INT</v>
      </c>
      <c r="F26" t="b">
        <f t="shared" si="0"/>
        <v>1</v>
      </c>
      <c r="G26" s="183" t="str">
        <f t="shared" si="1"/>
        <v>INT</v>
      </c>
      <c r="I26" s="425"/>
      <c r="J26" s="425"/>
      <c r="K26" s="425"/>
    </row>
    <row r="27" spans="1:11" ht="15">
      <c r="A27" s="217" t="s">
        <v>35</v>
      </c>
      <c r="B27" s="217" t="s">
        <v>359</v>
      </c>
      <c r="C27" s="217" t="s">
        <v>687</v>
      </c>
      <c r="D27" s="216">
        <v>5</v>
      </c>
      <c r="E27" s="216" t="str">
        <f>VLOOKUP(B27,Tutti!$B$2:$C$598,2,FALSE)</f>
        <v>TOR</v>
      </c>
      <c r="F27" t="b">
        <f t="shared" si="0"/>
        <v>1</v>
      </c>
      <c r="G27" s="183" t="str">
        <f t="shared" si="1"/>
        <v>TOR</v>
      </c>
      <c r="I27" s="425"/>
      <c r="J27" s="425"/>
      <c r="K27" s="425"/>
    </row>
    <row r="28" spans="1:11" ht="15">
      <c r="A28" s="217" t="s">
        <v>35</v>
      </c>
      <c r="B28" s="217" t="s">
        <v>363</v>
      </c>
      <c r="C28" s="217" t="s">
        <v>684</v>
      </c>
      <c r="D28" s="216">
        <v>15</v>
      </c>
      <c r="E28" s="216" t="str">
        <f>VLOOKUP(B28,Tutti!$B$2:$C$598,2,FALSE)</f>
        <v>UDI</v>
      </c>
      <c r="F28" t="b">
        <f t="shared" si="0"/>
        <v>1</v>
      </c>
      <c r="G28" s="183" t="str">
        <f t="shared" si="1"/>
        <v>UDI</v>
      </c>
      <c r="I28" s="425"/>
      <c r="J28" s="425"/>
      <c r="K28" s="425"/>
    </row>
    <row r="29" spans="1:11" ht="15">
      <c r="A29" s="217" t="s">
        <v>35</v>
      </c>
      <c r="B29" s="217" t="s">
        <v>366</v>
      </c>
      <c r="C29" s="217" t="s">
        <v>679</v>
      </c>
      <c r="D29" s="216">
        <v>25</v>
      </c>
      <c r="E29" s="216" t="str">
        <f>VLOOKUP(B29,Tutti!$B$2:$C$598,2,FALSE)</f>
        <v>GEN</v>
      </c>
      <c r="F29" t="b">
        <f t="shared" si="0"/>
        <v>1</v>
      </c>
      <c r="G29" s="183" t="str">
        <f t="shared" si="1"/>
        <v>GEN</v>
      </c>
      <c r="I29" s="425"/>
      <c r="J29" s="425"/>
      <c r="K29" s="425"/>
    </row>
    <row r="30" spans="1:11" ht="15">
      <c r="A30" s="217" t="s">
        <v>35</v>
      </c>
      <c r="B30" s="217" t="s">
        <v>370</v>
      </c>
      <c r="C30" s="217" t="s">
        <v>695</v>
      </c>
      <c r="D30" s="216">
        <v>5</v>
      </c>
      <c r="E30" s="216" t="str">
        <f>VLOOKUP(B30,Tutti!$B$2:$C$598,2,FALSE)</f>
        <v>ROM</v>
      </c>
      <c r="F30" t="b">
        <f t="shared" si="0"/>
        <v>1</v>
      </c>
      <c r="G30" s="183" t="str">
        <f t="shared" si="1"/>
        <v>ROM</v>
      </c>
      <c r="I30" s="425"/>
      <c r="J30" s="425"/>
      <c r="K30" s="425"/>
    </row>
    <row r="31" spans="1:11" ht="15">
      <c r="A31" s="217" t="s">
        <v>35</v>
      </c>
      <c r="B31" s="217" t="s">
        <v>1814</v>
      </c>
      <c r="C31" s="217" t="s">
        <v>1673</v>
      </c>
      <c r="D31" s="216">
        <v>5</v>
      </c>
      <c r="E31" s="216" t="str">
        <f>VLOOKUP(B31,Tutti!$B$2:$C$598,2,FALSE)</f>
        <v>SPA</v>
      </c>
      <c r="F31" t="b">
        <f t="shared" si="0"/>
        <v>1</v>
      </c>
      <c r="G31" s="183" t="str">
        <f t="shared" si="1"/>
        <v>SPA</v>
      </c>
      <c r="I31" s="425"/>
      <c r="J31" s="425"/>
      <c r="K31" s="425"/>
    </row>
    <row r="32" spans="1:11" ht="15">
      <c r="A32" s="217" t="s">
        <v>35</v>
      </c>
      <c r="B32" s="217" t="s">
        <v>373</v>
      </c>
      <c r="C32" s="217" t="s">
        <v>682</v>
      </c>
      <c r="D32" s="216">
        <v>30</v>
      </c>
      <c r="E32" s="216" t="str">
        <f>VLOOKUP(B32,Tutti!$B$2:$C$598,2,FALSE)</f>
        <v>LAZ</v>
      </c>
      <c r="F32" t="b">
        <f t="shared" si="0"/>
        <v>1</v>
      </c>
      <c r="G32" s="183" t="str">
        <f t="shared" si="1"/>
        <v>LAZ</v>
      </c>
      <c r="I32" s="425"/>
      <c r="J32" s="425"/>
      <c r="K32" s="425"/>
    </row>
    <row r="33" spans="1:11" ht="15">
      <c r="A33" s="217" t="s">
        <v>35</v>
      </c>
      <c r="B33" s="217" t="s">
        <v>375</v>
      </c>
      <c r="C33" s="217" t="s">
        <v>685</v>
      </c>
      <c r="D33" s="216">
        <v>5</v>
      </c>
      <c r="E33" s="216" t="str">
        <f>VLOOKUP(B33,Tutti!$B$2:$C$598,2,FALSE)</f>
        <v>SAS</v>
      </c>
      <c r="F33" t="b">
        <f t="shared" si="0"/>
        <v>1</v>
      </c>
      <c r="G33" s="183" t="str">
        <f t="shared" si="1"/>
        <v>SAS</v>
      </c>
      <c r="I33" s="425"/>
      <c r="J33" s="425"/>
      <c r="K33" s="425"/>
    </row>
    <row r="34" spans="1:11" ht="15">
      <c r="A34" s="217" t="s">
        <v>35</v>
      </c>
      <c r="B34" s="217" t="s">
        <v>1675</v>
      </c>
      <c r="C34" s="217" t="s">
        <v>1477</v>
      </c>
      <c r="D34" s="216">
        <v>64</v>
      </c>
      <c r="E34" s="216" t="str">
        <f>VLOOKUP(B34,Tutti!$B$2:$C$598,2,FALSE)</f>
        <v>SPA</v>
      </c>
      <c r="F34" t="b">
        <f t="shared" si="0"/>
        <v>1</v>
      </c>
      <c r="G34" s="183" t="str">
        <f t="shared" si="1"/>
        <v>SPA</v>
      </c>
      <c r="I34" s="425"/>
      <c r="J34" s="425"/>
      <c r="K34" s="425"/>
    </row>
    <row r="35" spans="1:11" ht="15">
      <c r="A35" s="217" t="s">
        <v>35</v>
      </c>
      <c r="B35" s="217" t="s">
        <v>1868</v>
      </c>
      <c r="C35" s="217" t="s">
        <v>687</v>
      </c>
      <c r="D35" s="216">
        <v>20</v>
      </c>
      <c r="E35" s="216" t="str">
        <f>VLOOKUP(B35,Tutti!$B$2:$C$598,2,FALSE)</f>
        <v>TOR</v>
      </c>
      <c r="F35" t="b">
        <f t="shared" si="0"/>
        <v>1</v>
      </c>
      <c r="G35" s="183" t="str">
        <f t="shared" si="1"/>
        <v>TOR</v>
      </c>
      <c r="I35" s="425"/>
      <c r="J35" s="425"/>
      <c r="K35" s="425"/>
    </row>
    <row r="36" spans="1:11" ht="15">
      <c r="A36" s="217" t="s">
        <v>35</v>
      </c>
      <c r="B36" s="217" t="s">
        <v>379</v>
      </c>
      <c r="C36" s="217" t="s">
        <v>691</v>
      </c>
      <c r="D36" s="216">
        <v>74</v>
      </c>
      <c r="E36" s="216" t="str">
        <f>VLOOKUP(B36,Tutti!$B$2:$C$598,2,FALSE)</f>
        <v>BOL</v>
      </c>
      <c r="F36" t="b">
        <f t="shared" si="0"/>
        <v>1</v>
      </c>
      <c r="G36" s="183" t="str">
        <f t="shared" si="1"/>
        <v>BOL</v>
      </c>
      <c r="I36" s="425"/>
      <c r="J36" s="425"/>
      <c r="K36" s="425"/>
    </row>
    <row r="37" spans="1:11" ht="15">
      <c r="A37" s="217" t="s">
        <v>35</v>
      </c>
      <c r="B37" s="217" t="s">
        <v>1679</v>
      </c>
      <c r="C37" s="217" t="s">
        <v>1674</v>
      </c>
      <c r="D37" s="216">
        <v>62</v>
      </c>
      <c r="E37" s="216" t="str">
        <f>VLOOKUP(B37,Tutti!$B$2:$C$598,2,FALSE)</f>
        <v>VER</v>
      </c>
      <c r="F37" t="b">
        <f t="shared" si="0"/>
        <v>1</v>
      </c>
      <c r="G37" s="183" t="str">
        <f t="shared" si="1"/>
        <v>VER</v>
      </c>
      <c r="I37" s="425"/>
      <c r="J37" s="425"/>
      <c r="K37" s="425"/>
    </row>
    <row r="38" spans="1:11" ht="15">
      <c r="A38" s="217" t="s">
        <v>35</v>
      </c>
      <c r="B38" s="217" t="s">
        <v>385</v>
      </c>
      <c r="C38" s="217" t="s">
        <v>677</v>
      </c>
      <c r="D38" s="216">
        <v>20</v>
      </c>
      <c r="E38" s="216" t="str">
        <f>VLOOKUP(B38,Tutti!$B$2:$C$598,2,FALSE)</f>
        <v>INT</v>
      </c>
      <c r="F38" t="b">
        <f t="shared" si="0"/>
        <v>1</v>
      </c>
      <c r="G38" s="183" t="str">
        <f t="shared" si="1"/>
        <v>INT</v>
      </c>
      <c r="I38" s="425"/>
      <c r="J38" s="425"/>
      <c r="K38" s="425"/>
    </row>
    <row r="39" spans="1:11" ht="15">
      <c r="A39" s="217" t="s">
        <v>35</v>
      </c>
      <c r="B39" s="217" t="s">
        <v>387</v>
      </c>
      <c r="C39" s="217" t="s">
        <v>685</v>
      </c>
      <c r="D39" s="216">
        <v>20</v>
      </c>
      <c r="E39" s="216" t="str">
        <f>VLOOKUP(B39,Tutti!$B$2:$C$598,2,FALSE)</f>
        <v>SAS</v>
      </c>
      <c r="F39" t="b">
        <f t="shared" si="0"/>
        <v>1</v>
      </c>
      <c r="G39" s="183" t="str">
        <f t="shared" si="1"/>
        <v>SAS</v>
      </c>
      <c r="I39" s="425"/>
      <c r="J39" s="425"/>
      <c r="K39" s="425"/>
    </row>
    <row r="40" spans="1:11" ht="15">
      <c r="A40" s="217" t="s">
        <v>35</v>
      </c>
      <c r="B40" s="217" t="s">
        <v>392</v>
      </c>
      <c r="C40" s="217" t="s">
        <v>679</v>
      </c>
      <c r="D40" s="216">
        <v>78</v>
      </c>
      <c r="E40" s="216" t="str">
        <f>VLOOKUP(B40,Tutti!$B$2:$C$598,2,FALSE)</f>
        <v>GEN</v>
      </c>
      <c r="F40" t="b">
        <f t="shared" si="0"/>
        <v>1</v>
      </c>
      <c r="G40" s="183" t="str">
        <f t="shared" si="1"/>
        <v>GEN</v>
      </c>
      <c r="I40" s="425"/>
      <c r="J40" s="425"/>
      <c r="K40" s="425"/>
    </row>
    <row r="41" spans="1:11" ht="15">
      <c r="A41" s="217" t="s">
        <v>35</v>
      </c>
      <c r="B41" s="217" t="s">
        <v>1684</v>
      </c>
      <c r="C41" s="217" t="s">
        <v>676</v>
      </c>
      <c r="D41" s="216">
        <v>5</v>
      </c>
      <c r="E41" s="216" t="str">
        <f>VLOOKUP(B41,Tutti!$B$2:$C$598,2,FALSE)</f>
        <v>JUV</v>
      </c>
      <c r="F41" t="b">
        <f t="shared" si="0"/>
        <v>1</v>
      </c>
      <c r="G41" s="183" t="str">
        <f t="shared" si="1"/>
        <v>JUV</v>
      </c>
      <c r="I41" s="425"/>
      <c r="J41" s="425"/>
      <c r="K41" s="425"/>
    </row>
    <row r="42" spans="1:11" ht="15">
      <c r="A42" s="217" t="s">
        <v>35</v>
      </c>
      <c r="B42" s="217" t="s">
        <v>1683</v>
      </c>
      <c r="C42" s="217" t="s">
        <v>1672</v>
      </c>
      <c r="D42" s="216">
        <v>5</v>
      </c>
      <c r="E42" s="216" t="str">
        <f>VLOOKUP(B42,Tutti!$B$2:$C$598,2,FALSE)</f>
        <v>BEN</v>
      </c>
      <c r="F42" t="b">
        <f t="shared" si="0"/>
        <v>1</v>
      </c>
      <c r="G42" s="183" t="str">
        <f t="shared" si="1"/>
        <v>BEN</v>
      </c>
      <c r="I42" s="425"/>
      <c r="J42" s="425"/>
      <c r="K42" s="425"/>
    </row>
    <row r="43" spans="1:11" ht="15">
      <c r="A43" s="217" t="s">
        <v>35</v>
      </c>
      <c r="B43" s="217" t="s">
        <v>1691</v>
      </c>
      <c r="C43" s="217" t="s">
        <v>1477</v>
      </c>
      <c r="D43" s="216">
        <v>5</v>
      </c>
      <c r="E43" s="216" t="str">
        <f>VLOOKUP(B43,Tutti!$B$2:$C$598,2,FALSE)</f>
        <v>SPA</v>
      </c>
      <c r="F43" t="b">
        <f t="shared" si="0"/>
        <v>1</v>
      </c>
      <c r="G43" s="183" t="str">
        <f t="shared" si="1"/>
        <v>SPA</v>
      </c>
      <c r="I43" s="425"/>
      <c r="J43" s="425"/>
      <c r="K43" s="425"/>
    </row>
    <row r="44" spans="1:11" ht="15">
      <c r="A44" s="217" t="s">
        <v>35</v>
      </c>
      <c r="B44" s="217" t="s">
        <v>402</v>
      </c>
      <c r="C44" s="217" t="s">
        <v>688</v>
      </c>
      <c r="D44" s="216">
        <v>30</v>
      </c>
      <c r="E44" s="216" t="str">
        <f>VLOOKUP(B44,Tutti!$B$2:$C$598,2,FALSE)</f>
        <v>SAM</v>
      </c>
      <c r="F44" t="b">
        <f t="shared" si="0"/>
        <v>1</v>
      </c>
      <c r="G44" s="183" t="str">
        <f t="shared" si="1"/>
        <v>SAM</v>
      </c>
      <c r="I44" s="425"/>
      <c r="J44" s="425"/>
      <c r="K44" s="425"/>
    </row>
    <row r="45" spans="1:11" ht="15">
      <c r="A45" s="217" t="s">
        <v>35</v>
      </c>
      <c r="B45" s="217" t="s">
        <v>409</v>
      </c>
      <c r="C45" s="217" t="s">
        <v>700</v>
      </c>
      <c r="D45" s="216">
        <v>25</v>
      </c>
      <c r="E45" s="216" t="str">
        <f>VLOOKUP(B45,Tutti!$B$2:$C$598,2,FALSE)</f>
        <v>CAG</v>
      </c>
      <c r="F45" t="b">
        <f t="shared" si="0"/>
        <v>1</v>
      </c>
      <c r="G45" s="183" t="str">
        <f t="shared" si="1"/>
        <v>CAG</v>
      </c>
      <c r="I45" s="425"/>
      <c r="J45" s="425"/>
      <c r="K45" s="425"/>
    </row>
    <row r="46" spans="1:11" ht="15">
      <c r="A46" s="217" t="s">
        <v>35</v>
      </c>
      <c r="B46" s="217" t="s">
        <v>412</v>
      </c>
      <c r="C46" s="217" t="s">
        <v>681</v>
      </c>
      <c r="D46" s="216">
        <v>20</v>
      </c>
      <c r="E46" s="216" t="str">
        <f>VLOOKUP(B46,Tutti!$B$2:$C$598,2,FALSE)</f>
        <v>NAP</v>
      </c>
      <c r="F46" t="b">
        <f t="shared" si="0"/>
        <v>1</v>
      </c>
      <c r="G46" s="183" t="str">
        <f t="shared" si="1"/>
        <v>NAP</v>
      </c>
      <c r="I46" s="425"/>
      <c r="J46" s="425"/>
      <c r="K46" s="425"/>
    </row>
    <row r="47" spans="1:11" ht="15">
      <c r="A47" s="217" t="s">
        <v>35</v>
      </c>
      <c r="B47" s="217" t="s">
        <v>416</v>
      </c>
      <c r="C47" s="217" t="s">
        <v>681</v>
      </c>
      <c r="D47" s="216">
        <v>90</v>
      </c>
      <c r="E47" s="216" t="str">
        <f>VLOOKUP(B47,Tutti!$B$2:$C$598,2,FALSE)</f>
        <v>NAP</v>
      </c>
      <c r="F47" t="b">
        <f t="shared" si="0"/>
        <v>1</v>
      </c>
      <c r="G47" s="183" t="str">
        <f t="shared" si="1"/>
        <v>NAP</v>
      </c>
      <c r="I47" s="425"/>
      <c r="J47" s="425"/>
      <c r="K47" s="425"/>
    </row>
    <row r="48" spans="1:11" ht="15">
      <c r="A48" s="217" t="s">
        <v>35</v>
      </c>
      <c r="B48" s="217" t="s">
        <v>1935</v>
      </c>
      <c r="C48" s="217" t="s">
        <v>686</v>
      </c>
      <c r="D48" s="216">
        <v>5</v>
      </c>
      <c r="E48" s="216" t="str">
        <f>VLOOKUP(B48,Tutti!$B$2:$C$598,2,FALSE)</f>
        <v>ATA</v>
      </c>
      <c r="F48" t="b">
        <f t="shared" si="0"/>
        <v>1</v>
      </c>
      <c r="G48" s="183" t="str">
        <f t="shared" si="1"/>
        <v>ATA</v>
      </c>
      <c r="I48" s="425"/>
      <c r="J48" s="425"/>
      <c r="K48" s="425"/>
    </row>
    <row r="49" spans="1:11" ht="15">
      <c r="A49" s="217" t="s">
        <v>35</v>
      </c>
      <c r="B49" s="217" t="s">
        <v>1682</v>
      </c>
      <c r="C49" s="217" t="s">
        <v>691</v>
      </c>
      <c r="D49" s="216">
        <v>5</v>
      </c>
      <c r="E49" s="216" t="str">
        <f>VLOOKUP(B49,Tutti!$B$2:$C$598,2,FALSE)</f>
        <v>BOL</v>
      </c>
      <c r="F49" t="b">
        <f t="shared" si="0"/>
        <v>1</v>
      </c>
      <c r="G49" s="183" t="str">
        <f t="shared" si="1"/>
        <v>BOL</v>
      </c>
      <c r="I49" s="425"/>
      <c r="J49" s="425"/>
      <c r="K49" s="425"/>
    </row>
    <row r="50" spans="1:11" ht="15">
      <c r="A50" s="217" t="s">
        <v>35</v>
      </c>
      <c r="B50" s="217" t="s">
        <v>921</v>
      </c>
      <c r="C50" s="217" t="s">
        <v>685</v>
      </c>
      <c r="D50" s="216">
        <v>5</v>
      </c>
      <c r="E50" s="216" t="str">
        <f>VLOOKUP(B50,Tutti!$B$2:$C$598,2,FALSE)</f>
        <v>SAS</v>
      </c>
      <c r="F50" t="b">
        <f t="shared" si="0"/>
        <v>1</v>
      </c>
      <c r="G50" s="183" t="str">
        <f t="shared" si="1"/>
        <v>SAS</v>
      </c>
      <c r="I50" s="425"/>
      <c r="J50" s="425"/>
      <c r="K50" s="425"/>
    </row>
    <row r="51" spans="1:11" ht="15">
      <c r="A51" s="217" t="s">
        <v>35</v>
      </c>
      <c r="B51" s="217" t="s">
        <v>420</v>
      </c>
      <c r="C51" s="217" t="s">
        <v>684</v>
      </c>
      <c r="D51" s="216">
        <v>74</v>
      </c>
      <c r="E51" s="216" t="str">
        <f>VLOOKUP(B51,Tutti!$B$2:$C$598,2,FALSE)</f>
        <v>UDI</v>
      </c>
      <c r="F51" t="b">
        <f t="shared" si="0"/>
        <v>1</v>
      </c>
      <c r="G51" s="183" t="str">
        <f t="shared" si="1"/>
        <v>UDI</v>
      </c>
      <c r="I51" s="425"/>
      <c r="J51" s="425"/>
      <c r="K51" s="425"/>
    </row>
    <row r="52" spans="1:11" ht="15">
      <c r="A52" s="217" t="s">
        <v>35</v>
      </c>
      <c r="B52" s="217" t="s">
        <v>423</v>
      </c>
      <c r="C52" s="217" t="s">
        <v>680</v>
      </c>
      <c r="D52" s="216">
        <v>20</v>
      </c>
      <c r="E52" s="216" t="str">
        <f>VLOOKUP(B52,Tutti!$B$2:$C$598,2,FALSE)</f>
        <v>CHI</v>
      </c>
      <c r="F52" t="b">
        <f t="shared" si="0"/>
        <v>1</v>
      </c>
      <c r="G52" s="183" t="str">
        <f t="shared" si="1"/>
        <v>CHI</v>
      </c>
      <c r="I52" s="425"/>
      <c r="J52" s="425"/>
      <c r="K52" s="425"/>
    </row>
    <row r="53" spans="1:11" ht="15">
      <c r="A53" s="217" t="s">
        <v>35</v>
      </c>
      <c r="B53" s="217" t="s">
        <v>426</v>
      </c>
      <c r="C53" s="217" t="s">
        <v>681</v>
      </c>
      <c r="D53" s="216">
        <v>5</v>
      </c>
      <c r="E53" s="216" t="str">
        <f>VLOOKUP(B53,Tutti!$B$2:$C$598,2,FALSE)</f>
        <v>NAP</v>
      </c>
      <c r="F53" t="b">
        <f t="shared" si="0"/>
        <v>1</v>
      </c>
      <c r="G53" s="183" t="str">
        <f t="shared" si="1"/>
        <v>NAP</v>
      </c>
      <c r="I53" s="425"/>
      <c r="J53" s="425"/>
      <c r="K53" s="425"/>
    </row>
    <row r="54" spans="1:11" ht="15">
      <c r="A54" s="217" t="s">
        <v>35</v>
      </c>
      <c r="B54" s="217" t="s">
        <v>1681</v>
      </c>
      <c r="C54" s="217" t="s">
        <v>1674</v>
      </c>
      <c r="D54" s="216">
        <v>20</v>
      </c>
      <c r="E54" s="216" t="str">
        <f>VLOOKUP(B54,Tutti!$B$2:$C$598,2,FALSE)</f>
        <v>VER</v>
      </c>
      <c r="F54" t="b">
        <f t="shared" si="0"/>
        <v>1</v>
      </c>
      <c r="G54" s="183" t="str">
        <f t="shared" si="1"/>
        <v>VER</v>
      </c>
      <c r="I54" s="425"/>
      <c r="J54" s="425"/>
      <c r="K54" s="425"/>
    </row>
    <row r="55" spans="1:11" ht="15">
      <c r="A55" s="217" t="s">
        <v>35</v>
      </c>
      <c r="B55" s="217" t="s">
        <v>1676</v>
      </c>
      <c r="C55" s="217" t="s">
        <v>687</v>
      </c>
      <c r="D55" s="216">
        <v>80</v>
      </c>
      <c r="E55" s="216" t="str">
        <f>VLOOKUP(B55,Tutti!$B$2:$C$598,2,FALSE)</f>
        <v>TOR</v>
      </c>
      <c r="F55" t="b">
        <f t="shared" si="0"/>
        <v>1</v>
      </c>
      <c r="G55" s="183" t="str">
        <f t="shared" si="1"/>
        <v>TOR</v>
      </c>
      <c r="I55" s="425"/>
      <c r="J55" s="425"/>
      <c r="K55" s="425"/>
    </row>
    <row r="56" spans="1:11" ht="15">
      <c r="A56" s="217" t="s">
        <v>35</v>
      </c>
      <c r="B56" s="217" t="s">
        <v>428</v>
      </c>
      <c r="C56" s="217" t="s">
        <v>695</v>
      </c>
      <c r="D56" s="216">
        <v>35</v>
      </c>
      <c r="E56" s="216" t="str">
        <f>VLOOKUP(B56,Tutti!$B$2:$C$598,2,FALSE)</f>
        <v>ROM</v>
      </c>
      <c r="F56" t="b">
        <f t="shared" si="0"/>
        <v>1</v>
      </c>
      <c r="G56" s="183" t="str">
        <f t="shared" si="1"/>
        <v>ROM</v>
      </c>
      <c r="I56" s="425"/>
      <c r="J56" s="425"/>
      <c r="K56" s="425"/>
    </row>
    <row r="57" spans="1:11" ht="15">
      <c r="A57" s="217" t="s">
        <v>35</v>
      </c>
      <c r="B57" s="217" t="s">
        <v>431</v>
      </c>
      <c r="C57" s="217" t="s">
        <v>680</v>
      </c>
      <c r="D57" s="216">
        <v>77</v>
      </c>
      <c r="E57" s="216" t="str">
        <f>VLOOKUP(B57,Tutti!$B$2:$C$598,2,FALSE)</f>
        <v>CHI</v>
      </c>
      <c r="F57" t="b">
        <f t="shared" si="0"/>
        <v>1</v>
      </c>
      <c r="G57" s="183" t="str">
        <f t="shared" si="1"/>
        <v>CHI</v>
      </c>
      <c r="I57" s="425"/>
      <c r="J57" s="425"/>
      <c r="K57" s="425"/>
    </row>
    <row r="58" spans="1:11" ht="15">
      <c r="A58" s="217" t="s">
        <v>35</v>
      </c>
      <c r="B58" s="217" t="s">
        <v>432</v>
      </c>
      <c r="C58" s="217" t="s">
        <v>692</v>
      </c>
      <c r="D58" s="216">
        <v>78</v>
      </c>
      <c r="E58" s="216" t="str">
        <f>VLOOKUP(B58,Tutti!$B$2:$C$598,2,FALSE)</f>
        <v>FIO</v>
      </c>
      <c r="F58" t="b">
        <f t="shared" si="0"/>
        <v>1</v>
      </c>
      <c r="G58" s="183" t="str">
        <f t="shared" si="1"/>
        <v>FIO</v>
      </c>
      <c r="I58" s="425"/>
      <c r="J58" s="425"/>
      <c r="K58" s="425"/>
    </row>
    <row r="59" spans="1:11" ht="15">
      <c r="A59" s="217" t="s">
        <v>35</v>
      </c>
      <c r="B59" s="217" t="s">
        <v>434</v>
      </c>
      <c r="C59" s="217" t="s">
        <v>678</v>
      </c>
      <c r="D59" s="216">
        <v>20</v>
      </c>
      <c r="E59" s="216" t="str">
        <f>VLOOKUP(B59,Tutti!$B$2:$C$598,2,FALSE)</f>
        <v>MIL</v>
      </c>
      <c r="F59" t="b">
        <f t="shared" si="0"/>
        <v>1</v>
      </c>
      <c r="G59" s="183" t="str">
        <f t="shared" si="1"/>
        <v>MIL</v>
      </c>
      <c r="I59" s="425"/>
      <c r="J59" s="425"/>
      <c r="K59" s="425"/>
    </row>
    <row r="60" spans="1:11" ht="15">
      <c r="A60" s="217" t="s">
        <v>35</v>
      </c>
      <c r="B60" s="217" t="s">
        <v>1444</v>
      </c>
      <c r="C60" s="217" t="s">
        <v>682</v>
      </c>
      <c r="D60" s="216">
        <v>82</v>
      </c>
      <c r="E60" s="216" t="str">
        <f>VLOOKUP(B60,Tutti!$B$2:$C$598,2,FALSE)</f>
        <v>LAZ</v>
      </c>
      <c r="F60" t="b">
        <f t="shared" si="0"/>
        <v>1</v>
      </c>
      <c r="G60" s="183" t="str">
        <f t="shared" si="1"/>
        <v>LAZ</v>
      </c>
      <c r="I60" s="425"/>
      <c r="J60" s="425"/>
      <c r="K60" s="425"/>
    </row>
    <row r="61" spans="1:11" ht="15">
      <c r="A61" s="217" t="s">
        <v>35</v>
      </c>
      <c r="B61" s="217" t="s">
        <v>886</v>
      </c>
      <c r="C61" s="217" t="s">
        <v>676</v>
      </c>
      <c r="D61" s="216">
        <v>35</v>
      </c>
      <c r="E61" s="216" t="str">
        <f>VLOOKUP(B61,Tutti!$B$2:$C$598,2,FALSE)</f>
        <v>JUV</v>
      </c>
      <c r="F61" t="b">
        <f t="shared" si="0"/>
        <v>1</v>
      </c>
      <c r="G61" s="183" t="str">
        <f t="shared" si="1"/>
        <v>JUV</v>
      </c>
      <c r="I61" s="425"/>
      <c r="J61" s="425"/>
      <c r="K61" s="425"/>
    </row>
    <row r="62" spans="1:11" ht="15">
      <c r="A62" s="217" t="s">
        <v>35</v>
      </c>
      <c r="B62" s="217" t="s">
        <v>439</v>
      </c>
      <c r="C62" s="217" t="s">
        <v>688</v>
      </c>
      <c r="D62" s="216">
        <v>5</v>
      </c>
      <c r="E62" s="216" t="str">
        <f>VLOOKUP(B62,Tutti!$B$2:$C$598,2,FALSE)</f>
        <v>SAM</v>
      </c>
      <c r="F62" t="b">
        <f t="shared" si="0"/>
        <v>1</v>
      </c>
      <c r="G62" s="183" t="str">
        <f t="shared" si="1"/>
        <v>SAM</v>
      </c>
      <c r="I62" s="425"/>
      <c r="J62" s="425"/>
      <c r="K62" s="425"/>
    </row>
    <row r="63" spans="1:11" ht="15">
      <c r="A63" s="217" t="s">
        <v>35</v>
      </c>
      <c r="B63" s="217" t="s">
        <v>442</v>
      </c>
      <c r="C63" s="217" t="s">
        <v>682</v>
      </c>
      <c r="D63" s="216">
        <v>15</v>
      </c>
      <c r="E63" s="216" t="str">
        <f>VLOOKUP(B63,Tutti!$B$2:$C$598,2,FALSE)</f>
        <v>LAZ</v>
      </c>
      <c r="F63" t="b">
        <f t="shared" si="0"/>
        <v>1</v>
      </c>
      <c r="G63" s="183" t="str">
        <f t="shared" si="1"/>
        <v>LAZ</v>
      </c>
      <c r="I63" s="425"/>
      <c r="J63" s="425"/>
      <c r="K63" s="425"/>
    </row>
    <row r="64" spans="1:11" ht="15">
      <c r="A64" s="217" t="s">
        <v>35</v>
      </c>
      <c r="B64" s="217" t="s">
        <v>1689</v>
      </c>
      <c r="C64" s="217" t="s">
        <v>701</v>
      </c>
      <c r="D64" s="216">
        <v>5</v>
      </c>
      <c r="E64" s="216" t="str">
        <f>VLOOKUP(B64,Tutti!$B$2:$C$598,2,FALSE)</f>
        <v>CRO</v>
      </c>
      <c r="F64" t="b">
        <f t="shared" si="0"/>
        <v>1</v>
      </c>
      <c r="G64" s="183" t="str">
        <f t="shared" si="1"/>
        <v>CRO</v>
      </c>
      <c r="I64" s="425"/>
      <c r="J64" s="425"/>
      <c r="K64" s="425"/>
    </row>
    <row r="65" spans="1:11" ht="15">
      <c r="A65" s="217" t="s">
        <v>35</v>
      </c>
      <c r="B65" s="217" t="s">
        <v>446</v>
      </c>
      <c r="C65" s="217" t="s">
        <v>688</v>
      </c>
      <c r="D65" s="216">
        <v>80</v>
      </c>
      <c r="E65" s="216" t="s">
        <v>725</v>
      </c>
      <c r="F65" t="b">
        <f t="shared" si="0"/>
        <v>1</v>
      </c>
      <c r="G65" s="183" t="str">
        <f t="shared" si="1"/>
        <v>SAM</v>
      </c>
      <c r="I65" s="425"/>
      <c r="J65" s="425"/>
      <c r="K65" s="425"/>
    </row>
    <row r="66" spans="1:11" ht="15">
      <c r="A66" s="217" t="s">
        <v>35</v>
      </c>
      <c r="B66" s="217" t="s">
        <v>448</v>
      </c>
      <c r="C66" s="217" t="s">
        <v>679</v>
      </c>
      <c r="D66" s="216">
        <v>5</v>
      </c>
      <c r="E66" s="216" t="str">
        <f>VLOOKUP(B66,Tutti!$B$2:$C$598,2,FALSE)</f>
        <v>GEN</v>
      </c>
      <c r="F66" t="b">
        <f t="shared" ref="F66:F129" si="2">E66=MID(C66,1,3)</f>
        <v>1</v>
      </c>
      <c r="G66" s="183" t="str">
        <f t="shared" ref="G66:G129" si="3">UPPER(MID(C66,1,3))</f>
        <v>GEN</v>
      </c>
      <c r="I66" s="425"/>
      <c r="J66" s="425"/>
      <c r="K66" s="425"/>
    </row>
    <row r="67" spans="1:11" ht="15">
      <c r="A67" s="217" t="s">
        <v>37</v>
      </c>
      <c r="B67" s="217" t="s">
        <v>298</v>
      </c>
      <c r="C67" s="217" t="s">
        <v>678</v>
      </c>
      <c r="D67" s="216">
        <v>68</v>
      </c>
      <c r="E67" s="216" t="str">
        <f>VLOOKUP(B67,Tutti!$B$2:$C$598,2,FALSE)</f>
        <v>MIL</v>
      </c>
      <c r="F67" t="b">
        <f t="shared" si="2"/>
        <v>1</v>
      </c>
      <c r="G67" s="183" t="str">
        <f t="shared" si="3"/>
        <v>MIL</v>
      </c>
      <c r="I67" s="425"/>
      <c r="J67" s="425"/>
      <c r="K67" s="425"/>
    </row>
    <row r="68" spans="1:11" ht="15">
      <c r="A68" s="217" t="s">
        <v>37</v>
      </c>
      <c r="B68" s="217" t="s">
        <v>301</v>
      </c>
      <c r="C68" s="217" t="s">
        <v>685</v>
      </c>
      <c r="D68" s="216">
        <v>93</v>
      </c>
      <c r="E68" s="216" t="str">
        <f>VLOOKUP(B68,Tutti!$B$2:$C$598,2,FALSE)</f>
        <v>SAS</v>
      </c>
      <c r="F68" t="b">
        <f t="shared" si="2"/>
        <v>1</v>
      </c>
      <c r="G68" s="183" t="str">
        <f t="shared" si="3"/>
        <v>SAS</v>
      </c>
      <c r="I68" s="425"/>
      <c r="J68" s="425"/>
      <c r="K68" s="425"/>
    </row>
    <row r="69" spans="1:11" ht="15">
      <c r="A69" s="217" t="s">
        <v>37</v>
      </c>
      <c r="B69" s="217" t="s">
        <v>1286</v>
      </c>
      <c r="C69" s="217" t="s">
        <v>685</v>
      </c>
      <c r="D69" s="216">
        <v>60</v>
      </c>
      <c r="E69" s="216" t="str">
        <f>VLOOKUP(B69,Tutti!$B$2:$C$598,2,FALSE)</f>
        <v>SAS</v>
      </c>
      <c r="F69" t="b">
        <f t="shared" si="2"/>
        <v>1</v>
      </c>
      <c r="G69" s="183" t="str">
        <f t="shared" si="3"/>
        <v>SAS</v>
      </c>
      <c r="I69" s="425"/>
      <c r="J69" s="425"/>
      <c r="K69" s="425"/>
    </row>
    <row r="70" spans="1:11" ht="15">
      <c r="A70" s="217" t="s">
        <v>37</v>
      </c>
      <c r="B70" s="217" t="s">
        <v>304</v>
      </c>
      <c r="C70" s="217" t="s">
        <v>684</v>
      </c>
      <c r="D70" s="216">
        <v>65</v>
      </c>
      <c r="E70" s="216" t="str">
        <f>VLOOKUP(B70,Tutti!$B$2:$C$598,2,FALSE)</f>
        <v>UDI</v>
      </c>
      <c r="F70" t="b">
        <f t="shared" si="2"/>
        <v>1</v>
      </c>
      <c r="G70" s="183" t="str">
        <f t="shared" si="3"/>
        <v>UDI</v>
      </c>
      <c r="I70" s="425"/>
      <c r="J70" s="425"/>
      <c r="K70" s="425"/>
    </row>
    <row r="71" spans="1:11" ht="15">
      <c r="A71" s="217" t="s">
        <v>37</v>
      </c>
      <c r="B71" s="217" t="s">
        <v>306</v>
      </c>
      <c r="C71" s="217" t="s">
        <v>701</v>
      </c>
      <c r="D71" s="216">
        <v>69</v>
      </c>
      <c r="E71" s="216" t="str">
        <f>VLOOKUP(B71,Tutti!$B$2:$C$598,2,FALSE)</f>
        <v>CRO</v>
      </c>
      <c r="F71" t="b">
        <f t="shared" si="2"/>
        <v>1</v>
      </c>
      <c r="G71" s="183" t="str">
        <f t="shared" si="3"/>
        <v>CRO</v>
      </c>
      <c r="I71" s="425"/>
      <c r="J71" s="425"/>
      <c r="K71" s="425"/>
    </row>
    <row r="72" spans="1:11" ht="15">
      <c r="A72" s="217" t="s">
        <v>37</v>
      </c>
      <c r="B72" s="217" t="s">
        <v>1866</v>
      </c>
      <c r="C72" s="217" t="s">
        <v>1674</v>
      </c>
      <c r="D72" s="216">
        <v>45</v>
      </c>
      <c r="E72" s="216" t="str">
        <f>VLOOKUP(B72,Tutti!$B$2:$C$598,2,FALSE)</f>
        <v>VER</v>
      </c>
      <c r="F72" t="b">
        <f t="shared" si="2"/>
        <v>1</v>
      </c>
      <c r="G72" s="183" t="str">
        <f t="shared" si="3"/>
        <v>VER</v>
      </c>
      <c r="I72" s="425"/>
      <c r="J72" s="425"/>
      <c r="K72" s="425"/>
    </row>
    <row r="73" spans="1:11" ht="15">
      <c r="A73" s="217" t="s">
        <v>37</v>
      </c>
      <c r="B73" s="217" t="s">
        <v>308</v>
      </c>
      <c r="C73" s="217" t="s">
        <v>681</v>
      </c>
      <c r="D73" s="216">
        <v>88</v>
      </c>
      <c r="E73" s="216" t="str">
        <f>VLOOKUP(B73,Tutti!$B$2:$C$598,2,FALSE)</f>
        <v>NAP</v>
      </c>
      <c r="F73" t="b">
        <f t="shared" si="2"/>
        <v>1</v>
      </c>
      <c r="G73" s="183" t="str">
        <f t="shared" si="3"/>
        <v>NAP</v>
      </c>
      <c r="I73" s="425"/>
      <c r="J73" s="425"/>
      <c r="K73" s="425"/>
    </row>
    <row r="74" spans="1:11" ht="15">
      <c r="A74" s="217" t="s">
        <v>37</v>
      </c>
      <c r="B74" s="217" t="s">
        <v>312</v>
      </c>
      <c r="C74" s="217" t="s">
        <v>676</v>
      </c>
      <c r="D74" s="216">
        <v>94</v>
      </c>
      <c r="E74" s="216" t="str">
        <f>VLOOKUP(B74,Tutti!$B$2:$C$598,2,FALSE)</f>
        <v>JUV</v>
      </c>
      <c r="F74" t="b">
        <f t="shared" si="2"/>
        <v>1</v>
      </c>
      <c r="G74" s="183" t="str">
        <f t="shared" si="3"/>
        <v>JUV</v>
      </c>
      <c r="I74" s="425"/>
      <c r="J74" s="425"/>
      <c r="K74" s="425"/>
    </row>
    <row r="75" spans="1:11" ht="15">
      <c r="A75" s="217" t="s">
        <v>37</v>
      </c>
      <c r="B75" s="217" t="s">
        <v>1961</v>
      </c>
      <c r="C75" s="217" t="s">
        <v>688</v>
      </c>
      <c r="D75" s="216">
        <v>66</v>
      </c>
      <c r="E75" s="216" t="str">
        <f>VLOOKUP(B75,Tutti!$B$2:$C$598,2,FALSE)</f>
        <v>SAM</v>
      </c>
      <c r="F75" t="b">
        <f t="shared" si="2"/>
        <v>1</v>
      </c>
      <c r="G75" s="183" t="str">
        <f t="shared" si="3"/>
        <v>SAM</v>
      </c>
      <c r="I75" s="425"/>
      <c r="J75" s="425"/>
      <c r="K75" s="425"/>
    </row>
    <row r="76" spans="1:11" ht="15">
      <c r="A76" s="217" t="s">
        <v>37</v>
      </c>
      <c r="B76" s="217" t="s">
        <v>317</v>
      </c>
      <c r="C76" s="217" t="s">
        <v>700</v>
      </c>
      <c r="D76" s="216">
        <v>73</v>
      </c>
      <c r="E76" s="216" t="str">
        <f>VLOOKUP(B76,Tutti!$B$2:$C$598,2,FALSE)</f>
        <v>CAG</v>
      </c>
      <c r="F76" t="b">
        <f t="shared" si="2"/>
        <v>1</v>
      </c>
      <c r="G76" s="183" t="str">
        <f t="shared" si="3"/>
        <v>CAG</v>
      </c>
      <c r="I76" s="425"/>
      <c r="J76" s="425"/>
      <c r="K76" s="425"/>
    </row>
    <row r="77" spans="1:11" ht="15">
      <c r="A77" s="217" t="s">
        <v>37</v>
      </c>
      <c r="B77" s="217" t="s">
        <v>321</v>
      </c>
      <c r="C77" s="217" t="s">
        <v>684</v>
      </c>
      <c r="D77" s="216">
        <v>67</v>
      </c>
      <c r="E77" s="216" t="str">
        <f>VLOOKUP(B77,Tutti!$B$2:$C$598,2,FALSE)</f>
        <v>UDI</v>
      </c>
      <c r="F77" t="b">
        <f t="shared" si="2"/>
        <v>1</v>
      </c>
      <c r="G77" s="183" t="str">
        <f t="shared" si="3"/>
        <v>UDI</v>
      </c>
      <c r="I77" s="425"/>
      <c r="J77" s="425"/>
      <c r="K77" s="425"/>
    </row>
    <row r="78" spans="1:11" ht="15">
      <c r="A78" s="217" t="s">
        <v>37</v>
      </c>
      <c r="B78" s="217" t="s">
        <v>322</v>
      </c>
      <c r="C78" s="217" t="s">
        <v>687</v>
      </c>
      <c r="D78" s="216">
        <v>73</v>
      </c>
      <c r="E78" s="216" t="str">
        <f>VLOOKUP(B78,Tutti!$B$2:$C$598,2,FALSE)</f>
        <v>TOR</v>
      </c>
      <c r="F78" t="b">
        <f t="shared" si="2"/>
        <v>1</v>
      </c>
      <c r="G78" s="183" t="str">
        <f t="shared" si="3"/>
        <v>TOR</v>
      </c>
      <c r="I78" s="425"/>
      <c r="J78" s="425"/>
      <c r="K78" s="425"/>
    </row>
    <row r="79" spans="1:11" ht="15">
      <c r="A79" s="217" t="s">
        <v>37</v>
      </c>
      <c r="B79" s="217" t="s">
        <v>326</v>
      </c>
      <c r="C79" s="217" t="s">
        <v>1672</v>
      </c>
      <c r="D79" s="216">
        <v>66</v>
      </c>
      <c r="E79" s="216" t="str">
        <f>VLOOKUP(B79,Tutti!$B$2:$C$598,2,FALSE)</f>
        <v>BEN</v>
      </c>
      <c r="F79" t="b">
        <f t="shared" si="2"/>
        <v>1</v>
      </c>
      <c r="G79" s="183" t="str">
        <f t="shared" si="3"/>
        <v>BEN</v>
      </c>
      <c r="I79" s="425"/>
      <c r="J79" s="425"/>
      <c r="K79" s="425"/>
    </row>
    <row r="80" spans="1:11" ht="15">
      <c r="A80" s="217" t="s">
        <v>37</v>
      </c>
      <c r="B80" s="217" t="s">
        <v>330</v>
      </c>
      <c r="C80" s="217" t="s">
        <v>678</v>
      </c>
      <c r="D80" s="216">
        <v>65</v>
      </c>
      <c r="E80" s="216" t="str">
        <f>VLOOKUP(B80,Tutti!$B$2:$C$598,2,FALSE)</f>
        <v>MIL</v>
      </c>
      <c r="F80" t="b">
        <f t="shared" si="2"/>
        <v>1</v>
      </c>
      <c r="G80" s="183" t="str">
        <f t="shared" si="3"/>
        <v>MIL</v>
      </c>
      <c r="I80" s="425"/>
      <c r="J80" s="425"/>
      <c r="K80" s="425"/>
    </row>
    <row r="81" spans="1:11" ht="15">
      <c r="A81" s="217" t="s">
        <v>37</v>
      </c>
      <c r="B81" s="217" t="s">
        <v>309</v>
      </c>
      <c r="C81" s="217" t="s">
        <v>676</v>
      </c>
      <c r="D81" s="216">
        <v>70</v>
      </c>
      <c r="E81" s="216" t="str">
        <f>VLOOKUP(B81,Tutti!$B$2:$C$598,2,FALSE)</f>
        <v>JUV</v>
      </c>
      <c r="F81" t="b">
        <f t="shared" si="2"/>
        <v>1</v>
      </c>
      <c r="G81" s="183" t="str">
        <f t="shared" si="3"/>
        <v>JUV</v>
      </c>
      <c r="I81" s="425"/>
      <c r="J81" s="425"/>
      <c r="K81" s="425"/>
    </row>
    <row r="82" spans="1:11" ht="15">
      <c r="A82" s="217" t="s">
        <v>37</v>
      </c>
      <c r="B82" s="217" t="s">
        <v>336</v>
      </c>
      <c r="C82" s="217" t="s">
        <v>692</v>
      </c>
      <c r="D82" s="216">
        <v>84</v>
      </c>
      <c r="E82" s="216" t="str">
        <f>VLOOKUP(B82,Tutti!$B$2:$C$598,2,FALSE)</f>
        <v>FIO</v>
      </c>
      <c r="F82" t="b">
        <f t="shared" si="2"/>
        <v>1</v>
      </c>
      <c r="G82" s="183" t="str">
        <f t="shared" si="3"/>
        <v>FIO</v>
      </c>
      <c r="I82" s="425"/>
      <c r="J82" s="425"/>
      <c r="K82" s="425"/>
    </row>
    <row r="83" spans="1:11" ht="15">
      <c r="A83" s="217" t="s">
        <v>37</v>
      </c>
      <c r="B83" s="217" t="s">
        <v>339</v>
      </c>
      <c r="C83" s="217" t="s">
        <v>687</v>
      </c>
      <c r="D83" s="216">
        <v>70</v>
      </c>
      <c r="E83" s="216" t="e">
        <f>VLOOKUP(B83,Tutti!$B$2:$C$598,2,FALSE)</f>
        <v>#N/A</v>
      </c>
      <c r="F83" t="e">
        <f t="shared" si="2"/>
        <v>#N/A</v>
      </c>
      <c r="G83" s="183" t="str">
        <f t="shared" si="3"/>
        <v>TOR</v>
      </c>
      <c r="I83" s="425"/>
      <c r="J83" s="425"/>
      <c r="K83" s="425"/>
    </row>
    <row r="84" spans="1:11" ht="15">
      <c r="A84" s="217" t="s">
        <v>37</v>
      </c>
      <c r="B84" s="217" t="s">
        <v>1936</v>
      </c>
      <c r="C84" s="217" t="s">
        <v>700</v>
      </c>
      <c r="D84" s="216">
        <v>0</v>
      </c>
      <c r="E84" s="216" t="e">
        <f>VLOOKUP(B84,Tutti!$B$2:$C$598,2,FALSE)</f>
        <v>#N/A</v>
      </c>
      <c r="F84" t="e">
        <f t="shared" si="2"/>
        <v>#N/A</v>
      </c>
      <c r="G84" s="183" t="str">
        <f t="shared" si="3"/>
        <v>CAG</v>
      </c>
      <c r="I84" s="425"/>
      <c r="J84" s="425"/>
      <c r="K84" s="425"/>
    </row>
    <row r="85" spans="1:11" ht="15">
      <c r="A85" s="217" t="s">
        <v>37</v>
      </c>
      <c r="B85" s="217" t="s">
        <v>1726</v>
      </c>
      <c r="C85" s="217" t="s">
        <v>680</v>
      </c>
      <c r="D85" s="216">
        <v>59</v>
      </c>
      <c r="E85" s="216" t="str">
        <f>VLOOKUP(B85,Tutti!$B$2:$C$598,2,FALSE)</f>
        <v>CHI</v>
      </c>
      <c r="F85" t="b">
        <f t="shared" si="2"/>
        <v>1</v>
      </c>
      <c r="G85" s="183" t="str">
        <f t="shared" si="3"/>
        <v>CHI</v>
      </c>
      <c r="I85" s="425"/>
      <c r="J85" s="425"/>
      <c r="K85" s="425"/>
    </row>
    <row r="86" spans="1:11" ht="15">
      <c r="A86" s="217" t="s">
        <v>37</v>
      </c>
      <c r="B86" s="217" t="s">
        <v>345</v>
      </c>
      <c r="C86" s="217" t="s">
        <v>687</v>
      </c>
      <c r="D86" s="216">
        <v>75</v>
      </c>
      <c r="E86" s="216" t="str">
        <f>VLOOKUP(B86,Tutti!$B$2:$C$598,2,FALSE)</f>
        <v>TOR</v>
      </c>
      <c r="F86" t="b">
        <f t="shared" si="2"/>
        <v>1</v>
      </c>
      <c r="G86" s="183" t="str">
        <f t="shared" si="3"/>
        <v>TOR</v>
      </c>
      <c r="I86" s="425"/>
      <c r="J86" s="425"/>
      <c r="K86" s="425"/>
    </row>
    <row r="87" spans="1:11" ht="15">
      <c r="A87" s="217" t="s">
        <v>37</v>
      </c>
      <c r="B87" s="217" t="s">
        <v>349</v>
      </c>
      <c r="C87" s="217" t="s">
        <v>676</v>
      </c>
      <c r="D87" s="216">
        <v>74</v>
      </c>
      <c r="E87" s="216" t="str">
        <f>VLOOKUP(B87,Tutti!$B$2:$C$598,2,FALSE)</f>
        <v>JUV</v>
      </c>
      <c r="F87" t="b">
        <f t="shared" si="2"/>
        <v>1</v>
      </c>
      <c r="G87" s="183" t="str">
        <f t="shared" si="3"/>
        <v>JUV</v>
      </c>
      <c r="I87" s="425"/>
      <c r="J87" s="425"/>
      <c r="K87" s="425"/>
    </row>
    <row r="88" spans="1:11" ht="15">
      <c r="A88" s="217" t="s">
        <v>37</v>
      </c>
      <c r="B88" s="217" t="s">
        <v>353</v>
      </c>
      <c r="C88" s="217" t="s">
        <v>682</v>
      </c>
      <c r="D88" s="216">
        <v>74</v>
      </c>
      <c r="E88" s="216" t="str">
        <f>VLOOKUP(B88,Tutti!$B$2:$C$598,2,FALSE)</f>
        <v>LAZ</v>
      </c>
      <c r="F88" t="b">
        <f t="shared" si="2"/>
        <v>1</v>
      </c>
      <c r="G88" s="183" t="str">
        <f t="shared" si="3"/>
        <v>LAZ</v>
      </c>
      <c r="I88" s="425"/>
      <c r="J88" s="425"/>
      <c r="K88" s="425"/>
    </row>
    <row r="89" spans="1:11" ht="15">
      <c r="A89" s="217" t="s">
        <v>37</v>
      </c>
      <c r="B89" s="217" t="s">
        <v>1715</v>
      </c>
      <c r="C89" s="217" t="s">
        <v>686</v>
      </c>
      <c r="D89" s="216">
        <v>64</v>
      </c>
      <c r="E89" s="216" t="str">
        <f>VLOOKUP(B89,Tutti!$B$2:$C$598,2,FALSE)</f>
        <v>ATA</v>
      </c>
      <c r="F89" t="b">
        <f t="shared" si="2"/>
        <v>1</v>
      </c>
      <c r="G89" s="183" t="str">
        <f t="shared" si="3"/>
        <v>ATA</v>
      </c>
      <c r="I89" s="425"/>
      <c r="J89" s="425"/>
      <c r="K89" s="425"/>
    </row>
    <row r="90" spans="1:11" ht="15">
      <c r="A90" s="217" t="s">
        <v>37</v>
      </c>
      <c r="B90" s="217" t="s">
        <v>1289</v>
      </c>
      <c r="C90" s="217" t="s">
        <v>682</v>
      </c>
      <c r="D90" s="216">
        <v>67</v>
      </c>
      <c r="E90" s="216" t="str">
        <f>VLOOKUP(B90,Tutti!$B$2:$C$598,2,FALSE)</f>
        <v>LAZ</v>
      </c>
      <c r="F90" t="b">
        <f t="shared" si="2"/>
        <v>1</v>
      </c>
      <c r="G90" s="183" t="str">
        <f t="shared" si="3"/>
        <v>LAZ</v>
      </c>
      <c r="I90" s="425"/>
      <c r="J90" s="425"/>
      <c r="K90" s="425"/>
    </row>
    <row r="91" spans="1:11" ht="15">
      <c r="A91" s="217" t="s">
        <v>37</v>
      </c>
      <c r="B91" s="217" t="s">
        <v>360</v>
      </c>
      <c r="C91" s="217" t="s">
        <v>676</v>
      </c>
      <c r="D91" s="216">
        <v>82</v>
      </c>
      <c r="E91" s="216" t="str">
        <f>VLOOKUP(B91,Tutti!$B$2:$C$598,2,FALSE)</f>
        <v>JUV</v>
      </c>
      <c r="F91" t="b">
        <f t="shared" si="2"/>
        <v>1</v>
      </c>
      <c r="G91" s="183" t="str">
        <f t="shared" si="3"/>
        <v>JUV</v>
      </c>
      <c r="I91" s="425"/>
      <c r="J91" s="425"/>
      <c r="K91" s="425"/>
    </row>
    <row r="92" spans="1:11" ht="15">
      <c r="A92" s="217" t="s">
        <v>37</v>
      </c>
      <c r="B92" s="217" t="s">
        <v>1723</v>
      </c>
      <c r="C92" s="217" t="s">
        <v>688</v>
      </c>
      <c r="D92" s="216">
        <v>67</v>
      </c>
      <c r="E92" s="216" t="str">
        <f>VLOOKUP(B92,Tutti!$B$2:$C$598,2,FALSE)</f>
        <v>SAM</v>
      </c>
      <c r="F92" t="b">
        <f t="shared" si="2"/>
        <v>1</v>
      </c>
      <c r="G92" s="183" t="str">
        <f t="shared" si="3"/>
        <v>SAM</v>
      </c>
      <c r="I92" s="425"/>
      <c r="J92" s="425"/>
      <c r="K92" s="425"/>
    </row>
    <row r="93" spans="1:11" ht="15">
      <c r="A93" s="217" t="s">
        <v>37</v>
      </c>
      <c r="B93" s="217" t="s">
        <v>1730</v>
      </c>
      <c r="C93" s="217" t="s">
        <v>1674</v>
      </c>
      <c r="D93" s="216">
        <v>55</v>
      </c>
      <c r="E93" s="216" t="str">
        <f>VLOOKUP(B93,Tutti!$B$2:$C$598,2,FALSE)</f>
        <v>VER</v>
      </c>
      <c r="F93" t="b">
        <f t="shared" si="2"/>
        <v>1</v>
      </c>
      <c r="G93" s="183" t="str">
        <f t="shared" si="3"/>
        <v>VER</v>
      </c>
      <c r="I93" s="425"/>
      <c r="J93" s="425"/>
      <c r="K93" s="425"/>
    </row>
    <row r="94" spans="1:11" ht="15">
      <c r="A94" s="217" t="s">
        <v>37</v>
      </c>
      <c r="B94" s="217" t="s">
        <v>364</v>
      </c>
      <c r="C94" s="217" t="s">
        <v>692</v>
      </c>
      <c r="D94" s="216">
        <v>69</v>
      </c>
      <c r="E94" s="216" t="str">
        <f>VLOOKUP(B94,Tutti!$B$2:$C$598,2,FALSE)</f>
        <v>FIO</v>
      </c>
      <c r="F94" t="b">
        <f t="shared" si="2"/>
        <v>1</v>
      </c>
      <c r="G94" s="183" t="str">
        <f t="shared" si="3"/>
        <v>FIO</v>
      </c>
      <c r="I94" s="425"/>
      <c r="J94" s="425"/>
      <c r="K94" s="425"/>
    </row>
    <row r="95" spans="1:11" ht="15">
      <c r="A95" s="217" t="s">
        <v>37</v>
      </c>
      <c r="B95" s="217" t="s">
        <v>1337</v>
      </c>
      <c r="C95" s="217" t="s">
        <v>679</v>
      </c>
      <c r="D95" s="216">
        <v>64</v>
      </c>
      <c r="E95" s="216" t="str">
        <f>VLOOKUP(B95,Tutti!$B$2:$C$598,2,FALSE)</f>
        <v>GEN</v>
      </c>
      <c r="F95" t="b">
        <f t="shared" si="2"/>
        <v>1</v>
      </c>
      <c r="G95" s="183" t="str">
        <f t="shared" si="3"/>
        <v>GEN</v>
      </c>
      <c r="I95" s="425"/>
      <c r="J95" s="425"/>
      <c r="K95" s="425"/>
    </row>
    <row r="96" spans="1:11" ht="15">
      <c r="A96" s="217" t="s">
        <v>37</v>
      </c>
      <c r="B96" s="217" t="s">
        <v>1719</v>
      </c>
      <c r="C96" s="217" t="s">
        <v>684</v>
      </c>
      <c r="D96" s="216">
        <v>59</v>
      </c>
      <c r="E96" s="216" t="str">
        <f>VLOOKUP(B96,Tutti!$B$2:$C$598,2,FALSE)</f>
        <v>UDI</v>
      </c>
      <c r="F96" t="b">
        <f t="shared" si="2"/>
        <v>1</v>
      </c>
      <c r="G96" s="183" t="str">
        <f t="shared" si="3"/>
        <v>UDI</v>
      </c>
      <c r="I96" s="425"/>
      <c r="J96" s="425"/>
      <c r="K96" s="425"/>
    </row>
    <row r="97" spans="1:11" ht="15">
      <c r="A97" s="217" t="s">
        <v>37</v>
      </c>
      <c r="B97" s="217" t="s">
        <v>1714</v>
      </c>
      <c r="C97" s="217" t="s">
        <v>687</v>
      </c>
      <c r="D97" s="216">
        <v>62</v>
      </c>
      <c r="E97" s="216" t="str">
        <f>VLOOKUP(B97,Tutti!$B$2:$C$598,2,FALSE)</f>
        <v>TOR</v>
      </c>
      <c r="F97" t="b">
        <f t="shared" si="2"/>
        <v>1</v>
      </c>
      <c r="G97" s="183" t="str">
        <f t="shared" si="3"/>
        <v>TOR</v>
      </c>
      <c r="I97" s="425"/>
      <c r="J97" s="425"/>
      <c r="K97" s="425"/>
    </row>
    <row r="98" spans="1:11" ht="15">
      <c r="A98" s="217" t="s">
        <v>37</v>
      </c>
      <c r="B98" s="217" t="s">
        <v>371</v>
      </c>
      <c r="C98" s="217" t="s">
        <v>678</v>
      </c>
      <c r="D98" s="216">
        <v>95</v>
      </c>
      <c r="E98" s="216" t="str">
        <f>VLOOKUP(B98,Tutti!$B$2:$C$598,2,FALSE)</f>
        <v>MIL</v>
      </c>
      <c r="F98" t="b">
        <f t="shared" si="2"/>
        <v>1</v>
      </c>
      <c r="G98" s="183" t="str">
        <f t="shared" si="3"/>
        <v>MIL</v>
      </c>
      <c r="I98" s="425"/>
      <c r="J98" s="425"/>
      <c r="K98" s="425"/>
    </row>
    <row r="99" spans="1:11" ht="15">
      <c r="A99" s="217" t="s">
        <v>37</v>
      </c>
      <c r="B99" s="217" t="s">
        <v>376</v>
      </c>
      <c r="C99" s="217" t="s">
        <v>679</v>
      </c>
      <c r="D99" s="216">
        <v>50</v>
      </c>
      <c r="E99" s="216" t="e">
        <f>VLOOKUP(B99,Tutti!$B$2:$C$598,2,FALSE)</f>
        <v>#N/A</v>
      </c>
      <c r="F99" t="e">
        <f t="shared" si="2"/>
        <v>#N/A</v>
      </c>
      <c r="G99" s="183" t="str">
        <f t="shared" si="3"/>
        <v>GEN</v>
      </c>
      <c r="I99" s="425"/>
      <c r="J99" s="425"/>
      <c r="K99" s="425"/>
    </row>
    <row r="100" spans="1:11" ht="15">
      <c r="A100" s="217" t="s">
        <v>37</v>
      </c>
      <c r="B100" s="217" t="s">
        <v>380</v>
      </c>
      <c r="C100" s="217" t="s">
        <v>695</v>
      </c>
      <c r="D100" s="216">
        <v>81</v>
      </c>
      <c r="E100" s="216" t="str">
        <f>VLOOKUP(B100,Tutti!$B$2:$C$598,2,FALSE)</f>
        <v>ROM</v>
      </c>
      <c r="F100" t="b">
        <f t="shared" si="2"/>
        <v>1</v>
      </c>
      <c r="G100" s="183" t="str">
        <f t="shared" si="3"/>
        <v>ROM</v>
      </c>
      <c r="I100" s="425"/>
      <c r="J100" s="425"/>
      <c r="K100" s="425"/>
    </row>
    <row r="101" spans="1:11" ht="15">
      <c r="A101" s="217" t="s">
        <v>37</v>
      </c>
      <c r="B101" s="217" t="s">
        <v>1988</v>
      </c>
      <c r="C101" s="217" t="s">
        <v>687</v>
      </c>
      <c r="D101" s="216">
        <v>60</v>
      </c>
      <c r="E101" s="216" t="str">
        <f>VLOOKUP(B101,Tutti!$B$2:$C$598,2,FALSE)</f>
        <v>TOR</v>
      </c>
      <c r="F101" t="b">
        <f t="shared" si="2"/>
        <v>1</v>
      </c>
      <c r="G101" s="183" t="str">
        <f t="shared" si="3"/>
        <v>TOR</v>
      </c>
      <c r="I101" s="425"/>
      <c r="J101" s="425"/>
      <c r="K101" s="425"/>
    </row>
    <row r="102" spans="1:11" ht="15">
      <c r="A102" s="217" t="s">
        <v>37</v>
      </c>
      <c r="B102" s="217" t="s">
        <v>1706</v>
      </c>
      <c r="C102" s="217" t="s">
        <v>701</v>
      </c>
      <c r="D102" s="216">
        <v>68</v>
      </c>
      <c r="E102" s="216" t="str">
        <f>VLOOKUP(B102,Tutti!$B$2:$C$598,2,FALSE)</f>
        <v>CRO</v>
      </c>
      <c r="F102" t="b">
        <f t="shared" si="2"/>
        <v>1</v>
      </c>
      <c r="G102" s="183" t="str">
        <f t="shared" si="3"/>
        <v>CRO</v>
      </c>
      <c r="I102" s="425"/>
      <c r="J102" s="425"/>
      <c r="K102" s="425"/>
    </row>
    <row r="103" spans="1:11" ht="15">
      <c r="A103" s="217" t="s">
        <v>37</v>
      </c>
      <c r="B103" s="217" t="s">
        <v>386</v>
      </c>
      <c r="C103" s="217" t="s">
        <v>680</v>
      </c>
      <c r="D103" s="216">
        <v>74</v>
      </c>
      <c r="E103" s="216" t="str">
        <f>VLOOKUP(B103,Tutti!$B$2:$C$598,2,FALSE)</f>
        <v>CHI</v>
      </c>
      <c r="F103" t="b">
        <f t="shared" si="2"/>
        <v>1</v>
      </c>
      <c r="G103" s="183" t="str">
        <f t="shared" si="3"/>
        <v>CHI</v>
      </c>
      <c r="I103" s="425"/>
      <c r="J103" s="425"/>
      <c r="K103" s="425"/>
    </row>
    <row r="104" spans="1:11" ht="15">
      <c r="A104" s="217" t="s">
        <v>37</v>
      </c>
      <c r="B104" s="217" t="s">
        <v>1708</v>
      </c>
      <c r="C104" s="217" t="s">
        <v>1674</v>
      </c>
      <c r="D104" s="216">
        <v>71</v>
      </c>
      <c r="E104" s="216" t="str">
        <f>VLOOKUP(B104,Tutti!$B$2:$C$598,2,FALSE)</f>
        <v>VER</v>
      </c>
      <c r="F104" t="b">
        <f t="shared" si="2"/>
        <v>1</v>
      </c>
      <c r="G104" s="183" t="str">
        <f t="shared" si="3"/>
        <v>VER</v>
      </c>
      <c r="I104" s="425"/>
      <c r="J104" s="425"/>
      <c r="K104" s="425"/>
    </row>
    <row r="105" spans="1:11" ht="15">
      <c r="A105" s="217" t="s">
        <v>37</v>
      </c>
      <c r="B105" s="217" t="s">
        <v>388</v>
      </c>
      <c r="C105" s="217" t="s">
        <v>678</v>
      </c>
      <c r="D105" s="216">
        <v>62</v>
      </c>
      <c r="E105" s="216" t="str">
        <f>VLOOKUP(B105,Tutti!$B$2:$C$598,2,FALSE)</f>
        <v>MIL</v>
      </c>
      <c r="F105" t="b">
        <f t="shared" si="2"/>
        <v>1</v>
      </c>
      <c r="G105" s="183" t="str">
        <f t="shared" si="3"/>
        <v>MIL</v>
      </c>
      <c r="I105" s="425"/>
      <c r="J105" s="425"/>
      <c r="K105" s="425"/>
    </row>
    <row r="106" spans="1:11" ht="15">
      <c r="A106" s="217" t="s">
        <v>37</v>
      </c>
      <c r="B106" s="217" t="s">
        <v>390</v>
      </c>
      <c r="C106" s="217" t="s">
        <v>686</v>
      </c>
      <c r="D106" s="216">
        <v>93</v>
      </c>
      <c r="E106" s="216" t="str">
        <f>VLOOKUP(B106,Tutti!$B$2:$C$598,2,FALSE)</f>
        <v>ATA</v>
      </c>
      <c r="F106" t="b">
        <f t="shared" si="2"/>
        <v>1</v>
      </c>
      <c r="G106" s="183" t="str">
        <f t="shared" si="3"/>
        <v>ATA</v>
      </c>
      <c r="I106" s="425"/>
      <c r="J106" s="425"/>
      <c r="K106" s="425"/>
    </row>
    <row r="107" spans="1:11" ht="15">
      <c r="A107" s="217" t="s">
        <v>37</v>
      </c>
      <c r="B107" s="217" t="s">
        <v>1712</v>
      </c>
      <c r="C107" s="217" t="s">
        <v>1672</v>
      </c>
      <c r="D107" s="216">
        <v>65</v>
      </c>
      <c r="E107" s="216" t="e">
        <f>VLOOKUP(B107,Tutti!$B$2:$C$598,2,FALSE)</f>
        <v>#N/A</v>
      </c>
      <c r="F107" t="e">
        <f t="shared" si="2"/>
        <v>#N/A</v>
      </c>
      <c r="G107" s="183" t="str">
        <f t="shared" si="3"/>
        <v>BEN</v>
      </c>
      <c r="I107" s="425"/>
      <c r="J107" s="425"/>
      <c r="K107" s="425"/>
    </row>
    <row r="108" spans="1:11" ht="15">
      <c r="A108" s="217" t="s">
        <v>37</v>
      </c>
      <c r="B108" s="217" t="s">
        <v>1955</v>
      </c>
      <c r="C108" s="217" t="s">
        <v>677</v>
      </c>
      <c r="D108" s="216">
        <v>77</v>
      </c>
      <c r="E108" s="216" t="str">
        <f>VLOOKUP(B108,Tutti!$B$2:$C$598,2,FALSE)</f>
        <v>INT</v>
      </c>
      <c r="F108" t="b">
        <f t="shared" si="2"/>
        <v>1</v>
      </c>
      <c r="G108" s="183" t="str">
        <f t="shared" si="3"/>
        <v>INT</v>
      </c>
      <c r="I108" s="425"/>
      <c r="J108" s="425"/>
      <c r="K108" s="425"/>
    </row>
    <row r="109" spans="1:11" ht="15">
      <c r="A109" s="217" t="s">
        <v>37</v>
      </c>
      <c r="B109" s="217" t="s">
        <v>394</v>
      </c>
      <c r="C109" s="217" t="s">
        <v>685</v>
      </c>
      <c r="D109" s="216">
        <v>68</v>
      </c>
      <c r="E109" s="216" t="str">
        <f>VLOOKUP(B109,Tutti!$B$2:$C$598,2,FALSE)</f>
        <v>SAS</v>
      </c>
      <c r="F109" t="b">
        <f t="shared" si="2"/>
        <v>1</v>
      </c>
      <c r="G109" s="183" t="str">
        <f t="shared" si="3"/>
        <v>SAS</v>
      </c>
      <c r="I109" s="425"/>
      <c r="J109" s="425"/>
      <c r="K109" s="425"/>
    </row>
    <row r="110" spans="1:11" ht="15">
      <c r="A110" s="217" t="s">
        <v>37</v>
      </c>
      <c r="B110" s="217" t="s">
        <v>397</v>
      </c>
      <c r="C110" s="217" t="s">
        <v>700</v>
      </c>
      <c r="D110" s="216">
        <v>60</v>
      </c>
      <c r="E110" s="216" t="str">
        <f>VLOOKUP(B110,Tutti!$B$2:$C$598,2,FALSE)</f>
        <v>CAG</v>
      </c>
      <c r="F110" t="b">
        <f t="shared" si="2"/>
        <v>1</v>
      </c>
      <c r="G110" s="183" t="str">
        <f t="shared" si="3"/>
        <v>CAG</v>
      </c>
      <c r="I110" s="425"/>
      <c r="J110" s="425"/>
      <c r="K110" s="425"/>
    </row>
    <row r="111" spans="1:11" ht="15">
      <c r="A111" s="217" t="s">
        <v>37</v>
      </c>
      <c r="B111" s="217" t="s">
        <v>1863</v>
      </c>
      <c r="C111" s="217" t="s">
        <v>1674</v>
      </c>
      <c r="D111" s="216">
        <v>68</v>
      </c>
      <c r="E111" s="216" t="str">
        <f>VLOOKUP(B111,Tutti!$B$2:$C$598,2,FALSE)</f>
        <v>VER</v>
      </c>
      <c r="F111" t="b">
        <f t="shared" si="2"/>
        <v>1</v>
      </c>
      <c r="G111" s="183" t="str">
        <f t="shared" si="3"/>
        <v>VER</v>
      </c>
      <c r="I111" s="425"/>
      <c r="J111" s="425"/>
      <c r="K111" s="425"/>
    </row>
    <row r="112" spans="1:11" ht="15">
      <c r="A112" s="217" t="s">
        <v>37</v>
      </c>
      <c r="B112" s="217" t="s">
        <v>1702</v>
      </c>
      <c r="C112" s="217" t="s">
        <v>686</v>
      </c>
      <c r="D112" s="216">
        <v>72</v>
      </c>
      <c r="E112" s="216" t="str">
        <f>VLOOKUP(B112,Tutti!$B$2:$C$598,2,FALSE)</f>
        <v>ATA</v>
      </c>
      <c r="F112" t="b">
        <f t="shared" si="2"/>
        <v>1</v>
      </c>
      <c r="G112" s="183" t="str">
        <f t="shared" si="3"/>
        <v>ATA</v>
      </c>
      <c r="I112" s="425"/>
      <c r="J112" s="425"/>
      <c r="K112" s="425"/>
    </row>
    <row r="113" spans="1:11" ht="15">
      <c r="A113" s="217" t="s">
        <v>37</v>
      </c>
      <c r="B113" s="217" t="s">
        <v>399</v>
      </c>
      <c r="C113" s="217" t="s">
        <v>695</v>
      </c>
      <c r="D113" s="216">
        <v>59</v>
      </c>
      <c r="E113" s="216" t="str">
        <f>VLOOKUP(B113,Tutti!$B$2:$C$598,2,FALSE)</f>
        <v>ROM</v>
      </c>
      <c r="F113" t="b">
        <f t="shared" si="2"/>
        <v>1</v>
      </c>
      <c r="G113" s="183" t="str">
        <f t="shared" si="3"/>
        <v>ROM</v>
      </c>
      <c r="I113" s="425"/>
      <c r="J113" s="425"/>
      <c r="K113" s="425"/>
    </row>
    <row r="114" spans="1:11" ht="15">
      <c r="A114" s="217" t="s">
        <v>37</v>
      </c>
      <c r="B114" s="217" t="s">
        <v>403</v>
      </c>
      <c r="C114" s="217" t="s">
        <v>701</v>
      </c>
      <c r="D114" s="216">
        <v>67</v>
      </c>
      <c r="E114" s="216" t="str">
        <f>VLOOKUP(B114,Tutti!$B$2:$C$598,2,FALSE)</f>
        <v>CRO</v>
      </c>
      <c r="F114" t="b">
        <f t="shared" si="2"/>
        <v>1</v>
      </c>
      <c r="G114" s="183" t="str">
        <f t="shared" si="3"/>
        <v>CRO</v>
      </c>
      <c r="I114" s="425"/>
      <c r="J114" s="425"/>
      <c r="K114" s="425"/>
    </row>
    <row r="115" spans="1:11" ht="15">
      <c r="A115" s="217" t="s">
        <v>37</v>
      </c>
      <c r="B115" s="217" t="s">
        <v>406</v>
      </c>
      <c r="C115" s="217" t="s">
        <v>700</v>
      </c>
      <c r="D115" s="216">
        <v>67</v>
      </c>
      <c r="E115" s="216" t="str">
        <f>VLOOKUP(B115,Tutti!$B$2:$C$598,2,FALSE)</f>
        <v>CAG</v>
      </c>
      <c r="F115" t="b">
        <f t="shared" si="2"/>
        <v>1</v>
      </c>
      <c r="G115" s="183" t="str">
        <f t="shared" si="3"/>
        <v>CAG</v>
      </c>
      <c r="I115" s="425"/>
      <c r="J115" s="425"/>
      <c r="K115" s="425"/>
    </row>
    <row r="116" spans="1:11" ht="15">
      <c r="A116" s="217" t="s">
        <v>37</v>
      </c>
      <c r="B116" s="217" t="s">
        <v>410</v>
      </c>
      <c r="C116" s="217" t="s">
        <v>680</v>
      </c>
      <c r="D116" s="216">
        <v>68</v>
      </c>
      <c r="E116" s="216" t="str">
        <f>VLOOKUP(B116,Tutti!$B$2:$C$598,2,FALSE)</f>
        <v>CHI</v>
      </c>
      <c r="F116" t="b">
        <f t="shared" si="2"/>
        <v>1</v>
      </c>
      <c r="G116" s="183" t="str">
        <f t="shared" si="3"/>
        <v>CHI</v>
      </c>
      <c r="I116" s="425"/>
      <c r="J116" s="425"/>
      <c r="K116" s="425"/>
    </row>
    <row r="117" spans="1:11" ht="15">
      <c r="A117" s="217" t="s">
        <v>37</v>
      </c>
      <c r="B117" s="217" t="s">
        <v>413</v>
      </c>
      <c r="C117" s="217" t="s">
        <v>1674</v>
      </c>
      <c r="D117" s="216">
        <v>45</v>
      </c>
      <c r="E117" s="216" t="str">
        <f>VLOOKUP(B117,Tutti!$B$2:$C$598,2,FALSE)</f>
        <v>VER</v>
      </c>
      <c r="F117" t="b">
        <f t="shared" si="2"/>
        <v>1</v>
      </c>
      <c r="G117" s="183" t="str">
        <f t="shared" si="3"/>
        <v>VER</v>
      </c>
      <c r="I117" s="425"/>
      <c r="J117" s="425"/>
      <c r="K117" s="425"/>
    </row>
    <row r="118" spans="1:11" ht="15">
      <c r="A118" s="217" t="s">
        <v>37</v>
      </c>
      <c r="B118" s="217" t="s">
        <v>417</v>
      </c>
      <c r="C118" s="217" t="s">
        <v>676</v>
      </c>
      <c r="D118" s="216">
        <v>84</v>
      </c>
      <c r="E118" s="216" t="str">
        <f>VLOOKUP(B118,Tutti!$B$2:$C$598,2,FALSE)</f>
        <v>JUV</v>
      </c>
      <c r="F118" t="b">
        <f t="shared" si="2"/>
        <v>1</v>
      </c>
      <c r="G118" s="183" t="str">
        <f t="shared" si="3"/>
        <v>JUV</v>
      </c>
      <c r="I118" s="425"/>
      <c r="J118" s="425"/>
      <c r="K118" s="425"/>
    </row>
    <row r="119" spans="1:11" ht="15">
      <c r="A119" s="217" t="s">
        <v>37</v>
      </c>
      <c r="B119" s="217" t="s">
        <v>419</v>
      </c>
      <c r="C119" s="217" t="s">
        <v>681</v>
      </c>
      <c r="D119" s="216">
        <v>69</v>
      </c>
      <c r="E119" s="216" t="str">
        <f>VLOOKUP(B119,Tutti!$B$2:$C$598,2,FALSE)</f>
        <v>NAP</v>
      </c>
      <c r="F119" t="b">
        <f t="shared" si="2"/>
        <v>1</v>
      </c>
      <c r="G119" s="183" t="str">
        <f t="shared" si="3"/>
        <v>NAP</v>
      </c>
      <c r="I119" s="425"/>
      <c r="J119" s="425"/>
      <c r="K119" s="425"/>
    </row>
    <row r="120" spans="1:11" ht="15">
      <c r="A120" s="217" t="s">
        <v>37</v>
      </c>
      <c r="B120" s="217" t="s">
        <v>429</v>
      </c>
      <c r="C120" s="217" t="s">
        <v>678</v>
      </c>
      <c r="D120" s="216">
        <v>94</v>
      </c>
      <c r="E120" s="216" t="str">
        <f>VLOOKUP(B120,Tutti!$B$2:$C$598,2,FALSE)</f>
        <v>MIL</v>
      </c>
      <c r="F120" t="b">
        <f t="shared" si="2"/>
        <v>1</v>
      </c>
      <c r="G120" s="183" t="str">
        <f t="shared" si="3"/>
        <v>MIL</v>
      </c>
      <c r="I120" s="425"/>
      <c r="J120" s="425"/>
      <c r="K120" s="425"/>
    </row>
    <row r="121" spans="1:11" ht="15">
      <c r="A121" s="217" t="s">
        <v>37</v>
      </c>
      <c r="B121" s="217" t="s">
        <v>1282</v>
      </c>
      <c r="C121" s="217" t="s">
        <v>1672</v>
      </c>
      <c r="D121" s="216">
        <v>73</v>
      </c>
      <c r="E121" s="216" t="str">
        <f>VLOOKUP(B121,Tutti!$B$2:$C$598,2,FALSE)</f>
        <v>BEN</v>
      </c>
      <c r="F121" t="b">
        <f t="shared" si="2"/>
        <v>1</v>
      </c>
      <c r="G121" s="183" t="str">
        <f t="shared" si="3"/>
        <v>BEN</v>
      </c>
      <c r="I121" s="425"/>
      <c r="J121" s="425"/>
      <c r="K121" s="425"/>
    </row>
    <row r="122" spans="1:11" ht="15">
      <c r="A122" s="217" t="s">
        <v>37</v>
      </c>
      <c r="B122" s="217" t="s">
        <v>435</v>
      </c>
      <c r="C122" s="217" t="s">
        <v>1477</v>
      </c>
      <c r="D122" s="216">
        <v>70</v>
      </c>
      <c r="E122" s="216" t="str">
        <f>VLOOKUP(B122,Tutti!$B$2:$C$598,2,FALSE)</f>
        <v>SPA</v>
      </c>
      <c r="F122" t="b">
        <f t="shared" si="2"/>
        <v>1</v>
      </c>
      <c r="G122" s="183" t="str">
        <f t="shared" si="3"/>
        <v>SPA</v>
      </c>
      <c r="I122" s="425"/>
      <c r="J122" s="425"/>
      <c r="K122" s="425"/>
    </row>
    <row r="123" spans="1:11" ht="15">
      <c r="A123" s="217" t="s">
        <v>37</v>
      </c>
      <c r="B123" s="217" t="s">
        <v>1728</v>
      </c>
      <c r="C123" s="217" t="s">
        <v>1477</v>
      </c>
      <c r="D123" s="216">
        <v>59</v>
      </c>
      <c r="E123" s="216" t="str">
        <f>VLOOKUP(B123,Tutti!$B$2:$C$598,2,FALSE)</f>
        <v>SPA</v>
      </c>
      <c r="F123" t="b">
        <f t="shared" si="2"/>
        <v>1</v>
      </c>
      <c r="G123" s="183" t="str">
        <f t="shared" si="3"/>
        <v>SPA</v>
      </c>
      <c r="I123" s="425"/>
      <c r="J123" s="425"/>
      <c r="K123" s="425"/>
    </row>
    <row r="124" spans="1:11" ht="15">
      <c r="A124" s="217" t="s">
        <v>37</v>
      </c>
      <c r="B124" s="217" t="s">
        <v>440</v>
      </c>
      <c r="C124" s="217" t="s">
        <v>680</v>
      </c>
      <c r="D124" s="216">
        <v>72</v>
      </c>
      <c r="E124" s="216" t="str">
        <f>VLOOKUP(B124,Tutti!$B$2:$C$598,2,FALSE)</f>
        <v>CHI</v>
      </c>
      <c r="F124" t="b">
        <f t="shared" si="2"/>
        <v>1</v>
      </c>
      <c r="G124" s="183" t="str">
        <f t="shared" si="3"/>
        <v>CHI</v>
      </c>
      <c r="I124" s="425"/>
      <c r="J124" s="425"/>
      <c r="K124" s="425"/>
    </row>
    <row r="125" spans="1:11" ht="15">
      <c r="A125" s="217" t="s">
        <v>37</v>
      </c>
      <c r="B125" s="217" t="s">
        <v>1921</v>
      </c>
      <c r="C125" s="217" t="s">
        <v>677</v>
      </c>
      <c r="D125" s="216">
        <v>80</v>
      </c>
      <c r="E125" s="216" t="str">
        <f>VLOOKUP(B125,Tutti!$B$2:$C$598,2,FALSE)</f>
        <v>INT</v>
      </c>
      <c r="F125" t="b">
        <f t="shared" si="2"/>
        <v>1</v>
      </c>
      <c r="G125" s="183" t="str">
        <f t="shared" si="3"/>
        <v>INT</v>
      </c>
      <c r="I125" s="425"/>
      <c r="J125" s="425"/>
      <c r="K125" s="425"/>
    </row>
    <row r="126" spans="1:11" ht="15">
      <c r="A126" s="217" t="s">
        <v>37</v>
      </c>
      <c r="B126" s="217" t="s">
        <v>443</v>
      </c>
      <c r="C126" s="217" t="s">
        <v>677</v>
      </c>
      <c r="D126" s="216">
        <v>76</v>
      </c>
      <c r="E126" s="216" t="str">
        <f>VLOOKUP(B126,Tutti!$B$2:$C$598,2,FALSE)</f>
        <v>INT</v>
      </c>
      <c r="F126" t="b">
        <f t="shared" si="2"/>
        <v>1</v>
      </c>
      <c r="G126" s="183" t="str">
        <f t="shared" si="3"/>
        <v>INT</v>
      </c>
      <c r="I126" s="425"/>
      <c r="J126" s="425"/>
      <c r="K126" s="425"/>
    </row>
    <row r="127" spans="1:11" ht="15">
      <c r="A127" s="217" t="s">
        <v>37</v>
      </c>
      <c r="B127" s="217" t="s">
        <v>449</v>
      </c>
      <c r="C127" s="217" t="s">
        <v>684</v>
      </c>
      <c r="D127" s="216">
        <v>74</v>
      </c>
      <c r="E127" s="216" t="str">
        <f>VLOOKUP(B127,Tutti!$B$2:$C$598,2,FALSE)</f>
        <v>UDI</v>
      </c>
      <c r="F127" t="b">
        <f t="shared" si="2"/>
        <v>1</v>
      </c>
      <c r="G127" s="183" t="str">
        <f t="shared" si="3"/>
        <v>UDI</v>
      </c>
      <c r="I127" s="425"/>
      <c r="J127" s="425"/>
      <c r="K127" s="425"/>
    </row>
    <row r="128" spans="1:11" ht="15">
      <c r="A128" s="217" t="s">
        <v>37</v>
      </c>
      <c r="B128" s="217" t="s">
        <v>1290</v>
      </c>
      <c r="C128" s="217" t="s">
        <v>691</v>
      </c>
      <c r="D128" s="216">
        <v>74</v>
      </c>
      <c r="E128" s="216" t="str">
        <f>VLOOKUP(B128,Tutti!$B$2:$C$598,2,FALSE)</f>
        <v>BOL</v>
      </c>
      <c r="F128" t="b">
        <f t="shared" si="2"/>
        <v>1</v>
      </c>
      <c r="G128" s="183" t="str">
        <f t="shared" si="3"/>
        <v>BOL</v>
      </c>
      <c r="I128" s="425"/>
      <c r="J128" s="425"/>
      <c r="K128" s="425"/>
    </row>
    <row r="129" spans="1:11" ht="15">
      <c r="A129" s="217" t="s">
        <v>37</v>
      </c>
      <c r="B129" s="217" t="s">
        <v>451</v>
      </c>
      <c r="C129" s="217" t="s">
        <v>676</v>
      </c>
      <c r="D129" s="216">
        <v>77</v>
      </c>
      <c r="E129" s="216" t="str">
        <f>VLOOKUP(B129,Tutti!$B$2:$C$598,2,FALSE)</f>
        <v>JUV</v>
      </c>
      <c r="F129" t="b">
        <f t="shared" si="2"/>
        <v>1</v>
      </c>
      <c r="G129" s="183" t="str">
        <f t="shared" si="3"/>
        <v>JUV</v>
      </c>
      <c r="I129" s="425"/>
      <c r="J129" s="425"/>
      <c r="K129" s="425"/>
    </row>
    <row r="130" spans="1:11" ht="15">
      <c r="A130" s="217" t="s">
        <v>37</v>
      </c>
      <c r="B130" s="217" t="s">
        <v>453</v>
      </c>
      <c r="C130" s="217" t="s">
        <v>687</v>
      </c>
      <c r="D130" s="216">
        <v>75</v>
      </c>
      <c r="E130" s="216" t="str">
        <f>VLOOKUP(B130,Tutti!$B$2:$C$598,2,FALSE)</f>
        <v>TOR</v>
      </c>
      <c r="F130" t="b">
        <f t="shared" ref="F130:F193" si="4">E130=MID(C130,1,3)</f>
        <v>1</v>
      </c>
      <c r="G130" s="183" t="str">
        <f t="shared" ref="G130:G193" si="5">UPPER(MID(C130,1,3))</f>
        <v>TOR</v>
      </c>
      <c r="I130" s="425"/>
      <c r="J130" s="425"/>
      <c r="K130" s="425"/>
    </row>
    <row r="131" spans="1:11" ht="15">
      <c r="A131" s="217" t="s">
        <v>37</v>
      </c>
      <c r="B131" s="217" t="s">
        <v>455</v>
      </c>
      <c r="C131" s="217" t="s">
        <v>682</v>
      </c>
      <c r="D131" s="216">
        <v>90</v>
      </c>
      <c r="E131" s="216" t="str">
        <f>VLOOKUP(B131,Tutti!$B$2:$C$598,2,FALSE)</f>
        <v>LAZ</v>
      </c>
      <c r="F131" t="b">
        <f t="shared" si="4"/>
        <v>1</v>
      </c>
      <c r="G131" s="183" t="str">
        <f t="shared" si="5"/>
        <v>LAZ</v>
      </c>
      <c r="I131" s="425"/>
      <c r="J131" s="425"/>
      <c r="K131" s="425"/>
    </row>
    <row r="132" spans="1:11" ht="15">
      <c r="A132" s="217" t="s">
        <v>37</v>
      </c>
      <c r="B132" s="217" t="s">
        <v>1979</v>
      </c>
      <c r="C132" s="217" t="s">
        <v>1673</v>
      </c>
      <c r="D132" s="216">
        <v>60</v>
      </c>
      <c r="E132" s="216" t="str">
        <f>VLOOKUP(B132,Tutti!$B$2:$C$598,2,FALSE)</f>
        <v>SPA</v>
      </c>
      <c r="F132" t="b">
        <f t="shared" si="4"/>
        <v>1</v>
      </c>
      <c r="G132" s="183" t="str">
        <f t="shared" si="5"/>
        <v>SPA</v>
      </c>
      <c r="I132" s="425"/>
      <c r="J132" s="425"/>
      <c r="K132" s="425"/>
    </row>
    <row r="133" spans="1:11" ht="15">
      <c r="A133" s="217" t="s">
        <v>37</v>
      </c>
      <c r="B133" s="217" t="s">
        <v>457</v>
      </c>
      <c r="C133" s="217" t="s">
        <v>685</v>
      </c>
      <c r="D133" s="216">
        <v>40</v>
      </c>
      <c r="E133" s="216" t="str">
        <f>VLOOKUP(B133,Tutti!$B$2:$C$598,2,FALSE)</f>
        <v>SAS</v>
      </c>
      <c r="F133" t="b">
        <f t="shared" si="4"/>
        <v>1</v>
      </c>
      <c r="G133" s="183" t="str">
        <f t="shared" si="5"/>
        <v>SAS</v>
      </c>
      <c r="I133" s="425"/>
      <c r="J133" s="425"/>
      <c r="K133" s="425"/>
    </row>
    <row r="134" spans="1:11" ht="15">
      <c r="A134" s="217" t="s">
        <v>37</v>
      </c>
      <c r="B134" s="217" t="s">
        <v>1717</v>
      </c>
      <c r="C134" s="217" t="s">
        <v>680</v>
      </c>
      <c r="D134" s="216">
        <v>61</v>
      </c>
      <c r="E134" s="216" t="str">
        <f>VLOOKUP(B134,Tutti!$B$2:$C$598,2,FALSE)</f>
        <v>CHI</v>
      </c>
      <c r="F134" t="b">
        <f t="shared" si="4"/>
        <v>1</v>
      </c>
      <c r="G134" s="183" t="str">
        <f t="shared" si="5"/>
        <v>CHI</v>
      </c>
      <c r="I134" s="425"/>
      <c r="J134" s="425"/>
      <c r="K134" s="425"/>
    </row>
    <row r="135" spans="1:11" ht="15">
      <c r="A135" s="217" t="s">
        <v>37</v>
      </c>
      <c r="B135" s="217" t="s">
        <v>1699</v>
      </c>
      <c r="C135" s="217" t="s">
        <v>1672</v>
      </c>
      <c r="D135" s="216">
        <v>68</v>
      </c>
      <c r="E135" s="216" t="str">
        <f>VLOOKUP(B135,Tutti!$B$2:$C$598,2,FALSE)</f>
        <v>BEN</v>
      </c>
      <c r="F135" t="b">
        <f t="shared" si="4"/>
        <v>1</v>
      </c>
      <c r="G135" s="183" t="str">
        <f t="shared" si="5"/>
        <v>BEN</v>
      </c>
      <c r="I135" s="425"/>
      <c r="J135" s="425"/>
      <c r="K135" s="425"/>
    </row>
    <row r="136" spans="1:11" ht="15">
      <c r="A136" s="217" t="s">
        <v>37</v>
      </c>
      <c r="B136" s="217" t="s">
        <v>460</v>
      </c>
      <c r="C136" s="217" t="s">
        <v>1672</v>
      </c>
      <c r="D136" s="216">
        <v>58</v>
      </c>
      <c r="E136" s="216" t="str">
        <f>VLOOKUP(B136,Tutti!$B$2:$C$598,2,FALSE)</f>
        <v>BEN</v>
      </c>
      <c r="F136" t="b">
        <f t="shared" si="4"/>
        <v>1</v>
      </c>
      <c r="G136" s="183" t="str">
        <f t="shared" si="5"/>
        <v>BEN</v>
      </c>
      <c r="I136" s="425"/>
      <c r="J136" s="425"/>
      <c r="K136" s="425"/>
    </row>
    <row r="137" spans="1:11" ht="15">
      <c r="A137" s="217" t="s">
        <v>37</v>
      </c>
      <c r="B137" s="217" t="s">
        <v>1305</v>
      </c>
      <c r="C137" s="217" t="s">
        <v>688</v>
      </c>
      <c r="D137" s="216">
        <v>56</v>
      </c>
      <c r="E137" s="216" t="str">
        <f>VLOOKUP(B137,Tutti!$B$2:$C$598,2,FALSE)</f>
        <v>SAM</v>
      </c>
      <c r="F137" t="b">
        <f t="shared" si="4"/>
        <v>1</v>
      </c>
      <c r="G137" s="183" t="str">
        <f t="shared" si="5"/>
        <v>SAM</v>
      </c>
      <c r="I137" s="425"/>
      <c r="J137" s="425"/>
      <c r="K137" s="425"/>
    </row>
    <row r="138" spans="1:11" ht="15">
      <c r="A138" s="217" t="s">
        <v>37</v>
      </c>
      <c r="B138" s="217" t="s">
        <v>464</v>
      </c>
      <c r="C138" s="217" t="s">
        <v>686</v>
      </c>
      <c r="D138" s="216">
        <v>55</v>
      </c>
      <c r="E138" s="216" t="str">
        <f>VLOOKUP(B138,Tutti!$B$2:$C$598,2,FALSE)</f>
        <v>ATA</v>
      </c>
      <c r="F138" t="b">
        <f t="shared" si="4"/>
        <v>1</v>
      </c>
      <c r="G138" s="183" t="str">
        <f t="shared" si="5"/>
        <v>ATA</v>
      </c>
      <c r="I138" s="425"/>
      <c r="J138" s="425"/>
      <c r="K138" s="425"/>
    </row>
    <row r="139" spans="1:11" ht="15">
      <c r="A139" s="217" t="s">
        <v>37</v>
      </c>
      <c r="B139" s="217" t="s">
        <v>1333</v>
      </c>
      <c r="C139" s="217" t="s">
        <v>701</v>
      </c>
      <c r="D139" s="216">
        <v>55</v>
      </c>
      <c r="E139" s="216" t="e">
        <f>VLOOKUP(B139,Tutti!$B$2:$C$598,2,FALSE)</f>
        <v>#N/A</v>
      </c>
      <c r="F139" t="e">
        <f t="shared" si="4"/>
        <v>#N/A</v>
      </c>
      <c r="G139" s="183" t="str">
        <f t="shared" si="5"/>
        <v>CRO</v>
      </c>
      <c r="I139" s="425"/>
      <c r="J139" s="425"/>
      <c r="K139" s="425"/>
    </row>
    <row r="140" spans="1:11" ht="15">
      <c r="A140" s="217" t="s">
        <v>37</v>
      </c>
      <c r="B140" s="217" t="s">
        <v>467</v>
      </c>
      <c r="C140" s="217" t="s">
        <v>695</v>
      </c>
      <c r="D140" s="216">
        <v>65</v>
      </c>
      <c r="E140" s="216" t="str">
        <f>VLOOKUP(B140,Tutti!$B$2:$C$598,2,FALSE)</f>
        <v>ROM</v>
      </c>
      <c r="F140" t="b">
        <f t="shared" si="4"/>
        <v>1</v>
      </c>
      <c r="G140" s="183" t="str">
        <f t="shared" si="5"/>
        <v>ROM</v>
      </c>
      <c r="I140" s="425"/>
      <c r="J140" s="425"/>
      <c r="K140" s="425"/>
    </row>
    <row r="141" spans="1:11" ht="15">
      <c r="A141" s="217" t="s">
        <v>37</v>
      </c>
      <c r="B141" s="217" t="s">
        <v>472</v>
      </c>
      <c r="C141" s="217" t="s">
        <v>701</v>
      </c>
      <c r="D141" s="216">
        <v>68</v>
      </c>
      <c r="E141" s="216" t="str">
        <f>VLOOKUP(B141,Tutti!$B$2:$C$598,2,FALSE)</f>
        <v>CRO</v>
      </c>
      <c r="F141" t="b">
        <f t="shared" si="4"/>
        <v>1</v>
      </c>
      <c r="G141" s="183" t="str">
        <f t="shared" si="5"/>
        <v>CRO</v>
      </c>
      <c r="I141" s="425"/>
      <c r="J141" s="425"/>
      <c r="K141" s="425"/>
    </row>
    <row r="142" spans="1:11" ht="15">
      <c r="A142" s="217" t="s">
        <v>37</v>
      </c>
      <c r="B142" s="217" t="s">
        <v>922</v>
      </c>
      <c r="C142" s="217" t="s">
        <v>695</v>
      </c>
      <c r="D142" s="216">
        <v>84</v>
      </c>
      <c r="E142" s="216" t="str">
        <f>VLOOKUP(B142,Tutti!$B$2:$C$598,2,FALSE)</f>
        <v>ROM</v>
      </c>
      <c r="F142" t="b">
        <f t="shared" si="4"/>
        <v>1</v>
      </c>
      <c r="G142" s="183" t="str">
        <f t="shared" si="5"/>
        <v>ROM</v>
      </c>
      <c r="I142" s="425"/>
      <c r="J142" s="425"/>
      <c r="K142" s="425"/>
    </row>
    <row r="143" spans="1:11" ht="15">
      <c r="A143" s="217" t="s">
        <v>37</v>
      </c>
      <c r="B143" s="217" t="s">
        <v>1720</v>
      </c>
      <c r="C143" s="217" t="s">
        <v>1674</v>
      </c>
      <c r="D143" s="216">
        <v>55</v>
      </c>
      <c r="E143" s="216" t="str">
        <f>VLOOKUP(B143,Tutti!$B$2:$C$598,2,FALSE)</f>
        <v>VER</v>
      </c>
      <c r="F143" t="b">
        <f t="shared" si="4"/>
        <v>1</v>
      </c>
      <c r="G143" s="183" t="str">
        <f t="shared" si="5"/>
        <v>VER</v>
      </c>
      <c r="I143" s="425"/>
      <c r="J143" s="425"/>
      <c r="K143" s="425"/>
    </row>
    <row r="144" spans="1:11" ht="15">
      <c r="A144" s="217" t="s">
        <v>37</v>
      </c>
      <c r="B144" s="217" t="s">
        <v>475</v>
      </c>
      <c r="C144" s="217" t="s">
        <v>1477</v>
      </c>
      <c r="D144" s="216">
        <v>75</v>
      </c>
      <c r="E144" s="216" t="str">
        <f>VLOOKUP(B144,Tutti!$B$2:$C$598,2,FALSE)</f>
        <v>SPA</v>
      </c>
      <c r="F144" t="b">
        <f t="shared" si="4"/>
        <v>1</v>
      </c>
      <c r="G144" s="183" t="str">
        <f t="shared" si="5"/>
        <v>SPA</v>
      </c>
      <c r="I144" s="425"/>
      <c r="J144" s="425"/>
      <c r="K144" s="425"/>
    </row>
    <row r="145" spans="1:11" ht="15">
      <c r="A145" s="217" t="s">
        <v>37</v>
      </c>
      <c r="B145" s="217" t="s">
        <v>478</v>
      </c>
      <c r="C145" s="217" t="s">
        <v>1674</v>
      </c>
      <c r="D145" s="216">
        <v>66</v>
      </c>
      <c r="E145" s="216" t="str">
        <f>VLOOKUP(B145,Tutti!$B$2:$C$598,2,FALSE)</f>
        <v>VER</v>
      </c>
      <c r="F145" t="b">
        <f t="shared" si="4"/>
        <v>1</v>
      </c>
      <c r="G145" s="183" t="str">
        <f t="shared" si="5"/>
        <v>VER</v>
      </c>
      <c r="I145" s="425"/>
      <c r="J145" s="425"/>
      <c r="K145" s="425"/>
    </row>
    <row r="146" spans="1:11" ht="15">
      <c r="A146" s="217" t="s">
        <v>37</v>
      </c>
      <c r="B146" s="217" t="s">
        <v>481</v>
      </c>
      <c r="C146" s="217" t="s">
        <v>688</v>
      </c>
      <c r="D146" s="216">
        <v>76</v>
      </c>
      <c r="E146" s="216" t="str">
        <f>VLOOKUP(B146,Tutti!$B$2:$C$598,2,FALSE)</f>
        <v>SAM</v>
      </c>
      <c r="F146" t="b">
        <f t="shared" si="4"/>
        <v>1</v>
      </c>
      <c r="G146" s="183" t="str">
        <f t="shared" si="5"/>
        <v>SAM</v>
      </c>
      <c r="I146" s="425"/>
      <c r="J146" s="425"/>
      <c r="K146" s="425"/>
    </row>
    <row r="147" spans="1:11" ht="15">
      <c r="A147" s="217" t="s">
        <v>37</v>
      </c>
      <c r="B147" s="217" t="s">
        <v>891</v>
      </c>
      <c r="C147" s="217" t="s">
        <v>680</v>
      </c>
      <c r="D147" s="216">
        <v>58</v>
      </c>
      <c r="E147" s="216" t="str">
        <f>VLOOKUP(B147,Tutti!$B$2:$C$598,2,FALSE)</f>
        <v>CHI</v>
      </c>
      <c r="F147" t="b">
        <f t="shared" si="4"/>
        <v>1</v>
      </c>
      <c r="G147" s="183" t="str">
        <f t="shared" si="5"/>
        <v>CHI</v>
      </c>
      <c r="I147" s="425"/>
      <c r="J147" s="425"/>
      <c r="K147" s="425"/>
    </row>
    <row r="148" spans="1:11" ht="15">
      <c r="A148" s="217" t="s">
        <v>37</v>
      </c>
      <c r="B148" s="217" t="s">
        <v>490</v>
      </c>
      <c r="C148" s="217" t="s">
        <v>680</v>
      </c>
      <c r="D148" s="216">
        <v>73</v>
      </c>
      <c r="E148" s="216" t="str">
        <f>VLOOKUP(B148,Tutti!$B$2:$C$598,2,FALSE)</f>
        <v>CHI</v>
      </c>
      <c r="F148" t="b">
        <f t="shared" si="4"/>
        <v>1</v>
      </c>
      <c r="G148" s="183" t="str">
        <f t="shared" si="5"/>
        <v>CHI</v>
      </c>
      <c r="I148" s="425"/>
      <c r="J148" s="425"/>
      <c r="K148" s="425"/>
    </row>
    <row r="149" spans="1:11" ht="15">
      <c r="A149" s="217" t="s">
        <v>37</v>
      </c>
      <c r="B149" s="217" t="s">
        <v>1695</v>
      </c>
      <c r="C149" s="217" t="s">
        <v>692</v>
      </c>
      <c r="D149" s="216">
        <v>74</v>
      </c>
      <c r="E149" s="216" t="str">
        <f>VLOOKUP(B149,Tutti!$B$2:$C$598,2,FALSE)</f>
        <v>FIO</v>
      </c>
      <c r="F149" t="b">
        <f t="shared" si="4"/>
        <v>1</v>
      </c>
      <c r="G149" s="183" t="str">
        <f t="shared" si="5"/>
        <v>FIO</v>
      </c>
      <c r="I149" s="425"/>
      <c r="J149" s="425"/>
      <c r="K149" s="425"/>
    </row>
    <row r="150" spans="1:11" ht="15">
      <c r="A150" s="217" t="s">
        <v>37</v>
      </c>
      <c r="B150" s="217" t="s">
        <v>1733</v>
      </c>
      <c r="C150" s="217" t="s">
        <v>1477</v>
      </c>
      <c r="D150" s="216">
        <v>48</v>
      </c>
      <c r="E150" s="216" t="str">
        <f>VLOOKUP(B150,Tutti!$B$2:$C$598,2,FALSE)</f>
        <v>SPA</v>
      </c>
      <c r="F150" t="b">
        <f t="shared" si="4"/>
        <v>1</v>
      </c>
      <c r="G150" s="183" t="str">
        <f t="shared" si="5"/>
        <v>SPA</v>
      </c>
      <c r="I150" s="425"/>
      <c r="J150" s="425"/>
      <c r="K150" s="425"/>
    </row>
    <row r="151" spans="1:11" ht="15">
      <c r="A151" s="217" t="s">
        <v>37</v>
      </c>
      <c r="B151" s="217" t="s">
        <v>492</v>
      </c>
      <c r="C151" s="217" t="s">
        <v>691</v>
      </c>
      <c r="D151" s="216">
        <v>64</v>
      </c>
      <c r="E151" s="216" t="str">
        <f>VLOOKUP(B151,Tutti!$B$2:$C$598,2,FALSE)</f>
        <v>BOL</v>
      </c>
      <c r="F151" t="b">
        <f t="shared" si="4"/>
        <v>1</v>
      </c>
      <c r="G151" s="183" t="str">
        <f t="shared" si="5"/>
        <v>BOL</v>
      </c>
      <c r="I151" s="425"/>
      <c r="J151" s="425"/>
      <c r="K151" s="425"/>
    </row>
    <row r="152" spans="1:11" ht="15">
      <c r="A152" s="217" t="s">
        <v>37</v>
      </c>
      <c r="B152" s="217" t="s">
        <v>496</v>
      </c>
      <c r="C152" s="217" t="s">
        <v>685</v>
      </c>
      <c r="D152" s="216">
        <v>60</v>
      </c>
      <c r="E152" s="216" t="str">
        <f>VLOOKUP(B152,Tutti!$B$2:$C$598,2,FALSE)</f>
        <v>SAS</v>
      </c>
      <c r="F152" t="b">
        <f t="shared" si="4"/>
        <v>1</v>
      </c>
      <c r="G152" s="183" t="str">
        <f t="shared" si="5"/>
        <v>SAS</v>
      </c>
      <c r="I152" s="425"/>
      <c r="J152" s="425"/>
      <c r="K152" s="425"/>
    </row>
    <row r="153" spans="1:11" ht="15">
      <c r="A153" s="217" t="s">
        <v>37</v>
      </c>
      <c r="B153" s="217" t="s">
        <v>498</v>
      </c>
      <c r="C153" s="217" t="s">
        <v>679</v>
      </c>
      <c r="D153" s="216">
        <v>65</v>
      </c>
      <c r="E153" s="216" t="str">
        <f>VLOOKUP(B153,Tutti!$B$2:$C$598,2,FALSE)</f>
        <v>GEN</v>
      </c>
      <c r="F153" t="b">
        <f t="shared" si="4"/>
        <v>1</v>
      </c>
      <c r="G153" s="183" t="str">
        <f t="shared" si="5"/>
        <v>GEN</v>
      </c>
      <c r="I153" s="425"/>
      <c r="J153" s="425"/>
      <c r="K153" s="425"/>
    </row>
    <row r="154" spans="1:11" ht="15">
      <c r="A154" s="217" t="s">
        <v>37</v>
      </c>
      <c r="B154" s="217" t="s">
        <v>500</v>
      </c>
      <c r="C154" s="217" t="s">
        <v>681</v>
      </c>
      <c r="D154" s="216">
        <v>88</v>
      </c>
      <c r="E154" s="216" t="str">
        <f>VLOOKUP(B154,Tutti!$B$2:$C$598,2,FALSE)</f>
        <v>NAP</v>
      </c>
      <c r="F154" t="b">
        <f t="shared" si="4"/>
        <v>1</v>
      </c>
      <c r="G154" s="183" t="str">
        <f t="shared" si="5"/>
        <v>NAP</v>
      </c>
      <c r="I154" s="425"/>
      <c r="J154" s="425"/>
      <c r="K154" s="425"/>
    </row>
    <row r="155" spans="1:11" ht="15">
      <c r="A155" s="217" t="s">
        <v>37</v>
      </c>
      <c r="B155" s="217" t="s">
        <v>502</v>
      </c>
      <c r="C155" s="217" t="s">
        <v>680</v>
      </c>
      <c r="D155" s="216">
        <v>71</v>
      </c>
      <c r="E155" s="216" t="str">
        <f>VLOOKUP(B155,Tutti!$B$2:$C$598,2,FALSE)</f>
        <v>CHI</v>
      </c>
      <c r="F155" t="b">
        <f t="shared" si="4"/>
        <v>1</v>
      </c>
      <c r="G155" s="183" t="str">
        <f t="shared" si="5"/>
        <v>CHI</v>
      </c>
      <c r="I155" s="425"/>
      <c r="J155" s="425"/>
      <c r="K155" s="425"/>
    </row>
    <row r="156" spans="1:11" ht="15">
      <c r="A156" s="217" t="s">
        <v>37</v>
      </c>
      <c r="B156" s="217" t="s">
        <v>503</v>
      </c>
      <c r="C156" s="217" t="s">
        <v>685</v>
      </c>
      <c r="D156" s="216">
        <v>68</v>
      </c>
      <c r="E156" s="216" t="str">
        <f>VLOOKUP(B156,Tutti!$B$2:$C$598,2,FALSE)</f>
        <v>SAS</v>
      </c>
      <c r="F156" t="b">
        <f t="shared" si="4"/>
        <v>1</v>
      </c>
      <c r="G156" s="183" t="str">
        <f t="shared" si="5"/>
        <v>SAS</v>
      </c>
      <c r="I156" s="425"/>
      <c r="J156" s="425"/>
      <c r="K156" s="425"/>
    </row>
    <row r="157" spans="1:11" ht="15">
      <c r="A157" s="217" t="s">
        <v>37</v>
      </c>
      <c r="B157" s="217" t="s">
        <v>1281</v>
      </c>
      <c r="C157" s="217" t="s">
        <v>678</v>
      </c>
      <c r="D157" s="216">
        <v>58</v>
      </c>
      <c r="E157" s="216" t="str">
        <f>VLOOKUP(B157,Tutti!$B$2:$C$598,2,FALSE)</f>
        <v>MIL</v>
      </c>
      <c r="F157" t="b">
        <f t="shared" si="4"/>
        <v>1</v>
      </c>
      <c r="G157" s="183" t="str">
        <f t="shared" si="5"/>
        <v>MIL</v>
      </c>
      <c r="I157" s="425"/>
      <c r="J157" s="425"/>
      <c r="K157" s="425"/>
    </row>
    <row r="158" spans="1:11" ht="15">
      <c r="A158" s="217" t="s">
        <v>37</v>
      </c>
      <c r="B158" s="217" t="s">
        <v>505</v>
      </c>
      <c r="C158" s="217" t="s">
        <v>691</v>
      </c>
      <c r="D158" s="216">
        <v>74</v>
      </c>
      <c r="E158" s="216" t="str">
        <f>VLOOKUP(B158,Tutti!$B$2:$C$598,2,FALSE)</f>
        <v>BOL</v>
      </c>
      <c r="F158" t="b">
        <f t="shared" si="4"/>
        <v>1</v>
      </c>
      <c r="G158" s="183" t="str">
        <f t="shared" si="5"/>
        <v>BOL</v>
      </c>
      <c r="I158" s="425"/>
      <c r="J158" s="425"/>
      <c r="K158" s="425"/>
    </row>
    <row r="159" spans="1:11" ht="15">
      <c r="A159" s="217" t="s">
        <v>37</v>
      </c>
      <c r="B159" s="217" t="s">
        <v>1710</v>
      </c>
      <c r="C159" s="217" t="s">
        <v>686</v>
      </c>
      <c r="D159" s="216">
        <v>68</v>
      </c>
      <c r="E159" s="216" t="str">
        <f>VLOOKUP(B159,Tutti!$B$2:$C$598,2,FALSE)</f>
        <v>ATA</v>
      </c>
      <c r="F159" t="b">
        <f t="shared" si="4"/>
        <v>1</v>
      </c>
      <c r="G159" s="183" t="str">
        <f t="shared" si="5"/>
        <v>ATA</v>
      </c>
      <c r="I159" s="425"/>
      <c r="J159" s="425"/>
      <c r="K159" s="425"/>
    </row>
    <row r="160" spans="1:11" ht="15">
      <c r="A160" s="217" t="s">
        <v>37</v>
      </c>
      <c r="B160" s="217" t="s">
        <v>1716</v>
      </c>
      <c r="C160" s="217" t="s">
        <v>1672</v>
      </c>
      <c r="D160" s="216">
        <v>53</v>
      </c>
      <c r="E160" s="216" t="str">
        <f>VLOOKUP(B160,Tutti!$B$2:$C$598,2,FALSE)</f>
        <v>BEN</v>
      </c>
      <c r="F160" t="b">
        <f t="shared" si="4"/>
        <v>1</v>
      </c>
      <c r="G160" s="183" t="str">
        <f t="shared" si="5"/>
        <v>BEN</v>
      </c>
      <c r="I160" s="425"/>
      <c r="J160" s="425"/>
      <c r="K160" s="425"/>
    </row>
    <row r="161" spans="1:11" ht="15">
      <c r="A161" s="217" t="s">
        <v>37</v>
      </c>
      <c r="B161" s="217" t="s">
        <v>1711</v>
      </c>
      <c r="C161" s="217" t="s">
        <v>1672</v>
      </c>
      <c r="D161" s="216">
        <v>53</v>
      </c>
      <c r="E161" s="216" t="str">
        <f>VLOOKUP(B161,Tutti!$B$2:$C$598,2,FALSE)</f>
        <v>BEN</v>
      </c>
      <c r="F161" t="b">
        <f t="shared" si="4"/>
        <v>1</v>
      </c>
      <c r="G161" s="183" t="str">
        <f t="shared" si="5"/>
        <v>BEN</v>
      </c>
      <c r="I161" s="425"/>
      <c r="J161" s="425"/>
      <c r="K161" s="425"/>
    </row>
    <row r="162" spans="1:11" ht="15">
      <c r="A162" s="217" t="s">
        <v>37</v>
      </c>
      <c r="B162" s="217" t="s">
        <v>1697</v>
      </c>
      <c r="C162" s="217" t="s">
        <v>686</v>
      </c>
      <c r="D162" s="216">
        <v>70</v>
      </c>
      <c r="E162" s="216" t="str">
        <f>VLOOKUP(B162,Tutti!$B$2:$C$598,2,FALSE)</f>
        <v>ATA</v>
      </c>
      <c r="F162" t="b">
        <f t="shared" si="4"/>
        <v>1</v>
      </c>
      <c r="G162" s="183" t="str">
        <f t="shared" si="5"/>
        <v>ATA</v>
      </c>
      <c r="I162" s="425"/>
      <c r="J162" s="425"/>
      <c r="K162" s="425"/>
    </row>
    <row r="163" spans="1:11" ht="15">
      <c r="A163" s="217" t="s">
        <v>37</v>
      </c>
      <c r="B163" s="217" t="s">
        <v>1862</v>
      </c>
      <c r="C163" s="217" t="s">
        <v>695</v>
      </c>
      <c r="D163" s="216">
        <v>73</v>
      </c>
      <c r="E163" s="216" t="str">
        <f>VLOOKUP(B163,Tutti!$B$2:$C$598,2,FALSE)</f>
        <v>ROM</v>
      </c>
      <c r="F163" t="b">
        <f t="shared" si="4"/>
        <v>1</v>
      </c>
      <c r="G163" s="183" t="str">
        <f t="shared" si="5"/>
        <v>ROM</v>
      </c>
      <c r="I163" s="425"/>
      <c r="J163" s="425"/>
      <c r="K163" s="425"/>
    </row>
    <row r="164" spans="1:11" ht="15">
      <c r="A164" s="217" t="s">
        <v>37</v>
      </c>
      <c r="B164" s="217" t="s">
        <v>1343</v>
      </c>
      <c r="C164" s="217" t="s">
        <v>691</v>
      </c>
      <c r="D164" s="216">
        <v>64</v>
      </c>
      <c r="E164" s="216" t="str">
        <f>VLOOKUP(B164,Tutti!$B$2:$C$598,2,FALSE)</f>
        <v>BOL</v>
      </c>
      <c r="F164" t="b">
        <f t="shared" si="4"/>
        <v>1</v>
      </c>
      <c r="G164" s="183" t="str">
        <f t="shared" si="5"/>
        <v>BOL</v>
      </c>
      <c r="I164" s="425"/>
      <c r="J164" s="425"/>
      <c r="K164" s="425"/>
    </row>
    <row r="165" spans="1:11" ht="15">
      <c r="A165" s="217" t="s">
        <v>37</v>
      </c>
      <c r="B165" s="217" t="s">
        <v>510</v>
      </c>
      <c r="C165" s="217" t="s">
        <v>1674</v>
      </c>
      <c r="D165" s="216">
        <v>76</v>
      </c>
      <c r="E165" s="216" t="str">
        <f>VLOOKUP(B165,Tutti!$B$2:$C$598,2,FALSE)</f>
        <v>VER</v>
      </c>
      <c r="F165" t="b">
        <f t="shared" si="4"/>
        <v>1</v>
      </c>
      <c r="G165" s="183" t="str">
        <f t="shared" si="5"/>
        <v>VER</v>
      </c>
      <c r="I165" s="425"/>
      <c r="J165" s="425"/>
      <c r="K165" s="425"/>
    </row>
    <row r="166" spans="1:11" ht="15">
      <c r="A166" s="217" t="s">
        <v>37</v>
      </c>
      <c r="B166" s="217" t="s">
        <v>512</v>
      </c>
      <c r="C166" s="217" t="s">
        <v>682</v>
      </c>
      <c r="D166" s="216">
        <v>63</v>
      </c>
      <c r="E166" s="216" t="e">
        <f>VLOOKUP(B166,Tutti!$B$2:$C$598,2,FALSE)</f>
        <v>#N/A</v>
      </c>
      <c r="F166" t="e">
        <f t="shared" si="4"/>
        <v>#N/A</v>
      </c>
      <c r="G166" s="183" t="str">
        <f t="shared" si="5"/>
        <v>LAZ</v>
      </c>
      <c r="I166" s="425"/>
      <c r="J166" s="425"/>
      <c r="K166" s="425"/>
    </row>
    <row r="167" spans="1:11" ht="15">
      <c r="A167" s="217" t="s">
        <v>37</v>
      </c>
      <c r="B167" s="217" t="s">
        <v>1981</v>
      </c>
      <c r="C167" s="217" t="s">
        <v>676</v>
      </c>
      <c r="D167" s="216">
        <v>87</v>
      </c>
      <c r="E167" s="216" t="str">
        <f>VLOOKUP(B167,Tutti!$B$2:$C$598,2,FALSE)</f>
        <v>JUV</v>
      </c>
      <c r="F167" t="b">
        <f t="shared" si="4"/>
        <v>1</v>
      </c>
      <c r="G167" s="183" t="str">
        <f t="shared" si="5"/>
        <v>JUV</v>
      </c>
      <c r="I167" s="425"/>
      <c r="J167" s="425"/>
      <c r="K167" s="425"/>
    </row>
    <row r="168" spans="1:11" ht="15">
      <c r="A168" s="217" t="s">
        <v>37</v>
      </c>
      <c r="B168" s="217" t="s">
        <v>1823</v>
      </c>
      <c r="C168" s="217" t="s">
        <v>692</v>
      </c>
      <c r="D168" s="216">
        <v>45</v>
      </c>
      <c r="E168" s="216" t="str">
        <f>VLOOKUP(B168,Tutti!$B$2:$C$598,2,FALSE)</f>
        <v>FIO</v>
      </c>
      <c r="F168" t="b">
        <f t="shared" si="4"/>
        <v>1</v>
      </c>
      <c r="G168" s="183" t="str">
        <f t="shared" si="5"/>
        <v>FIO</v>
      </c>
      <c r="I168" s="425"/>
      <c r="J168" s="425"/>
      <c r="K168" s="425"/>
    </row>
    <row r="169" spans="1:11" ht="15">
      <c r="A169" s="217" t="s">
        <v>37</v>
      </c>
      <c r="B169" s="217" t="s">
        <v>515</v>
      </c>
      <c r="C169" s="217" t="s">
        <v>681</v>
      </c>
      <c r="D169" s="216">
        <v>79</v>
      </c>
      <c r="E169" s="216" t="str">
        <f>VLOOKUP(B169,Tutti!$B$2:$C$598,2,FALSE)</f>
        <v>NAP</v>
      </c>
      <c r="F169" t="b">
        <f t="shared" si="4"/>
        <v>1</v>
      </c>
      <c r="G169" s="183" t="str">
        <f t="shared" si="5"/>
        <v>NAP</v>
      </c>
      <c r="I169" s="425"/>
      <c r="J169" s="425"/>
      <c r="K169" s="425"/>
    </row>
    <row r="170" spans="1:11" ht="15">
      <c r="A170" s="217" t="s">
        <v>37</v>
      </c>
      <c r="B170" s="217" t="s">
        <v>517</v>
      </c>
      <c r="C170" s="217" t="s">
        <v>679</v>
      </c>
      <c r="D170" s="216">
        <v>55</v>
      </c>
      <c r="E170" s="216" t="str">
        <f>VLOOKUP(B170,Tutti!$B$2:$C$598,2,FALSE)</f>
        <v>GEN</v>
      </c>
      <c r="F170" t="b">
        <f t="shared" si="4"/>
        <v>1</v>
      </c>
      <c r="G170" s="183" t="str">
        <f t="shared" si="5"/>
        <v>GEN</v>
      </c>
      <c r="I170" s="425"/>
      <c r="J170" s="425"/>
      <c r="K170" s="425"/>
    </row>
    <row r="171" spans="1:11" ht="15">
      <c r="A171" s="217" t="s">
        <v>37</v>
      </c>
      <c r="B171" s="217" t="s">
        <v>1727</v>
      </c>
      <c r="C171" s="217" t="s">
        <v>680</v>
      </c>
      <c r="D171" s="216">
        <v>62</v>
      </c>
      <c r="E171" s="216" t="str">
        <f>VLOOKUP(B171,Tutti!$B$2:$C$598,2,FALSE)</f>
        <v>CHI</v>
      </c>
      <c r="F171" t="b">
        <f t="shared" si="4"/>
        <v>1</v>
      </c>
      <c r="G171" s="183" t="str">
        <f t="shared" si="5"/>
        <v>CHI</v>
      </c>
      <c r="I171" s="425"/>
      <c r="J171" s="425"/>
      <c r="K171" s="425"/>
    </row>
    <row r="172" spans="1:11" ht="15">
      <c r="A172" s="217" t="s">
        <v>37</v>
      </c>
      <c r="B172" s="217" t="s">
        <v>521</v>
      </c>
      <c r="C172" s="217" t="s">
        <v>695</v>
      </c>
      <c r="D172" s="216">
        <v>65</v>
      </c>
      <c r="E172" s="216" t="str">
        <f>VLOOKUP(B172,Tutti!$B$2:$C$598,2,FALSE)</f>
        <v>ROM</v>
      </c>
      <c r="F172" t="b">
        <f t="shared" si="4"/>
        <v>1</v>
      </c>
      <c r="G172" s="183" t="str">
        <f t="shared" si="5"/>
        <v>ROM</v>
      </c>
      <c r="I172" s="425"/>
      <c r="J172" s="425"/>
      <c r="K172" s="425"/>
    </row>
    <row r="173" spans="1:11" ht="15">
      <c r="A173" s="217" t="s">
        <v>37</v>
      </c>
      <c r="B173" s="217" t="s">
        <v>1700</v>
      </c>
      <c r="C173" s="217" t="s">
        <v>695</v>
      </c>
      <c r="D173" s="216">
        <v>81</v>
      </c>
      <c r="E173" s="216" t="str">
        <f>VLOOKUP(B173,Tutti!$B$2:$C$598,2,FALSE)</f>
        <v>ROM</v>
      </c>
      <c r="F173" t="b">
        <f t="shared" si="4"/>
        <v>1</v>
      </c>
      <c r="G173" s="183" t="str">
        <f t="shared" si="5"/>
        <v>ROM</v>
      </c>
      <c r="I173" s="425"/>
      <c r="J173" s="425"/>
      <c r="K173" s="425"/>
    </row>
    <row r="174" spans="1:11" ht="15">
      <c r="A174" s="217" t="s">
        <v>37</v>
      </c>
      <c r="B174" s="217" t="s">
        <v>1987</v>
      </c>
      <c r="C174" s="217" t="s">
        <v>691</v>
      </c>
      <c r="D174" s="216">
        <v>60</v>
      </c>
      <c r="E174" s="216" t="str">
        <f>VLOOKUP(B174,Tutti!$B$2:$C$598,2,FALSE)</f>
        <v>BOL</v>
      </c>
      <c r="F174" t="b">
        <f t="shared" si="4"/>
        <v>1</v>
      </c>
      <c r="G174" s="183" t="str">
        <f t="shared" si="5"/>
        <v>BOL</v>
      </c>
      <c r="I174" s="425"/>
      <c r="J174" s="425"/>
      <c r="K174" s="425"/>
    </row>
    <row r="175" spans="1:11" ht="15">
      <c r="A175" s="217" t="s">
        <v>37</v>
      </c>
      <c r="B175" s="217" t="s">
        <v>1692</v>
      </c>
      <c r="C175" s="217" t="s">
        <v>695</v>
      </c>
      <c r="D175" s="216">
        <v>87</v>
      </c>
      <c r="E175" s="216" t="str">
        <f>VLOOKUP(B175,Tutti!$B$2:$C$598,2,FALSE)</f>
        <v>ROM</v>
      </c>
      <c r="F175" t="b">
        <f t="shared" si="4"/>
        <v>1</v>
      </c>
      <c r="G175" s="183" t="str">
        <f t="shared" si="5"/>
        <v>ROM</v>
      </c>
      <c r="I175" s="425"/>
      <c r="J175" s="425"/>
      <c r="K175" s="425"/>
    </row>
    <row r="176" spans="1:11" ht="15">
      <c r="A176" s="217" t="s">
        <v>37</v>
      </c>
      <c r="B176" s="217" t="s">
        <v>1831</v>
      </c>
      <c r="C176" s="217" t="s">
        <v>1477</v>
      </c>
      <c r="D176" s="216">
        <v>59</v>
      </c>
      <c r="E176" s="216" t="str">
        <f>VLOOKUP(B176,Tutti!$B$2:$C$598,2,FALSE)</f>
        <v>SPA</v>
      </c>
      <c r="F176" t="b">
        <f t="shared" si="4"/>
        <v>1</v>
      </c>
      <c r="G176" s="183" t="str">
        <f t="shared" si="5"/>
        <v>SPA</v>
      </c>
      <c r="I176" s="425"/>
      <c r="J176" s="425"/>
      <c r="K176" s="425"/>
    </row>
    <row r="177" spans="1:11" ht="15">
      <c r="A177" s="217" t="s">
        <v>37</v>
      </c>
      <c r="B177" s="217" t="s">
        <v>523</v>
      </c>
      <c r="C177" s="217" t="s">
        <v>681</v>
      </c>
      <c r="D177" s="216">
        <v>91</v>
      </c>
      <c r="E177" s="216" t="str">
        <f>VLOOKUP(B177,Tutti!$B$2:$C$598,2,FALSE)</f>
        <v>NAP</v>
      </c>
      <c r="F177" t="b">
        <f t="shared" si="4"/>
        <v>1</v>
      </c>
      <c r="G177" s="183" t="str">
        <f t="shared" si="5"/>
        <v>NAP</v>
      </c>
      <c r="I177" s="425"/>
      <c r="J177" s="425"/>
      <c r="K177" s="425"/>
    </row>
    <row r="178" spans="1:11" ht="15">
      <c r="A178" s="217" t="s">
        <v>37</v>
      </c>
      <c r="B178" s="217" t="s">
        <v>524</v>
      </c>
      <c r="C178" s="217" t="s">
        <v>691</v>
      </c>
      <c r="D178" s="216">
        <v>69</v>
      </c>
      <c r="E178" s="216" t="str">
        <f>VLOOKUP(B178,Tutti!$B$2:$C$598,2,FALSE)</f>
        <v>BOL</v>
      </c>
      <c r="F178" t="b">
        <f t="shared" si="4"/>
        <v>1</v>
      </c>
      <c r="G178" s="183" t="str">
        <f t="shared" si="5"/>
        <v>BOL</v>
      </c>
      <c r="I178" s="425"/>
      <c r="J178" s="425"/>
      <c r="K178" s="425"/>
    </row>
    <row r="179" spans="1:11" ht="15">
      <c r="A179" s="217" t="s">
        <v>37</v>
      </c>
      <c r="B179" s="217" t="s">
        <v>1965</v>
      </c>
      <c r="C179" s="217" t="s">
        <v>692</v>
      </c>
      <c r="D179" s="216">
        <v>68</v>
      </c>
      <c r="E179" s="216" t="str">
        <f>VLOOKUP(B179,Tutti!$B$2:$C$598,2,FALSE)</f>
        <v>FIO</v>
      </c>
      <c r="F179" t="b">
        <f t="shared" si="4"/>
        <v>1</v>
      </c>
      <c r="G179" s="183" t="str">
        <f t="shared" si="5"/>
        <v>FIO</v>
      </c>
      <c r="I179" s="425"/>
      <c r="J179" s="425"/>
      <c r="K179" s="425"/>
    </row>
    <row r="180" spans="1:11" ht="15">
      <c r="A180" s="217" t="s">
        <v>37</v>
      </c>
      <c r="B180" s="217" t="s">
        <v>1984</v>
      </c>
      <c r="C180" s="217" t="s">
        <v>1672</v>
      </c>
      <c r="D180" s="216">
        <v>70</v>
      </c>
      <c r="E180" s="216" t="str">
        <f>VLOOKUP(B180,Tutti!$B$2:$C$598,2,FALSE)</f>
        <v>BEN</v>
      </c>
      <c r="F180" t="b">
        <f t="shared" si="4"/>
        <v>1</v>
      </c>
      <c r="G180" s="183" t="str">
        <f t="shared" si="5"/>
        <v>BEN</v>
      </c>
      <c r="I180" s="425"/>
      <c r="J180" s="425"/>
      <c r="K180" s="425"/>
    </row>
    <row r="181" spans="1:11" ht="15">
      <c r="A181" s="217" t="s">
        <v>37</v>
      </c>
      <c r="B181" s="217" t="s">
        <v>1694</v>
      </c>
      <c r="C181" s="217" t="s">
        <v>1672</v>
      </c>
      <c r="D181" s="216">
        <v>74</v>
      </c>
      <c r="E181" s="216" t="str">
        <f>VLOOKUP(B181,Tutti!$B$2:$C$598,2,FALSE)</f>
        <v>BEN</v>
      </c>
      <c r="F181" t="b">
        <f t="shared" si="4"/>
        <v>1</v>
      </c>
      <c r="G181" s="183" t="str">
        <f t="shared" si="5"/>
        <v>BEN</v>
      </c>
      <c r="I181" s="425"/>
      <c r="J181" s="425"/>
      <c r="K181" s="425"/>
    </row>
    <row r="182" spans="1:11" ht="15">
      <c r="A182" s="217" t="s">
        <v>37</v>
      </c>
      <c r="B182" s="217" t="s">
        <v>528</v>
      </c>
      <c r="C182" s="217" t="s">
        <v>685</v>
      </c>
      <c r="D182" s="216">
        <v>63</v>
      </c>
      <c r="E182" s="216" t="str">
        <f>VLOOKUP(B182,Tutti!$B$2:$C$598,2,FALSE)</f>
        <v>SAS</v>
      </c>
      <c r="F182" t="b">
        <f t="shared" si="4"/>
        <v>1</v>
      </c>
      <c r="G182" s="183" t="str">
        <f t="shared" si="5"/>
        <v>SAS</v>
      </c>
      <c r="I182" s="425"/>
      <c r="J182" s="425"/>
      <c r="K182" s="425"/>
    </row>
    <row r="183" spans="1:11" ht="15">
      <c r="A183" s="217" t="s">
        <v>37</v>
      </c>
      <c r="B183" s="217" t="s">
        <v>1825</v>
      </c>
      <c r="C183" s="217" t="s">
        <v>688</v>
      </c>
      <c r="D183" s="216">
        <v>46</v>
      </c>
      <c r="E183" s="216" t="e">
        <f>VLOOKUP(B183,Tutti!$B$2:$C$598,2,FALSE)</f>
        <v>#N/A</v>
      </c>
      <c r="F183" t="e">
        <f t="shared" si="4"/>
        <v>#N/A</v>
      </c>
      <c r="G183" s="183" t="str">
        <f t="shared" si="5"/>
        <v>SAM</v>
      </c>
      <c r="I183" s="425"/>
      <c r="J183" s="425"/>
      <c r="K183" s="425"/>
    </row>
    <row r="184" spans="1:11" ht="15">
      <c r="A184" s="217" t="s">
        <v>37</v>
      </c>
      <c r="B184" s="217" t="s">
        <v>529</v>
      </c>
      <c r="C184" s="217" t="s">
        <v>676</v>
      </c>
      <c r="D184" s="216">
        <v>78</v>
      </c>
      <c r="E184" s="216" t="str">
        <f>VLOOKUP(B184,Tutti!$B$2:$C$598,2,FALSE)</f>
        <v>JUV</v>
      </c>
      <c r="F184" t="b">
        <f t="shared" si="4"/>
        <v>1</v>
      </c>
      <c r="G184" s="183" t="str">
        <f t="shared" si="5"/>
        <v>JUV</v>
      </c>
      <c r="I184" s="425"/>
      <c r="J184" s="425"/>
      <c r="K184" s="425"/>
    </row>
    <row r="185" spans="1:11" ht="15">
      <c r="A185" s="217" t="s">
        <v>37</v>
      </c>
      <c r="B185" s="217" t="s">
        <v>531</v>
      </c>
      <c r="C185" s="217" t="s">
        <v>685</v>
      </c>
      <c r="D185" s="216">
        <v>76</v>
      </c>
      <c r="E185" s="216" t="str">
        <f>VLOOKUP(B185,Tutti!$B$2:$C$598,2,FALSE)</f>
        <v>SAS</v>
      </c>
      <c r="F185" t="b">
        <f t="shared" si="4"/>
        <v>1</v>
      </c>
      <c r="G185" s="183" t="str">
        <f t="shared" si="5"/>
        <v>SAS</v>
      </c>
      <c r="I185" s="425"/>
      <c r="J185" s="425"/>
      <c r="K185" s="425"/>
    </row>
    <row r="186" spans="1:11" ht="15">
      <c r="A186" s="217" t="s">
        <v>37</v>
      </c>
      <c r="B186" s="217" t="s">
        <v>1696</v>
      </c>
      <c r="C186" s="217" t="s">
        <v>1672</v>
      </c>
      <c r="D186" s="216">
        <v>74</v>
      </c>
      <c r="E186" s="216" t="str">
        <f>VLOOKUP(B186,Tutti!$B$2:$C$598,2,FALSE)</f>
        <v>BEN</v>
      </c>
      <c r="F186" t="b">
        <f t="shared" si="4"/>
        <v>1</v>
      </c>
      <c r="G186" s="183" t="str">
        <f t="shared" si="5"/>
        <v>BEN</v>
      </c>
      <c r="I186" s="425"/>
      <c r="J186" s="425"/>
      <c r="K186" s="425"/>
    </row>
    <row r="187" spans="1:11" ht="15">
      <c r="A187" s="217" t="s">
        <v>37</v>
      </c>
      <c r="B187" s="217" t="s">
        <v>533</v>
      </c>
      <c r="C187" s="217" t="s">
        <v>682</v>
      </c>
      <c r="D187" s="216">
        <v>66</v>
      </c>
      <c r="E187" s="216" t="str">
        <f>VLOOKUP(B187,Tutti!$B$2:$C$598,2,FALSE)</f>
        <v>LAZ</v>
      </c>
      <c r="F187" t="b">
        <f t="shared" si="4"/>
        <v>1</v>
      </c>
      <c r="G187" s="183" t="str">
        <f t="shared" si="5"/>
        <v>LAZ</v>
      </c>
      <c r="I187" s="425"/>
      <c r="J187" s="425"/>
      <c r="K187" s="425"/>
    </row>
    <row r="188" spans="1:11" ht="15">
      <c r="A188" s="217" t="s">
        <v>37</v>
      </c>
      <c r="B188" s="217" t="s">
        <v>1709</v>
      </c>
      <c r="C188" s="217" t="s">
        <v>687</v>
      </c>
      <c r="D188" s="216">
        <v>70</v>
      </c>
      <c r="E188" s="216" t="str">
        <f>VLOOKUP(B188,Tutti!$B$2:$C$598,2,FALSE)</f>
        <v>TOR</v>
      </c>
      <c r="F188" t="b">
        <f t="shared" si="4"/>
        <v>1</v>
      </c>
      <c r="G188" s="183" t="str">
        <f t="shared" si="5"/>
        <v>TOR</v>
      </c>
      <c r="I188" s="425"/>
      <c r="J188" s="425"/>
      <c r="K188" s="425"/>
    </row>
    <row r="189" spans="1:11" ht="15">
      <c r="A189" s="217" t="s">
        <v>37</v>
      </c>
      <c r="B189" s="217" t="s">
        <v>534</v>
      </c>
      <c r="C189" s="217" t="s">
        <v>681</v>
      </c>
      <c r="D189" s="216">
        <v>55</v>
      </c>
      <c r="E189" s="216" t="str">
        <f>VLOOKUP(B189,Tutti!$B$2:$C$598,2,FALSE)</f>
        <v>NAP</v>
      </c>
      <c r="F189" t="b">
        <f t="shared" si="4"/>
        <v>1</v>
      </c>
      <c r="G189" s="183" t="str">
        <f t="shared" si="5"/>
        <v>NAP</v>
      </c>
      <c r="I189" s="425"/>
      <c r="J189" s="425"/>
      <c r="K189" s="425"/>
    </row>
    <row r="190" spans="1:11" ht="15">
      <c r="A190" s="217" t="s">
        <v>37</v>
      </c>
      <c r="B190" s="217" t="s">
        <v>535</v>
      </c>
      <c r="C190" s="217" t="s">
        <v>691</v>
      </c>
      <c r="D190" s="216">
        <v>69</v>
      </c>
      <c r="E190" s="216" t="str">
        <f>VLOOKUP(B190,Tutti!$B$2:$C$598,2,FALSE)</f>
        <v>BOL</v>
      </c>
      <c r="F190" t="b">
        <f t="shared" si="4"/>
        <v>1</v>
      </c>
      <c r="G190" s="183" t="str">
        <f t="shared" si="5"/>
        <v>BOL</v>
      </c>
      <c r="I190" s="425"/>
      <c r="J190" s="425"/>
      <c r="K190" s="425"/>
    </row>
    <row r="191" spans="1:11" ht="15">
      <c r="A191" s="217" t="s">
        <v>37</v>
      </c>
      <c r="B191" s="217" t="s">
        <v>537</v>
      </c>
      <c r="C191" s="217" t="s">
        <v>681</v>
      </c>
      <c r="D191" s="216">
        <v>68</v>
      </c>
      <c r="E191" s="216" t="str">
        <f>VLOOKUP(B191,Tutti!$B$2:$C$598,2,FALSE)</f>
        <v>NAP</v>
      </c>
      <c r="F191" t="b">
        <f t="shared" si="4"/>
        <v>1</v>
      </c>
      <c r="G191" s="183" t="str">
        <f t="shared" si="5"/>
        <v>NAP</v>
      </c>
      <c r="I191" s="425"/>
      <c r="J191" s="425"/>
      <c r="K191" s="425"/>
    </row>
    <row r="192" spans="1:11" ht="15">
      <c r="A192" s="217" t="s">
        <v>37</v>
      </c>
      <c r="B192" s="217" t="s">
        <v>1933</v>
      </c>
      <c r="C192" s="217" t="s">
        <v>686</v>
      </c>
      <c r="D192" s="216">
        <v>42</v>
      </c>
      <c r="E192" s="216" t="str">
        <f>VLOOKUP(B192,Tutti!$B$2:$C$598,2,FALSE)</f>
        <v>ATA</v>
      </c>
      <c r="F192" t="b">
        <f t="shared" si="4"/>
        <v>1</v>
      </c>
      <c r="G192" s="183" t="str">
        <f t="shared" si="5"/>
        <v>ATA</v>
      </c>
      <c r="I192" s="425"/>
      <c r="J192" s="425"/>
      <c r="K192" s="425"/>
    </row>
    <row r="193" spans="1:11" ht="15">
      <c r="A193" s="217" t="s">
        <v>37</v>
      </c>
      <c r="B193" s="217" t="s">
        <v>539</v>
      </c>
      <c r="C193" s="217" t="s">
        <v>695</v>
      </c>
      <c r="D193" s="216">
        <v>89</v>
      </c>
      <c r="E193" s="216" t="str">
        <f>VLOOKUP(B193,Tutti!$B$2:$C$598,2,FALSE)</f>
        <v>ROM</v>
      </c>
      <c r="F193" t="b">
        <f t="shared" si="4"/>
        <v>1</v>
      </c>
      <c r="G193" s="183" t="str">
        <f t="shared" si="5"/>
        <v>ROM</v>
      </c>
      <c r="I193" s="425"/>
      <c r="J193" s="425"/>
      <c r="K193" s="425"/>
    </row>
    <row r="194" spans="1:11" ht="15">
      <c r="A194" s="217" t="s">
        <v>37</v>
      </c>
      <c r="B194" s="217" t="s">
        <v>542</v>
      </c>
      <c r="C194" s="217" t="s">
        <v>681</v>
      </c>
      <c r="D194" s="216">
        <v>74</v>
      </c>
      <c r="E194" s="216" t="str">
        <f>VLOOKUP(B194,Tutti!$B$2:$C$598,2,FALSE)</f>
        <v>NAP</v>
      </c>
      <c r="F194" t="b">
        <f t="shared" ref="F194:F257" si="6">E194=MID(C194,1,3)</f>
        <v>1</v>
      </c>
      <c r="G194" s="183" t="str">
        <f t="shared" ref="G194:G257" si="7">UPPER(MID(C194,1,3))</f>
        <v>NAP</v>
      </c>
      <c r="I194" s="425"/>
      <c r="J194" s="425"/>
      <c r="K194" s="425"/>
    </row>
    <row r="195" spans="1:11" ht="15">
      <c r="A195" s="217" t="s">
        <v>37</v>
      </c>
      <c r="B195" s="217" t="s">
        <v>544</v>
      </c>
      <c r="C195" s="217" t="s">
        <v>701</v>
      </c>
      <c r="D195" s="216">
        <v>70</v>
      </c>
      <c r="E195" s="216" t="str">
        <f>VLOOKUP(B195,Tutti!$B$2:$C$598,2,FALSE)</f>
        <v>CRO</v>
      </c>
      <c r="F195" t="b">
        <f t="shared" si="6"/>
        <v>1</v>
      </c>
      <c r="G195" s="183" t="str">
        <f t="shared" si="7"/>
        <v>CRO</v>
      </c>
      <c r="I195" s="425"/>
      <c r="J195" s="425"/>
      <c r="K195" s="425"/>
    </row>
    <row r="196" spans="1:11" ht="15">
      <c r="A196" s="217" t="s">
        <v>37</v>
      </c>
      <c r="B196" s="217" t="s">
        <v>1302</v>
      </c>
      <c r="C196" s="217" t="s">
        <v>686</v>
      </c>
      <c r="D196" s="216">
        <v>76</v>
      </c>
      <c r="E196" s="216" t="str">
        <f>VLOOKUP(B196,Tutti!$B$2:$C$598,2,FALSE)</f>
        <v>ATA</v>
      </c>
      <c r="F196" t="b">
        <f t="shared" si="6"/>
        <v>1</v>
      </c>
      <c r="G196" s="183" t="str">
        <f t="shared" si="7"/>
        <v>ATA</v>
      </c>
      <c r="I196" s="425"/>
      <c r="J196" s="425"/>
      <c r="K196" s="425"/>
    </row>
    <row r="197" spans="1:11" ht="15">
      <c r="A197" s="217" t="s">
        <v>37</v>
      </c>
      <c r="B197" s="217" t="s">
        <v>546</v>
      </c>
      <c r="C197" s="217" t="s">
        <v>691</v>
      </c>
      <c r="D197" s="216">
        <v>75</v>
      </c>
      <c r="E197" s="216" t="str">
        <f>VLOOKUP(B197,Tutti!$B$2:$C$598,2,FALSE)</f>
        <v>BOL</v>
      </c>
      <c r="F197" t="b">
        <f t="shared" si="6"/>
        <v>1</v>
      </c>
      <c r="G197" s="183" t="str">
        <f t="shared" si="7"/>
        <v>BOL</v>
      </c>
      <c r="I197" s="425"/>
      <c r="J197" s="425"/>
      <c r="K197" s="425"/>
    </row>
    <row r="198" spans="1:11" ht="15">
      <c r="A198" s="217" t="s">
        <v>37</v>
      </c>
      <c r="B198" s="217" t="s">
        <v>547</v>
      </c>
      <c r="C198" s="217" t="s">
        <v>1477</v>
      </c>
      <c r="D198" s="216">
        <v>73</v>
      </c>
      <c r="E198" s="216" t="str">
        <f>VLOOKUP(B198,Tutti!$B$2:$C$598,2,FALSE)</f>
        <v>SPA</v>
      </c>
      <c r="F198" t="b">
        <f t="shared" si="6"/>
        <v>1</v>
      </c>
      <c r="G198" s="183" t="str">
        <f t="shared" si="7"/>
        <v>SPA</v>
      </c>
      <c r="I198" s="425"/>
      <c r="J198" s="425"/>
      <c r="K198" s="425"/>
    </row>
    <row r="199" spans="1:11" ht="15">
      <c r="A199" s="217" t="s">
        <v>37</v>
      </c>
      <c r="B199" s="217" t="s">
        <v>550</v>
      </c>
      <c r="C199" s="217" t="s">
        <v>691</v>
      </c>
      <c r="D199" s="216">
        <v>66</v>
      </c>
      <c r="E199" s="216" t="str">
        <f>VLOOKUP(B199,Tutti!$B$2:$C$598,2,FALSE)</f>
        <v>BOL</v>
      </c>
      <c r="F199" t="b">
        <f t="shared" si="6"/>
        <v>1</v>
      </c>
      <c r="G199" s="183" t="str">
        <f t="shared" si="7"/>
        <v>BOL</v>
      </c>
      <c r="I199" s="425"/>
      <c r="J199" s="425"/>
      <c r="K199" s="425"/>
    </row>
    <row r="200" spans="1:11" ht="15">
      <c r="A200" s="217" t="s">
        <v>37</v>
      </c>
      <c r="B200" s="217" t="s">
        <v>1288</v>
      </c>
      <c r="C200" s="217" t="s">
        <v>700</v>
      </c>
      <c r="D200" s="216">
        <v>70</v>
      </c>
      <c r="E200" s="216" t="str">
        <f>VLOOKUP(B200,Tutti!$B$2:$C$598,2,FALSE)</f>
        <v>CAG</v>
      </c>
      <c r="F200" t="b">
        <f t="shared" si="6"/>
        <v>1</v>
      </c>
      <c r="G200" s="183" t="str">
        <f t="shared" si="7"/>
        <v>CAG</v>
      </c>
      <c r="I200" s="425"/>
      <c r="J200" s="425"/>
      <c r="K200" s="425"/>
    </row>
    <row r="201" spans="1:11" ht="15">
      <c r="A201" s="217" t="s">
        <v>37</v>
      </c>
      <c r="B201" s="217" t="s">
        <v>1941</v>
      </c>
      <c r="C201" s="217" t="s">
        <v>679</v>
      </c>
      <c r="D201" s="216">
        <v>65</v>
      </c>
      <c r="E201" s="216" t="str">
        <f>VLOOKUP(B201,Tutti!$B$2:$C$598,2,FALSE)</f>
        <v>GEN</v>
      </c>
      <c r="F201" t="b">
        <f t="shared" si="6"/>
        <v>1</v>
      </c>
      <c r="G201" s="183" t="str">
        <f t="shared" si="7"/>
        <v>GEN</v>
      </c>
      <c r="I201" s="425"/>
      <c r="J201" s="425"/>
      <c r="K201" s="425"/>
    </row>
    <row r="202" spans="1:11" ht="15">
      <c r="A202" s="217" t="s">
        <v>37</v>
      </c>
      <c r="B202" s="217" t="s">
        <v>1992</v>
      </c>
      <c r="C202" s="217" t="s">
        <v>688</v>
      </c>
      <c r="D202" s="216">
        <v>50</v>
      </c>
      <c r="E202" s="216" t="str">
        <f>VLOOKUP(B202,Tutti!$B$2:$C$598,2,FALSE)</f>
        <v>SAM</v>
      </c>
      <c r="F202" t="b">
        <f t="shared" si="6"/>
        <v>1</v>
      </c>
      <c r="G202" s="183" t="str">
        <f t="shared" si="7"/>
        <v>SAM</v>
      </c>
      <c r="I202" s="425"/>
      <c r="J202" s="425"/>
      <c r="K202" s="425"/>
    </row>
    <row r="203" spans="1:11" ht="15">
      <c r="A203" s="217" t="s">
        <v>37</v>
      </c>
      <c r="B203" s="217" t="s">
        <v>1698</v>
      </c>
      <c r="C203" s="217" t="s">
        <v>692</v>
      </c>
      <c r="D203" s="216">
        <v>75</v>
      </c>
      <c r="E203" s="216" t="str">
        <f>VLOOKUP(B203,Tutti!$B$2:$C$598,2,FALSE)</f>
        <v>FIO</v>
      </c>
      <c r="F203" t="b">
        <f t="shared" si="6"/>
        <v>1</v>
      </c>
      <c r="G203" s="183" t="str">
        <f t="shared" si="7"/>
        <v>FIO</v>
      </c>
      <c r="I203" s="425"/>
      <c r="J203" s="425"/>
      <c r="K203" s="425"/>
    </row>
    <row r="204" spans="1:11" ht="15">
      <c r="A204" s="217" t="s">
        <v>37</v>
      </c>
      <c r="B204" s="217" t="s">
        <v>551</v>
      </c>
      <c r="C204" s="217" t="s">
        <v>677</v>
      </c>
      <c r="D204" s="216">
        <v>88</v>
      </c>
      <c r="E204" s="216" t="str">
        <f>VLOOKUP(B204,Tutti!$B$2:$C$598,2,FALSE)</f>
        <v>INT</v>
      </c>
      <c r="F204" t="b">
        <f t="shared" si="6"/>
        <v>1</v>
      </c>
      <c r="G204" s="183" t="str">
        <f t="shared" si="7"/>
        <v>INT</v>
      </c>
      <c r="I204" s="425"/>
      <c r="J204" s="425"/>
      <c r="K204" s="425"/>
    </row>
    <row r="205" spans="1:11" ht="15">
      <c r="A205" s="217" t="s">
        <v>37</v>
      </c>
      <c r="B205" s="217" t="s">
        <v>553</v>
      </c>
      <c r="C205" s="217" t="s">
        <v>687</v>
      </c>
      <c r="D205" s="216">
        <v>65</v>
      </c>
      <c r="E205" s="216" t="str">
        <f>VLOOKUP(B205,Tutti!$B$2:$C$598,2,FALSE)</f>
        <v>TOR</v>
      </c>
      <c r="F205" t="b">
        <f t="shared" si="6"/>
        <v>1</v>
      </c>
      <c r="G205" s="183" t="str">
        <f t="shared" si="7"/>
        <v>TOR</v>
      </c>
      <c r="I205" s="425"/>
      <c r="J205" s="425"/>
      <c r="K205" s="425"/>
    </row>
    <row r="206" spans="1:11" ht="15">
      <c r="A206" s="217" t="s">
        <v>37</v>
      </c>
      <c r="B206" s="217" t="s">
        <v>554</v>
      </c>
      <c r="C206" s="217" t="s">
        <v>687</v>
      </c>
      <c r="D206" s="216">
        <v>74</v>
      </c>
      <c r="E206" s="216" t="str">
        <f>VLOOKUP(B206,Tutti!$B$2:$C$598,2,FALSE)</f>
        <v>TOR</v>
      </c>
      <c r="F206" t="b">
        <f t="shared" si="6"/>
        <v>1</v>
      </c>
      <c r="G206" s="183" t="str">
        <f t="shared" si="7"/>
        <v>TOR</v>
      </c>
      <c r="I206" s="425"/>
      <c r="J206" s="425"/>
      <c r="K206" s="425"/>
    </row>
    <row r="207" spans="1:11" ht="15">
      <c r="A207" s="217" t="s">
        <v>37</v>
      </c>
      <c r="B207" s="217" t="s">
        <v>558</v>
      </c>
      <c r="C207" s="217" t="s">
        <v>688</v>
      </c>
      <c r="D207" s="216">
        <v>70</v>
      </c>
      <c r="E207" s="216" t="str">
        <f>VLOOKUP(B207,Tutti!$B$2:$C$598,2,FALSE)</f>
        <v>SAM</v>
      </c>
      <c r="F207" t="b">
        <f t="shared" si="6"/>
        <v>1</v>
      </c>
      <c r="G207" s="183" t="str">
        <f t="shared" si="7"/>
        <v>SAM</v>
      </c>
      <c r="I207" s="425"/>
      <c r="J207" s="425"/>
      <c r="K207" s="425"/>
    </row>
    <row r="208" spans="1:11" ht="15">
      <c r="A208" s="217" t="s">
        <v>37</v>
      </c>
      <c r="B208" s="217" t="s">
        <v>1701</v>
      </c>
      <c r="C208" s="217" t="s">
        <v>678</v>
      </c>
      <c r="D208" s="216">
        <v>77</v>
      </c>
      <c r="E208" s="216" t="str">
        <f>VLOOKUP(B208,Tutti!$B$2:$C$598,2,FALSE)</f>
        <v>MIL</v>
      </c>
      <c r="F208" t="b">
        <f t="shared" si="6"/>
        <v>1</v>
      </c>
      <c r="G208" s="183" t="str">
        <f t="shared" si="7"/>
        <v>MIL</v>
      </c>
      <c r="I208" s="425"/>
      <c r="J208" s="425"/>
      <c r="K208" s="425"/>
    </row>
    <row r="209" spans="1:11" ht="15">
      <c r="A209" s="217" t="s">
        <v>37</v>
      </c>
      <c r="B209" s="217" t="s">
        <v>560</v>
      </c>
      <c r="C209" s="217" t="s">
        <v>677</v>
      </c>
      <c r="D209" s="216">
        <v>68</v>
      </c>
      <c r="E209" s="216" t="str">
        <f>VLOOKUP(B209,Tutti!$B$2:$C$598,2,FALSE)</f>
        <v>INT</v>
      </c>
      <c r="F209" t="b">
        <f t="shared" si="6"/>
        <v>1</v>
      </c>
      <c r="G209" s="183" t="str">
        <f t="shared" si="7"/>
        <v>INT</v>
      </c>
      <c r="I209" s="425"/>
      <c r="J209" s="425"/>
      <c r="K209" s="425"/>
    </row>
    <row r="210" spans="1:11" ht="15">
      <c r="A210" s="217" t="s">
        <v>37</v>
      </c>
      <c r="B210" s="217" t="s">
        <v>1922</v>
      </c>
      <c r="C210" s="217" t="s">
        <v>687</v>
      </c>
      <c r="D210" s="216">
        <v>75</v>
      </c>
      <c r="E210" s="216" t="str">
        <f>VLOOKUP(B210,Tutti!$B$2:$C$598,2,FALSE)</f>
        <v>TOR</v>
      </c>
      <c r="F210" t="b">
        <f t="shared" si="6"/>
        <v>1</v>
      </c>
      <c r="G210" s="183" t="str">
        <f t="shared" si="7"/>
        <v>TOR</v>
      </c>
      <c r="I210" s="425"/>
      <c r="J210" s="425"/>
      <c r="K210" s="425"/>
    </row>
    <row r="211" spans="1:11" ht="15">
      <c r="A211" s="217" t="s">
        <v>37</v>
      </c>
      <c r="B211" s="217" t="s">
        <v>1703</v>
      </c>
      <c r="C211" s="217" t="s">
        <v>684</v>
      </c>
      <c r="D211" s="216">
        <v>73</v>
      </c>
      <c r="E211" s="216" t="str">
        <f>VLOOKUP(B211,Tutti!$B$2:$C$598,2,FALSE)</f>
        <v>UDI</v>
      </c>
      <c r="F211" t="b">
        <f t="shared" si="6"/>
        <v>1</v>
      </c>
      <c r="G211" s="183" t="str">
        <f t="shared" si="7"/>
        <v>UDI</v>
      </c>
      <c r="I211" s="425"/>
      <c r="J211" s="425"/>
      <c r="K211" s="425"/>
    </row>
    <row r="212" spans="1:11" ht="15">
      <c r="A212" s="217" t="s">
        <v>37</v>
      </c>
      <c r="B212" s="217" t="s">
        <v>1283</v>
      </c>
      <c r="C212" s="217" t="s">
        <v>1477</v>
      </c>
      <c r="D212" s="216">
        <v>74</v>
      </c>
      <c r="E212" s="216" t="str">
        <f>VLOOKUP(B212,Tutti!$B$2:$C$598,2,FALSE)</f>
        <v>SPA</v>
      </c>
      <c r="F212" t="b">
        <f t="shared" si="6"/>
        <v>1</v>
      </c>
      <c r="G212" s="183" t="str">
        <f t="shared" si="7"/>
        <v>SPA</v>
      </c>
      <c r="I212" s="425"/>
      <c r="J212" s="425"/>
      <c r="K212" s="425"/>
    </row>
    <row r="213" spans="1:11" ht="15">
      <c r="A213" s="217" t="s">
        <v>37</v>
      </c>
      <c r="B213" s="217" t="s">
        <v>1342</v>
      </c>
      <c r="C213" s="217" t="s">
        <v>692</v>
      </c>
      <c r="D213" s="216">
        <v>70</v>
      </c>
      <c r="E213" s="216" t="str">
        <f>VLOOKUP(B213,Tutti!$B$2:$C$598,2,FALSE)</f>
        <v>FIO</v>
      </c>
      <c r="F213" t="b">
        <f t="shared" si="6"/>
        <v>1</v>
      </c>
      <c r="G213" s="183" t="str">
        <f t="shared" si="7"/>
        <v>FIO</v>
      </c>
      <c r="I213" s="425"/>
      <c r="J213" s="425"/>
      <c r="K213" s="425"/>
    </row>
    <row r="214" spans="1:11" ht="15">
      <c r="A214" s="217" t="s">
        <v>37</v>
      </c>
      <c r="B214" s="217" t="s">
        <v>575</v>
      </c>
      <c r="C214" s="217" t="s">
        <v>700</v>
      </c>
      <c r="D214" s="216">
        <v>77</v>
      </c>
      <c r="E214" s="216" t="str">
        <f>VLOOKUP(B214,Tutti!$B$2:$C$598,2,FALSE)</f>
        <v>CAG</v>
      </c>
      <c r="F214" t="b">
        <f t="shared" si="6"/>
        <v>1</v>
      </c>
      <c r="G214" s="183" t="str">
        <f t="shared" si="7"/>
        <v>CAG</v>
      </c>
      <c r="I214" s="425"/>
      <c r="J214" s="425"/>
      <c r="K214" s="425"/>
    </row>
    <row r="215" spans="1:11" ht="15">
      <c r="A215" s="217" t="s">
        <v>37</v>
      </c>
      <c r="B215" s="217" t="s">
        <v>562</v>
      </c>
      <c r="C215" s="217" t="s">
        <v>678</v>
      </c>
      <c r="D215" s="216">
        <v>64</v>
      </c>
      <c r="E215" s="216" t="str">
        <f>VLOOKUP(B215,Tutti!$B$2:$C$598,2,FALSE)</f>
        <v>MIL</v>
      </c>
      <c r="F215" t="b">
        <f t="shared" si="6"/>
        <v>1</v>
      </c>
      <c r="G215" s="183" t="str">
        <f t="shared" si="7"/>
        <v>MIL</v>
      </c>
      <c r="I215" s="425"/>
      <c r="J215" s="425"/>
      <c r="K215" s="425"/>
    </row>
    <row r="216" spans="1:11" ht="15">
      <c r="A216" s="217" t="s">
        <v>37</v>
      </c>
      <c r="B216" s="217" t="s">
        <v>1707</v>
      </c>
      <c r="C216" s="217" t="s">
        <v>686</v>
      </c>
      <c r="D216" s="216">
        <v>67</v>
      </c>
      <c r="E216" s="216" t="str">
        <f>VLOOKUP(B216,Tutti!$B$2:$C$598,2,FALSE)</f>
        <v>ATA</v>
      </c>
      <c r="F216" t="b">
        <f t="shared" si="6"/>
        <v>1</v>
      </c>
      <c r="G216" s="183" t="str">
        <f t="shared" si="7"/>
        <v>ATA</v>
      </c>
      <c r="I216" s="425"/>
      <c r="J216" s="425"/>
      <c r="K216" s="425"/>
    </row>
    <row r="217" spans="1:11" ht="15">
      <c r="A217" s="217" t="s">
        <v>37</v>
      </c>
      <c r="B217" s="217" t="s">
        <v>564</v>
      </c>
      <c r="C217" s="217" t="s">
        <v>682</v>
      </c>
      <c r="D217" s="216">
        <v>62</v>
      </c>
      <c r="E217" s="216" t="str">
        <f>VLOOKUP(B217,Tutti!$B$2:$C$598,2,FALSE)</f>
        <v>LAZ</v>
      </c>
      <c r="F217" t="b">
        <f t="shared" si="6"/>
        <v>1</v>
      </c>
      <c r="G217" s="183" t="str">
        <f t="shared" si="7"/>
        <v>LAZ</v>
      </c>
      <c r="I217" s="425"/>
      <c r="J217" s="425"/>
      <c r="K217" s="425"/>
    </row>
    <row r="218" spans="1:11" ht="15">
      <c r="A218" s="217" t="s">
        <v>37</v>
      </c>
      <c r="B218" s="217" t="s">
        <v>566</v>
      </c>
      <c r="C218" s="217" t="s">
        <v>701</v>
      </c>
      <c r="D218" s="216">
        <v>71</v>
      </c>
      <c r="E218" s="216" t="str">
        <f>VLOOKUP(B218,Tutti!$B$2:$C$598,2,FALSE)</f>
        <v>CRO</v>
      </c>
      <c r="F218" t="b">
        <f t="shared" si="6"/>
        <v>1</v>
      </c>
      <c r="G218" s="183" t="str">
        <f t="shared" si="7"/>
        <v>CRO</v>
      </c>
      <c r="I218" s="425"/>
      <c r="J218" s="425"/>
      <c r="K218" s="425"/>
    </row>
    <row r="219" spans="1:11" ht="15">
      <c r="A219" s="217" t="s">
        <v>37</v>
      </c>
      <c r="B219" s="217" t="s">
        <v>568</v>
      </c>
      <c r="C219" s="217" t="s">
        <v>685</v>
      </c>
      <c r="D219" s="216">
        <v>75</v>
      </c>
      <c r="E219" s="216" t="str">
        <f>VLOOKUP(B219,Tutti!$B$2:$C$598,2,FALSE)</f>
        <v>SAS</v>
      </c>
      <c r="F219" t="b">
        <f t="shared" si="6"/>
        <v>1</v>
      </c>
      <c r="G219" s="183" t="str">
        <f t="shared" si="7"/>
        <v>SAS</v>
      </c>
      <c r="I219" s="425"/>
      <c r="J219" s="425"/>
      <c r="K219" s="425"/>
    </row>
    <row r="220" spans="1:11" ht="15">
      <c r="A220" s="217" t="s">
        <v>37</v>
      </c>
      <c r="B220" s="217" t="s">
        <v>1939</v>
      </c>
      <c r="C220" s="217" t="s">
        <v>692</v>
      </c>
      <c r="D220" s="216">
        <v>78</v>
      </c>
      <c r="E220" s="216" t="str">
        <f>VLOOKUP(B220,Tutti!$B$2:$C$598,2,FALSE)</f>
        <v>FIO</v>
      </c>
      <c r="F220" t="b">
        <f t="shared" si="6"/>
        <v>1</v>
      </c>
      <c r="G220" s="183" t="str">
        <f t="shared" si="7"/>
        <v>FIO</v>
      </c>
      <c r="I220" s="425"/>
      <c r="J220" s="425"/>
      <c r="K220" s="425"/>
    </row>
    <row r="221" spans="1:11" ht="15">
      <c r="A221" s="217" t="s">
        <v>37</v>
      </c>
      <c r="B221" s="217" t="s">
        <v>1942</v>
      </c>
      <c r="C221" s="217" t="s">
        <v>684</v>
      </c>
      <c r="D221" s="216">
        <v>55</v>
      </c>
      <c r="E221" s="216" t="str">
        <f>VLOOKUP(B221,Tutti!$B$2:$C$598,2,FALSE)</f>
        <v>UDI</v>
      </c>
      <c r="F221" t="b">
        <f t="shared" si="6"/>
        <v>1</v>
      </c>
      <c r="G221" s="183" t="str">
        <f t="shared" si="7"/>
        <v>UDI</v>
      </c>
      <c r="I221" s="425"/>
      <c r="J221" s="425"/>
      <c r="K221" s="425"/>
    </row>
    <row r="222" spans="1:11" ht="15">
      <c r="A222" s="217" t="s">
        <v>37</v>
      </c>
      <c r="B222" s="217" t="s">
        <v>572</v>
      </c>
      <c r="C222" s="217" t="s">
        <v>700</v>
      </c>
      <c r="D222" s="216">
        <v>73</v>
      </c>
      <c r="E222" s="216" t="str">
        <f>VLOOKUP(B222,Tutti!$B$2:$C$598,2,FALSE)</f>
        <v>CAG</v>
      </c>
      <c r="F222" t="b">
        <f t="shared" si="6"/>
        <v>1</v>
      </c>
      <c r="G222" s="183" t="str">
        <f t="shared" si="7"/>
        <v>CAG</v>
      </c>
      <c r="I222" s="425"/>
      <c r="J222" s="425"/>
      <c r="K222" s="425"/>
    </row>
    <row r="223" spans="1:11" ht="15">
      <c r="A223" s="217" t="s">
        <v>37</v>
      </c>
      <c r="B223" s="217" t="s">
        <v>1732</v>
      </c>
      <c r="C223" s="217" t="s">
        <v>1477</v>
      </c>
      <c r="D223" s="216">
        <v>40</v>
      </c>
      <c r="E223" s="216" t="str">
        <f>VLOOKUP(B223,Tutti!$B$2:$C$598,2,FALSE)</f>
        <v>SPA</v>
      </c>
      <c r="F223" t="b">
        <f t="shared" si="6"/>
        <v>1</v>
      </c>
      <c r="G223" s="183" t="str">
        <f t="shared" si="7"/>
        <v>SPA</v>
      </c>
      <c r="I223" s="425"/>
      <c r="J223" s="425"/>
      <c r="K223" s="425"/>
    </row>
    <row r="224" spans="1:11" ht="15">
      <c r="A224" s="217" t="s">
        <v>37</v>
      </c>
      <c r="B224" s="217" t="s">
        <v>574</v>
      </c>
      <c r="C224" s="217" t="s">
        <v>682</v>
      </c>
      <c r="D224" s="216">
        <v>71</v>
      </c>
      <c r="E224" s="216" t="str">
        <f>VLOOKUP(B224,Tutti!$B$2:$C$598,2,FALSE)</f>
        <v>LAZ</v>
      </c>
      <c r="F224" t="b">
        <f t="shared" si="6"/>
        <v>1</v>
      </c>
      <c r="G224" s="183" t="str">
        <f t="shared" si="7"/>
        <v>LAZ</v>
      </c>
      <c r="I224" s="425"/>
      <c r="J224" s="425"/>
      <c r="K224" s="425"/>
    </row>
    <row r="225" spans="1:11" ht="15">
      <c r="A225" s="217" t="s">
        <v>37</v>
      </c>
      <c r="B225" s="217" t="s">
        <v>576</v>
      </c>
      <c r="C225" s="217" t="s">
        <v>677</v>
      </c>
      <c r="D225" s="216">
        <v>63</v>
      </c>
      <c r="E225" s="216" t="str">
        <f>VLOOKUP(B225,Tutti!$B$2:$C$598,2,FALSE)</f>
        <v>INT</v>
      </c>
      <c r="F225" t="b">
        <f t="shared" si="6"/>
        <v>1</v>
      </c>
      <c r="G225" s="183" t="str">
        <f t="shared" si="7"/>
        <v>INT</v>
      </c>
      <c r="I225" s="425"/>
      <c r="J225" s="425"/>
      <c r="K225" s="425"/>
    </row>
    <row r="226" spans="1:11" ht="15">
      <c r="A226" s="217" t="s">
        <v>37</v>
      </c>
      <c r="B226" s="217" t="s">
        <v>577</v>
      </c>
      <c r="C226" s="217" t="s">
        <v>688</v>
      </c>
      <c r="D226" s="216">
        <v>71</v>
      </c>
      <c r="E226" s="216" t="str">
        <f>VLOOKUP(B226,Tutti!$B$2:$C$598,2,FALSE)</f>
        <v>SAM</v>
      </c>
      <c r="F226" t="b">
        <f t="shared" si="6"/>
        <v>1</v>
      </c>
      <c r="G226" s="183" t="str">
        <f t="shared" si="7"/>
        <v>SAM</v>
      </c>
      <c r="I226" s="425"/>
      <c r="J226" s="425"/>
      <c r="K226" s="425"/>
    </row>
    <row r="227" spans="1:11" ht="15">
      <c r="A227" s="217" t="s">
        <v>37</v>
      </c>
      <c r="B227" s="217" t="s">
        <v>1729</v>
      </c>
      <c r="C227" s="217" t="s">
        <v>680</v>
      </c>
      <c r="D227" s="216">
        <v>60</v>
      </c>
      <c r="E227" s="216" t="e">
        <f>VLOOKUP(B227,Tutti!$B$2:$C$598,2,FALSE)</f>
        <v>#N/A</v>
      </c>
      <c r="F227" t="e">
        <f t="shared" si="6"/>
        <v>#N/A</v>
      </c>
      <c r="G227" s="183" t="str">
        <f t="shared" si="7"/>
        <v>CHI</v>
      </c>
      <c r="I227" s="425"/>
      <c r="J227" s="425"/>
      <c r="K227" s="425"/>
    </row>
    <row r="228" spans="1:11" ht="15">
      <c r="A228" s="217" t="s">
        <v>37</v>
      </c>
      <c r="B228" s="217" t="s">
        <v>1861</v>
      </c>
      <c r="C228" s="217" t="s">
        <v>678</v>
      </c>
      <c r="D228" s="216">
        <v>86</v>
      </c>
      <c r="E228" s="216" t="str">
        <f>VLOOKUP(B228,Tutti!$B$2:$C$598,2,FALSE)</f>
        <v>MIL</v>
      </c>
      <c r="F228" t="b">
        <f t="shared" si="6"/>
        <v>1</v>
      </c>
      <c r="G228" s="183" t="str">
        <f t="shared" si="7"/>
        <v>MIL</v>
      </c>
      <c r="I228" s="425"/>
      <c r="J228" s="425"/>
      <c r="K228" s="425"/>
    </row>
    <row r="229" spans="1:11" ht="15">
      <c r="A229" s="217" t="s">
        <v>37</v>
      </c>
      <c r="B229" s="217" t="s">
        <v>1960</v>
      </c>
      <c r="C229" s="217" t="s">
        <v>685</v>
      </c>
      <c r="D229" s="216">
        <v>59</v>
      </c>
      <c r="E229" s="216" t="str">
        <f>VLOOKUP(B229,Tutti!$B$2:$C$598,2,FALSE)</f>
        <v>SAS</v>
      </c>
      <c r="F229" t="b">
        <f t="shared" si="6"/>
        <v>1</v>
      </c>
      <c r="G229" s="183" t="str">
        <f t="shared" si="7"/>
        <v>SAS</v>
      </c>
      <c r="I229" s="425"/>
      <c r="J229" s="425"/>
      <c r="K229" s="425"/>
    </row>
    <row r="230" spans="1:11" ht="15">
      <c r="A230" s="217" t="s">
        <v>37</v>
      </c>
      <c r="B230" s="217" t="s">
        <v>1722</v>
      </c>
      <c r="C230" s="217" t="s">
        <v>700</v>
      </c>
      <c r="D230" s="216">
        <v>55</v>
      </c>
      <c r="E230" s="216" t="str">
        <f>VLOOKUP(B230,Tutti!$B$2:$C$598,2,FALSE)</f>
        <v>CAG</v>
      </c>
      <c r="F230" t="b">
        <f t="shared" si="6"/>
        <v>1</v>
      </c>
      <c r="G230" s="183" t="str">
        <f t="shared" si="7"/>
        <v>CAG</v>
      </c>
      <c r="I230" s="425"/>
      <c r="J230" s="425"/>
      <c r="K230" s="425"/>
    </row>
    <row r="231" spans="1:11" ht="15">
      <c r="A231" s="217" t="s">
        <v>37</v>
      </c>
      <c r="B231" s="217" t="s">
        <v>1297</v>
      </c>
      <c r="C231" s="217" t="s">
        <v>678</v>
      </c>
      <c r="D231" s="216">
        <v>79</v>
      </c>
      <c r="E231" s="216" t="str">
        <f>VLOOKUP(B231,Tutti!$B$2:$C$598,2,FALSE)</f>
        <v>MIL</v>
      </c>
      <c r="F231" t="b">
        <f t="shared" si="6"/>
        <v>1</v>
      </c>
      <c r="G231" s="183" t="str">
        <f t="shared" si="7"/>
        <v>MIL</v>
      </c>
      <c r="I231" s="425"/>
      <c r="J231" s="425"/>
      <c r="K231" s="425"/>
    </row>
    <row r="232" spans="1:11" ht="15">
      <c r="A232" s="217" t="s">
        <v>37</v>
      </c>
      <c r="B232" s="217" t="s">
        <v>1693</v>
      </c>
      <c r="C232" s="217" t="s">
        <v>1674</v>
      </c>
      <c r="D232" s="216">
        <v>80</v>
      </c>
      <c r="E232" s="216" t="str">
        <f>VLOOKUP(B232,Tutti!$B$2:$C$598,2,FALSE)</f>
        <v>VER</v>
      </c>
      <c r="F232" t="b">
        <f t="shared" si="6"/>
        <v>1</v>
      </c>
      <c r="G232" s="183" t="str">
        <f t="shared" si="7"/>
        <v>VER</v>
      </c>
      <c r="I232" s="425"/>
      <c r="J232" s="425"/>
      <c r="K232" s="425"/>
    </row>
    <row r="233" spans="1:11" ht="15">
      <c r="A233" s="217" t="s">
        <v>37</v>
      </c>
      <c r="B233" s="217" t="s">
        <v>583</v>
      </c>
      <c r="C233" s="217" t="s">
        <v>679</v>
      </c>
      <c r="D233" s="216">
        <v>66</v>
      </c>
      <c r="E233" s="216" t="str">
        <f>VLOOKUP(B233,Tutti!$B$2:$C$598,2,FALSE)</f>
        <v>GEN</v>
      </c>
      <c r="F233" t="b">
        <f t="shared" si="6"/>
        <v>1</v>
      </c>
      <c r="G233" s="183" t="str">
        <f t="shared" si="7"/>
        <v>GEN</v>
      </c>
      <c r="I233" s="425"/>
      <c r="J233" s="425"/>
      <c r="K233" s="425"/>
    </row>
    <row r="234" spans="1:11" ht="15">
      <c r="A234" s="217" t="s">
        <v>37</v>
      </c>
      <c r="B234" s="217" t="s">
        <v>585</v>
      </c>
      <c r="C234" s="217" t="s">
        <v>679</v>
      </c>
      <c r="D234" s="216">
        <v>71</v>
      </c>
      <c r="E234" s="216" t="str">
        <f>VLOOKUP(B234,Tutti!$B$2:$C$598,2,FALSE)</f>
        <v>GEN</v>
      </c>
      <c r="F234" t="b">
        <f t="shared" si="6"/>
        <v>1</v>
      </c>
      <c r="G234" s="183" t="str">
        <f t="shared" si="7"/>
        <v>GEN</v>
      </c>
      <c r="I234" s="425"/>
      <c r="J234" s="425"/>
      <c r="K234" s="425"/>
    </row>
    <row r="235" spans="1:11" ht="15">
      <c r="A235" s="217" t="s">
        <v>37</v>
      </c>
      <c r="B235" s="217" t="s">
        <v>588</v>
      </c>
      <c r="C235" s="217" t="s">
        <v>676</v>
      </c>
      <c r="D235" s="216">
        <v>84</v>
      </c>
      <c r="E235" s="216" t="str">
        <f>VLOOKUP(B235,Tutti!$B$2:$C$598,2,FALSE)</f>
        <v>JUV</v>
      </c>
      <c r="F235" t="b">
        <f t="shared" si="6"/>
        <v>1</v>
      </c>
      <c r="G235" s="183" t="str">
        <f t="shared" si="7"/>
        <v>JUV</v>
      </c>
      <c r="I235" s="425"/>
      <c r="J235" s="425"/>
      <c r="K235" s="425"/>
    </row>
    <row r="236" spans="1:11" ht="15">
      <c r="A236" s="217" t="s">
        <v>37</v>
      </c>
      <c r="B236" s="217" t="s">
        <v>597</v>
      </c>
      <c r="C236" s="217" t="s">
        <v>688</v>
      </c>
      <c r="D236" s="216">
        <v>69</v>
      </c>
      <c r="E236" s="216" t="str">
        <f>VLOOKUP(B236,Tutti!$B$2:$C$598,2,FALSE)</f>
        <v>SAM</v>
      </c>
      <c r="F236" t="b">
        <f t="shared" si="6"/>
        <v>1</v>
      </c>
      <c r="G236" s="183" t="str">
        <f t="shared" si="7"/>
        <v>SAM</v>
      </c>
      <c r="I236" s="425"/>
      <c r="J236" s="425"/>
      <c r="K236" s="425"/>
    </row>
    <row r="237" spans="1:11" ht="15">
      <c r="A237" s="217" t="s">
        <v>37</v>
      </c>
      <c r="B237" s="217" t="s">
        <v>589</v>
      </c>
      <c r="C237" s="217" t="s">
        <v>1477</v>
      </c>
      <c r="D237" s="216">
        <v>60</v>
      </c>
      <c r="E237" s="216" t="str">
        <f>VLOOKUP(B237,Tutti!$B$2:$C$598,2,FALSE)</f>
        <v>SPA</v>
      </c>
      <c r="F237" t="b">
        <f t="shared" si="6"/>
        <v>1</v>
      </c>
      <c r="G237" s="183" t="str">
        <f t="shared" si="7"/>
        <v>SPA</v>
      </c>
      <c r="I237" s="425"/>
      <c r="J237" s="425"/>
      <c r="K237" s="425"/>
    </row>
    <row r="238" spans="1:11" ht="15">
      <c r="A238" s="217" t="s">
        <v>37</v>
      </c>
      <c r="B238" s="217" t="s">
        <v>591</v>
      </c>
      <c r="C238" s="217" t="s">
        <v>684</v>
      </c>
      <c r="D238" s="216">
        <v>70</v>
      </c>
      <c r="E238" s="216" t="str">
        <f>VLOOKUP(B238,Tutti!$B$2:$C$598,2,FALSE)</f>
        <v>UDI</v>
      </c>
      <c r="F238" t="b">
        <f t="shared" si="6"/>
        <v>1</v>
      </c>
      <c r="G238" s="183" t="str">
        <f t="shared" si="7"/>
        <v>UDI</v>
      </c>
      <c r="I238" s="425"/>
      <c r="J238" s="425"/>
      <c r="K238" s="425"/>
    </row>
    <row r="239" spans="1:11" ht="15">
      <c r="A239" s="217" t="s">
        <v>37</v>
      </c>
      <c r="B239" s="217" t="s">
        <v>592</v>
      </c>
      <c r="C239" s="217" t="s">
        <v>701</v>
      </c>
      <c r="D239" s="216">
        <v>63</v>
      </c>
      <c r="E239" s="216" t="str">
        <f>VLOOKUP(B239,Tutti!$B$2:$C$598,2,FALSE)</f>
        <v>CRO</v>
      </c>
      <c r="F239" t="b">
        <f t="shared" si="6"/>
        <v>1</v>
      </c>
      <c r="G239" s="183" t="str">
        <f t="shared" si="7"/>
        <v>CRO</v>
      </c>
      <c r="I239" s="425"/>
      <c r="J239" s="425"/>
      <c r="K239" s="425"/>
    </row>
    <row r="240" spans="1:11" ht="15">
      <c r="A240" s="217" t="s">
        <v>37</v>
      </c>
      <c r="B240" s="217" t="s">
        <v>594</v>
      </c>
      <c r="C240" s="217" t="s">
        <v>677</v>
      </c>
      <c r="D240" s="216">
        <v>69</v>
      </c>
      <c r="E240" s="216" t="str">
        <f>VLOOKUP(B240,Tutti!$B$2:$C$598,2,FALSE)</f>
        <v>INT</v>
      </c>
      <c r="F240" t="b">
        <f t="shared" si="6"/>
        <v>1</v>
      </c>
      <c r="G240" s="183" t="str">
        <f t="shared" si="7"/>
        <v>INT</v>
      </c>
      <c r="I240" s="425"/>
      <c r="J240" s="425"/>
      <c r="K240" s="425"/>
    </row>
    <row r="241" spans="1:11" ht="15">
      <c r="A241" s="217" t="s">
        <v>37</v>
      </c>
      <c r="B241" s="217" t="s">
        <v>598</v>
      </c>
      <c r="C241" s="217" t="s">
        <v>688</v>
      </c>
      <c r="D241" s="216">
        <v>76</v>
      </c>
      <c r="E241" s="216" t="str">
        <f>VLOOKUP(B241,Tutti!$B$2:$C$598,2,FALSE)</f>
        <v>SAM</v>
      </c>
      <c r="F241" t="b">
        <f t="shared" si="6"/>
        <v>1</v>
      </c>
      <c r="G241" s="183" t="str">
        <f t="shared" si="7"/>
        <v>SAM</v>
      </c>
      <c r="I241" s="425"/>
      <c r="J241" s="425"/>
      <c r="K241" s="425"/>
    </row>
    <row r="242" spans="1:11" ht="15">
      <c r="A242" s="217" t="s">
        <v>37</v>
      </c>
      <c r="B242" s="217" t="s">
        <v>1990</v>
      </c>
      <c r="C242" s="217" t="s">
        <v>701</v>
      </c>
      <c r="D242" s="216">
        <v>58</v>
      </c>
      <c r="E242" s="216" t="str">
        <f>VLOOKUP(B242,Tutti!$B$2:$C$598,2,FALSE)</f>
        <v>CRO</v>
      </c>
      <c r="F242" t="b">
        <f t="shared" si="6"/>
        <v>1</v>
      </c>
      <c r="G242" s="183" t="str">
        <f t="shared" si="7"/>
        <v>CRO</v>
      </c>
      <c r="I242" s="425"/>
      <c r="J242" s="425"/>
      <c r="K242" s="425"/>
    </row>
    <row r="243" spans="1:11" ht="15">
      <c r="A243" s="217" t="s">
        <v>37</v>
      </c>
      <c r="B243" s="217" t="s">
        <v>599</v>
      </c>
      <c r="C243" s="217" t="s">
        <v>677</v>
      </c>
      <c r="D243" s="216">
        <v>76</v>
      </c>
      <c r="E243" s="216" t="str">
        <f>VLOOKUP(B243,Tutti!$B$2:$C$598,2,FALSE)</f>
        <v>INT</v>
      </c>
      <c r="F243" t="b">
        <f t="shared" si="6"/>
        <v>1</v>
      </c>
      <c r="G243" s="183" t="str">
        <f t="shared" si="7"/>
        <v>INT</v>
      </c>
      <c r="I243" s="425"/>
      <c r="J243" s="425"/>
      <c r="K243" s="425"/>
    </row>
    <row r="244" spans="1:11" ht="15">
      <c r="A244" s="217" t="s">
        <v>37</v>
      </c>
      <c r="B244" s="217" t="s">
        <v>1718</v>
      </c>
      <c r="C244" s="217" t="s">
        <v>1674</v>
      </c>
      <c r="D244" s="216">
        <v>73</v>
      </c>
      <c r="E244" s="216" t="str">
        <f>VLOOKUP(B244,Tutti!$B$2:$C$598,2,FALSE)</f>
        <v>VER</v>
      </c>
      <c r="F244" t="b">
        <f t="shared" si="6"/>
        <v>1</v>
      </c>
      <c r="G244" s="183" t="str">
        <f t="shared" si="7"/>
        <v>VER</v>
      </c>
      <c r="I244" s="425"/>
      <c r="J244" s="425"/>
      <c r="K244" s="425"/>
    </row>
    <row r="245" spans="1:11" ht="15">
      <c r="A245" s="217" t="s">
        <v>37</v>
      </c>
      <c r="B245" s="217" t="s">
        <v>601</v>
      </c>
      <c r="C245" s="217" t="s">
        <v>679</v>
      </c>
      <c r="D245" s="216">
        <v>69</v>
      </c>
      <c r="E245" s="216" t="str">
        <f>VLOOKUP(B245,Tutti!$B$2:$C$598,2,FALSE)</f>
        <v>GEN</v>
      </c>
      <c r="F245" t="b">
        <f t="shared" si="6"/>
        <v>1</v>
      </c>
      <c r="G245" s="183" t="str">
        <f t="shared" si="7"/>
        <v>GEN</v>
      </c>
      <c r="I245" s="425"/>
      <c r="J245" s="425"/>
      <c r="K245" s="425"/>
    </row>
    <row r="246" spans="1:11" ht="15">
      <c r="A246" s="217" t="s">
        <v>37</v>
      </c>
      <c r="B246" s="217" t="s">
        <v>602</v>
      </c>
      <c r="C246" s="217" t="s">
        <v>688</v>
      </c>
      <c r="D246" s="216">
        <v>78</v>
      </c>
      <c r="E246" s="216" t="str">
        <f>VLOOKUP(B246,Tutti!$B$2:$C$598,2,FALSE)</f>
        <v>SAM</v>
      </c>
      <c r="F246" t="b">
        <f t="shared" si="6"/>
        <v>1</v>
      </c>
      <c r="G246" s="183" t="str">
        <f t="shared" si="7"/>
        <v>SAM</v>
      </c>
      <c r="I246" s="425"/>
      <c r="J246" s="425"/>
      <c r="K246" s="425"/>
    </row>
    <row r="247" spans="1:11" ht="15">
      <c r="A247" s="217" t="s">
        <v>37</v>
      </c>
      <c r="B247" s="217" t="s">
        <v>1957</v>
      </c>
      <c r="C247" s="217" t="s">
        <v>684</v>
      </c>
      <c r="D247" s="216">
        <v>66</v>
      </c>
      <c r="E247" s="216" t="str">
        <f>VLOOKUP(B247,Tutti!$B$2:$C$598,2,FALSE)</f>
        <v>UDI</v>
      </c>
      <c r="F247" t="b">
        <f t="shared" si="6"/>
        <v>1</v>
      </c>
      <c r="G247" s="183" t="str">
        <f t="shared" si="7"/>
        <v>UDI</v>
      </c>
      <c r="I247" s="425"/>
      <c r="J247" s="425"/>
      <c r="K247" s="425"/>
    </row>
    <row r="248" spans="1:11" ht="15">
      <c r="A248" s="217" t="s">
        <v>37</v>
      </c>
      <c r="B248" s="217" t="s">
        <v>607</v>
      </c>
      <c r="C248" s="217" t="s">
        <v>686</v>
      </c>
      <c r="D248" s="216">
        <v>76</v>
      </c>
      <c r="E248" s="216" t="str">
        <f>VLOOKUP(B248,Tutti!$B$2:$C$598,2,FALSE)</f>
        <v>ATA</v>
      </c>
      <c r="F248" t="b">
        <f t="shared" si="6"/>
        <v>1</v>
      </c>
      <c r="G248" s="183" t="str">
        <f t="shared" si="7"/>
        <v>ATA</v>
      </c>
      <c r="I248" s="425"/>
      <c r="J248" s="425"/>
      <c r="K248" s="425"/>
    </row>
    <row r="249" spans="1:11" ht="15">
      <c r="A249" s="217" t="s">
        <v>37</v>
      </c>
      <c r="B249" s="217" t="s">
        <v>1828</v>
      </c>
      <c r="C249" s="217" t="s">
        <v>688</v>
      </c>
      <c r="D249" s="216">
        <v>45</v>
      </c>
      <c r="E249" s="216" t="str">
        <f>VLOOKUP(B249,Tutti!$B$2:$C$598,2,FALSE)</f>
        <v>SAM</v>
      </c>
      <c r="F249" t="b">
        <f t="shared" si="6"/>
        <v>1</v>
      </c>
      <c r="G249" s="183" t="str">
        <f t="shared" si="7"/>
        <v>SAM</v>
      </c>
      <c r="I249" s="425"/>
      <c r="J249" s="425"/>
      <c r="K249" s="425"/>
    </row>
    <row r="250" spans="1:11" ht="15">
      <c r="A250" s="217" t="s">
        <v>37</v>
      </c>
      <c r="B250" s="217" t="s">
        <v>609</v>
      </c>
      <c r="C250" s="217" t="s">
        <v>680</v>
      </c>
      <c r="D250" s="216">
        <v>65</v>
      </c>
      <c r="E250" s="216" t="str">
        <f>VLOOKUP(B250,Tutti!$B$2:$C$598,2,FALSE)</f>
        <v>CHI</v>
      </c>
      <c r="F250" t="b">
        <f t="shared" si="6"/>
        <v>1</v>
      </c>
      <c r="G250" s="183" t="str">
        <f t="shared" si="7"/>
        <v>CHI</v>
      </c>
      <c r="I250" s="425"/>
      <c r="J250" s="425"/>
      <c r="K250" s="425"/>
    </row>
    <row r="251" spans="1:11" ht="15">
      <c r="A251" s="217" t="s">
        <v>37</v>
      </c>
      <c r="B251" s="217" t="s">
        <v>611</v>
      </c>
      <c r="C251" s="217" t="s">
        <v>681</v>
      </c>
      <c r="D251" s="216">
        <v>70</v>
      </c>
      <c r="E251" s="216" t="str">
        <f>VLOOKUP(B251,Tutti!$B$2:$C$598,2,FALSE)</f>
        <v>NAP</v>
      </c>
      <c r="F251" t="b">
        <f t="shared" si="6"/>
        <v>1</v>
      </c>
      <c r="G251" s="183" t="str">
        <f t="shared" si="7"/>
        <v>NAP</v>
      </c>
      <c r="I251" s="425"/>
      <c r="J251" s="425"/>
      <c r="K251" s="425"/>
    </row>
    <row r="252" spans="1:11" ht="15">
      <c r="A252" s="217" t="s">
        <v>37</v>
      </c>
      <c r="B252" s="217" t="s">
        <v>612</v>
      </c>
      <c r="C252" s="217" t="s">
        <v>691</v>
      </c>
      <c r="D252" s="216">
        <v>70</v>
      </c>
      <c r="E252" s="216" t="str">
        <f>VLOOKUP(B252,Tutti!$B$2:$C$598,2,FALSE)</f>
        <v>BOL</v>
      </c>
      <c r="F252" t="b">
        <f t="shared" si="6"/>
        <v>1</v>
      </c>
      <c r="G252" s="183" t="str">
        <f t="shared" si="7"/>
        <v>BOL</v>
      </c>
      <c r="I252" s="425"/>
      <c r="J252" s="425"/>
      <c r="K252" s="425"/>
    </row>
    <row r="253" spans="1:11" ht="15">
      <c r="A253" s="217" t="s">
        <v>37</v>
      </c>
      <c r="B253" s="217" t="s">
        <v>1731</v>
      </c>
      <c r="C253" s="217" t="s">
        <v>1477</v>
      </c>
      <c r="D253" s="216">
        <v>66</v>
      </c>
      <c r="E253" s="216" t="str">
        <f>VLOOKUP(B253,Tutti!$B$2:$C$598,2,FALSE)</f>
        <v>SPA</v>
      </c>
      <c r="F253" t="b">
        <f t="shared" si="6"/>
        <v>1</v>
      </c>
      <c r="G253" s="183" t="str">
        <f t="shared" si="7"/>
        <v>SPA</v>
      </c>
      <c r="I253" s="425"/>
      <c r="J253" s="425"/>
      <c r="K253" s="425"/>
    </row>
    <row r="254" spans="1:11" ht="15">
      <c r="A254" s="217" t="s">
        <v>37</v>
      </c>
      <c r="B254" s="217" t="s">
        <v>1962</v>
      </c>
      <c r="C254" s="217" t="s">
        <v>700</v>
      </c>
      <c r="D254" s="216">
        <v>77</v>
      </c>
      <c r="E254" s="216" t="str">
        <f>VLOOKUP(B254,Tutti!$B$2:$C$598,2,FALSE)</f>
        <v>CAG</v>
      </c>
      <c r="F254" t="b">
        <f t="shared" si="6"/>
        <v>1</v>
      </c>
      <c r="G254" s="183" t="str">
        <f t="shared" si="7"/>
        <v>CAG</v>
      </c>
      <c r="I254" s="425"/>
      <c r="J254" s="425"/>
      <c r="K254" s="425"/>
    </row>
    <row r="255" spans="1:11" ht="15">
      <c r="A255" s="217" t="s">
        <v>37</v>
      </c>
      <c r="B255" s="217" t="s">
        <v>1830</v>
      </c>
      <c r="C255" s="217" t="s">
        <v>677</v>
      </c>
      <c r="D255" s="216">
        <v>45</v>
      </c>
      <c r="E255" s="216" t="str">
        <f>VLOOKUP(B255,Tutti!$B$2:$C$598,2,FALSE)</f>
        <v>INT</v>
      </c>
      <c r="F255" t="b">
        <f t="shared" si="6"/>
        <v>1</v>
      </c>
      <c r="G255" s="183" t="str">
        <f t="shared" si="7"/>
        <v>INT</v>
      </c>
      <c r="I255" s="425"/>
      <c r="J255" s="425"/>
      <c r="K255" s="425"/>
    </row>
    <row r="256" spans="1:11" ht="15">
      <c r="A256" s="217" t="s">
        <v>37</v>
      </c>
      <c r="B256" s="217" t="s">
        <v>1705</v>
      </c>
      <c r="C256" s="217" t="s">
        <v>1672</v>
      </c>
      <c r="D256" s="216">
        <v>66</v>
      </c>
      <c r="E256" s="216" t="str">
        <f>VLOOKUP(B256,Tutti!$B$2:$C$598,2,FALSE)</f>
        <v>BEN</v>
      </c>
      <c r="F256" t="b">
        <f t="shared" si="6"/>
        <v>1</v>
      </c>
      <c r="G256" s="183" t="str">
        <f t="shared" si="7"/>
        <v>BEN</v>
      </c>
      <c r="I256" s="425"/>
      <c r="J256" s="425"/>
      <c r="K256" s="425"/>
    </row>
    <row r="257" spans="1:11" ht="15">
      <c r="A257" s="217" t="s">
        <v>37</v>
      </c>
      <c r="B257" s="217" t="s">
        <v>1721</v>
      </c>
      <c r="C257" s="217" t="s">
        <v>1477</v>
      </c>
      <c r="D257" s="216">
        <v>67</v>
      </c>
      <c r="E257" s="216" t="str">
        <f>VLOOKUP(B257,Tutti!$B$2:$C$598,2,FALSE)</f>
        <v>SPA</v>
      </c>
      <c r="F257" t="b">
        <f t="shared" si="6"/>
        <v>1</v>
      </c>
      <c r="G257" s="183" t="str">
        <f t="shared" si="7"/>
        <v>SPA</v>
      </c>
      <c r="I257" s="425"/>
      <c r="J257" s="425"/>
      <c r="K257" s="425"/>
    </row>
    <row r="258" spans="1:11" ht="15">
      <c r="A258" s="217" t="s">
        <v>37</v>
      </c>
      <c r="B258" s="217" t="s">
        <v>1850</v>
      </c>
      <c r="C258" s="217" t="s">
        <v>692</v>
      </c>
      <c r="D258" s="216">
        <v>77</v>
      </c>
      <c r="E258" s="216" t="str">
        <f>VLOOKUP(B258,Tutti!$B$2:$C$598,2,FALSE)</f>
        <v>FIO</v>
      </c>
      <c r="F258" t="b">
        <f t="shared" ref="F258:F321" si="8">E258=MID(C258,1,3)</f>
        <v>1</v>
      </c>
      <c r="G258" s="183" t="str">
        <f t="shared" ref="G258:G321" si="9">UPPER(MID(C258,1,3))</f>
        <v>FIO</v>
      </c>
      <c r="I258" s="425"/>
      <c r="J258" s="425"/>
      <c r="K258" s="425"/>
    </row>
    <row r="259" spans="1:11" ht="15">
      <c r="A259" s="217" t="s">
        <v>37</v>
      </c>
      <c r="B259" s="217" t="s">
        <v>615</v>
      </c>
      <c r="C259" s="217" t="s">
        <v>684</v>
      </c>
      <c r="D259" s="216">
        <v>59</v>
      </c>
      <c r="E259" s="216" t="e">
        <f>VLOOKUP(B259,Tutti!$B$2:$C$598,2,FALSE)</f>
        <v>#N/A</v>
      </c>
      <c r="F259" t="e">
        <f t="shared" si="8"/>
        <v>#N/A</v>
      </c>
      <c r="G259" s="183" t="str">
        <f t="shared" si="9"/>
        <v>UDI</v>
      </c>
      <c r="I259" s="425"/>
      <c r="J259" s="425"/>
      <c r="K259" s="425"/>
    </row>
    <row r="260" spans="1:11" ht="15">
      <c r="A260" s="217" t="s">
        <v>37</v>
      </c>
      <c r="B260" s="217" t="s">
        <v>617</v>
      </c>
      <c r="C260" s="217" t="s">
        <v>682</v>
      </c>
      <c r="D260" s="216">
        <v>70</v>
      </c>
      <c r="E260" s="216" t="str">
        <f>VLOOKUP(B260,Tutti!$B$2:$C$598,2,FALSE)</f>
        <v>LAZ</v>
      </c>
      <c r="F260" t="b">
        <f t="shared" si="8"/>
        <v>1</v>
      </c>
      <c r="G260" s="183" t="str">
        <f t="shared" si="9"/>
        <v>LAZ</v>
      </c>
      <c r="I260" s="425"/>
      <c r="J260" s="425"/>
      <c r="K260" s="425"/>
    </row>
    <row r="261" spans="1:11" ht="15">
      <c r="A261" s="217" t="s">
        <v>37</v>
      </c>
      <c r="B261" s="217" t="s">
        <v>618</v>
      </c>
      <c r="C261" s="217" t="s">
        <v>684</v>
      </c>
      <c r="D261" s="216">
        <v>81</v>
      </c>
      <c r="E261" s="216" t="str">
        <f>VLOOKUP(B261,Tutti!$B$2:$C$598,2,FALSE)</f>
        <v>UDI</v>
      </c>
      <c r="F261" t="b">
        <f t="shared" si="8"/>
        <v>1</v>
      </c>
      <c r="G261" s="183" t="str">
        <f t="shared" si="9"/>
        <v>UDI</v>
      </c>
      <c r="I261" s="425"/>
      <c r="J261" s="425"/>
      <c r="K261" s="425"/>
    </row>
    <row r="262" spans="1:11" ht="15">
      <c r="A262" s="217" t="s">
        <v>37</v>
      </c>
      <c r="B262" s="217" t="s">
        <v>623</v>
      </c>
      <c r="C262" s="217" t="s">
        <v>678</v>
      </c>
      <c r="D262" s="216">
        <v>65</v>
      </c>
      <c r="E262" s="216" t="str">
        <f>VLOOKUP(B262,Tutti!$B$2:$C$598,2,FALSE)</f>
        <v>MIL</v>
      </c>
      <c r="F262" t="b">
        <f t="shared" si="8"/>
        <v>1</v>
      </c>
      <c r="G262" s="183" t="str">
        <f t="shared" si="9"/>
        <v>MIL</v>
      </c>
      <c r="I262" s="425"/>
      <c r="J262" s="425"/>
      <c r="K262" s="425"/>
    </row>
    <row r="263" spans="1:11" ht="15">
      <c r="A263" s="217" t="s">
        <v>37</v>
      </c>
      <c r="B263" s="217" t="s">
        <v>625</v>
      </c>
      <c r="C263" s="217" t="s">
        <v>687</v>
      </c>
      <c r="D263" s="216">
        <v>75</v>
      </c>
      <c r="E263" s="216" t="e">
        <f>VLOOKUP(B263,Tutti!$B$2:$C$598,2,FALSE)</f>
        <v>#N/A</v>
      </c>
      <c r="F263" t="e">
        <f t="shared" si="8"/>
        <v>#N/A</v>
      </c>
      <c r="G263" s="183" t="str">
        <f t="shared" si="9"/>
        <v>TOR</v>
      </c>
      <c r="I263" s="425"/>
      <c r="J263" s="425"/>
      <c r="K263" s="425"/>
    </row>
    <row r="264" spans="1:11" ht="15">
      <c r="A264" s="217" t="s">
        <v>37</v>
      </c>
      <c r="B264" s="217" t="s">
        <v>626</v>
      </c>
      <c r="C264" s="217" t="s">
        <v>679</v>
      </c>
      <c r="D264" s="216">
        <v>73</v>
      </c>
      <c r="E264" s="216" t="str">
        <f>VLOOKUP(B264,Tutti!$B$2:$C$598,2,FALSE)</f>
        <v>GEN</v>
      </c>
      <c r="F264" t="b">
        <f t="shared" si="8"/>
        <v>1</v>
      </c>
      <c r="G264" s="183" t="str">
        <f t="shared" si="9"/>
        <v>GEN</v>
      </c>
      <c r="I264" s="425"/>
      <c r="J264" s="425"/>
      <c r="K264" s="425"/>
    </row>
    <row r="265" spans="1:11" ht="15">
      <c r="A265" s="217" t="s">
        <v>39</v>
      </c>
      <c r="B265" s="217" t="s">
        <v>299</v>
      </c>
      <c r="C265" s="217" t="s">
        <v>687</v>
      </c>
      <c r="D265" s="216">
        <v>68</v>
      </c>
      <c r="E265" s="216" t="str">
        <f>VLOOKUP(B265,Tutti!$B$2:$C$598,2,FALSE)</f>
        <v>TOR</v>
      </c>
      <c r="F265" t="b">
        <f t="shared" si="8"/>
        <v>1</v>
      </c>
      <c r="G265" s="183" t="str">
        <f t="shared" si="9"/>
        <v>TOR</v>
      </c>
      <c r="I265" s="425"/>
      <c r="J265" s="425"/>
      <c r="K265" s="425"/>
    </row>
    <row r="266" spans="1:11" ht="15">
      <c r="A266" s="217" t="s">
        <v>39</v>
      </c>
      <c r="B266" s="217" t="s">
        <v>302</v>
      </c>
      <c r="C266" s="217" t="s">
        <v>681</v>
      </c>
      <c r="D266" s="216">
        <v>73</v>
      </c>
      <c r="E266" s="216" t="str">
        <f>VLOOKUP(B266,Tutti!$B$2:$C$598,2,FALSE)</f>
        <v>NAP</v>
      </c>
      <c r="F266" t="b">
        <f t="shared" si="8"/>
        <v>1</v>
      </c>
      <c r="G266" s="183" t="str">
        <f t="shared" si="9"/>
        <v>NAP</v>
      </c>
      <c r="I266" s="425"/>
      <c r="J266" s="425"/>
      <c r="K266" s="425"/>
    </row>
    <row r="267" spans="1:11" ht="15">
      <c r="A267" s="217" t="s">
        <v>39</v>
      </c>
      <c r="B267" s="217" t="s">
        <v>1296</v>
      </c>
      <c r="C267" s="217" t="s">
        <v>688</v>
      </c>
      <c r="D267" s="216">
        <v>73</v>
      </c>
      <c r="E267" s="216" t="str">
        <f>VLOOKUP(B267,Tutti!$B$2:$C$598,2,FALSE)</f>
        <v>SAM</v>
      </c>
      <c r="F267" t="b">
        <f t="shared" si="8"/>
        <v>1</v>
      </c>
      <c r="G267" s="183" t="str">
        <f t="shared" si="9"/>
        <v>SAM</v>
      </c>
      <c r="I267" s="425"/>
      <c r="J267" s="425"/>
      <c r="K267" s="425"/>
    </row>
    <row r="268" spans="1:11" ht="15">
      <c r="A268" s="217" t="s">
        <v>39</v>
      </c>
      <c r="B268" s="217" t="s">
        <v>313</v>
      </c>
      <c r="C268" s="217" t="s">
        <v>692</v>
      </c>
      <c r="D268" s="216">
        <v>75</v>
      </c>
      <c r="E268" s="216" t="str">
        <f>VLOOKUP(B268,Tutti!$B$2:$C$598,2,FALSE)</f>
        <v>FIO</v>
      </c>
      <c r="F268" t="b">
        <f t="shared" si="8"/>
        <v>1</v>
      </c>
      <c r="G268" s="183" t="str">
        <f t="shared" si="9"/>
        <v>FIO</v>
      </c>
      <c r="I268" s="425"/>
      <c r="J268" s="425"/>
      <c r="K268" s="425"/>
    </row>
    <row r="269" spans="1:11" ht="15">
      <c r="A269" s="217" t="s">
        <v>39</v>
      </c>
      <c r="B269" s="217" t="s">
        <v>318</v>
      </c>
      <c r="C269" s="217" t="s">
        <v>684</v>
      </c>
      <c r="D269" s="216">
        <v>40</v>
      </c>
      <c r="E269" s="216" t="str">
        <f>VLOOKUP(B269,Tutti!$B$2:$C$598,2,FALSE)</f>
        <v>UDI</v>
      </c>
      <c r="F269" t="b">
        <f t="shared" si="8"/>
        <v>1</v>
      </c>
      <c r="G269" s="183" t="str">
        <f t="shared" si="9"/>
        <v>UDI</v>
      </c>
      <c r="I269" s="425"/>
      <c r="J269" s="425"/>
      <c r="K269" s="425"/>
    </row>
    <row r="270" spans="1:11" ht="15">
      <c r="A270" s="217" t="s">
        <v>39</v>
      </c>
      <c r="B270" s="217" t="s">
        <v>1763</v>
      </c>
      <c r="C270" s="217" t="s">
        <v>684</v>
      </c>
      <c r="D270" s="216">
        <v>45</v>
      </c>
      <c r="E270" s="216" t="str">
        <f>VLOOKUP(B270,Tutti!$B$2:$C$598,2,FALSE)</f>
        <v>UDI</v>
      </c>
      <c r="F270" t="b">
        <f t="shared" si="8"/>
        <v>1</v>
      </c>
      <c r="G270" s="183" t="str">
        <f t="shared" si="9"/>
        <v>UDI</v>
      </c>
      <c r="I270" s="425"/>
      <c r="J270" s="425"/>
      <c r="K270" s="425"/>
    </row>
    <row r="271" spans="1:11" ht="15">
      <c r="A271" s="217" t="s">
        <v>39</v>
      </c>
      <c r="B271" s="217" t="s">
        <v>323</v>
      </c>
      <c r="C271" s="217" t="s">
        <v>701</v>
      </c>
      <c r="D271" s="216">
        <v>73</v>
      </c>
      <c r="E271" s="216" t="str">
        <f>VLOOKUP(B271,Tutti!$B$2:$C$598,2,FALSE)</f>
        <v>CRO</v>
      </c>
      <c r="F271" t="b">
        <f t="shared" si="8"/>
        <v>1</v>
      </c>
      <c r="G271" s="183" t="str">
        <f t="shared" si="9"/>
        <v>CRO</v>
      </c>
      <c r="I271" s="425"/>
      <c r="J271" s="425"/>
      <c r="K271" s="425"/>
    </row>
    <row r="272" spans="1:11" ht="15">
      <c r="A272" s="217" t="s">
        <v>39</v>
      </c>
      <c r="B272" s="217" t="s">
        <v>327</v>
      </c>
      <c r="C272" s="217" t="s">
        <v>700</v>
      </c>
      <c r="D272" s="216">
        <v>72</v>
      </c>
      <c r="E272" s="216" t="str">
        <f>VLOOKUP(B272,Tutti!$B$2:$C$598,2,FALSE)</f>
        <v>CAG</v>
      </c>
      <c r="F272" t="b">
        <f t="shared" si="8"/>
        <v>1</v>
      </c>
      <c r="G272" s="183" t="str">
        <f t="shared" si="9"/>
        <v>CAG</v>
      </c>
      <c r="I272" s="425"/>
      <c r="J272" s="425"/>
      <c r="K272" s="425"/>
    </row>
    <row r="273" spans="1:11" ht="15">
      <c r="A273" s="217" t="s">
        <v>39</v>
      </c>
      <c r="B273" s="217" t="s">
        <v>1304</v>
      </c>
      <c r="C273" s="217" t="s">
        <v>688</v>
      </c>
      <c r="D273" s="216">
        <v>74</v>
      </c>
      <c r="E273" s="216" t="str">
        <f>VLOOKUP(B273,Tutti!$B$2:$C$598,2,FALSE)</f>
        <v>SAM</v>
      </c>
      <c r="F273" t="b">
        <f t="shared" si="8"/>
        <v>1</v>
      </c>
      <c r="G273" s="183" t="str">
        <f t="shared" si="9"/>
        <v>SAM</v>
      </c>
      <c r="I273" s="425"/>
      <c r="J273" s="425"/>
      <c r="K273" s="425"/>
    </row>
    <row r="274" spans="1:11" ht="15">
      <c r="A274" s="217" t="s">
        <v>39</v>
      </c>
      <c r="B274" s="217" t="s">
        <v>333</v>
      </c>
      <c r="C274" s="217" t="s">
        <v>687</v>
      </c>
      <c r="D274" s="216">
        <v>76</v>
      </c>
      <c r="E274" s="216" t="str">
        <f>VLOOKUP(B274,Tutti!$B$2:$C$598,2,FALSE)</f>
        <v>TOR</v>
      </c>
      <c r="F274" t="b">
        <f t="shared" si="8"/>
        <v>1</v>
      </c>
      <c r="G274" s="183" t="str">
        <f t="shared" si="9"/>
        <v>TOR</v>
      </c>
      <c r="I274" s="425"/>
      <c r="J274" s="425"/>
      <c r="K274" s="425"/>
    </row>
    <row r="275" spans="1:11" ht="15">
      <c r="A275" s="217" t="s">
        <v>39</v>
      </c>
      <c r="B275" s="217" t="s">
        <v>1335</v>
      </c>
      <c r="C275" s="217" t="s">
        <v>680</v>
      </c>
      <c r="D275" s="216">
        <v>66</v>
      </c>
      <c r="E275" s="216" t="str">
        <f>VLOOKUP(B275,Tutti!$B$2:$C$598,2,FALSE)</f>
        <v>CHI</v>
      </c>
      <c r="F275" t="b">
        <f t="shared" si="8"/>
        <v>1</v>
      </c>
      <c r="G275" s="183" t="str">
        <f t="shared" si="9"/>
        <v>CHI</v>
      </c>
      <c r="I275" s="425"/>
      <c r="J275" s="425"/>
      <c r="K275" s="425"/>
    </row>
    <row r="276" spans="1:11" ht="15">
      <c r="A276" s="217" t="s">
        <v>39</v>
      </c>
      <c r="B276" s="217" t="s">
        <v>1940</v>
      </c>
      <c r="C276" s="217" t="s">
        <v>684</v>
      </c>
      <c r="D276" s="216">
        <v>67</v>
      </c>
      <c r="E276" s="216" t="str">
        <f>VLOOKUP(B276,Tutti!$B$2:$C$598,2,FALSE)</f>
        <v>UDI</v>
      </c>
      <c r="F276" t="b">
        <f t="shared" si="8"/>
        <v>1</v>
      </c>
      <c r="G276" s="183" t="str">
        <f t="shared" si="9"/>
        <v>UDI</v>
      </c>
      <c r="I276" s="425"/>
      <c r="J276" s="425"/>
      <c r="K276" s="425"/>
    </row>
    <row r="277" spans="1:11" ht="15">
      <c r="A277" s="217" t="s">
        <v>39</v>
      </c>
      <c r="B277" s="217" t="s">
        <v>337</v>
      </c>
      <c r="C277" s="217" t="s">
        <v>692</v>
      </c>
      <c r="D277" s="216">
        <v>74</v>
      </c>
      <c r="E277" s="216" t="str">
        <f>VLOOKUP(B277,Tutti!$B$2:$C$598,2,FALSE)</f>
        <v>FIO</v>
      </c>
      <c r="F277" t="b">
        <f t="shared" si="8"/>
        <v>1</v>
      </c>
      <c r="G277" s="183" t="str">
        <f t="shared" si="9"/>
        <v>FIO</v>
      </c>
      <c r="I277" s="425"/>
      <c r="J277" s="425"/>
      <c r="K277" s="425"/>
    </row>
    <row r="278" spans="1:11" ht="15">
      <c r="A278" s="217" t="s">
        <v>39</v>
      </c>
      <c r="B278" s="217" t="s">
        <v>1836</v>
      </c>
      <c r="C278" s="217" t="s">
        <v>676</v>
      </c>
      <c r="D278" s="216">
        <v>65</v>
      </c>
      <c r="E278" s="216" t="str">
        <f>VLOOKUP(B278,Tutti!$B$2:$C$598,2,FALSE)</f>
        <v>JUV</v>
      </c>
      <c r="F278" t="b">
        <f t="shared" si="8"/>
        <v>1</v>
      </c>
      <c r="G278" s="183" t="str">
        <f t="shared" si="9"/>
        <v>JUV</v>
      </c>
      <c r="I278" s="425"/>
      <c r="J278" s="425"/>
      <c r="K278" s="425"/>
    </row>
    <row r="279" spans="1:11" ht="15">
      <c r="A279" s="217" t="s">
        <v>39</v>
      </c>
      <c r="B279" s="217" t="s">
        <v>1738</v>
      </c>
      <c r="C279" s="217" t="s">
        <v>687</v>
      </c>
      <c r="D279" s="216">
        <v>77</v>
      </c>
      <c r="E279" s="216" t="str">
        <f>VLOOKUP(B279,Tutti!$B$2:$C$598,2,FALSE)</f>
        <v>TOR</v>
      </c>
      <c r="F279" t="b">
        <f t="shared" si="8"/>
        <v>1</v>
      </c>
      <c r="G279" s="183" t="str">
        <f t="shared" si="9"/>
        <v>TOR</v>
      </c>
      <c r="I279" s="425"/>
      <c r="J279" s="425"/>
      <c r="K279" s="425"/>
    </row>
    <row r="280" spans="1:11" ht="15">
      <c r="A280" s="217" t="s">
        <v>39</v>
      </c>
      <c r="B280" s="217" t="s">
        <v>340</v>
      </c>
      <c r="C280" s="217" t="s">
        <v>676</v>
      </c>
      <c r="D280" s="216">
        <v>80</v>
      </c>
      <c r="E280" s="216" t="str">
        <f>VLOOKUP(B280,Tutti!$B$2:$C$598,2,FALSE)</f>
        <v>JUV</v>
      </c>
      <c r="F280" t="b">
        <f t="shared" si="8"/>
        <v>1</v>
      </c>
      <c r="G280" s="183" t="str">
        <f t="shared" si="9"/>
        <v>JUV</v>
      </c>
      <c r="I280" s="425"/>
      <c r="J280" s="425"/>
      <c r="K280" s="425"/>
    </row>
    <row r="281" spans="1:11" ht="15">
      <c r="A281" s="217" t="s">
        <v>39</v>
      </c>
      <c r="B281" s="217" t="s">
        <v>343</v>
      </c>
      <c r="C281" s="217" t="s">
        <v>679</v>
      </c>
      <c r="D281" s="216">
        <v>75</v>
      </c>
      <c r="E281" s="216" t="str">
        <f>VLOOKUP(B281,Tutti!$B$2:$C$598,2,FALSE)</f>
        <v>GEN</v>
      </c>
      <c r="F281" t="b">
        <f t="shared" si="8"/>
        <v>1</v>
      </c>
      <c r="G281" s="183" t="str">
        <f t="shared" si="9"/>
        <v>GEN</v>
      </c>
      <c r="I281" s="425"/>
      <c r="J281" s="425"/>
      <c r="K281" s="425"/>
    </row>
    <row r="282" spans="1:11" ht="15">
      <c r="A282" s="217" t="s">
        <v>39</v>
      </c>
      <c r="B282" s="217" t="s">
        <v>1739</v>
      </c>
      <c r="C282" s="217" t="s">
        <v>1674</v>
      </c>
      <c r="D282" s="216">
        <v>75</v>
      </c>
      <c r="E282" s="216" t="str">
        <f>VLOOKUP(B282,Tutti!$B$2:$C$598,2,FALSE)</f>
        <v>VER</v>
      </c>
      <c r="F282" t="b">
        <f t="shared" si="8"/>
        <v>1</v>
      </c>
      <c r="G282" s="183" t="str">
        <f t="shared" si="9"/>
        <v>VER</v>
      </c>
      <c r="I282" s="425"/>
      <c r="J282" s="425"/>
      <c r="K282" s="425"/>
    </row>
    <row r="283" spans="1:11" ht="15">
      <c r="A283" s="217" t="s">
        <v>39</v>
      </c>
      <c r="B283" s="217" t="s">
        <v>346</v>
      </c>
      <c r="C283" s="217" t="s">
        <v>678</v>
      </c>
      <c r="D283" s="216">
        <v>79</v>
      </c>
      <c r="E283" s="216" t="str">
        <f>VLOOKUP(B283,Tutti!$B$2:$C$598,2,FALSE)</f>
        <v>MIL</v>
      </c>
      <c r="F283" t="b">
        <f t="shared" si="8"/>
        <v>1</v>
      </c>
      <c r="G283" s="183" t="str">
        <f t="shared" si="9"/>
        <v>MIL</v>
      </c>
      <c r="I283" s="425"/>
      <c r="J283" s="425"/>
      <c r="K283" s="425"/>
    </row>
    <row r="284" spans="1:11" ht="15">
      <c r="A284" s="217" t="s">
        <v>39</v>
      </c>
      <c r="B284" s="217" t="s">
        <v>350</v>
      </c>
      <c r="C284" s="217" t="s">
        <v>685</v>
      </c>
      <c r="D284" s="216">
        <v>64</v>
      </c>
      <c r="E284" s="216" t="str">
        <f>VLOOKUP(B284,Tutti!$B$2:$C$598,2,FALSE)</f>
        <v>SAS</v>
      </c>
      <c r="F284" t="b">
        <f t="shared" si="8"/>
        <v>1</v>
      </c>
      <c r="G284" s="183" t="str">
        <f t="shared" si="9"/>
        <v>SAS</v>
      </c>
      <c r="I284" s="425"/>
      <c r="J284" s="425"/>
      <c r="K284" s="425"/>
    </row>
    <row r="285" spans="1:11" ht="15">
      <c r="A285" s="217" t="s">
        <v>39</v>
      </c>
      <c r="B285" s="217" t="s">
        <v>354</v>
      </c>
      <c r="C285" s="217" t="s">
        <v>680</v>
      </c>
      <c r="D285" s="216">
        <v>90</v>
      </c>
      <c r="E285" s="216" t="str">
        <f>VLOOKUP(B285,Tutti!$B$2:$C$598,2,FALSE)</f>
        <v>CHI</v>
      </c>
      <c r="F285" t="b">
        <f t="shared" si="8"/>
        <v>1</v>
      </c>
      <c r="G285" s="183" t="str">
        <f t="shared" si="9"/>
        <v>CHI</v>
      </c>
      <c r="I285" s="425"/>
      <c r="J285" s="425"/>
      <c r="K285" s="425"/>
    </row>
    <row r="286" spans="1:11" ht="15">
      <c r="A286" s="217" t="s">
        <v>39</v>
      </c>
      <c r="B286" s="217" t="s">
        <v>357</v>
      </c>
      <c r="C286" s="217" t="s">
        <v>678</v>
      </c>
      <c r="D286" s="216">
        <v>83</v>
      </c>
      <c r="E286" s="216" t="str">
        <f>VLOOKUP(B286,Tutti!$B$2:$C$598,2,FALSE)</f>
        <v>MIL</v>
      </c>
      <c r="F286" t="b">
        <f t="shared" si="8"/>
        <v>1</v>
      </c>
      <c r="G286" s="183" t="str">
        <f t="shared" si="9"/>
        <v>MIL</v>
      </c>
      <c r="I286" s="425"/>
      <c r="J286" s="425"/>
      <c r="K286" s="425"/>
    </row>
    <row r="287" spans="1:11" ht="15">
      <c r="A287" s="217" t="s">
        <v>39</v>
      </c>
      <c r="B287" s="217" t="s">
        <v>361</v>
      </c>
      <c r="C287" s="217" t="s">
        <v>677</v>
      </c>
      <c r="D287" s="216">
        <v>78</v>
      </c>
      <c r="E287" s="216" t="str">
        <f>VLOOKUP(B287,Tutti!$B$2:$C$598,2,FALSE)</f>
        <v>INT</v>
      </c>
      <c r="F287" t="b">
        <f t="shared" si="8"/>
        <v>1</v>
      </c>
      <c r="G287" s="183" t="str">
        <f t="shared" si="9"/>
        <v>INT</v>
      </c>
      <c r="I287" s="425"/>
      <c r="J287" s="425"/>
      <c r="K287" s="425"/>
    </row>
    <row r="288" spans="1:11" ht="15">
      <c r="A288" s="217" t="s">
        <v>39</v>
      </c>
      <c r="B288" s="217" t="s">
        <v>1956</v>
      </c>
      <c r="C288" s="217" t="s">
        <v>679</v>
      </c>
      <c r="D288" s="216">
        <v>69</v>
      </c>
      <c r="E288" s="216" t="str">
        <f>VLOOKUP(B288,Tutti!$B$2:$C$598,2,FALSE)</f>
        <v>GEN</v>
      </c>
      <c r="F288" t="b">
        <f t="shared" si="8"/>
        <v>1</v>
      </c>
      <c r="G288" s="183" t="str">
        <f t="shared" si="9"/>
        <v>GEN</v>
      </c>
      <c r="I288" s="425"/>
      <c r="J288" s="425"/>
      <c r="K288" s="425"/>
    </row>
    <row r="289" spans="1:11" ht="15">
      <c r="A289" s="217" t="s">
        <v>39</v>
      </c>
      <c r="B289" s="217" t="s">
        <v>367</v>
      </c>
      <c r="C289" s="217" t="s">
        <v>677</v>
      </c>
      <c r="D289" s="216">
        <v>80</v>
      </c>
      <c r="E289" s="216" t="str">
        <f>VLOOKUP(B289,Tutti!$B$2:$C$598,2,FALSE)</f>
        <v>INT</v>
      </c>
      <c r="F289" t="b">
        <f t="shared" si="8"/>
        <v>1</v>
      </c>
      <c r="G289" s="183" t="str">
        <f t="shared" si="9"/>
        <v>INT</v>
      </c>
      <c r="I289" s="425"/>
      <c r="J289" s="425"/>
      <c r="K289" s="425"/>
    </row>
    <row r="290" spans="1:11" ht="15">
      <c r="A290" s="217" t="s">
        <v>39</v>
      </c>
      <c r="B290" s="217" t="s">
        <v>377</v>
      </c>
      <c r="C290" s="217" t="s">
        <v>1674</v>
      </c>
      <c r="D290" s="216">
        <v>72</v>
      </c>
      <c r="E290" s="216" t="str">
        <f>VLOOKUP(B290,Tutti!$B$2:$C$598,2,FALSE)</f>
        <v>VER</v>
      </c>
      <c r="F290" t="b">
        <f t="shared" si="8"/>
        <v>1</v>
      </c>
      <c r="G290" s="183" t="str">
        <f t="shared" si="9"/>
        <v>VER</v>
      </c>
      <c r="I290" s="425"/>
      <c r="J290" s="425"/>
      <c r="K290" s="425"/>
    </row>
    <row r="291" spans="1:11" ht="15">
      <c r="A291" s="217" t="s">
        <v>39</v>
      </c>
      <c r="B291" s="217" t="s">
        <v>1735</v>
      </c>
      <c r="C291" s="217" t="s">
        <v>678</v>
      </c>
      <c r="D291" s="216">
        <v>86</v>
      </c>
      <c r="E291" s="216" t="str">
        <f>VLOOKUP(B291,Tutti!$B$2:$C$598,2,FALSE)</f>
        <v>MIL</v>
      </c>
      <c r="F291" t="b">
        <f t="shared" si="8"/>
        <v>1</v>
      </c>
      <c r="G291" s="183" t="str">
        <f t="shared" si="9"/>
        <v>MIL</v>
      </c>
      <c r="I291" s="425"/>
      <c r="J291" s="425"/>
      <c r="K291" s="425"/>
    </row>
    <row r="292" spans="1:11" ht="15">
      <c r="A292" s="217" t="s">
        <v>39</v>
      </c>
      <c r="B292" s="217" t="s">
        <v>378</v>
      </c>
      <c r="C292" s="217" t="s">
        <v>677</v>
      </c>
      <c r="D292" s="216">
        <v>88</v>
      </c>
      <c r="E292" s="216" t="str">
        <f>VLOOKUP(B292,Tutti!$B$2:$C$598,2,FALSE)</f>
        <v>INT</v>
      </c>
      <c r="F292" t="b">
        <f t="shared" si="8"/>
        <v>1</v>
      </c>
      <c r="G292" s="183" t="str">
        <f t="shared" si="9"/>
        <v>INT</v>
      </c>
      <c r="I292" s="425"/>
      <c r="J292" s="425"/>
      <c r="K292" s="425"/>
    </row>
    <row r="293" spans="1:11" ht="15">
      <c r="A293" s="217" t="s">
        <v>39</v>
      </c>
      <c r="B293" s="217" t="s">
        <v>383</v>
      </c>
      <c r="C293" s="217" t="s">
        <v>688</v>
      </c>
      <c r="D293" s="216">
        <v>63</v>
      </c>
      <c r="E293" s="216" t="str">
        <f>VLOOKUP(B293,Tutti!$B$2:$C$598,2,FALSE)</f>
        <v>SAM</v>
      </c>
      <c r="F293" t="b">
        <f t="shared" si="8"/>
        <v>1</v>
      </c>
      <c r="G293" s="183" t="str">
        <f t="shared" si="9"/>
        <v>SAM</v>
      </c>
      <c r="I293" s="425"/>
      <c r="J293" s="425"/>
      <c r="K293" s="425"/>
    </row>
    <row r="294" spans="1:11" ht="15">
      <c r="A294" s="217" t="s">
        <v>39</v>
      </c>
      <c r="B294" s="217" t="s">
        <v>1772</v>
      </c>
      <c r="C294" s="217" t="s">
        <v>685</v>
      </c>
      <c r="D294" s="216">
        <v>57</v>
      </c>
      <c r="E294" s="216" t="str">
        <f>VLOOKUP(B294,Tutti!$B$2:$C$598,2,FALSE)</f>
        <v>SAS</v>
      </c>
      <c r="F294" t="b">
        <f t="shared" si="8"/>
        <v>1</v>
      </c>
      <c r="G294" s="183" t="str">
        <f t="shared" si="9"/>
        <v>SAS</v>
      </c>
      <c r="I294" s="425"/>
      <c r="J294" s="425"/>
      <c r="K294" s="425"/>
    </row>
    <row r="295" spans="1:11" ht="15">
      <c r="A295" s="217" t="s">
        <v>39</v>
      </c>
      <c r="B295" s="217" t="s">
        <v>389</v>
      </c>
      <c r="C295" s="217" t="s">
        <v>680</v>
      </c>
      <c r="D295" s="216">
        <v>76</v>
      </c>
      <c r="E295" s="216" t="str">
        <f>VLOOKUP(B295,Tutti!$B$2:$C$598,2,FALSE)</f>
        <v>CHI</v>
      </c>
      <c r="F295" t="b">
        <f t="shared" si="8"/>
        <v>1</v>
      </c>
      <c r="G295" s="183" t="str">
        <f t="shared" si="9"/>
        <v>CHI</v>
      </c>
      <c r="I295" s="425"/>
      <c r="J295" s="425"/>
      <c r="K295" s="425"/>
    </row>
    <row r="296" spans="1:11" ht="15">
      <c r="A296" s="217" t="s">
        <v>39</v>
      </c>
      <c r="B296" s="217" t="s">
        <v>391</v>
      </c>
      <c r="C296" s="217" t="s">
        <v>1672</v>
      </c>
      <c r="D296" s="216">
        <v>73</v>
      </c>
      <c r="E296" s="216" t="str">
        <f>VLOOKUP(B296,Tutti!$B$2:$C$598,2,FALSE)</f>
        <v>BEN</v>
      </c>
      <c r="F296" t="b">
        <f t="shared" si="8"/>
        <v>1</v>
      </c>
      <c r="G296" s="183" t="str">
        <f t="shared" si="9"/>
        <v>BEN</v>
      </c>
      <c r="I296" s="425"/>
      <c r="J296" s="425"/>
      <c r="K296" s="425"/>
    </row>
    <row r="297" spans="1:11" ht="15">
      <c r="A297" s="217" t="s">
        <v>39</v>
      </c>
      <c r="B297" s="217" t="s">
        <v>1843</v>
      </c>
      <c r="C297" s="217" t="s">
        <v>679</v>
      </c>
      <c r="D297" s="216">
        <v>75</v>
      </c>
      <c r="E297" s="216" t="str">
        <f>VLOOKUP(B297,Tutti!$B$2:$C$598,2,FALSE)</f>
        <v>GEN</v>
      </c>
      <c r="F297" t="b">
        <f t="shared" si="8"/>
        <v>1</v>
      </c>
      <c r="G297" s="183" t="str">
        <f t="shared" si="9"/>
        <v>GEN</v>
      </c>
      <c r="I297" s="425"/>
      <c r="J297" s="425"/>
      <c r="K297" s="425"/>
    </row>
    <row r="298" spans="1:11" ht="15">
      <c r="A298" s="217" t="s">
        <v>39</v>
      </c>
      <c r="B298" s="217" t="s">
        <v>1745</v>
      </c>
      <c r="C298" s="217" t="s">
        <v>1672</v>
      </c>
      <c r="D298" s="216">
        <v>72</v>
      </c>
      <c r="E298" s="216" t="str">
        <f>VLOOKUP(B298,Tutti!$B$2:$C$598,2,FALSE)</f>
        <v>BEN</v>
      </c>
      <c r="F298" t="b">
        <f t="shared" si="8"/>
        <v>1</v>
      </c>
      <c r="G298" s="183" t="str">
        <f t="shared" si="9"/>
        <v>BEN</v>
      </c>
      <c r="I298" s="425"/>
      <c r="J298" s="425"/>
      <c r="K298" s="425"/>
    </row>
    <row r="299" spans="1:11" ht="15">
      <c r="A299" s="217" t="s">
        <v>39</v>
      </c>
      <c r="B299" s="217" t="s">
        <v>335</v>
      </c>
      <c r="C299" s="217" t="s">
        <v>692</v>
      </c>
      <c r="D299" s="216">
        <v>83</v>
      </c>
      <c r="E299" s="216" t="str">
        <f>VLOOKUP(B299,Tutti!$B$2:$C$598,2,FALSE)</f>
        <v>FIO</v>
      </c>
      <c r="F299" t="b">
        <f t="shared" si="8"/>
        <v>1</v>
      </c>
      <c r="G299" s="183" t="str">
        <f t="shared" si="9"/>
        <v>FIO</v>
      </c>
      <c r="I299" s="425"/>
      <c r="J299" s="425"/>
      <c r="K299" s="425"/>
    </row>
    <row r="300" spans="1:11" ht="15">
      <c r="A300" s="217" t="s">
        <v>39</v>
      </c>
      <c r="B300" s="217" t="s">
        <v>1736</v>
      </c>
      <c r="C300" s="217" t="s">
        <v>1672</v>
      </c>
      <c r="D300" s="216">
        <v>77</v>
      </c>
      <c r="E300" s="216" t="str">
        <f>VLOOKUP(B300,Tutti!$B$2:$C$598,2,FALSE)</f>
        <v>BEN</v>
      </c>
      <c r="F300" t="b">
        <f t="shared" si="8"/>
        <v>1</v>
      </c>
      <c r="G300" s="183" t="str">
        <f t="shared" si="9"/>
        <v>BEN</v>
      </c>
      <c r="I300" s="425"/>
      <c r="J300" s="425"/>
      <c r="K300" s="425"/>
    </row>
    <row r="301" spans="1:11" ht="15">
      <c r="A301" s="217" t="s">
        <v>39</v>
      </c>
      <c r="B301" s="217" t="s">
        <v>395</v>
      </c>
      <c r="C301" s="217" t="s">
        <v>700</v>
      </c>
      <c r="D301" s="216">
        <v>73</v>
      </c>
      <c r="E301" s="216" t="str">
        <f>VLOOKUP(B301,Tutti!$B$2:$C$598,2,FALSE)</f>
        <v>CAG</v>
      </c>
      <c r="F301" t="b">
        <f t="shared" si="8"/>
        <v>1</v>
      </c>
      <c r="G301" s="183" t="str">
        <f t="shared" si="9"/>
        <v>CAG</v>
      </c>
      <c r="I301" s="425"/>
      <c r="J301" s="425"/>
      <c r="K301" s="425"/>
    </row>
    <row r="302" spans="1:11" ht="15">
      <c r="A302" s="217" t="s">
        <v>39</v>
      </c>
      <c r="B302" s="217" t="s">
        <v>400</v>
      </c>
      <c r="C302" s="217" t="s">
        <v>679</v>
      </c>
      <c r="D302" s="216">
        <v>59</v>
      </c>
      <c r="E302" s="216" t="str">
        <f>VLOOKUP(B302,Tutti!$B$2:$C$598,2,FALSE)</f>
        <v>GEN</v>
      </c>
      <c r="F302" t="b">
        <f t="shared" si="8"/>
        <v>1</v>
      </c>
      <c r="G302" s="183" t="str">
        <f t="shared" si="9"/>
        <v>GEN</v>
      </c>
      <c r="I302" s="425"/>
      <c r="J302" s="425"/>
      <c r="K302" s="425"/>
    </row>
    <row r="303" spans="1:11" ht="15">
      <c r="A303" s="217" t="s">
        <v>39</v>
      </c>
      <c r="B303" s="217" t="s">
        <v>1762</v>
      </c>
      <c r="C303" s="217" t="s">
        <v>700</v>
      </c>
      <c r="D303" s="216">
        <v>63</v>
      </c>
      <c r="E303" s="216" t="str">
        <f>VLOOKUP(B303,Tutti!$B$2:$C$598,2,FALSE)</f>
        <v>CAG</v>
      </c>
      <c r="F303" t="b">
        <f t="shared" si="8"/>
        <v>1</v>
      </c>
      <c r="G303" s="183" t="str">
        <f t="shared" si="9"/>
        <v>CAG</v>
      </c>
      <c r="I303" s="425"/>
      <c r="J303" s="425"/>
      <c r="K303" s="425"/>
    </row>
    <row r="304" spans="1:11" ht="15">
      <c r="A304" s="217" t="s">
        <v>39</v>
      </c>
      <c r="B304" s="217" t="s">
        <v>1837</v>
      </c>
      <c r="C304" s="217" t="s">
        <v>682</v>
      </c>
      <c r="D304" s="216">
        <v>49</v>
      </c>
      <c r="E304" s="216" t="str">
        <f>VLOOKUP(B304,Tutti!$B$2:$C$598,2,FALSE)</f>
        <v>LAZ</v>
      </c>
      <c r="F304" t="b">
        <f t="shared" si="8"/>
        <v>1</v>
      </c>
      <c r="G304" s="183" t="str">
        <f t="shared" si="9"/>
        <v>LAZ</v>
      </c>
      <c r="I304" s="425"/>
      <c r="J304" s="425"/>
      <c r="K304" s="425"/>
    </row>
    <row r="305" spans="1:11" ht="15">
      <c r="A305" s="217" t="s">
        <v>39</v>
      </c>
      <c r="B305" s="217" t="s">
        <v>404</v>
      </c>
      <c r="C305" s="217" t="s">
        <v>691</v>
      </c>
      <c r="D305" s="216">
        <v>60</v>
      </c>
      <c r="E305" s="216" t="str">
        <f>VLOOKUP(B305,Tutti!$B$2:$C$598,2,FALSE)</f>
        <v>BOL</v>
      </c>
      <c r="F305" t="b">
        <f t="shared" si="8"/>
        <v>1</v>
      </c>
      <c r="G305" s="183" t="str">
        <f t="shared" si="9"/>
        <v>BOL</v>
      </c>
      <c r="I305" s="425"/>
      <c r="J305" s="425"/>
      <c r="K305" s="425"/>
    </row>
    <row r="306" spans="1:11" ht="15">
      <c r="A306" s="217" t="s">
        <v>39</v>
      </c>
      <c r="B306" s="217" t="s">
        <v>407</v>
      </c>
      <c r="C306" s="217" t="s">
        <v>686</v>
      </c>
      <c r="D306" s="216">
        <v>76</v>
      </c>
      <c r="E306" s="216" t="str">
        <f>VLOOKUP(B306,Tutti!$B$2:$C$598,2,FALSE)</f>
        <v>ATA</v>
      </c>
      <c r="F306" t="b">
        <f t="shared" si="8"/>
        <v>1</v>
      </c>
      <c r="G306" s="183" t="str">
        <f t="shared" si="9"/>
        <v>ATA</v>
      </c>
      <c r="I306" s="425"/>
      <c r="J306" s="425"/>
      <c r="K306" s="425"/>
    </row>
    <row r="307" spans="1:11" ht="15">
      <c r="A307" s="217" t="s">
        <v>39</v>
      </c>
      <c r="B307" s="217" t="s">
        <v>1338</v>
      </c>
      <c r="C307" s="217" t="s">
        <v>692</v>
      </c>
      <c r="D307" s="216">
        <v>64</v>
      </c>
      <c r="E307" s="216" t="str">
        <f>VLOOKUP(B307,Tutti!$B$2:$C$598,2,FALSE)</f>
        <v>FIO</v>
      </c>
      <c r="F307" t="b">
        <f t="shared" si="8"/>
        <v>1</v>
      </c>
      <c r="G307" s="183" t="str">
        <f t="shared" si="9"/>
        <v>FIO</v>
      </c>
      <c r="I307" s="425"/>
      <c r="J307" s="425"/>
      <c r="K307" s="425"/>
    </row>
    <row r="308" spans="1:11" ht="15">
      <c r="A308" s="217" t="s">
        <v>39</v>
      </c>
      <c r="B308" s="217" t="s">
        <v>1838</v>
      </c>
      <c r="C308" s="217" t="s">
        <v>701</v>
      </c>
      <c r="D308" s="216">
        <v>64</v>
      </c>
      <c r="E308" s="216" t="str">
        <f>VLOOKUP(B308,Tutti!$B$2:$C$598,2,FALSE)</f>
        <v>CRO</v>
      </c>
      <c r="F308" t="b">
        <f t="shared" si="8"/>
        <v>1</v>
      </c>
      <c r="G308" s="183" t="str">
        <f t="shared" si="9"/>
        <v>CRO</v>
      </c>
      <c r="I308" s="425"/>
      <c r="J308" s="425"/>
      <c r="K308" s="425"/>
    </row>
    <row r="309" spans="1:11" ht="15">
      <c r="A309" s="217" t="s">
        <v>39</v>
      </c>
      <c r="B309" s="217" t="s">
        <v>1339</v>
      </c>
      <c r="C309" s="217" t="s">
        <v>676</v>
      </c>
      <c r="D309" s="216">
        <v>78</v>
      </c>
      <c r="E309" s="216" t="str">
        <f>VLOOKUP(B309,Tutti!$B$2:$C$598,2,FALSE)</f>
        <v>JUV</v>
      </c>
      <c r="F309" t="b">
        <f t="shared" si="8"/>
        <v>1</v>
      </c>
      <c r="G309" s="183" t="str">
        <f t="shared" si="9"/>
        <v>JUV</v>
      </c>
      <c r="I309" s="425"/>
      <c r="J309" s="425"/>
      <c r="K309" s="425"/>
    </row>
    <row r="310" spans="1:11" ht="15">
      <c r="A310" s="217" t="s">
        <v>39</v>
      </c>
      <c r="B310" s="217" t="s">
        <v>414</v>
      </c>
      <c r="C310" s="217" t="s">
        <v>1672</v>
      </c>
      <c r="D310" s="216">
        <v>73</v>
      </c>
      <c r="E310" s="216" t="str">
        <f>VLOOKUP(B310,Tutti!$B$2:$C$598,2,FALSE)</f>
        <v>BEN</v>
      </c>
      <c r="F310" t="b">
        <f t="shared" si="8"/>
        <v>1</v>
      </c>
      <c r="G310" s="183" t="str">
        <f t="shared" si="9"/>
        <v>BEN</v>
      </c>
      <c r="I310" s="425"/>
      <c r="J310" s="425"/>
      <c r="K310" s="425"/>
    </row>
    <row r="311" spans="1:11" ht="15">
      <c r="A311" s="217" t="s">
        <v>39</v>
      </c>
      <c r="B311" s="217" t="s">
        <v>421</v>
      </c>
      <c r="C311" s="217" t="s">
        <v>684</v>
      </c>
      <c r="D311" s="216">
        <v>80</v>
      </c>
      <c r="E311" s="216" t="str">
        <f>VLOOKUP(B311,Tutti!$B$2:$C$598,2,FALSE)</f>
        <v>UDI</v>
      </c>
      <c r="F311" t="b">
        <f t="shared" si="8"/>
        <v>1</v>
      </c>
      <c r="G311" s="183" t="str">
        <f t="shared" si="9"/>
        <v>UDI</v>
      </c>
      <c r="I311" s="425"/>
      <c r="J311" s="425"/>
      <c r="K311" s="425"/>
    </row>
    <row r="312" spans="1:11" ht="15">
      <c r="A312" s="217" t="s">
        <v>39</v>
      </c>
      <c r="B312" s="217" t="s">
        <v>1924</v>
      </c>
      <c r="C312" s="217" t="s">
        <v>686</v>
      </c>
      <c r="D312" s="216">
        <v>76</v>
      </c>
      <c r="E312" s="216" t="str">
        <f>VLOOKUP(B312,Tutti!$B$2:$C$598,2,FALSE)</f>
        <v>ATA</v>
      </c>
      <c r="F312" t="b">
        <f t="shared" si="8"/>
        <v>1</v>
      </c>
      <c r="G312" s="183" t="str">
        <f t="shared" si="9"/>
        <v>ATA</v>
      </c>
      <c r="I312" s="425"/>
      <c r="J312" s="425"/>
      <c r="K312" s="425"/>
    </row>
    <row r="313" spans="1:11" ht="15">
      <c r="A313" s="217" t="s">
        <v>39</v>
      </c>
      <c r="B313" s="217" t="s">
        <v>424</v>
      </c>
      <c r="C313" s="217" t="s">
        <v>695</v>
      </c>
      <c r="D313" s="216">
        <v>77</v>
      </c>
      <c r="E313" s="216" t="str">
        <f>VLOOKUP(B313,Tutti!$B$2:$C$598,2,FALSE)</f>
        <v>ROM</v>
      </c>
      <c r="F313" t="b">
        <f t="shared" si="8"/>
        <v>1</v>
      </c>
      <c r="G313" s="183" t="str">
        <f t="shared" si="9"/>
        <v>ROM</v>
      </c>
      <c r="I313" s="425"/>
      <c r="J313" s="425"/>
      <c r="K313" s="425"/>
    </row>
    <row r="314" spans="1:11" ht="15">
      <c r="A314" s="217" t="s">
        <v>39</v>
      </c>
      <c r="B314" s="217" t="s">
        <v>427</v>
      </c>
      <c r="C314" s="217" t="s">
        <v>700</v>
      </c>
      <c r="D314" s="216">
        <v>68</v>
      </c>
      <c r="E314" s="216" t="str">
        <f>VLOOKUP(B314,Tutti!$B$2:$C$598,2,FALSE)</f>
        <v>CAG</v>
      </c>
      <c r="F314" t="b">
        <f t="shared" si="8"/>
        <v>1</v>
      </c>
      <c r="G314" s="183" t="str">
        <f t="shared" si="9"/>
        <v>CAG</v>
      </c>
      <c r="I314" s="425"/>
      <c r="J314" s="425"/>
      <c r="K314" s="425"/>
    </row>
    <row r="315" spans="1:11" ht="15">
      <c r="A315" s="217" t="s">
        <v>39</v>
      </c>
      <c r="B315" s="217" t="s">
        <v>1770</v>
      </c>
      <c r="C315" s="217" t="s">
        <v>1672</v>
      </c>
      <c r="D315" s="216">
        <v>40</v>
      </c>
      <c r="E315" s="216" t="str">
        <f>VLOOKUP(B315,Tutti!$B$2:$C$598,2,FALSE)</f>
        <v>BEN</v>
      </c>
      <c r="F315" t="b">
        <f t="shared" si="8"/>
        <v>1</v>
      </c>
      <c r="G315" s="183" t="str">
        <f t="shared" si="9"/>
        <v>BEN</v>
      </c>
      <c r="I315" s="425"/>
      <c r="J315" s="425"/>
      <c r="K315" s="425"/>
    </row>
    <row r="316" spans="1:11" ht="15">
      <c r="A316" s="217" t="s">
        <v>39</v>
      </c>
      <c r="B316" s="217" t="s">
        <v>430</v>
      </c>
      <c r="C316" s="217" t="s">
        <v>700</v>
      </c>
      <c r="D316" s="216">
        <v>68</v>
      </c>
      <c r="E316" s="216" t="str">
        <f>VLOOKUP(B316,Tutti!$B$2:$C$598,2,FALSE)</f>
        <v>CAG</v>
      </c>
      <c r="F316" t="b">
        <f t="shared" si="8"/>
        <v>1</v>
      </c>
      <c r="G316" s="183" t="str">
        <f t="shared" si="9"/>
        <v>CAG</v>
      </c>
      <c r="I316" s="425"/>
      <c r="J316" s="425"/>
      <c r="K316" s="425"/>
    </row>
    <row r="317" spans="1:11" ht="15">
      <c r="A317" s="217" t="s">
        <v>39</v>
      </c>
      <c r="B317" s="217" t="s">
        <v>1299</v>
      </c>
      <c r="C317" s="217" t="s">
        <v>691</v>
      </c>
      <c r="D317" s="216">
        <v>77</v>
      </c>
      <c r="E317" s="216" t="str">
        <f>VLOOKUP(B317,Tutti!$B$2:$C$598,2,FALSE)</f>
        <v>BOL</v>
      </c>
      <c r="F317" t="b">
        <f t="shared" si="8"/>
        <v>1</v>
      </c>
      <c r="G317" s="183" t="str">
        <f t="shared" si="9"/>
        <v>BOL</v>
      </c>
      <c r="I317" s="425"/>
      <c r="J317" s="425"/>
      <c r="K317" s="425"/>
    </row>
    <row r="318" spans="1:11" ht="15">
      <c r="A318" s="217" t="s">
        <v>39</v>
      </c>
      <c r="B318" s="217" t="s">
        <v>1301</v>
      </c>
      <c r="C318" s="217" t="s">
        <v>682</v>
      </c>
      <c r="D318" s="216">
        <v>63</v>
      </c>
      <c r="E318" s="216" t="str">
        <f>VLOOKUP(B318,Tutti!$B$2:$C$598,2,FALSE)</f>
        <v>LAZ</v>
      </c>
      <c r="F318" t="b">
        <f t="shared" si="8"/>
        <v>1</v>
      </c>
      <c r="G318" s="183" t="str">
        <f t="shared" si="9"/>
        <v>LAZ</v>
      </c>
      <c r="I318" s="425"/>
      <c r="J318" s="425"/>
      <c r="K318" s="425"/>
    </row>
    <row r="319" spans="1:11" ht="15">
      <c r="A319" s="217" t="s">
        <v>39</v>
      </c>
      <c r="B319" s="217" t="s">
        <v>437</v>
      </c>
      <c r="C319" s="217" t="s">
        <v>681</v>
      </c>
      <c r="D319" s="216">
        <v>73</v>
      </c>
      <c r="E319" s="216" t="str">
        <f>VLOOKUP(B319,Tutti!$B$2:$C$598,2,FALSE)</f>
        <v>NAP</v>
      </c>
      <c r="F319" t="b">
        <f t="shared" si="8"/>
        <v>1</v>
      </c>
      <c r="G319" s="183" t="str">
        <f t="shared" si="9"/>
        <v>NAP</v>
      </c>
      <c r="I319" s="425"/>
      <c r="J319" s="425"/>
      <c r="K319" s="425"/>
    </row>
    <row r="320" spans="1:11" ht="15">
      <c r="A320" s="217" t="s">
        <v>39</v>
      </c>
      <c r="B320" s="217" t="s">
        <v>351</v>
      </c>
      <c r="C320" s="217" t="s">
        <v>688</v>
      </c>
      <c r="D320" s="216">
        <v>68</v>
      </c>
      <c r="E320" s="216" t="str">
        <f>VLOOKUP(B320,Tutti!$B$2:$C$598,2,FALSE)</f>
        <v>SAM</v>
      </c>
      <c r="F320" t="b">
        <f t="shared" si="8"/>
        <v>1</v>
      </c>
      <c r="G320" s="183" t="str">
        <f t="shared" si="9"/>
        <v>SAM</v>
      </c>
      <c r="I320" s="425"/>
      <c r="J320" s="425"/>
      <c r="K320" s="425"/>
    </row>
    <row r="321" spans="1:11" ht="15">
      <c r="A321" s="217" t="s">
        <v>39</v>
      </c>
      <c r="B321" s="217" t="s">
        <v>444</v>
      </c>
      <c r="C321" s="217" t="s">
        <v>691</v>
      </c>
      <c r="D321" s="216">
        <v>65</v>
      </c>
      <c r="E321" s="216" t="str">
        <f>VLOOKUP(B321,Tutti!$B$2:$C$598,2,FALSE)</f>
        <v>BOL</v>
      </c>
      <c r="F321" t="b">
        <f t="shared" si="8"/>
        <v>1</v>
      </c>
      <c r="G321" s="183" t="str">
        <f t="shared" si="9"/>
        <v>BOL</v>
      </c>
      <c r="I321" s="425"/>
      <c r="J321" s="425"/>
      <c r="K321" s="425"/>
    </row>
    <row r="322" spans="1:11" ht="15">
      <c r="A322" s="217" t="s">
        <v>39</v>
      </c>
      <c r="B322" s="217" t="s">
        <v>1734</v>
      </c>
      <c r="C322" s="217" t="s">
        <v>676</v>
      </c>
      <c r="D322" s="216">
        <v>83</v>
      </c>
      <c r="E322" s="216" t="str">
        <f>VLOOKUP(B322,Tutti!$B$2:$C$598,2,FALSE)</f>
        <v>JUV</v>
      </c>
      <c r="F322" t="b">
        <f t="shared" ref="F322:F385" si="10">E322=MID(C322,1,3)</f>
        <v>1</v>
      </c>
      <c r="G322" s="183" t="str">
        <f t="shared" ref="G322:G385" si="11">UPPER(MID(C322,1,3))</f>
        <v>JUV</v>
      </c>
      <c r="I322" s="425"/>
      <c r="J322" s="425"/>
      <c r="K322" s="425"/>
    </row>
    <row r="323" spans="1:11" ht="15">
      <c r="A323" s="217" t="s">
        <v>39</v>
      </c>
      <c r="B323" s="217" t="s">
        <v>447</v>
      </c>
      <c r="C323" s="217" t="s">
        <v>685</v>
      </c>
      <c r="D323" s="216">
        <v>75</v>
      </c>
      <c r="E323" s="216" t="str">
        <f>VLOOKUP(B323,Tutti!$B$2:$C$598,2,FALSE)</f>
        <v>SAS</v>
      </c>
      <c r="F323" t="b">
        <f t="shared" si="10"/>
        <v>1</v>
      </c>
      <c r="G323" s="183" t="str">
        <f t="shared" si="11"/>
        <v>SAS</v>
      </c>
      <c r="I323" s="425"/>
      <c r="J323" s="425"/>
      <c r="K323" s="425"/>
    </row>
    <row r="324" spans="1:11" ht="15">
      <c r="A324" s="217" t="s">
        <v>39</v>
      </c>
      <c r="B324" s="217" t="s">
        <v>925</v>
      </c>
      <c r="C324" s="217" t="s">
        <v>1672</v>
      </c>
      <c r="D324" s="216">
        <v>60</v>
      </c>
      <c r="E324" s="216" t="e">
        <f>VLOOKUP(B324,Tutti!$B$2:$C$598,2,FALSE)</f>
        <v>#N/A</v>
      </c>
      <c r="F324" t="e">
        <f t="shared" si="10"/>
        <v>#N/A</v>
      </c>
      <c r="G324" s="183" t="str">
        <f t="shared" si="11"/>
        <v>BEN</v>
      </c>
      <c r="I324" s="425"/>
      <c r="J324" s="425"/>
      <c r="K324" s="425"/>
    </row>
    <row r="325" spans="1:11" ht="15">
      <c r="A325" s="217" t="s">
        <v>39</v>
      </c>
      <c r="B325" s="217" t="s">
        <v>1925</v>
      </c>
      <c r="C325" s="217" t="s">
        <v>692</v>
      </c>
      <c r="D325" s="216">
        <v>78</v>
      </c>
      <c r="E325" s="216" t="str">
        <f>VLOOKUP(B325,Tutti!$B$2:$C$598,2,FALSE)</f>
        <v>FIO</v>
      </c>
      <c r="F325" t="b">
        <f t="shared" si="10"/>
        <v>1</v>
      </c>
      <c r="G325" s="183" t="str">
        <f t="shared" si="11"/>
        <v>FIO</v>
      </c>
      <c r="I325" s="425"/>
      <c r="J325" s="425"/>
      <c r="K325" s="425"/>
    </row>
    <row r="326" spans="1:11" ht="15">
      <c r="A326" s="217" t="s">
        <v>39</v>
      </c>
      <c r="B326" s="217" t="s">
        <v>1764</v>
      </c>
      <c r="C326" s="217" t="s">
        <v>691</v>
      </c>
      <c r="D326" s="216">
        <v>65</v>
      </c>
      <c r="E326" s="216" t="str">
        <f>VLOOKUP(B326,Tutti!$B$2:$C$598,2,FALSE)</f>
        <v>BOL</v>
      </c>
      <c r="F326" t="b">
        <f t="shared" si="10"/>
        <v>1</v>
      </c>
      <c r="G326" s="183" t="str">
        <f t="shared" si="11"/>
        <v>BOL</v>
      </c>
      <c r="I326" s="425"/>
      <c r="J326" s="425"/>
      <c r="K326" s="425"/>
    </row>
    <row r="327" spans="1:11" ht="15">
      <c r="A327" s="217" t="s">
        <v>39</v>
      </c>
      <c r="B327" s="217" t="s">
        <v>1755</v>
      </c>
      <c r="C327" s="217" t="s">
        <v>691</v>
      </c>
      <c r="D327" s="216">
        <v>70</v>
      </c>
      <c r="E327" s="216" t="str">
        <f>VLOOKUP(B327,Tutti!$B$2:$C$598,2,FALSE)</f>
        <v>BOL</v>
      </c>
      <c r="F327" t="b">
        <f t="shared" si="10"/>
        <v>1</v>
      </c>
      <c r="G327" s="183" t="str">
        <f t="shared" si="11"/>
        <v>BOL</v>
      </c>
      <c r="I327" s="425"/>
      <c r="J327" s="425"/>
      <c r="K327" s="425"/>
    </row>
    <row r="328" spans="1:11" ht="15">
      <c r="A328" s="217" t="s">
        <v>39</v>
      </c>
      <c r="B328" s="217" t="s">
        <v>1852</v>
      </c>
      <c r="C328" s="217" t="s">
        <v>700</v>
      </c>
      <c r="D328" s="216">
        <v>57</v>
      </c>
      <c r="E328" s="216" t="str">
        <f>VLOOKUP(B328,Tutti!$B$2:$C$598,2,FALSE)</f>
        <v>CAG</v>
      </c>
      <c r="F328" t="b">
        <f t="shared" si="10"/>
        <v>1</v>
      </c>
      <c r="G328" s="183" t="str">
        <f t="shared" si="11"/>
        <v>CAG</v>
      </c>
      <c r="I328" s="425"/>
      <c r="J328" s="425"/>
      <c r="K328" s="425"/>
    </row>
    <row r="329" spans="1:11" ht="15">
      <c r="A329" s="217" t="s">
        <v>39</v>
      </c>
      <c r="B329" s="217" t="s">
        <v>456</v>
      </c>
      <c r="C329" s="217" t="s">
        <v>682</v>
      </c>
      <c r="D329" s="216">
        <v>91</v>
      </c>
      <c r="E329" s="216" t="str">
        <f>VLOOKUP(B329,Tutti!$B$2:$C$598,2,FALSE)</f>
        <v>LAZ</v>
      </c>
      <c r="F329" t="b">
        <f t="shared" si="10"/>
        <v>1</v>
      </c>
      <c r="G329" s="183" t="str">
        <f t="shared" si="11"/>
        <v>LAZ</v>
      </c>
      <c r="I329" s="425"/>
      <c r="J329" s="425"/>
      <c r="K329" s="425"/>
    </row>
    <row r="330" spans="1:11" ht="15">
      <c r="A330" s="217" t="s">
        <v>39</v>
      </c>
      <c r="B330" s="217" t="s">
        <v>1298</v>
      </c>
      <c r="C330" s="217" t="s">
        <v>692</v>
      </c>
      <c r="D330" s="216">
        <v>60</v>
      </c>
      <c r="E330" s="216" t="str">
        <f>VLOOKUP(B330,Tutti!$B$2:$C$598,2,FALSE)</f>
        <v>FIO</v>
      </c>
      <c r="F330" t="b">
        <f t="shared" si="10"/>
        <v>1</v>
      </c>
      <c r="G330" s="183" t="str">
        <f t="shared" si="11"/>
        <v>FIO</v>
      </c>
      <c r="I330" s="425"/>
      <c r="J330" s="425"/>
      <c r="K330" s="425"/>
    </row>
    <row r="331" spans="1:11" ht="15">
      <c r="A331" s="217" t="s">
        <v>39</v>
      </c>
      <c r="B331" s="217" t="s">
        <v>485</v>
      </c>
      <c r="C331" s="217" t="s">
        <v>695</v>
      </c>
      <c r="D331" s="216">
        <v>83</v>
      </c>
      <c r="E331" s="216" t="str">
        <f>VLOOKUP(B331,Tutti!$B$2:$C$598,2,FALSE)</f>
        <v>ROM</v>
      </c>
      <c r="F331" t="b">
        <f t="shared" si="10"/>
        <v>1</v>
      </c>
      <c r="G331" s="183" t="str">
        <f t="shared" si="11"/>
        <v>ROM</v>
      </c>
      <c r="I331" s="425"/>
      <c r="J331" s="425"/>
      <c r="K331" s="425"/>
    </row>
    <row r="332" spans="1:11" ht="15">
      <c r="A332" s="217" t="s">
        <v>39</v>
      </c>
      <c r="B332" s="217" t="s">
        <v>459</v>
      </c>
      <c r="C332" s="217" t="s">
        <v>684</v>
      </c>
      <c r="D332" s="216">
        <v>77</v>
      </c>
      <c r="E332" s="216" t="str">
        <f>VLOOKUP(B332,Tutti!$B$2:$C$598,2,FALSE)</f>
        <v>UDI</v>
      </c>
      <c r="F332" t="b">
        <f t="shared" si="10"/>
        <v>1</v>
      </c>
      <c r="G332" s="183" t="str">
        <f t="shared" si="11"/>
        <v>UDI</v>
      </c>
      <c r="I332" s="425"/>
      <c r="J332" s="425"/>
      <c r="K332" s="425"/>
    </row>
    <row r="333" spans="1:11" ht="15">
      <c r="A333" s="217" t="s">
        <v>39</v>
      </c>
      <c r="B333" s="217" t="s">
        <v>1760</v>
      </c>
      <c r="C333" s="217" t="s">
        <v>1674</v>
      </c>
      <c r="D333" s="216">
        <v>66</v>
      </c>
      <c r="E333" s="216" t="str">
        <f>VLOOKUP(B333,Tutti!$B$2:$C$598,2,FALSE)</f>
        <v>VER</v>
      </c>
      <c r="F333" t="b">
        <f t="shared" si="10"/>
        <v>1</v>
      </c>
      <c r="G333" s="183" t="str">
        <f t="shared" si="11"/>
        <v>VER</v>
      </c>
      <c r="I333" s="425"/>
      <c r="J333" s="425"/>
      <c r="K333" s="425"/>
    </row>
    <row r="334" spans="1:11" ht="15">
      <c r="A334" s="217" t="s">
        <v>39</v>
      </c>
      <c r="B334" s="217" t="s">
        <v>461</v>
      </c>
      <c r="C334" s="217" t="s">
        <v>686</v>
      </c>
      <c r="D334" s="216">
        <v>77</v>
      </c>
      <c r="E334" s="216" t="str">
        <f>VLOOKUP(B334,Tutti!$B$2:$C$598,2,FALSE)</f>
        <v>ATA</v>
      </c>
      <c r="F334" t="b">
        <f t="shared" si="10"/>
        <v>1</v>
      </c>
      <c r="G334" s="183" t="str">
        <f t="shared" si="11"/>
        <v>ATA</v>
      </c>
      <c r="I334" s="425"/>
      <c r="J334" s="425"/>
      <c r="K334" s="425"/>
    </row>
    <row r="335" spans="1:11" ht="15">
      <c r="A335" s="217" t="s">
        <v>39</v>
      </c>
      <c r="B335" s="217" t="s">
        <v>463</v>
      </c>
      <c r="C335" s="217" t="s">
        <v>677</v>
      </c>
      <c r="D335" s="216">
        <v>76</v>
      </c>
      <c r="E335" s="216" t="str">
        <f>VLOOKUP(B335,Tutti!$B$2:$C$598,2,FALSE)</f>
        <v>INT</v>
      </c>
      <c r="F335" t="b">
        <f t="shared" si="10"/>
        <v>1</v>
      </c>
      <c r="G335" s="183" t="str">
        <f t="shared" si="11"/>
        <v>INT</v>
      </c>
      <c r="I335" s="425"/>
      <c r="J335" s="425"/>
      <c r="K335" s="425"/>
    </row>
    <row r="336" spans="1:11" ht="15">
      <c r="A336" s="217" t="s">
        <v>39</v>
      </c>
      <c r="B336" s="217" t="s">
        <v>1751</v>
      </c>
      <c r="C336" s="217" t="s">
        <v>680</v>
      </c>
      <c r="D336" s="216">
        <v>63</v>
      </c>
      <c r="E336" s="216" t="str">
        <f>VLOOKUP(B336,Tutti!$B$2:$C$598,2,FALSE)</f>
        <v>CHI</v>
      </c>
      <c r="F336" t="b">
        <f t="shared" si="10"/>
        <v>1</v>
      </c>
      <c r="G336" s="183" t="str">
        <f t="shared" si="11"/>
        <v>CHI</v>
      </c>
      <c r="I336" s="425"/>
      <c r="J336" s="425"/>
      <c r="K336" s="425"/>
    </row>
    <row r="337" spans="1:11" ht="15">
      <c r="A337" s="217" t="s">
        <v>39</v>
      </c>
      <c r="B337" s="217" t="s">
        <v>1765</v>
      </c>
      <c r="C337" s="217" t="s">
        <v>680</v>
      </c>
      <c r="D337" s="216">
        <v>66</v>
      </c>
      <c r="E337" s="216" t="str">
        <f>VLOOKUP(B337,Tutti!$B$2:$C$598,2,FALSE)</f>
        <v>CHI</v>
      </c>
      <c r="F337" t="b">
        <f t="shared" si="10"/>
        <v>1</v>
      </c>
      <c r="G337" s="183" t="str">
        <f t="shared" si="11"/>
        <v>CHI</v>
      </c>
      <c r="I337" s="425"/>
      <c r="J337" s="425"/>
      <c r="K337" s="425"/>
    </row>
    <row r="338" spans="1:11" ht="15">
      <c r="A338" s="217" t="s">
        <v>39</v>
      </c>
      <c r="B338" s="217" t="s">
        <v>381</v>
      </c>
      <c r="C338" s="217" t="s">
        <v>695</v>
      </c>
      <c r="D338" s="216">
        <v>40</v>
      </c>
      <c r="E338" s="216" t="str">
        <f>VLOOKUP(B338,Tutti!$B$2:$C$598,2,FALSE)</f>
        <v>ROM</v>
      </c>
      <c r="F338" t="b">
        <f t="shared" si="10"/>
        <v>1</v>
      </c>
      <c r="G338" s="183" t="str">
        <f t="shared" si="11"/>
        <v>ROM</v>
      </c>
      <c r="I338" s="425"/>
      <c r="J338" s="425"/>
      <c r="K338" s="425"/>
    </row>
    <row r="339" spans="1:11" ht="15">
      <c r="A339" s="217" t="s">
        <v>39</v>
      </c>
      <c r="B339" s="217" t="s">
        <v>468</v>
      </c>
      <c r="C339" s="217" t="s">
        <v>681</v>
      </c>
      <c r="D339" s="216">
        <v>50</v>
      </c>
      <c r="E339" s="216" t="str">
        <f>VLOOKUP(B339,Tutti!$B$2:$C$598,2,FALSE)</f>
        <v>NAP</v>
      </c>
      <c r="F339" t="b">
        <f t="shared" si="10"/>
        <v>1</v>
      </c>
      <c r="G339" s="183" t="str">
        <f t="shared" si="11"/>
        <v>NAP</v>
      </c>
      <c r="I339" s="425"/>
      <c r="J339" s="425"/>
      <c r="K339" s="425"/>
    </row>
    <row r="340" spans="1:11" ht="15">
      <c r="A340" s="217" t="s">
        <v>39</v>
      </c>
      <c r="B340" s="217" t="s">
        <v>1937</v>
      </c>
      <c r="C340" s="217" t="s">
        <v>692</v>
      </c>
      <c r="D340" s="216">
        <v>77</v>
      </c>
      <c r="E340" s="216" t="str">
        <f>VLOOKUP(B340,Tutti!$B$2:$C$598,2,FALSE)</f>
        <v>FIO</v>
      </c>
      <c r="F340" t="b">
        <f t="shared" si="10"/>
        <v>1</v>
      </c>
      <c r="G340" s="183" t="str">
        <f t="shared" si="11"/>
        <v>FIO</v>
      </c>
      <c r="I340" s="425"/>
      <c r="J340" s="425"/>
      <c r="K340" s="425"/>
    </row>
    <row r="341" spans="1:11" ht="15">
      <c r="A341" s="217" t="s">
        <v>39</v>
      </c>
      <c r="B341" s="217" t="s">
        <v>473</v>
      </c>
      <c r="C341" s="217" t="s">
        <v>677</v>
      </c>
      <c r="D341" s="216">
        <v>45</v>
      </c>
      <c r="E341" s="216" t="str">
        <f>VLOOKUP(B341,Tutti!$B$2:$C$598,2,FALSE)</f>
        <v>INT</v>
      </c>
      <c r="F341" t="b">
        <f t="shared" si="10"/>
        <v>1</v>
      </c>
      <c r="G341" s="183" t="str">
        <f t="shared" si="11"/>
        <v>INT</v>
      </c>
      <c r="I341" s="425"/>
      <c r="J341" s="425"/>
      <c r="K341" s="425"/>
    </row>
    <row r="342" spans="1:11" ht="15">
      <c r="A342" s="217" t="s">
        <v>39</v>
      </c>
      <c r="B342" s="217" t="s">
        <v>1756</v>
      </c>
      <c r="C342" s="217" t="s">
        <v>695</v>
      </c>
      <c r="D342" s="216">
        <v>70</v>
      </c>
      <c r="E342" s="216" t="str">
        <f>VLOOKUP(B342,Tutti!$B$2:$C$598,2,FALSE)</f>
        <v>ROM</v>
      </c>
      <c r="F342" t="b">
        <f t="shared" si="10"/>
        <v>1</v>
      </c>
      <c r="G342" s="183" t="str">
        <f t="shared" si="11"/>
        <v>ROM</v>
      </c>
      <c r="I342" s="425"/>
      <c r="J342" s="425"/>
      <c r="K342" s="425"/>
    </row>
    <row r="343" spans="1:11" ht="15">
      <c r="A343" s="217" t="s">
        <v>39</v>
      </c>
      <c r="B343" s="217" t="s">
        <v>479</v>
      </c>
      <c r="C343" s="217" t="s">
        <v>1477</v>
      </c>
      <c r="D343" s="216">
        <v>70</v>
      </c>
      <c r="E343" s="216" t="str">
        <f>VLOOKUP(B343,Tutti!$B$2:$C$598,2,FALSE)</f>
        <v>SPA</v>
      </c>
      <c r="F343" t="b">
        <f t="shared" si="10"/>
        <v>1</v>
      </c>
      <c r="G343" s="183" t="str">
        <f t="shared" si="11"/>
        <v>SPA</v>
      </c>
      <c r="I343" s="425"/>
      <c r="J343" s="425"/>
      <c r="K343" s="425"/>
    </row>
    <row r="344" spans="1:11" ht="15">
      <c r="A344" s="217" t="s">
        <v>39</v>
      </c>
      <c r="B344" s="217" t="s">
        <v>1279</v>
      </c>
      <c r="C344" s="217" t="s">
        <v>687</v>
      </c>
      <c r="D344" s="216">
        <v>47</v>
      </c>
      <c r="E344" s="216" t="str">
        <f>VLOOKUP(B344,Tutti!$B$2:$C$598,2,FALSE)</f>
        <v>TOR</v>
      </c>
      <c r="F344" t="b">
        <f t="shared" si="10"/>
        <v>1</v>
      </c>
      <c r="G344" s="183" t="str">
        <f t="shared" si="11"/>
        <v>TOR</v>
      </c>
      <c r="I344" s="425"/>
      <c r="J344" s="425"/>
      <c r="K344" s="425"/>
    </row>
    <row r="345" spans="1:11" ht="15">
      <c r="A345" s="217" t="s">
        <v>39</v>
      </c>
      <c r="B345" s="217" t="s">
        <v>1746</v>
      </c>
      <c r="C345" s="217" t="s">
        <v>686</v>
      </c>
      <c r="D345" s="216">
        <v>63</v>
      </c>
      <c r="E345" s="216" t="str">
        <f>VLOOKUP(B345,Tutti!$B$2:$C$598,2,FALSE)</f>
        <v>ATA</v>
      </c>
      <c r="F345" t="b">
        <f t="shared" si="10"/>
        <v>1</v>
      </c>
      <c r="G345" s="183" t="str">
        <f t="shared" si="11"/>
        <v>ATA</v>
      </c>
      <c r="I345" s="425"/>
      <c r="J345" s="425"/>
      <c r="K345" s="425"/>
    </row>
    <row r="346" spans="1:11" ht="15">
      <c r="A346" s="217" t="s">
        <v>39</v>
      </c>
      <c r="B346" s="217" t="s">
        <v>926</v>
      </c>
      <c r="C346" s="217" t="s">
        <v>692</v>
      </c>
      <c r="D346" s="216">
        <v>59</v>
      </c>
      <c r="E346" s="216" t="str">
        <f>VLOOKUP(B346,Tutti!$B$2:$C$598,2,FALSE)</f>
        <v>FIO</v>
      </c>
      <c r="F346" t="b">
        <f t="shared" si="10"/>
        <v>1</v>
      </c>
      <c r="G346" s="183" t="str">
        <f t="shared" si="11"/>
        <v>FIO</v>
      </c>
      <c r="I346" s="425"/>
      <c r="J346" s="425"/>
      <c r="K346" s="425"/>
    </row>
    <row r="347" spans="1:11" ht="15">
      <c r="A347" s="217" t="s">
        <v>39</v>
      </c>
      <c r="B347" s="217" t="s">
        <v>482</v>
      </c>
      <c r="C347" s="217" t="s">
        <v>684</v>
      </c>
      <c r="D347" s="216">
        <v>70</v>
      </c>
      <c r="E347" s="216" t="str">
        <f>VLOOKUP(B347,Tutti!$B$2:$C$598,2,FALSE)</f>
        <v>UDI</v>
      </c>
      <c r="F347" t="b">
        <f t="shared" si="10"/>
        <v>1</v>
      </c>
      <c r="G347" s="183" t="str">
        <f t="shared" si="11"/>
        <v>UDI</v>
      </c>
      <c r="I347" s="425"/>
      <c r="J347" s="425"/>
      <c r="K347" s="425"/>
    </row>
    <row r="348" spans="1:11" ht="15">
      <c r="A348" s="217" t="s">
        <v>39</v>
      </c>
      <c r="B348" s="217" t="s">
        <v>483</v>
      </c>
      <c r="C348" s="217" t="s">
        <v>681</v>
      </c>
      <c r="D348" s="216">
        <v>98</v>
      </c>
      <c r="E348" s="216" t="str">
        <f>VLOOKUP(B348,Tutti!$B$2:$C$598,2,FALSE)</f>
        <v>NAP</v>
      </c>
      <c r="F348" t="b">
        <f t="shared" si="10"/>
        <v>1</v>
      </c>
      <c r="G348" s="183" t="str">
        <f t="shared" si="11"/>
        <v>NAP</v>
      </c>
      <c r="I348" s="425"/>
      <c r="J348" s="425"/>
      <c r="K348" s="425"/>
    </row>
    <row r="349" spans="1:11" ht="15">
      <c r="A349" s="217" t="s">
        <v>39</v>
      </c>
      <c r="B349" s="217" t="s">
        <v>487</v>
      </c>
      <c r="C349" s="217" t="s">
        <v>680</v>
      </c>
      <c r="D349" s="216">
        <v>68</v>
      </c>
      <c r="E349" s="216" t="str">
        <f>VLOOKUP(B349,Tutti!$B$2:$C$598,2,FALSE)</f>
        <v>CHI</v>
      </c>
      <c r="F349" t="b">
        <f t="shared" si="10"/>
        <v>1</v>
      </c>
      <c r="G349" s="183" t="str">
        <f t="shared" si="11"/>
        <v>CHI</v>
      </c>
      <c r="I349" s="425"/>
      <c r="J349" s="425"/>
      <c r="K349" s="425"/>
    </row>
    <row r="350" spans="1:11" ht="15">
      <c r="A350" s="217" t="s">
        <v>39</v>
      </c>
      <c r="B350" s="217" t="s">
        <v>488</v>
      </c>
      <c r="C350" s="217" t="s">
        <v>679</v>
      </c>
      <c r="D350" s="216">
        <v>70</v>
      </c>
      <c r="E350" s="216" t="e">
        <f>VLOOKUP(B350,Tutti!$B$2:$C$598,2,FALSE)</f>
        <v>#N/A</v>
      </c>
      <c r="F350" t="e">
        <f t="shared" si="10"/>
        <v>#N/A</v>
      </c>
      <c r="G350" s="183" t="str">
        <f t="shared" si="11"/>
        <v>GEN</v>
      </c>
      <c r="I350" s="425"/>
      <c r="J350" s="425"/>
      <c r="K350" s="425"/>
    </row>
    <row r="351" spans="1:11" ht="15">
      <c r="A351" s="217" t="s">
        <v>39</v>
      </c>
      <c r="B351" s="217" t="s">
        <v>398</v>
      </c>
      <c r="C351" s="217" t="s">
        <v>686</v>
      </c>
      <c r="D351" s="216">
        <v>79</v>
      </c>
      <c r="E351" s="216" t="str">
        <f>VLOOKUP(B351,Tutti!$B$2:$C$598,2,FALSE)</f>
        <v>ATA</v>
      </c>
      <c r="F351" t="b">
        <f t="shared" si="10"/>
        <v>1</v>
      </c>
      <c r="G351" s="183" t="str">
        <f t="shared" si="11"/>
        <v>ATA</v>
      </c>
      <c r="I351" s="425"/>
      <c r="J351" s="425"/>
      <c r="K351" s="425"/>
    </row>
    <row r="352" spans="1:11" ht="15">
      <c r="A352" s="217" t="s">
        <v>39</v>
      </c>
      <c r="B352" s="217" t="s">
        <v>1742</v>
      </c>
      <c r="C352" s="217" t="s">
        <v>684</v>
      </c>
      <c r="D352" s="216">
        <v>59</v>
      </c>
      <c r="E352" s="216" t="str">
        <f>VLOOKUP(B352,Tutti!$B$2:$C$598,2,FALSE)</f>
        <v>UDI</v>
      </c>
      <c r="F352" t="b">
        <f t="shared" si="10"/>
        <v>1</v>
      </c>
      <c r="G352" s="183" t="str">
        <f t="shared" si="11"/>
        <v>UDI</v>
      </c>
      <c r="I352" s="425"/>
      <c r="J352" s="425"/>
      <c r="K352" s="425"/>
    </row>
    <row r="353" spans="1:11" ht="15">
      <c r="A353" s="217" t="s">
        <v>39</v>
      </c>
      <c r="B353" s="217" t="s">
        <v>497</v>
      </c>
      <c r="C353" s="217" t="s">
        <v>700</v>
      </c>
      <c r="D353" s="216">
        <v>76</v>
      </c>
      <c r="E353" s="216" t="str">
        <f>VLOOKUP(B353,Tutti!$B$2:$C$598,2,FALSE)</f>
        <v>CAG</v>
      </c>
      <c r="F353" t="b">
        <f t="shared" si="10"/>
        <v>1</v>
      </c>
      <c r="G353" s="183" t="str">
        <f t="shared" si="11"/>
        <v>CAG</v>
      </c>
      <c r="I353" s="425"/>
      <c r="J353" s="425"/>
      <c r="K353" s="425"/>
    </row>
    <row r="354" spans="1:11" ht="15">
      <c r="A354" s="217" t="s">
        <v>39</v>
      </c>
      <c r="B354" s="217" t="s">
        <v>501</v>
      </c>
      <c r="C354" s="217" t="s">
        <v>701</v>
      </c>
      <c r="D354" s="216">
        <v>69</v>
      </c>
      <c r="E354" s="216" t="str">
        <f>VLOOKUP(B354,Tutti!$B$2:$C$598,2,FALSE)</f>
        <v>CRO</v>
      </c>
      <c r="F354" t="b">
        <f t="shared" si="10"/>
        <v>1</v>
      </c>
      <c r="G354" s="183" t="str">
        <f t="shared" si="11"/>
        <v>CRO</v>
      </c>
      <c r="I354" s="425"/>
      <c r="J354" s="425"/>
      <c r="K354" s="425"/>
    </row>
    <row r="355" spans="1:11" ht="15">
      <c r="A355" s="217" t="s">
        <v>39</v>
      </c>
      <c r="B355" s="217" t="s">
        <v>504</v>
      </c>
      <c r="C355" s="217" t="s">
        <v>684</v>
      </c>
      <c r="D355" s="216">
        <v>80</v>
      </c>
      <c r="E355" s="216" t="str">
        <f>VLOOKUP(B355,Tutti!$B$2:$C$598,2,FALSE)</f>
        <v>UDI</v>
      </c>
      <c r="F355" t="b">
        <f t="shared" si="10"/>
        <v>1</v>
      </c>
      <c r="G355" s="183" t="str">
        <f t="shared" si="11"/>
        <v>UDI</v>
      </c>
      <c r="I355" s="425"/>
      <c r="J355" s="425"/>
      <c r="K355" s="425"/>
    </row>
    <row r="356" spans="1:11" ht="15">
      <c r="A356" s="217" t="s">
        <v>39</v>
      </c>
      <c r="B356" s="217" t="s">
        <v>1329</v>
      </c>
      <c r="C356" s="217" t="s">
        <v>677</v>
      </c>
      <c r="D356" s="216">
        <v>75</v>
      </c>
      <c r="E356" s="216" t="str">
        <f>VLOOKUP(B356,Tutti!$B$2:$C$598,2,FALSE)</f>
        <v>INT</v>
      </c>
      <c r="F356" t="b">
        <f t="shared" si="10"/>
        <v>1</v>
      </c>
      <c r="G356" s="183" t="str">
        <f t="shared" si="11"/>
        <v>INT</v>
      </c>
      <c r="I356" s="425"/>
      <c r="J356" s="425"/>
      <c r="K356" s="425"/>
    </row>
    <row r="357" spans="1:11" ht="15">
      <c r="A357" s="217" t="s">
        <v>39</v>
      </c>
      <c r="B357" s="217" t="s">
        <v>506</v>
      </c>
      <c r="C357" s="217" t="s">
        <v>700</v>
      </c>
      <c r="D357" s="216">
        <v>89</v>
      </c>
      <c r="E357" s="216" t="str">
        <f>VLOOKUP(B357,Tutti!$B$2:$C$598,2,FALSE)</f>
        <v>CAG</v>
      </c>
      <c r="F357" t="b">
        <f t="shared" si="10"/>
        <v>1</v>
      </c>
      <c r="G357" s="183" t="str">
        <f t="shared" si="11"/>
        <v>CAG</v>
      </c>
      <c r="I357" s="425"/>
      <c r="J357" s="425"/>
      <c r="K357" s="425"/>
    </row>
    <row r="358" spans="1:11" ht="15">
      <c r="A358" s="217" t="s">
        <v>39</v>
      </c>
      <c r="B358" s="217" t="s">
        <v>1858</v>
      </c>
      <c r="C358" s="217" t="s">
        <v>686</v>
      </c>
      <c r="D358" s="216">
        <v>66</v>
      </c>
      <c r="E358" s="216" t="str">
        <f>VLOOKUP(B358,Tutti!$B$2:$C$598,2,FALSE)</f>
        <v>ATA</v>
      </c>
      <c r="F358" t="b">
        <f t="shared" si="10"/>
        <v>1</v>
      </c>
      <c r="G358" s="183" t="str">
        <f t="shared" si="11"/>
        <v>ATA</v>
      </c>
      <c r="I358" s="425"/>
      <c r="J358" s="425"/>
      <c r="K358" s="425"/>
    </row>
    <row r="359" spans="1:11" ht="15">
      <c r="A359" s="217" t="s">
        <v>39</v>
      </c>
      <c r="B359" s="217" t="s">
        <v>508</v>
      </c>
      <c r="C359" s="217" t="s">
        <v>681</v>
      </c>
      <c r="D359" s="216">
        <v>77</v>
      </c>
      <c r="E359" s="216" t="str">
        <f>VLOOKUP(B359,Tutti!$B$2:$C$598,2,FALSE)</f>
        <v>NAP</v>
      </c>
      <c r="F359" t="b">
        <f t="shared" si="10"/>
        <v>1</v>
      </c>
      <c r="G359" s="183" t="str">
        <f t="shared" si="11"/>
        <v>NAP</v>
      </c>
      <c r="I359" s="425"/>
      <c r="J359" s="425"/>
      <c r="K359" s="425"/>
    </row>
    <row r="360" spans="1:11" ht="15">
      <c r="A360" s="217" t="s">
        <v>39</v>
      </c>
      <c r="B360" s="217" t="s">
        <v>1295</v>
      </c>
      <c r="C360" s="217" t="s">
        <v>678</v>
      </c>
      <c r="D360" s="216">
        <v>45</v>
      </c>
      <c r="E360" s="216" t="str">
        <f>VLOOKUP(B360,Tutti!$B$2:$C$598,2,FALSE)</f>
        <v>MIL</v>
      </c>
      <c r="F360" t="b">
        <f t="shared" si="10"/>
        <v>1</v>
      </c>
      <c r="G360" s="183" t="str">
        <f t="shared" si="11"/>
        <v>MIL</v>
      </c>
      <c r="I360" s="425"/>
      <c r="J360" s="425"/>
      <c r="K360" s="425"/>
    </row>
    <row r="361" spans="1:11" ht="15">
      <c r="A361" s="217" t="s">
        <v>39</v>
      </c>
      <c r="B361" s="217" t="s">
        <v>1303</v>
      </c>
      <c r="C361" s="217" t="s">
        <v>678</v>
      </c>
      <c r="D361" s="216">
        <v>85</v>
      </c>
      <c r="E361" s="216" t="str">
        <f>VLOOKUP(B361,Tutti!$B$2:$C$598,2,FALSE)</f>
        <v>MIL</v>
      </c>
      <c r="F361" t="b">
        <f t="shared" si="10"/>
        <v>1</v>
      </c>
      <c r="G361" s="183" t="str">
        <f t="shared" si="11"/>
        <v>MIL</v>
      </c>
      <c r="I361" s="425"/>
      <c r="J361" s="425"/>
      <c r="K361" s="425"/>
    </row>
    <row r="362" spans="1:11" ht="15">
      <c r="A362" s="217" t="s">
        <v>39</v>
      </c>
      <c r="B362" s="217" t="s">
        <v>513</v>
      </c>
      <c r="C362" s="217" t="s">
        <v>676</v>
      </c>
      <c r="D362" s="216">
        <v>80</v>
      </c>
      <c r="E362" s="216" t="str">
        <f>VLOOKUP(B362,Tutti!$B$2:$C$598,2,FALSE)</f>
        <v>JUV</v>
      </c>
      <c r="F362" t="b">
        <f t="shared" si="10"/>
        <v>1</v>
      </c>
      <c r="G362" s="183" t="str">
        <f t="shared" si="11"/>
        <v>JUV</v>
      </c>
      <c r="I362" s="425"/>
      <c r="J362" s="425"/>
      <c r="K362" s="425"/>
    </row>
    <row r="363" spans="1:11" ht="15">
      <c r="A363" s="217" t="s">
        <v>39</v>
      </c>
      <c r="B363" s="217" t="s">
        <v>1840</v>
      </c>
      <c r="C363" s="217" t="s">
        <v>680</v>
      </c>
      <c r="D363" s="216">
        <v>58</v>
      </c>
      <c r="E363" s="216" t="e">
        <f>VLOOKUP(B363,Tutti!$B$2:$C$598,2,FALSE)</f>
        <v>#N/A</v>
      </c>
      <c r="F363" t="e">
        <f t="shared" si="10"/>
        <v>#N/A</v>
      </c>
      <c r="G363" s="183" t="str">
        <f t="shared" si="11"/>
        <v>CHI</v>
      </c>
      <c r="I363" s="425"/>
      <c r="J363" s="425"/>
      <c r="K363" s="425"/>
    </row>
    <row r="364" spans="1:11" ht="15">
      <c r="A364" s="217" t="s">
        <v>39</v>
      </c>
      <c r="B364" s="217" t="s">
        <v>518</v>
      </c>
      <c r="C364" s="217" t="s">
        <v>684</v>
      </c>
      <c r="D364" s="216">
        <v>50</v>
      </c>
      <c r="E364" s="216" t="e">
        <f>VLOOKUP(B364,Tutti!$B$2:$C$598,2,FALSE)</f>
        <v>#N/A</v>
      </c>
      <c r="F364" t="e">
        <f t="shared" si="10"/>
        <v>#N/A</v>
      </c>
      <c r="G364" s="183" t="str">
        <f t="shared" si="11"/>
        <v>UDI</v>
      </c>
      <c r="I364" s="425"/>
      <c r="J364" s="425"/>
      <c r="K364" s="425"/>
    </row>
    <row r="365" spans="1:11" ht="15">
      <c r="A365" s="217" t="s">
        <v>39</v>
      </c>
      <c r="B365" s="217" t="s">
        <v>1804</v>
      </c>
      <c r="C365" s="217" t="s">
        <v>701</v>
      </c>
      <c r="D365" s="216">
        <v>40</v>
      </c>
      <c r="E365" s="216" t="str">
        <f>VLOOKUP(B365,Tutti!$B$2:$C$598,2,FALSE)</f>
        <v>CRO</v>
      </c>
      <c r="F365" t="b">
        <f t="shared" si="10"/>
        <v>1</v>
      </c>
      <c r="G365" s="183" t="str">
        <f t="shared" si="11"/>
        <v>CRO</v>
      </c>
      <c r="I365" s="425"/>
      <c r="J365" s="425"/>
      <c r="K365" s="425"/>
    </row>
    <row r="366" spans="1:11" ht="15">
      <c r="A366" s="217" t="s">
        <v>39</v>
      </c>
      <c r="B366" s="217" t="s">
        <v>1767</v>
      </c>
      <c r="C366" s="217" t="s">
        <v>701</v>
      </c>
      <c r="D366" s="216">
        <v>73</v>
      </c>
      <c r="E366" s="216" t="str">
        <f>VLOOKUP(B366,Tutti!$B$2:$C$598,2,FALSE)</f>
        <v>CRO</v>
      </c>
      <c r="F366" t="b">
        <f t="shared" si="10"/>
        <v>1</v>
      </c>
      <c r="G366" s="183" t="str">
        <f t="shared" si="11"/>
        <v>CRO</v>
      </c>
      <c r="I366" s="425"/>
      <c r="J366" s="425"/>
      <c r="K366" s="425"/>
    </row>
    <row r="367" spans="1:11" ht="15">
      <c r="A367" s="217" t="s">
        <v>39</v>
      </c>
      <c r="B367" s="217" t="s">
        <v>519</v>
      </c>
      <c r="C367" s="217" t="s">
        <v>691</v>
      </c>
      <c r="D367" s="216">
        <v>78</v>
      </c>
      <c r="E367" s="216" t="str">
        <f>VLOOKUP(B367,Tutti!$B$2:$C$598,2,FALSE)</f>
        <v>BOL</v>
      </c>
      <c r="F367" t="b">
        <f t="shared" si="10"/>
        <v>1</v>
      </c>
      <c r="G367" s="183" t="str">
        <f t="shared" si="11"/>
        <v>BOL</v>
      </c>
      <c r="I367" s="425"/>
      <c r="J367" s="425"/>
      <c r="K367" s="425"/>
    </row>
    <row r="368" spans="1:11" ht="15">
      <c r="A368" s="217" t="s">
        <v>39</v>
      </c>
      <c r="B368" s="217" t="s">
        <v>525</v>
      </c>
      <c r="C368" s="217" t="s">
        <v>686</v>
      </c>
      <c r="D368" s="216">
        <v>79</v>
      </c>
      <c r="E368" s="216" t="str">
        <f>VLOOKUP(B368,Tutti!$B$2:$C$598,2,FALSE)</f>
        <v>ATA</v>
      </c>
      <c r="F368" t="b">
        <f t="shared" si="10"/>
        <v>1</v>
      </c>
      <c r="G368" s="183" t="str">
        <f t="shared" si="11"/>
        <v>ATA</v>
      </c>
      <c r="I368" s="425"/>
      <c r="J368" s="425"/>
      <c r="K368" s="425"/>
    </row>
    <row r="369" spans="1:11" ht="15">
      <c r="A369" s="217" t="s">
        <v>39</v>
      </c>
      <c r="B369" s="217" t="s">
        <v>526</v>
      </c>
      <c r="C369" s="217" t="s">
        <v>679</v>
      </c>
      <c r="D369" s="216">
        <v>75</v>
      </c>
      <c r="E369" s="216" t="str">
        <f>VLOOKUP(B369,Tutti!$B$2:$C$598,2,FALSE)</f>
        <v>GEN</v>
      </c>
      <c r="F369" t="b">
        <f t="shared" si="10"/>
        <v>1</v>
      </c>
      <c r="G369" s="183" t="str">
        <f t="shared" si="11"/>
        <v>GEN</v>
      </c>
      <c r="I369" s="425"/>
      <c r="J369" s="425"/>
      <c r="K369" s="425"/>
    </row>
    <row r="370" spans="1:11" ht="15">
      <c r="A370" s="217" t="s">
        <v>39</v>
      </c>
      <c r="B370" s="217" t="s">
        <v>527</v>
      </c>
      <c r="C370" s="217" t="s">
        <v>679</v>
      </c>
      <c r="D370" s="216">
        <v>70</v>
      </c>
      <c r="E370" s="216" t="str">
        <f>VLOOKUP(B370,Tutti!$B$2:$C$598,2,FALSE)</f>
        <v>GEN</v>
      </c>
      <c r="F370" t="b">
        <f t="shared" si="10"/>
        <v>1</v>
      </c>
      <c r="G370" s="183" t="str">
        <f t="shared" si="11"/>
        <v>GEN</v>
      </c>
      <c r="I370" s="425"/>
      <c r="J370" s="425"/>
      <c r="K370" s="425"/>
    </row>
    <row r="371" spans="1:11" ht="15">
      <c r="A371" s="217" t="s">
        <v>39</v>
      </c>
      <c r="B371" s="217" t="s">
        <v>1857</v>
      </c>
      <c r="C371" s="217" t="s">
        <v>1477</v>
      </c>
      <c r="D371" s="216">
        <v>73</v>
      </c>
      <c r="E371" s="216" t="str">
        <f>VLOOKUP(B371,Tutti!$B$2:$C$598,2,FALSE)</f>
        <v>SPA</v>
      </c>
      <c r="F371" t="b">
        <f t="shared" si="10"/>
        <v>1</v>
      </c>
      <c r="G371" s="183" t="str">
        <f t="shared" si="11"/>
        <v>SPA</v>
      </c>
      <c r="I371" s="425"/>
      <c r="J371" s="425"/>
      <c r="K371" s="425"/>
    </row>
    <row r="372" spans="1:11" ht="15">
      <c r="A372" s="217" t="s">
        <v>39</v>
      </c>
      <c r="B372" s="217" t="s">
        <v>530</v>
      </c>
      <c r="C372" s="217" t="s">
        <v>688</v>
      </c>
      <c r="D372" s="216">
        <v>72</v>
      </c>
      <c r="E372" s="216" t="str">
        <f>VLOOKUP(B372,Tutti!$B$2:$C$598,2,FALSE)</f>
        <v>SAM</v>
      </c>
      <c r="F372" t="b">
        <f t="shared" si="10"/>
        <v>1</v>
      </c>
      <c r="G372" s="183" t="str">
        <f t="shared" si="11"/>
        <v>SAM</v>
      </c>
      <c r="I372" s="425"/>
      <c r="J372" s="425"/>
      <c r="K372" s="425"/>
    </row>
    <row r="373" spans="1:11" ht="15">
      <c r="A373" s="217" t="s">
        <v>39</v>
      </c>
      <c r="B373" s="217" t="s">
        <v>1307</v>
      </c>
      <c r="C373" s="217" t="s">
        <v>678</v>
      </c>
      <c r="D373" s="216">
        <v>64</v>
      </c>
      <c r="E373" s="216" t="str">
        <f>VLOOKUP(B373,Tutti!$B$2:$C$598,2,FALSE)</f>
        <v>MIL</v>
      </c>
      <c r="F373" t="b">
        <f t="shared" si="10"/>
        <v>1</v>
      </c>
      <c r="G373" s="183" t="str">
        <f t="shared" si="11"/>
        <v>MIL</v>
      </c>
      <c r="I373" s="425"/>
      <c r="J373" s="425"/>
      <c r="K373" s="425"/>
    </row>
    <row r="374" spans="1:11" ht="15">
      <c r="A374" s="217" t="s">
        <v>39</v>
      </c>
      <c r="B374" s="217" t="s">
        <v>1740</v>
      </c>
      <c r="C374" s="217" t="s">
        <v>682</v>
      </c>
      <c r="D374" s="216">
        <v>70</v>
      </c>
      <c r="E374" s="216" t="str">
        <f>VLOOKUP(B374,Tutti!$B$2:$C$598,2,FALSE)</f>
        <v>LAZ</v>
      </c>
      <c r="F374" t="b">
        <f t="shared" si="10"/>
        <v>1</v>
      </c>
      <c r="G374" s="183" t="str">
        <f t="shared" si="11"/>
        <v>LAZ</v>
      </c>
      <c r="I374" s="425"/>
      <c r="J374" s="425"/>
      <c r="K374" s="425"/>
    </row>
    <row r="375" spans="1:11" ht="15">
      <c r="A375" s="217" t="s">
        <v>39</v>
      </c>
      <c r="B375" s="217" t="s">
        <v>1340</v>
      </c>
      <c r="C375" s="217" t="s">
        <v>682</v>
      </c>
      <c r="D375" s="216">
        <v>68</v>
      </c>
      <c r="E375" s="216" t="str">
        <f>VLOOKUP(B375,Tutti!$B$2:$C$598,2,FALSE)</f>
        <v>LAZ</v>
      </c>
      <c r="F375" t="b">
        <f t="shared" si="10"/>
        <v>1</v>
      </c>
      <c r="G375" s="183" t="str">
        <f t="shared" si="11"/>
        <v>LAZ</v>
      </c>
      <c r="I375" s="425"/>
      <c r="J375" s="425"/>
      <c r="K375" s="425"/>
    </row>
    <row r="376" spans="1:11" ht="15">
      <c r="A376" s="217" t="s">
        <v>39</v>
      </c>
      <c r="B376" s="217" t="s">
        <v>538</v>
      </c>
      <c r="C376" s="217" t="s">
        <v>682</v>
      </c>
      <c r="D376" s="216">
        <v>78</v>
      </c>
      <c r="E376" s="216" t="str">
        <f>VLOOKUP(B376,Tutti!$B$2:$C$598,2,FALSE)</f>
        <v>LAZ</v>
      </c>
      <c r="F376" t="b">
        <f t="shared" si="10"/>
        <v>1</v>
      </c>
      <c r="G376" s="183" t="str">
        <f t="shared" si="11"/>
        <v>LAZ</v>
      </c>
      <c r="I376" s="425"/>
      <c r="J376" s="425"/>
      <c r="K376" s="425"/>
    </row>
    <row r="377" spans="1:11" ht="15">
      <c r="A377" s="217" t="s">
        <v>39</v>
      </c>
      <c r="B377" s="217" t="s">
        <v>540</v>
      </c>
      <c r="C377" s="217" t="s">
        <v>685</v>
      </c>
      <c r="D377" s="216">
        <v>71</v>
      </c>
      <c r="E377" s="216" t="str">
        <f>VLOOKUP(B377,Tutti!$B$2:$C$598,2,FALSE)</f>
        <v>SAS</v>
      </c>
      <c r="F377" t="b">
        <f t="shared" si="10"/>
        <v>1</v>
      </c>
      <c r="G377" s="183" t="str">
        <f t="shared" si="11"/>
        <v>SAS</v>
      </c>
      <c r="I377" s="425"/>
      <c r="J377" s="425"/>
      <c r="K377" s="425"/>
    </row>
    <row r="378" spans="1:11" ht="15">
      <c r="A378" s="217" t="s">
        <v>39</v>
      </c>
      <c r="B378" s="217" t="s">
        <v>541</v>
      </c>
      <c r="C378" s="217" t="s">
        <v>701</v>
      </c>
      <c r="D378" s="216">
        <v>68</v>
      </c>
      <c r="E378" s="216" t="str">
        <f>VLOOKUP(B378,Tutti!$B$2:$C$598,2,FALSE)</f>
        <v>CRO</v>
      </c>
      <c r="F378" t="b">
        <f t="shared" si="10"/>
        <v>1</v>
      </c>
      <c r="G378" s="183" t="str">
        <f t="shared" si="11"/>
        <v>CRO</v>
      </c>
      <c r="I378" s="425"/>
      <c r="J378" s="425"/>
      <c r="K378" s="425"/>
    </row>
    <row r="379" spans="1:11" ht="15">
      <c r="A379" s="217" t="s">
        <v>39</v>
      </c>
      <c r="B379" s="217" t="s">
        <v>543</v>
      </c>
      <c r="C379" s="217" t="s">
        <v>676</v>
      </c>
      <c r="D379" s="216">
        <v>75</v>
      </c>
      <c r="E379" s="216" t="str">
        <f>VLOOKUP(B379,Tutti!$B$2:$C$598,2,FALSE)</f>
        <v>JUV</v>
      </c>
      <c r="F379" t="b">
        <f t="shared" si="10"/>
        <v>1</v>
      </c>
      <c r="G379" s="183" t="str">
        <f t="shared" si="11"/>
        <v>JUV</v>
      </c>
      <c r="I379" s="425"/>
      <c r="J379" s="425"/>
      <c r="K379" s="425"/>
    </row>
    <row r="380" spans="1:11" ht="15">
      <c r="A380" s="217" t="s">
        <v>39</v>
      </c>
      <c r="B380" s="217" t="s">
        <v>1704</v>
      </c>
      <c r="C380" s="217" t="s">
        <v>682</v>
      </c>
      <c r="D380" s="216">
        <v>60</v>
      </c>
      <c r="E380" s="216" t="str">
        <f>VLOOKUP(B380,Tutti!$B$2:$C$598,2,FALSE)</f>
        <v>LAZ</v>
      </c>
      <c r="F380" t="b">
        <f t="shared" si="10"/>
        <v>1</v>
      </c>
      <c r="G380" s="183" t="str">
        <f t="shared" si="11"/>
        <v>LAZ</v>
      </c>
      <c r="I380" s="425"/>
      <c r="J380" s="425"/>
      <c r="K380" s="425"/>
    </row>
    <row r="381" spans="1:11" ht="15">
      <c r="A381" s="217" t="s">
        <v>39</v>
      </c>
      <c r="B381" s="217" t="s">
        <v>1938</v>
      </c>
      <c r="C381" s="217" t="s">
        <v>676</v>
      </c>
      <c r="D381" s="216">
        <v>77</v>
      </c>
      <c r="E381" s="216" t="str">
        <f>VLOOKUP(B381,Tutti!$B$2:$C$598,2,FALSE)</f>
        <v>JUV</v>
      </c>
      <c r="F381" t="b">
        <f t="shared" si="10"/>
        <v>1</v>
      </c>
      <c r="G381" s="183" t="str">
        <f t="shared" si="11"/>
        <v>JUV</v>
      </c>
      <c r="I381" s="425"/>
      <c r="J381" s="425"/>
      <c r="K381" s="425"/>
    </row>
    <row r="382" spans="1:11" ht="15">
      <c r="A382" s="217" t="s">
        <v>39</v>
      </c>
      <c r="B382" s="217" t="s">
        <v>1306</v>
      </c>
      <c r="C382" s="217" t="s">
        <v>678</v>
      </c>
      <c r="D382" s="216">
        <v>35</v>
      </c>
      <c r="E382" s="216" t="str">
        <f>VLOOKUP(B382,Tutti!$B$2:$C$598,2,FALSE)</f>
        <v>MIL</v>
      </c>
      <c r="F382" t="b">
        <f t="shared" si="10"/>
        <v>1</v>
      </c>
      <c r="G382" s="183" t="str">
        <f t="shared" si="11"/>
        <v>MIL</v>
      </c>
      <c r="I382" s="425"/>
      <c r="J382" s="425"/>
      <c r="K382" s="425"/>
    </row>
    <row r="383" spans="1:11" ht="15">
      <c r="A383" s="217" t="s">
        <v>39</v>
      </c>
      <c r="B383" s="217" t="s">
        <v>548</v>
      </c>
      <c r="C383" s="217" t="s">
        <v>685</v>
      </c>
      <c r="D383" s="216">
        <v>69</v>
      </c>
      <c r="E383" s="216" t="str">
        <f>VLOOKUP(B383,Tutti!$B$2:$C$598,2,FALSE)</f>
        <v>SAS</v>
      </c>
      <c r="F383" t="b">
        <f t="shared" si="10"/>
        <v>1</v>
      </c>
      <c r="G383" s="183" t="str">
        <f t="shared" si="11"/>
        <v>SAS</v>
      </c>
      <c r="I383" s="425"/>
      <c r="J383" s="425"/>
      <c r="K383" s="425"/>
    </row>
    <row r="384" spans="1:11" ht="15">
      <c r="A384" s="217" t="s">
        <v>39</v>
      </c>
      <c r="B384" s="217" t="s">
        <v>1761</v>
      </c>
      <c r="C384" s="217" t="s">
        <v>1672</v>
      </c>
      <c r="D384" s="216">
        <v>45</v>
      </c>
      <c r="E384" s="216" t="str">
        <f>VLOOKUP(B384,Tutti!$B$2:$C$598,2,FALSE)</f>
        <v>BEN</v>
      </c>
      <c r="F384" t="b">
        <f t="shared" si="10"/>
        <v>1</v>
      </c>
      <c r="G384" s="183" t="str">
        <f t="shared" si="11"/>
        <v>BEN</v>
      </c>
      <c r="I384" s="425"/>
      <c r="J384" s="425"/>
      <c r="K384" s="425"/>
    </row>
    <row r="385" spans="1:11" ht="15">
      <c r="A385" s="217" t="s">
        <v>39</v>
      </c>
      <c r="B385" s="217" t="s">
        <v>1759</v>
      </c>
      <c r="C385" s="217" t="s">
        <v>686</v>
      </c>
      <c r="D385" s="216">
        <v>45</v>
      </c>
      <c r="E385" s="216" t="str">
        <f>VLOOKUP(B385,Tutti!$B$2:$C$598,2,FALSE)</f>
        <v>ATA</v>
      </c>
      <c r="F385" t="b">
        <f t="shared" si="10"/>
        <v>1</v>
      </c>
      <c r="G385" s="183" t="str">
        <f t="shared" si="11"/>
        <v>ATA</v>
      </c>
      <c r="I385" s="425"/>
      <c r="J385" s="425"/>
      <c r="K385" s="425"/>
    </row>
    <row r="386" spans="1:11" ht="15">
      <c r="A386" s="217" t="s">
        <v>39</v>
      </c>
      <c r="B386" s="217" t="s">
        <v>1964</v>
      </c>
      <c r="C386" s="217" t="s">
        <v>1672</v>
      </c>
      <c r="D386" s="216">
        <v>66</v>
      </c>
      <c r="E386" s="216" t="str">
        <f>VLOOKUP(B386,Tutti!$B$2:$C$598,2,FALSE)</f>
        <v>BEN</v>
      </c>
      <c r="F386" t="b">
        <f t="shared" ref="F386:F449" si="12">E386=MID(C386,1,3)</f>
        <v>1</v>
      </c>
      <c r="G386" s="183" t="str">
        <f t="shared" ref="G386:G449" si="13">UPPER(MID(C386,1,3))</f>
        <v>BEN</v>
      </c>
      <c r="I386" s="425"/>
      <c r="J386" s="425"/>
      <c r="K386" s="425"/>
    </row>
    <row r="387" spans="1:11" ht="15">
      <c r="A387" s="217" t="s">
        <v>39</v>
      </c>
      <c r="B387" s="217" t="s">
        <v>1300</v>
      </c>
      <c r="C387" s="217" t="s">
        <v>679</v>
      </c>
      <c r="D387" s="216">
        <v>71</v>
      </c>
      <c r="E387" s="216" t="str">
        <f>VLOOKUP(B387,Tutti!$B$2:$C$598,2,FALSE)</f>
        <v>GEN</v>
      </c>
      <c r="F387" t="b">
        <f t="shared" si="12"/>
        <v>1</v>
      </c>
      <c r="G387" s="183" t="str">
        <f t="shared" si="13"/>
        <v>GEN</v>
      </c>
      <c r="I387" s="425"/>
      <c r="J387" s="425"/>
      <c r="K387" s="425"/>
    </row>
    <row r="388" spans="1:11" ht="15">
      <c r="A388" s="217" t="s">
        <v>39</v>
      </c>
      <c r="B388" s="217" t="s">
        <v>555</v>
      </c>
      <c r="C388" s="217" t="s">
        <v>682</v>
      </c>
      <c r="D388" s="216">
        <v>86</v>
      </c>
      <c r="E388" s="216" t="str">
        <f>VLOOKUP(B388,Tutti!$B$2:$C$598,2,FALSE)</f>
        <v>LAZ</v>
      </c>
      <c r="F388" t="b">
        <f t="shared" si="12"/>
        <v>1</v>
      </c>
      <c r="G388" s="183" t="str">
        <f t="shared" si="13"/>
        <v>LAZ</v>
      </c>
      <c r="I388" s="425"/>
      <c r="J388" s="425"/>
      <c r="K388" s="425"/>
    </row>
    <row r="389" spans="1:11" ht="15">
      <c r="A389" s="217" t="s">
        <v>39</v>
      </c>
      <c r="B389" s="217" t="s">
        <v>556</v>
      </c>
      <c r="C389" s="217" t="s">
        <v>685</v>
      </c>
      <c r="D389" s="216">
        <v>72</v>
      </c>
      <c r="E389" s="216" t="str">
        <f>VLOOKUP(B389,Tutti!$B$2:$C$598,2,FALSE)</f>
        <v>SAS</v>
      </c>
      <c r="F389" t="b">
        <f t="shared" si="12"/>
        <v>1</v>
      </c>
      <c r="G389" s="183" t="str">
        <f t="shared" si="13"/>
        <v>SAS</v>
      </c>
      <c r="I389" s="425"/>
      <c r="J389" s="425"/>
      <c r="K389" s="425"/>
    </row>
    <row r="390" spans="1:11" ht="15">
      <c r="A390" s="217" t="s">
        <v>39</v>
      </c>
      <c r="B390" s="217" t="s">
        <v>559</v>
      </c>
      <c r="C390" s="217" t="s">
        <v>678</v>
      </c>
      <c r="D390" s="216">
        <v>66</v>
      </c>
      <c r="E390" s="216" t="str">
        <f>VLOOKUP(B390,Tutti!$B$2:$C$598,2,FALSE)</f>
        <v>MIL</v>
      </c>
      <c r="F390" t="b">
        <f t="shared" si="12"/>
        <v>1</v>
      </c>
      <c r="G390" s="183" t="str">
        <f t="shared" si="13"/>
        <v>MIL</v>
      </c>
      <c r="I390" s="425"/>
      <c r="J390" s="425"/>
      <c r="K390" s="425"/>
    </row>
    <row r="391" spans="1:11" ht="15">
      <c r="A391" s="217" t="s">
        <v>39</v>
      </c>
      <c r="B391" s="217" t="s">
        <v>1741</v>
      </c>
      <c r="C391" s="217" t="s">
        <v>1477</v>
      </c>
      <c r="D391" s="216">
        <v>68</v>
      </c>
      <c r="E391" s="216" t="str">
        <f>VLOOKUP(B391,Tutti!$B$2:$C$598,2,FALSE)</f>
        <v>SPA</v>
      </c>
      <c r="F391" t="b">
        <f t="shared" si="12"/>
        <v>1</v>
      </c>
      <c r="G391" s="183" t="str">
        <f t="shared" si="13"/>
        <v>SPA</v>
      </c>
      <c r="I391" s="425"/>
      <c r="J391" s="425"/>
      <c r="K391" s="425"/>
    </row>
    <row r="392" spans="1:11" ht="15">
      <c r="A392" s="217" t="s">
        <v>39</v>
      </c>
      <c r="B392" s="217" t="s">
        <v>561</v>
      </c>
      <c r="C392" s="217" t="s">
        <v>691</v>
      </c>
      <c r="D392" s="216">
        <v>49</v>
      </c>
      <c r="E392" s="216" t="str">
        <f>VLOOKUP(B392,Tutti!$B$2:$C$598,2,FALSE)</f>
        <v>BOL</v>
      </c>
      <c r="F392" t="b">
        <f t="shared" si="12"/>
        <v>1</v>
      </c>
      <c r="G392" s="183" t="str">
        <f t="shared" si="13"/>
        <v>BOL</v>
      </c>
      <c r="I392" s="425"/>
      <c r="J392" s="425"/>
      <c r="K392" s="425"/>
    </row>
    <row r="393" spans="1:11" ht="15">
      <c r="A393" s="217" t="s">
        <v>39</v>
      </c>
      <c r="B393" s="217" t="s">
        <v>563</v>
      </c>
      <c r="C393" s="217" t="s">
        <v>682</v>
      </c>
      <c r="D393" s="216">
        <v>59</v>
      </c>
      <c r="E393" s="216" t="str">
        <f>VLOOKUP(B393,Tutti!$B$2:$C$598,2,FALSE)</f>
        <v>LAZ</v>
      </c>
      <c r="F393" t="b">
        <f t="shared" si="12"/>
        <v>1</v>
      </c>
      <c r="G393" s="183" t="str">
        <f t="shared" si="13"/>
        <v>LAZ</v>
      </c>
      <c r="I393" s="425"/>
      <c r="J393" s="425"/>
      <c r="K393" s="425"/>
    </row>
    <row r="394" spans="1:11" ht="15">
      <c r="A394" s="217" t="s">
        <v>39</v>
      </c>
      <c r="B394" s="217" t="s">
        <v>565</v>
      </c>
      <c r="C394" s="217" t="s">
        <v>691</v>
      </c>
      <c r="D394" s="216">
        <v>69</v>
      </c>
      <c r="E394" s="216" t="str">
        <f>VLOOKUP(B394,Tutti!$B$2:$C$598,2,FALSE)</f>
        <v>BOL</v>
      </c>
      <c r="F394" t="b">
        <f t="shared" si="12"/>
        <v>1</v>
      </c>
      <c r="G394" s="183" t="str">
        <f t="shared" si="13"/>
        <v>BOL</v>
      </c>
      <c r="I394" s="425"/>
      <c r="J394" s="425"/>
      <c r="K394" s="425"/>
    </row>
    <row r="395" spans="1:11" ht="15">
      <c r="A395" s="217" t="s">
        <v>39</v>
      </c>
      <c r="B395" s="217" t="s">
        <v>567</v>
      </c>
      <c r="C395" s="217" t="s">
        <v>695</v>
      </c>
      <c r="D395" s="216">
        <v>97</v>
      </c>
      <c r="E395" s="216" t="str">
        <f>VLOOKUP(B395,Tutti!$B$2:$C$598,2,FALSE)</f>
        <v>ROM</v>
      </c>
      <c r="F395" t="b">
        <f t="shared" si="12"/>
        <v>1</v>
      </c>
      <c r="G395" s="183" t="str">
        <f t="shared" si="13"/>
        <v>ROM</v>
      </c>
      <c r="I395" s="425"/>
      <c r="J395" s="425"/>
      <c r="K395" s="425"/>
    </row>
    <row r="396" spans="1:11" ht="15">
      <c r="A396" s="217" t="s">
        <v>39</v>
      </c>
      <c r="B396" s="217" t="s">
        <v>458</v>
      </c>
      <c r="C396" s="217" t="s">
        <v>701</v>
      </c>
      <c r="D396" s="216">
        <v>67</v>
      </c>
      <c r="E396" s="216" t="str">
        <f>VLOOKUP(B396,Tutti!$B$2:$C$598,2,FALSE)</f>
        <v>CRO</v>
      </c>
      <c r="F396" t="b">
        <f t="shared" si="12"/>
        <v>1</v>
      </c>
      <c r="G396" s="183" t="str">
        <f t="shared" si="13"/>
        <v>CRO</v>
      </c>
      <c r="I396" s="425"/>
      <c r="J396" s="425"/>
      <c r="K396" s="425"/>
    </row>
    <row r="397" spans="1:11" ht="15">
      <c r="A397" s="217" t="s">
        <v>39</v>
      </c>
      <c r="B397" s="217" t="s">
        <v>569</v>
      </c>
      <c r="C397" s="217" t="s">
        <v>679</v>
      </c>
      <c r="D397" s="216">
        <v>72</v>
      </c>
      <c r="E397" s="216" t="e">
        <f>VLOOKUP(B397,Tutti!$B$2:$C$598,2,FALSE)</f>
        <v>#N/A</v>
      </c>
      <c r="F397" t="e">
        <f t="shared" si="12"/>
        <v>#N/A</v>
      </c>
      <c r="G397" s="183" t="str">
        <f t="shared" si="13"/>
        <v>GEN</v>
      </c>
      <c r="I397" s="425"/>
      <c r="J397" s="425"/>
      <c r="K397" s="425"/>
    </row>
    <row r="398" spans="1:11" ht="15">
      <c r="A398" s="217" t="s">
        <v>39</v>
      </c>
      <c r="B398" s="217" t="s">
        <v>571</v>
      </c>
      <c r="C398" s="217" t="s">
        <v>687</v>
      </c>
      <c r="D398" s="216">
        <v>70</v>
      </c>
      <c r="E398" s="216" t="str">
        <f>VLOOKUP(B398,Tutti!$B$2:$C$598,2,FALSE)</f>
        <v>TOR</v>
      </c>
      <c r="F398" t="b">
        <f t="shared" si="12"/>
        <v>1</v>
      </c>
      <c r="G398" s="183" t="str">
        <f t="shared" si="13"/>
        <v>TOR</v>
      </c>
      <c r="I398" s="425"/>
      <c r="J398" s="425"/>
      <c r="K398" s="425"/>
    </row>
    <row r="399" spans="1:11" ht="15">
      <c r="A399" s="217" t="s">
        <v>39</v>
      </c>
      <c r="B399" s="217" t="s">
        <v>1753</v>
      </c>
      <c r="C399" s="217" t="s">
        <v>679</v>
      </c>
      <c r="D399" s="216">
        <v>55</v>
      </c>
      <c r="E399" s="216" t="str">
        <f>VLOOKUP(B399,Tutti!$B$2:$C$598,2,FALSE)</f>
        <v>GEN</v>
      </c>
      <c r="F399" t="b">
        <f t="shared" si="12"/>
        <v>1</v>
      </c>
      <c r="G399" s="183" t="str">
        <f t="shared" si="13"/>
        <v>GEN</v>
      </c>
      <c r="I399" s="425"/>
      <c r="J399" s="425"/>
      <c r="K399" s="425"/>
    </row>
    <row r="400" spans="1:11" ht="15">
      <c r="A400" s="217" t="s">
        <v>39</v>
      </c>
      <c r="B400" s="217" t="s">
        <v>578</v>
      </c>
      <c r="C400" s="217" t="s">
        <v>682</v>
      </c>
      <c r="D400" s="216">
        <v>80</v>
      </c>
      <c r="E400" s="216" t="str">
        <f>VLOOKUP(B400,Tutti!$B$2:$C$598,2,FALSE)</f>
        <v>LAZ</v>
      </c>
      <c r="F400" t="b">
        <f t="shared" si="12"/>
        <v>1</v>
      </c>
      <c r="G400" s="183" t="str">
        <f t="shared" si="13"/>
        <v>LAZ</v>
      </c>
      <c r="I400" s="425"/>
      <c r="J400" s="425"/>
      <c r="K400" s="425"/>
    </row>
    <row r="401" spans="1:11" ht="15">
      <c r="A401" s="217" t="s">
        <v>39</v>
      </c>
      <c r="B401" s="217" t="s">
        <v>579</v>
      </c>
      <c r="C401" s="217" t="s">
        <v>695</v>
      </c>
      <c r="D401" s="216">
        <v>60</v>
      </c>
      <c r="E401" s="216" t="str">
        <f>VLOOKUP(B401,Tutti!$B$2:$C$598,2,FALSE)</f>
        <v>ROM</v>
      </c>
      <c r="F401" t="b">
        <f t="shared" si="12"/>
        <v>1</v>
      </c>
      <c r="G401" s="183" t="str">
        <f t="shared" si="13"/>
        <v>ROM</v>
      </c>
      <c r="I401" s="425"/>
      <c r="J401" s="425"/>
      <c r="K401" s="425"/>
    </row>
    <row r="402" spans="1:11" ht="15">
      <c r="A402" s="217" t="s">
        <v>39</v>
      </c>
      <c r="B402" s="217" t="s">
        <v>580</v>
      </c>
      <c r="C402" s="217" t="s">
        <v>677</v>
      </c>
      <c r="D402" s="216">
        <v>96</v>
      </c>
      <c r="E402" s="216" t="str">
        <f>VLOOKUP(B402,Tutti!$B$2:$C$598,2,FALSE)</f>
        <v>INT</v>
      </c>
      <c r="F402" t="b">
        <f t="shared" si="12"/>
        <v>1</v>
      </c>
      <c r="G402" s="183" t="str">
        <f t="shared" si="13"/>
        <v>INT</v>
      </c>
      <c r="I402" s="425"/>
      <c r="J402" s="425"/>
      <c r="K402" s="425"/>
    </row>
    <row r="403" spans="1:11" ht="15">
      <c r="A403" s="217" t="s">
        <v>39</v>
      </c>
      <c r="B403" s="217" t="s">
        <v>581</v>
      </c>
      <c r="C403" s="217" t="s">
        <v>695</v>
      </c>
      <c r="D403" s="216">
        <v>95</v>
      </c>
      <c r="E403" s="216" t="str">
        <f>VLOOKUP(B403,Tutti!$B$2:$C$598,2,FALSE)</f>
        <v>ROM</v>
      </c>
      <c r="F403" t="b">
        <f t="shared" si="12"/>
        <v>1</v>
      </c>
      <c r="G403" s="183" t="str">
        <f t="shared" si="13"/>
        <v>ROM</v>
      </c>
      <c r="I403" s="425"/>
      <c r="J403" s="425"/>
      <c r="K403" s="425"/>
    </row>
    <row r="404" spans="1:11" ht="15">
      <c r="A404" s="217" t="s">
        <v>39</v>
      </c>
      <c r="B404" s="217" t="s">
        <v>582</v>
      </c>
      <c r="C404" s="217" t="s">
        <v>676</v>
      </c>
      <c r="D404" s="216">
        <v>86</v>
      </c>
      <c r="E404" s="216" t="str">
        <f>VLOOKUP(B404,Tutti!$B$2:$C$598,2,FALSE)</f>
        <v>JUV</v>
      </c>
      <c r="F404" t="b">
        <f t="shared" si="12"/>
        <v>1</v>
      </c>
      <c r="G404" s="183" t="str">
        <f t="shared" si="13"/>
        <v>JUV</v>
      </c>
      <c r="I404" s="425"/>
      <c r="J404" s="425"/>
      <c r="K404" s="425"/>
    </row>
    <row r="405" spans="1:11" ht="15">
      <c r="A405" s="217" t="s">
        <v>39</v>
      </c>
      <c r="B405" s="217" t="s">
        <v>584</v>
      </c>
      <c r="C405" s="217" t="s">
        <v>691</v>
      </c>
      <c r="D405" s="216">
        <v>72</v>
      </c>
      <c r="E405" s="216" t="str">
        <f>VLOOKUP(B405,Tutti!$B$2:$C$598,2,FALSE)</f>
        <v>BOL</v>
      </c>
      <c r="F405" t="b">
        <f t="shared" si="12"/>
        <v>1</v>
      </c>
      <c r="G405" s="183" t="str">
        <f t="shared" si="13"/>
        <v>BOL</v>
      </c>
      <c r="I405" s="425"/>
      <c r="J405" s="425"/>
      <c r="K405" s="425"/>
    </row>
    <row r="406" spans="1:11" ht="15">
      <c r="A406" s="217" t="s">
        <v>39</v>
      </c>
      <c r="B406" s="217" t="s">
        <v>1330</v>
      </c>
      <c r="C406" s="217" t="s">
        <v>688</v>
      </c>
      <c r="D406" s="216">
        <v>78</v>
      </c>
      <c r="E406" s="216" t="str">
        <f>VLOOKUP(B406,Tutti!$B$2:$C$598,2,FALSE)</f>
        <v>SAM</v>
      </c>
      <c r="F406" t="b">
        <f t="shared" si="12"/>
        <v>1</v>
      </c>
      <c r="G406" s="183" t="str">
        <f t="shared" si="13"/>
        <v>SAM</v>
      </c>
      <c r="I406" s="425"/>
      <c r="J406" s="425"/>
      <c r="K406" s="425"/>
    </row>
    <row r="407" spans="1:11" ht="15">
      <c r="A407" s="217" t="s">
        <v>39</v>
      </c>
      <c r="B407" s="217" t="s">
        <v>587</v>
      </c>
      <c r="C407" s="217" t="s">
        <v>691</v>
      </c>
      <c r="D407" s="216">
        <v>64</v>
      </c>
      <c r="E407" s="216" t="str">
        <f>VLOOKUP(B407,Tutti!$B$2:$C$598,2,FALSE)</f>
        <v>BOL</v>
      </c>
      <c r="F407" t="b">
        <f t="shared" si="12"/>
        <v>1</v>
      </c>
      <c r="G407" s="183" t="str">
        <f t="shared" si="13"/>
        <v>BOL</v>
      </c>
      <c r="I407" s="425"/>
      <c r="J407" s="425"/>
      <c r="K407" s="425"/>
    </row>
    <row r="408" spans="1:11" ht="15">
      <c r="A408" s="217" t="s">
        <v>39</v>
      </c>
      <c r="B408" s="217" t="s">
        <v>590</v>
      </c>
      <c r="C408" s="217" t="s">
        <v>680</v>
      </c>
      <c r="D408" s="216">
        <v>69</v>
      </c>
      <c r="E408" s="216" t="str">
        <f>VLOOKUP(B408,Tutti!$B$2:$C$598,2,FALSE)</f>
        <v>CHI</v>
      </c>
      <c r="F408" t="b">
        <f t="shared" si="12"/>
        <v>1</v>
      </c>
      <c r="G408" s="183" t="str">
        <f t="shared" si="13"/>
        <v>CHI</v>
      </c>
      <c r="I408" s="425"/>
      <c r="J408" s="425"/>
      <c r="K408" s="425"/>
    </row>
    <row r="409" spans="1:11" ht="15">
      <c r="A409" s="217" t="s">
        <v>39</v>
      </c>
      <c r="B409" s="217" t="s">
        <v>1923</v>
      </c>
      <c r="C409" s="217" t="s">
        <v>688</v>
      </c>
      <c r="D409" s="216">
        <v>90</v>
      </c>
      <c r="E409" s="216" t="str">
        <f>VLOOKUP(B409,Tutti!$B$2:$C$598,2,FALSE)</f>
        <v>SAM</v>
      </c>
      <c r="F409" t="b">
        <f t="shared" si="12"/>
        <v>1</v>
      </c>
      <c r="G409" s="183" t="str">
        <f t="shared" si="13"/>
        <v>SAM</v>
      </c>
      <c r="I409" s="425"/>
      <c r="J409" s="425"/>
      <c r="K409" s="425"/>
    </row>
    <row r="410" spans="1:11" ht="15">
      <c r="A410" s="217" t="s">
        <v>39</v>
      </c>
      <c r="B410" s="217" t="s">
        <v>1856</v>
      </c>
      <c r="C410" s="217" t="s">
        <v>679</v>
      </c>
      <c r="D410" s="216">
        <v>65</v>
      </c>
      <c r="E410" s="216" t="str">
        <f>VLOOKUP(B410,Tutti!$B$2:$C$598,2,FALSE)</f>
        <v>GEN</v>
      </c>
      <c r="F410" t="b">
        <f t="shared" si="12"/>
        <v>1</v>
      </c>
      <c r="G410" s="183" t="str">
        <f t="shared" si="13"/>
        <v>GEN</v>
      </c>
      <c r="I410" s="425"/>
      <c r="J410" s="425"/>
      <c r="K410" s="425"/>
    </row>
    <row r="411" spans="1:11" ht="15">
      <c r="A411" s="217" t="s">
        <v>39</v>
      </c>
      <c r="B411" s="217" t="s">
        <v>593</v>
      </c>
      <c r="C411" s="217" t="s">
        <v>680</v>
      </c>
      <c r="D411" s="216">
        <v>56</v>
      </c>
      <c r="E411" s="216" t="str">
        <f>VLOOKUP(B411,Tutti!$B$2:$C$598,2,FALSE)</f>
        <v>CHI</v>
      </c>
      <c r="F411" t="b">
        <f t="shared" si="12"/>
        <v>1</v>
      </c>
      <c r="G411" s="183" t="str">
        <f t="shared" si="13"/>
        <v>CHI</v>
      </c>
      <c r="I411" s="425"/>
      <c r="J411" s="425"/>
      <c r="K411" s="425"/>
    </row>
    <row r="412" spans="1:11" ht="15">
      <c r="A412" s="217" t="s">
        <v>39</v>
      </c>
      <c r="B412" s="217" t="s">
        <v>595</v>
      </c>
      <c r="C412" s="217" t="s">
        <v>687</v>
      </c>
      <c r="D412" s="216">
        <v>75</v>
      </c>
      <c r="E412" s="216" t="str">
        <f>VLOOKUP(B412,Tutti!$B$2:$C$598,2,FALSE)</f>
        <v>TOR</v>
      </c>
      <c r="F412" t="b">
        <f t="shared" si="12"/>
        <v>1</v>
      </c>
      <c r="G412" s="183" t="str">
        <f t="shared" si="13"/>
        <v>TOR</v>
      </c>
      <c r="I412" s="425"/>
      <c r="J412" s="425"/>
      <c r="K412" s="425"/>
    </row>
    <row r="413" spans="1:11" ht="15">
      <c r="A413" s="217" t="s">
        <v>39</v>
      </c>
      <c r="B413" s="217" t="s">
        <v>596</v>
      </c>
      <c r="C413" s="217" t="s">
        <v>1477</v>
      </c>
      <c r="D413" s="216">
        <v>68</v>
      </c>
      <c r="E413" s="216" t="str">
        <f>VLOOKUP(B413,Tutti!$B$2:$C$598,2,FALSE)</f>
        <v>SPA</v>
      </c>
      <c r="F413" t="b">
        <f t="shared" si="12"/>
        <v>1</v>
      </c>
      <c r="G413" s="183" t="str">
        <f t="shared" si="13"/>
        <v>SPA</v>
      </c>
      <c r="I413" s="425"/>
      <c r="J413" s="425"/>
      <c r="K413" s="425"/>
    </row>
    <row r="414" spans="1:11" ht="15">
      <c r="A414" s="217" t="s">
        <v>39</v>
      </c>
      <c r="B414" s="217" t="s">
        <v>1932</v>
      </c>
      <c r="C414" s="217" t="s">
        <v>679</v>
      </c>
      <c r="D414" s="216">
        <v>63</v>
      </c>
      <c r="E414" s="216" t="str">
        <f>VLOOKUP(B414,Tutti!$B$2:$C$598,2,FALSE)</f>
        <v>GEN</v>
      </c>
      <c r="F414" t="b">
        <f t="shared" si="12"/>
        <v>1</v>
      </c>
      <c r="G414" s="183" t="str">
        <f t="shared" si="13"/>
        <v>GEN</v>
      </c>
      <c r="I414" s="425"/>
      <c r="J414" s="425"/>
      <c r="K414" s="425"/>
    </row>
    <row r="415" spans="1:11" ht="15">
      <c r="A415" s="217" t="s">
        <v>39</v>
      </c>
      <c r="B415" s="217" t="s">
        <v>1331</v>
      </c>
      <c r="C415" s="217" t="s">
        <v>681</v>
      </c>
      <c r="D415" s="216">
        <v>69</v>
      </c>
      <c r="E415" s="216" t="str">
        <f>VLOOKUP(B415,Tutti!$B$2:$C$598,2,FALSE)</f>
        <v>NAP</v>
      </c>
      <c r="F415" t="b">
        <f t="shared" si="12"/>
        <v>1</v>
      </c>
      <c r="G415" s="183" t="str">
        <f t="shared" si="13"/>
        <v>NAP</v>
      </c>
      <c r="I415" s="425"/>
      <c r="J415" s="425"/>
      <c r="K415" s="425"/>
    </row>
    <row r="416" spans="1:11" ht="15">
      <c r="A416" s="217" t="s">
        <v>39</v>
      </c>
      <c r="B416" s="217" t="s">
        <v>923</v>
      </c>
      <c r="C416" s="217" t="s">
        <v>701</v>
      </c>
      <c r="D416" s="216">
        <v>68</v>
      </c>
      <c r="E416" s="216" t="str">
        <f>VLOOKUP(B416,Tutti!$B$2:$C$598,2,FALSE)</f>
        <v>CRO</v>
      </c>
      <c r="F416" t="b">
        <f t="shared" si="12"/>
        <v>1</v>
      </c>
      <c r="G416" s="183" t="str">
        <f t="shared" si="13"/>
        <v>CRO</v>
      </c>
      <c r="I416" s="425"/>
      <c r="J416" s="425"/>
      <c r="K416" s="425"/>
    </row>
    <row r="417" spans="1:11" ht="15">
      <c r="A417" s="217" t="s">
        <v>39</v>
      </c>
      <c r="B417" s="217" t="s">
        <v>1991</v>
      </c>
      <c r="C417" s="217" t="s">
        <v>701</v>
      </c>
      <c r="D417" s="216">
        <v>60</v>
      </c>
      <c r="E417" s="216" t="str">
        <f>VLOOKUP(B417,Tutti!$B$2:$C$598,2,FALSE)</f>
        <v>CRO</v>
      </c>
      <c r="F417" t="b">
        <f t="shared" si="12"/>
        <v>1</v>
      </c>
      <c r="G417" s="183" t="str">
        <f t="shared" si="13"/>
        <v>CRO</v>
      </c>
      <c r="I417" s="425"/>
      <c r="J417" s="425"/>
      <c r="K417" s="425"/>
    </row>
    <row r="418" spans="1:11" ht="15">
      <c r="A418" s="217" t="s">
        <v>39</v>
      </c>
      <c r="B418" s="217" t="s">
        <v>1280</v>
      </c>
      <c r="C418" s="217" t="s">
        <v>692</v>
      </c>
      <c r="D418" s="216">
        <v>67</v>
      </c>
      <c r="E418" s="216" t="str">
        <f>VLOOKUP(B418,Tutti!$B$2:$C$598,2,FALSE)</f>
        <v>FIO</v>
      </c>
      <c r="F418" t="b">
        <f t="shared" si="12"/>
        <v>1</v>
      </c>
      <c r="G418" s="183" t="str">
        <f t="shared" si="13"/>
        <v>FIO</v>
      </c>
      <c r="I418" s="425"/>
      <c r="J418" s="425"/>
      <c r="K418" s="425"/>
    </row>
    <row r="419" spans="1:11" ht="15">
      <c r="A419" s="217" t="s">
        <v>39</v>
      </c>
      <c r="B419" s="217" t="s">
        <v>600</v>
      </c>
      <c r="C419" s="217" t="s">
        <v>692</v>
      </c>
      <c r="D419" s="216">
        <v>84</v>
      </c>
      <c r="E419" s="216" t="str">
        <f>VLOOKUP(B419,Tutti!$B$2:$C$598,2,FALSE)</f>
        <v>FIO</v>
      </c>
      <c r="F419" t="b">
        <f t="shared" si="12"/>
        <v>1</v>
      </c>
      <c r="G419" s="183" t="str">
        <f t="shared" si="13"/>
        <v>FIO</v>
      </c>
      <c r="I419" s="425"/>
      <c r="J419" s="425"/>
      <c r="K419" s="425"/>
    </row>
    <row r="420" spans="1:11" ht="15">
      <c r="A420" s="217" t="s">
        <v>39</v>
      </c>
      <c r="B420" s="217" t="s">
        <v>1748</v>
      </c>
      <c r="C420" s="217" t="s">
        <v>1477</v>
      </c>
      <c r="D420" s="216">
        <v>58</v>
      </c>
      <c r="E420" s="216" t="str">
        <f>VLOOKUP(B420,Tutti!$B$2:$C$598,2,FALSE)</f>
        <v>SPA</v>
      </c>
      <c r="F420" t="b">
        <f t="shared" si="12"/>
        <v>1</v>
      </c>
      <c r="G420" s="183" t="str">
        <f t="shared" si="13"/>
        <v>SPA</v>
      </c>
      <c r="I420" s="425"/>
      <c r="J420" s="425"/>
      <c r="K420" s="425"/>
    </row>
    <row r="421" spans="1:11" ht="15">
      <c r="A421" s="217" t="s">
        <v>39</v>
      </c>
      <c r="B421" s="217" t="s">
        <v>1776</v>
      </c>
      <c r="C421" s="217" t="s">
        <v>1477</v>
      </c>
      <c r="D421" s="216">
        <v>55</v>
      </c>
      <c r="E421" s="216" t="str">
        <f>VLOOKUP(B421,Tutti!$B$2:$C$598,2,FALSE)</f>
        <v>SPA</v>
      </c>
      <c r="F421" t="b">
        <f t="shared" si="12"/>
        <v>1</v>
      </c>
      <c r="G421" s="183" t="str">
        <f t="shared" si="13"/>
        <v>SPA</v>
      </c>
      <c r="I421" s="425"/>
      <c r="J421" s="425"/>
      <c r="K421" s="425"/>
    </row>
    <row r="422" spans="1:11" ht="15">
      <c r="A422" s="217" t="s">
        <v>39</v>
      </c>
      <c r="B422" s="217" t="s">
        <v>603</v>
      </c>
      <c r="C422" s="217" t="s">
        <v>685</v>
      </c>
      <c r="D422" s="216">
        <v>69</v>
      </c>
      <c r="E422" s="216" t="str">
        <f>VLOOKUP(B422,Tutti!$B$2:$C$598,2,FALSE)</f>
        <v>SAS</v>
      </c>
      <c r="F422" t="b">
        <f t="shared" si="12"/>
        <v>1</v>
      </c>
      <c r="G422" s="183" t="str">
        <f t="shared" si="13"/>
        <v>SAS</v>
      </c>
      <c r="I422" s="425"/>
      <c r="J422" s="425"/>
      <c r="K422" s="425"/>
    </row>
    <row r="423" spans="1:11" ht="15">
      <c r="A423" s="217" t="s">
        <v>39</v>
      </c>
      <c r="B423" s="217" t="s">
        <v>604</v>
      </c>
      <c r="C423" s="217" t="s">
        <v>686</v>
      </c>
      <c r="D423" s="216">
        <v>71</v>
      </c>
      <c r="E423" s="216" t="str">
        <f>VLOOKUP(B423,Tutti!$B$2:$C$598,2,FALSE)</f>
        <v>ATA</v>
      </c>
      <c r="F423" t="b">
        <f t="shared" si="12"/>
        <v>1</v>
      </c>
      <c r="G423" s="183" t="str">
        <f t="shared" si="13"/>
        <v>ATA</v>
      </c>
      <c r="I423" s="425"/>
      <c r="J423" s="425"/>
      <c r="K423" s="425"/>
    </row>
    <row r="424" spans="1:11" ht="15">
      <c r="A424" s="217" t="s">
        <v>39</v>
      </c>
      <c r="B424" s="217" t="s">
        <v>605</v>
      </c>
      <c r="C424" s="217" t="s">
        <v>701</v>
      </c>
      <c r="D424" s="216">
        <v>67</v>
      </c>
      <c r="E424" s="216" t="str">
        <f>VLOOKUP(B424,Tutti!$B$2:$C$598,2,FALSE)</f>
        <v>CRO</v>
      </c>
      <c r="F424" t="b">
        <f t="shared" si="12"/>
        <v>1</v>
      </c>
      <c r="G424" s="183" t="str">
        <f t="shared" si="13"/>
        <v>CRO</v>
      </c>
      <c r="I424" s="425"/>
      <c r="J424" s="425"/>
      <c r="K424" s="425"/>
    </row>
    <row r="425" spans="1:11" ht="15">
      <c r="A425" s="217" t="s">
        <v>39</v>
      </c>
      <c r="B425" s="217" t="s">
        <v>606</v>
      </c>
      <c r="C425" s="217" t="s">
        <v>695</v>
      </c>
      <c r="D425" s="216">
        <v>82</v>
      </c>
      <c r="E425" s="216" t="str">
        <f>VLOOKUP(B425,Tutti!$B$2:$C$598,2,FALSE)</f>
        <v>ROM</v>
      </c>
      <c r="F425" t="b">
        <f t="shared" si="12"/>
        <v>1</v>
      </c>
      <c r="G425" s="183" t="str">
        <f t="shared" si="13"/>
        <v>ROM</v>
      </c>
      <c r="I425" s="425"/>
      <c r="J425" s="425"/>
      <c r="K425" s="425"/>
    </row>
    <row r="426" spans="1:11" ht="15">
      <c r="A426" s="217" t="s">
        <v>39</v>
      </c>
      <c r="B426" s="217" t="s">
        <v>608</v>
      </c>
      <c r="C426" s="217" t="s">
        <v>676</v>
      </c>
      <c r="D426" s="216">
        <v>60</v>
      </c>
      <c r="E426" s="216" t="str">
        <f>VLOOKUP(B426,Tutti!$B$2:$C$598,2,FALSE)</f>
        <v>JUV</v>
      </c>
      <c r="F426" t="b">
        <f t="shared" si="12"/>
        <v>1</v>
      </c>
      <c r="G426" s="183" t="str">
        <f t="shared" si="13"/>
        <v>JUV</v>
      </c>
      <c r="I426" s="425"/>
      <c r="J426" s="425"/>
      <c r="K426" s="425"/>
    </row>
    <row r="427" spans="1:11" ht="15">
      <c r="A427" s="217" t="s">
        <v>39</v>
      </c>
      <c r="B427" s="217" t="s">
        <v>1771</v>
      </c>
      <c r="C427" s="217" t="s">
        <v>701</v>
      </c>
      <c r="D427" s="216">
        <v>40</v>
      </c>
      <c r="E427" s="216" t="str">
        <f>VLOOKUP(B427,Tutti!$B$2:$C$598,2,FALSE)</f>
        <v>CRO</v>
      </c>
      <c r="F427" t="b">
        <f t="shared" si="12"/>
        <v>1</v>
      </c>
      <c r="G427" s="183" t="str">
        <f t="shared" si="13"/>
        <v>CRO</v>
      </c>
      <c r="I427" s="425"/>
      <c r="J427" s="425"/>
      <c r="K427" s="425"/>
    </row>
    <row r="428" spans="1:11" ht="15">
      <c r="A428" s="217" t="s">
        <v>39</v>
      </c>
      <c r="B428" s="217" t="s">
        <v>610</v>
      </c>
      <c r="C428" s="217" t="s">
        <v>678</v>
      </c>
      <c r="D428" s="216">
        <v>93</v>
      </c>
      <c r="E428" s="216" t="str">
        <f>VLOOKUP(B428,Tutti!$B$2:$C$598,2,FALSE)</f>
        <v>MIL</v>
      </c>
      <c r="F428" t="b">
        <f t="shared" si="12"/>
        <v>1</v>
      </c>
      <c r="G428" s="183" t="str">
        <f t="shared" si="13"/>
        <v>MIL</v>
      </c>
      <c r="I428" s="425"/>
      <c r="J428" s="425"/>
      <c r="K428" s="425"/>
    </row>
    <row r="429" spans="1:11" ht="15">
      <c r="A429" s="217" t="s">
        <v>39</v>
      </c>
      <c r="B429" s="217" t="s">
        <v>613</v>
      </c>
      <c r="C429" s="217" t="s">
        <v>691</v>
      </c>
      <c r="D429" s="216">
        <v>76</v>
      </c>
      <c r="E429" s="216" t="str">
        <f>VLOOKUP(B429,Tutti!$B$2:$C$598,2,FALSE)</f>
        <v>BOL</v>
      </c>
      <c r="F429" t="b">
        <f t="shared" si="12"/>
        <v>1</v>
      </c>
      <c r="G429" s="183" t="str">
        <f t="shared" si="13"/>
        <v>BOL</v>
      </c>
      <c r="I429" s="425"/>
      <c r="J429" s="425"/>
      <c r="K429" s="425"/>
    </row>
    <row r="430" spans="1:11" ht="15">
      <c r="A430" s="217" t="s">
        <v>39</v>
      </c>
      <c r="B430" s="217" t="s">
        <v>614</v>
      </c>
      <c r="C430" s="217" t="s">
        <v>701</v>
      </c>
      <c r="D430" s="216">
        <v>66</v>
      </c>
      <c r="E430" s="216" t="str">
        <f>VLOOKUP(B430,Tutti!$B$2:$C$598,2,FALSE)</f>
        <v>CRO</v>
      </c>
      <c r="F430" t="b">
        <f t="shared" si="12"/>
        <v>1</v>
      </c>
      <c r="G430" s="183" t="str">
        <f t="shared" si="13"/>
        <v>CRO</v>
      </c>
      <c r="I430" s="425"/>
      <c r="J430" s="425"/>
      <c r="K430" s="425"/>
    </row>
    <row r="431" spans="1:11" ht="15">
      <c r="A431" s="217" t="s">
        <v>39</v>
      </c>
      <c r="B431" s="217" t="s">
        <v>616</v>
      </c>
      <c r="C431" s="217" t="s">
        <v>688</v>
      </c>
      <c r="D431" s="216">
        <v>75</v>
      </c>
      <c r="E431" s="216" t="str">
        <f>VLOOKUP(B431,Tutti!$B$2:$C$598,2,FALSE)</f>
        <v>SAM</v>
      </c>
      <c r="F431" t="b">
        <f t="shared" si="12"/>
        <v>1</v>
      </c>
      <c r="G431" s="183" t="str">
        <f t="shared" si="13"/>
        <v>SAM</v>
      </c>
      <c r="I431" s="425"/>
      <c r="J431" s="425"/>
      <c r="K431" s="425"/>
    </row>
    <row r="432" spans="1:11" ht="15">
      <c r="A432" s="217" t="s">
        <v>39</v>
      </c>
      <c r="B432" s="217" t="s">
        <v>1744</v>
      </c>
      <c r="C432" s="217" t="s">
        <v>695</v>
      </c>
      <c r="D432" s="216">
        <v>81</v>
      </c>
      <c r="E432" s="216" t="str">
        <f>VLOOKUP(B432,Tutti!$B$2:$C$598,2,FALSE)</f>
        <v>ROM</v>
      </c>
      <c r="F432" t="b">
        <f t="shared" si="12"/>
        <v>1</v>
      </c>
      <c r="G432" s="183" t="str">
        <f t="shared" si="13"/>
        <v>ROM</v>
      </c>
      <c r="I432" s="425"/>
      <c r="J432" s="425"/>
      <c r="K432" s="425"/>
    </row>
    <row r="433" spans="1:11" ht="15">
      <c r="A433" s="217" t="s">
        <v>39</v>
      </c>
      <c r="B433" s="217" t="s">
        <v>619</v>
      </c>
      <c r="C433" s="217" t="s">
        <v>687</v>
      </c>
      <c r="D433" s="216">
        <v>68</v>
      </c>
      <c r="E433" s="216" t="str">
        <f>VLOOKUP(B433,Tutti!$B$2:$C$598,2,FALSE)</f>
        <v>TOR</v>
      </c>
      <c r="F433" t="b">
        <f t="shared" si="12"/>
        <v>1</v>
      </c>
      <c r="G433" s="183" t="str">
        <f t="shared" si="13"/>
        <v>TOR</v>
      </c>
      <c r="I433" s="425"/>
      <c r="J433" s="425"/>
      <c r="K433" s="425"/>
    </row>
    <row r="434" spans="1:11" ht="15">
      <c r="A434" s="217" t="s">
        <v>1943</v>
      </c>
      <c r="B434" s="217" t="s">
        <v>1805</v>
      </c>
      <c r="C434" s="217" t="s">
        <v>691</v>
      </c>
      <c r="D434" s="216">
        <v>50</v>
      </c>
      <c r="E434" s="216" t="str">
        <f>VLOOKUP(B434,Tutti!$B$2:$C$598,2,FALSE)</f>
        <v>BOL</v>
      </c>
      <c r="F434" t="b">
        <f t="shared" si="12"/>
        <v>1</v>
      </c>
      <c r="G434" s="183" t="str">
        <f t="shared" si="13"/>
        <v>BOL</v>
      </c>
      <c r="I434" s="425"/>
      <c r="J434" s="425"/>
      <c r="K434" s="425"/>
    </row>
    <row r="435" spans="1:11" ht="15">
      <c r="A435" s="217" t="s">
        <v>39</v>
      </c>
      <c r="B435" s="217" t="s">
        <v>1757</v>
      </c>
      <c r="C435" s="217" t="s">
        <v>1674</v>
      </c>
      <c r="D435" s="216">
        <v>64</v>
      </c>
      <c r="E435" s="216" t="str">
        <f>VLOOKUP(B435,Tutti!$B$2:$C$598,2,FALSE)</f>
        <v>VER</v>
      </c>
      <c r="F435" t="b">
        <f t="shared" si="12"/>
        <v>1</v>
      </c>
      <c r="G435" s="183" t="str">
        <f t="shared" si="13"/>
        <v>VER</v>
      </c>
      <c r="I435" s="425"/>
      <c r="J435" s="425"/>
      <c r="K435" s="425"/>
    </row>
    <row r="436" spans="1:11" ht="15">
      <c r="A436" s="217" t="s">
        <v>39</v>
      </c>
      <c r="B436" s="217" t="s">
        <v>620</v>
      </c>
      <c r="C436" s="217" t="s">
        <v>677</v>
      </c>
      <c r="D436" s="216">
        <v>75</v>
      </c>
      <c r="E436" s="216" t="str">
        <f>VLOOKUP(B436,Tutti!$B$2:$C$598,2,FALSE)</f>
        <v>INT</v>
      </c>
      <c r="F436" t="b">
        <f t="shared" si="12"/>
        <v>1</v>
      </c>
      <c r="G436" s="183" t="str">
        <f t="shared" si="13"/>
        <v>INT</v>
      </c>
      <c r="I436" s="425"/>
      <c r="J436" s="425"/>
      <c r="K436" s="425"/>
    </row>
    <row r="437" spans="1:11" ht="15">
      <c r="A437" s="217" t="s">
        <v>39</v>
      </c>
      <c r="B437" s="217" t="s">
        <v>621</v>
      </c>
      <c r="C437" s="217" t="s">
        <v>691</v>
      </c>
      <c r="D437" s="216">
        <v>91</v>
      </c>
      <c r="E437" s="216" t="str">
        <f>VLOOKUP(B437,Tutti!$B$2:$C$598,2,FALSE)</f>
        <v>BOL</v>
      </c>
      <c r="F437" t="b">
        <f t="shared" si="12"/>
        <v>1</v>
      </c>
      <c r="G437" s="183" t="str">
        <f t="shared" si="13"/>
        <v>BOL</v>
      </c>
      <c r="I437" s="425"/>
      <c r="J437" s="425"/>
      <c r="K437" s="425"/>
    </row>
    <row r="438" spans="1:11" ht="15">
      <c r="A438" s="217" t="s">
        <v>39</v>
      </c>
      <c r="B438" s="217" t="s">
        <v>1737</v>
      </c>
      <c r="C438" s="217" t="s">
        <v>692</v>
      </c>
      <c r="D438" s="216">
        <v>73</v>
      </c>
      <c r="E438" s="216" t="str">
        <f>VLOOKUP(B438,Tutti!$B$2:$C$598,2,FALSE)</f>
        <v>FIO</v>
      </c>
      <c r="F438" t="b">
        <f t="shared" si="12"/>
        <v>1</v>
      </c>
      <c r="G438" s="183" t="str">
        <f t="shared" si="13"/>
        <v>FIO</v>
      </c>
      <c r="I438" s="425"/>
      <c r="J438" s="425"/>
      <c r="K438" s="425"/>
    </row>
    <row r="439" spans="1:11" ht="15">
      <c r="A439" s="217" t="s">
        <v>39</v>
      </c>
      <c r="B439" s="217" t="s">
        <v>622</v>
      </c>
      <c r="C439" s="217" t="s">
        <v>688</v>
      </c>
      <c r="D439" s="216">
        <v>68</v>
      </c>
      <c r="E439" s="216" t="str">
        <f>VLOOKUP(B439,Tutti!$B$2:$C$598,2,FALSE)</f>
        <v>SAM</v>
      </c>
      <c r="F439" t="b">
        <f t="shared" si="12"/>
        <v>1</v>
      </c>
      <c r="G439" s="183" t="str">
        <f t="shared" si="13"/>
        <v>SAM</v>
      </c>
      <c r="I439" s="425"/>
      <c r="J439" s="425"/>
      <c r="K439" s="425"/>
    </row>
    <row r="440" spans="1:11" ht="15">
      <c r="A440" s="217" t="s">
        <v>39</v>
      </c>
      <c r="B440" s="217" t="s">
        <v>1743</v>
      </c>
      <c r="C440" s="217" t="s">
        <v>1672</v>
      </c>
      <c r="D440" s="216">
        <v>63</v>
      </c>
      <c r="E440" s="216" t="str">
        <f>VLOOKUP(B440,Tutti!$B$2:$C$598,2,FALSE)</f>
        <v>BEN</v>
      </c>
      <c r="F440" t="b">
        <f t="shared" si="12"/>
        <v>1</v>
      </c>
      <c r="G440" s="183" t="str">
        <f t="shared" si="13"/>
        <v>BEN</v>
      </c>
      <c r="I440" s="425"/>
      <c r="J440" s="425"/>
      <c r="K440" s="425"/>
    </row>
    <row r="441" spans="1:11" ht="15">
      <c r="A441" s="217" t="s">
        <v>39</v>
      </c>
      <c r="B441" s="217" t="s">
        <v>1993</v>
      </c>
      <c r="C441" s="217" t="s">
        <v>1673</v>
      </c>
      <c r="D441" s="216">
        <v>55</v>
      </c>
      <c r="E441" s="216" t="str">
        <f>VLOOKUP(B441,Tutti!$B$2:$C$598,2,FALSE)</f>
        <v>SPA</v>
      </c>
      <c r="F441" t="b">
        <f t="shared" si="12"/>
        <v>1</v>
      </c>
      <c r="G441" s="183" t="str">
        <f t="shared" si="13"/>
        <v>SPA</v>
      </c>
      <c r="I441" s="425"/>
      <c r="J441" s="425"/>
      <c r="K441" s="425"/>
    </row>
    <row r="442" spans="1:11" ht="15">
      <c r="A442" s="217" t="s">
        <v>39</v>
      </c>
      <c r="B442" s="217" t="s">
        <v>1344</v>
      </c>
      <c r="C442" s="217" t="s">
        <v>1477</v>
      </c>
      <c r="D442" s="216">
        <v>74</v>
      </c>
      <c r="E442" s="216" t="str">
        <f>VLOOKUP(B442,Tutti!$B$2:$C$598,2,FALSE)</f>
        <v>SPA</v>
      </c>
      <c r="F442" t="b">
        <f t="shared" si="12"/>
        <v>1</v>
      </c>
      <c r="G442" s="183" t="str">
        <f t="shared" si="13"/>
        <v>SPA</v>
      </c>
      <c r="I442" s="425"/>
      <c r="J442" s="425"/>
      <c r="K442" s="425"/>
    </row>
    <row r="443" spans="1:11" ht="15">
      <c r="A443" s="217" t="s">
        <v>39</v>
      </c>
      <c r="B443" s="217" t="s">
        <v>1758</v>
      </c>
      <c r="C443" s="217" t="s">
        <v>1674</v>
      </c>
      <c r="D443" s="216">
        <v>58</v>
      </c>
      <c r="E443" s="216" t="str">
        <f>VLOOKUP(B443,Tutti!$B$2:$C$598,2,FALSE)</f>
        <v>VER</v>
      </c>
      <c r="F443" t="b">
        <f t="shared" si="12"/>
        <v>1</v>
      </c>
      <c r="G443" s="183" t="str">
        <f t="shared" si="13"/>
        <v>VER</v>
      </c>
      <c r="I443" s="425"/>
      <c r="J443" s="425"/>
      <c r="K443" s="425"/>
    </row>
    <row r="444" spans="1:11" ht="15">
      <c r="A444" s="217" t="s">
        <v>39</v>
      </c>
      <c r="B444" s="217" t="s">
        <v>1958</v>
      </c>
      <c r="C444" s="217" t="s">
        <v>678</v>
      </c>
      <c r="D444" s="216">
        <v>50</v>
      </c>
      <c r="E444" s="216" t="str">
        <f>VLOOKUP(B444,Tutti!$B$2:$C$598,2,FALSE)</f>
        <v>MIL</v>
      </c>
      <c r="F444" t="b">
        <f t="shared" si="12"/>
        <v>1</v>
      </c>
      <c r="G444" s="183" t="str">
        <f t="shared" si="13"/>
        <v>MIL</v>
      </c>
      <c r="I444" s="425"/>
      <c r="J444" s="425"/>
      <c r="K444" s="425"/>
    </row>
    <row r="445" spans="1:11" ht="15">
      <c r="A445" s="217" t="s">
        <v>39</v>
      </c>
      <c r="B445" s="217" t="s">
        <v>624</v>
      </c>
      <c r="C445" s="217" t="s">
        <v>681</v>
      </c>
      <c r="D445" s="216">
        <v>86</v>
      </c>
      <c r="E445" s="216" t="str">
        <f>VLOOKUP(B445,Tutti!$B$2:$C$598,2,FALSE)</f>
        <v>NAP</v>
      </c>
      <c r="F445" t="b">
        <f t="shared" si="12"/>
        <v>1</v>
      </c>
      <c r="G445" s="183" t="str">
        <f t="shared" si="13"/>
        <v>NAP</v>
      </c>
      <c r="I445" s="425"/>
      <c r="J445" s="425"/>
      <c r="K445" s="425"/>
    </row>
    <row r="446" spans="1:11" ht="15">
      <c r="A446" s="217" t="s">
        <v>39</v>
      </c>
      <c r="B446" s="217" t="s">
        <v>1859</v>
      </c>
      <c r="C446" s="217" t="s">
        <v>1674</v>
      </c>
      <c r="D446" s="216">
        <v>65</v>
      </c>
      <c r="E446" s="216" t="str">
        <f>VLOOKUP(B446,Tutti!$B$2:$C$598,2,FALSE)</f>
        <v>VER</v>
      </c>
      <c r="F446" t="b">
        <f t="shared" si="12"/>
        <v>1</v>
      </c>
      <c r="G446" s="183" t="str">
        <f t="shared" si="13"/>
        <v>VER</v>
      </c>
      <c r="I446" s="425"/>
      <c r="J446" s="425"/>
      <c r="K446" s="425"/>
    </row>
    <row r="447" spans="1:11" ht="15">
      <c r="A447" s="217" t="s">
        <v>39</v>
      </c>
      <c r="B447" s="217" t="s">
        <v>1860</v>
      </c>
      <c r="C447" s="217" t="s">
        <v>1674</v>
      </c>
      <c r="D447" s="216">
        <v>30</v>
      </c>
      <c r="E447" s="216" t="str">
        <f>VLOOKUP(B447,Tutti!$B$2:$C$598,2,FALSE)</f>
        <v>VER</v>
      </c>
      <c r="F447" t="b">
        <f t="shared" si="12"/>
        <v>1</v>
      </c>
      <c r="G447" s="183" t="str">
        <f t="shared" si="13"/>
        <v>VER</v>
      </c>
      <c r="I447" s="425"/>
      <c r="J447" s="425"/>
      <c r="K447" s="425"/>
    </row>
    <row r="448" spans="1:11" ht="15">
      <c r="A448" s="217" t="s">
        <v>43</v>
      </c>
      <c r="B448" s="217" t="s">
        <v>1797</v>
      </c>
      <c r="C448" s="217" t="s">
        <v>701</v>
      </c>
      <c r="D448" s="216">
        <v>57</v>
      </c>
      <c r="E448" s="216" t="str">
        <f>VLOOKUP(B448,Tutti!$B$2:$C$598,2,FALSE)</f>
        <v>CRO</v>
      </c>
      <c r="F448" t="b">
        <f t="shared" si="12"/>
        <v>1</v>
      </c>
      <c r="G448" s="183" t="str">
        <f t="shared" si="13"/>
        <v>CRO</v>
      </c>
      <c r="I448" s="425"/>
      <c r="J448" s="425"/>
      <c r="K448" s="425"/>
    </row>
    <row r="449" spans="1:11" ht="15">
      <c r="A449" s="217" t="s">
        <v>43</v>
      </c>
      <c r="B449" s="217" t="s">
        <v>1778</v>
      </c>
      <c r="C449" s="217" t="s">
        <v>678</v>
      </c>
      <c r="D449" s="216">
        <v>80</v>
      </c>
      <c r="E449" s="216" t="str">
        <f>VLOOKUP(B449,Tutti!$B$2:$C$598,2,FALSE)</f>
        <v>MIL</v>
      </c>
      <c r="F449" t="b">
        <f t="shared" si="12"/>
        <v>1</v>
      </c>
      <c r="G449" s="183" t="str">
        <f t="shared" si="13"/>
        <v>MIL</v>
      </c>
      <c r="I449" s="425"/>
      <c r="J449" s="425"/>
      <c r="K449" s="425"/>
    </row>
    <row r="450" spans="1:11" ht="15">
      <c r="A450" s="217" t="s">
        <v>43</v>
      </c>
      <c r="B450" s="217" t="s">
        <v>1777</v>
      </c>
      <c r="C450" s="217" t="s">
        <v>1477</v>
      </c>
      <c r="D450" s="216">
        <v>72</v>
      </c>
      <c r="E450" s="216" t="str">
        <f>VLOOKUP(B450,Tutti!$B$2:$C$598,2,FALSE)</f>
        <v>SPA</v>
      </c>
      <c r="F450" t="b">
        <f t="shared" ref="F450:F513" si="14">E450=MID(C450,1,3)</f>
        <v>1</v>
      </c>
      <c r="G450" s="183" t="str">
        <f t="shared" ref="G450:G513" si="15">UPPER(MID(C450,1,3))</f>
        <v>SPA</v>
      </c>
      <c r="I450" s="425"/>
      <c r="J450" s="425"/>
      <c r="K450" s="425"/>
    </row>
    <row r="451" spans="1:11" ht="15">
      <c r="A451" s="217" t="s">
        <v>43</v>
      </c>
      <c r="B451" s="217" t="s">
        <v>1980</v>
      </c>
      <c r="C451" s="217" t="s">
        <v>1672</v>
      </c>
      <c r="D451" s="216">
        <v>77</v>
      </c>
      <c r="E451" s="216" t="str">
        <f>VLOOKUP(B451,Tutti!$B$2:$C$600,2,FALSE)</f>
        <v>BEN</v>
      </c>
      <c r="F451" t="b">
        <f t="shared" si="14"/>
        <v>1</v>
      </c>
      <c r="G451" s="183" t="str">
        <f t="shared" si="15"/>
        <v>BEN</v>
      </c>
      <c r="I451" s="425"/>
      <c r="J451" s="425"/>
      <c r="K451" s="425"/>
    </row>
    <row r="452" spans="1:11" ht="15">
      <c r="A452" s="217" t="s">
        <v>43</v>
      </c>
      <c r="B452" s="217" t="s">
        <v>303</v>
      </c>
      <c r="C452" s="217" t="s">
        <v>692</v>
      </c>
      <c r="D452" s="216">
        <v>78</v>
      </c>
      <c r="E452" s="216" t="str">
        <f>VLOOKUP(B452,Tutti!$B$2:$C$598,2,FALSE)</f>
        <v>FIO</v>
      </c>
      <c r="F452" t="b">
        <f t="shared" si="14"/>
        <v>1</v>
      </c>
      <c r="G452" s="183" t="str">
        <f t="shared" si="15"/>
        <v>FIO</v>
      </c>
      <c r="I452" s="425"/>
      <c r="J452" s="425"/>
      <c r="K452" s="425"/>
    </row>
    <row r="453" spans="1:11" ht="15">
      <c r="A453" s="217" t="s">
        <v>43</v>
      </c>
      <c r="B453" s="217" t="s">
        <v>1810</v>
      </c>
      <c r="C453" s="217" t="s">
        <v>684</v>
      </c>
      <c r="D453" s="216">
        <v>73</v>
      </c>
      <c r="E453" s="216" t="str">
        <f>VLOOKUP(B453,Tutti!$B$2:$C$598,2,FALSE)</f>
        <v>UDI</v>
      </c>
      <c r="F453" t="b">
        <f t="shared" si="14"/>
        <v>1</v>
      </c>
      <c r="G453" s="183" t="str">
        <f t="shared" si="15"/>
        <v>UDI</v>
      </c>
      <c r="I453" s="425"/>
      <c r="J453" s="425"/>
      <c r="K453" s="425"/>
    </row>
    <row r="454" spans="1:11" ht="15">
      <c r="A454" s="217" t="s">
        <v>43</v>
      </c>
      <c r="B454" s="217" t="s">
        <v>310</v>
      </c>
      <c r="C454" s="217" t="s">
        <v>687</v>
      </c>
      <c r="D454" s="216">
        <v>96</v>
      </c>
      <c r="E454" s="216" t="str">
        <f>VLOOKUP(B454,Tutti!$B$2:$C$598,2,FALSE)</f>
        <v>TOR</v>
      </c>
      <c r="F454" t="b">
        <f t="shared" si="14"/>
        <v>1</v>
      </c>
      <c r="G454" s="183" t="str">
        <f t="shared" si="15"/>
        <v>TOR</v>
      </c>
      <c r="I454" s="425"/>
      <c r="J454" s="425"/>
      <c r="K454" s="425"/>
    </row>
    <row r="455" spans="1:11" ht="15">
      <c r="A455" s="217" t="s">
        <v>43</v>
      </c>
      <c r="B455" s="217" t="s">
        <v>315</v>
      </c>
      <c r="C455" s="217" t="s">
        <v>685</v>
      </c>
      <c r="D455" s="216">
        <v>81</v>
      </c>
      <c r="E455" s="216" t="str">
        <f>VLOOKUP(B455,Tutti!$B$2:$C$598,2,FALSE)</f>
        <v>SAS</v>
      </c>
      <c r="F455" t="b">
        <f t="shared" si="14"/>
        <v>1</v>
      </c>
      <c r="G455" s="183" t="str">
        <f t="shared" si="15"/>
        <v>SAS</v>
      </c>
      <c r="I455" s="425"/>
      <c r="J455" s="425"/>
      <c r="K455" s="425"/>
    </row>
    <row r="456" spans="1:11" ht="15">
      <c r="A456" s="217" t="s">
        <v>43</v>
      </c>
      <c r="B456" s="217" t="s">
        <v>1801</v>
      </c>
      <c r="C456" s="217" t="s">
        <v>688</v>
      </c>
      <c r="D456" s="216">
        <v>59</v>
      </c>
      <c r="E456" s="216" t="str">
        <f>VLOOKUP(B456,Tutti!$B$2:$C$598,2,FALSE)</f>
        <v>SAM</v>
      </c>
      <c r="F456" t="b">
        <f t="shared" si="14"/>
        <v>1</v>
      </c>
      <c r="G456" s="183" t="str">
        <f t="shared" si="15"/>
        <v>SAM</v>
      </c>
      <c r="I456" s="425"/>
      <c r="J456" s="425"/>
      <c r="K456" s="425"/>
    </row>
    <row r="457" spans="1:11" ht="15">
      <c r="A457" s="217" t="s">
        <v>43</v>
      </c>
      <c r="B457" s="217" t="s">
        <v>1783</v>
      </c>
      <c r="C457" s="217" t="s">
        <v>678</v>
      </c>
      <c r="D457" s="216">
        <v>69</v>
      </c>
      <c r="E457" s="216" t="str">
        <f>VLOOKUP(B457,Tutti!$B$2:$C$598,2,FALSE)</f>
        <v>MIL</v>
      </c>
      <c r="F457" t="b">
        <f t="shared" si="14"/>
        <v>1</v>
      </c>
      <c r="G457" s="183" t="str">
        <f t="shared" si="15"/>
        <v>MIL</v>
      </c>
      <c r="I457" s="425"/>
      <c r="J457" s="425"/>
      <c r="K457" s="425"/>
    </row>
    <row r="458" spans="1:11" ht="15">
      <c r="A458" s="217" t="s">
        <v>43</v>
      </c>
      <c r="B458" s="217" t="s">
        <v>319</v>
      </c>
      <c r="C458" s="217" t="s">
        <v>1477</v>
      </c>
      <c r="D458" s="216">
        <v>84</v>
      </c>
      <c r="E458" s="216" t="str">
        <f>VLOOKUP(B458,Tutti!$B$2:$C$598,2,FALSE)</f>
        <v>SPA</v>
      </c>
      <c r="F458" t="b">
        <f t="shared" si="14"/>
        <v>1</v>
      </c>
      <c r="G458" s="183" t="str">
        <f t="shared" si="15"/>
        <v>SPA</v>
      </c>
      <c r="I458" s="425"/>
      <c r="J458" s="425"/>
      <c r="K458" s="425"/>
    </row>
    <row r="459" spans="1:11" ht="15">
      <c r="A459" s="217" t="s">
        <v>43</v>
      </c>
      <c r="B459" s="217" t="s">
        <v>1292</v>
      </c>
      <c r="C459" s="217" t="s">
        <v>687</v>
      </c>
      <c r="D459" s="216">
        <v>70</v>
      </c>
      <c r="E459" s="216" t="str">
        <f>VLOOKUP(B459,Tutti!$B$2:$C$598,2,FALSE)</f>
        <v>TOR</v>
      </c>
      <c r="F459" t="b">
        <f t="shared" si="14"/>
        <v>1</v>
      </c>
      <c r="G459" s="183" t="str">
        <f t="shared" si="15"/>
        <v>TOR</v>
      </c>
      <c r="I459" s="425"/>
      <c r="J459" s="425"/>
      <c r="K459" s="425"/>
    </row>
    <row r="460" spans="1:11" ht="15">
      <c r="A460" s="217" t="s">
        <v>43</v>
      </c>
      <c r="B460" s="217" t="s">
        <v>1959</v>
      </c>
      <c r="C460" s="217" t="s">
        <v>1672</v>
      </c>
      <c r="D460" s="216">
        <v>45</v>
      </c>
      <c r="E460" s="216" t="str">
        <f>VLOOKUP(B460,Tutti!$B$2:$C$598,2,FALSE)</f>
        <v>BEN</v>
      </c>
      <c r="F460" t="b">
        <f t="shared" si="14"/>
        <v>1</v>
      </c>
      <c r="G460" s="183" t="str">
        <f t="shared" si="15"/>
        <v>BEN</v>
      </c>
      <c r="I460" s="425"/>
      <c r="J460" s="425"/>
      <c r="K460" s="425"/>
    </row>
    <row r="461" spans="1:11" ht="15">
      <c r="A461" s="217" t="s">
        <v>43</v>
      </c>
      <c r="B461" s="217" t="s">
        <v>324</v>
      </c>
      <c r="C461" s="217" t="s">
        <v>701</v>
      </c>
      <c r="D461" s="216">
        <v>75</v>
      </c>
      <c r="E461" s="216" t="str">
        <f>VLOOKUP(B461,Tutti!$B$2:$C$598,2,FALSE)</f>
        <v>CRO</v>
      </c>
      <c r="F461" t="b">
        <f t="shared" si="14"/>
        <v>1</v>
      </c>
      <c r="G461" s="183" t="str">
        <f t="shared" si="15"/>
        <v>CRO</v>
      </c>
      <c r="I461" s="425"/>
      <c r="J461" s="425"/>
      <c r="K461" s="425"/>
    </row>
    <row r="462" spans="1:11" ht="15">
      <c r="A462" s="217" t="s">
        <v>43</v>
      </c>
      <c r="B462" s="217" t="s">
        <v>1796</v>
      </c>
      <c r="C462" s="217" t="s">
        <v>682</v>
      </c>
      <c r="D462" s="216">
        <v>63</v>
      </c>
      <c r="E462" s="216" t="str">
        <f>VLOOKUP(B462,Tutti!$B$2:$C$598,2,FALSE)</f>
        <v>LAZ</v>
      </c>
      <c r="F462" t="b">
        <f t="shared" si="14"/>
        <v>1</v>
      </c>
      <c r="G462" s="183" t="str">
        <f t="shared" si="15"/>
        <v>LAZ</v>
      </c>
      <c r="I462" s="425"/>
      <c r="J462" s="425"/>
      <c r="K462" s="425"/>
    </row>
    <row r="463" spans="1:11" ht="15">
      <c r="A463" s="217" t="s">
        <v>43</v>
      </c>
      <c r="B463" s="217" t="s">
        <v>328</v>
      </c>
      <c r="C463" s="217" t="s">
        <v>681</v>
      </c>
      <c r="D463" s="216">
        <v>88</v>
      </c>
      <c r="E463" s="216" t="str">
        <f>VLOOKUP(B463,Tutti!$B$2:$C$598,2,FALSE)</f>
        <v>NAP</v>
      </c>
      <c r="F463" t="b">
        <f t="shared" si="14"/>
        <v>1</v>
      </c>
      <c r="G463" s="183" t="str">
        <f t="shared" si="15"/>
        <v>NAP</v>
      </c>
      <c r="I463" s="425"/>
      <c r="J463" s="425"/>
      <c r="K463" s="425"/>
    </row>
    <row r="464" spans="1:11" ht="15">
      <c r="A464" s="217" t="s">
        <v>43</v>
      </c>
      <c r="B464" s="217" t="s">
        <v>331</v>
      </c>
      <c r="C464" s="217" t="s">
        <v>688</v>
      </c>
      <c r="D464" s="216">
        <v>78</v>
      </c>
      <c r="E464" s="216" t="str">
        <f>VLOOKUP(B464,Tutti!$B$2:$C$598,2,FALSE)</f>
        <v>SAM</v>
      </c>
      <c r="F464" t="b">
        <f t="shared" si="14"/>
        <v>1</v>
      </c>
      <c r="G464" s="183" t="str">
        <f t="shared" si="15"/>
        <v>SAM</v>
      </c>
      <c r="I464" s="425"/>
      <c r="J464" s="425"/>
      <c r="K464" s="425"/>
    </row>
    <row r="465" spans="1:11" ht="15">
      <c r="A465" s="217" t="s">
        <v>43</v>
      </c>
      <c r="B465" s="217" t="s">
        <v>1787</v>
      </c>
      <c r="C465" s="217" t="s">
        <v>1672</v>
      </c>
      <c r="D465" s="216">
        <v>72</v>
      </c>
      <c r="E465" s="216" t="e">
        <f>VLOOKUP(B465,Tutti!$B$2:$C$598,2,FALSE)</f>
        <v>#N/A</v>
      </c>
      <c r="F465" t="e">
        <f t="shared" si="14"/>
        <v>#N/A</v>
      </c>
      <c r="G465" s="183" t="str">
        <f t="shared" si="15"/>
        <v>BEN</v>
      </c>
      <c r="I465" s="425"/>
      <c r="J465" s="425"/>
      <c r="K465" s="425"/>
    </row>
    <row r="466" spans="1:11" ht="15">
      <c r="A466" s="217" t="s">
        <v>43</v>
      </c>
      <c r="B466" s="217" t="s">
        <v>1785</v>
      </c>
      <c r="C466" s="217" t="s">
        <v>1674</v>
      </c>
      <c r="D466" s="216">
        <v>74</v>
      </c>
      <c r="E466" s="216" t="str">
        <f>VLOOKUP(B466,Tutti!$B$2:$C$598,2,FALSE)</f>
        <v>VER</v>
      </c>
      <c r="F466" t="b">
        <f t="shared" si="14"/>
        <v>1</v>
      </c>
      <c r="G466" s="183" t="str">
        <f t="shared" si="15"/>
        <v>VER</v>
      </c>
      <c r="I466" s="425"/>
      <c r="J466" s="425"/>
      <c r="K466" s="425"/>
    </row>
    <row r="467" spans="1:11" ht="15">
      <c r="A467" s="217" t="s">
        <v>43</v>
      </c>
      <c r="B467" s="217" t="s">
        <v>1855</v>
      </c>
      <c r="C467" s="217" t="s">
        <v>1672</v>
      </c>
      <c r="D467" s="216">
        <v>65</v>
      </c>
      <c r="E467" s="216" t="str">
        <f>VLOOKUP(B467,Tutti!$B$2:$C$598,2,FALSE)</f>
        <v>BEN</v>
      </c>
      <c r="F467" t="b">
        <f t="shared" si="14"/>
        <v>1</v>
      </c>
      <c r="G467" s="183" t="str">
        <f t="shared" si="15"/>
        <v>BEN</v>
      </c>
      <c r="I467" s="425"/>
      <c r="J467" s="425"/>
      <c r="K467" s="425"/>
    </row>
    <row r="468" spans="1:11" ht="15">
      <c r="A468" s="217" t="s">
        <v>43</v>
      </c>
      <c r="B468" s="217" t="s">
        <v>1853</v>
      </c>
      <c r="C468" s="217" t="s">
        <v>1672</v>
      </c>
      <c r="D468" s="216">
        <v>72</v>
      </c>
      <c r="E468" s="216" t="str">
        <f>VLOOKUP(B468,Tutti!$B$2:$C$598,2,FALSE)</f>
        <v>BEN</v>
      </c>
      <c r="F468" t="b">
        <f t="shared" si="14"/>
        <v>1</v>
      </c>
      <c r="G468" s="183" t="str">
        <f t="shared" si="15"/>
        <v>BEN</v>
      </c>
      <c r="I468" s="425"/>
      <c r="J468" s="425"/>
      <c r="K468" s="425"/>
    </row>
    <row r="469" spans="1:11" ht="15">
      <c r="A469" s="217" t="s">
        <v>43</v>
      </c>
      <c r="B469" s="217" t="s">
        <v>1803</v>
      </c>
      <c r="C469" s="217" t="s">
        <v>700</v>
      </c>
      <c r="D469" s="216">
        <v>50</v>
      </c>
      <c r="E469" s="216" t="str">
        <f>VLOOKUP(B469,Tutti!$B$2:$C$598,2,FALSE)</f>
        <v>CAG</v>
      </c>
      <c r="F469" t="b">
        <f t="shared" si="14"/>
        <v>1</v>
      </c>
      <c r="G469" s="183" t="str">
        <f t="shared" si="15"/>
        <v>CAG</v>
      </c>
      <c r="I469" s="425"/>
      <c r="J469" s="425"/>
      <c r="K469" s="425"/>
    </row>
    <row r="470" spans="1:11" ht="15">
      <c r="A470" s="217" t="s">
        <v>43</v>
      </c>
      <c r="B470" s="217" t="s">
        <v>1781</v>
      </c>
      <c r="C470" s="217" t="s">
        <v>686</v>
      </c>
      <c r="D470" s="216">
        <v>72</v>
      </c>
      <c r="E470" s="216" t="str">
        <f>VLOOKUP(B470,Tutti!$B$2:$C$598,2,FALSE)</f>
        <v>ATA</v>
      </c>
      <c r="F470" t="b">
        <f t="shared" si="14"/>
        <v>1</v>
      </c>
      <c r="G470" s="183" t="str">
        <f t="shared" si="15"/>
        <v>ATA</v>
      </c>
      <c r="I470" s="425"/>
      <c r="J470" s="425"/>
      <c r="K470" s="425"/>
    </row>
    <row r="471" spans="1:11" ht="15">
      <c r="A471" s="217" t="s">
        <v>43</v>
      </c>
      <c r="B471" s="217" t="s">
        <v>1782</v>
      </c>
      <c r="C471" s="217" t="s">
        <v>678</v>
      </c>
      <c r="D471" s="216">
        <v>69</v>
      </c>
      <c r="E471" s="216" t="str">
        <f>VLOOKUP(B471,Tutti!$B$2:$C$598,2,FALSE)</f>
        <v>MIL</v>
      </c>
      <c r="F471" t="b">
        <f t="shared" si="14"/>
        <v>1</v>
      </c>
      <c r="G471" s="183" t="str">
        <f t="shared" si="15"/>
        <v>MIL</v>
      </c>
      <c r="I471" s="425"/>
      <c r="J471" s="425"/>
      <c r="K471" s="425"/>
    </row>
    <row r="472" spans="1:11" ht="15">
      <c r="A472" s="217" t="s">
        <v>43</v>
      </c>
      <c r="B472" s="217" t="s">
        <v>341</v>
      </c>
      <c r="C472" s="217" t="s">
        <v>695</v>
      </c>
      <c r="D472" s="216">
        <v>77</v>
      </c>
      <c r="E472" s="216" t="str">
        <f>VLOOKUP(B472,Tutti!$B$2:$C$598,2,FALSE)</f>
        <v>ROM</v>
      </c>
      <c r="F472" t="b">
        <f t="shared" si="14"/>
        <v>1</v>
      </c>
      <c r="G472" s="183" t="str">
        <f t="shared" si="15"/>
        <v>ROM</v>
      </c>
      <c r="I472" s="425"/>
      <c r="J472" s="425"/>
      <c r="K472" s="425"/>
    </row>
    <row r="473" spans="1:11" ht="15">
      <c r="A473" s="217" t="s">
        <v>43</v>
      </c>
      <c r="B473" s="217" t="s">
        <v>344</v>
      </c>
      <c r="C473" s="217" t="s">
        <v>691</v>
      </c>
      <c r="D473" s="216">
        <v>79</v>
      </c>
      <c r="E473" s="216" t="str">
        <f>VLOOKUP(B473,Tutti!$B$2:$C$598,2,FALSE)</f>
        <v>BOL</v>
      </c>
      <c r="F473" t="b">
        <f t="shared" si="14"/>
        <v>1</v>
      </c>
      <c r="G473" s="183" t="str">
        <f t="shared" si="15"/>
        <v>BOL</v>
      </c>
      <c r="I473" s="425"/>
      <c r="J473" s="425"/>
      <c r="K473" s="425"/>
    </row>
    <row r="474" spans="1:11" ht="15">
      <c r="A474" s="217" t="s">
        <v>43</v>
      </c>
      <c r="B474" s="217" t="s">
        <v>347</v>
      </c>
      <c r="C474" s="217" t="s">
        <v>682</v>
      </c>
      <c r="D474" s="216">
        <v>68</v>
      </c>
      <c r="E474" s="216" t="str">
        <f>VLOOKUP(B474,Tutti!$B$2:$C$598,2,FALSE)</f>
        <v>LAZ</v>
      </c>
      <c r="F474" t="b">
        <f t="shared" si="14"/>
        <v>1</v>
      </c>
      <c r="G474" s="183" t="str">
        <f t="shared" si="15"/>
        <v>LAZ</v>
      </c>
      <c r="I474" s="425"/>
      <c r="J474" s="425"/>
      <c r="K474" s="425"/>
    </row>
    <row r="475" spans="1:11" ht="15">
      <c r="A475" s="217" t="s">
        <v>43</v>
      </c>
      <c r="B475" s="217" t="s">
        <v>355</v>
      </c>
      <c r="C475" s="217" t="s">
        <v>676</v>
      </c>
      <c r="D475" s="216">
        <v>93</v>
      </c>
      <c r="E475" s="216" t="str">
        <f>VLOOKUP(B475,Tutti!$B$2:$C$598,2,FALSE)</f>
        <v>JUV</v>
      </c>
      <c r="F475" t="b">
        <f t="shared" si="14"/>
        <v>1</v>
      </c>
      <c r="G475" s="183" t="str">
        <f t="shared" si="15"/>
        <v>JUV</v>
      </c>
      <c r="I475" s="425"/>
      <c r="J475" s="425"/>
      <c r="K475" s="425"/>
    </row>
    <row r="476" spans="1:11" ht="15">
      <c r="A476" s="217" t="s">
        <v>43</v>
      </c>
      <c r="B476" s="217" t="s">
        <v>358</v>
      </c>
      <c r="C476" s="217" t="s">
        <v>695</v>
      </c>
      <c r="D476" s="216">
        <v>96</v>
      </c>
      <c r="E476" s="216" t="str">
        <f>VLOOKUP(B476,Tutti!$B$2:$C$598,2,FALSE)</f>
        <v>ROM</v>
      </c>
      <c r="F476" t="b">
        <f t="shared" si="14"/>
        <v>1</v>
      </c>
      <c r="G476" s="183" t="str">
        <f t="shared" si="15"/>
        <v>ROM</v>
      </c>
      <c r="I476" s="425"/>
      <c r="J476" s="425"/>
      <c r="K476" s="425"/>
    </row>
    <row r="477" spans="1:11" ht="15">
      <c r="A477" s="217" t="s">
        <v>43</v>
      </c>
      <c r="B477" s="217" t="s">
        <v>362</v>
      </c>
      <c r="C477" s="217" t="s">
        <v>677</v>
      </c>
      <c r="D477" s="216">
        <v>75</v>
      </c>
      <c r="E477" s="216" t="str">
        <f>VLOOKUP(B477,Tutti!$B$2:$C$598,2,FALSE)</f>
        <v>INT</v>
      </c>
      <c r="F477" t="b">
        <f t="shared" si="14"/>
        <v>1</v>
      </c>
      <c r="G477" s="183" t="str">
        <f t="shared" si="15"/>
        <v>INT</v>
      </c>
      <c r="I477" s="425"/>
      <c r="J477" s="425"/>
      <c r="K477" s="425"/>
    </row>
    <row r="478" spans="1:11" ht="15">
      <c r="A478" s="217" t="s">
        <v>43</v>
      </c>
      <c r="B478" s="217" t="s">
        <v>1929</v>
      </c>
      <c r="C478" s="217" t="s">
        <v>687</v>
      </c>
      <c r="D478" s="216">
        <v>0</v>
      </c>
      <c r="E478" s="216" t="str">
        <f>VLOOKUP(B478,Tutti!$B$2:$C$598,2,FALSE)</f>
        <v>TOR</v>
      </c>
      <c r="F478" t="b">
        <f t="shared" si="14"/>
        <v>1</v>
      </c>
      <c r="G478" s="183" t="str">
        <f t="shared" si="15"/>
        <v>TOR</v>
      </c>
      <c r="I478" s="425"/>
      <c r="J478" s="425"/>
      <c r="K478" s="425"/>
    </row>
    <row r="479" spans="1:11" ht="15">
      <c r="A479" s="217" t="s">
        <v>43</v>
      </c>
      <c r="B479" s="217" t="s">
        <v>365</v>
      </c>
      <c r="C479" s="217" t="s">
        <v>695</v>
      </c>
      <c r="D479" s="216">
        <v>78</v>
      </c>
      <c r="E479" s="216" t="str">
        <f>VLOOKUP(B479,Tutti!$B$2:$C$598,2,FALSE)</f>
        <v>ROM</v>
      </c>
      <c r="F479" t="b">
        <f t="shared" si="14"/>
        <v>1</v>
      </c>
      <c r="G479" s="183" t="str">
        <f t="shared" si="15"/>
        <v>ROM</v>
      </c>
      <c r="I479" s="425"/>
      <c r="J479" s="425"/>
      <c r="K479" s="425"/>
    </row>
    <row r="480" spans="1:11" ht="15">
      <c r="A480" s="217" t="s">
        <v>43</v>
      </c>
      <c r="B480" s="217" t="s">
        <v>368</v>
      </c>
      <c r="C480" s="217" t="s">
        <v>684</v>
      </c>
      <c r="D480" s="216">
        <v>45</v>
      </c>
      <c r="E480" s="216" t="str">
        <f>VLOOKUP(B480,Tutti!$B$2:$C$598,2,FALSE)</f>
        <v>UDI</v>
      </c>
      <c r="F480" t="b">
        <f t="shared" si="14"/>
        <v>1</v>
      </c>
      <c r="G480" s="183" t="str">
        <f t="shared" si="15"/>
        <v>UDI</v>
      </c>
      <c r="I480" s="425"/>
      <c r="J480" s="425"/>
      <c r="K480" s="425"/>
    </row>
    <row r="481" spans="1:11" ht="15">
      <c r="A481" s="217" t="s">
        <v>43</v>
      </c>
      <c r="B481" s="217" t="s">
        <v>369</v>
      </c>
      <c r="C481" s="217" t="s">
        <v>685</v>
      </c>
      <c r="D481" s="216">
        <v>80</v>
      </c>
      <c r="E481" s="216" t="str">
        <f>VLOOKUP(B481,Tutti!$B$2:$C$598,2,FALSE)</f>
        <v>SAS</v>
      </c>
      <c r="F481" t="b">
        <f t="shared" si="14"/>
        <v>1</v>
      </c>
      <c r="G481" s="183" t="str">
        <f t="shared" si="15"/>
        <v>SAS</v>
      </c>
      <c r="I481" s="425"/>
      <c r="J481" s="425"/>
      <c r="K481" s="425"/>
    </row>
    <row r="482" spans="1:11" ht="15">
      <c r="A482" s="217" t="s">
        <v>43</v>
      </c>
      <c r="B482" s="217" t="s">
        <v>1809</v>
      </c>
      <c r="C482" s="217" t="s">
        <v>1674</v>
      </c>
      <c r="D482" s="216">
        <v>53</v>
      </c>
      <c r="E482" s="216" t="str">
        <f>VLOOKUP(B482,Tutti!$B$2:$C$598,2,FALSE)</f>
        <v>VER</v>
      </c>
      <c r="F482" t="b">
        <f t="shared" si="14"/>
        <v>1</v>
      </c>
      <c r="G482" s="183" t="str">
        <f t="shared" si="15"/>
        <v>VER</v>
      </c>
      <c r="I482" s="425"/>
      <c r="J482" s="425"/>
      <c r="K482" s="425"/>
    </row>
    <row r="483" spans="1:11" ht="15">
      <c r="A483" s="217" t="s">
        <v>43</v>
      </c>
      <c r="B483" s="217" t="s">
        <v>372</v>
      </c>
      <c r="C483" s="217" t="s">
        <v>700</v>
      </c>
      <c r="D483" s="216">
        <v>76</v>
      </c>
      <c r="E483" s="216" t="str">
        <f>VLOOKUP(B483,Tutti!$B$2:$C$598,2,FALSE)</f>
        <v>CAG</v>
      </c>
      <c r="F483" t="b">
        <f t="shared" si="14"/>
        <v>1</v>
      </c>
      <c r="G483" s="183" t="str">
        <f t="shared" si="15"/>
        <v>CAG</v>
      </c>
      <c r="I483" s="425"/>
      <c r="J483" s="425"/>
      <c r="K483" s="425"/>
    </row>
    <row r="484" spans="1:11" ht="15">
      <c r="A484" s="217" t="s">
        <v>43</v>
      </c>
      <c r="B484" s="217" t="s">
        <v>374</v>
      </c>
      <c r="C484" s="217" t="s">
        <v>1477</v>
      </c>
      <c r="D484" s="216">
        <v>72</v>
      </c>
      <c r="E484" s="216" t="str">
        <f>VLOOKUP(B484,Tutti!$B$2:$C$598,2,FALSE)</f>
        <v>SPA</v>
      </c>
      <c r="F484" t="b">
        <f t="shared" si="14"/>
        <v>1</v>
      </c>
      <c r="G484" s="183" t="str">
        <f t="shared" si="15"/>
        <v>SPA</v>
      </c>
      <c r="I484" s="425"/>
      <c r="J484" s="425"/>
      <c r="K484" s="425"/>
    </row>
    <row r="485" spans="1:11" ht="15">
      <c r="A485" s="217" t="s">
        <v>43</v>
      </c>
      <c r="B485" s="217" t="s">
        <v>1336</v>
      </c>
      <c r="C485" s="217" t="s">
        <v>677</v>
      </c>
      <c r="D485" s="216">
        <v>67</v>
      </c>
      <c r="E485" s="216" t="e">
        <f>VLOOKUP(B485,Tutti!$B$2:$C$598,2,FALSE)</f>
        <v>#N/A</v>
      </c>
      <c r="F485" t="e">
        <f t="shared" si="14"/>
        <v>#N/A</v>
      </c>
      <c r="G485" s="183" t="str">
        <f t="shared" si="15"/>
        <v>INT</v>
      </c>
      <c r="I485" s="425"/>
      <c r="J485" s="425"/>
      <c r="K485" s="425"/>
    </row>
    <row r="486" spans="1:11" ht="15">
      <c r="A486" s="217" t="s">
        <v>43</v>
      </c>
      <c r="B486" s="217" t="s">
        <v>465</v>
      </c>
      <c r="C486" s="217" t="s">
        <v>679</v>
      </c>
      <c r="D486" s="216">
        <v>63</v>
      </c>
      <c r="E486" s="216" t="e">
        <f>VLOOKUP(B486,Tutti!$B$2:$C$598,2,FALSE)</f>
        <v>#N/A</v>
      </c>
      <c r="F486" t="e">
        <f t="shared" si="14"/>
        <v>#N/A</v>
      </c>
      <c r="G486" s="183" t="str">
        <f t="shared" si="15"/>
        <v>GEN</v>
      </c>
      <c r="I486" s="425"/>
      <c r="J486" s="425"/>
      <c r="K486" s="425"/>
    </row>
    <row r="487" spans="1:11" ht="15">
      <c r="A487" s="217" t="s">
        <v>43</v>
      </c>
      <c r="B487" s="217" t="s">
        <v>1786</v>
      </c>
      <c r="C487" s="217" t="s">
        <v>679</v>
      </c>
      <c r="D487" s="216">
        <v>67</v>
      </c>
      <c r="E487" s="216" t="str">
        <f>VLOOKUP(B487,Tutti!$B$2:$C$598,2,FALSE)</f>
        <v>GEN</v>
      </c>
      <c r="F487" t="b">
        <f t="shared" si="14"/>
        <v>1</v>
      </c>
      <c r="G487" s="183" t="str">
        <f t="shared" si="15"/>
        <v>GEN</v>
      </c>
      <c r="I487" s="425"/>
      <c r="J487" s="425"/>
      <c r="K487" s="425"/>
    </row>
    <row r="488" spans="1:11" ht="15">
      <c r="A488" s="217" t="s">
        <v>43</v>
      </c>
      <c r="B488" s="217" t="s">
        <v>384</v>
      </c>
      <c r="C488" s="217" t="s">
        <v>700</v>
      </c>
      <c r="D488" s="216">
        <v>60</v>
      </c>
      <c r="E488" s="216" t="str">
        <f>VLOOKUP(B488,Tutti!$B$2:$C$598,2,FALSE)</f>
        <v>CAG</v>
      </c>
      <c r="F488" t="b">
        <f t="shared" si="14"/>
        <v>1</v>
      </c>
      <c r="G488" s="183" t="str">
        <f t="shared" si="15"/>
        <v>CAG</v>
      </c>
      <c r="I488" s="425"/>
      <c r="J488" s="425"/>
      <c r="K488" s="425"/>
    </row>
    <row r="489" spans="1:11" ht="15">
      <c r="A489" s="217" t="s">
        <v>43</v>
      </c>
      <c r="B489" s="217" t="s">
        <v>476</v>
      </c>
      <c r="C489" s="217" t="s">
        <v>686</v>
      </c>
      <c r="D489" s="216">
        <v>90</v>
      </c>
      <c r="E489" s="216" t="str">
        <f>VLOOKUP(B489,Tutti!$B$2:$C$598,2,FALSE)</f>
        <v>ATA</v>
      </c>
      <c r="F489" t="b">
        <f t="shared" si="14"/>
        <v>1</v>
      </c>
      <c r="G489" s="183" t="str">
        <f t="shared" si="15"/>
        <v>ATA</v>
      </c>
      <c r="I489" s="425"/>
      <c r="J489" s="425"/>
      <c r="K489" s="425"/>
    </row>
    <row r="490" spans="1:11" ht="15">
      <c r="A490" s="217" t="s">
        <v>43</v>
      </c>
      <c r="B490" s="217" t="s">
        <v>393</v>
      </c>
      <c r="C490" s="217" t="s">
        <v>676</v>
      </c>
      <c r="D490" s="216">
        <v>96</v>
      </c>
      <c r="E490" s="216" t="str">
        <f>VLOOKUP(B490,Tutti!$B$2:$C$598,2,FALSE)</f>
        <v>JUV</v>
      </c>
      <c r="F490" t="b">
        <f t="shared" si="14"/>
        <v>1</v>
      </c>
      <c r="G490" s="183" t="str">
        <f t="shared" si="15"/>
        <v>JUV</v>
      </c>
      <c r="I490" s="425"/>
      <c r="J490" s="425"/>
      <c r="K490" s="425"/>
    </row>
    <row r="491" spans="1:11" ht="15">
      <c r="A491" s="217" t="s">
        <v>43</v>
      </c>
      <c r="B491" s="217" t="s">
        <v>493</v>
      </c>
      <c r="C491" s="217" t="s">
        <v>687</v>
      </c>
      <c r="D491" s="216">
        <v>82</v>
      </c>
      <c r="E491" s="216" t="str">
        <f>VLOOKUP(B491,Tutti!$B$2:$C$598,2,FALSE)</f>
        <v>TOR</v>
      </c>
      <c r="F491" t="b">
        <f t="shared" si="14"/>
        <v>1</v>
      </c>
      <c r="G491" s="183" t="str">
        <f t="shared" si="15"/>
        <v>TOR</v>
      </c>
      <c r="I491" s="425"/>
      <c r="J491" s="425"/>
      <c r="K491" s="425"/>
    </row>
    <row r="492" spans="1:11" ht="15">
      <c r="A492" s="217" t="s">
        <v>43</v>
      </c>
      <c r="B492" s="217" t="s">
        <v>396</v>
      </c>
      <c r="C492" s="217" t="s">
        <v>677</v>
      </c>
      <c r="D492" s="216">
        <v>98</v>
      </c>
      <c r="E492" s="216" t="str">
        <f>VLOOKUP(B492,Tutti!$B$2:$C$598,2,FALSE)</f>
        <v>INT</v>
      </c>
      <c r="F492" t="b">
        <f t="shared" si="14"/>
        <v>1</v>
      </c>
      <c r="G492" s="183" t="str">
        <f t="shared" si="15"/>
        <v>INT</v>
      </c>
      <c r="I492" s="425"/>
      <c r="J492" s="425"/>
      <c r="K492" s="425"/>
    </row>
    <row r="493" spans="1:11" ht="15">
      <c r="A493" s="217" t="s">
        <v>43</v>
      </c>
      <c r="B493" s="217" t="s">
        <v>1341</v>
      </c>
      <c r="C493" s="217" t="s">
        <v>1672</v>
      </c>
      <c r="D493" s="216">
        <v>76</v>
      </c>
      <c r="E493" s="216" t="str">
        <f>VLOOKUP(B493,Tutti!$B$2:$C$598,2,FALSE)</f>
        <v>BEN</v>
      </c>
      <c r="F493" t="b">
        <f t="shared" si="14"/>
        <v>1</v>
      </c>
      <c r="G493" s="183" t="str">
        <f t="shared" si="15"/>
        <v>BEN</v>
      </c>
      <c r="I493" s="425"/>
      <c r="J493" s="425"/>
      <c r="K493" s="425"/>
    </row>
    <row r="494" spans="1:11" ht="15">
      <c r="A494" s="217" t="s">
        <v>43</v>
      </c>
      <c r="B494" s="217" t="s">
        <v>401</v>
      </c>
      <c r="C494" s="217" t="s">
        <v>682</v>
      </c>
      <c r="D494" s="216">
        <v>93</v>
      </c>
      <c r="E494" s="216" t="str">
        <f>VLOOKUP(B494,Tutti!$B$2:$C$598,2,FALSE)</f>
        <v>LAZ</v>
      </c>
      <c r="F494" t="b">
        <f t="shared" si="14"/>
        <v>1</v>
      </c>
      <c r="G494" s="183" t="str">
        <f t="shared" si="15"/>
        <v>LAZ</v>
      </c>
      <c r="I494" s="425"/>
      <c r="J494" s="425"/>
      <c r="K494" s="425"/>
    </row>
    <row r="495" spans="1:11" ht="15">
      <c r="A495" s="217" t="s">
        <v>43</v>
      </c>
      <c r="B495" s="217" t="s">
        <v>405</v>
      </c>
      <c r="C495" s="217" t="s">
        <v>680</v>
      </c>
      <c r="D495" s="216">
        <v>79</v>
      </c>
      <c r="E495" s="216" t="str">
        <f>VLOOKUP(B495,Tutti!$B$2:$C$598,2,FALSE)</f>
        <v>CHI</v>
      </c>
      <c r="F495" t="b">
        <f t="shared" si="14"/>
        <v>1</v>
      </c>
      <c r="G495" s="183" t="str">
        <f t="shared" si="15"/>
        <v>CHI</v>
      </c>
      <c r="I495" s="425"/>
      <c r="J495" s="425"/>
      <c r="K495" s="425"/>
    </row>
    <row r="496" spans="1:11" ht="15">
      <c r="A496" s="217" t="s">
        <v>43</v>
      </c>
      <c r="B496" s="217" t="s">
        <v>408</v>
      </c>
      <c r="C496" s="217" t="s">
        <v>681</v>
      </c>
      <c r="D496" s="216">
        <v>92</v>
      </c>
      <c r="E496" s="216" t="str">
        <f>VLOOKUP(B496,Tutti!$B$2:$C$598,2,FALSE)</f>
        <v>NAP</v>
      </c>
      <c r="F496" t="b">
        <f t="shared" si="14"/>
        <v>1</v>
      </c>
      <c r="G496" s="183" t="str">
        <f t="shared" si="15"/>
        <v>NAP</v>
      </c>
      <c r="I496" s="425"/>
      <c r="J496" s="425"/>
      <c r="K496" s="425"/>
    </row>
    <row r="497" spans="1:11" ht="15">
      <c r="A497" s="217" t="s">
        <v>43</v>
      </c>
      <c r="B497" s="217" t="s">
        <v>415</v>
      </c>
      <c r="C497" s="217" t="s">
        <v>677</v>
      </c>
      <c r="D497" s="216">
        <v>69</v>
      </c>
      <c r="E497" s="216" t="e">
        <f>VLOOKUP(B497,Tutti!$B$2:$C$598,2,FALSE)</f>
        <v>#N/A</v>
      </c>
      <c r="F497" t="e">
        <f t="shared" si="14"/>
        <v>#N/A</v>
      </c>
      <c r="G497" s="183" t="str">
        <f t="shared" si="15"/>
        <v>INT</v>
      </c>
      <c r="I497" s="425"/>
      <c r="J497" s="425"/>
      <c r="K497" s="425"/>
    </row>
    <row r="498" spans="1:11" ht="15">
      <c r="A498" s="217" t="s">
        <v>43</v>
      </c>
      <c r="B498" s="217" t="s">
        <v>418</v>
      </c>
      <c r="C498" s="217" t="s">
        <v>678</v>
      </c>
      <c r="D498" s="216">
        <v>85</v>
      </c>
      <c r="E498" s="216" t="str">
        <f>VLOOKUP(B498,Tutti!$B$2:$C$598,2,FALSE)</f>
        <v>MIL</v>
      </c>
      <c r="F498" t="b">
        <f t="shared" si="14"/>
        <v>1</v>
      </c>
      <c r="G498" s="183" t="str">
        <f t="shared" si="15"/>
        <v>MIL</v>
      </c>
      <c r="I498" s="425"/>
      <c r="J498" s="425"/>
      <c r="K498" s="425"/>
    </row>
    <row r="499" spans="1:11" ht="15">
      <c r="A499" s="217" t="s">
        <v>43</v>
      </c>
      <c r="B499" s="217" t="s">
        <v>1983</v>
      </c>
      <c r="C499" s="217" t="s">
        <v>677</v>
      </c>
      <c r="D499" s="216">
        <v>73</v>
      </c>
      <c r="E499" s="216" t="str">
        <f>VLOOKUP(B499,Tutti!$B$2:$C$598,2,FALSE)</f>
        <v>INT</v>
      </c>
      <c r="F499" t="b">
        <f t="shared" si="14"/>
        <v>1</v>
      </c>
      <c r="G499" s="183" t="str">
        <f t="shared" si="15"/>
        <v>INT</v>
      </c>
      <c r="I499" s="425"/>
      <c r="J499" s="425"/>
      <c r="K499" s="425"/>
    </row>
    <row r="500" spans="1:11" ht="15">
      <c r="A500" s="217" t="s">
        <v>43</v>
      </c>
      <c r="B500" s="217" t="s">
        <v>1791</v>
      </c>
      <c r="C500" s="217" t="s">
        <v>1994</v>
      </c>
      <c r="D500" s="216">
        <v>69</v>
      </c>
      <c r="E500" s="216" t="str">
        <f>VLOOKUP(B500,Tutti!$B$2:$C$598,2,FALSE)</f>
        <v>VER</v>
      </c>
      <c r="F500" t="b">
        <f t="shared" si="14"/>
        <v>1</v>
      </c>
      <c r="G500" s="183" t="str">
        <f t="shared" si="15"/>
        <v>VER</v>
      </c>
      <c r="I500" s="425"/>
      <c r="J500" s="425"/>
      <c r="K500" s="425"/>
    </row>
    <row r="501" spans="1:11" ht="15">
      <c r="A501" s="217" t="s">
        <v>43</v>
      </c>
      <c r="B501" s="217" t="s">
        <v>1293</v>
      </c>
      <c r="C501" s="217" t="s">
        <v>682</v>
      </c>
      <c r="D501" s="216">
        <v>77</v>
      </c>
      <c r="E501" s="216" t="e">
        <f>VLOOKUP(B501,Tutti!$B$2:$C$598,2,FALSE)</f>
        <v>#N/A</v>
      </c>
      <c r="F501" t="e">
        <f t="shared" si="14"/>
        <v>#N/A</v>
      </c>
      <c r="G501" s="183" t="str">
        <f t="shared" si="15"/>
        <v>LAZ</v>
      </c>
      <c r="I501" s="425"/>
      <c r="J501" s="425"/>
      <c r="K501" s="425"/>
    </row>
    <row r="502" spans="1:11" ht="15">
      <c r="A502" s="217" t="s">
        <v>43</v>
      </c>
      <c r="B502" s="217" t="s">
        <v>422</v>
      </c>
      <c r="C502" s="217" t="s">
        <v>682</v>
      </c>
      <c r="D502" s="216">
        <v>65</v>
      </c>
      <c r="E502" s="216" t="e">
        <f>VLOOKUP(B502,Tutti!$B$2:$C$598,2,FALSE)</f>
        <v>#N/A</v>
      </c>
      <c r="F502" t="e">
        <f t="shared" si="14"/>
        <v>#N/A</v>
      </c>
      <c r="G502" s="183" t="str">
        <f t="shared" si="15"/>
        <v>LAZ</v>
      </c>
      <c r="I502" s="425"/>
      <c r="J502" s="425"/>
      <c r="K502" s="425"/>
    </row>
    <row r="503" spans="1:11" ht="15">
      <c r="A503" s="217" t="s">
        <v>43</v>
      </c>
      <c r="B503" s="217" t="s">
        <v>1794</v>
      </c>
      <c r="C503" s="217" t="s">
        <v>688</v>
      </c>
      <c r="D503" s="216">
        <v>73</v>
      </c>
      <c r="E503" s="216" t="str">
        <f>VLOOKUP(B503,Tutti!$B$2:$C$598,2,FALSE)</f>
        <v>SAM</v>
      </c>
      <c r="F503" t="b">
        <f t="shared" si="14"/>
        <v>1</v>
      </c>
      <c r="G503" s="183" t="str">
        <f t="shared" si="15"/>
        <v>SAM</v>
      </c>
      <c r="I503" s="425"/>
      <c r="J503" s="425"/>
      <c r="K503" s="425"/>
    </row>
    <row r="504" spans="1:11" ht="15">
      <c r="A504" s="217" t="s">
        <v>43</v>
      </c>
      <c r="B504" s="217" t="s">
        <v>425</v>
      </c>
      <c r="C504" s="217" t="s">
        <v>679</v>
      </c>
      <c r="D504" s="216">
        <v>82</v>
      </c>
      <c r="E504" s="216" t="str">
        <f>VLOOKUP(B504,Tutti!$B$2:$C$598,2,FALSE)</f>
        <v>GEN</v>
      </c>
      <c r="F504" t="b">
        <f t="shared" si="14"/>
        <v>1</v>
      </c>
      <c r="G504" s="183" t="str">
        <f t="shared" si="15"/>
        <v>GEN</v>
      </c>
      <c r="I504" s="425"/>
      <c r="J504" s="425"/>
      <c r="K504" s="425"/>
    </row>
    <row r="505" spans="1:11" ht="15">
      <c r="A505" s="217" t="s">
        <v>43</v>
      </c>
      <c r="B505" s="217" t="s">
        <v>1779</v>
      </c>
      <c r="C505" s="217" t="s">
        <v>684</v>
      </c>
      <c r="D505" s="216">
        <v>77</v>
      </c>
      <c r="E505" s="216" t="str">
        <f>VLOOKUP(B505,Tutti!$B$2:$C$598,2,FALSE)</f>
        <v>UDI</v>
      </c>
      <c r="F505" t="b">
        <f t="shared" si="14"/>
        <v>1</v>
      </c>
      <c r="G505" s="183" t="str">
        <f t="shared" si="15"/>
        <v>UDI</v>
      </c>
      <c r="I505" s="425"/>
      <c r="J505" s="425"/>
      <c r="K505" s="425"/>
    </row>
    <row r="506" spans="1:11" ht="15">
      <c r="A506" s="217" t="s">
        <v>43</v>
      </c>
      <c r="B506" s="217" t="s">
        <v>1986</v>
      </c>
      <c r="C506" s="217" t="s">
        <v>1674</v>
      </c>
      <c r="D506" s="216">
        <v>72</v>
      </c>
      <c r="E506" s="216" t="str">
        <f>VLOOKUP(B506,Tutti!$B$2:$C$598,2,FALSE)</f>
        <v>VER</v>
      </c>
      <c r="F506" t="b">
        <f t="shared" si="14"/>
        <v>1</v>
      </c>
      <c r="G506" s="183" t="str">
        <f t="shared" si="15"/>
        <v>VER</v>
      </c>
      <c r="I506" s="425"/>
      <c r="J506" s="425"/>
      <c r="K506" s="425"/>
    </row>
    <row r="507" spans="1:11" ht="15">
      <c r="A507" s="217" t="s">
        <v>43</v>
      </c>
      <c r="B507" s="217" t="s">
        <v>532</v>
      </c>
      <c r="C507" s="217" t="s">
        <v>687</v>
      </c>
      <c r="D507" s="216">
        <v>82</v>
      </c>
      <c r="E507" s="216" t="str">
        <f>VLOOKUP(B507,Tutti!$B$2:$C$598,2,FALSE)</f>
        <v>TOR</v>
      </c>
      <c r="F507" t="b">
        <f t="shared" si="14"/>
        <v>1</v>
      </c>
      <c r="G507" s="183" t="str">
        <f t="shared" si="15"/>
        <v>TOR</v>
      </c>
      <c r="I507" s="425"/>
      <c r="J507" s="425"/>
      <c r="K507" s="425"/>
    </row>
    <row r="508" spans="1:11" ht="15">
      <c r="A508" s="217" t="s">
        <v>43</v>
      </c>
      <c r="B508" s="217" t="s">
        <v>1989</v>
      </c>
      <c r="C508" s="217" t="s">
        <v>692</v>
      </c>
      <c r="D508" s="216">
        <v>55</v>
      </c>
      <c r="E508" s="216" t="str">
        <f>VLOOKUP(B508,Tutti!$B$2:$C$598,2,FALSE)</f>
        <v>FIO</v>
      </c>
      <c r="F508" t="b">
        <f t="shared" si="14"/>
        <v>1</v>
      </c>
      <c r="G508" s="183" t="str">
        <f t="shared" si="15"/>
        <v>FIO</v>
      </c>
      <c r="I508" s="425"/>
      <c r="J508" s="425"/>
      <c r="K508" s="425"/>
    </row>
    <row r="509" spans="1:11" ht="15">
      <c r="A509" s="217" t="s">
        <v>43</v>
      </c>
      <c r="B509" s="217" t="s">
        <v>1287</v>
      </c>
      <c r="C509" s="217" t="s">
        <v>682</v>
      </c>
      <c r="D509" s="216">
        <v>58</v>
      </c>
      <c r="E509" s="216" t="str">
        <f>VLOOKUP(B509,Tutti!$B$2:$C$598,2,FALSE)</f>
        <v>LAZ</v>
      </c>
      <c r="F509" t="b">
        <f t="shared" si="14"/>
        <v>1</v>
      </c>
      <c r="G509" s="183" t="str">
        <f t="shared" si="15"/>
        <v>LAZ</v>
      </c>
      <c r="I509" s="425"/>
      <c r="J509" s="425"/>
      <c r="K509" s="425"/>
    </row>
    <row r="510" spans="1:11" ht="15">
      <c r="A510" s="217" t="s">
        <v>43</v>
      </c>
      <c r="B510" s="217" t="s">
        <v>1851</v>
      </c>
      <c r="C510" s="217" t="s">
        <v>684</v>
      </c>
      <c r="D510" s="216">
        <v>40</v>
      </c>
      <c r="E510" s="216" t="str">
        <f>VLOOKUP(B510,Tutti!$B$2:$C$598,2,FALSE)</f>
        <v>UDI</v>
      </c>
      <c r="F510" t="b">
        <f t="shared" si="14"/>
        <v>1</v>
      </c>
      <c r="G510" s="183" t="str">
        <f t="shared" si="15"/>
        <v>UDI</v>
      </c>
      <c r="I510" s="425"/>
      <c r="J510" s="425"/>
      <c r="K510" s="425"/>
    </row>
    <row r="511" spans="1:11" ht="15">
      <c r="A511" s="217" t="s">
        <v>43</v>
      </c>
      <c r="B511" s="217" t="s">
        <v>433</v>
      </c>
      <c r="C511" s="217" t="s">
        <v>676</v>
      </c>
      <c r="D511" s="216">
        <v>80</v>
      </c>
      <c r="E511" s="216" t="str">
        <f>VLOOKUP(B511,Tutti!$B$2:$C$598,2,FALSE)</f>
        <v>JUV</v>
      </c>
      <c r="F511" t="b">
        <f t="shared" si="14"/>
        <v>1</v>
      </c>
      <c r="G511" s="183" t="str">
        <f t="shared" si="15"/>
        <v>JUV</v>
      </c>
      <c r="I511" s="425"/>
      <c r="J511" s="425"/>
      <c r="K511" s="425"/>
    </row>
    <row r="512" spans="1:11" ht="15">
      <c r="A512" s="217" t="s">
        <v>43</v>
      </c>
      <c r="B512" s="217" t="s">
        <v>438</v>
      </c>
      <c r="C512" s="217" t="s">
        <v>684</v>
      </c>
      <c r="D512" s="216">
        <v>69</v>
      </c>
      <c r="E512" s="216" t="str">
        <f>VLOOKUP(B512,Tutti!$B$2:$C$598,2,FALSE)</f>
        <v>UDI</v>
      </c>
      <c r="F512" t="b">
        <f t="shared" si="14"/>
        <v>1</v>
      </c>
      <c r="G512" s="183" t="str">
        <f t="shared" si="15"/>
        <v>UDI</v>
      </c>
      <c r="I512" s="425"/>
      <c r="J512" s="425"/>
      <c r="K512" s="425"/>
    </row>
    <row r="513" spans="1:11" ht="15">
      <c r="A513" s="217" t="s">
        <v>43</v>
      </c>
      <c r="B513" s="217" t="s">
        <v>441</v>
      </c>
      <c r="C513" s="217" t="s">
        <v>685</v>
      </c>
      <c r="D513" s="216">
        <v>72</v>
      </c>
      <c r="E513" s="216" t="str">
        <f>VLOOKUP(B513,Tutti!$B$2:$C$598,2,FALSE)</f>
        <v>SAS</v>
      </c>
      <c r="F513" t="b">
        <f t="shared" si="14"/>
        <v>1</v>
      </c>
      <c r="G513" s="183" t="str">
        <f t="shared" si="15"/>
        <v>SAS</v>
      </c>
      <c r="I513" s="425"/>
      <c r="J513" s="425"/>
      <c r="K513" s="425"/>
    </row>
    <row r="514" spans="1:11" ht="15">
      <c r="A514" s="217" t="s">
        <v>43</v>
      </c>
      <c r="B514" s="217" t="s">
        <v>445</v>
      </c>
      <c r="C514" s="217" t="s">
        <v>684</v>
      </c>
      <c r="D514" s="216">
        <v>76</v>
      </c>
      <c r="E514" s="216" t="str">
        <f>VLOOKUP(B514,Tutti!$B$2:$C$598,2,FALSE)</f>
        <v>UDI</v>
      </c>
      <c r="F514" t="b">
        <f t="shared" ref="F514:F562" si="16">E514=MID(C514,1,3)</f>
        <v>1</v>
      </c>
      <c r="G514" s="183" t="str">
        <f t="shared" ref="G514:G562" si="17">UPPER(MID(C514,1,3))</f>
        <v>UDI</v>
      </c>
      <c r="I514" s="425"/>
      <c r="J514" s="425"/>
      <c r="K514" s="425"/>
    </row>
    <row r="515" spans="1:11" ht="15">
      <c r="A515" s="217" t="s">
        <v>43</v>
      </c>
      <c r="B515" s="217" t="s">
        <v>450</v>
      </c>
      <c r="C515" s="217" t="s">
        <v>680</v>
      </c>
      <c r="D515" s="216">
        <v>69</v>
      </c>
      <c r="E515" s="216" t="str">
        <f>VLOOKUP(B515,Tutti!$B$2:$C$598,2,FALSE)</f>
        <v>CHI</v>
      </c>
      <c r="F515" t="b">
        <f t="shared" si="16"/>
        <v>1</v>
      </c>
      <c r="G515" s="183" t="str">
        <f t="shared" si="17"/>
        <v>CHI</v>
      </c>
      <c r="I515" s="425"/>
      <c r="J515" s="425"/>
      <c r="K515" s="425"/>
    </row>
    <row r="516" spans="1:11" ht="15">
      <c r="A516" s="217" t="s">
        <v>43</v>
      </c>
      <c r="B516" s="217" t="s">
        <v>452</v>
      </c>
      <c r="C516" s="217" t="s">
        <v>700</v>
      </c>
      <c r="D516" s="216">
        <v>69</v>
      </c>
      <c r="E516" s="216" t="str">
        <f>VLOOKUP(B516,Tutti!$B$2:$C$598,2,FALSE)</f>
        <v>CAG</v>
      </c>
      <c r="F516" t="b">
        <f t="shared" si="16"/>
        <v>1</v>
      </c>
      <c r="G516" s="183" t="str">
        <f t="shared" si="17"/>
        <v>CAG</v>
      </c>
      <c r="I516" s="425"/>
      <c r="J516" s="425"/>
      <c r="K516" s="425"/>
    </row>
    <row r="517" spans="1:11" ht="15">
      <c r="A517" s="217" t="s">
        <v>43</v>
      </c>
      <c r="B517" s="217" t="s">
        <v>552</v>
      </c>
      <c r="C517" s="217" t="s">
        <v>681</v>
      </c>
      <c r="D517" s="216">
        <v>95</v>
      </c>
      <c r="E517" s="216" t="str">
        <f>VLOOKUP(B517,Tutti!$B$2:$C$598,2,FALSE)</f>
        <v>NAP</v>
      </c>
      <c r="F517" t="b">
        <f t="shared" si="16"/>
        <v>1</v>
      </c>
      <c r="G517" s="183" t="str">
        <f t="shared" si="17"/>
        <v>NAP</v>
      </c>
      <c r="I517" s="425"/>
      <c r="J517" s="425"/>
      <c r="K517" s="425"/>
    </row>
    <row r="518" spans="1:11" ht="15">
      <c r="A518" s="217" t="s">
        <v>43</v>
      </c>
      <c r="B518" s="217" t="s">
        <v>454</v>
      </c>
      <c r="C518" s="217" t="s">
        <v>681</v>
      </c>
      <c r="D518" s="216">
        <v>78</v>
      </c>
      <c r="E518" s="216" t="str">
        <f>VLOOKUP(B518,Tutti!$B$2:$C$598,2,FALSE)</f>
        <v>NAP</v>
      </c>
      <c r="F518" t="b">
        <f t="shared" si="16"/>
        <v>1</v>
      </c>
      <c r="G518" s="183" t="str">
        <f t="shared" si="17"/>
        <v>NAP</v>
      </c>
      <c r="I518" s="425"/>
      <c r="J518" s="425"/>
      <c r="K518" s="425"/>
    </row>
    <row r="519" spans="1:11" ht="15">
      <c r="A519" s="217" t="s">
        <v>43</v>
      </c>
      <c r="B519" s="217" t="s">
        <v>1982</v>
      </c>
      <c r="C519" s="217" t="s">
        <v>682</v>
      </c>
      <c r="D519" s="216">
        <v>78</v>
      </c>
      <c r="E519" s="216" t="str">
        <f>VLOOKUP(B519,Tutti!$B$2:$C$598,2,FALSE)</f>
        <v>LAZ</v>
      </c>
      <c r="F519" t="b">
        <f t="shared" si="16"/>
        <v>1</v>
      </c>
      <c r="G519" s="183" t="str">
        <f t="shared" si="17"/>
        <v>LAZ</v>
      </c>
      <c r="I519" s="425"/>
      <c r="J519" s="425"/>
      <c r="K519" s="425"/>
    </row>
    <row r="520" spans="1:11" ht="15">
      <c r="A520" s="217" t="s">
        <v>43</v>
      </c>
      <c r="B520" s="217" t="s">
        <v>462</v>
      </c>
      <c r="C520" s="217" t="s">
        <v>687</v>
      </c>
      <c r="D520" s="216">
        <v>80</v>
      </c>
      <c r="E520" s="216" t="str">
        <f>VLOOKUP(B520,Tutti!$B$2:$C$598,2,FALSE)</f>
        <v>TOR</v>
      </c>
      <c r="F520" t="b">
        <f t="shared" si="16"/>
        <v>1</v>
      </c>
      <c r="G520" s="183" t="str">
        <f t="shared" si="17"/>
        <v>TOR</v>
      </c>
      <c r="I520" s="425"/>
      <c r="J520" s="425"/>
      <c r="K520" s="425"/>
    </row>
    <row r="521" spans="1:11" ht="15">
      <c r="A521" s="217" t="s">
        <v>43</v>
      </c>
      <c r="B521" s="217" t="s">
        <v>1802</v>
      </c>
      <c r="C521" s="217" t="s">
        <v>691</v>
      </c>
      <c r="D521" s="216">
        <v>51</v>
      </c>
      <c r="E521" s="216" t="str">
        <f>VLOOKUP(B521,Tutti!$B$2:$C$598,2,FALSE)</f>
        <v>BOL</v>
      </c>
      <c r="F521" t="b">
        <f t="shared" si="16"/>
        <v>1</v>
      </c>
      <c r="G521" s="183" t="str">
        <f t="shared" si="17"/>
        <v>BOL</v>
      </c>
      <c r="I521" s="425"/>
      <c r="J521" s="425"/>
      <c r="K521" s="425"/>
    </row>
    <row r="522" spans="1:11" ht="15">
      <c r="A522" s="217" t="s">
        <v>43</v>
      </c>
      <c r="B522" s="217" t="s">
        <v>1790</v>
      </c>
      <c r="C522" s="217" t="s">
        <v>686</v>
      </c>
      <c r="D522" s="216">
        <v>70</v>
      </c>
      <c r="E522" s="216" t="str">
        <f>VLOOKUP(B522,Tutti!$B$2:$C$598,2,FALSE)</f>
        <v>ATA</v>
      </c>
      <c r="F522" t="b">
        <f t="shared" si="16"/>
        <v>1</v>
      </c>
      <c r="G522" s="183" t="str">
        <f t="shared" si="17"/>
        <v>ATA</v>
      </c>
      <c r="I522" s="425"/>
      <c r="J522" s="425"/>
      <c r="K522" s="425"/>
    </row>
    <row r="523" spans="1:11" ht="15">
      <c r="A523" s="217" t="s">
        <v>43</v>
      </c>
      <c r="B523" s="217" t="s">
        <v>1792</v>
      </c>
      <c r="C523" s="217" t="s">
        <v>681</v>
      </c>
      <c r="D523" s="216">
        <v>73</v>
      </c>
      <c r="E523" s="216" t="str">
        <f>VLOOKUP(B523,Tutti!$B$2:$C$598,2,FALSE)</f>
        <v>NAP</v>
      </c>
      <c r="F523" t="b">
        <f t="shared" si="16"/>
        <v>1</v>
      </c>
      <c r="G523" s="183" t="str">
        <f t="shared" si="17"/>
        <v>NAP</v>
      </c>
      <c r="I523" s="425"/>
      <c r="J523" s="425"/>
      <c r="K523" s="425"/>
    </row>
    <row r="524" spans="1:11" ht="15">
      <c r="A524" s="217" t="s">
        <v>43</v>
      </c>
      <c r="B524" s="217" t="s">
        <v>466</v>
      </c>
      <c r="C524" s="217" t="s">
        <v>691</v>
      </c>
      <c r="D524" s="216">
        <v>68</v>
      </c>
      <c r="E524" s="216" t="str">
        <f>VLOOKUP(B524,Tutti!$B$2:$C$598,2,FALSE)</f>
        <v>BOL</v>
      </c>
      <c r="F524" t="b">
        <f t="shared" si="16"/>
        <v>1</v>
      </c>
      <c r="G524" s="183" t="str">
        <f t="shared" si="17"/>
        <v>BOL</v>
      </c>
      <c r="I524" s="425"/>
      <c r="J524" s="425"/>
      <c r="K524" s="425"/>
    </row>
    <row r="525" spans="1:11" ht="15">
      <c r="A525" s="217" t="s">
        <v>43</v>
      </c>
      <c r="B525" s="217" t="s">
        <v>469</v>
      </c>
      <c r="C525" s="217" t="s">
        <v>679</v>
      </c>
      <c r="D525" s="216">
        <v>60</v>
      </c>
      <c r="E525" s="216" t="str">
        <f>VLOOKUP(B525,Tutti!$B$2:$C$598,2,FALSE)</f>
        <v>GEN</v>
      </c>
      <c r="F525" t="b">
        <f t="shared" si="16"/>
        <v>1</v>
      </c>
      <c r="G525" s="183" t="str">
        <f t="shared" si="17"/>
        <v>GEN</v>
      </c>
      <c r="I525" s="425"/>
      <c r="J525" s="425"/>
      <c r="K525" s="425"/>
    </row>
    <row r="526" spans="1:11" ht="15">
      <c r="A526" s="217" t="s">
        <v>43</v>
      </c>
      <c r="B526" s="217" t="s">
        <v>1799</v>
      </c>
      <c r="C526" s="217" t="s">
        <v>682</v>
      </c>
      <c r="D526" s="216">
        <v>58</v>
      </c>
      <c r="E526" s="216" t="str">
        <f>VLOOKUP(B526,Tutti!$B$2:$C$598,2,FALSE)</f>
        <v>LAZ</v>
      </c>
      <c r="F526" t="b">
        <f t="shared" si="16"/>
        <v>1</v>
      </c>
      <c r="G526" s="183" t="str">
        <f t="shared" si="17"/>
        <v>LAZ</v>
      </c>
      <c r="I526" s="425"/>
      <c r="J526" s="425"/>
      <c r="K526" s="425"/>
    </row>
    <row r="527" spans="1:11" ht="15">
      <c r="A527" s="217" t="s">
        <v>43</v>
      </c>
      <c r="B527" s="217" t="s">
        <v>470</v>
      </c>
      <c r="C527" s="217" t="s">
        <v>1477</v>
      </c>
      <c r="D527" s="216">
        <v>78</v>
      </c>
      <c r="E527" s="216" t="str">
        <f>VLOOKUP(B527,Tutti!$B$2:$C$598,2,FALSE)</f>
        <v>SPA</v>
      </c>
      <c r="F527" t="b">
        <f t="shared" si="16"/>
        <v>1</v>
      </c>
      <c r="G527" s="183" t="str">
        <f t="shared" si="17"/>
        <v>SPA</v>
      </c>
      <c r="I527" s="425"/>
      <c r="J527" s="425"/>
      <c r="K527" s="425"/>
    </row>
    <row r="528" spans="1:11" ht="15">
      <c r="A528" s="217" t="s">
        <v>43</v>
      </c>
      <c r="B528" s="217" t="s">
        <v>471</v>
      </c>
      <c r="C528" s="217" t="s">
        <v>679</v>
      </c>
      <c r="D528" s="216">
        <v>66</v>
      </c>
      <c r="E528" s="216" t="str">
        <f>VLOOKUP(B528,Tutti!$B$2:$C$598,2,FALSE)</f>
        <v>GEN</v>
      </c>
      <c r="F528" t="b">
        <f t="shared" si="16"/>
        <v>1</v>
      </c>
      <c r="G528" s="183" t="str">
        <f t="shared" si="17"/>
        <v>GEN</v>
      </c>
      <c r="I528" s="425"/>
      <c r="J528" s="425"/>
      <c r="K528" s="425"/>
    </row>
    <row r="529" spans="1:11" ht="15">
      <c r="A529" s="217" t="s">
        <v>43</v>
      </c>
      <c r="B529" s="217" t="s">
        <v>474</v>
      </c>
      <c r="C529" s="217" t="s">
        <v>1672</v>
      </c>
      <c r="D529" s="216">
        <v>58</v>
      </c>
      <c r="E529" s="216" t="str">
        <f>VLOOKUP(B529,Tutti!$B$2:$C$598,2,FALSE)</f>
        <v>BEN</v>
      </c>
      <c r="F529" t="b">
        <f t="shared" si="16"/>
        <v>1</v>
      </c>
      <c r="G529" s="183" t="str">
        <f t="shared" si="17"/>
        <v>BEN</v>
      </c>
      <c r="I529" s="425"/>
      <c r="J529" s="425"/>
      <c r="K529" s="425"/>
    </row>
    <row r="530" spans="1:11" ht="15">
      <c r="A530" s="217" t="s">
        <v>43</v>
      </c>
      <c r="B530" s="217" t="s">
        <v>477</v>
      </c>
      <c r="C530" s="217" t="s">
        <v>700</v>
      </c>
      <c r="D530" s="216">
        <v>85</v>
      </c>
      <c r="E530" s="216" t="str">
        <f>VLOOKUP(B530,Tutti!$B$2:$C$598,2,FALSE)</f>
        <v>CAG</v>
      </c>
      <c r="F530" t="b">
        <f t="shared" si="16"/>
        <v>1</v>
      </c>
      <c r="G530" s="183" t="str">
        <f t="shared" si="17"/>
        <v>CAG</v>
      </c>
      <c r="I530" s="425"/>
      <c r="J530" s="425"/>
      <c r="K530" s="425"/>
    </row>
    <row r="531" spans="1:11" ht="15">
      <c r="A531" s="217" t="s">
        <v>43</v>
      </c>
      <c r="B531" s="217" t="s">
        <v>1780</v>
      </c>
      <c r="C531" s="217" t="s">
        <v>1674</v>
      </c>
      <c r="D531" s="216">
        <v>75</v>
      </c>
      <c r="E531" s="216" t="str">
        <f>VLOOKUP(B531,Tutti!$B$2:$C$598,2,FALSE)</f>
        <v>VER</v>
      </c>
      <c r="F531" t="b">
        <f t="shared" si="16"/>
        <v>1</v>
      </c>
      <c r="G531" s="183" t="str">
        <f t="shared" si="17"/>
        <v>VER</v>
      </c>
      <c r="I531" s="425"/>
      <c r="J531" s="425"/>
      <c r="K531" s="425"/>
    </row>
    <row r="532" spans="1:11" ht="15">
      <c r="A532" s="217" t="s">
        <v>43</v>
      </c>
      <c r="B532" s="217" t="s">
        <v>1788</v>
      </c>
      <c r="C532" s="217" t="s">
        <v>679</v>
      </c>
      <c r="D532" s="216">
        <v>67</v>
      </c>
      <c r="E532" s="216" t="str">
        <f>VLOOKUP(B532,Tutti!$B$2:$C$598,2,FALSE)</f>
        <v>GEN</v>
      </c>
      <c r="F532" t="b">
        <f t="shared" si="16"/>
        <v>1</v>
      </c>
      <c r="G532" s="183" t="str">
        <f t="shared" si="17"/>
        <v>GEN</v>
      </c>
      <c r="I532" s="425"/>
      <c r="J532" s="425"/>
      <c r="K532" s="425"/>
    </row>
    <row r="533" spans="1:11" ht="15">
      <c r="A533" s="217" t="s">
        <v>43</v>
      </c>
      <c r="B533" s="217" t="s">
        <v>480</v>
      </c>
      <c r="C533" s="217" t="s">
        <v>680</v>
      </c>
      <c r="D533" s="216">
        <v>75</v>
      </c>
      <c r="E533" s="216" t="str">
        <f>VLOOKUP(B533,Tutti!$B$2:$C$598,2,FALSE)</f>
        <v>CHI</v>
      </c>
      <c r="F533" t="b">
        <f t="shared" si="16"/>
        <v>1</v>
      </c>
      <c r="G533" s="183" t="str">
        <f t="shared" si="17"/>
        <v>CHI</v>
      </c>
      <c r="I533" s="425"/>
      <c r="J533" s="425"/>
      <c r="K533" s="425"/>
    </row>
    <row r="534" spans="1:11" ht="15">
      <c r="A534" s="217" t="s">
        <v>43</v>
      </c>
      <c r="B534" s="217" t="s">
        <v>484</v>
      </c>
      <c r="C534" s="217" t="s">
        <v>684</v>
      </c>
      <c r="D534" s="216">
        <v>79</v>
      </c>
      <c r="E534" s="216" t="str">
        <f>VLOOKUP(B534,Tutti!$B$2:$C$598,2,FALSE)</f>
        <v>UDI</v>
      </c>
      <c r="F534" t="b">
        <f t="shared" si="16"/>
        <v>1</v>
      </c>
      <c r="G534" s="183" t="str">
        <f t="shared" si="17"/>
        <v>UDI</v>
      </c>
      <c r="I534" s="425"/>
      <c r="J534" s="425"/>
      <c r="K534" s="425"/>
    </row>
    <row r="535" spans="1:11" ht="15">
      <c r="A535" s="217" t="s">
        <v>43</v>
      </c>
      <c r="B535" s="217" t="s">
        <v>486</v>
      </c>
      <c r="C535" s="217" t="s">
        <v>686</v>
      </c>
      <c r="D535" s="216">
        <v>73</v>
      </c>
      <c r="E535" s="216" t="str">
        <f>VLOOKUP(B535,Tutti!$B$2:$C$598,2,FALSE)</f>
        <v>ATA</v>
      </c>
      <c r="F535" t="b">
        <f t="shared" si="16"/>
        <v>1</v>
      </c>
      <c r="G535" s="183" t="str">
        <f t="shared" si="17"/>
        <v>ATA</v>
      </c>
    </row>
    <row r="536" spans="1:11" ht="15">
      <c r="A536" s="217" t="s">
        <v>43</v>
      </c>
      <c r="B536" s="217" t="s">
        <v>1798</v>
      </c>
      <c r="C536" s="217" t="s">
        <v>691</v>
      </c>
      <c r="D536" s="216">
        <v>60</v>
      </c>
      <c r="E536" s="216" t="str">
        <f>VLOOKUP(B536,Tutti!$B$2:$C$598,2,FALSE)</f>
        <v>BOL</v>
      </c>
      <c r="F536" t="b">
        <f t="shared" si="16"/>
        <v>1</v>
      </c>
      <c r="G536" s="183" t="str">
        <f t="shared" si="17"/>
        <v>BOL</v>
      </c>
    </row>
    <row r="537" spans="1:11" ht="15">
      <c r="A537" s="217" t="s">
        <v>43</v>
      </c>
      <c r="B537" s="217" t="s">
        <v>1285</v>
      </c>
      <c r="C537" s="217" t="s">
        <v>677</v>
      </c>
      <c r="D537" s="216">
        <v>50</v>
      </c>
      <c r="E537" s="216" t="str">
        <f>VLOOKUP(B537,Tutti!$B$2:$C$598,2,FALSE)</f>
        <v>INT</v>
      </c>
      <c r="F537" t="b">
        <f t="shared" si="16"/>
        <v>1</v>
      </c>
      <c r="G537" s="183" t="str">
        <f t="shared" si="17"/>
        <v>INT</v>
      </c>
    </row>
    <row r="538" spans="1:11" ht="15">
      <c r="A538" s="217" t="s">
        <v>43</v>
      </c>
      <c r="B538" s="217" t="s">
        <v>489</v>
      </c>
      <c r="C538" s="217" t="s">
        <v>676</v>
      </c>
      <c r="D538" s="216">
        <v>59</v>
      </c>
      <c r="E538" s="216" t="str">
        <f>VLOOKUP(B538,Tutti!$B$2:$C$598,2,FALSE)</f>
        <v>JUV</v>
      </c>
      <c r="F538" t="b">
        <f t="shared" si="16"/>
        <v>1</v>
      </c>
      <c r="G538" s="183" t="str">
        <f t="shared" si="17"/>
        <v>JUV</v>
      </c>
    </row>
    <row r="539" spans="1:11" ht="15">
      <c r="A539" s="217" t="s">
        <v>43</v>
      </c>
      <c r="B539" s="217" t="s">
        <v>586</v>
      </c>
      <c r="C539" s="217" t="s">
        <v>685</v>
      </c>
      <c r="D539" s="216">
        <v>78</v>
      </c>
      <c r="E539" s="216" t="str">
        <f>VLOOKUP(B539,Tutti!$B$2:$C$598,2,FALSE)</f>
        <v>SAS</v>
      </c>
      <c r="F539" t="b">
        <f t="shared" si="16"/>
        <v>1</v>
      </c>
      <c r="G539" s="183" t="str">
        <f t="shared" si="17"/>
        <v>SAS</v>
      </c>
    </row>
    <row r="540" spans="1:11" ht="15">
      <c r="A540" s="217" t="s">
        <v>43</v>
      </c>
      <c r="B540" s="217" t="s">
        <v>491</v>
      </c>
      <c r="C540" s="217" t="s">
        <v>680</v>
      </c>
      <c r="D540" s="216">
        <v>71</v>
      </c>
      <c r="E540" s="216" t="str">
        <f>VLOOKUP(B540,Tutti!$B$2:$C$598,2,FALSE)</f>
        <v>CHI</v>
      </c>
      <c r="F540" t="b">
        <f t="shared" si="16"/>
        <v>1</v>
      </c>
      <c r="G540" s="183" t="str">
        <f t="shared" si="17"/>
        <v>CHI</v>
      </c>
    </row>
    <row r="541" spans="1:11" ht="15">
      <c r="A541" s="217" t="s">
        <v>43</v>
      </c>
      <c r="B541" s="217" t="s">
        <v>1784</v>
      </c>
      <c r="C541" s="217" t="s">
        <v>1672</v>
      </c>
      <c r="D541" s="216">
        <v>71</v>
      </c>
      <c r="E541" s="216" t="str">
        <f>VLOOKUP(B541,Tutti!$B$2:$C$598,2,FALSE)</f>
        <v>BEN</v>
      </c>
      <c r="F541" t="b">
        <f t="shared" si="16"/>
        <v>1</v>
      </c>
      <c r="G541" s="183" t="str">
        <f t="shared" si="17"/>
        <v>BEN</v>
      </c>
    </row>
    <row r="542" spans="1:11" ht="15">
      <c r="A542" s="217" t="s">
        <v>43</v>
      </c>
      <c r="B542" s="217" t="s">
        <v>494</v>
      </c>
      <c r="C542" s="217" t="s">
        <v>688</v>
      </c>
      <c r="D542" s="216">
        <v>81</v>
      </c>
      <c r="E542" s="216" t="str">
        <f>VLOOKUP(B542,Tutti!$B$2:$C$598,2,FALSE)</f>
        <v>SAM</v>
      </c>
      <c r="F542" t="b">
        <f t="shared" si="16"/>
        <v>1</v>
      </c>
      <c r="G542" s="183" t="str">
        <f t="shared" si="17"/>
        <v>SAM</v>
      </c>
    </row>
    <row r="543" spans="1:11" ht="15">
      <c r="A543" s="217" t="s">
        <v>43</v>
      </c>
      <c r="B543" s="217" t="s">
        <v>1332</v>
      </c>
      <c r="C543" s="217" t="s">
        <v>685</v>
      </c>
      <c r="D543" s="216">
        <v>70</v>
      </c>
      <c r="E543" s="216" t="str">
        <f>VLOOKUP(B543,Tutti!$B$2:$C$598,2,FALSE)</f>
        <v>SAS</v>
      </c>
      <c r="F543" t="b">
        <f t="shared" si="16"/>
        <v>1</v>
      </c>
      <c r="G543" s="183" t="str">
        <f t="shared" si="17"/>
        <v>SAS</v>
      </c>
    </row>
    <row r="544" spans="1:11" ht="15">
      <c r="A544" s="217" t="s">
        <v>43</v>
      </c>
      <c r="B544" s="217" t="s">
        <v>1795</v>
      </c>
      <c r="C544" s="217" t="s">
        <v>692</v>
      </c>
      <c r="D544" s="216">
        <v>66</v>
      </c>
      <c r="E544" s="216" t="e">
        <f>VLOOKUP(B544,Tutti!$B$2:$C$598,2,FALSE)</f>
        <v>#N/A</v>
      </c>
      <c r="F544" t="e">
        <f t="shared" si="16"/>
        <v>#N/A</v>
      </c>
      <c r="G544" s="183" t="str">
        <f t="shared" si="17"/>
        <v>FIO</v>
      </c>
    </row>
    <row r="545" spans="1:7" ht="15">
      <c r="A545" s="217" t="s">
        <v>43</v>
      </c>
      <c r="B545" s="217" t="s">
        <v>495</v>
      </c>
      <c r="C545" s="217" t="s">
        <v>679</v>
      </c>
      <c r="D545" s="216">
        <v>74</v>
      </c>
      <c r="E545" s="216" t="str">
        <f>VLOOKUP(B545,Tutti!$B$2:$C$598,2,FALSE)</f>
        <v>GEN</v>
      </c>
      <c r="F545" t="b">
        <f t="shared" si="16"/>
        <v>1</v>
      </c>
      <c r="G545" s="183" t="str">
        <f t="shared" si="17"/>
        <v>GEN</v>
      </c>
    </row>
    <row r="546" spans="1:7" ht="15">
      <c r="A546" s="217" t="s">
        <v>43</v>
      </c>
      <c r="B546" s="217" t="s">
        <v>1854</v>
      </c>
      <c r="C546" s="217" t="s">
        <v>680</v>
      </c>
      <c r="D546" s="216">
        <v>71</v>
      </c>
      <c r="E546" s="216" t="e">
        <f>VLOOKUP(B546,Tutti!$B$2:$C$598,2,FALSE)</f>
        <v>#N/A</v>
      </c>
      <c r="F546" t="e">
        <f t="shared" si="16"/>
        <v>#N/A</v>
      </c>
      <c r="G546" s="183" t="str">
        <f t="shared" si="17"/>
        <v>CHI</v>
      </c>
    </row>
    <row r="547" spans="1:7" ht="15">
      <c r="A547" s="217" t="s">
        <v>43</v>
      </c>
      <c r="B547" s="217" t="s">
        <v>499</v>
      </c>
      <c r="C547" s="217" t="s">
        <v>687</v>
      </c>
      <c r="D547" s="216">
        <v>59</v>
      </c>
      <c r="E547" s="216" t="str">
        <f>VLOOKUP(B547,Tutti!$B$2:$C$598,2,FALSE)</f>
        <v>TOR</v>
      </c>
      <c r="F547" t="b">
        <f t="shared" si="16"/>
        <v>1</v>
      </c>
      <c r="G547" s="183" t="str">
        <f t="shared" si="17"/>
        <v>TOR</v>
      </c>
    </row>
    <row r="548" spans="1:7" ht="15">
      <c r="A548" s="217" t="s">
        <v>43</v>
      </c>
      <c r="B548" s="217" t="s">
        <v>1944</v>
      </c>
      <c r="C548" s="217" t="s">
        <v>679</v>
      </c>
      <c r="D548" s="216">
        <v>60</v>
      </c>
      <c r="E548" s="216" t="str">
        <f>VLOOKUP(B548,Tutti!$B$2:$C$598,2,FALSE)</f>
        <v>GEN</v>
      </c>
      <c r="F548" t="b">
        <f t="shared" si="16"/>
        <v>1</v>
      </c>
      <c r="G548" s="183" t="str">
        <f t="shared" si="17"/>
        <v>GEN</v>
      </c>
    </row>
    <row r="549" spans="1:7" ht="15">
      <c r="A549" s="217" t="s">
        <v>43</v>
      </c>
      <c r="B549" s="217" t="s">
        <v>507</v>
      </c>
      <c r="C549" s="217" t="s">
        <v>700</v>
      </c>
      <c r="D549" s="216">
        <v>77</v>
      </c>
      <c r="E549" s="216" t="str">
        <f>VLOOKUP(B549,Tutti!$B$2:$C$598,2,FALSE)</f>
        <v>CAG</v>
      </c>
      <c r="F549" t="b">
        <f t="shared" si="16"/>
        <v>1</v>
      </c>
      <c r="G549" s="183" t="str">
        <f t="shared" si="17"/>
        <v>CAG</v>
      </c>
    </row>
    <row r="550" spans="1:7" ht="15">
      <c r="A550" s="217" t="s">
        <v>43</v>
      </c>
      <c r="B550" s="217" t="s">
        <v>509</v>
      </c>
      <c r="C550" s="217" t="s">
        <v>695</v>
      </c>
      <c r="D550" s="216">
        <v>80</v>
      </c>
      <c r="E550" s="216" t="str">
        <f>VLOOKUP(B550,Tutti!$B$2:$C$598,2,FALSE)</f>
        <v>ROM</v>
      </c>
      <c r="F550" t="b">
        <f t="shared" si="16"/>
        <v>1</v>
      </c>
      <c r="G550" s="183" t="str">
        <f t="shared" si="17"/>
        <v>ROM</v>
      </c>
    </row>
    <row r="551" spans="1:7" ht="15">
      <c r="A551" s="217" t="s">
        <v>43</v>
      </c>
      <c r="B551" s="217" t="s">
        <v>1291</v>
      </c>
      <c r="C551" s="217" t="s">
        <v>692</v>
      </c>
      <c r="D551" s="216">
        <v>84</v>
      </c>
      <c r="E551" s="216" t="str">
        <f>VLOOKUP(B551,Tutti!$B$2:$C$598,2,FALSE)</f>
        <v>FIO</v>
      </c>
      <c r="F551" t="b">
        <f t="shared" si="16"/>
        <v>1</v>
      </c>
      <c r="G551" s="183" t="str">
        <f t="shared" si="17"/>
        <v>FIO</v>
      </c>
    </row>
    <row r="552" spans="1:7" ht="15">
      <c r="A552" s="217" t="s">
        <v>43</v>
      </c>
      <c r="B552" s="217" t="s">
        <v>511</v>
      </c>
      <c r="C552" s="217" t="s">
        <v>701</v>
      </c>
      <c r="D552" s="216">
        <v>66</v>
      </c>
      <c r="E552" s="216" t="str">
        <f>VLOOKUP(B552,Tutti!$B$2:$C$598,2,FALSE)</f>
        <v>CRO</v>
      </c>
      <c r="F552" t="b">
        <f t="shared" si="16"/>
        <v>1</v>
      </c>
      <c r="G552" s="183" t="str">
        <f t="shared" si="17"/>
        <v>CRO</v>
      </c>
    </row>
    <row r="553" spans="1:7" ht="15">
      <c r="A553" s="217" t="s">
        <v>43</v>
      </c>
      <c r="B553" s="217" t="s">
        <v>1985</v>
      </c>
      <c r="C553" s="217" t="s">
        <v>680</v>
      </c>
      <c r="D553" s="216">
        <v>58</v>
      </c>
      <c r="E553" s="216" t="str">
        <f>VLOOKUP(B553,Tutti!$B$2:$C$598,2,FALSE)</f>
        <v>CHI</v>
      </c>
      <c r="F553" t="b">
        <f t="shared" si="16"/>
        <v>1</v>
      </c>
      <c r="G553" s="183" t="str">
        <f t="shared" si="17"/>
        <v>CHI</v>
      </c>
    </row>
    <row r="554" spans="1:7" ht="15">
      <c r="A554" s="217" t="s">
        <v>43</v>
      </c>
      <c r="B554" s="217" t="s">
        <v>1754</v>
      </c>
      <c r="C554" s="217" t="s">
        <v>679</v>
      </c>
      <c r="D554" s="216">
        <v>67</v>
      </c>
      <c r="E554" s="216" t="str">
        <f>VLOOKUP(B554,Tutti!$B$2:$C$598,2,FALSE)</f>
        <v>GEN</v>
      </c>
      <c r="F554" t="b">
        <f t="shared" si="16"/>
        <v>1</v>
      </c>
      <c r="G554" s="183" t="str">
        <f t="shared" si="17"/>
        <v>GEN</v>
      </c>
    </row>
    <row r="555" spans="1:7" ht="15">
      <c r="A555" s="217" t="s">
        <v>43</v>
      </c>
      <c r="B555" s="217" t="s">
        <v>514</v>
      </c>
      <c r="C555" s="217" t="s">
        <v>692</v>
      </c>
      <c r="D555" s="216">
        <v>83</v>
      </c>
      <c r="E555" s="216" t="str">
        <f>VLOOKUP(B555,Tutti!$B$2:$C$598,2,FALSE)</f>
        <v>FIO</v>
      </c>
      <c r="F555" t="b">
        <f t="shared" si="16"/>
        <v>1</v>
      </c>
      <c r="G555" s="183" t="str">
        <f t="shared" si="17"/>
        <v>FIO</v>
      </c>
    </row>
    <row r="556" spans="1:7" ht="15">
      <c r="A556" s="217" t="s">
        <v>43</v>
      </c>
      <c r="B556" s="217" t="s">
        <v>520</v>
      </c>
      <c r="C556" s="217" t="s">
        <v>701</v>
      </c>
      <c r="D556" s="216">
        <v>73</v>
      </c>
      <c r="E556" s="216" t="str">
        <f>VLOOKUP(B556,Tutti!$B$2:$C$598,2,FALSE)</f>
        <v>CRO</v>
      </c>
      <c r="F556" t="b">
        <f t="shared" si="16"/>
        <v>1</v>
      </c>
      <c r="G556" s="183" t="str">
        <f t="shared" si="17"/>
        <v>CRO</v>
      </c>
    </row>
    <row r="557" spans="1:7" ht="15">
      <c r="A557" s="217" t="s">
        <v>43</v>
      </c>
      <c r="B557" s="217" t="s">
        <v>1847</v>
      </c>
      <c r="C557" s="217" t="s">
        <v>701</v>
      </c>
      <c r="D557" s="216">
        <v>70</v>
      </c>
      <c r="E557" s="216" t="str">
        <f>VLOOKUP(B557,Tutti!$B$2:$C$598,2,FALSE)</f>
        <v>CRO</v>
      </c>
      <c r="F557" t="b">
        <f t="shared" si="16"/>
        <v>1</v>
      </c>
      <c r="G557" s="183" t="str">
        <f t="shared" si="17"/>
        <v>CRO</v>
      </c>
    </row>
    <row r="558" spans="1:7" ht="15">
      <c r="A558" s="217" t="s">
        <v>43</v>
      </c>
      <c r="B558" s="217" t="s">
        <v>1793</v>
      </c>
      <c r="C558" s="217" t="s">
        <v>1674</v>
      </c>
      <c r="D558" s="216">
        <v>72</v>
      </c>
      <c r="E558" s="216" t="str">
        <f>VLOOKUP(B558,Tutti!$B$2:$C$598,2,FALSE)</f>
        <v>VER</v>
      </c>
      <c r="F558" t="b">
        <f t="shared" si="16"/>
        <v>1</v>
      </c>
      <c r="G558" s="183" t="str">
        <f t="shared" si="17"/>
        <v>VER</v>
      </c>
    </row>
    <row r="559" spans="1:7" ht="15">
      <c r="A559" s="217" t="s">
        <v>43</v>
      </c>
      <c r="B559" s="217" t="s">
        <v>1789</v>
      </c>
      <c r="C559" s="217" t="s">
        <v>686</v>
      </c>
      <c r="D559" s="216">
        <v>58</v>
      </c>
      <c r="E559" s="216" t="str">
        <f>VLOOKUP(B559,Tutti!$B$2:$C$598,2,FALSE)</f>
        <v>ATA</v>
      </c>
      <c r="F559" t="b">
        <f t="shared" si="16"/>
        <v>1</v>
      </c>
      <c r="G559" s="183" t="str">
        <f t="shared" si="17"/>
        <v>ATA</v>
      </c>
    </row>
    <row r="560" spans="1:7" ht="15">
      <c r="A560" s="217" t="s">
        <v>43</v>
      </c>
      <c r="B560" s="217" t="s">
        <v>522</v>
      </c>
      <c r="C560" s="217" t="s">
        <v>688</v>
      </c>
      <c r="D560" s="216">
        <v>83</v>
      </c>
      <c r="E560" s="216" t="str">
        <f>VLOOKUP(B560,Tutti!$B$2:$C$598,2,FALSE)</f>
        <v>SAM</v>
      </c>
      <c r="F560" t="b">
        <f t="shared" si="16"/>
        <v>1</v>
      </c>
      <c r="G560" s="183" t="str">
        <f t="shared" si="17"/>
        <v>SAM</v>
      </c>
    </row>
    <row r="561" spans="1:7" ht="15">
      <c r="A561" s="217" t="s">
        <v>43</v>
      </c>
      <c r="B561" s="217" t="s">
        <v>1747</v>
      </c>
      <c r="C561" s="217" t="s">
        <v>692</v>
      </c>
      <c r="D561" s="216">
        <v>68</v>
      </c>
      <c r="E561" s="216" t="str">
        <f>VLOOKUP(B561,Tutti!$B$2:$C$598,2,FALSE)</f>
        <v>FIO</v>
      </c>
      <c r="F561" t="b">
        <f t="shared" si="16"/>
        <v>1</v>
      </c>
      <c r="G561" s="183" t="str">
        <f t="shared" si="17"/>
        <v>FIO</v>
      </c>
    </row>
    <row r="562" spans="1:7" ht="15">
      <c r="A562" s="217" t="s">
        <v>43</v>
      </c>
      <c r="B562" s="217" t="s">
        <v>1807</v>
      </c>
      <c r="C562" s="217" t="s">
        <v>685</v>
      </c>
      <c r="D562" s="216">
        <v>60</v>
      </c>
      <c r="E562" s="216" t="str">
        <f>VLOOKUP(B562,Tutti!$B$2:$C$598,2,FALSE)</f>
        <v>SAS</v>
      </c>
      <c r="F562" t="b">
        <f t="shared" si="16"/>
        <v>1</v>
      </c>
      <c r="G562" s="183" t="str">
        <f t="shared" si="17"/>
        <v>SAS</v>
      </c>
    </row>
    <row r="563" spans="1:7" ht="15">
      <c r="A563" s="217"/>
      <c r="B563" s="217"/>
      <c r="C563" s="217"/>
      <c r="D563" s="216"/>
      <c r="E563" s="216"/>
      <c r="G563" s="183"/>
    </row>
    <row r="564" spans="1:7" ht="15">
      <c r="A564" s="217"/>
      <c r="B564" s="217"/>
      <c r="C564" s="217"/>
      <c r="D564" s="216"/>
      <c r="E564" s="216"/>
    </row>
    <row r="565" spans="1:7" ht="15">
      <c r="A565" s="217"/>
      <c r="B565" s="217"/>
      <c r="C565" s="217"/>
      <c r="D565" s="216"/>
      <c r="E565" s="216"/>
    </row>
    <row r="566" spans="1:7" ht="15">
      <c r="A566" s="217"/>
      <c r="B566" s="217"/>
      <c r="C566" s="217"/>
      <c r="D566" s="216"/>
      <c r="E566" s="216"/>
    </row>
    <row r="567" spans="1:7" ht="15">
      <c r="A567" s="217"/>
      <c r="B567" s="217"/>
      <c r="C567" s="217"/>
      <c r="D567" s="216"/>
      <c r="E567" s="216"/>
    </row>
    <row r="568" spans="1:7" ht="15">
      <c r="A568" s="217"/>
      <c r="B568" s="217"/>
      <c r="C568" s="217"/>
      <c r="D568" s="216"/>
      <c r="E568" s="216"/>
    </row>
    <row r="569" spans="1:7" ht="15">
      <c r="A569" s="217"/>
      <c r="B569" s="310"/>
      <c r="C569" s="217"/>
      <c r="D569" s="216"/>
      <c r="E569" s="216"/>
    </row>
    <row r="570" spans="1:7" ht="15">
      <c r="A570" s="217"/>
      <c r="B570" s="310"/>
      <c r="C570" s="217"/>
      <c r="D570" s="216"/>
      <c r="E570" s="216"/>
    </row>
    <row r="571" spans="1:7" ht="15">
      <c r="A571" s="217"/>
      <c r="B571" s="217"/>
      <c r="C571" s="217"/>
      <c r="D571" s="216"/>
      <c r="E571" s="216"/>
    </row>
    <row r="572" spans="1:7" ht="15">
      <c r="A572" s="217"/>
      <c r="B572" s="217"/>
      <c r="C572" s="217"/>
      <c r="D572" s="216"/>
      <c r="E572" s="216"/>
    </row>
    <row r="573" spans="1:7" ht="15">
      <c r="A573" s="217"/>
      <c r="B573" s="217"/>
      <c r="C573" s="217"/>
      <c r="D573" s="216"/>
      <c r="E573" s="216"/>
    </row>
    <row r="574" spans="1:7" ht="15">
      <c r="A574" s="217"/>
      <c r="B574" s="217"/>
      <c r="C574" s="217"/>
      <c r="D574" s="216"/>
      <c r="E574" s="216"/>
    </row>
    <row r="575" spans="1:7" ht="15">
      <c r="A575" s="217"/>
      <c r="B575" s="217"/>
      <c r="C575" s="217"/>
      <c r="D575" s="216"/>
      <c r="E575" s="216"/>
    </row>
    <row r="576" spans="1:7" ht="15">
      <c r="A576" s="217"/>
      <c r="B576" s="217"/>
      <c r="C576" s="217"/>
      <c r="D576" s="216"/>
      <c r="E576" s="216"/>
    </row>
    <row r="577" spans="1:5" ht="15">
      <c r="A577" s="217"/>
      <c r="B577" s="217"/>
      <c r="C577" s="217"/>
      <c r="D577" s="216"/>
      <c r="E577" s="216"/>
    </row>
    <row r="578" spans="1:5" ht="15">
      <c r="A578" s="217"/>
      <c r="B578" s="217"/>
      <c r="C578" s="217"/>
      <c r="D578" s="216"/>
      <c r="E578" s="216"/>
    </row>
    <row r="579" spans="1:5" ht="15">
      <c r="A579" s="217"/>
      <c r="B579" s="217"/>
      <c r="C579" s="217"/>
      <c r="D579" s="216"/>
      <c r="E579" s="216"/>
    </row>
    <row r="580" spans="1:5" ht="15">
      <c r="A580" s="217"/>
      <c r="B580" s="217"/>
      <c r="C580" s="217"/>
      <c r="D580" s="216"/>
      <c r="E580" s="216"/>
    </row>
    <row r="581" spans="1:5" ht="15">
      <c r="A581" s="217"/>
      <c r="B581" s="217"/>
      <c r="C581" s="217"/>
      <c r="D581" s="216"/>
      <c r="E581" s="216"/>
    </row>
    <row r="582" spans="1:5" ht="15">
      <c r="A582" s="217"/>
      <c r="B582" s="217"/>
      <c r="C582" s="217"/>
      <c r="D582" s="216"/>
      <c r="E582" s="216"/>
    </row>
    <row r="583" spans="1:5" ht="15">
      <c r="A583" s="217"/>
      <c r="B583" s="217"/>
      <c r="C583" s="217"/>
      <c r="D583" s="216"/>
      <c r="E583" s="216"/>
    </row>
    <row r="584" spans="1:5" ht="15">
      <c r="A584" s="217"/>
      <c r="B584" s="217"/>
      <c r="C584" s="217"/>
      <c r="D584" s="216"/>
      <c r="E584" s="216"/>
    </row>
    <row r="585" spans="1:5" ht="15">
      <c r="A585" s="217"/>
      <c r="B585" s="217"/>
      <c r="C585" s="217"/>
      <c r="D585" s="216"/>
      <c r="E585" s="216"/>
    </row>
    <row r="586" spans="1:5" ht="15">
      <c r="A586" s="217"/>
      <c r="B586" s="217"/>
      <c r="C586" s="217"/>
      <c r="D586" s="216"/>
      <c r="E586" s="216"/>
    </row>
    <row r="587" spans="1:5" ht="15">
      <c r="A587" s="217"/>
      <c r="B587" s="217"/>
      <c r="C587" s="217"/>
      <c r="D587" s="216"/>
      <c r="E587" s="216"/>
    </row>
    <row r="588" spans="1:5" ht="15">
      <c r="A588" s="217"/>
      <c r="B588" s="217"/>
      <c r="C588" s="217"/>
      <c r="D588" s="216"/>
      <c r="E588" s="216"/>
    </row>
    <row r="589" spans="1:5" ht="15">
      <c r="A589" s="217"/>
      <c r="B589" s="217"/>
      <c r="C589" s="217"/>
      <c r="D589" s="216"/>
      <c r="E589" s="216"/>
    </row>
    <row r="590" spans="1:5" ht="15">
      <c r="A590" s="217"/>
      <c r="B590" s="217"/>
      <c r="C590" s="217"/>
      <c r="D590" s="216"/>
      <c r="E590" s="216"/>
    </row>
    <row r="591" spans="1:5" ht="15">
      <c r="A591" s="217"/>
      <c r="B591" s="217"/>
      <c r="C591" s="217"/>
      <c r="D591" s="216"/>
      <c r="E591" s="216"/>
    </row>
    <row r="592" spans="1:5" ht="15">
      <c r="A592" s="217"/>
      <c r="B592" s="217"/>
      <c r="C592" s="217"/>
      <c r="D592" s="216"/>
      <c r="E592" s="216"/>
    </row>
  </sheetData>
  <autoFilter ref="A1:G563" xr:uid="{FD5F9A6D-F154-495B-AD87-B83229D7A199}">
    <sortState ref="A2:G563">
      <sortCondition descending="1" ref="A1:A563"/>
    </sortState>
  </autoFilter>
  <conditionalFormatting sqref="B566">
    <cfRule type="expression" dxfId="63" priority="7" stopIfTrue="1">
      <formula>VLOOKUP($B566,TabAlgTutti,1,FALSE)=$B566</formula>
    </cfRule>
  </conditionalFormatting>
  <conditionalFormatting sqref="B1:B2 B554:B1048576">
    <cfRule type="duplicateValues" dxfId="62" priority="4"/>
  </conditionalFormatting>
  <conditionalFormatting sqref="B3:B552 B554">
    <cfRule type="duplicateValues" dxfId="61" priority="2"/>
  </conditionalFormatting>
  <conditionalFormatting sqref="B553">
    <cfRule type="duplicateValues" dxfId="60" priority="1"/>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6">
    <tabColor rgb="FF333333"/>
  </sheetPr>
  <dimension ref="A1:H160"/>
  <sheetViews>
    <sheetView topLeftCell="A131" workbookViewId="0">
      <selection activeCell="A145" sqref="A145"/>
    </sheetView>
  </sheetViews>
  <sheetFormatPr defaultRowHeight="12.75"/>
  <cols>
    <col min="1" max="2" width="21.7109375" customWidth="1"/>
    <col min="3" max="3" width="15.42578125" bestFit="1" customWidth="1"/>
    <col min="5" max="5" width="14.42578125" bestFit="1" customWidth="1"/>
    <col min="7" max="7" width="15.42578125" bestFit="1" customWidth="1"/>
  </cols>
  <sheetData>
    <row r="1" spans="1:8">
      <c r="A1" t="s">
        <v>1345</v>
      </c>
      <c r="C1" t="s">
        <v>1346</v>
      </c>
      <c r="E1" t="s">
        <v>35</v>
      </c>
      <c r="G1" t="s">
        <v>43</v>
      </c>
    </row>
    <row r="2" spans="1:8">
      <c r="A2" t="s">
        <v>476</v>
      </c>
      <c r="B2">
        <v>1</v>
      </c>
      <c r="C2" t="s">
        <v>398</v>
      </c>
      <c r="D2">
        <v>1</v>
      </c>
      <c r="E2" t="s">
        <v>398</v>
      </c>
      <c r="F2">
        <v>1</v>
      </c>
      <c r="G2" t="s">
        <v>476</v>
      </c>
      <c r="H2">
        <v>1</v>
      </c>
    </row>
    <row r="3" spans="1:8">
      <c r="A3" t="s">
        <v>461</v>
      </c>
      <c r="B3">
        <v>1</v>
      </c>
      <c r="C3" t="s">
        <v>476</v>
      </c>
      <c r="D3">
        <v>2</v>
      </c>
      <c r="E3" t="s">
        <v>476</v>
      </c>
      <c r="F3">
        <v>2</v>
      </c>
      <c r="H3">
        <v>2</v>
      </c>
    </row>
    <row r="4" spans="1:8">
      <c r="A4" t="s">
        <v>390</v>
      </c>
      <c r="B4">
        <v>1</v>
      </c>
      <c r="C4" t="s">
        <v>1789</v>
      </c>
      <c r="D4">
        <v>3</v>
      </c>
      <c r="E4" t="s">
        <v>1790</v>
      </c>
      <c r="F4">
        <v>3</v>
      </c>
      <c r="G4" t="s">
        <v>1743</v>
      </c>
      <c r="H4">
        <v>1</v>
      </c>
    </row>
    <row r="5" spans="1:8">
      <c r="A5" t="s">
        <v>1790</v>
      </c>
      <c r="B5">
        <v>0</v>
      </c>
      <c r="C5" t="s">
        <v>1341</v>
      </c>
      <c r="D5">
        <v>1</v>
      </c>
      <c r="E5" t="s">
        <v>1789</v>
      </c>
      <c r="F5">
        <v>4</v>
      </c>
      <c r="G5" t="s">
        <v>1736</v>
      </c>
      <c r="H5">
        <v>2</v>
      </c>
    </row>
    <row r="6" spans="1:8">
      <c r="A6" t="s">
        <v>1781</v>
      </c>
      <c r="B6">
        <v>0</v>
      </c>
      <c r="C6" t="s">
        <v>1853</v>
      </c>
      <c r="D6">
        <v>2</v>
      </c>
      <c r="E6" t="s">
        <v>1736</v>
      </c>
      <c r="F6">
        <v>1</v>
      </c>
      <c r="G6" t="s">
        <v>621</v>
      </c>
      <c r="H6">
        <v>1</v>
      </c>
    </row>
    <row r="7" spans="1:8">
      <c r="A7" t="s">
        <v>1789</v>
      </c>
      <c r="B7">
        <v>0</v>
      </c>
      <c r="C7" t="s">
        <v>1980</v>
      </c>
      <c r="D7">
        <v>3</v>
      </c>
      <c r="E7" t="s">
        <v>414</v>
      </c>
      <c r="F7">
        <v>2</v>
      </c>
      <c r="G7" t="s">
        <v>519</v>
      </c>
      <c r="H7">
        <v>2</v>
      </c>
    </row>
    <row r="8" spans="1:8">
      <c r="A8" t="s">
        <v>1702</v>
      </c>
      <c r="B8">
        <v>0</v>
      </c>
      <c r="C8" t="s">
        <v>344</v>
      </c>
      <c r="D8">
        <v>1</v>
      </c>
      <c r="E8" t="s">
        <v>1743</v>
      </c>
      <c r="F8">
        <v>3</v>
      </c>
      <c r="G8" t="s">
        <v>395</v>
      </c>
      <c r="H8">
        <v>1</v>
      </c>
    </row>
    <row r="9" spans="1:8">
      <c r="A9" t="s">
        <v>525</v>
      </c>
      <c r="B9">
        <v>-1</v>
      </c>
      <c r="C9" t="s">
        <v>621</v>
      </c>
      <c r="D9">
        <v>2</v>
      </c>
      <c r="E9" t="s">
        <v>1699</v>
      </c>
      <c r="F9">
        <v>4</v>
      </c>
      <c r="G9" t="s">
        <v>1762</v>
      </c>
      <c r="H9">
        <v>2</v>
      </c>
    </row>
    <row r="10" spans="1:8">
      <c r="A10" t="s">
        <v>1341</v>
      </c>
      <c r="B10">
        <v>1</v>
      </c>
      <c r="C10" t="s">
        <v>519</v>
      </c>
      <c r="D10">
        <v>3</v>
      </c>
      <c r="E10" t="s">
        <v>621</v>
      </c>
      <c r="F10">
        <v>1</v>
      </c>
      <c r="G10" t="s">
        <v>354</v>
      </c>
      <c r="H10">
        <v>1</v>
      </c>
    </row>
    <row r="11" spans="1:8">
      <c r="A11" t="s">
        <v>1736</v>
      </c>
      <c r="B11">
        <v>1</v>
      </c>
      <c r="C11" t="s">
        <v>506</v>
      </c>
      <c r="D11">
        <v>1</v>
      </c>
      <c r="E11" t="s">
        <v>519</v>
      </c>
      <c r="F11">
        <v>2</v>
      </c>
      <c r="G11" t="s">
        <v>389</v>
      </c>
      <c r="H11">
        <v>2</v>
      </c>
    </row>
    <row r="12" spans="1:8">
      <c r="A12" t="s">
        <v>1699</v>
      </c>
      <c r="B12">
        <v>0</v>
      </c>
      <c r="C12" t="s">
        <v>477</v>
      </c>
      <c r="D12">
        <v>2</v>
      </c>
      <c r="E12" t="s">
        <v>613</v>
      </c>
      <c r="F12">
        <v>3</v>
      </c>
      <c r="G12" t="s">
        <v>323</v>
      </c>
      <c r="H12">
        <v>1</v>
      </c>
    </row>
    <row r="13" spans="1:8">
      <c r="A13" t="s">
        <v>414</v>
      </c>
      <c r="B13">
        <v>0</v>
      </c>
      <c r="C13" t="s">
        <v>372</v>
      </c>
      <c r="D13">
        <v>3</v>
      </c>
      <c r="F13">
        <v>4</v>
      </c>
      <c r="G13" t="s">
        <v>605</v>
      </c>
      <c r="H13">
        <v>2</v>
      </c>
    </row>
    <row r="14" spans="1:8">
      <c r="A14" t="s">
        <v>1696</v>
      </c>
      <c r="B14">
        <v>0</v>
      </c>
      <c r="C14" t="s">
        <v>480</v>
      </c>
      <c r="D14">
        <v>1</v>
      </c>
      <c r="E14" t="s">
        <v>395</v>
      </c>
      <c r="F14">
        <v>1</v>
      </c>
      <c r="G14" t="s">
        <v>335</v>
      </c>
      <c r="H14">
        <v>1</v>
      </c>
    </row>
    <row r="15" spans="1:8">
      <c r="A15" t="s">
        <v>1784</v>
      </c>
      <c r="B15">
        <v>0</v>
      </c>
      <c r="C15" t="s">
        <v>354</v>
      </c>
      <c r="D15">
        <v>2</v>
      </c>
      <c r="E15" t="s">
        <v>1951</v>
      </c>
      <c r="F15">
        <v>2</v>
      </c>
      <c r="G15" t="s">
        <v>600</v>
      </c>
      <c r="H15">
        <v>2</v>
      </c>
    </row>
    <row r="16" spans="1:8">
      <c r="A16" t="s">
        <v>1282</v>
      </c>
      <c r="B16">
        <v>-1</v>
      </c>
      <c r="C16" t="s">
        <v>1765</v>
      </c>
      <c r="D16">
        <v>3</v>
      </c>
      <c r="E16" t="s">
        <v>1762</v>
      </c>
      <c r="F16">
        <v>3</v>
      </c>
      <c r="G16" t="s">
        <v>1300</v>
      </c>
      <c r="H16">
        <v>1</v>
      </c>
    </row>
    <row r="17" spans="1:8">
      <c r="A17" t="s">
        <v>1745</v>
      </c>
      <c r="B17">
        <v>-1</v>
      </c>
      <c r="C17" t="s">
        <v>324</v>
      </c>
      <c r="D17">
        <v>1</v>
      </c>
      <c r="F17">
        <v>4</v>
      </c>
      <c r="G17" t="s">
        <v>527</v>
      </c>
      <c r="H17">
        <v>2</v>
      </c>
    </row>
    <row r="18" spans="1:8">
      <c r="A18" t="s">
        <v>621</v>
      </c>
      <c r="B18">
        <v>1</v>
      </c>
      <c r="C18" t="s">
        <v>520</v>
      </c>
      <c r="D18">
        <v>2</v>
      </c>
      <c r="E18" t="s">
        <v>354</v>
      </c>
      <c r="F18">
        <v>1</v>
      </c>
      <c r="G18" t="s">
        <v>1329</v>
      </c>
      <c r="H18">
        <v>1</v>
      </c>
    </row>
    <row r="19" spans="1:8">
      <c r="A19" t="s">
        <v>519</v>
      </c>
      <c r="B19">
        <v>1</v>
      </c>
      <c r="C19" t="s">
        <v>605</v>
      </c>
      <c r="D19">
        <v>3</v>
      </c>
      <c r="E19" t="s">
        <v>1765</v>
      </c>
      <c r="F19">
        <v>2</v>
      </c>
      <c r="G19" t="s">
        <v>361</v>
      </c>
      <c r="H19">
        <v>2</v>
      </c>
    </row>
    <row r="20" spans="1:8">
      <c r="A20" t="s">
        <v>546</v>
      </c>
      <c r="B20">
        <v>1</v>
      </c>
      <c r="C20" t="s">
        <v>1291</v>
      </c>
      <c r="D20">
        <v>1</v>
      </c>
      <c r="E20" t="s">
        <v>590</v>
      </c>
      <c r="F20">
        <v>3</v>
      </c>
      <c r="G20" t="s">
        <v>355</v>
      </c>
      <c r="H20">
        <v>1</v>
      </c>
    </row>
    <row r="21" spans="1:8">
      <c r="A21" t="s">
        <v>1755</v>
      </c>
      <c r="B21">
        <v>0</v>
      </c>
      <c r="C21" t="s">
        <v>600</v>
      </c>
      <c r="D21">
        <v>2</v>
      </c>
      <c r="F21">
        <v>4</v>
      </c>
      <c r="G21" t="s">
        <v>582</v>
      </c>
      <c r="H21">
        <v>2</v>
      </c>
    </row>
    <row r="22" spans="1:8">
      <c r="A22" t="s">
        <v>519</v>
      </c>
      <c r="B22">
        <v>0</v>
      </c>
      <c r="C22" t="s">
        <v>1291</v>
      </c>
      <c r="D22">
        <v>3</v>
      </c>
      <c r="E22" t="s">
        <v>323</v>
      </c>
      <c r="F22">
        <v>1</v>
      </c>
      <c r="G22" t="s">
        <v>456</v>
      </c>
      <c r="H22">
        <v>1</v>
      </c>
    </row>
    <row r="23" spans="1:8">
      <c r="A23" t="s">
        <v>344</v>
      </c>
      <c r="B23">
        <v>0</v>
      </c>
      <c r="C23" t="s">
        <v>303</v>
      </c>
      <c r="D23">
        <v>1</v>
      </c>
      <c r="E23" t="s">
        <v>1767</v>
      </c>
      <c r="F23">
        <v>2</v>
      </c>
      <c r="G23" t="s">
        <v>1340</v>
      </c>
      <c r="H23">
        <v>2</v>
      </c>
    </row>
    <row r="24" spans="1:8">
      <c r="A24" t="s">
        <v>524</v>
      </c>
      <c r="B24">
        <v>-1</v>
      </c>
      <c r="C24" t="s">
        <v>1300</v>
      </c>
      <c r="D24">
        <v>2</v>
      </c>
      <c r="E24" t="s">
        <v>605</v>
      </c>
      <c r="F24">
        <v>3</v>
      </c>
      <c r="G24" t="s">
        <v>346</v>
      </c>
      <c r="H24">
        <v>1</v>
      </c>
    </row>
    <row r="25" spans="1:8">
      <c r="A25" t="s">
        <v>587</v>
      </c>
      <c r="B25">
        <v>-1</v>
      </c>
      <c r="C25" t="s">
        <v>569</v>
      </c>
      <c r="D25">
        <v>3</v>
      </c>
      <c r="E25" t="s">
        <v>614</v>
      </c>
      <c r="F25">
        <v>4</v>
      </c>
      <c r="G25" t="s">
        <v>1735</v>
      </c>
      <c r="H25">
        <v>2</v>
      </c>
    </row>
    <row r="26" spans="1:8">
      <c r="A26" t="s">
        <v>1798</v>
      </c>
      <c r="B26">
        <v>-1</v>
      </c>
      <c r="C26" t="s">
        <v>396</v>
      </c>
      <c r="D26">
        <v>1</v>
      </c>
      <c r="E26" t="s">
        <v>600</v>
      </c>
      <c r="F26">
        <v>1</v>
      </c>
      <c r="G26" t="s">
        <v>500</v>
      </c>
      <c r="H26">
        <v>1</v>
      </c>
    </row>
    <row r="27" spans="1:8">
      <c r="A27" t="s">
        <v>506</v>
      </c>
      <c r="B27">
        <v>1</v>
      </c>
      <c r="C27" t="s">
        <v>378</v>
      </c>
      <c r="D27">
        <v>2</v>
      </c>
      <c r="F27">
        <v>2</v>
      </c>
      <c r="G27" t="s">
        <v>328</v>
      </c>
      <c r="H27">
        <v>2</v>
      </c>
    </row>
    <row r="28" spans="1:8">
      <c r="A28" t="s">
        <v>327</v>
      </c>
      <c r="B28">
        <v>1</v>
      </c>
      <c r="C28" t="s">
        <v>362</v>
      </c>
      <c r="D28">
        <v>3</v>
      </c>
      <c r="F28">
        <v>3</v>
      </c>
      <c r="G28" t="s">
        <v>581</v>
      </c>
      <c r="H28">
        <v>1</v>
      </c>
    </row>
    <row r="29" spans="1:8">
      <c r="A29" t="s">
        <v>477</v>
      </c>
      <c r="B29">
        <v>1</v>
      </c>
      <c r="C29" t="s">
        <v>355</v>
      </c>
      <c r="D29">
        <v>1</v>
      </c>
      <c r="F29">
        <v>4</v>
      </c>
      <c r="G29" t="s">
        <v>1692</v>
      </c>
      <c r="H29">
        <v>2</v>
      </c>
    </row>
    <row r="30" spans="1:8">
      <c r="A30" t="s">
        <v>372</v>
      </c>
      <c r="B30">
        <v>0</v>
      </c>
      <c r="C30" t="s">
        <v>543</v>
      </c>
      <c r="D30">
        <v>2</v>
      </c>
      <c r="E30" t="s">
        <v>1300</v>
      </c>
      <c r="F30">
        <v>1</v>
      </c>
      <c r="G30" t="s">
        <v>331</v>
      </c>
      <c r="H30">
        <v>1</v>
      </c>
    </row>
    <row r="31" spans="1:8">
      <c r="A31" t="s">
        <v>395</v>
      </c>
      <c r="B31">
        <v>0</v>
      </c>
      <c r="C31" t="s">
        <v>582</v>
      </c>
      <c r="D31">
        <v>3</v>
      </c>
      <c r="E31" t="s">
        <v>626</v>
      </c>
      <c r="F31">
        <v>2</v>
      </c>
      <c r="G31" t="s">
        <v>616</v>
      </c>
      <c r="H31">
        <v>2</v>
      </c>
    </row>
    <row r="32" spans="1:8">
      <c r="A32" t="s">
        <v>575</v>
      </c>
      <c r="B32">
        <v>-1</v>
      </c>
      <c r="C32" t="s">
        <v>401</v>
      </c>
      <c r="D32">
        <v>1</v>
      </c>
      <c r="E32" t="s">
        <v>569</v>
      </c>
      <c r="F32">
        <v>3</v>
      </c>
      <c r="G32" t="s">
        <v>315</v>
      </c>
      <c r="H32">
        <v>1</v>
      </c>
    </row>
    <row r="33" spans="1:8">
      <c r="A33" t="s">
        <v>430</v>
      </c>
      <c r="B33">
        <v>-1</v>
      </c>
      <c r="C33" t="s">
        <v>1293</v>
      </c>
      <c r="D33">
        <v>2</v>
      </c>
      <c r="E33" t="s">
        <v>343</v>
      </c>
      <c r="F33">
        <v>4</v>
      </c>
      <c r="G33" t="s">
        <v>586</v>
      </c>
      <c r="H33">
        <v>2</v>
      </c>
    </row>
    <row r="34" spans="1:8">
      <c r="A34" t="s">
        <v>310</v>
      </c>
      <c r="B34">
        <v>1</v>
      </c>
      <c r="C34" t="s">
        <v>456</v>
      </c>
      <c r="D34">
        <v>3</v>
      </c>
      <c r="E34" t="s">
        <v>361</v>
      </c>
      <c r="F34">
        <v>1</v>
      </c>
      <c r="G34" t="s">
        <v>1344</v>
      </c>
      <c r="H34">
        <v>1</v>
      </c>
    </row>
    <row r="35" spans="1:8">
      <c r="A35" t="s">
        <v>532</v>
      </c>
      <c r="B35">
        <v>1</v>
      </c>
      <c r="C35" t="s">
        <v>1303</v>
      </c>
      <c r="D35">
        <v>1</v>
      </c>
      <c r="E35" t="s">
        <v>378</v>
      </c>
      <c r="F35">
        <v>2</v>
      </c>
      <c r="G35" t="s">
        <v>1748</v>
      </c>
      <c r="H35">
        <v>2</v>
      </c>
    </row>
    <row r="36" spans="1:8">
      <c r="A36" t="s">
        <v>493</v>
      </c>
      <c r="B36">
        <v>1</v>
      </c>
      <c r="C36" t="s">
        <v>418</v>
      </c>
      <c r="D36">
        <v>2</v>
      </c>
      <c r="E36" t="s">
        <v>1329</v>
      </c>
      <c r="F36">
        <v>3</v>
      </c>
      <c r="G36" t="s">
        <v>532</v>
      </c>
      <c r="H36">
        <v>1</v>
      </c>
    </row>
    <row r="37" spans="1:8">
      <c r="A37" t="s">
        <v>345</v>
      </c>
      <c r="B37">
        <v>0</v>
      </c>
      <c r="C37" t="s">
        <v>346</v>
      </c>
      <c r="D37">
        <v>3</v>
      </c>
      <c r="E37" t="s">
        <v>367</v>
      </c>
      <c r="F37">
        <v>4</v>
      </c>
      <c r="G37" t="s">
        <v>619</v>
      </c>
      <c r="H37">
        <v>2</v>
      </c>
    </row>
    <row r="38" spans="1:8">
      <c r="A38" t="s">
        <v>462</v>
      </c>
      <c r="B38">
        <v>0</v>
      </c>
      <c r="C38" t="s">
        <v>552</v>
      </c>
      <c r="D38">
        <v>1</v>
      </c>
      <c r="E38" t="s">
        <v>355</v>
      </c>
      <c r="F38">
        <v>1</v>
      </c>
      <c r="G38" t="s">
        <v>421</v>
      </c>
      <c r="H38">
        <v>1</v>
      </c>
    </row>
    <row r="39" spans="1:8">
      <c r="A39" t="s">
        <v>333</v>
      </c>
      <c r="B39">
        <v>0</v>
      </c>
      <c r="C39" t="s">
        <v>408</v>
      </c>
      <c r="D39">
        <v>2</v>
      </c>
      <c r="E39" t="s">
        <v>582</v>
      </c>
      <c r="F39">
        <v>2</v>
      </c>
      <c r="G39" t="s">
        <v>504</v>
      </c>
      <c r="H39">
        <v>2</v>
      </c>
    </row>
    <row r="40" spans="1:8">
      <c r="A40" t="s">
        <v>1292</v>
      </c>
      <c r="B40">
        <v>-1</v>
      </c>
      <c r="C40" t="s">
        <v>508</v>
      </c>
      <c r="D40">
        <v>3</v>
      </c>
      <c r="E40" t="s">
        <v>1734</v>
      </c>
      <c r="F40">
        <v>3</v>
      </c>
      <c r="G40" t="s">
        <v>1739</v>
      </c>
      <c r="H40">
        <v>1</v>
      </c>
    </row>
    <row r="41" spans="1:8">
      <c r="A41" t="s">
        <v>1738</v>
      </c>
      <c r="B41">
        <v>-1</v>
      </c>
      <c r="C41" t="s">
        <v>581</v>
      </c>
      <c r="D41">
        <v>1</v>
      </c>
      <c r="E41" t="s">
        <v>340</v>
      </c>
      <c r="F41">
        <v>4</v>
      </c>
      <c r="G41" t="s">
        <v>1693</v>
      </c>
      <c r="H41">
        <v>2</v>
      </c>
    </row>
    <row r="42" spans="1:8">
      <c r="A42" t="s">
        <v>335</v>
      </c>
      <c r="B42">
        <v>1</v>
      </c>
      <c r="C42" t="s">
        <v>424</v>
      </c>
      <c r="D42">
        <v>2</v>
      </c>
      <c r="E42" t="s">
        <v>456</v>
      </c>
      <c r="F42">
        <v>1</v>
      </c>
    </row>
    <row r="43" spans="1:8">
      <c r="A43" t="s">
        <v>1291</v>
      </c>
      <c r="B43">
        <v>1</v>
      </c>
      <c r="C43" t="s">
        <v>606</v>
      </c>
      <c r="D43">
        <v>3</v>
      </c>
      <c r="E43" t="s">
        <v>1340</v>
      </c>
      <c r="F43">
        <v>2</v>
      </c>
    </row>
    <row r="44" spans="1:8">
      <c r="A44" t="s">
        <v>337</v>
      </c>
      <c r="B44">
        <v>1</v>
      </c>
      <c r="C44" t="s">
        <v>1950</v>
      </c>
      <c r="D44">
        <v>1</v>
      </c>
      <c r="F44">
        <v>3</v>
      </c>
    </row>
    <row r="45" spans="1:8">
      <c r="A45" t="s">
        <v>600</v>
      </c>
      <c r="B45">
        <v>0</v>
      </c>
      <c r="C45" t="s">
        <v>522</v>
      </c>
      <c r="D45">
        <v>2</v>
      </c>
      <c r="F45">
        <v>4</v>
      </c>
    </row>
    <row r="46" spans="1:8">
      <c r="A46" t="s">
        <v>1925</v>
      </c>
      <c r="B46">
        <v>0</v>
      </c>
      <c r="C46" t="s">
        <v>1923</v>
      </c>
      <c r="D46">
        <v>3</v>
      </c>
      <c r="E46" t="s">
        <v>1735</v>
      </c>
      <c r="F46">
        <v>1</v>
      </c>
    </row>
    <row r="47" spans="1:8">
      <c r="A47" t="s">
        <v>1937</v>
      </c>
      <c r="B47">
        <v>0</v>
      </c>
      <c r="C47" t="s">
        <v>315</v>
      </c>
      <c r="D47">
        <v>1</v>
      </c>
      <c r="E47" t="s">
        <v>346</v>
      </c>
      <c r="F47">
        <v>2</v>
      </c>
    </row>
    <row r="48" spans="1:8">
      <c r="A48" t="s">
        <v>432</v>
      </c>
      <c r="B48">
        <v>0</v>
      </c>
      <c r="C48" t="s">
        <v>369</v>
      </c>
      <c r="D48">
        <v>2</v>
      </c>
      <c r="E48" t="s">
        <v>610</v>
      </c>
      <c r="F48">
        <v>3</v>
      </c>
    </row>
    <row r="49" spans="1:6">
      <c r="A49" t="s">
        <v>1945</v>
      </c>
      <c r="B49">
        <v>-1</v>
      </c>
      <c r="C49" t="s">
        <v>586</v>
      </c>
      <c r="D49">
        <v>3</v>
      </c>
      <c r="E49" t="s">
        <v>1861</v>
      </c>
      <c r="F49">
        <v>4</v>
      </c>
    </row>
    <row r="50" spans="1:6">
      <c r="A50" t="s">
        <v>303</v>
      </c>
      <c r="B50">
        <v>-1</v>
      </c>
      <c r="C50" t="s">
        <v>319</v>
      </c>
      <c r="D50">
        <v>1</v>
      </c>
      <c r="E50" t="s">
        <v>408</v>
      </c>
      <c r="F50">
        <v>1</v>
      </c>
    </row>
    <row r="51" spans="1:6">
      <c r="A51" t="s">
        <v>358</v>
      </c>
      <c r="B51">
        <v>1</v>
      </c>
      <c r="C51" t="s">
        <v>1777</v>
      </c>
      <c r="D51">
        <v>2</v>
      </c>
      <c r="E51" t="s">
        <v>552</v>
      </c>
      <c r="F51">
        <v>2</v>
      </c>
    </row>
    <row r="52" spans="1:6">
      <c r="A52" t="s">
        <v>567</v>
      </c>
      <c r="B52">
        <v>1</v>
      </c>
      <c r="C52" t="s">
        <v>1344</v>
      </c>
      <c r="D52">
        <v>3</v>
      </c>
      <c r="E52" t="s">
        <v>500</v>
      </c>
      <c r="F52">
        <v>3</v>
      </c>
    </row>
    <row r="53" spans="1:6">
      <c r="A53" t="s">
        <v>1692</v>
      </c>
      <c r="B53">
        <v>1</v>
      </c>
      <c r="C53" t="s">
        <v>310</v>
      </c>
      <c r="D53">
        <v>1</v>
      </c>
      <c r="F53">
        <v>4</v>
      </c>
    </row>
    <row r="54" spans="1:6">
      <c r="A54" t="s">
        <v>485</v>
      </c>
      <c r="B54">
        <v>1</v>
      </c>
      <c r="C54" t="s">
        <v>532</v>
      </c>
      <c r="D54">
        <v>2</v>
      </c>
      <c r="E54" t="s">
        <v>1692</v>
      </c>
      <c r="F54">
        <v>1</v>
      </c>
    </row>
    <row r="55" spans="1:6">
      <c r="A55" t="s">
        <v>509</v>
      </c>
      <c r="B55">
        <v>1</v>
      </c>
      <c r="C55" t="s">
        <v>493</v>
      </c>
      <c r="D55">
        <v>3</v>
      </c>
      <c r="E55" t="s">
        <v>424</v>
      </c>
      <c r="F55">
        <v>2</v>
      </c>
    </row>
    <row r="56" spans="1:6">
      <c r="A56" t="s">
        <v>606</v>
      </c>
      <c r="B56">
        <v>0</v>
      </c>
      <c r="C56" t="s">
        <v>484</v>
      </c>
      <c r="D56">
        <v>1</v>
      </c>
      <c r="E56" t="s">
        <v>365</v>
      </c>
      <c r="F56">
        <v>3</v>
      </c>
    </row>
    <row r="57" spans="1:6">
      <c r="A57" t="s">
        <v>365</v>
      </c>
      <c r="B57">
        <v>0</v>
      </c>
      <c r="C57" t="s">
        <v>445</v>
      </c>
      <c r="D57">
        <v>2</v>
      </c>
      <c r="E57" t="s">
        <v>1756</v>
      </c>
      <c r="F57">
        <v>4</v>
      </c>
    </row>
    <row r="58" spans="1:6">
      <c r="A58" t="s">
        <v>1744</v>
      </c>
      <c r="B58">
        <v>0</v>
      </c>
      <c r="C58" t="s">
        <v>421</v>
      </c>
      <c r="D58">
        <v>3</v>
      </c>
      <c r="E58" t="s">
        <v>331</v>
      </c>
      <c r="F58">
        <v>1</v>
      </c>
    </row>
    <row r="59" spans="1:6">
      <c r="A59" t="s">
        <v>1700</v>
      </c>
      <c r="B59">
        <v>0</v>
      </c>
      <c r="C59" t="s">
        <v>1780</v>
      </c>
      <c r="D59">
        <v>1</v>
      </c>
      <c r="E59" t="s">
        <v>566</v>
      </c>
      <c r="F59">
        <v>2</v>
      </c>
    </row>
    <row r="60" spans="1:6">
      <c r="A60" t="s">
        <v>521</v>
      </c>
      <c r="B60">
        <v>-1</v>
      </c>
      <c r="C60" t="s">
        <v>1785</v>
      </c>
      <c r="D60">
        <v>2</v>
      </c>
      <c r="E60" t="s">
        <v>616</v>
      </c>
      <c r="F60">
        <v>3</v>
      </c>
    </row>
    <row r="61" spans="1:6">
      <c r="A61" t="s">
        <v>1756</v>
      </c>
      <c r="B61">
        <v>-1</v>
      </c>
      <c r="C61" t="s">
        <v>1739</v>
      </c>
      <c r="D61">
        <v>3</v>
      </c>
      <c r="E61" t="s">
        <v>1330</v>
      </c>
      <c r="F61">
        <v>4</v>
      </c>
    </row>
    <row r="62" spans="1:6">
      <c r="A62" t="s">
        <v>381</v>
      </c>
      <c r="B62">
        <v>-1</v>
      </c>
      <c r="E62" t="s">
        <v>315</v>
      </c>
      <c r="F62">
        <v>1</v>
      </c>
    </row>
    <row r="63" spans="1:6">
      <c r="A63" t="s">
        <v>393</v>
      </c>
      <c r="B63">
        <v>1</v>
      </c>
      <c r="E63" t="s">
        <v>586</v>
      </c>
      <c r="F63">
        <v>2</v>
      </c>
    </row>
    <row r="64" spans="1:6">
      <c r="A64" t="s">
        <v>312</v>
      </c>
      <c r="B64">
        <v>1</v>
      </c>
      <c r="E64" t="s">
        <v>603</v>
      </c>
      <c r="F64">
        <v>3</v>
      </c>
    </row>
    <row r="65" spans="1:6">
      <c r="A65" t="s">
        <v>1734</v>
      </c>
      <c r="B65">
        <v>1</v>
      </c>
      <c r="E65" t="s">
        <v>540</v>
      </c>
      <c r="F65">
        <v>4</v>
      </c>
    </row>
    <row r="66" spans="1:6">
      <c r="A66" t="s">
        <v>355</v>
      </c>
      <c r="B66">
        <v>0</v>
      </c>
      <c r="E66" t="s">
        <v>1344</v>
      </c>
      <c r="F66">
        <v>1</v>
      </c>
    </row>
    <row r="67" spans="1:6">
      <c r="A67" t="s">
        <v>543</v>
      </c>
      <c r="B67">
        <v>0</v>
      </c>
      <c r="E67" t="s">
        <v>319</v>
      </c>
      <c r="F67">
        <v>2</v>
      </c>
    </row>
    <row r="68" spans="1:6">
      <c r="A68" t="s">
        <v>1946</v>
      </c>
      <c r="B68">
        <v>-1</v>
      </c>
      <c r="E68" t="s">
        <v>1777</v>
      </c>
      <c r="F68">
        <v>3</v>
      </c>
    </row>
    <row r="69" spans="1:6">
      <c r="A69" t="s">
        <v>309</v>
      </c>
      <c r="B69">
        <v>-1</v>
      </c>
      <c r="E69" t="s">
        <v>532</v>
      </c>
      <c r="F69">
        <v>4</v>
      </c>
    </row>
    <row r="70" spans="1:6">
      <c r="A70" t="s">
        <v>451</v>
      </c>
      <c r="B70">
        <v>-1</v>
      </c>
      <c r="E70" t="s">
        <v>493</v>
      </c>
      <c r="F70">
        <v>1</v>
      </c>
    </row>
    <row r="71" spans="1:6">
      <c r="A71" t="s">
        <v>396</v>
      </c>
      <c r="B71">
        <v>1</v>
      </c>
      <c r="E71" t="s">
        <v>619</v>
      </c>
      <c r="F71">
        <v>2</v>
      </c>
    </row>
    <row r="72" spans="1:6">
      <c r="A72" t="s">
        <v>580</v>
      </c>
      <c r="B72">
        <v>1</v>
      </c>
      <c r="E72" t="s">
        <v>333</v>
      </c>
      <c r="F72">
        <v>3</v>
      </c>
    </row>
    <row r="73" spans="1:6">
      <c r="A73" t="s">
        <v>599</v>
      </c>
      <c r="B73">
        <v>0</v>
      </c>
      <c r="F73">
        <v>4</v>
      </c>
    </row>
    <row r="74" spans="1:6">
      <c r="A74" t="s">
        <v>1329</v>
      </c>
      <c r="B74">
        <v>0</v>
      </c>
      <c r="E74" t="s">
        <v>421</v>
      </c>
      <c r="F74">
        <v>1</v>
      </c>
    </row>
    <row r="75" spans="1:6">
      <c r="A75" t="s">
        <v>620</v>
      </c>
      <c r="B75">
        <v>0</v>
      </c>
      <c r="E75" t="s">
        <v>482</v>
      </c>
      <c r="F75">
        <v>2</v>
      </c>
    </row>
    <row r="76" spans="1:6">
      <c r="A76" t="s">
        <v>560</v>
      </c>
      <c r="B76">
        <v>-1</v>
      </c>
      <c r="E76" t="s">
        <v>318</v>
      </c>
      <c r="F76">
        <v>3</v>
      </c>
    </row>
    <row r="77" spans="1:6">
      <c r="A77" t="s">
        <v>425</v>
      </c>
      <c r="B77">
        <v>1</v>
      </c>
      <c r="F77">
        <v>4</v>
      </c>
    </row>
    <row r="78" spans="1:6">
      <c r="A78" t="s">
        <v>343</v>
      </c>
      <c r="B78">
        <v>1</v>
      </c>
      <c r="E78" t="s">
        <v>1739</v>
      </c>
      <c r="F78">
        <v>1</v>
      </c>
    </row>
    <row r="79" spans="1:6">
      <c r="A79" t="s">
        <v>495</v>
      </c>
      <c r="B79">
        <v>0</v>
      </c>
      <c r="E79" t="s">
        <v>1793</v>
      </c>
      <c r="F79">
        <v>2</v>
      </c>
    </row>
    <row r="80" spans="1:6">
      <c r="A80" t="s">
        <v>1786</v>
      </c>
      <c r="B80">
        <v>0</v>
      </c>
      <c r="F80">
        <v>3</v>
      </c>
    </row>
    <row r="81" spans="1:6">
      <c r="A81" t="s">
        <v>1843</v>
      </c>
      <c r="B81">
        <v>0</v>
      </c>
      <c r="F81">
        <v>4</v>
      </c>
    </row>
    <row r="82" spans="1:6">
      <c r="A82" t="s">
        <v>471</v>
      </c>
      <c r="B82">
        <v>-1</v>
      </c>
    </row>
    <row r="83" spans="1:6">
      <c r="A83" t="s">
        <v>498</v>
      </c>
      <c r="B83">
        <v>-1</v>
      </c>
    </row>
    <row r="84" spans="1:6">
      <c r="A84" t="s">
        <v>1294</v>
      </c>
      <c r="B84">
        <v>1</v>
      </c>
    </row>
    <row r="85" spans="1:6">
      <c r="A85" t="s">
        <v>1861</v>
      </c>
      <c r="B85">
        <v>1</v>
      </c>
    </row>
    <row r="86" spans="1:6">
      <c r="A86" t="s">
        <v>1735</v>
      </c>
      <c r="B86">
        <v>1</v>
      </c>
    </row>
    <row r="87" spans="1:6">
      <c r="A87" t="s">
        <v>1297</v>
      </c>
      <c r="B87">
        <v>0</v>
      </c>
    </row>
    <row r="88" spans="1:6">
      <c r="A88" t="s">
        <v>1952</v>
      </c>
      <c r="B88">
        <v>0</v>
      </c>
    </row>
    <row r="89" spans="1:6">
      <c r="A89" t="s">
        <v>1778</v>
      </c>
    </row>
    <row r="90" spans="1:6">
      <c r="A90" t="s">
        <v>1783</v>
      </c>
      <c r="B90">
        <v>-1</v>
      </c>
    </row>
    <row r="91" spans="1:6">
      <c r="A91" t="s">
        <v>559</v>
      </c>
      <c r="B91">
        <v>-1</v>
      </c>
    </row>
    <row r="92" spans="1:6">
      <c r="A92" t="s">
        <v>555</v>
      </c>
      <c r="B92">
        <v>1</v>
      </c>
    </row>
    <row r="93" spans="1:6">
      <c r="A93" t="s">
        <v>455</v>
      </c>
      <c r="B93">
        <v>1</v>
      </c>
    </row>
    <row r="94" spans="1:6">
      <c r="A94" t="s">
        <v>401</v>
      </c>
      <c r="B94">
        <v>1</v>
      </c>
    </row>
    <row r="95" spans="1:6">
      <c r="A95" t="s">
        <v>456</v>
      </c>
      <c r="B95">
        <v>0</v>
      </c>
    </row>
    <row r="96" spans="1:6">
      <c r="A96" t="s">
        <v>1340</v>
      </c>
      <c r="B96">
        <v>0</v>
      </c>
    </row>
    <row r="97" spans="1:2">
      <c r="A97" t="s">
        <v>1740</v>
      </c>
      <c r="B97">
        <v>-1</v>
      </c>
    </row>
    <row r="98" spans="1:2">
      <c r="A98" t="s">
        <v>1796</v>
      </c>
      <c r="B98">
        <v>-1</v>
      </c>
    </row>
    <row r="99" spans="1:2">
      <c r="A99" t="s">
        <v>483</v>
      </c>
      <c r="B99">
        <v>1</v>
      </c>
    </row>
    <row r="100" spans="1:2">
      <c r="A100" t="s">
        <v>408</v>
      </c>
      <c r="B100">
        <v>1</v>
      </c>
    </row>
    <row r="101" spans="1:2">
      <c r="A101" t="s">
        <v>523</v>
      </c>
      <c r="B101">
        <v>1</v>
      </c>
    </row>
    <row r="102" spans="1:2">
      <c r="A102" t="s">
        <v>454</v>
      </c>
      <c r="B102">
        <v>0</v>
      </c>
    </row>
    <row r="103" spans="1:2">
      <c r="A103" t="s">
        <v>1792</v>
      </c>
      <c r="B103">
        <v>0</v>
      </c>
    </row>
    <row r="104" spans="1:2">
      <c r="A104" t="s">
        <v>515</v>
      </c>
      <c r="B104">
        <v>-1</v>
      </c>
    </row>
    <row r="105" spans="1:2">
      <c r="A105" t="s">
        <v>468</v>
      </c>
      <c r="B105">
        <v>-1</v>
      </c>
    </row>
    <row r="106" spans="1:2">
      <c r="A106" t="s">
        <v>405</v>
      </c>
      <c r="B106">
        <v>1</v>
      </c>
    </row>
    <row r="107" spans="1:2">
      <c r="A107" t="s">
        <v>354</v>
      </c>
      <c r="B107">
        <v>1</v>
      </c>
    </row>
    <row r="108" spans="1:2">
      <c r="A108" t="s">
        <v>389</v>
      </c>
      <c r="B108">
        <v>1</v>
      </c>
    </row>
    <row r="109" spans="1:2">
      <c r="A109" t="s">
        <v>480</v>
      </c>
      <c r="B109">
        <v>0</v>
      </c>
    </row>
    <row r="110" spans="1:2">
      <c r="A110" t="s">
        <v>1335</v>
      </c>
      <c r="B110">
        <v>0</v>
      </c>
    </row>
    <row r="111" spans="1:2">
      <c r="A111" t="s">
        <v>1751</v>
      </c>
      <c r="B111">
        <v>0</v>
      </c>
    </row>
    <row r="112" spans="1:2">
      <c r="A112" t="s">
        <v>609</v>
      </c>
      <c r="B112">
        <v>-1</v>
      </c>
    </row>
    <row r="113" spans="1:2">
      <c r="A113" t="s">
        <v>450</v>
      </c>
      <c r="B113">
        <v>-1</v>
      </c>
    </row>
    <row r="114" spans="1:2">
      <c r="A114" t="s">
        <v>487</v>
      </c>
      <c r="B114">
        <v>-1</v>
      </c>
    </row>
    <row r="115" spans="1:2">
      <c r="A115" t="s">
        <v>319</v>
      </c>
      <c r="B115">
        <v>1</v>
      </c>
    </row>
    <row r="116" spans="1:2">
      <c r="A116" t="s">
        <v>1675</v>
      </c>
      <c r="B116">
        <v>1</v>
      </c>
    </row>
    <row r="117" spans="1:2">
      <c r="A117" t="s">
        <v>1741</v>
      </c>
      <c r="B117">
        <v>0</v>
      </c>
    </row>
    <row r="118" spans="1:2">
      <c r="A118" t="s">
        <v>1344</v>
      </c>
      <c r="B118">
        <v>0</v>
      </c>
    </row>
    <row r="119" spans="1:2">
      <c r="A119" t="s">
        <v>1731</v>
      </c>
      <c r="B119">
        <v>-1</v>
      </c>
    </row>
    <row r="120" spans="1:2">
      <c r="A120" t="s">
        <v>596</v>
      </c>
      <c r="B120">
        <v>-1</v>
      </c>
    </row>
    <row r="121" spans="1:2">
      <c r="A121" t="s">
        <v>421</v>
      </c>
      <c r="B121">
        <v>1</v>
      </c>
    </row>
    <row r="122" spans="1:2">
      <c r="A122" t="s">
        <v>459</v>
      </c>
      <c r="B122">
        <v>1</v>
      </c>
    </row>
    <row r="123" spans="1:2">
      <c r="A123" t="s">
        <v>504</v>
      </c>
      <c r="B123">
        <v>0</v>
      </c>
    </row>
    <row r="124" spans="1:2">
      <c r="A124" t="s">
        <v>591</v>
      </c>
      <c r="B124">
        <v>0</v>
      </c>
    </row>
    <row r="125" spans="1:2">
      <c r="A125" t="s">
        <v>1779</v>
      </c>
      <c r="B125">
        <v>0</v>
      </c>
    </row>
    <row r="126" spans="1:2">
      <c r="A126" t="s">
        <v>482</v>
      </c>
      <c r="B126">
        <v>-1</v>
      </c>
    </row>
    <row r="127" spans="1:2">
      <c r="A127" t="s">
        <v>321</v>
      </c>
      <c r="B127">
        <v>-1</v>
      </c>
    </row>
    <row r="128" spans="1:2">
      <c r="A128" t="s">
        <v>598</v>
      </c>
      <c r="B128">
        <v>1</v>
      </c>
    </row>
    <row r="129" spans="1:2">
      <c r="A129" t="s">
        <v>1923</v>
      </c>
      <c r="B129">
        <v>1</v>
      </c>
    </row>
    <row r="130" spans="1:2">
      <c r="A130" t="s">
        <v>494</v>
      </c>
      <c r="B130">
        <v>1</v>
      </c>
    </row>
    <row r="131" spans="1:2">
      <c r="A131" t="s">
        <v>530</v>
      </c>
      <c r="B131">
        <v>0</v>
      </c>
    </row>
    <row r="132" spans="1:2">
      <c r="A132" t="s">
        <v>1330</v>
      </c>
      <c r="B132">
        <v>0</v>
      </c>
    </row>
    <row r="133" spans="1:2">
      <c r="A133" t="s">
        <v>331</v>
      </c>
      <c r="B133">
        <v>0</v>
      </c>
    </row>
    <row r="134" spans="1:2">
      <c r="A134" t="s">
        <v>522</v>
      </c>
      <c r="B134">
        <v>0</v>
      </c>
    </row>
    <row r="135" spans="1:2">
      <c r="A135" t="s">
        <v>1305</v>
      </c>
      <c r="B135">
        <v>-1</v>
      </c>
    </row>
    <row r="136" spans="1:2">
      <c r="A136" t="s">
        <v>1947</v>
      </c>
      <c r="B136">
        <v>-1</v>
      </c>
    </row>
    <row r="137" spans="1:2">
      <c r="A137" t="s">
        <v>577</v>
      </c>
      <c r="B137">
        <v>-1</v>
      </c>
    </row>
    <row r="138" spans="1:2">
      <c r="A138" t="s">
        <v>597</v>
      </c>
      <c r="B138">
        <v>-1</v>
      </c>
    </row>
    <row r="139" spans="1:2">
      <c r="A139" t="s">
        <v>329</v>
      </c>
      <c r="B139">
        <v>1</v>
      </c>
    </row>
    <row r="140" spans="1:2">
      <c r="A140" t="s">
        <v>324</v>
      </c>
      <c r="B140">
        <v>1</v>
      </c>
    </row>
    <row r="141" spans="1:2">
      <c r="A141" t="s">
        <v>403</v>
      </c>
      <c r="B141">
        <v>0</v>
      </c>
    </row>
    <row r="142" spans="1:2">
      <c r="A142" t="s">
        <v>605</v>
      </c>
      <c r="B142">
        <v>0</v>
      </c>
    </row>
    <row r="143" spans="1:2">
      <c r="A143" t="s">
        <v>1706</v>
      </c>
      <c r="B143">
        <v>-1</v>
      </c>
    </row>
    <row r="144" spans="1:2">
      <c r="A144" t="s">
        <v>1767</v>
      </c>
      <c r="B144">
        <v>-1</v>
      </c>
    </row>
    <row r="145" spans="1:2">
      <c r="A145" t="s">
        <v>1739</v>
      </c>
      <c r="B145">
        <v>1</v>
      </c>
    </row>
    <row r="146" spans="1:2">
      <c r="A146" t="s">
        <v>1780</v>
      </c>
      <c r="B146">
        <v>1</v>
      </c>
    </row>
    <row r="147" spans="1:2">
      <c r="A147" t="s">
        <v>1693</v>
      </c>
      <c r="B147">
        <v>1</v>
      </c>
    </row>
    <row r="148" spans="1:2">
      <c r="A148" t="s">
        <v>1793</v>
      </c>
      <c r="B148">
        <v>0</v>
      </c>
    </row>
    <row r="149" spans="1:2">
      <c r="A149" t="s">
        <v>1785</v>
      </c>
      <c r="B149">
        <v>0</v>
      </c>
    </row>
    <row r="150" spans="1:2">
      <c r="A150" t="s">
        <v>510</v>
      </c>
      <c r="B150">
        <v>0</v>
      </c>
    </row>
    <row r="151" spans="1:2">
      <c r="A151" t="s">
        <v>1679</v>
      </c>
      <c r="B151">
        <v>-1</v>
      </c>
    </row>
    <row r="152" spans="1:2">
      <c r="A152" t="s">
        <v>1718</v>
      </c>
      <c r="B152">
        <v>-1</v>
      </c>
    </row>
    <row r="153" spans="1:2">
      <c r="A153" t="s">
        <v>1948</v>
      </c>
      <c r="B153">
        <v>-1</v>
      </c>
    </row>
    <row r="154" spans="1:2">
      <c r="A154" t="s">
        <v>1730</v>
      </c>
      <c r="B154">
        <v>-1</v>
      </c>
    </row>
    <row r="155" spans="1:2">
      <c r="A155" t="s">
        <v>301</v>
      </c>
      <c r="B155">
        <v>1</v>
      </c>
    </row>
    <row r="156" spans="1:2">
      <c r="A156" t="s">
        <v>369</v>
      </c>
      <c r="B156">
        <v>1</v>
      </c>
    </row>
    <row r="157" spans="1:2">
      <c r="A157" t="s">
        <v>603</v>
      </c>
      <c r="B157">
        <v>0</v>
      </c>
    </row>
    <row r="158" spans="1:2">
      <c r="A158" t="s">
        <v>325</v>
      </c>
      <c r="B158">
        <v>0</v>
      </c>
    </row>
    <row r="159" spans="1:2">
      <c r="A159" t="s">
        <v>556</v>
      </c>
      <c r="B159">
        <v>-1</v>
      </c>
    </row>
    <row r="160" spans="1:2">
      <c r="A160" t="s">
        <v>568</v>
      </c>
      <c r="B160">
        <v>-1</v>
      </c>
    </row>
  </sheetData>
  <conditionalFormatting sqref="A89 A90:B160 A2:B88">
    <cfRule type="expression" dxfId="59" priority="1">
      <formula>$B2=-1</formula>
    </cfRule>
    <cfRule type="expression" dxfId="58" priority="2" stopIfTrue="1">
      <formula>$B2=0</formula>
    </cfRule>
    <cfRule type="expression" dxfId="57" priority="3" stopIfTrue="1">
      <formula>$B2=1</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83BD3-9496-4D10-9A3C-F70307E8DF2C}">
  <dimension ref="A2:T191"/>
  <sheetViews>
    <sheetView workbookViewId="0">
      <selection activeCell="J3" sqref="J3"/>
    </sheetView>
  </sheetViews>
  <sheetFormatPr defaultRowHeight="12.75"/>
  <sheetData>
    <row r="2" spans="1:20">
      <c r="B2">
        <v>6</v>
      </c>
      <c r="C2">
        <v>8</v>
      </c>
      <c r="D2">
        <v>10</v>
      </c>
      <c r="E2">
        <v>12</v>
      </c>
      <c r="G2">
        <v>6</v>
      </c>
      <c r="H2">
        <v>8</v>
      </c>
      <c r="I2">
        <v>10</v>
      </c>
      <c r="J2">
        <v>12</v>
      </c>
      <c r="L2">
        <v>6</v>
      </c>
      <c r="M2">
        <v>8</v>
      </c>
      <c r="N2">
        <v>10</v>
      </c>
      <c r="O2">
        <v>12</v>
      </c>
      <c r="Q2">
        <v>6</v>
      </c>
      <c r="R2">
        <v>8</v>
      </c>
      <c r="S2">
        <v>10</v>
      </c>
      <c r="T2">
        <v>12</v>
      </c>
    </row>
    <row r="3" spans="1:20">
      <c r="A3" t="s">
        <v>316</v>
      </c>
      <c r="D3">
        <v>13.18</v>
      </c>
      <c r="F3" t="s">
        <v>312</v>
      </c>
      <c r="I3">
        <v>7.12</v>
      </c>
      <c r="K3" t="s">
        <v>483</v>
      </c>
      <c r="N3">
        <v>16.62</v>
      </c>
      <c r="P3" t="s">
        <v>393</v>
      </c>
      <c r="S3">
        <v>33.11</v>
      </c>
    </row>
    <row r="4" spans="1:20">
      <c r="A4" t="s">
        <v>1294</v>
      </c>
      <c r="D4">
        <v>12.36</v>
      </c>
      <c r="F4" t="s">
        <v>523</v>
      </c>
      <c r="I4">
        <v>4.6900000000000004</v>
      </c>
      <c r="K4" t="s">
        <v>1734</v>
      </c>
      <c r="N4">
        <v>13.55</v>
      </c>
      <c r="P4" t="s">
        <v>355</v>
      </c>
      <c r="S4">
        <v>27.86</v>
      </c>
    </row>
    <row r="5" spans="1:20">
      <c r="A5" t="s">
        <v>886</v>
      </c>
      <c r="F5" t="s">
        <v>371</v>
      </c>
      <c r="I5">
        <v>7.06</v>
      </c>
      <c r="K5" t="s">
        <v>582</v>
      </c>
      <c r="N5">
        <v>10.57</v>
      </c>
      <c r="P5" t="s">
        <v>552</v>
      </c>
      <c r="S5">
        <v>30.61</v>
      </c>
    </row>
    <row r="6" spans="1:20">
      <c r="A6" t="s">
        <v>300</v>
      </c>
      <c r="D6">
        <v>7.12</v>
      </c>
      <c r="F6" t="s">
        <v>301</v>
      </c>
      <c r="I6">
        <v>3.75</v>
      </c>
      <c r="K6" t="s">
        <v>624</v>
      </c>
      <c r="N6">
        <v>7.52</v>
      </c>
      <c r="P6" t="s">
        <v>358</v>
      </c>
      <c r="S6">
        <v>27.54</v>
      </c>
    </row>
    <row r="7" spans="1:20">
      <c r="A7" t="s">
        <v>416</v>
      </c>
      <c r="D7">
        <v>8.3800000000000008</v>
      </c>
      <c r="F7" t="s">
        <v>500</v>
      </c>
      <c r="I7">
        <v>3.71</v>
      </c>
      <c r="K7" t="s">
        <v>567</v>
      </c>
      <c r="N7">
        <v>15.61</v>
      </c>
      <c r="P7" t="s">
        <v>408</v>
      </c>
      <c r="S7">
        <v>25.46</v>
      </c>
    </row>
    <row r="8" spans="1:20">
      <c r="A8" t="s">
        <v>356</v>
      </c>
      <c r="D8">
        <v>10</v>
      </c>
      <c r="F8" t="s">
        <v>429</v>
      </c>
      <c r="I8">
        <v>5.41</v>
      </c>
      <c r="K8" t="s">
        <v>340</v>
      </c>
      <c r="N8">
        <v>6.42</v>
      </c>
      <c r="P8" t="s">
        <v>328</v>
      </c>
      <c r="S8">
        <v>15.79</v>
      </c>
    </row>
    <row r="9" spans="1:20">
      <c r="A9" t="s">
        <v>1444</v>
      </c>
      <c r="D9">
        <v>5.78</v>
      </c>
      <c r="F9" t="s">
        <v>1861</v>
      </c>
      <c r="I9">
        <v>6.21</v>
      </c>
      <c r="K9" t="s">
        <v>580</v>
      </c>
      <c r="N9">
        <v>15.55</v>
      </c>
      <c r="P9" t="s">
        <v>401</v>
      </c>
      <c r="S9">
        <v>28.92</v>
      </c>
    </row>
    <row r="10" spans="1:20">
      <c r="A10" t="s">
        <v>432</v>
      </c>
      <c r="D10">
        <v>4.07</v>
      </c>
      <c r="F10" t="s">
        <v>417</v>
      </c>
      <c r="I10">
        <v>4.67</v>
      </c>
      <c r="K10" t="s">
        <v>1735</v>
      </c>
      <c r="N10">
        <v>8.74</v>
      </c>
      <c r="P10" t="s">
        <v>310</v>
      </c>
      <c r="S10">
        <v>28.65</v>
      </c>
    </row>
    <row r="11" spans="1:20">
      <c r="A11" t="s">
        <v>392</v>
      </c>
      <c r="D11">
        <v>4.04</v>
      </c>
      <c r="F11" t="s">
        <v>360</v>
      </c>
      <c r="I11">
        <v>2.69</v>
      </c>
      <c r="K11" t="s">
        <v>302</v>
      </c>
      <c r="P11" t="s">
        <v>433</v>
      </c>
      <c r="S11">
        <v>8.33</v>
      </c>
    </row>
    <row r="12" spans="1:20">
      <c r="A12" t="s">
        <v>446</v>
      </c>
      <c r="D12">
        <v>3.95</v>
      </c>
      <c r="F12" t="s">
        <v>588</v>
      </c>
      <c r="I12">
        <v>2.69</v>
      </c>
      <c r="K12" t="s">
        <v>513</v>
      </c>
      <c r="N12">
        <v>5.26</v>
      </c>
      <c r="P12" t="s">
        <v>396</v>
      </c>
      <c r="S12">
        <v>36.29</v>
      </c>
    </row>
    <row r="13" spans="1:20">
      <c r="A13" t="s">
        <v>325</v>
      </c>
      <c r="D13">
        <v>3.37</v>
      </c>
      <c r="F13" t="s">
        <v>390</v>
      </c>
      <c r="I13">
        <v>4.58</v>
      </c>
      <c r="K13" t="s">
        <v>606</v>
      </c>
      <c r="N13">
        <v>7.65</v>
      </c>
      <c r="P13" t="s">
        <v>476</v>
      </c>
      <c r="S13">
        <v>15.46</v>
      </c>
    </row>
    <row r="14" spans="1:20">
      <c r="A14" t="s">
        <v>311</v>
      </c>
      <c r="D14">
        <v>4.26</v>
      </c>
      <c r="F14" t="s">
        <v>308</v>
      </c>
      <c r="I14">
        <v>3.27</v>
      </c>
      <c r="K14" t="s">
        <v>456</v>
      </c>
      <c r="N14">
        <v>9.36</v>
      </c>
      <c r="P14" t="s">
        <v>509</v>
      </c>
      <c r="S14">
        <v>3.59</v>
      </c>
    </row>
    <row r="15" spans="1:20">
      <c r="A15" t="s">
        <v>431</v>
      </c>
      <c r="D15">
        <v>3.56</v>
      </c>
      <c r="F15" t="s">
        <v>349</v>
      </c>
      <c r="I15">
        <v>2.52</v>
      </c>
      <c r="K15" t="s">
        <v>555</v>
      </c>
      <c r="N15">
        <v>8.86</v>
      </c>
      <c r="P15" t="s">
        <v>454</v>
      </c>
      <c r="S15">
        <v>5.76</v>
      </c>
    </row>
    <row r="16" spans="1:20">
      <c r="A16" t="s">
        <v>379</v>
      </c>
      <c r="D16">
        <v>1.1000000000000001</v>
      </c>
      <c r="F16" t="s">
        <v>1981</v>
      </c>
      <c r="K16" t="s">
        <v>1303</v>
      </c>
      <c r="N16">
        <v>9.51</v>
      </c>
      <c r="P16" t="s">
        <v>1291</v>
      </c>
      <c r="S16">
        <v>15.85</v>
      </c>
    </row>
    <row r="17" spans="1:19">
      <c r="A17" t="s">
        <v>420</v>
      </c>
      <c r="D17">
        <v>2.83</v>
      </c>
      <c r="F17" t="s">
        <v>485</v>
      </c>
      <c r="I17">
        <v>2.75</v>
      </c>
      <c r="K17" t="s">
        <v>1339</v>
      </c>
      <c r="N17">
        <v>3.58</v>
      </c>
      <c r="P17" t="s">
        <v>365</v>
      </c>
      <c r="S17">
        <v>4.13</v>
      </c>
    </row>
    <row r="18" spans="1:19">
      <c r="A18" t="s">
        <v>428</v>
      </c>
      <c r="F18" t="s">
        <v>455</v>
      </c>
      <c r="I18">
        <v>3.89</v>
      </c>
      <c r="K18" t="s">
        <v>1938</v>
      </c>
      <c r="N18">
        <v>4.32</v>
      </c>
      <c r="P18" t="s">
        <v>1778</v>
      </c>
      <c r="S18">
        <v>13.92</v>
      </c>
    </row>
    <row r="19" spans="1:19">
      <c r="A19" t="s">
        <v>329</v>
      </c>
      <c r="D19">
        <v>0.97</v>
      </c>
      <c r="F19" t="s">
        <v>1297</v>
      </c>
      <c r="I19">
        <v>2.64</v>
      </c>
      <c r="K19" t="s">
        <v>493</v>
      </c>
      <c r="N19">
        <v>11</v>
      </c>
      <c r="P19" t="s">
        <v>418</v>
      </c>
      <c r="S19">
        <v>19.829999999999998</v>
      </c>
    </row>
    <row r="20" spans="1:19">
      <c r="A20" t="s">
        <v>1676</v>
      </c>
      <c r="D20">
        <v>5.08</v>
      </c>
      <c r="F20" t="s">
        <v>515</v>
      </c>
      <c r="I20">
        <v>2.4300000000000002</v>
      </c>
      <c r="K20" t="s">
        <v>532</v>
      </c>
      <c r="N20">
        <v>11.26</v>
      </c>
      <c r="P20" t="s">
        <v>610</v>
      </c>
      <c r="S20">
        <v>7.34</v>
      </c>
    </row>
    <row r="21" spans="1:19">
      <c r="A21" t="s">
        <v>1677</v>
      </c>
      <c r="F21" t="s">
        <v>539</v>
      </c>
      <c r="I21">
        <v>4.1900000000000004</v>
      </c>
      <c r="K21" t="s">
        <v>378</v>
      </c>
      <c r="N21">
        <v>8.31</v>
      </c>
      <c r="P21" t="s">
        <v>1982</v>
      </c>
    </row>
    <row r="22" spans="1:19">
      <c r="A22" t="s">
        <v>332</v>
      </c>
      <c r="F22" t="s">
        <v>1692</v>
      </c>
      <c r="I22">
        <v>3.65</v>
      </c>
      <c r="K22" t="s">
        <v>461</v>
      </c>
      <c r="P22" t="s">
        <v>369</v>
      </c>
      <c r="S22">
        <v>8.0500000000000007</v>
      </c>
    </row>
    <row r="23" spans="1:19">
      <c r="A23" t="s">
        <v>409</v>
      </c>
      <c r="F23" t="s">
        <v>1302</v>
      </c>
      <c r="I23">
        <v>2.4500000000000002</v>
      </c>
      <c r="K23" t="s">
        <v>508</v>
      </c>
      <c r="N23">
        <v>4.51</v>
      </c>
      <c r="P23" t="s">
        <v>486</v>
      </c>
      <c r="S23">
        <v>5.57</v>
      </c>
    </row>
    <row r="24" spans="1:19">
      <c r="A24" t="s">
        <v>366</v>
      </c>
      <c r="F24" t="s">
        <v>551</v>
      </c>
      <c r="I24">
        <v>3</v>
      </c>
      <c r="K24" t="s">
        <v>335</v>
      </c>
      <c r="N24">
        <v>8.3800000000000008</v>
      </c>
      <c r="P24" t="s">
        <v>477</v>
      </c>
      <c r="S24">
        <v>4.09</v>
      </c>
    </row>
    <row r="25" spans="1:19">
      <c r="A25" t="s">
        <v>1679</v>
      </c>
      <c r="F25" t="s">
        <v>591</v>
      </c>
      <c r="K25" t="s">
        <v>538</v>
      </c>
      <c r="P25" t="s">
        <v>1782</v>
      </c>
    </row>
    <row r="26" spans="1:19">
      <c r="A26" t="s">
        <v>402</v>
      </c>
      <c r="F26" t="s">
        <v>618</v>
      </c>
      <c r="K26" t="s">
        <v>578</v>
      </c>
      <c r="N26">
        <v>4.42</v>
      </c>
      <c r="P26" t="s">
        <v>462</v>
      </c>
    </row>
    <row r="27" spans="1:19">
      <c r="A27" t="s">
        <v>1867</v>
      </c>
      <c r="F27" t="s">
        <v>517</v>
      </c>
      <c r="K27" t="s">
        <v>357</v>
      </c>
      <c r="N27">
        <v>5.27</v>
      </c>
      <c r="P27" t="s">
        <v>362</v>
      </c>
    </row>
    <row r="28" spans="1:19">
      <c r="A28" t="s">
        <v>1684</v>
      </c>
      <c r="F28" t="s">
        <v>1922</v>
      </c>
      <c r="K28" t="s">
        <v>437</v>
      </c>
      <c r="P28" t="s">
        <v>489</v>
      </c>
    </row>
    <row r="29" spans="1:19">
      <c r="A29" t="s">
        <v>1680</v>
      </c>
      <c r="F29" t="s">
        <v>1701</v>
      </c>
      <c r="I29">
        <v>2.52</v>
      </c>
      <c r="K29" t="s">
        <v>361</v>
      </c>
      <c r="N29">
        <v>6.67</v>
      </c>
      <c r="P29" t="s">
        <v>494</v>
      </c>
      <c r="S29">
        <v>9.17</v>
      </c>
    </row>
    <row r="30" spans="1:19">
      <c r="A30" t="s">
        <v>412</v>
      </c>
      <c r="F30" t="s">
        <v>529</v>
      </c>
      <c r="I30">
        <v>2.82</v>
      </c>
      <c r="K30" t="s">
        <v>543</v>
      </c>
      <c r="P30" t="s">
        <v>315</v>
      </c>
      <c r="S30">
        <v>13.07</v>
      </c>
    </row>
    <row r="31" spans="1:19">
      <c r="A31" t="s">
        <v>426</v>
      </c>
      <c r="F31" t="s">
        <v>451</v>
      </c>
      <c r="K31" t="s">
        <v>581</v>
      </c>
      <c r="N31">
        <v>12.8</v>
      </c>
      <c r="P31" t="s">
        <v>1783</v>
      </c>
    </row>
    <row r="32" spans="1:19">
      <c r="A32" t="s">
        <v>1868</v>
      </c>
      <c r="F32" t="s">
        <v>1700</v>
      </c>
      <c r="I32">
        <v>1.91</v>
      </c>
      <c r="K32" t="s">
        <v>1329</v>
      </c>
      <c r="N32">
        <v>4.32</v>
      </c>
      <c r="P32" t="s">
        <v>341</v>
      </c>
      <c r="S32">
        <v>5.14</v>
      </c>
    </row>
    <row r="33" spans="1:19">
      <c r="A33" t="s">
        <v>1675</v>
      </c>
      <c r="F33" t="s">
        <v>922</v>
      </c>
      <c r="I33">
        <v>1.9</v>
      </c>
      <c r="K33" t="s">
        <v>620</v>
      </c>
      <c r="P33" t="s">
        <v>425</v>
      </c>
      <c r="S33">
        <v>8</v>
      </c>
    </row>
    <row r="34" spans="1:19">
      <c r="F34" t="s">
        <v>598</v>
      </c>
      <c r="I34">
        <v>2</v>
      </c>
      <c r="K34" t="s">
        <v>333</v>
      </c>
      <c r="N34">
        <v>4.0199999999999996</v>
      </c>
      <c r="P34" t="s">
        <v>1792</v>
      </c>
    </row>
    <row r="35" spans="1:19">
      <c r="F35" t="s">
        <v>1862</v>
      </c>
      <c r="K35" t="s">
        <v>506</v>
      </c>
      <c r="N35">
        <v>6.57</v>
      </c>
      <c r="P35" t="s">
        <v>1983</v>
      </c>
    </row>
    <row r="36" spans="1:19">
      <c r="F36" t="s">
        <v>607</v>
      </c>
      <c r="I36">
        <v>2.2599999999999998</v>
      </c>
      <c r="K36" t="s">
        <v>579</v>
      </c>
      <c r="P36" t="s">
        <v>514</v>
      </c>
      <c r="S36">
        <v>6.41</v>
      </c>
    </row>
    <row r="37" spans="1:19">
      <c r="F37" t="s">
        <v>1693</v>
      </c>
      <c r="I37">
        <v>2.2999999999999998</v>
      </c>
      <c r="K37" t="s">
        <v>1836</v>
      </c>
      <c r="P37" t="s">
        <v>1781</v>
      </c>
    </row>
    <row r="38" spans="1:19">
      <c r="F38" t="s">
        <v>1703</v>
      </c>
      <c r="K38" t="s">
        <v>1331</v>
      </c>
      <c r="P38" t="s">
        <v>303</v>
      </c>
      <c r="S38">
        <v>2.57</v>
      </c>
    </row>
    <row r="39" spans="1:19">
      <c r="F39" t="s">
        <v>449</v>
      </c>
      <c r="K39" t="s">
        <v>463</v>
      </c>
      <c r="P39" t="s">
        <v>405</v>
      </c>
      <c r="S39">
        <v>5.31</v>
      </c>
    </row>
    <row r="40" spans="1:19">
      <c r="F40" t="s">
        <v>403</v>
      </c>
      <c r="K40" t="s">
        <v>1923</v>
      </c>
      <c r="N40">
        <v>3.83</v>
      </c>
      <c r="P40" t="s">
        <v>621</v>
      </c>
      <c r="S40">
        <v>5.8</v>
      </c>
    </row>
    <row r="41" spans="1:19">
      <c r="F41" t="s">
        <v>345</v>
      </c>
      <c r="I41">
        <v>2.4300000000000002</v>
      </c>
      <c r="K41" t="s">
        <v>354</v>
      </c>
      <c r="N41">
        <v>5.76</v>
      </c>
      <c r="P41" t="s">
        <v>522</v>
      </c>
    </row>
    <row r="42" spans="1:19">
      <c r="F42" t="s">
        <v>1939</v>
      </c>
      <c r="K42" t="s">
        <v>1744</v>
      </c>
      <c r="P42" t="s">
        <v>344</v>
      </c>
      <c r="S42">
        <v>8.1199999999999992</v>
      </c>
    </row>
    <row r="43" spans="1:19">
      <c r="F43" t="s">
        <v>336</v>
      </c>
      <c r="I43">
        <v>2.44</v>
      </c>
      <c r="K43" t="s">
        <v>398</v>
      </c>
      <c r="N43">
        <v>5.09</v>
      </c>
      <c r="P43" t="s">
        <v>372</v>
      </c>
    </row>
    <row r="44" spans="1:19">
      <c r="F44" t="s">
        <v>1697</v>
      </c>
      <c r="K44" t="s">
        <v>346</v>
      </c>
      <c r="N44">
        <v>3.53</v>
      </c>
      <c r="P44" t="s">
        <v>324</v>
      </c>
      <c r="S44">
        <v>3.2</v>
      </c>
    </row>
    <row r="45" spans="1:19">
      <c r="F45" t="s">
        <v>364</v>
      </c>
      <c r="K45" t="s">
        <v>1925</v>
      </c>
      <c r="N45">
        <v>3.72</v>
      </c>
      <c r="P45" t="s">
        <v>1292</v>
      </c>
    </row>
    <row r="46" spans="1:19">
      <c r="F46" t="s">
        <v>1921</v>
      </c>
      <c r="I46">
        <v>2.72</v>
      </c>
      <c r="K46" t="s">
        <v>563</v>
      </c>
      <c r="P46" t="s">
        <v>484</v>
      </c>
    </row>
    <row r="47" spans="1:19">
      <c r="F47" t="s">
        <v>1955</v>
      </c>
      <c r="I47">
        <v>2.82</v>
      </c>
      <c r="K47" t="s">
        <v>1738</v>
      </c>
      <c r="N47">
        <v>3.44</v>
      </c>
      <c r="P47" t="s">
        <v>586</v>
      </c>
      <c r="S47">
        <v>3.64</v>
      </c>
    </row>
    <row r="48" spans="1:19">
      <c r="F48" t="s">
        <v>546</v>
      </c>
      <c r="K48" t="s">
        <v>1340</v>
      </c>
      <c r="P48" t="s">
        <v>1780</v>
      </c>
      <c r="S48">
        <v>7.06</v>
      </c>
    </row>
    <row r="49" spans="6:19">
      <c r="F49" t="s">
        <v>542</v>
      </c>
      <c r="K49" t="s">
        <v>1740</v>
      </c>
      <c r="P49" t="s">
        <v>1779</v>
      </c>
    </row>
    <row r="50" spans="6:19">
      <c r="F50" t="s">
        <v>317</v>
      </c>
      <c r="K50" t="s">
        <v>407</v>
      </c>
      <c r="P50" t="s">
        <v>1789</v>
      </c>
    </row>
    <row r="51" spans="6:19">
      <c r="F51" t="s">
        <v>1962</v>
      </c>
      <c r="K51" t="s">
        <v>530</v>
      </c>
      <c r="P51" t="s">
        <v>1790</v>
      </c>
    </row>
    <row r="52" spans="6:19">
      <c r="F52" t="s">
        <v>380</v>
      </c>
      <c r="I52">
        <v>2.93</v>
      </c>
      <c r="K52" t="s">
        <v>367</v>
      </c>
      <c r="P52" t="s">
        <v>495</v>
      </c>
    </row>
    <row r="53" spans="6:19">
      <c r="F53" t="s">
        <v>481</v>
      </c>
      <c r="I53">
        <v>1.83</v>
      </c>
      <c r="K53" t="s">
        <v>424</v>
      </c>
      <c r="P53" t="s">
        <v>1843</v>
      </c>
    </row>
    <row r="54" spans="6:19">
      <c r="F54" t="s">
        <v>443</v>
      </c>
      <c r="K54" t="s">
        <v>1924</v>
      </c>
      <c r="P54" t="s">
        <v>1810</v>
      </c>
    </row>
    <row r="55" spans="6:19">
      <c r="F55" t="s">
        <v>599</v>
      </c>
      <c r="I55">
        <v>2.79</v>
      </c>
      <c r="K55" t="s">
        <v>525</v>
      </c>
      <c r="P55" t="s">
        <v>507</v>
      </c>
    </row>
    <row r="56" spans="6:19">
      <c r="F56" t="s">
        <v>1702</v>
      </c>
      <c r="K56" t="s">
        <v>600</v>
      </c>
      <c r="N56">
        <v>3.46</v>
      </c>
      <c r="P56" t="s">
        <v>331</v>
      </c>
      <c r="S56">
        <v>4.09</v>
      </c>
    </row>
    <row r="57" spans="6:19">
      <c r="F57" t="s">
        <v>353</v>
      </c>
      <c r="I57">
        <v>2.93</v>
      </c>
      <c r="K57" t="s">
        <v>595</v>
      </c>
      <c r="P57" t="s">
        <v>452</v>
      </c>
    </row>
    <row r="58" spans="6:19">
      <c r="F58" t="s">
        <v>1704</v>
      </c>
      <c r="K58" t="s">
        <v>616</v>
      </c>
      <c r="P58" t="s">
        <v>1786</v>
      </c>
    </row>
    <row r="59" spans="6:19">
      <c r="F59" t="s">
        <v>298</v>
      </c>
      <c r="K59" t="s">
        <v>421</v>
      </c>
      <c r="N59">
        <v>3.66</v>
      </c>
      <c r="P59" t="s">
        <v>1754</v>
      </c>
    </row>
    <row r="60" spans="6:19">
      <c r="F60" t="s">
        <v>585</v>
      </c>
      <c r="K60" t="s">
        <v>604</v>
      </c>
      <c r="P60" t="s">
        <v>441</v>
      </c>
    </row>
    <row r="61" spans="6:19">
      <c r="F61" t="s">
        <v>626</v>
      </c>
      <c r="K61" t="s">
        <v>468</v>
      </c>
      <c r="P61" t="s">
        <v>1299</v>
      </c>
    </row>
    <row r="62" spans="6:19">
      <c r="F62" t="s">
        <v>537</v>
      </c>
      <c r="K62" t="s">
        <v>1937</v>
      </c>
      <c r="P62" t="s">
        <v>1796</v>
      </c>
    </row>
    <row r="63" spans="6:19">
      <c r="F63" t="s">
        <v>419</v>
      </c>
      <c r="K63" t="s">
        <v>343</v>
      </c>
      <c r="P63" t="s">
        <v>480</v>
      </c>
    </row>
    <row r="64" spans="6:19">
      <c r="F64" t="s">
        <v>510</v>
      </c>
      <c r="K64" t="s">
        <v>1301</v>
      </c>
      <c r="P64" t="s">
        <v>1944</v>
      </c>
    </row>
    <row r="65" spans="6:19">
      <c r="F65" t="s">
        <v>1710</v>
      </c>
      <c r="K65" t="s">
        <v>526</v>
      </c>
      <c r="P65" t="s">
        <v>1788</v>
      </c>
    </row>
    <row r="66" spans="6:19">
      <c r="F66" t="s">
        <v>1707</v>
      </c>
      <c r="K66" t="s">
        <v>337</v>
      </c>
      <c r="P66" t="s">
        <v>1332</v>
      </c>
    </row>
    <row r="67" spans="6:19">
      <c r="F67" t="s">
        <v>1850</v>
      </c>
      <c r="K67" t="s">
        <v>327</v>
      </c>
      <c r="P67" t="s">
        <v>1285</v>
      </c>
    </row>
    <row r="68" spans="6:19">
      <c r="F68" t="s">
        <v>386</v>
      </c>
      <c r="K68" t="s">
        <v>459</v>
      </c>
      <c r="P68" t="s">
        <v>1287</v>
      </c>
    </row>
    <row r="69" spans="6:19">
      <c r="F69" t="s">
        <v>505</v>
      </c>
      <c r="K69" t="s">
        <v>504</v>
      </c>
      <c r="P69" t="s">
        <v>1799</v>
      </c>
    </row>
    <row r="70" spans="6:19">
      <c r="F70" t="s">
        <v>544</v>
      </c>
      <c r="K70" t="s">
        <v>395</v>
      </c>
      <c r="P70" t="s">
        <v>1785</v>
      </c>
      <c r="S70">
        <v>2.57</v>
      </c>
    </row>
    <row r="71" spans="6:19">
      <c r="F71" t="s">
        <v>321</v>
      </c>
      <c r="K71" t="s">
        <v>299</v>
      </c>
      <c r="P71" t="s">
        <v>520</v>
      </c>
    </row>
    <row r="72" spans="6:19">
      <c r="F72" t="s">
        <v>1709</v>
      </c>
      <c r="K72" t="s">
        <v>527</v>
      </c>
      <c r="P72" t="s">
        <v>1794</v>
      </c>
    </row>
    <row r="73" spans="6:19">
      <c r="F73" t="s">
        <v>1337</v>
      </c>
      <c r="K73" t="s">
        <v>389</v>
      </c>
      <c r="P73" t="s">
        <v>499</v>
      </c>
    </row>
    <row r="74" spans="6:19">
      <c r="F74" t="s">
        <v>1281</v>
      </c>
      <c r="K74" t="s">
        <v>313</v>
      </c>
      <c r="P74" t="s">
        <v>445</v>
      </c>
    </row>
    <row r="75" spans="6:19">
      <c r="F75" t="s">
        <v>572</v>
      </c>
      <c r="K75" t="s">
        <v>1737</v>
      </c>
      <c r="P75" t="s">
        <v>347</v>
      </c>
    </row>
    <row r="76" spans="6:19">
      <c r="F76" t="s">
        <v>1695</v>
      </c>
      <c r="K76" t="s">
        <v>497</v>
      </c>
      <c r="P76" t="s">
        <v>1791</v>
      </c>
    </row>
    <row r="77" spans="6:19">
      <c r="F77" t="s">
        <v>1342</v>
      </c>
      <c r="K77" t="s">
        <v>1746</v>
      </c>
      <c r="P77" t="s">
        <v>1341</v>
      </c>
    </row>
    <row r="78" spans="6:19">
      <c r="F78" t="s">
        <v>1698</v>
      </c>
      <c r="K78" t="s">
        <v>1307</v>
      </c>
      <c r="P78" t="s">
        <v>1929</v>
      </c>
    </row>
    <row r="79" spans="6:19">
      <c r="F79" t="s">
        <v>502</v>
      </c>
      <c r="K79" t="s">
        <v>1756</v>
      </c>
      <c r="P79" t="s">
        <v>471</v>
      </c>
    </row>
    <row r="80" spans="6:19">
      <c r="F80" t="s">
        <v>490</v>
      </c>
      <c r="K80" t="s">
        <v>1330</v>
      </c>
      <c r="P80" t="s">
        <v>1989</v>
      </c>
    </row>
    <row r="81" spans="6:19">
      <c r="F81" t="s">
        <v>617</v>
      </c>
      <c r="K81" t="s">
        <v>1304</v>
      </c>
      <c r="P81" t="s">
        <v>319</v>
      </c>
      <c r="S81">
        <v>6.18</v>
      </c>
    </row>
    <row r="82" spans="6:19">
      <c r="F82" t="s">
        <v>1706</v>
      </c>
      <c r="K82" t="s">
        <v>447</v>
      </c>
      <c r="P82" t="s">
        <v>1793</v>
      </c>
    </row>
    <row r="83" spans="6:19">
      <c r="F83" t="s">
        <v>554</v>
      </c>
      <c r="K83" t="s">
        <v>608</v>
      </c>
      <c r="P83" t="s">
        <v>438</v>
      </c>
    </row>
    <row r="84" spans="6:19">
      <c r="F84" t="s">
        <v>453</v>
      </c>
      <c r="K84" t="s">
        <v>1739</v>
      </c>
      <c r="P84" t="s">
        <v>1798</v>
      </c>
    </row>
    <row r="85" spans="6:19">
      <c r="F85" t="s">
        <v>322</v>
      </c>
      <c r="K85" t="s">
        <v>1300</v>
      </c>
      <c r="P85" t="s">
        <v>466</v>
      </c>
    </row>
    <row r="86" spans="6:19">
      <c r="F86" t="s">
        <v>388</v>
      </c>
      <c r="K86" t="s">
        <v>605</v>
      </c>
      <c r="P86" t="s">
        <v>469</v>
      </c>
    </row>
    <row r="87" spans="6:19">
      <c r="F87" t="s">
        <v>623</v>
      </c>
      <c r="K87" t="s">
        <v>923</v>
      </c>
      <c r="P87" t="s">
        <v>614</v>
      </c>
    </row>
    <row r="88" spans="6:19">
      <c r="F88" t="s">
        <v>330</v>
      </c>
      <c r="K88" t="s">
        <v>323</v>
      </c>
      <c r="P88" t="s">
        <v>1980</v>
      </c>
    </row>
    <row r="89" spans="6:19">
      <c r="F89" t="s">
        <v>467</v>
      </c>
      <c r="K89" t="s">
        <v>519</v>
      </c>
      <c r="P89" t="s">
        <v>1797</v>
      </c>
    </row>
    <row r="90" spans="6:19">
      <c r="F90" t="s">
        <v>602</v>
      </c>
      <c r="K90" t="s">
        <v>351</v>
      </c>
      <c r="P90" t="s">
        <v>491</v>
      </c>
    </row>
    <row r="91" spans="6:19">
      <c r="F91" t="s">
        <v>1708</v>
      </c>
      <c r="K91" t="s">
        <v>603</v>
      </c>
      <c r="P91" t="s">
        <v>1802</v>
      </c>
    </row>
    <row r="92" spans="6:19">
      <c r="F92" t="s">
        <v>531</v>
      </c>
      <c r="K92" t="s">
        <v>556</v>
      </c>
      <c r="P92" t="s">
        <v>1777</v>
      </c>
    </row>
    <row r="93" spans="6:19">
      <c r="F93" t="s">
        <v>1942</v>
      </c>
      <c r="K93" t="s">
        <v>584</v>
      </c>
      <c r="P93" t="s">
        <v>511</v>
      </c>
    </row>
    <row r="94" spans="6:19">
      <c r="F94" t="s">
        <v>1290</v>
      </c>
      <c r="K94" t="s">
        <v>1856</v>
      </c>
      <c r="P94" t="s">
        <v>384</v>
      </c>
    </row>
    <row r="95" spans="6:19">
      <c r="F95" t="s">
        <v>535</v>
      </c>
      <c r="K95" t="s">
        <v>559</v>
      </c>
      <c r="P95" t="s">
        <v>1784</v>
      </c>
    </row>
    <row r="96" spans="6:19">
      <c r="F96" t="s">
        <v>553</v>
      </c>
      <c r="K96" t="s">
        <v>1753</v>
      </c>
      <c r="P96" t="s">
        <v>1847</v>
      </c>
    </row>
    <row r="97" spans="6:16">
      <c r="F97" t="s">
        <v>1988</v>
      </c>
      <c r="K97" t="s">
        <v>1956</v>
      </c>
      <c r="P97" t="s">
        <v>1803</v>
      </c>
    </row>
    <row r="98" spans="6:16">
      <c r="F98" t="s">
        <v>309</v>
      </c>
      <c r="K98" t="s">
        <v>1280</v>
      </c>
      <c r="P98" t="s">
        <v>1985</v>
      </c>
    </row>
    <row r="99" spans="6:16">
      <c r="F99" t="s">
        <v>1965</v>
      </c>
      <c r="K99" t="s">
        <v>540</v>
      </c>
      <c r="P99" t="s">
        <v>450</v>
      </c>
    </row>
    <row r="100" spans="6:16">
      <c r="F100" t="s">
        <v>1289</v>
      </c>
      <c r="K100" t="s">
        <v>613</v>
      </c>
      <c r="P100" t="s">
        <v>1853</v>
      </c>
    </row>
    <row r="101" spans="6:16">
      <c r="F101" t="s">
        <v>394</v>
      </c>
      <c r="K101" t="s">
        <v>1759</v>
      </c>
      <c r="P101" t="s">
        <v>470</v>
      </c>
    </row>
    <row r="102" spans="6:16">
      <c r="F102" t="s">
        <v>574</v>
      </c>
      <c r="K102" t="s">
        <v>1858</v>
      </c>
      <c r="P102" t="s">
        <v>1807</v>
      </c>
    </row>
    <row r="103" spans="6:16">
      <c r="F103" t="s">
        <v>1957</v>
      </c>
      <c r="K103" t="s">
        <v>1295</v>
      </c>
      <c r="P103" t="s">
        <v>474</v>
      </c>
    </row>
    <row r="104" spans="6:16">
      <c r="F104" t="s">
        <v>472</v>
      </c>
      <c r="K104" t="s">
        <v>619</v>
      </c>
      <c r="P104" t="s">
        <v>1804</v>
      </c>
    </row>
    <row r="105" spans="6:16">
      <c r="F105" t="s">
        <v>1941</v>
      </c>
      <c r="K105" t="s">
        <v>1338</v>
      </c>
      <c r="P105" t="s">
        <v>1801</v>
      </c>
    </row>
    <row r="106" spans="6:16">
      <c r="F106" t="s">
        <v>534</v>
      </c>
      <c r="K106" t="s">
        <v>571</v>
      </c>
      <c r="P106" t="s">
        <v>374</v>
      </c>
    </row>
    <row r="107" spans="6:16">
      <c r="F107" t="s">
        <v>611</v>
      </c>
      <c r="K107" t="s">
        <v>482</v>
      </c>
      <c r="P107" t="s">
        <v>1809</v>
      </c>
    </row>
    <row r="108" spans="6:16">
      <c r="F108" t="s">
        <v>1696</v>
      </c>
      <c r="K108" t="s">
        <v>565</v>
      </c>
      <c r="P108" t="s">
        <v>1959</v>
      </c>
    </row>
    <row r="109" spans="6:16">
      <c r="F109" t="s">
        <v>521</v>
      </c>
      <c r="K109" t="s">
        <v>575</v>
      </c>
      <c r="P109" t="s">
        <v>1986</v>
      </c>
    </row>
    <row r="110" spans="6:16">
      <c r="F110" t="s">
        <v>1288</v>
      </c>
      <c r="K110" t="s">
        <v>1958</v>
      </c>
      <c r="P110" t="s">
        <v>1855</v>
      </c>
    </row>
    <row r="111" spans="6:16">
      <c r="F111" t="s">
        <v>1715</v>
      </c>
      <c r="K111" t="s">
        <v>1306</v>
      </c>
    </row>
    <row r="112" spans="6:16">
      <c r="F112" t="s">
        <v>1933</v>
      </c>
      <c r="K112" t="s">
        <v>926</v>
      </c>
    </row>
    <row r="113" spans="6:11">
      <c r="F113" t="s">
        <v>533</v>
      </c>
      <c r="K113" t="s">
        <v>1298</v>
      </c>
    </row>
    <row r="114" spans="6:11">
      <c r="F114" t="s">
        <v>1719</v>
      </c>
      <c r="K114" t="s">
        <v>458</v>
      </c>
    </row>
    <row r="115" spans="6:11">
      <c r="F115" t="s">
        <v>550</v>
      </c>
      <c r="K115" t="s">
        <v>381</v>
      </c>
    </row>
    <row r="116" spans="6:11">
      <c r="F116" t="s">
        <v>306</v>
      </c>
      <c r="K116" t="s">
        <v>318</v>
      </c>
    </row>
    <row r="117" spans="6:11">
      <c r="F117" t="s">
        <v>1714</v>
      </c>
      <c r="K117" t="s">
        <v>1747</v>
      </c>
    </row>
    <row r="118" spans="6:11">
      <c r="F118" t="s">
        <v>601</v>
      </c>
      <c r="K118" t="s">
        <v>1763</v>
      </c>
    </row>
    <row r="119" spans="6:11">
      <c r="F119" t="s">
        <v>583</v>
      </c>
      <c r="K119" t="s">
        <v>1335</v>
      </c>
    </row>
    <row r="120" spans="6:11">
      <c r="F120" t="s">
        <v>498</v>
      </c>
      <c r="K120" t="s">
        <v>1751</v>
      </c>
    </row>
    <row r="121" spans="6:11">
      <c r="F121" t="s">
        <v>562</v>
      </c>
      <c r="K121" t="s">
        <v>1296</v>
      </c>
    </row>
    <row r="122" spans="6:11">
      <c r="F122" t="s">
        <v>1694</v>
      </c>
      <c r="K122" t="s">
        <v>383</v>
      </c>
    </row>
    <row r="123" spans="6:11">
      <c r="F123" t="s">
        <v>1699</v>
      </c>
      <c r="K123" t="s">
        <v>1940</v>
      </c>
    </row>
    <row r="124" spans="6:11">
      <c r="F124" t="s">
        <v>558</v>
      </c>
      <c r="K124" t="s">
        <v>622</v>
      </c>
    </row>
    <row r="125" spans="6:11">
      <c r="F125" t="s">
        <v>478</v>
      </c>
      <c r="K125" t="s">
        <v>590</v>
      </c>
    </row>
    <row r="126" spans="6:11">
      <c r="F126" t="s">
        <v>560</v>
      </c>
      <c r="K126" t="s">
        <v>1932</v>
      </c>
    </row>
    <row r="127" spans="6:11">
      <c r="F127" t="s">
        <v>564</v>
      </c>
      <c r="K127" t="s">
        <v>1736</v>
      </c>
    </row>
    <row r="128" spans="6:11">
      <c r="F128" t="s">
        <v>440</v>
      </c>
      <c r="K128" t="s">
        <v>400</v>
      </c>
    </row>
    <row r="129" spans="6:11">
      <c r="F129" t="s">
        <v>457</v>
      </c>
      <c r="K129" t="s">
        <v>1859</v>
      </c>
    </row>
    <row r="130" spans="6:11">
      <c r="F130" t="s">
        <v>568</v>
      </c>
      <c r="K130" t="s">
        <v>548</v>
      </c>
    </row>
    <row r="131" spans="6:11">
      <c r="F131" t="s">
        <v>612</v>
      </c>
      <c r="K131" t="s">
        <v>1742</v>
      </c>
    </row>
    <row r="132" spans="6:11">
      <c r="F132" t="s">
        <v>492</v>
      </c>
      <c r="K132" t="s">
        <v>1762</v>
      </c>
    </row>
    <row r="133" spans="6:11">
      <c r="F133" t="s">
        <v>503</v>
      </c>
      <c r="K133" t="s">
        <v>1279</v>
      </c>
    </row>
    <row r="134" spans="6:11">
      <c r="F134" t="s">
        <v>435</v>
      </c>
      <c r="K134" t="s">
        <v>1851</v>
      </c>
    </row>
    <row r="135" spans="6:11">
      <c r="F135" t="s">
        <v>1720</v>
      </c>
      <c r="K135" t="s">
        <v>368</v>
      </c>
    </row>
    <row r="136" spans="6:11">
      <c r="F136" t="s">
        <v>1718</v>
      </c>
      <c r="K136" t="s">
        <v>444</v>
      </c>
    </row>
    <row r="137" spans="6:11">
      <c r="F137" t="s">
        <v>397</v>
      </c>
      <c r="K137" t="s">
        <v>1755</v>
      </c>
    </row>
    <row r="138" spans="6:11">
      <c r="F138" t="s">
        <v>577</v>
      </c>
      <c r="K138" t="s">
        <v>1852</v>
      </c>
    </row>
    <row r="139" spans="6:11">
      <c r="F139" t="s">
        <v>1830</v>
      </c>
      <c r="K139" t="s">
        <v>430</v>
      </c>
    </row>
    <row r="140" spans="6:11">
      <c r="F140" t="s">
        <v>1717</v>
      </c>
      <c r="K140" t="s">
        <v>487</v>
      </c>
    </row>
    <row r="141" spans="6:11">
      <c r="F141" t="s">
        <v>1286</v>
      </c>
      <c r="K141" t="s">
        <v>414</v>
      </c>
    </row>
    <row r="142" spans="6:11">
      <c r="F142" t="s">
        <v>592</v>
      </c>
      <c r="K142" t="s">
        <v>1741</v>
      </c>
    </row>
    <row r="143" spans="6:11">
      <c r="F143" t="s">
        <v>304</v>
      </c>
      <c r="K143" t="s">
        <v>593</v>
      </c>
    </row>
    <row r="144" spans="6:11">
      <c r="F144" t="s">
        <v>524</v>
      </c>
      <c r="K144" t="s">
        <v>1764</v>
      </c>
    </row>
    <row r="145" spans="6:11">
      <c r="F145" t="s">
        <v>1705</v>
      </c>
      <c r="K145" t="s">
        <v>541</v>
      </c>
    </row>
    <row r="146" spans="6:11">
      <c r="F146" t="s">
        <v>406</v>
      </c>
      <c r="K146" t="s">
        <v>501</v>
      </c>
    </row>
    <row r="147" spans="6:11">
      <c r="F147" t="s">
        <v>576</v>
      </c>
      <c r="K147" t="s">
        <v>427</v>
      </c>
    </row>
    <row r="148" spans="6:11">
      <c r="F148" t="s">
        <v>597</v>
      </c>
      <c r="K148" t="s">
        <v>1757</v>
      </c>
    </row>
    <row r="149" spans="6:11">
      <c r="F149" t="s">
        <v>1723</v>
      </c>
      <c r="K149" t="s">
        <v>1758</v>
      </c>
    </row>
    <row r="150" spans="6:11">
      <c r="F150" t="s">
        <v>1961</v>
      </c>
      <c r="K150" t="s">
        <v>1760</v>
      </c>
    </row>
    <row r="151" spans="6:11">
      <c r="F151" t="s">
        <v>1960</v>
      </c>
      <c r="K151" t="s">
        <v>1765</v>
      </c>
    </row>
    <row r="152" spans="6:11">
      <c r="F152" t="s">
        <v>326</v>
      </c>
      <c r="K152" t="s">
        <v>1767</v>
      </c>
    </row>
    <row r="153" spans="6:11">
      <c r="F153" t="s">
        <v>1984</v>
      </c>
      <c r="K153" t="s">
        <v>1838</v>
      </c>
    </row>
    <row r="154" spans="6:11">
      <c r="F154" t="s">
        <v>1283</v>
      </c>
      <c r="K154" t="s">
        <v>1837</v>
      </c>
    </row>
    <row r="155" spans="6:11">
      <c r="F155" t="s">
        <v>1722</v>
      </c>
      <c r="K155" t="s">
        <v>404</v>
      </c>
    </row>
    <row r="156" spans="6:11">
      <c r="F156" t="s">
        <v>1863</v>
      </c>
      <c r="K156" t="s">
        <v>587</v>
      </c>
    </row>
    <row r="157" spans="6:11">
      <c r="F157" t="s">
        <v>1726</v>
      </c>
      <c r="K157" t="s">
        <v>377</v>
      </c>
    </row>
    <row r="158" spans="6:11">
      <c r="F158" t="s">
        <v>410</v>
      </c>
      <c r="K158" t="s">
        <v>1344</v>
      </c>
    </row>
    <row r="159" spans="6:11">
      <c r="F159" t="s">
        <v>1343</v>
      </c>
      <c r="K159" t="s">
        <v>350</v>
      </c>
    </row>
    <row r="160" spans="6:11">
      <c r="F160" t="s">
        <v>475</v>
      </c>
      <c r="K160" t="s">
        <v>1743</v>
      </c>
    </row>
    <row r="161" spans="6:11">
      <c r="F161" t="s">
        <v>594</v>
      </c>
      <c r="K161" t="s">
        <v>391</v>
      </c>
    </row>
    <row r="162" spans="6:11">
      <c r="F162" t="s">
        <v>464</v>
      </c>
      <c r="K162" t="s">
        <v>1805</v>
      </c>
    </row>
    <row r="163" spans="6:11">
      <c r="F163" t="s">
        <v>1990</v>
      </c>
      <c r="K163" t="s">
        <v>1748</v>
      </c>
    </row>
    <row r="164" spans="6:11">
      <c r="F164" t="s">
        <v>1992</v>
      </c>
      <c r="K164" t="s">
        <v>561</v>
      </c>
    </row>
    <row r="165" spans="6:11">
      <c r="F165" t="s">
        <v>496</v>
      </c>
      <c r="K165" t="s">
        <v>1964</v>
      </c>
    </row>
    <row r="166" spans="6:11">
      <c r="F166" t="s">
        <v>1727</v>
      </c>
      <c r="K166" t="s">
        <v>1745</v>
      </c>
    </row>
    <row r="167" spans="6:11">
      <c r="F167" t="s">
        <v>609</v>
      </c>
      <c r="K167" t="s">
        <v>1771</v>
      </c>
    </row>
    <row r="168" spans="6:11">
      <c r="F168" t="s">
        <v>528</v>
      </c>
      <c r="K168" t="s">
        <v>1857</v>
      </c>
    </row>
    <row r="169" spans="6:11">
      <c r="F169" t="s">
        <v>1282</v>
      </c>
      <c r="K169" t="s">
        <v>1772</v>
      </c>
    </row>
    <row r="170" spans="6:11">
      <c r="F170" t="s">
        <v>399</v>
      </c>
      <c r="K170" t="s">
        <v>1860</v>
      </c>
    </row>
    <row r="171" spans="6:11">
      <c r="F171" t="s">
        <v>1823</v>
      </c>
      <c r="K171" t="s">
        <v>1761</v>
      </c>
    </row>
    <row r="172" spans="6:11">
      <c r="F172" t="s">
        <v>1730</v>
      </c>
      <c r="K172" t="s">
        <v>1770</v>
      </c>
    </row>
    <row r="173" spans="6:11">
      <c r="F173" t="s">
        <v>413</v>
      </c>
      <c r="K173" t="s">
        <v>596</v>
      </c>
    </row>
    <row r="174" spans="6:11">
      <c r="F174" t="s">
        <v>460</v>
      </c>
      <c r="K174" t="s">
        <v>479</v>
      </c>
    </row>
    <row r="175" spans="6:11">
      <c r="F175" t="s">
        <v>1716</v>
      </c>
      <c r="K175" t="s">
        <v>1776</v>
      </c>
    </row>
    <row r="176" spans="6:11">
      <c r="F176" t="s">
        <v>1721</v>
      </c>
      <c r="K176" t="s">
        <v>1993</v>
      </c>
    </row>
    <row r="177" spans="6:11">
      <c r="F177" t="s">
        <v>1305</v>
      </c>
      <c r="K177" t="s">
        <v>473</v>
      </c>
    </row>
    <row r="178" spans="6:11">
      <c r="F178" t="s">
        <v>1711</v>
      </c>
      <c r="K178" t="s">
        <v>1991</v>
      </c>
    </row>
    <row r="179" spans="6:11">
      <c r="F179" t="s">
        <v>891</v>
      </c>
    </row>
    <row r="180" spans="6:11">
      <c r="F180" t="s">
        <v>589</v>
      </c>
    </row>
    <row r="181" spans="6:11">
      <c r="F181" t="s">
        <v>547</v>
      </c>
    </row>
    <row r="182" spans="6:11">
      <c r="F182" t="s">
        <v>1728</v>
      </c>
    </row>
    <row r="183" spans="6:11">
      <c r="F183" t="s">
        <v>1731</v>
      </c>
    </row>
    <row r="184" spans="6:11">
      <c r="F184" t="s">
        <v>1831</v>
      </c>
    </row>
    <row r="185" spans="6:11">
      <c r="F185" t="s">
        <v>1732</v>
      </c>
    </row>
    <row r="186" spans="6:11">
      <c r="F186" t="s">
        <v>1979</v>
      </c>
    </row>
    <row r="187" spans="6:11">
      <c r="F187" t="s">
        <v>1733</v>
      </c>
    </row>
    <row r="188" spans="6:11">
      <c r="F188" t="s">
        <v>1828</v>
      </c>
    </row>
    <row r="189" spans="6:11">
      <c r="F189" t="s">
        <v>1987</v>
      </c>
    </row>
    <row r="190" spans="6:11">
      <c r="F190" t="s">
        <v>566</v>
      </c>
    </row>
    <row r="191" spans="6:11">
      <c r="F191" t="s">
        <v>1866</v>
      </c>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9">
    <tabColor indexed="47"/>
  </sheetPr>
  <dimension ref="A1:AH580"/>
  <sheetViews>
    <sheetView zoomScale="80" zoomScaleNormal="80" workbookViewId="0">
      <selection activeCell="A9" sqref="A9"/>
    </sheetView>
  </sheetViews>
  <sheetFormatPr defaultRowHeight="12.75"/>
  <cols>
    <col min="2" max="2" width="20.28515625" bestFit="1" customWidth="1"/>
    <col min="3" max="3" width="11.5703125" customWidth="1"/>
    <col min="4" max="4" width="9.140625" bestFit="1" customWidth="1"/>
    <col min="5" max="5" width="21" bestFit="1" customWidth="1"/>
    <col min="6" max="6" width="12.7109375" bestFit="1" customWidth="1"/>
    <col min="7" max="7" width="9.85546875" bestFit="1" customWidth="1"/>
    <col min="8" max="8" width="16.28515625" bestFit="1" customWidth="1"/>
    <col min="9" max="9" width="12.7109375" bestFit="1" customWidth="1"/>
    <col min="10" max="10" width="9.28515625" bestFit="1" customWidth="1"/>
    <col min="11" max="11" width="20.85546875" bestFit="1" customWidth="1"/>
    <col min="12" max="12" width="12.7109375" bestFit="1" customWidth="1"/>
    <col min="13" max="13" width="9.140625" customWidth="1"/>
    <col min="14" max="14" width="15.140625" bestFit="1" customWidth="1"/>
    <col min="15" max="15" width="12.7109375" bestFit="1" customWidth="1"/>
    <col min="16" max="16" width="9.85546875" bestFit="1" customWidth="1"/>
    <col min="17" max="17" width="13.85546875" bestFit="1" customWidth="1"/>
    <col min="18" max="18" width="12.7109375" bestFit="1" customWidth="1"/>
    <col min="20" max="22" width="9.85546875" hidden="1" customWidth="1"/>
    <col min="23" max="31" width="10.42578125" hidden="1" customWidth="1"/>
    <col min="32" max="34" width="0" hidden="1" customWidth="1"/>
  </cols>
  <sheetData>
    <row r="1" spans="1:34" ht="12.75" customHeight="1">
      <c r="A1" s="581" t="s">
        <v>1316</v>
      </c>
      <c r="B1" s="581"/>
      <c r="C1" s="581"/>
      <c r="D1" s="581"/>
      <c r="E1" s="581"/>
      <c r="F1" s="581"/>
      <c r="G1" s="581"/>
      <c r="H1" s="581"/>
      <c r="I1" s="581"/>
      <c r="J1" s="581"/>
      <c r="K1" s="581"/>
      <c r="L1" s="581"/>
      <c r="M1" s="581"/>
      <c r="N1" s="581"/>
      <c r="O1" s="581"/>
      <c r="P1" s="581"/>
      <c r="Q1" s="581"/>
      <c r="R1" s="581"/>
    </row>
    <row r="2" spans="1:34" ht="12.75" customHeight="1">
      <c r="A2" s="581"/>
      <c r="B2" s="581"/>
      <c r="C2" s="581"/>
      <c r="D2" s="581"/>
      <c r="E2" s="581"/>
      <c r="F2" s="581"/>
      <c r="G2" s="581"/>
      <c r="H2" s="581"/>
      <c r="I2" s="581"/>
      <c r="J2" s="581"/>
      <c r="K2" s="581"/>
      <c r="L2" s="581"/>
      <c r="M2" s="581"/>
      <c r="N2" s="581"/>
      <c r="O2" s="581"/>
      <c r="P2" s="581"/>
      <c r="Q2" s="581"/>
      <c r="R2" s="581"/>
    </row>
    <row r="3" spans="1:34" ht="12.75" customHeight="1">
      <c r="A3" s="581"/>
      <c r="B3" s="581"/>
      <c r="C3" s="581"/>
      <c r="D3" s="581"/>
      <c r="E3" s="581"/>
      <c r="F3" s="581"/>
      <c r="G3" s="581"/>
      <c r="H3" s="581"/>
      <c r="I3" s="581"/>
      <c r="J3" s="581"/>
      <c r="K3" s="581"/>
      <c r="L3" s="581"/>
      <c r="M3" s="581"/>
      <c r="N3" s="581"/>
      <c r="O3" s="581"/>
      <c r="P3" s="581"/>
      <c r="Q3" s="581"/>
      <c r="R3" s="581"/>
    </row>
    <row r="4" spans="1:34" ht="12.75" customHeight="1">
      <c r="D4" s="222"/>
      <c r="E4" s="222"/>
      <c r="F4" s="222"/>
      <c r="G4" s="222"/>
      <c r="H4" s="222"/>
      <c r="I4" s="222"/>
      <c r="J4" s="222"/>
      <c r="K4" s="222"/>
      <c r="L4" s="222"/>
      <c r="M4" s="222"/>
      <c r="N4" s="222"/>
      <c r="O4" s="222"/>
      <c r="P4" s="222"/>
      <c r="Q4" s="222"/>
      <c r="R4" s="222"/>
    </row>
    <row r="5" spans="1:34" ht="15.75">
      <c r="A5" s="582" t="s">
        <v>1317</v>
      </c>
      <c r="B5" s="582"/>
      <c r="C5" s="582"/>
      <c r="D5" s="582"/>
      <c r="E5" s="582"/>
      <c r="F5" s="582"/>
      <c r="G5" s="582"/>
      <c r="H5" s="582"/>
      <c r="I5" s="582"/>
      <c r="J5" s="582"/>
      <c r="K5" s="582"/>
      <c r="L5" s="582"/>
      <c r="M5" s="582"/>
      <c r="N5" s="582"/>
      <c r="O5" s="582"/>
      <c r="P5" s="582"/>
      <c r="Q5" s="582"/>
      <c r="R5" s="582"/>
    </row>
    <row r="7" spans="1:34" ht="15.75" customHeight="1">
      <c r="A7" s="578" t="s">
        <v>1321</v>
      </c>
      <c r="B7" s="579"/>
      <c r="C7" s="580"/>
      <c r="D7" s="578" t="s">
        <v>659</v>
      </c>
      <c r="E7" s="579"/>
      <c r="F7" s="580"/>
      <c r="G7" s="578" t="s">
        <v>660</v>
      </c>
      <c r="H7" s="579"/>
      <c r="I7" s="580"/>
      <c r="J7" s="578" t="s">
        <v>661</v>
      </c>
      <c r="K7" s="579"/>
      <c r="L7" s="580"/>
      <c r="M7" s="578" t="s">
        <v>663</v>
      </c>
      <c r="N7" s="579"/>
      <c r="O7" s="580"/>
      <c r="P7" s="578" t="s">
        <v>662</v>
      </c>
      <c r="Q7" s="579"/>
      <c r="R7" s="580"/>
      <c r="T7" s="250" t="s">
        <v>35</v>
      </c>
      <c r="U7" s="250"/>
      <c r="V7" s="250"/>
      <c r="W7" s="250" t="s">
        <v>37</v>
      </c>
      <c r="X7" s="250"/>
      <c r="Y7" s="250"/>
      <c r="Z7" s="250" t="s">
        <v>39</v>
      </c>
      <c r="AA7" s="250"/>
      <c r="AB7" s="250"/>
      <c r="AC7" s="250" t="s">
        <v>43</v>
      </c>
      <c r="AD7" s="250"/>
      <c r="AE7" s="250"/>
      <c r="AF7" s="250" t="s">
        <v>41</v>
      </c>
    </row>
    <row r="8" spans="1:34" ht="15.75" customHeight="1">
      <c r="A8" s="259" t="s">
        <v>638</v>
      </c>
      <c r="B8" s="259" t="s">
        <v>920</v>
      </c>
      <c r="C8" s="259" t="s">
        <v>637</v>
      </c>
      <c r="D8" s="224" t="s">
        <v>638</v>
      </c>
      <c r="E8" s="224" t="s">
        <v>920</v>
      </c>
      <c r="F8" s="224" t="s">
        <v>637</v>
      </c>
      <c r="G8" s="224" t="s">
        <v>638</v>
      </c>
      <c r="H8" s="224" t="s">
        <v>920</v>
      </c>
      <c r="I8" s="224" t="s">
        <v>637</v>
      </c>
      <c r="J8" s="224" t="s">
        <v>638</v>
      </c>
      <c r="K8" s="224" t="s">
        <v>920</v>
      </c>
      <c r="L8" s="224" t="s">
        <v>637</v>
      </c>
      <c r="M8" s="224" t="s">
        <v>638</v>
      </c>
      <c r="N8" s="224" t="s">
        <v>920</v>
      </c>
      <c r="O8" s="224" t="s">
        <v>637</v>
      </c>
      <c r="P8" s="224" t="s">
        <v>638</v>
      </c>
      <c r="Q8" s="224" t="s">
        <v>920</v>
      </c>
      <c r="R8" s="224" t="s">
        <v>637</v>
      </c>
      <c r="T8" s="223">
        <v>1</v>
      </c>
      <c r="U8" s="223"/>
      <c r="V8" s="223"/>
      <c r="W8" s="223">
        <v>1</v>
      </c>
      <c r="X8" s="223"/>
      <c r="Y8" s="223"/>
      <c r="Z8" s="223">
        <v>1</v>
      </c>
      <c r="AA8" s="223"/>
      <c r="AB8" s="223"/>
      <c r="AC8" s="223">
        <v>1</v>
      </c>
      <c r="AD8" s="223"/>
      <c r="AE8" s="223"/>
      <c r="AF8" s="223">
        <v>1</v>
      </c>
    </row>
    <row r="9" spans="1:34" ht="15.75" customHeight="1">
      <c r="A9" s="449" t="s">
        <v>37</v>
      </c>
      <c r="B9" s="449" t="s">
        <v>298</v>
      </c>
      <c r="C9" s="449" t="s">
        <v>678</v>
      </c>
      <c r="D9" s="322" t="str">
        <f ca="1">IF(ISNA(T9),"",INDIRECT("A" &amp; T9))</f>
        <v>P</v>
      </c>
      <c r="E9" s="322" t="str">
        <f ca="1">IF(ISNA(U9),"",INDIRECT("B" &amp; U9))</f>
        <v>ALISSON</v>
      </c>
      <c r="F9" s="322" t="str">
        <f ca="1">IF(ISNA(V9),"",INDIRECT("C" &amp; V9))</f>
        <v>Roma</v>
      </c>
      <c r="G9" s="227" t="str">
        <f ca="1">IF(ISNA(W9),"",INDIRECT("A" &amp; W9))</f>
        <v>D</v>
      </c>
      <c r="H9" s="227" t="str">
        <f ca="1">IF(ISNA(X9),"",INDIRECT("B" &amp; X9))</f>
        <v>ABATE</v>
      </c>
      <c r="I9" s="227" t="str">
        <f ca="1">IF(ISNA(Y9),"",INDIRECT("C" &amp; Y9))</f>
        <v>Milan</v>
      </c>
      <c r="J9" s="227" t="str">
        <f ca="1">IF(ISNA(Z9),"",INDIRECT("A" &amp; Z9))</f>
        <v>C</v>
      </c>
      <c r="K9" s="227" t="str">
        <f ca="1">IF(ISNA(AA9),"",INDIRECT("B" &amp; AA9))</f>
        <v>ACQUAH</v>
      </c>
      <c r="L9" s="227" t="str">
        <f ca="1">IF(ISNA(AB9),"",INDIRECT("C" &amp; AB9))</f>
        <v>Torino</v>
      </c>
      <c r="M9" s="227" t="str">
        <f ca="1">IF(ISNA(AC9),"",INDIRECT("A" &amp; AC9))</f>
        <v>A</v>
      </c>
      <c r="N9" s="227" t="str">
        <f ca="1">IF(ISNA(AD9),"",INDIRECT("B" &amp; AD9))</f>
        <v>ANDRE' SILVA</v>
      </c>
      <c r="O9" s="227" t="str">
        <f ca="1">IF(ISNA(AE9),"",INDIRECT("C" &amp; AE9))</f>
        <v>Milan</v>
      </c>
      <c r="P9" s="227" t="str">
        <f ca="1">IF(ISNA(AF9),"",INDIRECT("A" &amp; AF9))</f>
        <v/>
      </c>
      <c r="Q9" s="227" t="str">
        <f ca="1">IF(ISNA(AG9),"",INDIRECT("B" &amp; AG9))</f>
        <v/>
      </c>
      <c r="R9" s="227" t="str">
        <f ca="1">IF(ISNA(AH9),"",INDIRECT("C" &amp; AH9))</f>
        <v/>
      </c>
      <c r="T9" s="179">
        <f ca="1">T8+MATCH(T$7,INDIRECT("$A"&amp;T8+1&amp;":$A$1000"),0)</f>
        <v>18</v>
      </c>
      <c r="U9" s="179">
        <f t="shared" ref="U9:V28" ca="1" si="0">T9</f>
        <v>18</v>
      </c>
      <c r="V9" s="179">
        <f t="shared" ca="1" si="0"/>
        <v>18</v>
      </c>
      <c r="W9" s="179">
        <f t="shared" ref="W9:W72" ca="1" si="1">W8+MATCH(W$7,INDIRECT("$A"&amp;W8+1&amp;":$A$1000"),0)</f>
        <v>9</v>
      </c>
      <c r="X9" s="179">
        <f t="shared" ref="X9:Y28" ca="1" si="2">W9</f>
        <v>9</v>
      </c>
      <c r="Y9" s="179">
        <f t="shared" ca="1" si="2"/>
        <v>9</v>
      </c>
      <c r="Z9" s="179">
        <f t="shared" ref="Z9:Z72" ca="1" si="3">Z8+MATCH(Z$7,INDIRECT("$A"&amp;Z8+1&amp;":$A$1000"),0)</f>
        <v>11</v>
      </c>
      <c r="AA9" s="179">
        <f t="shared" ref="AA9:AB28" ca="1" si="4">Z9</f>
        <v>11</v>
      </c>
      <c r="AB9" s="179">
        <f t="shared" ca="1" si="4"/>
        <v>11</v>
      </c>
      <c r="AC9" s="179">
        <f t="shared" ref="AC9:AC72" ca="1" si="5">AC8+MATCH(AC$7,INDIRECT("$A"&amp;AC8+1&amp;":$A$1000"),0)</f>
        <v>22</v>
      </c>
      <c r="AD9" s="179">
        <f t="shared" ref="AD9:AE28" ca="1" si="6">AC9</f>
        <v>22</v>
      </c>
      <c r="AE9" s="179">
        <f t="shared" ca="1" si="6"/>
        <v>22</v>
      </c>
      <c r="AF9" s="179" t="e">
        <f t="shared" ref="AF9:AF72" ca="1" si="7">AF8+MATCH(AF$7,INDIRECT("$A"&amp;AF8+1&amp;":$A$1000"),0)</f>
        <v>#N/A</v>
      </c>
      <c r="AG9" s="179" t="e">
        <f t="shared" ref="AG9:AH28" ca="1" si="8">AF9</f>
        <v>#N/A</v>
      </c>
      <c r="AH9" s="179" t="e">
        <f t="shared" ca="1" si="8"/>
        <v>#N/A</v>
      </c>
    </row>
    <row r="10" spans="1:34" ht="15.75" customHeight="1">
      <c r="A10" s="449" t="s">
        <v>37</v>
      </c>
      <c r="B10" s="449" t="s">
        <v>301</v>
      </c>
      <c r="C10" s="449" t="s">
        <v>685</v>
      </c>
      <c r="D10" s="322" t="str">
        <f t="shared" ref="D10:D69" ca="1" si="9">IF(ISNA(T10),"",INDIRECT("A" &amp; T10))</f>
        <v>P</v>
      </c>
      <c r="E10" s="322" t="str">
        <f t="shared" ref="E10:E69" ca="1" si="10">IF(ISNA(U10),"",INDIRECT("B" &amp; U10))</f>
        <v>BELEC</v>
      </c>
      <c r="F10" s="322" t="str">
        <f t="shared" ref="F10:F69" ca="1" si="11">IF(ISNA(V10),"",INDIRECT("C" &amp; V10))</f>
        <v>Benevento</v>
      </c>
      <c r="G10" s="227" t="str">
        <f t="shared" ref="G10:G73" ca="1" si="12">IF(ISNA(W10),"",INDIRECT("A" &amp; W10))</f>
        <v>D</v>
      </c>
      <c r="H10" s="227" t="str">
        <f t="shared" ref="H10:H73" ca="1" si="13">IF(ISNA(X10),"",INDIRECT("B" &amp; X10))</f>
        <v>ACERBI</v>
      </c>
      <c r="I10" s="227" t="str">
        <f t="shared" ref="I10:I73" ca="1" si="14">IF(ISNA(Y10),"",INDIRECT("C" &amp; Y10))</f>
        <v>Sassuolo</v>
      </c>
      <c r="J10" s="227" t="str">
        <f t="shared" ref="J10:J73" ca="1" si="15">IF(ISNA(Z10),"",INDIRECT("A" &amp; Z10))</f>
        <v>C</v>
      </c>
      <c r="K10" s="227" t="str">
        <f t="shared" ref="K10:K73" ca="1" si="16">IF(ISNA(AA10),"",INDIRECT("B" &amp; AA10))</f>
        <v>ALLAN</v>
      </c>
      <c r="L10" s="227" t="str">
        <f t="shared" ref="L10:L73" ca="1" si="17">IF(ISNA(AB10),"",INDIRECT("C" &amp; AB10))</f>
        <v>Napoli</v>
      </c>
      <c r="M10" s="227" t="str">
        <f t="shared" ref="M10:M73" ca="1" si="18">IF(ISNA(AC10),"",INDIRECT("A" &amp; AC10))</f>
        <v>A</v>
      </c>
      <c r="N10" s="227" t="str">
        <f t="shared" ref="N10:N73" ca="1" si="19">IF(ISNA(AD10),"",INDIRECT("B" &amp; AD10))</f>
        <v>ANTENUCCI</v>
      </c>
      <c r="O10" s="227" t="str">
        <f t="shared" ref="O10:O73" ca="1" si="20">IF(ISNA(AE10),"",INDIRECT("C" &amp; AE10))</f>
        <v>SPAL</v>
      </c>
      <c r="P10" s="227" t="str">
        <f t="shared" ref="P10:P73" ca="1" si="21">IF(ISNA(AF10),"",INDIRECT("A" &amp; AF10))</f>
        <v/>
      </c>
      <c r="Q10" s="227" t="str">
        <f t="shared" ref="Q10:Q73" ca="1" si="22">IF(ISNA(AG10),"",INDIRECT("B" &amp; AG10))</f>
        <v/>
      </c>
      <c r="R10" s="227" t="str">
        <f t="shared" ref="R10:R73" ca="1" si="23">IF(ISNA(AH10),"",INDIRECT("C" &amp; AH10))</f>
        <v/>
      </c>
      <c r="T10" s="179">
        <f t="shared" ref="T10:T73" ca="1" si="24">T9+MATCH($T$7,INDIRECT("$A"&amp;T9+1&amp;":$A$1000"),0)</f>
        <v>49</v>
      </c>
      <c r="U10" s="179">
        <f t="shared" ca="1" si="0"/>
        <v>49</v>
      </c>
      <c r="V10" s="179">
        <f t="shared" ca="1" si="0"/>
        <v>49</v>
      </c>
      <c r="W10" s="179">
        <f t="shared" ca="1" si="1"/>
        <v>10</v>
      </c>
      <c r="X10" s="179">
        <f t="shared" ca="1" si="2"/>
        <v>10</v>
      </c>
      <c r="Y10" s="179">
        <f t="shared" ca="1" si="2"/>
        <v>10</v>
      </c>
      <c r="Z10" s="179">
        <f t="shared" ca="1" si="3"/>
        <v>19</v>
      </c>
      <c r="AA10" s="179">
        <f t="shared" ca="1" si="4"/>
        <v>19</v>
      </c>
      <c r="AB10" s="179">
        <f t="shared" ca="1" si="4"/>
        <v>19</v>
      </c>
      <c r="AC10" s="179">
        <f t="shared" ca="1" si="5"/>
        <v>27</v>
      </c>
      <c r="AD10" s="179">
        <f t="shared" ca="1" si="6"/>
        <v>27</v>
      </c>
      <c r="AE10" s="179">
        <f t="shared" ca="1" si="6"/>
        <v>27</v>
      </c>
      <c r="AF10" s="179" t="e">
        <f t="shared" ca="1" si="7"/>
        <v>#N/A</v>
      </c>
      <c r="AG10" s="179" t="e">
        <f t="shared" ca="1" si="8"/>
        <v>#N/A</v>
      </c>
      <c r="AH10" s="179" t="e">
        <f t="shared" ca="1" si="8"/>
        <v>#N/A</v>
      </c>
    </row>
    <row r="11" spans="1:34" ht="15.75" customHeight="1">
      <c r="A11" s="449" t="s">
        <v>39</v>
      </c>
      <c r="B11" s="449" t="s">
        <v>299</v>
      </c>
      <c r="C11" s="449" t="s">
        <v>687</v>
      </c>
      <c r="D11" s="322" t="str">
        <f t="shared" ca="1" si="9"/>
        <v>P</v>
      </c>
      <c r="E11" s="322" t="str">
        <f t="shared" ca="1" si="10"/>
        <v>BERISHA</v>
      </c>
      <c r="F11" s="322" t="str">
        <f t="shared" ca="1" si="11"/>
        <v>Atalanta</v>
      </c>
      <c r="G11" s="227" t="str">
        <f t="shared" ca="1" si="12"/>
        <v>D</v>
      </c>
      <c r="H11" s="227" t="str">
        <f t="shared" ca="1" si="13"/>
        <v>ADJAPONG</v>
      </c>
      <c r="I11" s="227" t="str">
        <f t="shared" ca="1" si="14"/>
        <v>Sassuolo</v>
      </c>
      <c r="J11" s="227" t="str">
        <f t="shared" ca="1" si="15"/>
        <v>C</v>
      </c>
      <c r="K11" s="227" t="str">
        <f t="shared" ca="1" si="16"/>
        <v>ALVAREZ R</v>
      </c>
      <c r="L11" s="227" t="str">
        <f t="shared" ca="1" si="17"/>
        <v>Sampdoria</v>
      </c>
      <c r="M11" s="227" t="str">
        <f t="shared" ca="1" si="18"/>
        <v>A</v>
      </c>
      <c r="N11" s="227" t="str">
        <f t="shared" ca="1" si="19"/>
        <v>ARMENTEROS</v>
      </c>
      <c r="O11" s="227" t="str">
        <f t="shared" ca="1" si="20"/>
        <v>Benevento</v>
      </c>
      <c r="P11" s="227" t="str">
        <f t="shared" ca="1" si="21"/>
        <v/>
      </c>
      <c r="Q11" s="227" t="str">
        <f t="shared" ca="1" si="22"/>
        <v/>
      </c>
      <c r="R11" s="227" t="str">
        <f t="shared" ca="1" si="23"/>
        <v/>
      </c>
      <c r="T11" s="179">
        <f t="shared" ca="1" si="24"/>
        <v>57</v>
      </c>
      <c r="U11" s="179">
        <f t="shared" ca="1" si="0"/>
        <v>57</v>
      </c>
      <c r="V11" s="179">
        <f t="shared" ca="1" si="0"/>
        <v>57</v>
      </c>
      <c r="W11" s="179">
        <f t="shared" ca="1" si="1"/>
        <v>12</v>
      </c>
      <c r="X11" s="179">
        <f t="shared" ca="1" si="2"/>
        <v>12</v>
      </c>
      <c r="Y11" s="179">
        <f t="shared" ca="1" si="2"/>
        <v>12</v>
      </c>
      <c r="Z11" s="179">
        <f t="shared" ca="1" si="3"/>
        <v>20</v>
      </c>
      <c r="AA11" s="179">
        <f t="shared" ca="1" si="4"/>
        <v>20</v>
      </c>
      <c r="AB11" s="179">
        <f t="shared" ca="1" si="4"/>
        <v>20</v>
      </c>
      <c r="AC11" s="179">
        <f t="shared" ca="1" si="5"/>
        <v>29</v>
      </c>
      <c r="AD11" s="179">
        <f t="shared" ca="1" si="6"/>
        <v>29</v>
      </c>
      <c r="AE11" s="179">
        <f t="shared" ca="1" si="6"/>
        <v>29</v>
      </c>
      <c r="AF11" s="179" t="e">
        <f t="shared" ca="1" si="7"/>
        <v>#N/A</v>
      </c>
      <c r="AG11" s="179" t="e">
        <f t="shared" ca="1" si="8"/>
        <v>#N/A</v>
      </c>
      <c r="AH11" s="179" t="e">
        <f t="shared" ca="1" si="8"/>
        <v>#N/A</v>
      </c>
    </row>
    <row r="12" spans="1:34" ht="15.75" customHeight="1">
      <c r="A12" s="449" t="s">
        <v>37</v>
      </c>
      <c r="B12" s="449" t="s">
        <v>1286</v>
      </c>
      <c r="C12" s="449" t="s">
        <v>685</v>
      </c>
      <c r="D12" s="322" t="str">
        <f t="shared" ca="1" si="9"/>
        <v>P</v>
      </c>
      <c r="E12" s="322" t="str">
        <f t="shared" ca="1" si="10"/>
        <v>BERNI</v>
      </c>
      <c r="F12" s="322" t="str">
        <f t="shared" ca="1" si="11"/>
        <v>Inter</v>
      </c>
      <c r="G12" s="227" t="str">
        <f t="shared" ca="1" si="12"/>
        <v>D</v>
      </c>
      <c r="H12" s="227" t="str">
        <f t="shared" ca="1" si="13"/>
        <v>ADNAN</v>
      </c>
      <c r="I12" s="227" t="str">
        <f t="shared" ca="1" si="14"/>
        <v>Udinese</v>
      </c>
      <c r="J12" s="227" t="str">
        <f t="shared" ca="1" si="15"/>
        <v>C</v>
      </c>
      <c r="K12" s="227" t="str">
        <f t="shared" ca="1" si="16"/>
        <v>BADELJ</v>
      </c>
      <c r="L12" s="227" t="str">
        <f t="shared" ca="1" si="17"/>
        <v>Fiorentina</v>
      </c>
      <c r="M12" s="227" t="str">
        <f t="shared" ca="1" si="18"/>
        <v>A</v>
      </c>
      <c r="N12" s="227" t="str">
        <f t="shared" ca="1" si="19"/>
        <v>BABACAR</v>
      </c>
      <c r="O12" s="227" t="str">
        <f t="shared" ca="1" si="20"/>
        <v>Fiorentina</v>
      </c>
      <c r="P12" s="227" t="str">
        <f t="shared" ca="1" si="21"/>
        <v/>
      </c>
      <c r="Q12" s="227" t="str">
        <f t="shared" ca="1" si="22"/>
        <v/>
      </c>
      <c r="R12" s="227" t="str">
        <f t="shared" ca="1" si="23"/>
        <v/>
      </c>
      <c r="T12" s="179">
        <f t="shared" ca="1" si="24"/>
        <v>59</v>
      </c>
      <c r="U12" s="179">
        <f t="shared" ca="1" si="0"/>
        <v>59</v>
      </c>
      <c r="V12" s="179">
        <f t="shared" ca="1" si="0"/>
        <v>59</v>
      </c>
      <c r="W12" s="179">
        <f t="shared" ca="1" si="1"/>
        <v>13</v>
      </c>
      <c r="X12" s="179">
        <f t="shared" ca="1" si="2"/>
        <v>13</v>
      </c>
      <c r="Y12" s="179">
        <f t="shared" ca="1" si="2"/>
        <v>13</v>
      </c>
      <c r="Z12" s="179">
        <f t="shared" ca="1" si="3"/>
        <v>33</v>
      </c>
      <c r="AA12" s="179">
        <f t="shared" ca="1" si="4"/>
        <v>33</v>
      </c>
      <c r="AB12" s="179">
        <f t="shared" ca="1" si="4"/>
        <v>33</v>
      </c>
      <c r="AC12" s="179">
        <f t="shared" ca="1" si="5"/>
        <v>32</v>
      </c>
      <c r="AD12" s="179">
        <f t="shared" ca="1" si="6"/>
        <v>32</v>
      </c>
      <c r="AE12" s="179">
        <f t="shared" ca="1" si="6"/>
        <v>32</v>
      </c>
      <c r="AF12" s="179" t="e">
        <f t="shared" ca="1" si="7"/>
        <v>#N/A</v>
      </c>
      <c r="AG12" s="179" t="e">
        <f t="shared" ca="1" si="8"/>
        <v>#N/A</v>
      </c>
      <c r="AH12" s="179" t="e">
        <f t="shared" ca="1" si="8"/>
        <v>#N/A</v>
      </c>
    </row>
    <row r="13" spans="1:34" ht="15.75" customHeight="1">
      <c r="A13" s="449" t="s">
        <v>37</v>
      </c>
      <c r="B13" s="449" t="s">
        <v>304</v>
      </c>
      <c r="C13" s="449" t="s">
        <v>684</v>
      </c>
      <c r="D13" s="322" t="str">
        <f t="shared" ca="1" si="9"/>
        <v>P</v>
      </c>
      <c r="E13" s="322" t="str">
        <f t="shared" ca="1" si="10"/>
        <v>BIZZARRI</v>
      </c>
      <c r="F13" s="322" t="str">
        <f t="shared" ca="1" si="11"/>
        <v>Udinese</v>
      </c>
      <c r="G13" s="227" t="str">
        <f t="shared" ca="1" si="12"/>
        <v>D</v>
      </c>
      <c r="H13" s="227" t="str">
        <f t="shared" ca="1" si="13"/>
        <v>AJETI</v>
      </c>
      <c r="I13" s="227" t="str">
        <f t="shared" ca="1" si="14"/>
        <v>Crotone</v>
      </c>
      <c r="J13" s="227" t="str">
        <f t="shared" ca="1" si="15"/>
        <v>C</v>
      </c>
      <c r="K13" s="227" t="str">
        <f t="shared" ca="1" si="16"/>
        <v>BALIC</v>
      </c>
      <c r="L13" s="227" t="str">
        <f t="shared" ca="1" si="17"/>
        <v>Udinese</v>
      </c>
      <c r="M13" s="227" t="str">
        <f t="shared" ca="1" si="18"/>
        <v>A</v>
      </c>
      <c r="N13" s="227" t="str">
        <f t="shared" ca="1" si="19"/>
        <v>BAJIC</v>
      </c>
      <c r="O13" s="227" t="str">
        <f t="shared" ca="1" si="20"/>
        <v>Udinese</v>
      </c>
      <c r="P13" s="227" t="str">
        <f t="shared" ca="1" si="21"/>
        <v/>
      </c>
      <c r="Q13" s="227" t="str">
        <f t="shared" ca="1" si="22"/>
        <v/>
      </c>
      <c r="R13" s="227" t="str">
        <f t="shared" ca="1" si="23"/>
        <v/>
      </c>
      <c r="T13" s="179">
        <f t="shared" ca="1" si="24"/>
        <v>68</v>
      </c>
      <c r="U13" s="179">
        <f t="shared" ca="1" si="0"/>
        <v>68</v>
      </c>
      <c r="V13" s="179">
        <f t="shared" ca="1" si="0"/>
        <v>68</v>
      </c>
      <c r="W13" s="179">
        <f t="shared" ca="1" si="1"/>
        <v>14</v>
      </c>
      <c r="X13" s="179">
        <f t="shared" ca="1" si="2"/>
        <v>14</v>
      </c>
      <c r="Y13" s="179">
        <f t="shared" ca="1" si="2"/>
        <v>14</v>
      </c>
      <c r="Z13" s="179">
        <f t="shared" ca="1" si="3"/>
        <v>35</v>
      </c>
      <c r="AA13" s="179">
        <f t="shared" ca="1" si="4"/>
        <v>35</v>
      </c>
      <c r="AB13" s="179">
        <f t="shared" ca="1" si="4"/>
        <v>35</v>
      </c>
      <c r="AC13" s="179">
        <f t="shared" ca="1" si="5"/>
        <v>34</v>
      </c>
      <c r="AD13" s="179">
        <f t="shared" ca="1" si="6"/>
        <v>34</v>
      </c>
      <c r="AE13" s="179">
        <f t="shared" ca="1" si="6"/>
        <v>34</v>
      </c>
      <c r="AF13" s="179" t="e">
        <f t="shared" ca="1" si="7"/>
        <v>#N/A</v>
      </c>
      <c r="AG13" s="179" t="e">
        <f t="shared" ca="1" si="8"/>
        <v>#N/A</v>
      </c>
      <c r="AH13" s="179" t="e">
        <f t="shared" ca="1" si="8"/>
        <v>#N/A</v>
      </c>
    </row>
    <row r="14" spans="1:34" ht="15.75" customHeight="1">
      <c r="A14" s="449" t="s">
        <v>37</v>
      </c>
      <c r="B14" s="449" t="s">
        <v>306</v>
      </c>
      <c r="C14" s="449" t="s">
        <v>701</v>
      </c>
      <c r="D14" s="322" t="str">
        <f t="shared" ca="1" si="9"/>
        <v>P</v>
      </c>
      <c r="E14" s="322" t="str">
        <f t="shared" ca="1" si="10"/>
        <v>BRIGNOLI</v>
      </c>
      <c r="F14" s="322" t="str">
        <f t="shared" ca="1" si="11"/>
        <v>Benevento</v>
      </c>
      <c r="G14" s="227" t="str">
        <f t="shared" ca="1" si="12"/>
        <v>D</v>
      </c>
      <c r="H14" s="227" t="str">
        <f t="shared" ca="1" si="13"/>
        <v>ALBERTAZZI</v>
      </c>
      <c r="I14" s="227" t="str">
        <f t="shared" ca="1" si="14"/>
        <v>Verona</v>
      </c>
      <c r="J14" s="227" t="str">
        <f t="shared" ca="1" si="15"/>
        <v>C</v>
      </c>
      <c r="K14" s="227" t="str">
        <f t="shared" ca="1" si="16"/>
        <v>BARAK</v>
      </c>
      <c r="L14" s="227" t="str">
        <f t="shared" ca="1" si="17"/>
        <v>Udinese</v>
      </c>
      <c r="M14" s="227" t="str">
        <f t="shared" ca="1" si="18"/>
        <v>A</v>
      </c>
      <c r="N14" s="227" t="str">
        <f t="shared" ca="1" si="19"/>
        <v>BELOTTI</v>
      </c>
      <c r="O14" s="227" t="str">
        <f t="shared" ca="1" si="20"/>
        <v>Torino</v>
      </c>
      <c r="P14" s="227" t="str">
        <f t="shared" ca="1" si="21"/>
        <v/>
      </c>
      <c r="Q14" s="227" t="str">
        <f t="shared" ca="1" si="22"/>
        <v/>
      </c>
      <c r="R14" s="227" t="str">
        <f t="shared" ca="1" si="23"/>
        <v/>
      </c>
      <c r="T14" s="179">
        <f t="shared" ca="1" si="24"/>
        <v>79</v>
      </c>
      <c r="U14" s="179">
        <f t="shared" ca="1" si="0"/>
        <v>79</v>
      </c>
      <c r="V14" s="179">
        <f t="shared" ca="1" si="0"/>
        <v>79</v>
      </c>
      <c r="W14" s="179">
        <f t="shared" ca="1" si="1"/>
        <v>15</v>
      </c>
      <c r="X14" s="179">
        <f t="shared" ca="1" si="2"/>
        <v>15</v>
      </c>
      <c r="Y14" s="179">
        <f t="shared" ca="1" si="2"/>
        <v>15</v>
      </c>
      <c r="Z14" s="179">
        <f t="shared" ca="1" si="3"/>
        <v>37</v>
      </c>
      <c r="AA14" s="179">
        <f t="shared" ca="1" si="4"/>
        <v>37</v>
      </c>
      <c r="AB14" s="179">
        <f t="shared" ca="1" si="4"/>
        <v>37</v>
      </c>
      <c r="AC14" s="179">
        <f t="shared" ca="1" si="5"/>
        <v>50</v>
      </c>
      <c r="AD14" s="179">
        <f t="shared" ca="1" si="6"/>
        <v>50</v>
      </c>
      <c r="AE14" s="179">
        <f t="shared" ca="1" si="6"/>
        <v>50</v>
      </c>
      <c r="AF14" s="179" t="e">
        <f t="shared" ca="1" si="7"/>
        <v>#N/A</v>
      </c>
      <c r="AG14" s="179" t="e">
        <f t="shared" ca="1" si="8"/>
        <v>#N/A</v>
      </c>
      <c r="AH14" s="179" t="e">
        <f t="shared" ca="1" si="8"/>
        <v>#N/A</v>
      </c>
    </row>
    <row r="15" spans="1:34" ht="15.75" customHeight="1">
      <c r="A15" s="449" t="s">
        <v>37</v>
      </c>
      <c r="B15" s="449" t="s">
        <v>1866</v>
      </c>
      <c r="C15" s="449" t="s">
        <v>1674</v>
      </c>
      <c r="D15" s="322" t="str">
        <f t="shared" ca="1" si="9"/>
        <v>P</v>
      </c>
      <c r="E15" s="322" t="str">
        <f t="shared" ca="1" si="10"/>
        <v>BUFFON</v>
      </c>
      <c r="F15" s="322" t="str">
        <f t="shared" ca="1" si="11"/>
        <v>Juventus</v>
      </c>
      <c r="G15" s="227" t="str">
        <f t="shared" ca="1" si="12"/>
        <v>D</v>
      </c>
      <c r="H15" s="227" t="str">
        <f t="shared" ca="1" si="13"/>
        <v>ALBIOL</v>
      </c>
      <c r="I15" s="227" t="str">
        <f t="shared" ca="1" si="14"/>
        <v>Napoli</v>
      </c>
      <c r="J15" s="227" t="str">
        <f t="shared" ca="1" si="15"/>
        <v>C</v>
      </c>
      <c r="K15" s="227" t="str">
        <f t="shared" ca="1" si="16"/>
        <v>BARBERIS</v>
      </c>
      <c r="L15" s="227" t="str">
        <f t="shared" ca="1" si="17"/>
        <v>Crotone</v>
      </c>
      <c r="M15" s="227" t="str">
        <f t="shared" ca="1" si="18"/>
        <v>A</v>
      </c>
      <c r="N15" s="227" t="str">
        <f t="shared" ca="1" si="19"/>
        <v>BERARDI</v>
      </c>
      <c r="O15" s="227" t="str">
        <f t="shared" ca="1" si="20"/>
        <v>Sassuolo</v>
      </c>
      <c r="P15" s="227" t="str">
        <f t="shared" ca="1" si="21"/>
        <v/>
      </c>
      <c r="Q15" s="227" t="str">
        <f t="shared" ca="1" si="22"/>
        <v/>
      </c>
      <c r="R15" s="227" t="str">
        <f t="shared" ca="1" si="23"/>
        <v/>
      </c>
      <c r="T15" s="179">
        <f t="shared" ca="1" si="24"/>
        <v>85</v>
      </c>
      <c r="U15" s="179">
        <f t="shared" ca="1" si="0"/>
        <v>85</v>
      </c>
      <c r="V15" s="179">
        <f t="shared" ca="1" si="0"/>
        <v>85</v>
      </c>
      <c r="W15" s="179">
        <f t="shared" ca="1" si="1"/>
        <v>16</v>
      </c>
      <c r="X15" s="179">
        <f t="shared" ca="1" si="2"/>
        <v>16</v>
      </c>
      <c r="Y15" s="179">
        <f t="shared" ca="1" si="2"/>
        <v>16</v>
      </c>
      <c r="Z15" s="179">
        <f t="shared" ca="1" si="3"/>
        <v>38</v>
      </c>
      <c r="AA15" s="179">
        <f t="shared" ca="1" si="4"/>
        <v>38</v>
      </c>
      <c r="AB15" s="179">
        <f t="shared" ca="1" si="4"/>
        <v>38</v>
      </c>
      <c r="AC15" s="179">
        <f t="shared" ca="1" si="5"/>
        <v>54</v>
      </c>
      <c r="AD15" s="179">
        <f t="shared" ca="1" si="6"/>
        <v>54</v>
      </c>
      <c r="AE15" s="179">
        <f t="shared" ca="1" si="6"/>
        <v>54</v>
      </c>
      <c r="AF15" s="179" t="e">
        <f t="shared" ca="1" si="7"/>
        <v>#N/A</v>
      </c>
      <c r="AG15" s="179" t="e">
        <f t="shared" ca="1" si="8"/>
        <v>#N/A</v>
      </c>
      <c r="AH15" s="179" t="e">
        <f t="shared" ca="1" si="8"/>
        <v>#N/A</v>
      </c>
    </row>
    <row r="16" spans="1:34" ht="15.75" customHeight="1">
      <c r="A16" s="449" t="s">
        <v>37</v>
      </c>
      <c r="B16" s="449" t="s">
        <v>308</v>
      </c>
      <c r="C16" s="449" t="s">
        <v>681</v>
      </c>
      <c r="D16" s="322" t="str">
        <f t="shared" ca="1" si="9"/>
        <v>P</v>
      </c>
      <c r="E16" s="322" t="str">
        <f t="shared" ca="1" si="10"/>
        <v>CEROFOLINI</v>
      </c>
      <c r="F16" s="322" t="str">
        <f t="shared" ca="1" si="11"/>
        <v>Fiorentina</v>
      </c>
      <c r="G16" s="227" t="str">
        <f t="shared" ca="1" si="12"/>
        <v>D</v>
      </c>
      <c r="H16" s="227" t="str">
        <f t="shared" ca="1" si="13"/>
        <v>ALEX SANDRO</v>
      </c>
      <c r="I16" s="227" t="str">
        <f t="shared" ca="1" si="14"/>
        <v>Juventus</v>
      </c>
      <c r="J16" s="227" t="str">
        <f t="shared" ca="1" si="15"/>
        <v>C</v>
      </c>
      <c r="K16" s="227" t="str">
        <f t="shared" ca="1" si="16"/>
        <v>BARELLA</v>
      </c>
      <c r="L16" s="227" t="str">
        <f t="shared" ca="1" si="17"/>
        <v>Cagliari</v>
      </c>
      <c r="M16" s="227" t="str">
        <f t="shared" ca="1" si="18"/>
        <v>A</v>
      </c>
      <c r="N16" s="227" t="str">
        <f t="shared" ca="1" si="19"/>
        <v>BONAZZOLI</v>
      </c>
      <c r="O16" s="227" t="str">
        <f t="shared" ca="1" si="20"/>
        <v>SPAL</v>
      </c>
      <c r="P16" s="227" t="str">
        <f t="shared" ca="1" si="21"/>
        <v/>
      </c>
      <c r="Q16" s="227" t="str">
        <f t="shared" ca="1" si="22"/>
        <v/>
      </c>
      <c r="R16" s="227" t="str">
        <f t="shared" ca="1" si="23"/>
        <v/>
      </c>
      <c r="T16" s="179">
        <f t="shared" ca="1" si="24"/>
        <v>111</v>
      </c>
      <c r="U16" s="179">
        <f t="shared" ca="1" si="0"/>
        <v>111</v>
      </c>
      <c r="V16" s="179">
        <f t="shared" ca="1" si="0"/>
        <v>111</v>
      </c>
      <c r="W16" s="179">
        <f t="shared" ca="1" si="1"/>
        <v>17</v>
      </c>
      <c r="X16" s="179">
        <f t="shared" ca="1" si="2"/>
        <v>17</v>
      </c>
      <c r="Y16" s="179">
        <f t="shared" ca="1" si="2"/>
        <v>17</v>
      </c>
      <c r="Z16" s="179">
        <f t="shared" ca="1" si="3"/>
        <v>39</v>
      </c>
      <c r="AA16" s="179">
        <f t="shared" ca="1" si="4"/>
        <v>39</v>
      </c>
      <c r="AB16" s="179">
        <f t="shared" ca="1" si="4"/>
        <v>39</v>
      </c>
      <c r="AC16" s="179">
        <f t="shared" ca="1" si="5"/>
        <v>71</v>
      </c>
      <c r="AD16" s="179">
        <f t="shared" ca="1" si="6"/>
        <v>71</v>
      </c>
      <c r="AE16" s="179">
        <f t="shared" ca="1" si="6"/>
        <v>71</v>
      </c>
      <c r="AF16" s="179" t="e">
        <f t="shared" ca="1" si="7"/>
        <v>#N/A</v>
      </c>
      <c r="AG16" s="179" t="e">
        <f t="shared" ca="1" si="8"/>
        <v>#N/A</v>
      </c>
      <c r="AH16" s="179" t="e">
        <f t="shared" ca="1" si="8"/>
        <v>#N/A</v>
      </c>
    </row>
    <row r="17" spans="1:34" ht="15.75" customHeight="1">
      <c r="A17" s="449" t="s">
        <v>37</v>
      </c>
      <c r="B17" s="449" t="s">
        <v>312</v>
      </c>
      <c r="C17" s="449" t="s">
        <v>676</v>
      </c>
      <c r="D17" s="322" t="str">
        <f t="shared" ca="1" si="9"/>
        <v>P</v>
      </c>
      <c r="E17" s="322" t="str">
        <f t="shared" ca="1" si="10"/>
        <v>CONFENTE</v>
      </c>
      <c r="F17" s="322" t="str">
        <f t="shared" ca="1" si="11"/>
        <v>Chievo</v>
      </c>
      <c r="G17" s="227" t="str">
        <f t="shared" ca="1" si="12"/>
        <v>D</v>
      </c>
      <c r="H17" s="227" t="str">
        <f t="shared" ca="1" si="13"/>
        <v>ANDERSEN</v>
      </c>
      <c r="I17" s="227" t="str">
        <f t="shared" ca="1" si="14"/>
        <v>Sampdoria</v>
      </c>
      <c r="J17" s="227" t="str">
        <f t="shared" ca="1" si="15"/>
        <v>C</v>
      </c>
      <c r="K17" s="227" t="str">
        <f t="shared" ca="1" si="16"/>
        <v>BARRETO E</v>
      </c>
      <c r="L17" s="227" t="str">
        <f t="shared" ca="1" si="17"/>
        <v>Sampdoria</v>
      </c>
      <c r="M17" s="227" t="str">
        <f t="shared" ca="1" si="18"/>
        <v>A</v>
      </c>
      <c r="N17" s="227" t="str">
        <f t="shared" ca="1" si="19"/>
        <v>BORINI</v>
      </c>
      <c r="O17" s="227" t="str">
        <f t="shared" ca="1" si="20"/>
        <v>Milan</v>
      </c>
      <c r="P17" s="227" t="str">
        <f t="shared" ca="1" si="21"/>
        <v/>
      </c>
      <c r="Q17" s="227" t="str">
        <f t="shared" ca="1" si="22"/>
        <v/>
      </c>
      <c r="R17" s="227" t="str">
        <f t="shared" ca="1" si="23"/>
        <v/>
      </c>
      <c r="T17" s="179">
        <f t="shared" ca="1" si="24"/>
        <v>122</v>
      </c>
      <c r="U17" s="179">
        <f t="shared" ca="1" si="0"/>
        <v>122</v>
      </c>
      <c r="V17" s="179">
        <f t="shared" ca="1" si="0"/>
        <v>122</v>
      </c>
      <c r="W17" s="179">
        <f t="shared" ca="1" si="1"/>
        <v>21</v>
      </c>
      <c r="X17" s="179">
        <f t="shared" ca="1" si="2"/>
        <v>21</v>
      </c>
      <c r="Y17" s="179">
        <f t="shared" ca="1" si="2"/>
        <v>21</v>
      </c>
      <c r="Z17" s="179">
        <f t="shared" ca="1" si="3"/>
        <v>41</v>
      </c>
      <c r="AA17" s="179">
        <f t="shared" ca="1" si="4"/>
        <v>41</v>
      </c>
      <c r="AB17" s="179">
        <f t="shared" ca="1" si="4"/>
        <v>41</v>
      </c>
      <c r="AC17" s="179">
        <f t="shared" ca="1" si="5"/>
        <v>74</v>
      </c>
      <c r="AD17" s="179">
        <f t="shared" ca="1" si="6"/>
        <v>74</v>
      </c>
      <c r="AE17" s="179">
        <f t="shared" ca="1" si="6"/>
        <v>74</v>
      </c>
      <c r="AF17" s="179" t="e">
        <f t="shared" ca="1" si="7"/>
        <v>#N/A</v>
      </c>
      <c r="AG17" s="179" t="e">
        <f t="shared" ca="1" si="8"/>
        <v>#N/A</v>
      </c>
      <c r="AH17" s="179" t="e">
        <f t="shared" ca="1" si="8"/>
        <v>#N/A</v>
      </c>
    </row>
    <row r="18" spans="1:34" ht="15.75" customHeight="1">
      <c r="A18" s="449" t="s">
        <v>35</v>
      </c>
      <c r="B18" s="449" t="s">
        <v>300</v>
      </c>
      <c r="C18" s="449" t="s">
        <v>695</v>
      </c>
      <c r="D18" s="322" t="str">
        <f t="shared" ca="1" si="9"/>
        <v>P</v>
      </c>
      <c r="E18" s="322" t="str">
        <f t="shared" ca="1" si="10"/>
        <v>CONSIGLI</v>
      </c>
      <c r="F18" s="322" t="str">
        <f t="shared" ca="1" si="11"/>
        <v>Sassuolo</v>
      </c>
      <c r="G18" s="227" t="str">
        <f t="shared" ca="1" si="12"/>
        <v>D</v>
      </c>
      <c r="H18" s="227" t="str">
        <f t="shared" ca="1" si="13"/>
        <v>ANDREOLLI</v>
      </c>
      <c r="I18" s="227" t="str">
        <f t="shared" ca="1" si="14"/>
        <v>Cagliari</v>
      </c>
      <c r="J18" s="227" t="str">
        <f t="shared" ca="1" si="15"/>
        <v>C</v>
      </c>
      <c r="K18" s="227" t="str">
        <f t="shared" ca="1" si="16"/>
        <v>BASELLI</v>
      </c>
      <c r="L18" s="227" t="str">
        <f t="shared" ca="1" si="17"/>
        <v>Torino</v>
      </c>
      <c r="M18" s="227" t="str">
        <f t="shared" ca="1" si="18"/>
        <v>A</v>
      </c>
      <c r="N18" s="227" t="str">
        <f t="shared" ca="1" si="19"/>
        <v>BORRIELLO</v>
      </c>
      <c r="O18" s="227" t="str">
        <f t="shared" ca="1" si="20"/>
        <v>SPAL</v>
      </c>
      <c r="P18" s="227" t="str">
        <f t="shared" ca="1" si="21"/>
        <v/>
      </c>
      <c r="Q18" s="227" t="str">
        <f t="shared" ca="1" si="22"/>
        <v/>
      </c>
      <c r="R18" s="227" t="str">
        <f t="shared" ca="1" si="23"/>
        <v/>
      </c>
      <c r="T18" s="179">
        <f t="shared" ca="1" si="24"/>
        <v>123</v>
      </c>
      <c r="U18" s="179">
        <f t="shared" ca="1" si="0"/>
        <v>123</v>
      </c>
      <c r="V18" s="179">
        <f t="shared" ca="1" si="0"/>
        <v>123</v>
      </c>
      <c r="W18" s="179">
        <f t="shared" ca="1" si="1"/>
        <v>23</v>
      </c>
      <c r="X18" s="179">
        <f t="shared" ca="1" si="2"/>
        <v>23</v>
      </c>
      <c r="Y18" s="179">
        <f t="shared" ca="1" si="2"/>
        <v>23</v>
      </c>
      <c r="Z18" s="179">
        <f t="shared" ca="1" si="3"/>
        <v>43</v>
      </c>
      <c r="AA18" s="179">
        <f t="shared" ca="1" si="4"/>
        <v>43</v>
      </c>
      <c r="AB18" s="179">
        <f t="shared" ca="1" si="4"/>
        <v>43</v>
      </c>
      <c r="AC18" s="179">
        <f t="shared" ca="1" si="5"/>
        <v>76</v>
      </c>
      <c r="AD18" s="179">
        <f t="shared" ca="1" si="6"/>
        <v>76</v>
      </c>
      <c r="AE18" s="179">
        <f t="shared" ca="1" si="6"/>
        <v>76</v>
      </c>
      <c r="AF18" s="179" t="e">
        <f t="shared" ca="1" si="7"/>
        <v>#N/A</v>
      </c>
      <c r="AG18" s="179" t="e">
        <f t="shared" ca="1" si="8"/>
        <v>#N/A</v>
      </c>
      <c r="AH18" s="179" t="e">
        <f t="shared" ca="1" si="8"/>
        <v>#N/A</v>
      </c>
    </row>
    <row r="19" spans="1:34" ht="15.75" customHeight="1">
      <c r="A19" s="449" t="s">
        <v>39</v>
      </c>
      <c r="B19" s="449" t="s">
        <v>302</v>
      </c>
      <c r="C19" s="449" t="s">
        <v>681</v>
      </c>
      <c r="D19" s="322" t="str">
        <f t="shared" ca="1" si="9"/>
        <v>P</v>
      </c>
      <c r="E19" s="322" t="str">
        <f t="shared" ca="1" si="10"/>
        <v>COPPOLA</v>
      </c>
      <c r="F19" s="322" t="str">
        <f t="shared" ca="1" si="11"/>
        <v>Verona</v>
      </c>
      <c r="G19" s="227" t="str">
        <f t="shared" ca="1" si="12"/>
        <v>D</v>
      </c>
      <c r="H19" s="227" t="str">
        <f t="shared" ca="1" si="13"/>
        <v>ANGELLA</v>
      </c>
      <c r="I19" s="227" t="str">
        <f t="shared" ca="1" si="14"/>
        <v>Udinese</v>
      </c>
      <c r="J19" s="227" t="str">
        <f t="shared" ca="1" si="15"/>
        <v>C</v>
      </c>
      <c r="K19" s="227" t="str">
        <f t="shared" ca="1" si="16"/>
        <v>BASTIEN</v>
      </c>
      <c r="L19" s="227" t="str">
        <f t="shared" ca="1" si="17"/>
        <v>Chievo</v>
      </c>
      <c r="M19" s="227" t="str">
        <f t="shared" ca="1" si="18"/>
        <v>A</v>
      </c>
      <c r="N19" s="227" t="str">
        <f t="shared" ca="1" si="19"/>
        <v>BOYE'</v>
      </c>
      <c r="O19" s="227" t="str">
        <f t="shared" ca="1" si="20"/>
        <v>Torino</v>
      </c>
      <c r="P19" s="227" t="str">
        <f t="shared" ca="1" si="21"/>
        <v/>
      </c>
      <c r="Q19" s="227" t="str">
        <f t="shared" ca="1" si="22"/>
        <v/>
      </c>
      <c r="R19" s="227" t="str">
        <f t="shared" ca="1" si="23"/>
        <v/>
      </c>
      <c r="T19" s="179">
        <f t="shared" ca="1" si="24"/>
        <v>125</v>
      </c>
      <c r="U19" s="179">
        <f t="shared" ca="1" si="0"/>
        <v>125</v>
      </c>
      <c r="V19" s="179">
        <f t="shared" ca="1" si="0"/>
        <v>125</v>
      </c>
      <c r="W19" s="179">
        <f t="shared" ca="1" si="1"/>
        <v>24</v>
      </c>
      <c r="X19" s="179">
        <f t="shared" ca="1" si="2"/>
        <v>24</v>
      </c>
      <c r="Y19" s="179">
        <f t="shared" ca="1" si="2"/>
        <v>24</v>
      </c>
      <c r="Z19" s="179">
        <f t="shared" ca="1" si="3"/>
        <v>45</v>
      </c>
      <c r="AA19" s="179">
        <f t="shared" ca="1" si="4"/>
        <v>45</v>
      </c>
      <c r="AB19" s="179">
        <f t="shared" ca="1" si="4"/>
        <v>45</v>
      </c>
      <c r="AC19" s="179">
        <f t="shared" ca="1" si="5"/>
        <v>77</v>
      </c>
      <c r="AD19" s="179">
        <f t="shared" ca="1" si="6"/>
        <v>77</v>
      </c>
      <c r="AE19" s="179">
        <f t="shared" ca="1" si="6"/>
        <v>77</v>
      </c>
      <c r="AF19" s="179" t="e">
        <f t="shared" ca="1" si="7"/>
        <v>#N/A</v>
      </c>
      <c r="AG19" s="179" t="e">
        <f t="shared" ca="1" si="8"/>
        <v>#N/A</v>
      </c>
      <c r="AH19" s="179" t="e">
        <f t="shared" ca="1" si="8"/>
        <v>#N/A</v>
      </c>
    </row>
    <row r="20" spans="1:34" ht="15.75" customHeight="1">
      <c r="A20" s="449" t="s">
        <v>39</v>
      </c>
      <c r="B20" s="449" t="s">
        <v>1296</v>
      </c>
      <c r="C20" s="449" t="s">
        <v>688</v>
      </c>
      <c r="D20" s="322" t="str">
        <f t="shared" ca="1" si="9"/>
        <v>P</v>
      </c>
      <c r="E20" s="322" t="str">
        <f t="shared" ca="1" si="10"/>
        <v>CORDAZ</v>
      </c>
      <c r="F20" s="322" t="str">
        <f t="shared" ca="1" si="11"/>
        <v>Crotone</v>
      </c>
      <c r="G20" s="227" t="str">
        <f t="shared" ca="1" si="12"/>
        <v>D</v>
      </c>
      <c r="H20" s="227" t="str">
        <f t="shared" ca="1" si="13"/>
        <v>ANSALDI</v>
      </c>
      <c r="I20" s="227" t="str">
        <f t="shared" ca="1" si="14"/>
        <v>Torino</v>
      </c>
      <c r="J20" s="227" t="str">
        <f t="shared" ca="1" si="15"/>
        <v>C</v>
      </c>
      <c r="K20" s="227" t="str">
        <f t="shared" ca="1" si="16"/>
        <v>BEHRAMI</v>
      </c>
      <c r="L20" s="227" t="str">
        <f t="shared" ca="1" si="17"/>
        <v>Udinese</v>
      </c>
      <c r="M20" s="227" t="str">
        <f t="shared" ca="1" si="18"/>
        <v>A</v>
      </c>
      <c r="N20" s="227" t="str">
        <f t="shared" ca="1" si="19"/>
        <v>BRIGNOLA</v>
      </c>
      <c r="O20" s="227" t="str">
        <f t="shared" ca="1" si="20"/>
        <v>Benevento</v>
      </c>
      <c r="P20" s="227" t="str">
        <f t="shared" ca="1" si="21"/>
        <v/>
      </c>
      <c r="Q20" s="227" t="str">
        <f t="shared" ca="1" si="22"/>
        <v/>
      </c>
      <c r="R20" s="227" t="str">
        <f t="shared" ca="1" si="23"/>
        <v/>
      </c>
      <c r="T20" s="179">
        <f t="shared" ca="1" si="24"/>
        <v>126</v>
      </c>
      <c r="U20" s="179">
        <f t="shared" ca="1" si="0"/>
        <v>126</v>
      </c>
      <c r="V20" s="179">
        <f t="shared" ca="1" si="0"/>
        <v>126</v>
      </c>
      <c r="W20" s="179">
        <f t="shared" ca="1" si="1"/>
        <v>25</v>
      </c>
      <c r="X20" s="179">
        <f t="shared" ca="1" si="2"/>
        <v>25</v>
      </c>
      <c r="Y20" s="179">
        <f t="shared" ca="1" si="2"/>
        <v>25</v>
      </c>
      <c r="Z20" s="179">
        <f t="shared" ca="1" si="3"/>
        <v>48</v>
      </c>
      <c r="AA20" s="179">
        <f t="shared" ca="1" si="4"/>
        <v>48</v>
      </c>
      <c r="AB20" s="179">
        <f t="shared" ca="1" si="4"/>
        <v>48</v>
      </c>
      <c r="AC20" s="179">
        <f t="shared" ca="1" si="5"/>
        <v>78</v>
      </c>
      <c r="AD20" s="179">
        <f t="shared" ca="1" si="6"/>
        <v>78</v>
      </c>
      <c r="AE20" s="179">
        <f t="shared" ca="1" si="6"/>
        <v>78</v>
      </c>
      <c r="AF20" s="179" t="e">
        <f t="shared" ca="1" si="7"/>
        <v>#N/A</v>
      </c>
      <c r="AG20" s="179" t="e">
        <f t="shared" ca="1" si="8"/>
        <v>#N/A</v>
      </c>
      <c r="AH20" s="179" t="e">
        <f t="shared" ca="1" si="8"/>
        <v>#N/A</v>
      </c>
    </row>
    <row r="21" spans="1:34" ht="15.75" customHeight="1">
      <c r="A21" s="449" t="s">
        <v>37</v>
      </c>
      <c r="B21" s="449" t="s">
        <v>1961</v>
      </c>
      <c r="C21" s="449" t="s">
        <v>688</v>
      </c>
      <c r="D21" s="322" t="str">
        <f t="shared" ca="1" si="9"/>
        <v>P</v>
      </c>
      <c r="E21" s="322" t="str">
        <f t="shared" ca="1" si="10"/>
        <v>COTTICELLI</v>
      </c>
      <c r="F21" s="322" t="str">
        <f t="shared" ca="1" si="11"/>
        <v>Benevento</v>
      </c>
      <c r="G21" s="227" t="str">
        <f t="shared" ca="1" si="12"/>
        <v>D</v>
      </c>
      <c r="H21" s="227" t="str">
        <f t="shared" ca="1" si="13"/>
        <v>ANTEI</v>
      </c>
      <c r="I21" s="227" t="str">
        <f t="shared" ca="1" si="14"/>
        <v>Benevento</v>
      </c>
      <c r="J21" s="227" t="str">
        <f t="shared" ca="1" si="15"/>
        <v>C</v>
      </c>
      <c r="K21" s="227" t="str">
        <f t="shared" ca="1" si="16"/>
        <v>BENASSI</v>
      </c>
      <c r="L21" s="227" t="str">
        <f t="shared" ca="1" si="17"/>
        <v>Fiorentina</v>
      </c>
      <c r="M21" s="227" t="str">
        <f t="shared" ca="1" si="18"/>
        <v>A</v>
      </c>
      <c r="N21" s="227" t="str">
        <f t="shared" ca="1" si="19"/>
        <v>BUDIMIR</v>
      </c>
      <c r="O21" s="227" t="str">
        <f t="shared" ca="1" si="20"/>
        <v>Crotone</v>
      </c>
      <c r="P21" s="227" t="str">
        <f t="shared" ca="1" si="21"/>
        <v/>
      </c>
      <c r="Q21" s="227" t="str">
        <f t="shared" ca="1" si="22"/>
        <v/>
      </c>
      <c r="R21" s="227" t="str">
        <f t="shared" ca="1" si="23"/>
        <v/>
      </c>
      <c r="T21" s="179">
        <f t="shared" ca="1" si="24"/>
        <v>131</v>
      </c>
      <c r="U21" s="179">
        <f t="shared" ca="1" si="0"/>
        <v>131</v>
      </c>
      <c r="V21" s="179">
        <f t="shared" ca="1" si="0"/>
        <v>131</v>
      </c>
      <c r="W21" s="179">
        <f t="shared" ca="1" si="1"/>
        <v>26</v>
      </c>
      <c r="X21" s="179">
        <f t="shared" ca="1" si="2"/>
        <v>26</v>
      </c>
      <c r="Y21" s="179">
        <f t="shared" ca="1" si="2"/>
        <v>26</v>
      </c>
      <c r="Z21" s="179">
        <f t="shared" ca="1" si="3"/>
        <v>51</v>
      </c>
      <c r="AA21" s="179">
        <f t="shared" ca="1" si="4"/>
        <v>51</v>
      </c>
      <c r="AB21" s="179">
        <f t="shared" ca="1" si="4"/>
        <v>51</v>
      </c>
      <c r="AC21" s="179">
        <f t="shared" ca="1" si="5"/>
        <v>84</v>
      </c>
      <c r="AD21" s="179">
        <f t="shared" ca="1" si="6"/>
        <v>84</v>
      </c>
      <c r="AE21" s="179">
        <f t="shared" ca="1" si="6"/>
        <v>84</v>
      </c>
      <c r="AF21" s="179" t="e">
        <f t="shared" ca="1" si="7"/>
        <v>#N/A</v>
      </c>
      <c r="AG21" s="179" t="e">
        <f t="shared" ca="1" si="8"/>
        <v>#N/A</v>
      </c>
      <c r="AH21" s="179" t="e">
        <f t="shared" ca="1" si="8"/>
        <v>#N/A</v>
      </c>
    </row>
    <row r="22" spans="1:34" ht="15.75" customHeight="1">
      <c r="A22" s="449" t="s">
        <v>43</v>
      </c>
      <c r="B22" s="449" t="s">
        <v>1778</v>
      </c>
      <c r="C22" s="449" t="s">
        <v>678</v>
      </c>
      <c r="D22" s="322" t="str">
        <f t="shared" ca="1" si="9"/>
        <v>P</v>
      </c>
      <c r="E22" s="322" t="str">
        <f t="shared" ca="1" si="10"/>
        <v>CRAGNO</v>
      </c>
      <c r="F22" s="322" t="str">
        <f t="shared" ca="1" si="11"/>
        <v>Cagliari</v>
      </c>
      <c r="G22" s="227" t="str">
        <f t="shared" ca="1" si="12"/>
        <v>D</v>
      </c>
      <c r="H22" s="227" t="str">
        <f t="shared" ca="1" si="13"/>
        <v>ANTONELLI</v>
      </c>
      <c r="I22" s="227" t="str">
        <f t="shared" ca="1" si="14"/>
        <v>Milan</v>
      </c>
      <c r="J22" s="227" t="str">
        <f t="shared" ca="1" si="15"/>
        <v>C</v>
      </c>
      <c r="K22" s="227" t="str">
        <f t="shared" ca="1" si="16"/>
        <v>BENTANCUR</v>
      </c>
      <c r="L22" s="227" t="str">
        <f t="shared" ca="1" si="17"/>
        <v>Juventus</v>
      </c>
      <c r="M22" s="227" t="str">
        <f t="shared" ca="1" si="18"/>
        <v>A</v>
      </c>
      <c r="N22" s="227" t="str">
        <f t="shared" ca="1" si="19"/>
        <v>CAICEDO</v>
      </c>
      <c r="O22" s="227" t="str">
        <f t="shared" ca="1" si="20"/>
        <v>Lazio</v>
      </c>
      <c r="P22" s="227" t="str">
        <f t="shared" ca="1" si="21"/>
        <v/>
      </c>
      <c r="Q22" s="227" t="str">
        <f t="shared" ca="1" si="22"/>
        <v/>
      </c>
      <c r="R22" s="227" t="str">
        <f t="shared" ca="1" si="23"/>
        <v/>
      </c>
      <c r="T22" s="179">
        <f t="shared" ca="1" si="24"/>
        <v>132</v>
      </c>
      <c r="U22" s="179">
        <f t="shared" ca="1" si="0"/>
        <v>132</v>
      </c>
      <c r="V22" s="179">
        <f t="shared" ca="1" si="0"/>
        <v>132</v>
      </c>
      <c r="W22" s="179">
        <f t="shared" ca="1" si="1"/>
        <v>28</v>
      </c>
      <c r="X22" s="179">
        <f t="shared" ca="1" si="2"/>
        <v>28</v>
      </c>
      <c r="Y22" s="179">
        <f t="shared" ca="1" si="2"/>
        <v>28</v>
      </c>
      <c r="Z22" s="179">
        <f t="shared" ca="1" si="3"/>
        <v>53</v>
      </c>
      <c r="AA22" s="179">
        <f t="shared" ca="1" si="4"/>
        <v>53</v>
      </c>
      <c r="AB22" s="179">
        <f t="shared" ca="1" si="4"/>
        <v>53</v>
      </c>
      <c r="AC22" s="179">
        <f t="shared" ca="1" si="5"/>
        <v>90</v>
      </c>
      <c r="AD22" s="179">
        <f t="shared" ca="1" si="6"/>
        <v>90</v>
      </c>
      <c r="AE22" s="179">
        <f t="shared" ca="1" si="6"/>
        <v>90</v>
      </c>
      <c r="AF22" s="179" t="e">
        <f t="shared" ca="1" si="7"/>
        <v>#N/A</v>
      </c>
      <c r="AG22" s="179" t="e">
        <f t="shared" ca="1" si="8"/>
        <v>#N/A</v>
      </c>
      <c r="AH22" s="179" t="e">
        <f t="shared" ca="1" si="8"/>
        <v>#N/A</v>
      </c>
    </row>
    <row r="23" spans="1:34" ht="15.75" customHeight="1">
      <c r="A23" s="449" t="s">
        <v>37</v>
      </c>
      <c r="B23" s="449" t="s">
        <v>317</v>
      </c>
      <c r="C23" s="449" t="s">
        <v>700</v>
      </c>
      <c r="D23" s="322" t="str">
        <f t="shared" ca="1" si="9"/>
        <v>P</v>
      </c>
      <c r="E23" s="322" t="str">
        <f t="shared" ca="1" si="10"/>
        <v>CROSTA</v>
      </c>
      <c r="F23" s="322" t="str">
        <f t="shared" ca="1" si="11"/>
        <v>Cagliari</v>
      </c>
      <c r="G23" s="227" t="str">
        <f t="shared" ca="1" si="12"/>
        <v>D</v>
      </c>
      <c r="H23" s="227" t="str">
        <f t="shared" ca="1" si="13"/>
        <v>ASAMOAH</v>
      </c>
      <c r="I23" s="227" t="str">
        <f t="shared" ca="1" si="14"/>
        <v>Juventus</v>
      </c>
      <c r="J23" s="227" t="str">
        <f t="shared" ca="1" si="15"/>
        <v>C</v>
      </c>
      <c r="K23" s="227" t="str">
        <f t="shared" ca="1" si="16"/>
        <v>BERENGUER</v>
      </c>
      <c r="L23" s="227" t="str">
        <f t="shared" ca="1" si="17"/>
        <v>Torino</v>
      </c>
      <c r="M23" s="227" t="str">
        <f t="shared" ca="1" si="18"/>
        <v>A</v>
      </c>
      <c r="N23" s="227" t="str">
        <f t="shared" ca="1" si="19"/>
        <v>CALLEJON</v>
      </c>
      <c r="O23" s="227" t="str">
        <f t="shared" ca="1" si="20"/>
        <v>Napoli</v>
      </c>
      <c r="P23" s="227" t="str">
        <f t="shared" ca="1" si="21"/>
        <v/>
      </c>
      <c r="Q23" s="227" t="str">
        <f t="shared" ca="1" si="22"/>
        <v/>
      </c>
      <c r="R23" s="227" t="str">
        <f t="shared" ca="1" si="23"/>
        <v/>
      </c>
      <c r="T23" s="179">
        <f t="shared" ca="1" si="24"/>
        <v>139</v>
      </c>
      <c r="U23" s="179">
        <f t="shared" ca="1" si="0"/>
        <v>139</v>
      </c>
      <c r="V23" s="179">
        <f t="shared" ca="1" si="0"/>
        <v>139</v>
      </c>
      <c r="W23" s="179">
        <f t="shared" ca="1" si="1"/>
        <v>30</v>
      </c>
      <c r="X23" s="179">
        <f t="shared" ca="1" si="2"/>
        <v>30</v>
      </c>
      <c r="Y23" s="179">
        <f t="shared" ca="1" si="2"/>
        <v>30</v>
      </c>
      <c r="Z23" s="179">
        <f t="shared" ca="1" si="3"/>
        <v>55</v>
      </c>
      <c r="AA23" s="179">
        <f t="shared" ca="1" si="4"/>
        <v>55</v>
      </c>
      <c r="AB23" s="179">
        <f t="shared" ca="1" si="4"/>
        <v>55</v>
      </c>
      <c r="AC23" s="179">
        <f t="shared" ca="1" si="5"/>
        <v>94</v>
      </c>
      <c r="AD23" s="179">
        <f t="shared" ca="1" si="6"/>
        <v>94</v>
      </c>
      <c r="AE23" s="179">
        <f t="shared" ca="1" si="6"/>
        <v>94</v>
      </c>
      <c r="AF23" s="179" t="e">
        <f t="shared" ca="1" si="7"/>
        <v>#N/A</v>
      </c>
      <c r="AG23" s="179" t="e">
        <f t="shared" ca="1" si="8"/>
        <v>#N/A</v>
      </c>
      <c r="AH23" s="179" t="e">
        <f t="shared" ca="1" si="8"/>
        <v>#N/A</v>
      </c>
    </row>
    <row r="24" spans="1:34" ht="15.75" customHeight="1">
      <c r="A24" s="449" t="s">
        <v>37</v>
      </c>
      <c r="B24" s="449" t="s">
        <v>321</v>
      </c>
      <c r="C24" s="449" t="s">
        <v>684</v>
      </c>
      <c r="D24" s="322" t="str">
        <f t="shared" ca="1" si="9"/>
        <v>P</v>
      </c>
      <c r="E24" s="322" t="str">
        <f t="shared" ca="1" si="10"/>
        <v>DA COSTA</v>
      </c>
      <c r="F24" s="322" t="str">
        <f t="shared" ca="1" si="11"/>
        <v>Bologna</v>
      </c>
      <c r="G24" s="227" t="str">
        <f t="shared" ca="1" si="12"/>
        <v>D</v>
      </c>
      <c r="H24" s="227" t="str">
        <f t="shared" ca="1" si="13"/>
        <v>ASTORI</v>
      </c>
      <c r="I24" s="227" t="str">
        <f t="shared" ca="1" si="14"/>
        <v>Fiorentina</v>
      </c>
      <c r="J24" s="227" t="str">
        <f t="shared" ca="1" si="15"/>
        <v>C</v>
      </c>
      <c r="K24" s="227" t="str">
        <f t="shared" ca="1" si="16"/>
        <v>BERNARDESCHI</v>
      </c>
      <c r="L24" s="227" t="str">
        <f t="shared" ca="1" si="17"/>
        <v>Juventus</v>
      </c>
      <c r="M24" s="227" t="str">
        <f t="shared" ca="1" si="18"/>
        <v>A</v>
      </c>
      <c r="N24" s="227" t="str">
        <f t="shared" ca="1" si="19"/>
        <v>CAPRARI</v>
      </c>
      <c r="O24" s="227" t="str">
        <f t="shared" ca="1" si="20"/>
        <v>Sampdoria</v>
      </c>
      <c r="P24" s="227" t="str">
        <f t="shared" ca="1" si="21"/>
        <v/>
      </c>
      <c r="Q24" s="227" t="str">
        <f t="shared" ca="1" si="22"/>
        <v/>
      </c>
      <c r="R24" s="227" t="str">
        <f t="shared" ca="1" si="23"/>
        <v/>
      </c>
      <c r="T24" s="179">
        <f t="shared" ca="1" si="24"/>
        <v>142</v>
      </c>
      <c r="U24" s="179">
        <f t="shared" ca="1" si="0"/>
        <v>142</v>
      </c>
      <c r="V24" s="179">
        <f t="shared" ca="1" si="0"/>
        <v>142</v>
      </c>
      <c r="W24" s="179">
        <f t="shared" ca="1" si="1"/>
        <v>31</v>
      </c>
      <c r="X24" s="179">
        <f t="shared" ca="1" si="2"/>
        <v>31</v>
      </c>
      <c r="Y24" s="179">
        <f t="shared" ca="1" si="2"/>
        <v>31</v>
      </c>
      <c r="Z24" s="179">
        <f t="shared" ca="1" si="3"/>
        <v>58</v>
      </c>
      <c r="AA24" s="179">
        <f t="shared" ca="1" si="4"/>
        <v>58</v>
      </c>
      <c r="AB24" s="179">
        <f t="shared" ca="1" si="4"/>
        <v>58</v>
      </c>
      <c r="AC24" s="179">
        <f t="shared" ca="1" si="5"/>
        <v>99</v>
      </c>
      <c r="AD24" s="179">
        <f t="shared" ca="1" si="6"/>
        <v>99</v>
      </c>
      <c r="AE24" s="179">
        <f t="shared" ca="1" si="6"/>
        <v>99</v>
      </c>
      <c r="AF24" s="179" t="e">
        <f t="shared" ca="1" si="7"/>
        <v>#N/A</v>
      </c>
      <c r="AG24" s="179" t="e">
        <f t="shared" ca="1" si="8"/>
        <v>#N/A</v>
      </c>
      <c r="AH24" s="179" t="e">
        <f t="shared" ca="1" si="8"/>
        <v>#N/A</v>
      </c>
    </row>
    <row r="25" spans="1:34" ht="15.75" customHeight="1">
      <c r="A25" s="449" t="s">
        <v>37</v>
      </c>
      <c r="B25" s="449" t="s">
        <v>322</v>
      </c>
      <c r="C25" s="449" t="s">
        <v>687</v>
      </c>
      <c r="D25" s="322" t="str">
        <f t="shared" ca="1" si="9"/>
        <v>P</v>
      </c>
      <c r="E25" s="322" t="str">
        <f t="shared" ca="1" si="10"/>
        <v>DONNARUMMA A</v>
      </c>
      <c r="F25" s="322" t="str">
        <f t="shared" ca="1" si="11"/>
        <v>Milan</v>
      </c>
      <c r="G25" s="227" t="str">
        <f t="shared" ca="1" si="12"/>
        <v>D</v>
      </c>
      <c r="H25" s="227" t="str">
        <f t="shared" ca="1" si="13"/>
        <v>BANI</v>
      </c>
      <c r="I25" s="227" t="str">
        <f t="shared" ca="1" si="14"/>
        <v>Chievo</v>
      </c>
      <c r="J25" s="227" t="str">
        <f t="shared" ca="1" si="15"/>
        <v>C</v>
      </c>
      <c r="K25" s="227" t="str">
        <f t="shared" ca="1" si="16"/>
        <v>BERTOLACCI</v>
      </c>
      <c r="L25" s="227" t="str">
        <f t="shared" ca="1" si="17"/>
        <v>Genoa</v>
      </c>
      <c r="M25" s="227" t="str">
        <f t="shared" ca="1" si="18"/>
        <v>A</v>
      </c>
      <c r="N25" s="227" t="str">
        <f t="shared" ca="1" si="19"/>
        <v>CENTURION</v>
      </c>
      <c r="O25" s="227" t="str">
        <f t="shared" ca="1" si="20"/>
        <v>Genoa</v>
      </c>
      <c r="P25" s="227" t="str">
        <f t="shared" ca="1" si="21"/>
        <v/>
      </c>
      <c r="Q25" s="227" t="str">
        <f t="shared" ca="1" si="22"/>
        <v/>
      </c>
      <c r="R25" s="227" t="str">
        <f t="shared" ca="1" si="23"/>
        <v/>
      </c>
      <c r="T25" s="179">
        <f t="shared" ca="1" si="24"/>
        <v>171</v>
      </c>
      <c r="U25" s="179">
        <f t="shared" ca="1" si="0"/>
        <v>171</v>
      </c>
      <c r="V25" s="179">
        <f t="shared" ca="1" si="0"/>
        <v>171</v>
      </c>
      <c r="W25" s="179">
        <f t="shared" ca="1" si="1"/>
        <v>36</v>
      </c>
      <c r="X25" s="179">
        <f t="shared" ca="1" si="2"/>
        <v>36</v>
      </c>
      <c r="Y25" s="179">
        <f t="shared" ca="1" si="2"/>
        <v>36</v>
      </c>
      <c r="Z25" s="179">
        <f t="shared" ca="1" si="3"/>
        <v>60</v>
      </c>
      <c r="AA25" s="179">
        <f t="shared" ca="1" si="4"/>
        <v>60</v>
      </c>
      <c r="AB25" s="179">
        <f t="shared" ca="1" si="4"/>
        <v>60</v>
      </c>
      <c r="AC25" s="179">
        <f t="shared" ca="1" si="5"/>
        <v>108</v>
      </c>
      <c r="AD25" s="179">
        <f t="shared" ca="1" si="6"/>
        <v>108</v>
      </c>
      <c r="AE25" s="179">
        <f t="shared" ca="1" si="6"/>
        <v>108</v>
      </c>
      <c r="AF25" s="179" t="e">
        <f t="shared" ca="1" si="7"/>
        <v>#N/A</v>
      </c>
      <c r="AG25" s="179" t="e">
        <f t="shared" ca="1" si="8"/>
        <v>#N/A</v>
      </c>
      <c r="AH25" s="179" t="e">
        <f t="shared" ca="1" si="8"/>
        <v>#N/A</v>
      </c>
    </row>
    <row r="26" spans="1:34" ht="15.75" customHeight="1">
      <c r="A26" s="449" t="s">
        <v>37</v>
      </c>
      <c r="B26" s="449" t="s">
        <v>326</v>
      </c>
      <c r="C26" s="449" t="s">
        <v>1672</v>
      </c>
      <c r="D26" s="322" t="str">
        <f t="shared" ca="1" si="9"/>
        <v>P</v>
      </c>
      <c r="E26" s="322" t="str">
        <f t="shared" ca="1" si="10"/>
        <v>DONNARUMMA G</v>
      </c>
      <c r="F26" s="322" t="str">
        <f t="shared" ca="1" si="11"/>
        <v>Milan</v>
      </c>
      <c r="G26" s="227" t="str">
        <f t="shared" ca="1" si="12"/>
        <v>D</v>
      </c>
      <c r="H26" s="227" t="str">
        <f t="shared" ca="1" si="13"/>
        <v>BARRECA</v>
      </c>
      <c r="I26" s="227" t="str">
        <f t="shared" ca="1" si="14"/>
        <v>Torino</v>
      </c>
      <c r="J26" s="227" t="str">
        <f t="shared" ca="1" si="15"/>
        <v>C</v>
      </c>
      <c r="K26" s="227" t="str">
        <f t="shared" ca="1" si="16"/>
        <v>BESSA</v>
      </c>
      <c r="L26" s="227" t="str">
        <f t="shared" ca="1" si="17"/>
        <v>Verona</v>
      </c>
      <c r="M26" s="227" t="str">
        <f t="shared" ca="1" si="18"/>
        <v>A</v>
      </c>
      <c r="N26" s="227" t="str">
        <f t="shared" ca="1" si="19"/>
        <v>CERCI</v>
      </c>
      <c r="O26" s="227" t="str">
        <f t="shared" ca="1" si="20"/>
        <v>Verona</v>
      </c>
      <c r="P26" s="227" t="str">
        <f t="shared" ca="1" si="21"/>
        <v/>
      </c>
      <c r="Q26" s="227" t="str">
        <f t="shared" ca="1" si="22"/>
        <v/>
      </c>
      <c r="R26" s="227" t="str">
        <f t="shared" ca="1" si="23"/>
        <v/>
      </c>
      <c r="T26" s="179">
        <f t="shared" ca="1" si="24"/>
        <v>172</v>
      </c>
      <c r="U26" s="179">
        <f t="shared" ca="1" si="0"/>
        <v>172</v>
      </c>
      <c r="V26" s="179">
        <f t="shared" ca="1" si="0"/>
        <v>172</v>
      </c>
      <c r="W26" s="179">
        <f t="shared" ca="1" si="1"/>
        <v>40</v>
      </c>
      <c r="X26" s="179">
        <f t="shared" ca="1" si="2"/>
        <v>40</v>
      </c>
      <c r="Y26" s="179">
        <f t="shared" ca="1" si="2"/>
        <v>40</v>
      </c>
      <c r="Z26" s="179">
        <f t="shared" ca="1" si="3"/>
        <v>61</v>
      </c>
      <c r="AA26" s="179">
        <f t="shared" ca="1" si="4"/>
        <v>61</v>
      </c>
      <c r="AB26" s="179">
        <f t="shared" ca="1" si="4"/>
        <v>61</v>
      </c>
      <c r="AC26" s="179">
        <f t="shared" ca="1" si="5"/>
        <v>110</v>
      </c>
      <c r="AD26" s="179">
        <f t="shared" ca="1" si="6"/>
        <v>110</v>
      </c>
      <c r="AE26" s="179">
        <f t="shared" ca="1" si="6"/>
        <v>110</v>
      </c>
      <c r="AF26" s="179" t="e">
        <f t="shared" ca="1" si="7"/>
        <v>#N/A</v>
      </c>
      <c r="AG26" s="179" t="e">
        <f t="shared" ca="1" si="8"/>
        <v>#N/A</v>
      </c>
      <c r="AH26" s="179" t="e">
        <f t="shared" ca="1" si="8"/>
        <v>#N/A</v>
      </c>
    </row>
    <row r="27" spans="1:34" ht="15.75" customHeight="1">
      <c r="A27" s="449" t="s">
        <v>43</v>
      </c>
      <c r="B27" s="449" t="s">
        <v>1777</v>
      </c>
      <c r="C27" s="449" t="s">
        <v>1477</v>
      </c>
      <c r="D27" s="322" t="str">
        <f t="shared" ca="1" si="9"/>
        <v>P</v>
      </c>
      <c r="E27" s="322" t="str">
        <f t="shared" ca="1" si="10"/>
        <v>DRAGOWSKI</v>
      </c>
      <c r="F27" s="322" t="str">
        <f t="shared" ca="1" si="11"/>
        <v>Fiorentina</v>
      </c>
      <c r="G27" s="227" t="str">
        <f t="shared" ca="1" si="12"/>
        <v>D</v>
      </c>
      <c r="H27" s="227" t="str">
        <f t="shared" ca="1" si="13"/>
        <v>BARZAGLI</v>
      </c>
      <c r="I27" s="227" t="str">
        <f t="shared" ca="1" si="14"/>
        <v>Juventus</v>
      </c>
      <c r="J27" s="227" t="str">
        <f t="shared" ca="1" si="15"/>
        <v>C</v>
      </c>
      <c r="K27" s="227" t="str">
        <f t="shared" ca="1" si="16"/>
        <v>BIGLIA</v>
      </c>
      <c r="L27" s="227" t="str">
        <f t="shared" ca="1" si="17"/>
        <v>Milan</v>
      </c>
      <c r="M27" s="227" t="str">
        <f t="shared" ca="1" si="18"/>
        <v>A</v>
      </c>
      <c r="N27" s="227" t="str">
        <f t="shared" ca="1" si="19"/>
        <v>CODA M</v>
      </c>
      <c r="O27" s="227" t="str">
        <f t="shared" ca="1" si="20"/>
        <v>Benevento</v>
      </c>
      <c r="P27" s="227" t="str">
        <f t="shared" ca="1" si="21"/>
        <v/>
      </c>
      <c r="Q27" s="227" t="str">
        <f t="shared" ca="1" si="22"/>
        <v/>
      </c>
      <c r="R27" s="227" t="str">
        <f t="shared" ca="1" si="23"/>
        <v/>
      </c>
      <c r="T27" s="179">
        <f t="shared" ca="1" si="24"/>
        <v>175</v>
      </c>
      <c r="U27" s="179">
        <f t="shared" ca="1" si="0"/>
        <v>175</v>
      </c>
      <c r="V27" s="179">
        <f t="shared" ca="1" si="0"/>
        <v>175</v>
      </c>
      <c r="W27" s="179">
        <f t="shared" ca="1" si="1"/>
        <v>42</v>
      </c>
      <c r="X27" s="179">
        <f t="shared" ca="1" si="2"/>
        <v>42</v>
      </c>
      <c r="Y27" s="179">
        <f t="shared" ca="1" si="2"/>
        <v>42</v>
      </c>
      <c r="Z27" s="179">
        <f t="shared" ca="1" si="3"/>
        <v>63</v>
      </c>
      <c r="AA27" s="179">
        <f t="shared" ca="1" si="4"/>
        <v>63</v>
      </c>
      <c r="AB27" s="179">
        <f t="shared" ca="1" si="4"/>
        <v>63</v>
      </c>
      <c r="AC27" s="179">
        <f t="shared" ca="1" si="5"/>
        <v>120</v>
      </c>
      <c r="AD27" s="179">
        <f t="shared" ca="1" si="6"/>
        <v>120</v>
      </c>
      <c r="AE27" s="179">
        <f t="shared" ca="1" si="6"/>
        <v>120</v>
      </c>
      <c r="AF27" s="179" t="e">
        <f t="shared" ca="1" si="7"/>
        <v>#N/A</v>
      </c>
      <c r="AG27" s="179" t="e">
        <f t="shared" ca="1" si="8"/>
        <v>#N/A</v>
      </c>
      <c r="AH27" s="179" t="e">
        <f t="shared" ca="1" si="8"/>
        <v>#N/A</v>
      </c>
    </row>
    <row r="28" spans="1:34" ht="15.75" customHeight="1">
      <c r="A28" s="449" t="s">
        <v>37</v>
      </c>
      <c r="B28" s="449" t="s">
        <v>330</v>
      </c>
      <c r="C28" s="449" t="s">
        <v>678</v>
      </c>
      <c r="D28" s="322" t="str">
        <f t="shared" ca="1" si="9"/>
        <v>P</v>
      </c>
      <c r="E28" s="322" t="str">
        <f t="shared" ca="1" si="10"/>
        <v>FESTA</v>
      </c>
      <c r="F28" s="322" t="str">
        <f t="shared" ca="1" si="11"/>
        <v>Crotone</v>
      </c>
      <c r="G28" s="227" t="str">
        <f t="shared" ca="1" si="12"/>
        <v>D</v>
      </c>
      <c r="H28" s="227" t="str">
        <f t="shared" ca="1" si="13"/>
        <v>BASTA</v>
      </c>
      <c r="I28" s="227" t="str">
        <f t="shared" ca="1" si="14"/>
        <v>Lazio</v>
      </c>
      <c r="J28" s="227" t="str">
        <f t="shared" ca="1" si="15"/>
        <v>C</v>
      </c>
      <c r="K28" s="227" t="str">
        <f t="shared" ca="1" si="16"/>
        <v>BIONDINI</v>
      </c>
      <c r="L28" s="227" t="str">
        <f t="shared" ca="1" si="17"/>
        <v>Sassuolo</v>
      </c>
      <c r="M28" s="227" t="str">
        <f t="shared" ca="1" si="18"/>
        <v>A</v>
      </c>
      <c r="N28" s="227" t="str">
        <f t="shared" ca="1" si="19"/>
        <v>CORNELIUS</v>
      </c>
      <c r="O28" s="227" t="str">
        <f t="shared" ca="1" si="20"/>
        <v>Atalanta</v>
      </c>
      <c r="P28" s="227" t="str">
        <f t="shared" ca="1" si="21"/>
        <v/>
      </c>
      <c r="Q28" s="227" t="str">
        <f t="shared" ca="1" si="22"/>
        <v/>
      </c>
      <c r="R28" s="227" t="str">
        <f t="shared" ca="1" si="23"/>
        <v/>
      </c>
      <c r="T28" s="179">
        <f t="shared" ca="1" si="24"/>
        <v>199</v>
      </c>
      <c r="U28" s="179">
        <f t="shared" ca="1" si="0"/>
        <v>199</v>
      </c>
      <c r="V28" s="179">
        <f t="shared" ca="1" si="0"/>
        <v>199</v>
      </c>
      <c r="W28" s="179">
        <f t="shared" ca="1" si="1"/>
        <v>44</v>
      </c>
      <c r="X28" s="179">
        <f t="shared" ca="1" si="2"/>
        <v>44</v>
      </c>
      <c r="Y28" s="179">
        <f t="shared" ca="1" si="2"/>
        <v>44</v>
      </c>
      <c r="Z28" s="179">
        <f t="shared" ca="1" si="3"/>
        <v>64</v>
      </c>
      <c r="AA28" s="179">
        <f t="shared" ca="1" si="4"/>
        <v>64</v>
      </c>
      <c r="AB28" s="179">
        <f t="shared" ca="1" si="4"/>
        <v>64</v>
      </c>
      <c r="AC28" s="179">
        <f t="shared" ca="1" si="5"/>
        <v>127</v>
      </c>
      <c r="AD28" s="179">
        <f t="shared" ca="1" si="6"/>
        <v>127</v>
      </c>
      <c r="AE28" s="179">
        <f t="shared" ca="1" si="6"/>
        <v>127</v>
      </c>
      <c r="AF28" s="179" t="e">
        <f t="shared" ca="1" si="7"/>
        <v>#N/A</v>
      </c>
      <c r="AG28" s="179" t="e">
        <f t="shared" ca="1" si="8"/>
        <v>#N/A</v>
      </c>
      <c r="AH28" s="179" t="e">
        <f t="shared" ca="1" si="8"/>
        <v>#N/A</v>
      </c>
    </row>
    <row r="29" spans="1:34" ht="15.75" customHeight="1">
      <c r="A29" s="449" t="s">
        <v>43</v>
      </c>
      <c r="B29" s="449" t="s">
        <v>1980</v>
      </c>
      <c r="C29" s="449" t="s">
        <v>1672</v>
      </c>
      <c r="D29" s="322" t="str">
        <f t="shared" ca="1" si="9"/>
        <v>P</v>
      </c>
      <c r="E29" s="322" t="str">
        <f t="shared" ca="1" si="10"/>
        <v>GABRIEL</v>
      </c>
      <c r="F29" s="322" t="str">
        <f t="shared" ca="1" si="11"/>
        <v>Milan</v>
      </c>
      <c r="G29" s="227" t="str">
        <f t="shared" ca="1" si="12"/>
        <v>D</v>
      </c>
      <c r="H29" s="227" t="str">
        <f t="shared" ca="1" si="13"/>
        <v>BASTONI</v>
      </c>
      <c r="I29" s="227" t="str">
        <f t="shared" ca="1" si="14"/>
        <v>Atalanta</v>
      </c>
      <c r="J29" s="227" t="str">
        <f t="shared" ca="1" si="15"/>
        <v>C</v>
      </c>
      <c r="K29" s="227" t="str">
        <f t="shared" ca="1" si="16"/>
        <v>BIRSA</v>
      </c>
      <c r="L29" s="227" t="str">
        <f t="shared" ca="1" si="17"/>
        <v>Chievo</v>
      </c>
      <c r="M29" s="227" t="str">
        <f t="shared" ca="1" si="18"/>
        <v>A</v>
      </c>
      <c r="N29" s="227" t="str">
        <f t="shared" ca="1" si="19"/>
        <v>CUTRONE</v>
      </c>
      <c r="O29" s="227" t="str">
        <f t="shared" ca="1" si="20"/>
        <v>Milan</v>
      </c>
      <c r="P29" s="227" t="str">
        <f t="shared" ca="1" si="21"/>
        <v/>
      </c>
      <c r="Q29" s="227" t="str">
        <f t="shared" ca="1" si="22"/>
        <v/>
      </c>
      <c r="R29" s="227" t="str">
        <f t="shared" ca="1" si="23"/>
        <v/>
      </c>
      <c r="T29" s="179">
        <f t="shared" ca="1" si="24"/>
        <v>206</v>
      </c>
      <c r="U29" s="179">
        <f t="shared" ref="U29:V48" ca="1" si="25">T29</f>
        <v>206</v>
      </c>
      <c r="V29" s="179">
        <f t="shared" ca="1" si="25"/>
        <v>206</v>
      </c>
      <c r="W29" s="179">
        <f t="shared" ca="1" si="1"/>
        <v>46</v>
      </c>
      <c r="X29" s="179">
        <f t="shared" ref="X29:Y48" ca="1" si="26">W29</f>
        <v>46</v>
      </c>
      <c r="Y29" s="179">
        <f t="shared" ca="1" si="26"/>
        <v>46</v>
      </c>
      <c r="Z29" s="179">
        <f t="shared" ca="1" si="3"/>
        <v>67</v>
      </c>
      <c r="AA29" s="179">
        <f t="shared" ref="AA29:AB48" ca="1" si="27">Z29</f>
        <v>67</v>
      </c>
      <c r="AB29" s="179">
        <f t="shared" ca="1" si="27"/>
        <v>67</v>
      </c>
      <c r="AC29" s="179">
        <f t="shared" ca="1" si="5"/>
        <v>141</v>
      </c>
      <c r="AD29" s="179">
        <f t="shared" ref="AD29:AE48" ca="1" si="28">AC29</f>
        <v>141</v>
      </c>
      <c r="AE29" s="179">
        <f t="shared" ca="1" si="28"/>
        <v>141</v>
      </c>
      <c r="AF29" s="179" t="e">
        <f t="shared" ca="1" si="7"/>
        <v>#N/A</v>
      </c>
      <c r="AG29" s="179" t="e">
        <f t="shared" ref="AG29:AH48" ca="1" si="29">AF29</f>
        <v>#N/A</v>
      </c>
      <c r="AH29" s="179" t="e">
        <f t="shared" ca="1" si="29"/>
        <v>#N/A</v>
      </c>
    </row>
    <row r="30" spans="1:34" ht="15.75" customHeight="1">
      <c r="A30" s="449" t="s">
        <v>37</v>
      </c>
      <c r="B30" s="449" t="s">
        <v>309</v>
      </c>
      <c r="C30" s="449" t="s">
        <v>676</v>
      </c>
      <c r="D30" s="322" t="str">
        <f t="shared" ca="1" si="9"/>
        <v>P</v>
      </c>
      <c r="E30" s="322" t="str">
        <f t="shared" ca="1" si="10"/>
        <v>GOLLINI</v>
      </c>
      <c r="F30" s="322" t="str">
        <f t="shared" ca="1" si="11"/>
        <v>Atalanta</v>
      </c>
      <c r="G30" s="227" t="str">
        <f t="shared" ca="1" si="12"/>
        <v>D</v>
      </c>
      <c r="H30" s="227" t="str">
        <f t="shared" ca="1" si="13"/>
        <v>BASTOS</v>
      </c>
      <c r="I30" s="227" t="str">
        <f t="shared" ca="1" si="14"/>
        <v>Lazio</v>
      </c>
      <c r="J30" s="227" t="str">
        <f t="shared" ca="1" si="15"/>
        <v>C</v>
      </c>
      <c r="K30" s="227" t="str">
        <f t="shared" ca="1" si="16"/>
        <v>BONAVENTURA</v>
      </c>
      <c r="L30" s="227" t="str">
        <f t="shared" ca="1" si="17"/>
        <v>Milan</v>
      </c>
      <c r="M30" s="227" t="str">
        <f t="shared" ca="1" si="18"/>
        <v>A</v>
      </c>
      <c r="N30" s="227" t="str">
        <f t="shared" ca="1" si="19"/>
        <v>DEFREL</v>
      </c>
      <c r="O30" s="227" t="str">
        <f t="shared" ca="1" si="20"/>
        <v>Roma</v>
      </c>
      <c r="P30" s="227" t="str">
        <f t="shared" ca="1" si="21"/>
        <v/>
      </c>
      <c r="Q30" s="227" t="str">
        <f t="shared" ca="1" si="22"/>
        <v/>
      </c>
      <c r="R30" s="227" t="str">
        <f t="shared" ca="1" si="23"/>
        <v/>
      </c>
      <c r="T30" s="179">
        <f t="shared" ca="1" si="24"/>
        <v>223</v>
      </c>
      <c r="U30" s="179">
        <f t="shared" ca="1" si="25"/>
        <v>223</v>
      </c>
      <c r="V30" s="179">
        <f t="shared" ca="1" si="25"/>
        <v>223</v>
      </c>
      <c r="W30" s="179">
        <f t="shared" ca="1" si="1"/>
        <v>47</v>
      </c>
      <c r="X30" s="179">
        <f t="shared" ca="1" si="26"/>
        <v>47</v>
      </c>
      <c r="Y30" s="179">
        <f t="shared" ca="1" si="26"/>
        <v>47</v>
      </c>
      <c r="Z30" s="179">
        <f t="shared" ca="1" si="3"/>
        <v>70</v>
      </c>
      <c r="AA30" s="179">
        <f t="shared" ca="1" si="27"/>
        <v>70</v>
      </c>
      <c r="AB30" s="179">
        <f t="shared" ca="1" si="27"/>
        <v>70</v>
      </c>
      <c r="AC30" s="179">
        <f t="shared" ca="1" si="5"/>
        <v>155</v>
      </c>
      <c r="AD30" s="179">
        <f t="shared" ca="1" si="28"/>
        <v>155</v>
      </c>
      <c r="AE30" s="179">
        <f t="shared" ca="1" si="28"/>
        <v>155</v>
      </c>
      <c r="AF30" s="179" t="e">
        <f t="shared" ca="1" si="7"/>
        <v>#N/A</v>
      </c>
      <c r="AG30" s="179" t="e">
        <f t="shared" ca="1" si="29"/>
        <v>#N/A</v>
      </c>
      <c r="AH30" s="179" t="e">
        <f t="shared" ca="1" si="29"/>
        <v>#N/A</v>
      </c>
    </row>
    <row r="31" spans="1:34" ht="15.75" customHeight="1">
      <c r="A31" s="449" t="s">
        <v>37</v>
      </c>
      <c r="B31" s="449" t="s">
        <v>336</v>
      </c>
      <c r="C31" s="449" t="s">
        <v>692</v>
      </c>
      <c r="D31" s="322" t="str">
        <f t="shared" ca="1" si="9"/>
        <v>P</v>
      </c>
      <c r="E31" s="322" t="str">
        <f t="shared" ca="1" si="10"/>
        <v>GOMIS A</v>
      </c>
      <c r="F31" s="322" t="str">
        <f t="shared" ca="1" si="11"/>
        <v>SPAL</v>
      </c>
      <c r="G31" s="227" t="str">
        <f t="shared" ca="1" si="12"/>
        <v>D</v>
      </c>
      <c r="H31" s="227" t="str">
        <f t="shared" ca="1" si="13"/>
        <v>BENATIA</v>
      </c>
      <c r="I31" s="227" t="str">
        <f t="shared" ca="1" si="14"/>
        <v>Juventus</v>
      </c>
      <c r="J31" s="227" t="str">
        <f t="shared" ca="1" si="15"/>
        <v>C</v>
      </c>
      <c r="K31" s="227" t="str">
        <f t="shared" ca="1" si="16"/>
        <v>BORJA VALERO</v>
      </c>
      <c r="L31" s="227" t="str">
        <f t="shared" ca="1" si="17"/>
        <v>Inter</v>
      </c>
      <c r="M31" s="227" t="str">
        <f t="shared" ca="1" si="18"/>
        <v>A</v>
      </c>
      <c r="N31" s="227" t="str">
        <f t="shared" ca="1" si="19"/>
        <v>DESTRO</v>
      </c>
      <c r="O31" s="227" t="str">
        <f t="shared" ca="1" si="20"/>
        <v>Bologna</v>
      </c>
      <c r="P31" s="227" t="str">
        <f t="shared" ca="1" si="21"/>
        <v/>
      </c>
      <c r="Q31" s="227" t="str">
        <f t="shared" ca="1" si="22"/>
        <v/>
      </c>
      <c r="R31" s="227" t="str">
        <f t="shared" ca="1" si="23"/>
        <v/>
      </c>
      <c r="T31" s="179">
        <f t="shared" ca="1" si="24"/>
        <v>226</v>
      </c>
      <c r="U31" s="179">
        <f t="shared" ca="1" si="25"/>
        <v>226</v>
      </c>
      <c r="V31" s="179">
        <f t="shared" ca="1" si="25"/>
        <v>226</v>
      </c>
      <c r="W31" s="179">
        <f t="shared" ca="1" si="1"/>
        <v>52</v>
      </c>
      <c r="X31" s="179">
        <f t="shared" ca="1" si="26"/>
        <v>52</v>
      </c>
      <c r="Y31" s="179">
        <f t="shared" ca="1" si="26"/>
        <v>52</v>
      </c>
      <c r="Z31" s="179">
        <f t="shared" ca="1" si="3"/>
        <v>75</v>
      </c>
      <c r="AA31" s="179">
        <f t="shared" ca="1" si="27"/>
        <v>75</v>
      </c>
      <c r="AB31" s="179">
        <f t="shared" ca="1" si="27"/>
        <v>75</v>
      </c>
      <c r="AC31" s="179">
        <f t="shared" ca="1" si="5"/>
        <v>162</v>
      </c>
      <c r="AD31" s="179">
        <f t="shared" ca="1" si="28"/>
        <v>162</v>
      </c>
      <c r="AE31" s="179">
        <f t="shared" ca="1" si="28"/>
        <v>162</v>
      </c>
      <c r="AF31" s="179" t="e">
        <f t="shared" ca="1" si="7"/>
        <v>#N/A</v>
      </c>
      <c r="AG31" s="179" t="e">
        <f t="shared" ca="1" si="29"/>
        <v>#N/A</v>
      </c>
      <c r="AH31" s="179" t="e">
        <f t="shared" ca="1" si="29"/>
        <v>#N/A</v>
      </c>
    </row>
    <row r="32" spans="1:34" ht="15.75" customHeight="1">
      <c r="A32" s="449" t="s">
        <v>43</v>
      </c>
      <c r="B32" s="449" t="s">
        <v>303</v>
      </c>
      <c r="C32" s="449" t="s">
        <v>692</v>
      </c>
      <c r="D32" s="322" t="str">
        <f t="shared" ca="1" si="9"/>
        <v>P</v>
      </c>
      <c r="E32" s="322" t="str">
        <f t="shared" ca="1" si="10"/>
        <v>GUERRIERI</v>
      </c>
      <c r="F32" s="322" t="str">
        <f t="shared" ca="1" si="11"/>
        <v>Lazio</v>
      </c>
      <c r="G32" s="227" t="str">
        <f t="shared" ca="1" si="12"/>
        <v>D</v>
      </c>
      <c r="H32" s="227" t="str">
        <f t="shared" ca="1" si="13"/>
        <v>BERESZYNSKI</v>
      </c>
      <c r="I32" s="227" t="str">
        <f t="shared" ca="1" si="14"/>
        <v>Sampdoria</v>
      </c>
      <c r="J32" s="227" t="str">
        <f t="shared" ca="1" si="15"/>
        <v>C</v>
      </c>
      <c r="K32" s="227" t="str">
        <f t="shared" ca="1" si="16"/>
        <v>BRLEK</v>
      </c>
      <c r="L32" s="227" t="str">
        <f t="shared" ca="1" si="17"/>
        <v>Genoa</v>
      </c>
      <c r="M32" s="227" t="str">
        <f t="shared" ca="1" si="18"/>
        <v>A</v>
      </c>
      <c r="N32" s="227" t="str">
        <f t="shared" ca="1" si="19"/>
        <v>DI FRANCESCO F</v>
      </c>
      <c r="O32" s="227" t="str">
        <f t="shared" ca="1" si="20"/>
        <v>Bologna</v>
      </c>
      <c r="P32" s="227" t="str">
        <f t="shared" ca="1" si="21"/>
        <v/>
      </c>
      <c r="Q32" s="227" t="str">
        <f t="shared" ca="1" si="22"/>
        <v/>
      </c>
      <c r="R32" s="227" t="str">
        <f t="shared" ca="1" si="23"/>
        <v/>
      </c>
      <c r="T32" s="179">
        <f t="shared" ca="1" si="24"/>
        <v>232</v>
      </c>
      <c r="U32" s="179">
        <f t="shared" ca="1" si="25"/>
        <v>232</v>
      </c>
      <c r="V32" s="179">
        <f t="shared" ca="1" si="25"/>
        <v>232</v>
      </c>
      <c r="W32" s="179">
        <f t="shared" ca="1" si="1"/>
        <v>56</v>
      </c>
      <c r="X32" s="179">
        <f t="shared" ca="1" si="26"/>
        <v>56</v>
      </c>
      <c r="Y32" s="179">
        <f t="shared" ca="1" si="26"/>
        <v>56</v>
      </c>
      <c r="Z32" s="179">
        <f t="shared" ca="1" si="3"/>
        <v>80</v>
      </c>
      <c r="AA32" s="179">
        <f t="shared" ca="1" si="27"/>
        <v>80</v>
      </c>
      <c r="AB32" s="179">
        <f t="shared" ca="1" si="27"/>
        <v>80</v>
      </c>
      <c r="AC32" s="179">
        <f t="shared" ca="1" si="5"/>
        <v>164</v>
      </c>
      <c r="AD32" s="179">
        <f t="shared" ca="1" si="28"/>
        <v>164</v>
      </c>
      <c r="AE32" s="179">
        <f t="shared" ca="1" si="28"/>
        <v>164</v>
      </c>
      <c r="AF32" s="179" t="e">
        <f t="shared" ca="1" si="7"/>
        <v>#N/A</v>
      </c>
      <c r="AG32" s="179" t="e">
        <f t="shared" ca="1" si="29"/>
        <v>#N/A</v>
      </c>
      <c r="AH32" s="179" t="e">
        <f t="shared" ca="1" si="29"/>
        <v>#N/A</v>
      </c>
    </row>
    <row r="33" spans="1:34" ht="15.75" customHeight="1">
      <c r="A33" s="449" t="s">
        <v>39</v>
      </c>
      <c r="B33" s="449" t="s">
        <v>313</v>
      </c>
      <c r="C33" s="449" t="s">
        <v>692</v>
      </c>
      <c r="D33" s="322" t="str">
        <f t="shared" ca="1" si="9"/>
        <v>P</v>
      </c>
      <c r="E33" s="322" t="str">
        <f t="shared" ca="1" si="10"/>
        <v>HANDANOVIC</v>
      </c>
      <c r="F33" s="322" t="str">
        <f t="shared" ca="1" si="11"/>
        <v>Inter</v>
      </c>
      <c r="G33" s="227" t="str">
        <f t="shared" ca="1" si="12"/>
        <v>D</v>
      </c>
      <c r="H33" s="227" t="str">
        <f t="shared" ca="1" si="13"/>
        <v>BIANCHETTI</v>
      </c>
      <c r="I33" s="227" t="str">
        <f t="shared" ca="1" si="14"/>
        <v>Verona</v>
      </c>
      <c r="J33" s="227" t="str">
        <f t="shared" ca="1" si="15"/>
        <v>C</v>
      </c>
      <c r="K33" s="227" t="str">
        <f t="shared" ca="1" si="16"/>
        <v>BROZOVIC</v>
      </c>
      <c r="L33" s="227" t="str">
        <f t="shared" ca="1" si="17"/>
        <v>Inter</v>
      </c>
      <c r="M33" s="227" t="str">
        <f t="shared" ca="1" si="18"/>
        <v>A</v>
      </c>
      <c r="N33" s="227" t="str">
        <f t="shared" ca="1" si="19"/>
        <v>DJORDJEVIC</v>
      </c>
      <c r="O33" s="227" t="str">
        <f t="shared" ca="1" si="20"/>
        <v>Lazio</v>
      </c>
      <c r="P33" s="227" t="str">
        <f t="shared" ca="1" si="21"/>
        <v/>
      </c>
      <c r="Q33" s="227" t="str">
        <f t="shared" ca="1" si="22"/>
        <v/>
      </c>
      <c r="R33" s="227" t="str">
        <f t="shared" ca="1" si="23"/>
        <v/>
      </c>
      <c r="T33" s="179">
        <f t="shared" ca="1" si="24"/>
        <v>239</v>
      </c>
      <c r="U33" s="179">
        <f t="shared" ca="1" si="25"/>
        <v>239</v>
      </c>
      <c r="V33" s="179">
        <f t="shared" ca="1" si="25"/>
        <v>239</v>
      </c>
      <c r="W33" s="179">
        <f t="shared" ca="1" si="1"/>
        <v>62</v>
      </c>
      <c r="X33" s="179">
        <f t="shared" ca="1" si="26"/>
        <v>62</v>
      </c>
      <c r="Y33" s="179">
        <f t="shared" ca="1" si="26"/>
        <v>62</v>
      </c>
      <c r="Z33" s="179">
        <f t="shared" ca="1" si="3"/>
        <v>81</v>
      </c>
      <c r="AA33" s="179">
        <f t="shared" ca="1" si="27"/>
        <v>81</v>
      </c>
      <c r="AB33" s="179">
        <f t="shared" ca="1" si="27"/>
        <v>81</v>
      </c>
      <c r="AC33" s="179">
        <f t="shared" ca="1" si="5"/>
        <v>168</v>
      </c>
      <c r="AD33" s="179">
        <f t="shared" ca="1" si="28"/>
        <v>168</v>
      </c>
      <c r="AE33" s="179">
        <f t="shared" ca="1" si="28"/>
        <v>168</v>
      </c>
      <c r="AF33" s="179" t="e">
        <f t="shared" ca="1" si="7"/>
        <v>#N/A</v>
      </c>
      <c r="AG33" s="179" t="e">
        <f t="shared" ca="1" si="29"/>
        <v>#N/A</v>
      </c>
      <c r="AH33" s="179" t="e">
        <f t="shared" ca="1" si="29"/>
        <v>#N/A</v>
      </c>
    </row>
    <row r="34" spans="1:34" ht="15.75" customHeight="1">
      <c r="A34" s="449" t="s">
        <v>43</v>
      </c>
      <c r="B34" s="449" t="s">
        <v>1810</v>
      </c>
      <c r="C34" s="449" t="s">
        <v>684</v>
      </c>
      <c r="D34" s="322" t="str">
        <f t="shared" ca="1" si="9"/>
        <v>P</v>
      </c>
      <c r="E34" s="322" t="str">
        <f t="shared" ca="1" si="10"/>
        <v>ICHAZO</v>
      </c>
      <c r="F34" s="322" t="str">
        <f t="shared" ca="1" si="11"/>
        <v>Torino</v>
      </c>
      <c r="G34" s="227" t="str">
        <f t="shared" ca="1" si="12"/>
        <v>D</v>
      </c>
      <c r="H34" s="227" t="str">
        <f t="shared" ca="1" si="13"/>
        <v>BIRAGHI</v>
      </c>
      <c r="I34" s="227" t="str">
        <f t="shared" ca="1" si="14"/>
        <v>Fiorentina</v>
      </c>
      <c r="J34" s="227" t="str">
        <f t="shared" ca="1" si="15"/>
        <v>C</v>
      </c>
      <c r="K34" s="227" t="str">
        <f t="shared" ca="1" si="16"/>
        <v>BUCHEL</v>
      </c>
      <c r="L34" s="227" t="str">
        <f t="shared" ca="1" si="17"/>
        <v>Verona</v>
      </c>
      <c r="M34" s="227" t="str">
        <f t="shared" ca="1" si="18"/>
        <v>A</v>
      </c>
      <c r="N34" s="227" t="str">
        <f t="shared" ca="1" si="19"/>
        <v>DYBALA</v>
      </c>
      <c r="O34" s="227" t="str">
        <f t="shared" ca="1" si="20"/>
        <v>Juventus</v>
      </c>
      <c r="P34" s="227" t="str">
        <f t="shared" ca="1" si="21"/>
        <v/>
      </c>
      <c r="Q34" s="227" t="str">
        <f t="shared" ca="1" si="22"/>
        <v/>
      </c>
      <c r="R34" s="227" t="str">
        <f t="shared" ca="1" si="23"/>
        <v/>
      </c>
      <c r="T34" s="179">
        <f t="shared" ca="1" si="24"/>
        <v>251</v>
      </c>
      <c r="U34" s="179">
        <f t="shared" ca="1" si="25"/>
        <v>251</v>
      </c>
      <c r="V34" s="179">
        <f t="shared" ca="1" si="25"/>
        <v>251</v>
      </c>
      <c r="W34" s="179">
        <f t="shared" ca="1" si="1"/>
        <v>65</v>
      </c>
      <c r="X34" s="179">
        <f t="shared" ca="1" si="26"/>
        <v>65</v>
      </c>
      <c r="Y34" s="179">
        <f t="shared" ca="1" si="26"/>
        <v>65</v>
      </c>
      <c r="Z34" s="179">
        <f t="shared" ca="1" si="3"/>
        <v>83</v>
      </c>
      <c r="AA34" s="179">
        <f t="shared" ca="1" si="27"/>
        <v>83</v>
      </c>
      <c r="AB34" s="179">
        <f t="shared" ca="1" si="27"/>
        <v>83</v>
      </c>
      <c r="AC34" s="179">
        <f t="shared" ca="1" si="5"/>
        <v>178</v>
      </c>
      <c r="AD34" s="179">
        <f t="shared" ca="1" si="28"/>
        <v>178</v>
      </c>
      <c r="AE34" s="179">
        <f t="shared" ca="1" si="28"/>
        <v>178</v>
      </c>
      <c r="AF34" s="179" t="e">
        <f t="shared" ca="1" si="7"/>
        <v>#N/A</v>
      </c>
      <c r="AG34" s="179" t="e">
        <f t="shared" ca="1" si="29"/>
        <v>#N/A</v>
      </c>
      <c r="AH34" s="179" t="e">
        <f t="shared" ca="1" si="29"/>
        <v>#N/A</v>
      </c>
    </row>
    <row r="35" spans="1:34" ht="15.75" customHeight="1">
      <c r="A35" s="449" t="s">
        <v>39</v>
      </c>
      <c r="B35" s="449" t="s">
        <v>318</v>
      </c>
      <c r="C35" s="449" t="s">
        <v>684</v>
      </c>
      <c r="D35" s="322" t="str">
        <f t="shared" ca="1" si="9"/>
        <v>P</v>
      </c>
      <c r="E35" s="322" t="str">
        <f t="shared" ca="1" si="10"/>
        <v>LAMANNA</v>
      </c>
      <c r="F35" s="322" t="str">
        <f t="shared" ca="1" si="11"/>
        <v>Genoa</v>
      </c>
      <c r="G35" s="227" t="str">
        <f t="shared" ca="1" si="12"/>
        <v>D</v>
      </c>
      <c r="H35" s="227" t="str">
        <f t="shared" ca="1" si="13"/>
        <v>BIRASCHI</v>
      </c>
      <c r="I35" s="227" t="str">
        <f t="shared" ca="1" si="14"/>
        <v>Genoa</v>
      </c>
      <c r="J35" s="227" t="str">
        <f t="shared" ca="1" si="15"/>
        <v>C</v>
      </c>
      <c r="K35" s="227" t="str">
        <f t="shared" ca="1" si="16"/>
        <v>CALHANOGLU</v>
      </c>
      <c r="L35" s="227" t="str">
        <f t="shared" ca="1" si="17"/>
        <v>Milan</v>
      </c>
      <c r="M35" s="227" t="str">
        <f t="shared" ca="1" si="18"/>
        <v>A</v>
      </c>
      <c r="N35" s="227" t="str">
        <f t="shared" ca="1" si="19"/>
        <v>DZEKO</v>
      </c>
      <c r="O35" s="227" t="str">
        <f t="shared" ca="1" si="20"/>
        <v>Roma</v>
      </c>
      <c r="P35" s="227" t="str">
        <f t="shared" ca="1" si="21"/>
        <v/>
      </c>
      <c r="Q35" s="227" t="str">
        <f t="shared" ca="1" si="22"/>
        <v/>
      </c>
      <c r="R35" s="227" t="str">
        <f t="shared" ca="1" si="23"/>
        <v/>
      </c>
      <c r="T35" s="179">
        <f t="shared" ca="1" si="24"/>
        <v>285</v>
      </c>
      <c r="U35" s="179">
        <f t="shared" ca="1" si="25"/>
        <v>285</v>
      </c>
      <c r="V35" s="179">
        <f t="shared" ca="1" si="25"/>
        <v>285</v>
      </c>
      <c r="W35" s="179">
        <f t="shared" ca="1" si="1"/>
        <v>66</v>
      </c>
      <c r="X35" s="179">
        <f t="shared" ca="1" si="26"/>
        <v>66</v>
      </c>
      <c r="Y35" s="179">
        <f t="shared" ca="1" si="26"/>
        <v>66</v>
      </c>
      <c r="Z35" s="179">
        <f t="shared" ca="1" si="3"/>
        <v>93</v>
      </c>
      <c r="AA35" s="179">
        <f t="shared" ca="1" si="27"/>
        <v>93</v>
      </c>
      <c r="AB35" s="179">
        <f t="shared" ca="1" si="27"/>
        <v>93</v>
      </c>
      <c r="AC35" s="179">
        <f t="shared" ca="1" si="5"/>
        <v>179</v>
      </c>
      <c r="AD35" s="179">
        <f t="shared" ca="1" si="28"/>
        <v>179</v>
      </c>
      <c r="AE35" s="179">
        <f t="shared" ca="1" si="28"/>
        <v>179</v>
      </c>
      <c r="AF35" s="179" t="e">
        <f t="shared" ca="1" si="7"/>
        <v>#N/A</v>
      </c>
      <c r="AG35" s="179" t="e">
        <f t="shared" ca="1" si="29"/>
        <v>#N/A</v>
      </c>
      <c r="AH35" s="179" t="e">
        <f t="shared" ca="1" si="29"/>
        <v>#N/A</v>
      </c>
    </row>
    <row r="36" spans="1:34" ht="15.75" customHeight="1">
      <c r="A36" s="449" t="s">
        <v>37</v>
      </c>
      <c r="B36" s="449" t="s">
        <v>1726</v>
      </c>
      <c r="C36" s="449" t="s">
        <v>680</v>
      </c>
      <c r="D36" s="322" t="str">
        <f t="shared" ca="1" si="9"/>
        <v>P</v>
      </c>
      <c r="E36" s="322" t="str">
        <f t="shared" ca="1" si="10"/>
        <v>LOBONT</v>
      </c>
      <c r="F36" s="322" t="str">
        <f t="shared" ca="1" si="11"/>
        <v>Roma</v>
      </c>
      <c r="G36" s="227" t="str">
        <f t="shared" ca="1" si="12"/>
        <v>D</v>
      </c>
      <c r="H36" s="227" t="str">
        <f t="shared" ca="1" si="13"/>
        <v>BOCHNIEWICZ</v>
      </c>
      <c r="I36" s="227" t="str">
        <f t="shared" ca="1" si="14"/>
        <v>Udinese</v>
      </c>
      <c r="J36" s="227" t="str">
        <f t="shared" ca="1" si="15"/>
        <v>C</v>
      </c>
      <c r="K36" s="227" t="str">
        <f t="shared" ca="1" si="16"/>
        <v>CANDREVA</v>
      </c>
      <c r="L36" s="227" t="str">
        <f t="shared" ca="1" si="17"/>
        <v>Inter</v>
      </c>
      <c r="M36" s="227" t="str">
        <f t="shared" ca="1" si="18"/>
        <v>A</v>
      </c>
      <c r="N36" s="227" t="str">
        <f t="shared" ca="1" si="19"/>
        <v>EDER</v>
      </c>
      <c r="O36" s="227" t="str">
        <f t="shared" ca="1" si="20"/>
        <v>Inter</v>
      </c>
      <c r="P36" s="227" t="str">
        <f t="shared" ca="1" si="21"/>
        <v/>
      </c>
      <c r="Q36" s="227" t="str">
        <f t="shared" ca="1" si="22"/>
        <v/>
      </c>
      <c r="R36" s="227" t="str">
        <f t="shared" ca="1" si="23"/>
        <v/>
      </c>
      <c r="T36" s="179">
        <f t="shared" ca="1" si="24"/>
        <v>301</v>
      </c>
      <c r="U36" s="179">
        <f t="shared" ca="1" si="25"/>
        <v>301</v>
      </c>
      <c r="V36" s="179">
        <f t="shared" ca="1" si="25"/>
        <v>301</v>
      </c>
      <c r="W36" s="179">
        <f t="shared" ca="1" si="1"/>
        <v>69</v>
      </c>
      <c r="X36" s="179">
        <f t="shared" ca="1" si="26"/>
        <v>69</v>
      </c>
      <c r="Y36" s="179">
        <f t="shared" ca="1" si="26"/>
        <v>69</v>
      </c>
      <c r="Z36" s="179">
        <f t="shared" ca="1" si="3"/>
        <v>96</v>
      </c>
      <c r="AA36" s="179">
        <f t="shared" ca="1" si="27"/>
        <v>96</v>
      </c>
      <c r="AB36" s="179">
        <f t="shared" ca="1" si="27"/>
        <v>96</v>
      </c>
      <c r="AC36" s="179">
        <f t="shared" ca="1" si="5"/>
        <v>180</v>
      </c>
      <c r="AD36" s="179">
        <f t="shared" ca="1" si="28"/>
        <v>180</v>
      </c>
      <c r="AE36" s="179">
        <f t="shared" ca="1" si="28"/>
        <v>180</v>
      </c>
      <c r="AF36" s="179" t="e">
        <f t="shared" ca="1" si="7"/>
        <v>#N/A</v>
      </c>
      <c r="AG36" s="179" t="e">
        <f t="shared" ca="1" si="29"/>
        <v>#N/A</v>
      </c>
      <c r="AH36" s="179" t="e">
        <f t="shared" ca="1" si="29"/>
        <v>#N/A</v>
      </c>
    </row>
    <row r="37" spans="1:34" ht="15.75" customHeight="1">
      <c r="A37" s="449" t="s">
        <v>39</v>
      </c>
      <c r="B37" s="449" t="s">
        <v>1763</v>
      </c>
      <c r="C37" s="449" t="s">
        <v>684</v>
      </c>
      <c r="D37" s="322" t="str">
        <f t="shared" ca="1" si="9"/>
        <v>P</v>
      </c>
      <c r="E37" s="322" t="str">
        <f t="shared" ca="1" si="10"/>
        <v>MARCHEGIANI</v>
      </c>
      <c r="F37" s="322" t="str">
        <f t="shared" ca="1" si="11"/>
        <v>SPAL</v>
      </c>
      <c r="G37" s="227" t="str">
        <f t="shared" ca="1" si="12"/>
        <v>D</v>
      </c>
      <c r="H37" s="227" t="str">
        <f t="shared" ca="1" si="13"/>
        <v>BONIFAZI</v>
      </c>
      <c r="I37" s="227" t="str">
        <f t="shared" ca="1" si="14"/>
        <v>Torino</v>
      </c>
      <c r="J37" s="227" t="str">
        <f t="shared" ca="1" si="15"/>
        <v>C</v>
      </c>
      <c r="K37" s="227" t="str">
        <f t="shared" ca="1" si="16"/>
        <v>CAPEZZI</v>
      </c>
      <c r="L37" s="227" t="str">
        <f t="shared" ca="1" si="17"/>
        <v>Sampdoria</v>
      </c>
      <c r="M37" s="227" t="str">
        <f t="shared" ca="1" si="18"/>
        <v>A</v>
      </c>
      <c r="N37" s="227" t="str">
        <f t="shared" ca="1" si="19"/>
        <v>EDERA</v>
      </c>
      <c r="O37" s="227" t="str">
        <f t="shared" ca="1" si="20"/>
        <v>Torino</v>
      </c>
      <c r="P37" s="227" t="str">
        <f t="shared" ca="1" si="21"/>
        <v/>
      </c>
      <c r="Q37" s="227" t="str">
        <f t="shared" ca="1" si="22"/>
        <v/>
      </c>
      <c r="R37" s="227" t="str">
        <f t="shared" ca="1" si="23"/>
        <v/>
      </c>
      <c r="T37" s="179">
        <f t="shared" ca="1" si="24"/>
        <v>319</v>
      </c>
      <c r="U37" s="179">
        <f t="shared" ca="1" si="25"/>
        <v>319</v>
      </c>
      <c r="V37" s="179">
        <f t="shared" ca="1" si="25"/>
        <v>319</v>
      </c>
      <c r="W37" s="179">
        <f t="shared" ca="1" si="1"/>
        <v>72</v>
      </c>
      <c r="X37" s="179">
        <f t="shared" ca="1" si="26"/>
        <v>72</v>
      </c>
      <c r="Y37" s="179">
        <f t="shared" ca="1" si="26"/>
        <v>72</v>
      </c>
      <c r="Z37" s="179">
        <f t="shared" ca="1" si="3"/>
        <v>98</v>
      </c>
      <c r="AA37" s="179">
        <f t="shared" ca="1" si="27"/>
        <v>98</v>
      </c>
      <c r="AB37" s="179">
        <f t="shared" ca="1" si="27"/>
        <v>98</v>
      </c>
      <c r="AC37" s="179">
        <f t="shared" ca="1" si="5"/>
        <v>181</v>
      </c>
      <c r="AD37" s="179">
        <f t="shared" ca="1" si="28"/>
        <v>181</v>
      </c>
      <c r="AE37" s="179">
        <f t="shared" ca="1" si="28"/>
        <v>181</v>
      </c>
      <c r="AF37" s="179" t="e">
        <f t="shared" ca="1" si="7"/>
        <v>#N/A</v>
      </c>
      <c r="AG37" s="179" t="e">
        <f t="shared" ca="1" si="29"/>
        <v>#N/A</v>
      </c>
      <c r="AH37" s="179" t="e">
        <f t="shared" ca="1" si="29"/>
        <v>#N/A</v>
      </c>
    </row>
    <row r="38" spans="1:34" ht="15.75" customHeight="1">
      <c r="A38" s="449" t="s">
        <v>39</v>
      </c>
      <c r="B38" s="449" t="s">
        <v>323</v>
      </c>
      <c r="C38" s="449" t="s">
        <v>701</v>
      </c>
      <c r="D38" s="322" t="str">
        <f t="shared" ca="1" si="9"/>
        <v>P</v>
      </c>
      <c r="E38" s="322" t="str">
        <f t="shared" ca="1" si="10"/>
        <v>MARCHETTI</v>
      </c>
      <c r="F38" s="322" t="str">
        <f t="shared" ca="1" si="11"/>
        <v>Lazio</v>
      </c>
      <c r="G38" s="227" t="str">
        <f t="shared" ca="1" si="12"/>
        <v>D</v>
      </c>
      <c r="H38" s="227" t="str">
        <f t="shared" ca="1" si="13"/>
        <v>BONUCCI</v>
      </c>
      <c r="I38" s="227" t="str">
        <f t="shared" ca="1" si="14"/>
        <v>Milan</v>
      </c>
      <c r="J38" s="227" t="str">
        <f t="shared" ca="1" si="15"/>
        <v>C</v>
      </c>
      <c r="K38" s="227" t="str">
        <f t="shared" ca="1" si="16"/>
        <v>CASSATA</v>
      </c>
      <c r="L38" s="227" t="str">
        <f t="shared" ca="1" si="17"/>
        <v>Sassuolo</v>
      </c>
      <c r="M38" s="227" t="str">
        <f t="shared" ca="1" si="18"/>
        <v>A</v>
      </c>
      <c r="N38" s="227" t="str">
        <f t="shared" ca="1" si="19"/>
        <v>EL SHAARAWY</v>
      </c>
      <c r="O38" s="227" t="str">
        <f t="shared" ca="1" si="20"/>
        <v>Roma</v>
      </c>
      <c r="P38" s="227" t="str">
        <f t="shared" ca="1" si="21"/>
        <v/>
      </c>
      <c r="Q38" s="227" t="str">
        <f t="shared" ca="1" si="22"/>
        <v/>
      </c>
      <c r="R38" s="227" t="str">
        <f t="shared" ca="1" si="23"/>
        <v/>
      </c>
      <c r="T38" s="179">
        <f t="shared" ca="1" si="24"/>
        <v>320</v>
      </c>
      <c r="U38" s="179">
        <f t="shared" ca="1" si="25"/>
        <v>320</v>
      </c>
      <c r="V38" s="179">
        <f t="shared" ca="1" si="25"/>
        <v>320</v>
      </c>
      <c r="W38" s="179">
        <f t="shared" ca="1" si="1"/>
        <v>73</v>
      </c>
      <c r="X38" s="179">
        <f t="shared" ca="1" si="26"/>
        <v>73</v>
      </c>
      <c r="Y38" s="179">
        <f t="shared" ca="1" si="26"/>
        <v>73</v>
      </c>
      <c r="Z38" s="179">
        <f t="shared" ca="1" si="3"/>
        <v>102</v>
      </c>
      <c r="AA38" s="179">
        <f t="shared" ca="1" si="27"/>
        <v>102</v>
      </c>
      <c r="AB38" s="179">
        <f t="shared" ca="1" si="27"/>
        <v>102</v>
      </c>
      <c r="AC38" s="179">
        <f t="shared" ca="1" si="5"/>
        <v>182</v>
      </c>
      <c r="AD38" s="179">
        <f t="shared" ca="1" si="28"/>
        <v>182</v>
      </c>
      <c r="AE38" s="179">
        <f t="shared" ca="1" si="28"/>
        <v>182</v>
      </c>
      <c r="AF38" s="179" t="e">
        <f t="shared" ca="1" si="7"/>
        <v>#N/A</v>
      </c>
      <c r="AG38" s="179" t="e">
        <f t="shared" ca="1" si="29"/>
        <v>#N/A</v>
      </c>
      <c r="AH38" s="179" t="e">
        <f t="shared" ca="1" si="29"/>
        <v>#N/A</v>
      </c>
    </row>
    <row r="39" spans="1:34" ht="15.75" customHeight="1">
      <c r="A39" s="449" t="s">
        <v>39</v>
      </c>
      <c r="B39" s="449" t="s">
        <v>327</v>
      </c>
      <c r="C39" s="449" t="s">
        <v>700</v>
      </c>
      <c r="D39" s="322" t="str">
        <f t="shared" ca="1" si="9"/>
        <v>P</v>
      </c>
      <c r="E39" s="322" t="str">
        <f t="shared" ca="1" si="10"/>
        <v>MARSON</v>
      </c>
      <c r="F39" s="322" t="str">
        <f t="shared" ca="1" si="11"/>
        <v>Sassuolo</v>
      </c>
      <c r="G39" s="227" t="str">
        <f t="shared" ca="1" si="12"/>
        <v>D</v>
      </c>
      <c r="H39" s="227" t="str">
        <f t="shared" ca="1" si="13"/>
        <v>BRUNO PERES</v>
      </c>
      <c r="I39" s="227" t="str">
        <f t="shared" ca="1" si="14"/>
        <v>Roma</v>
      </c>
      <c r="J39" s="227" t="str">
        <f t="shared" ca="1" si="15"/>
        <v>C</v>
      </c>
      <c r="K39" s="227" t="str">
        <f t="shared" ca="1" si="16"/>
        <v>CASTRO</v>
      </c>
      <c r="L39" s="227" t="str">
        <f t="shared" ca="1" si="17"/>
        <v>Chievo</v>
      </c>
      <c r="M39" s="227" t="str">
        <f t="shared" ca="1" si="18"/>
        <v>A</v>
      </c>
      <c r="N39" s="227" t="str">
        <f t="shared" ca="1" si="19"/>
        <v>FALCINELLI</v>
      </c>
      <c r="O39" s="227" t="str">
        <f t="shared" ca="1" si="20"/>
        <v>Sassuolo</v>
      </c>
      <c r="P39" s="227" t="str">
        <f t="shared" ca="1" si="21"/>
        <v/>
      </c>
      <c r="Q39" s="227" t="str">
        <f t="shared" ca="1" si="22"/>
        <v/>
      </c>
      <c r="R39" s="227" t="str">
        <f t="shared" ca="1" si="23"/>
        <v/>
      </c>
      <c r="T39" s="179">
        <f t="shared" ca="1" si="24"/>
        <v>323</v>
      </c>
      <c r="U39" s="179">
        <f t="shared" ca="1" si="25"/>
        <v>323</v>
      </c>
      <c r="V39" s="179">
        <f t="shared" ca="1" si="25"/>
        <v>323</v>
      </c>
      <c r="W39" s="179">
        <f t="shared" ca="1" si="1"/>
        <v>82</v>
      </c>
      <c r="X39" s="179">
        <f t="shared" ca="1" si="26"/>
        <v>82</v>
      </c>
      <c r="Y39" s="179">
        <f t="shared" ca="1" si="26"/>
        <v>82</v>
      </c>
      <c r="Z39" s="179">
        <f t="shared" ca="1" si="3"/>
        <v>105</v>
      </c>
      <c r="AA39" s="179">
        <f t="shared" ca="1" si="27"/>
        <v>105</v>
      </c>
      <c r="AB39" s="179">
        <f t="shared" ca="1" si="27"/>
        <v>105</v>
      </c>
      <c r="AC39" s="179">
        <f t="shared" ca="1" si="5"/>
        <v>186</v>
      </c>
      <c r="AD39" s="179">
        <f t="shared" ca="1" si="28"/>
        <v>186</v>
      </c>
      <c r="AE39" s="179">
        <f t="shared" ca="1" si="28"/>
        <v>186</v>
      </c>
      <c r="AF39" s="179" t="e">
        <f t="shared" ca="1" si="7"/>
        <v>#N/A</v>
      </c>
      <c r="AG39" s="179" t="e">
        <f t="shared" ca="1" si="29"/>
        <v>#N/A</v>
      </c>
      <c r="AH39" s="179" t="e">
        <f t="shared" ca="1" si="29"/>
        <v>#N/A</v>
      </c>
    </row>
    <row r="40" spans="1:34" ht="15.75" customHeight="1">
      <c r="A40" s="449" t="s">
        <v>37</v>
      </c>
      <c r="B40" s="449" t="s">
        <v>345</v>
      </c>
      <c r="C40" s="449" t="s">
        <v>687</v>
      </c>
      <c r="D40" s="322" t="str">
        <f t="shared" ca="1" si="9"/>
        <v>P</v>
      </c>
      <c r="E40" s="322" t="str">
        <f t="shared" ca="1" si="10"/>
        <v>MERET</v>
      </c>
      <c r="F40" s="322" t="str">
        <f t="shared" ca="1" si="11"/>
        <v>SPAL</v>
      </c>
      <c r="G40" s="227" t="str">
        <f t="shared" ca="1" si="12"/>
        <v>D</v>
      </c>
      <c r="H40" s="227" t="str">
        <f t="shared" ca="1" si="13"/>
        <v>BURDISSO</v>
      </c>
      <c r="I40" s="227" t="str">
        <f t="shared" ca="1" si="14"/>
        <v>Torino</v>
      </c>
      <c r="J40" s="227" t="str">
        <f t="shared" ca="1" si="15"/>
        <v>C</v>
      </c>
      <c r="K40" s="227" t="str">
        <f t="shared" ca="1" si="16"/>
        <v>CATALDI</v>
      </c>
      <c r="L40" s="227" t="str">
        <f t="shared" ca="1" si="17"/>
        <v>Benevento</v>
      </c>
      <c r="M40" s="227" t="str">
        <f t="shared" ca="1" si="18"/>
        <v>A</v>
      </c>
      <c r="N40" s="227" t="str">
        <f t="shared" ca="1" si="19"/>
        <v>FARIAS</v>
      </c>
      <c r="O40" s="227" t="str">
        <f t="shared" ca="1" si="20"/>
        <v>Cagliari</v>
      </c>
      <c r="P40" s="227" t="str">
        <f t="shared" ca="1" si="21"/>
        <v/>
      </c>
      <c r="Q40" s="227" t="str">
        <f t="shared" ca="1" si="22"/>
        <v/>
      </c>
      <c r="R40" s="227" t="str">
        <f t="shared" ca="1" si="23"/>
        <v/>
      </c>
      <c r="T40" s="179">
        <f t="shared" ca="1" si="24"/>
        <v>341</v>
      </c>
      <c r="U40" s="179">
        <f t="shared" ca="1" si="25"/>
        <v>341</v>
      </c>
      <c r="V40" s="179">
        <f t="shared" ca="1" si="25"/>
        <v>341</v>
      </c>
      <c r="W40" s="179">
        <f t="shared" ca="1" si="1"/>
        <v>86</v>
      </c>
      <c r="X40" s="179">
        <f t="shared" ca="1" si="26"/>
        <v>86</v>
      </c>
      <c r="Y40" s="179">
        <f t="shared" ca="1" si="26"/>
        <v>86</v>
      </c>
      <c r="Z40" s="179">
        <f t="shared" ca="1" si="3"/>
        <v>106</v>
      </c>
      <c r="AA40" s="179">
        <f t="shared" ca="1" si="27"/>
        <v>106</v>
      </c>
      <c r="AB40" s="179">
        <f t="shared" ca="1" si="27"/>
        <v>106</v>
      </c>
      <c r="AC40" s="179">
        <f t="shared" ca="1" si="5"/>
        <v>191</v>
      </c>
      <c r="AD40" s="179">
        <f t="shared" ca="1" si="28"/>
        <v>191</v>
      </c>
      <c r="AE40" s="179">
        <f t="shared" ca="1" si="28"/>
        <v>191</v>
      </c>
      <c r="AF40" s="179" t="e">
        <f t="shared" ca="1" si="7"/>
        <v>#N/A</v>
      </c>
      <c r="AG40" s="179" t="e">
        <f t="shared" ca="1" si="29"/>
        <v>#N/A</v>
      </c>
      <c r="AH40" s="179" t="e">
        <f t="shared" ca="1" si="29"/>
        <v>#N/A</v>
      </c>
    </row>
    <row r="41" spans="1:34" ht="15.75" customHeight="1">
      <c r="A41" s="449" t="s">
        <v>39</v>
      </c>
      <c r="B41" s="449" t="s">
        <v>1304</v>
      </c>
      <c r="C41" s="449" t="s">
        <v>688</v>
      </c>
      <c r="D41" s="322" t="str">
        <f t="shared" ca="1" si="9"/>
        <v>P</v>
      </c>
      <c r="E41" s="322" t="str">
        <f t="shared" ca="1" si="10"/>
        <v>MILINKOVIC-SAVIC V</v>
      </c>
      <c r="F41" s="322" t="str">
        <f t="shared" ca="1" si="11"/>
        <v>Torino</v>
      </c>
      <c r="G41" s="227" t="str">
        <f t="shared" ca="1" si="12"/>
        <v>D</v>
      </c>
      <c r="H41" s="227" t="str">
        <f t="shared" ca="1" si="13"/>
        <v>CABRERA</v>
      </c>
      <c r="I41" s="227" t="str">
        <f t="shared" ca="1" si="14"/>
        <v>Crotone</v>
      </c>
      <c r="J41" s="227" t="str">
        <f t="shared" ca="1" si="15"/>
        <v>C</v>
      </c>
      <c r="K41" s="227" t="str">
        <f t="shared" ca="1" si="16"/>
        <v>CHIBSAH</v>
      </c>
      <c r="L41" s="227" t="str">
        <f t="shared" ca="1" si="17"/>
        <v>Benevento</v>
      </c>
      <c r="M41" s="227" t="str">
        <f t="shared" ca="1" si="18"/>
        <v>A</v>
      </c>
      <c r="N41" s="227" t="str">
        <f t="shared" ca="1" si="19"/>
        <v>FLOCCARI</v>
      </c>
      <c r="O41" s="227" t="str">
        <f t="shared" ca="1" si="20"/>
        <v>SPAL</v>
      </c>
      <c r="P41" s="227" t="str">
        <f t="shared" ca="1" si="21"/>
        <v/>
      </c>
      <c r="Q41" s="227" t="str">
        <f t="shared" ca="1" si="22"/>
        <v/>
      </c>
      <c r="R41" s="227" t="str">
        <f t="shared" ca="1" si="23"/>
        <v/>
      </c>
      <c r="T41" s="179">
        <f t="shared" ca="1" si="24"/>
        <v>350</v>
      </c>
      <c r="U41" s="179">
        <f t="shared" ca="1" si="25"/>
        <v>350</v>
      </c>
      <c r="V41" s="179">
        <f t="shared" ca="1" si="25"/>
        <v>350</v>
      </c>
      <c r="W41" s="179">
        <f t="shared" ca="1" si="1"/>
        <v>87</v>
      </c>
      <c r="X41" s="179">
        <f t="shared" ca="1" si="26"/>
        <v>87</v>
      </c>
      <c r="Y41" s="179">
        <f t="shared" ca="1" si="26"/>
        <v>87</v>
      </c>
      <c r="Z41" s="179">
        <f t="shared" ca="1" si="3"/>
        <v>114</v>
      </c>
      <c r="AA41" s="179">
        <f t="shared" ca="1" si="27"/>
        <v>114</v>
      </c>
      <c r="AB41" s="179">
        <f t="shared" ca="1" si="27"/>
        <v>114</v>
      </c>
      <c r="AC41" s="179">
        <f t="shared" ca="1" si="5"/>
        <v>200</v>
      </c>
      <c r="AD41" s="179">
        <f t="shared" ca="1" si="28"/>
        <v>200</v>
      </c>
      <c r="AE41" s="179">
        <f t="shared" ca="1" si="28"/>
        <v>200</v>
      </c>
      <c r="AF41" s="179" t="e">
        <f t="shared" ca="1" si="7"/>
        <v>#N/A</v>
      </c>
      <c r="AG41" s="179" t="e">
        <f t="shared" ca="1" si="29"/>
        <v>#N/A</v>
      </c>
      <c r="AH41" s="179" t="e">
        <f t="shared" ca="1" si="29"/>
        <v>#N/A</v>
      </c>
    </row>
    <row r="42" spans="1:34" ht="15.75" customHeight="1">
      <c r="A42" s="449" t="s">
        <v>37</v>
      </c>
      <c r="B42" s="449" t="s">
        <v>349</v>
      </c>
      <c r="C42" s="449" t="s">
        <v>676</v>
      </c>
      <c r="D42" s="322" t="str">
        <f t="shared" ca="1" si="9"/>
        <v>P</v>
      </c>
      <c r="E42" s="322" t="str">
        <f t="shared" ca="1" si="10"/>
        <v>MIRANTE</v>
      </c>
      <c r="F42" s="322" t="str">
        <f t="shared" ca="1" si="11"/>
        <v>Bologna</v>
      </c>
      <c r="G42" s="227" t="str">
        <f t="shared" ca="1" si="12"/>
        <v>D</v>
      </c>
      <c r="H42" s="227" t="str">
        <f t="shared" ca="1" si="13"/>
        <v>CACCIATORE</v>
      </c>
      <c r="I42" s="227" t="str">
        <f t="shared" ca="1" si="14"/>
        <v>Chievo</v>
      </c>
      <c r="J42" s="227" t="str">
        <f t="shared" ca="1" si="15"/>
        <v>C</v>
      </c>
      <c r="K42" s="227" t="str">
        <f t="shared" ca="1" si="16"/>
        <v>CHIESA</v>
      </c>
      <c r="L42" s="227" t="str">
        <f t="shared" ca="1" si="17"/>
        <v>Fiorentina</v>
      </c>
      <c r="M42" s="227" t="str">
        <f t="shared" ca="1" si="18"/>
        <v>A</v>
      </c>
      <c r="N42" s="227" t="str">
        <f t="shared" ca="1" si="19"/>
        <v>GALABINOV</v>
      </c>
      <c r="O42" s="227" t="str">
        <f t="shared" ca="1" si="20"/>
        <v>Genoa</v>
      </c>
      <c r="P42" s="227" t="str">
        <f t="shared" ca="1" si="21"/>
        <v/>
      </c>
      <c r="Q42" s="227" t="str">
        <f t="shared" ca="1" si="22"/>
        <v/>
      </c>
      <c r="R42" s="227" t="str">
        <f t="shared" ca="1" si="23"/>
        <v/>
      </c>
      <c r="T42" s="179">
        <f t="shared" ca="1" si="24"/>
        <v>352</v>
      </c>
      <c r="U42" s="179">
        <f t="shared" ca="1" si="25"/>
        <v>352</v>
      </c>
      <c r="V42" s="179">
        <f t="shared" ca="1" si="25"/>
        <v>352</v>
      </c>
      <c r="W42" s="179">
        <f t="shared" ca="1" si="1"/>
        <v>88</v>
      </c>
      <c r="X42" s="179">
        <f t="shared" ca="1" si="26"/>
        <v>88</v>
      </c>
      <c r="Y42" s="179">
        <f t="shared" ca="1" si="26"/>
        <v>88</v>
      </c>
      <c r="Z42" s="179">
        <f t="shared" ca="1" si="3"/>
        <v>116</v>
      </c>
      <c r="AA42" s="179">
        <f t="shared" ca="1" si="27"/>
        <v>116</v>
      </c>
      <c r="AB42" s="179">
        <f t="shared" ca="1" si="27"/>
        <v>116</v>
      </c>
      <c r="AC42" s="179">
        <f t="shared" ca="1" si="5"/>
        <v>208</v>
      </c>
      <c r="AD42" s="179">
        <f t="shared" ca="1" si="28"/>
        <v>208</v>
      </c>
      <c r="AE42" s="179">
        <f t="shared" ca="1" si="28"/>
        <v>208</v>
      </c>
      <c r="AF42" s="179" t="e">
        <f t="shared" ca="1" si="7"/>
        <v>#N/A</v>
      </c>
      <c r="AG42" s="179" t="e">
        <f t="shared" ca="1" si="29"/>
        <v>#N/A</v>
      </c>
      <c r="AH42" s="179" t="e">
        <f t="shared" ca="1" si="29"/>
        <v>#N/A</v>
      </c>
    </row>
    <row r="43" spans="1:34" ht="15.75" customHeight="1">
      <c r="A43" s="449" t="s">
        <v>39</v>
      </c>
      <c r="B43" s="449" t="s">
        <v>333</v>
      </c>
      <c r="C43" s="449" t="s">
        <v>687</v>
      </c>
      <c r="D43" s="322" t="str">
        <f t="shared" ca="1" si="9"/>
        <v>P</v>
      </c>
      <c r="E43" s="322" t="str">
        <f t="shared" ca="1" si="10"/>
        <v>NICOLAS</v>
      </c>
      <c r="F43" s="322" t="str">
        <f t="shared" ca="1" si="11"/>
        <v>Verona</v>
      </c>
      <c r="G43" s="227" t="str">
        <f t="shared" ca="1" si="12"/>
        <v>D</v>
      </c>
      <c r="H43" s="227" t="str">
        <f t="shared" ca="1" si="13"/>
        <v>CACERES</v>
      </c>
      <c r="I43" s="227" t="str">
        <f t="shared" ca="1" si="14"/>
        <v>Verona</v>
      </c>
      <c r="J43" s="227" t="str">
        <f t="shared" ca="1" si="15"/>
        <v>C</v>
      </c>
      <c r="K43" s="227" t="str">
        <f t="shared" ca="1" si="16"/>
        <v>CICIRETTI</v>
      </c>
      <c r="L43" s="227" t="str">
        <f t="shared" ca="1" si="17"/>
        <v>Benevento</v>
      </c>
      <c r="M43" s="227" t="str">
        <f t="shared" ca="1" si="18"/>
        <v>A</v>
      </c>
      <c r="N43" s="227" t="str">
        <f t="shared" ca="1" si="19"/>
        <v>GIANNETTI</v>
      </c>
      <c r="O43" s="227" t="str">
        <f t="shared" ca="1" si="20"/>
        <v>Cagliari</v>
      </c>
      <c r="P43" s="227" t="str">
        <f t="shared" ca="1" si="21"/>
        <v/>
      </c>
      <c r="Q43" s="227" t="str">
        <f t="shared" ca="1" si="22"/>
        <v/>
      </c>
      <c r="R43" s="227" t="str">
        <f t="shared" ca="1" si="23"/>
        <v/>
      </c>
      <c r="T43" s="179">
        <f t="shared" ca="1" si="24"/>
        <v>367</v>
      </c>
      <c r="U43" s="179">
        <f t="shared" ca="1" si="25"/>
        <v>367</v>
      </c>
      <c r="V43" s="179">
        <f t="shared" ca="1" si="25"/>
        <v>367</v>
      </c>
      <c r="W43" s="179">
        <f t="shared" ca="1" si="1"/>
        <v>89</v>
      </c>
      <c r="X43" s="179">
        <f t="shared" ca="1" si="26"/>
        <v>89</v>
      </c>
      <c r="Y43" s="179">
        <f t="shared" ca="1" si="26"/>
        <v>89</v>
      </c>
      <c r="Z43" s="179">
        <f t="shared" ca="1" si="3"/>
        <v>118</v>
      </c>
      <c r="AA43" s="179">
        <f t="shared" ca="1" si="27"/>
        <v>118</v>
      </c>
      <c r="AB43" s="179">
        <f t="shared" ca="1" si="27"/>
        <v>118</v>
      </c>
      <c r="AC43" s="179">
        <f t="shared" ca="1" si="5"/>
        <v>218</v>
      </c>
      <c r="AD43" s="179">
        <f t="shared" ca="1" si="28"/>
        <v>218</v>
      </c>
      <c r="AE43" s="179">
        <f t="shared" ca="1" si="28"/>
        <v>218</v>
      </c>
      <c r="AF43" s="179" t="e">
        <f t="shared" ca="1" si="7"/>
        <v>#N/A</v>
      </c>
      <c r="AG43" s="179" t="e">
        <f t="shared" ca="1" si="29"/>
        <v>#N/A</v>
      </c>
      <c r="AH43" s="179" t="e">
        <f t="shared" ca="1" si="29"/>
        <v>#N/A</v>
      </c>
    </row>
    <row r="44" spans="1:34" ht="15.75" customHeight="1">
      <c r="A44" s="449" t="s">
        <v>37</v>
      </c>
      <c r="B44" s="449" t="s">
        <v>353</v>
      </c>
      <c r="C44" s="449" t="s">
        <v>682</v>
      </c>
      <c r="D44" s="322" t="str">
        <f t="shared" ca="1" si="9"/>
        <v>P</v>
      </c>
      <c r="E44" s="322" t="str">
        <f t="shared" ca="1" si="10"/>
        <v>PADELLI</v>
      </c>
      <c r="F44" s="322" t="str">
        <f t="shared" ca="1" si="11"/>
        <v>Inter</v>
      </c>
      <c r="G44" s="227" t="str">
        <f t="shared" ca="1" si="12"/>
        <v>D</v>
      </c>
      <c r="H44" s="227" t="str">
        <f t="shared" ca="1" si="13"/>
        <v>CALABRIA</v>
      </c>
      <c r="I44" s="227" t="str">
        <f t="shared" ca="1" si="14"/>
        <v>Milan</v>
      </c>
      <c r="J44" s="227" t="str">
        <f t="shared" ca="1" si="15"/>
        <v>C</v>
      </c>
      <c r="K44" s="227" t="str">
        <f t="shared" ca="1" si="16"/>
        <v>CIGARINI</v>
      </c>
      <c r="L44" s="227" t="str">
        <f t="shared" ca="1" si="17"/>
        <v>Cagliari</v>
      </c>
      <c r="M44" s="227" t="str">
        <f t="shared" ca="1" si="18"/>
        <v>A</v>
      </c>
      <c r="N44" s="227" t="str">
        <f t="shared" ca="1" si="19"/>
        <v>GOMEZ A</v>
      </c>
      <c r="O44" s="227" t="str">
        <f t="shared" ca="1" si="20"/>
        <v>Atalanta</v>
      </c>
      <c r="P44" s="227" t="str">
        <f t="shared" ca="1" si="21"/>
        <v/>
      </c>
      <c r="Q44" s="227" t="str">
        <f t="shared" ca="1" si="22"/>
        <v/>
      </c>
      <c r="R44" s="227" t="str">
        <f t="shared" ca="1" si="23"/>
        <v/>
      </c>
      <c r="T44" s="179">
        <f t="shared" ca="1" si="24"/>
        <v>377</v>
      </c>
      <c r="U44" s="179">
        <f t="shared" ca="1" si="25"/>
        <v>377</v>
      </c>
      <c r="V44" s="179">
        <f t="shared" ca="1" si="25"/>
        <v>377</v>
      </c>
      <c r="W44" s="179">
        <f t="shared" ca="1" si="1"/>
        <v>91</v>
      </c>
      <c r="X44" s="179">
        <f t="shared" ca="1" si="26"/>
        <v>91</v>
      </c>
      <c r="Y44" s="179">
        <f t="shared" ca="1" si="26"/>
        <v>91</v>
      </c>
      <c r="Z44" s="179">
        <f t="shared" ca="1" si="3"/>
        <v>119</v>
      </c>
      <c r="AA44" s="179">
        <f t="shared" ca="1" si="27"/>
        <v>119</v>
      </c>
      <c r="AB44" s="179">
        <f t="shared" ca="1" si="27"/>
        <v>119</v>
      </c>
      <c r="AC44" s="179">
        <f t="shared" ca="1" si="5"/>
        <v>224</v>
      </c>
      <c r="AD44" s="179">
        <f t="shared" ca="1" si="28"/>
        <v>224</v>
      </c>
      <c r="AE44" s="179">
        <f t="shared" ca="1" si="28"/>
        <v>224</v>
      </c>
      <c r="AF44" s="179" t="e">
        <f t="shared" ca="1" si="7"/>
        <v>#N/A</v>
      </c>
      <c r="AG44" s="179" t="e">
        <f t="shared" ca="1" si="29"/>
        <v>#N/A</v>
      </c>
      <c r="AH44" s="179" t="e">
        <f t="shared" ca="1" si="29"/>
        <v>#N/A</v>
      </c>
    </row>
    <row r="45" spans="1:34" ht="15.75" customHeight="1">
      <c r="A45" s="449" t="s">
        <v>39</v>
      </c>
      <c r="B45" s="449" t="s">
        <v>1335</v>
      </c>
      <c r="C45" s="449" t="s">
        <v>680</v>
      </c>
      <c r="D45" s="322" t="str">
        <f t="shared" ca="1" si="9"/>
        <v>P</v>
      </c>
      <c r="E45" s="322" t="str">
        <f t="shared" ca="1" si="10"/>
        <v>PEGOLO</v>
      </c>
      <c r="F45" s="322" t="str">
        <f t="shared" ca="1" si="11"/>
        <v>Sassuolo</v>
      </c>
      <c r="G45" s="227" t="str">
        <f t="shared" ca="1" si="12"/>
        <v>D</v>
      </c>
      <c r="H45" s="227" t="str">
        <f t="shared" ca="1" si="13"/>
        <v>CALDARA</v>
      </c>
      <c r="I45" s="227" t="str">
        <f t="shared" ca="1" si="14"/>
        <v>Atalanta</v>
      </c>
      <c r="J45" s="227" t="str">
        <f t="shared" ca="1" si="15"/>
        <v>C</v>
      </c>
      <c r="K45" s="227" t="str">
        <f t="shared" ca="1" si="16"/>
        <v>COFIE</v>
      </c>
      <c r="L45" s="227" t="str">
        <f t="shared" ca="1" si="17"/>
        <v>Genoa</v>
      </c>
      <c r="M45" s="227" t="str">
        <f t="shared" ca="1" si="18"/>
        <v>A</v>
      </c>
      <c r="N45" s="227" t="str">
        <f t="shared" ca="1" si="19"/>
        <v>HIGUAIN</v>
      </c>
      <c r="O45" s="227" t="str">
        <f t="shared" ca="1" si="20"/>
        <v>Juventus</v>
      </c>
      <c r="P45" s="227" t="str">
        <f t="shared" ca="1" si="21"/>
        <v/>
      </c>
      <c r="Q45" s="227" t="str">
        <f t="shared" ca="1" si="22"/>
        <v/>
      </c>
      <c r="R45" s="227" t="str">
        <f t="shared" ca="1" si="23"/>
        <v/>
      </c>
      <c r="T45" s="179">
        <f t="shared" ca="1" si="24"/>
        <v>392</v>
      </c>
      <c r="U45" s="179">
        <f t="shared" ca="1" si="25"/>
        <v>392</v>
      </c>
      <c r="V45" s="179">
        <f t="shared" ca="1" si="25"/>
        <v>392</v>
      </c>
      <c r="W45" s="179">
        <f t="shared" ca="1" si="1"/>
        <v>92</v>
      </c>
      <c r="X45" s="179">
        <f t="shared" ca="1" si="26"/>
        <v>92</v>
      </c>
      <c r="Y45" s="179">
        <f t="shared" ca="1" si="26"/>
        <v>92</v>
      </c>
      <c r="Z45" s="179">
        <f t="shared" ca="1" si="3"/>
        <v>121</v>
      </c>
      <c r="AA45" s="179">
        <f t="shared" ca="1" si="27"/>
        <v>121</v>
      </c>
      <c r="AB45" s="179">
        <f t="shared" ca="1" si="27"/>
        <v>121</v>
      </c>
      <c r="AC45" s="179">
        <f t="shared" ca="1" si="5"/>
        <v>245</v>
      </c>
      <c r="AD45" s="179">
        <f t="shared" ca="1" si="28"/>
        <v>245</v>
      </c>
      <c r="AE45" s="179">
        <f t="shared" ca="1" si="28"/>
        <v>245</v>
      </c>
      <c r="AF45" s="179" t="e">
        <f t="shared" ca="1" si="7"/>
        <v>#N/A</v>
      </c>
      <c r="AG45" s="179" t="e">
        <f t="shared" ca="1" si="29"/>
        <v>#N/A</v>
      </c>
      <c r="AH45" s="179" t="e">
        <f t="shared" ca="1" si="29"/>
        <v>#N/A</v>
      </c>
    </row>
    <row r="46" spans="1:34" ht="15.75" customHeight="1">
      <c r="A46" s="449" t="s">
        <v>37</v>
      </c>
      <c r="B46" s="449" t="s">
        <v>1715</v>
      </c>
      <c r="C46" s="449" t="s">
        <v>686</v>
      </c>
      <c r="D46" s="322" t="str">
        <f t="shared" ca="1" si="9"/>
        <v>P</v>
      </c>
      <c r="E46" s="322" t="str">
        <f t="shared" ca="1" si="10"/>
        <v>PERIN</v>
      </c>
      <c r="F46" s="322" t="str">
        <f t="shared" ca="1" si="11"/>
        <v>Genoa</v>
      </c>
      <c r="G46" s="227" t="str">
        <f t="shared" ca="1" si="12"/>
        <v>D</v>
      </c>
      <c r="H46" s="227" t="str">
        <f t="shared" ca="1" si="13"/>
        <v>CANCELO</v>
      </c>
      <c r="I46" s="227" t="str">
        <f t="shared" ca="1" si="14"/>
        <v>Inter</v>
      </c>
      <c r="J46" s="227" t="str">
        <f t="shared" ca="1" si="15"/>
        <v>C</v>
      </c>
      <c r="K46" s="227" t="str">
        <f t="shared" ca="1" si="16"/>
        <v>COSSU</v>
      </c>
      <c r="L46" s="227" t="str">
        <f t="shared" ca="1" si="17"/>
        <v>Cagliari</v>
      </c>
      <c r="M46" s="227" t="str">
        <f t="shared" ca="1" si="18"/>
        <v>A</v>
      </c>
      <c r="N46" s="227" t="str">
        <f t="shared" ca="1" si="19"/>
        <v>ICARDI</v>
      </c>
      <c r="O46" s="227" t="str">
        <f t="shared" ca="1" si="20"/>
        <v>Inter</v>
      </c>
      <c r="P46" s="227" t="str">
        <f t="shared" ca="1" si="21"/>
        <v/>
      </c>
      <c r="Q46" s="227" t="str">
        <f t="shared" ca="1" si="22"/>
        <v/>
      </c>
      <c r="R46" s="227" t="str">
        <f t="shared" ca="1" si="23"/>
        <v/>
      </c>
      <c r="T46" s="179">
        <f t="shared" ca="1" si="24"/>
        <v>398</v>
      </c>
      <c r="U46" s="179">
        <f t="shared" ca="1" si="25"/>
        <v>398</v>
      </c>
      <c r="V46" s="179">
        <f t="shared" ca="1" si="25"/>
        <v>398</v>
      </c>
      <c r="W46" s="179">
        <f t="shared" ca="1" si="1"/>
        <v>95</v>
      </c>
      <c r="X46" s="179">
        <f t="shared" ca="1" si="26"/>
        <v>95</v>
      </c>
      <c r="Y46" s="179">
        <f t="shared" ca="1" si="26"/>
        <v>95</v>
      </c>
      <c r="Z46" s="179">
        <f t="shared" ca="1" si="3"/>
        <v>128</v>
      </c>
      <c r="AA46" s="179">
        <f t="shared" ca="1" si="27"/>
        <v>128</v>
      </c>
      <c r="AB46" s="179">
        <f t="shared" ca="1" si="27"/>
        <v>128</v>
      </c>
      <c r="AC46" s="179">
        <f t="shared" ca="1" si="5"/>
        <v>250</v>
      </c>
      <c r="AD46" s="179">
        <f t="shared" ca="1" si="28"/>
        <v>250</v>
      </c>
      <c r="AE46" s="179">
        <f t="shared" ca="1" si="28"/>
        <v>250</v>
      </c>
      <c r="AF46" s="179" t="e">
        <f t="shared" ca="1" si="7"/>
        <v>#N/A</v>
      </c>
      <c r="AG46" s="179" t="e">
        <f t="shared" ca="1" si="29"/>
        <v>#N/A</v>
      </c>
      <c r="AH46" s="179" t="e">
        <f t="shared" ca="1" si="29"/>
        <v>#N/A</v>
      </c>
    </row>
    <row r="47" spans="1:34" ht="15.75" customHeight="1">
      <c r="A47" s="449" t="s">
        <v>37</v>
      </c>
      <c r="B47" s="449" t="s">
        <v>1289</v>
      </c>
      <c r="C47" s="449" t="s">
        <v>682</v>
      </c>
      <c r="D47" s="322" t="str">
        <f t="shared" ca="1" si="9"/>
        <v>P</v>
      </c>
      <c r="E47" s="322" t="str">
        <f t="shared" ca="1" si="10"/>
        <v>PINSOGLIO</v>
      </c>
      <c r="F47" s="322" t="str">
        <f t="shared" ca="1" si="11"/>
        <v>Juventus</v>
      </c>
      <c r="G47" s="227" t="str">
        <f t="shared" ca="1" si="12"/>
        <v>D</v>
      </c>
      <c r="H47" s="227" t="str">
        <f t="shared" ca="1" si="13"/>
        <v>CANNAVARO</v>
      </c>
      <c r="I47" s="227" t="str">
        <f t="shared" ca="1" si="14"/>
        <v>Sassuolo</v>
      </c>
      <c r="J47" s="227" t="str">
        <f t="shared" ca="1" si="15"/>
        <v>C</v>
      </c>
      <c r="K47" s="227" t="str">
        <f t="shared" ca="1" si="16"/>
        <v>CRECCO</v>
      </c>
      <c r="L47" s="227" t="str">
        <f t="shared" ca="1" si="17"/>
        <v>Lazio</v>
      </c>
      <c r="M47" s="227" t="str">
        <f t="shared" ca="1" si="18"/>
        <v>A</v>
      </c>
      <c r="N47" s="227" t="str">
        <f t="shared" ca="1" si="19"/>
        <v>IEMMELLO</v>
      </c>
      <c r="O47" s="227" t="str">
        <f t="shared" ca="1" si="20"/>
        <v>Benevento</v>
      </c>
      <c r="P47" s="227" t="str">
        <f t="shared" ca="1" si="21"/>
        <v/>
      </c>
      <c r="Q47" s="227" t="str">
        <f t="shared" ca="1" si="22"/>
        <v/>
      </c>
      <c r="R47" s="227" t="str">
        <f t="shared" ca="1" si="23"/>
        <v/>
      </c>
      <c r="T47" s="179">
        <f t="shared" ca="1" si="24"/>
        <v>406</v>
      </c>
      <c r="U47" s="179">
        <f t="shared" ca="1" si="25"/>
        <v>406</v>
      </c>
      <c r="V47" s="179">
        <f t="shared" ca="1" si="25"/>
        <v>406</v>
      </c>
      <c r="W47" s="179">
        <f t="shared" ca="1" si="1"/>
        <v>97</v>
      </c>
      <c r="X47" s="179">
        <f t="shared" ca="1" si="26"/>
        <v>97</v>
      </c>
      <c r="Y47" s="179">
        <f t="shared" ca="1" si="26"/>
        <v>97</v>
      </c>
      <c r="Z47" s="179">
        <f t="shared" ca="1" si="3"/>
        <v>133</v>
      </c>
      <c r="AA47" s="179">
        <f t="shared" ca="1" si="27"/>
        <v>133</v>
      </c>
      <c r="AB47" s="179">
        <f t="shared" ca="1" si="27"/>
        <v>133</v>
      </c>
      <c r="AC47" s="179">
        <f t="shared" ca="1" si="5"/>
        <v>252</v>
      </c>
      <c r="AD47" s="179">
        <f t="shared" ca="1" si="28"/>
        <v>252</v>
      </c>
      <c r="AE47" s="179">
        <f t="shared" ca="1" si="28"/>
        <v>252</v>
      </c>
      <c r="AF47" s="179" t="e">
        <f t="shared" ca="1" si="7"/>
        <v>#N/A</v>
      </c>
      <c r="AG47" s="179" t="e">
        <f t="shared" ca="1" si="29"/>
        <v>#N/A</v>
      </c>
      <c r="AH47" s="179" t="e">
        <f t="shared" ca="1" si="29"/>
        <v>#N/A</v>
      </c>
    </row>
    <row r="48" spans="1:34" ht="15.75" customHeight="1">
      <c r="A48" s="449" t="s">
        <v>39</v>
      </c>
      <c r="B48" s="449" t="s">
        <v>1940</v>
      </c>
      <c r="C48" s="449" t="s">
        <v>684</v>
      </c>
      <c r="D48" s="322" t="str">
        <f t="shared" ca="1" si="9"/>
        <v>P</v>
      </c>
      <c r="E48" s="322" t="str">
        <f t="shared" ca="1" si="10"/>
        <v>PISCITELLI</v>
      </c>
      <c r="F48" s="322" t="str">
        <f t="shared" ca="1" si="11"/>
        <v>Benevento</v>
      </c>
      <c r="G48" s="227" t="str">
        <f t="shared" ca="1" si="12"/>
        <v>D</v>
      </c>
      <c r="H48" s="227" t="str">
        <f t="shared" ca="1" si="13"/>
        <v>CAPUANO</v>
      </c>
      <c r="I48" s="227" t="str">
        <f t="shared" ca="1" si="14"/>
        <v>Cagliari</v>
      </c>
      <c r="J48" s="227" t="str">
        <f t="shared" ca="1" si="15"/>
        <v>C</v>
      </c>
      <c r="K48" s="227" t="str">
        <f t="shared" ca="1" si="16"/>
        <v>CRISETIG</v>
      </c>
      <c r="L48" s="227" t="str">
        <f t="shared" ca="1" si="17"/>
        <v>Bologna</v>
      </c>
      <c r="M48" s="227" t="str">
        <f t="shared" ca="1" si="18"/>
        <v>A</v>
      </c>
      <c r="N48" s="227" t="str">
        <f t="shared" ca="1" si="19"/>
        <v>IMMOBILE</v>
      </c>
      <c r="O48" s="227" t="str">
        <f t="shared" ca="1" si="20"/>
        <v>Lazio</v>
      </c>
      <c r="P48" s="227" t="str">
        <f t="shared" ca="1" si="21"/>
        <v/>
      </c>
      <c r="Q48" s="227" t="str">
        <f t="shared" ca="1" si="22"/>
        <v/>
      </c>
      <c r="R48" s="227" t="str">
        <f t="shared" ca="1" si="23"/>
        <v/>
      </c>
      <c r="T48" s="179">
        <f t="shared" ca="1" si="24"/>
        <v>408</v>
      </c>
      <c r="U48" s="179">
        <f t="shared" ca="1" si="25"/>
        <v>408</v>
      </c>
      <c r="V48" s="179">
        <f t="shared" ca="1" si="25"/>
        <v>408</v>
      </c>
      <c r="W48" s="179">
        <f t="shared" ca="1" si="1"/>
        <v>100</v>
      </c>
      <c r="X48" s="179">
        <f t="shared" ca="1" si="26"/>
        <v>100</v>
      </c>
      <c r="Y48" s="179">
        <f t="shared" ca="1" si="26"/>
        <v>100</v>
      </c>
      <c r="Z48" s="179">
        <f t="shared" ca="1" si="3"/>
        <v>135</v>
      </c>
      <c r="AA48" s="179">
        <f t="shared" ca="1" si="27"/>
        <v>135</v>
      </c>
      <c r="AB48" s="179">
        <f t="shared" ca="1" si="27"/>
        <v>135</v>
      </c>
      <c r="AC48" s="179">
        <f t="shared" ca="1" si="5"/>
        <v>254</v>
      </c>
      <c r="AD48" s="179">
        <f t="shared" ca="1" si="28"/>
        <v>254</v>
      </c>
      <c r="AE48" s="179">
        <f t="shared" ca="1" si="28"/>
        <v>254</v>
      </c>
      <c r="AF48" s="179" t="e">
        <f t="shared" ca="1" si="7"/>
        <v>#N/A</v>
      </c>
      <c r="AG48" s="179" t="e">
        <f t="shared" ca="1" si="29"/>
        <v>#N/A</v>
      </c>
      <c r="AH48" s="179" t="e">
        <f t="shared" ca="1" si="29"/>
        <v>#N/A</v>
      </c>
    </row>
    <row r="49" spans="1:34" ht="15.75" customHeight="1">
      <c r="A49" s="449" t="s">
        <v>35</v>
      </c>
      <c r="B49" s="449" t="s">
        <v>1678</v>
      </c>
      <c r="C49" s="449" t="s">
        <v>1672</v>
      </c>
      <c r="D49" s="322" t="str">
        <f t="shared" ca="1" si="9"/>
        <v>P</v>
      </c>
      <c r="E49" s="322" t="str">
        <f t="shared" ca="1" si="10"/>
        <v>POLUZZI</v>
      </c>
      <c r="F49" s="322" t="str">
        <f t="shared" ca="1" si="11"/>
        <v>SPAL</v>
      </c>
      <c r="G49" s="227" t="str">
        <f t="shared" ca="1" si="12"/>
        <v>D</v>
      </c>
      <c r="H49" s="227" t="str">
        <f t="shared" ca="1" si="13"/>
        <v>CARACCIOLO A</v>
      </c>
      <c r="I49" s="227" t="str">
        <f t="shared" ca="1" si="14"/>
        <v>Verona</v>
      </c>
      <c r="J49" s="227" t="str">
        <f t="shared" ca="1" si="15"/>
        <v>C</v>
      </c>
      <c r="K49" s="227" t="str">
        <f t="shared" ca="1" si="16"/>
        <v>CRISTANTE</v>
      </c>
      <c r="L49" s="227" t="str">
        <f t="shared" ca="1" si="17"/>
        <v>Atalanta</v>
      </c>
      <c r="M49" s="227" t="str">
        <f t="shared" ca="1" si="18"/>
        <v>A</v>
      </c>
      <c r="N49" s="227" t="str">
        <f t="shared" ca="1" si="19"/>
        <v>INGLESE</v>
      </c>
      <c r="O49" s="227" t="str">
        <f t="shared" ca="1" si="20"/>
        <v>Chievo</v>
      </c>
      <c r="P49" s="227" t="str">
        <f t="shared" ca="1" si="21"/>
        <v/>
      </c>
      <c r="Q49" s="227" t="str">
        <f t="shared" ca="1" si="22"/>
        <v/>
      </c>
      <c r="R49" s="227" t="str">
        <f t="shared" ca="1" si="23"/>
        <v/>
      </c>
      <c r="T49" s="179">
        <f t="shared" ca="1" si="24"/>
        <v>413</v>
      </c>
      <c r="U49" s="179">
        <f t="shared" ref="U49:V68" ca="1" si="30">T49</f>
        <v>413</v>
      </c>
      <c r="V49" s="179">
        <f t="shared" ca="1" si="30"/>
        <v>413</v>
      </c>
      <c r="W49" s="179">
        <f t="shared" ca="1" si="1"/>
        <v>101</v>
      </c>
      <c r="X49" s="179">
        <f t="shared" ref="X49:Y68" ca="1" si="31">W49</f>
        <v>101</v>
      </c>
      <c r="Y49" s="179">
        <f t="shared" ca="1" si="31"/>
        <v>101</v>
      </c>
      <c r="Z49" s="179">
        <f t="shared" ca="1" si="3"/>
        <v>136</v>
      </c>
      <c r="AA49" s="179">
        <f t="shared" ref="AA49:AB68" ca="1" si="32">Z49</f>
        <v>136</v>
      </c>
      <c r="AB49" s="179">
        <f t="shared" ca="1" si="32"/>
        <v>136</v>
      </c>
      <c r="AC49" s="179">
        <f t="shared" ca="1" si="5"/>
        <v>256</v>
      </c>
      <c r="AD49" s="179">
        <f t="shared" ref="AD49:AE68" ca="1" si="33">AC49</f>
        <v>256</v>
      </c>
      <c r="AE49" s="179">
        <f t="shared" ca="1" si="33"/>
        <v>256</v>
      </c>
      <c r="AF49" s="179" t="e">
        <f t="shared" ca="1" si="7"/>
        <v>#N/A</v>
      </c>
      <c r="AG49" s="179" t="e">
        <f t="shared" ref="AG49:AH68" ca="1" si="34">AF49</f>
        <v>#N/A</v>
      </c>
      <c r="AH49" s="179" t="e">
        <f t="shared" ca="1" si="34"/>
        <v>#N/A</v>
      </c>
    </row>
    <row r="50" spans="1:34" ht="15.75" customHeight="1">
      <c r="A50" s="449" t="s">
        <v>43</v>
      </c>
      <c r="B50" s="449" t="s">
        <v>310</v>
      </c>
      <c r="C50" s="449" t="s">
        <v>687</v>
      </c>
      <c r="D50" s="322" t="str">
        <f t="shared" ca="1" si="9"/>
        <v>P</v>
      </c>
      <c r="E50" s="322" t="str">
        <f t="shared" ca="1" si="10"/>
        <v>PUGGIONI</v>
      </c>
      <c r="F50" s="322" t="str">
        <f t="shared" ca="1" si="11"/>
        <v>Sampdoria</v>
      </c>
      <c r="G50" s="227" t="str">
        <f t="shared" ca="1" si="12"/>
        <v>D</v>
      </c>
      <c r="H50" s="227" t="str">
        <f t="shared" ca="1" si="13"/>
        <v>CASTAGNE</v>
      </c>
      <c r="I50" s="227" t="str">
        <f t="shared" ca="1" si="14"/>
        <v>Atalanta</v>
      </c>
      <c r="J50" s="227" t="str">
        <f t="shared" ca="1" si="15"/>
        <v>C</v>
      </c>
      <c r="K50" s="227" t="str">
        <f t="shared" ca="1" si="16"/>
        <v>CRISTOFORO</v>
      </c>
      <c r="L50" s="227" t="str">
        <f t="shared" ca="1" si="17"/>
        <v>Fiorentina</v>
      </c>
      <c r="M50" s="227" t="str">
        <f t="shared" ca="1" si="18"/>
        <v>A</v>
      </c>
      <c r="N50" s="227" t="str">
        <f t="shared" ca="1" si="19"/>
        <v>INSIGNE</v>
      </c>
      <c r="O50" s="227" t="str">
        <f t="shared" ca="1" si="20"/>
        <v>Napoli</v>
      </c>
      <c r="P50" s="227" t="str">
        <f t="shared" ca="1" si="21"/>
        <v/>
      </c>
      <c r="Q50" s="227" t="str">
        <f t="shared" ca="1" si="22"/>
        <v/>
      </c>
      <c r="R50" s="227" t="str">
        <f t="shared" ca="1" si="23"/>
        <v/>
      </c>
      <c r="T50" s="179">
        <f t="shared" ca="1" si="24"/>
        <v>416</v>
      </c>
      <c r="U50" s="179">
        <f t="shared" ca="1" si="30"/>
        <v>416</v>
      </c>
      <c r="V50" s="179">
        <f t="shared" ca="1" si="30"/>
        <v>416</v>
      </c>
      <c r="W50" s="179">
        <f t="shared" ca="1" si="1"/>
        <v>103</v>
      </c>
      <c r="X50" s="179">
        <f t="shared" ca="1" si="31"/>
        <v>103</v>
      </c>
      <c r="Y50" s="179">
        <f t="shared" ca="1" si="31"/>
        <v>103</v>
      </c>
      <c r="Z50" s="179">
        <f t="shared" ca="1" si="3"/>
        <v>137</v>
      </c>
      <c r="AA50" s="179">
        <f t="shared" ca="1" si="32"/>
        <v>137</v>
      </c>
      <c r="AB50" s="179">
        <f t="shared" ca="1" si="32"/>
        <v>137</v>
      </c>
      <c r="AC50" s="179">
        <f t="shared" ca="1" si="5"/>
        <v>257</v>
      </c>
      <c r="AD50" s="179">
        <f t="shared" ca="1" si="33"/>
        <v>257</v>
      </c>
      <c r="AE50" s="179">
        <f t="shared" ca="1" si="33"/>
        <v>257</v>
      </c>
      <c r="AF50" s="179" t="e">
        <f t="shared" ca="1" si="7"/>
        <v>#N/A</v>
      </c>
      <c r="AG50" s="179" t="e">
        <f t="shared" ca="1" si="34"/>
        <v>#N/A</v>
      </c>
      <c r="AH50" s="179" t="e">
        <f t="shared" ca="1" si="34"/>
        <v>#N/A</v>
      </c>
    </row>
    <row r="51" spans="1:34" ht="15.75" customHeight="1">
      <c r="A51" s="449" t="s">
        <v>39</v>
      </c>
      <c r="B51" s="449" t="s">
        <v>337</v>
      </c>
      <c r="C51" s="449" t="s">
        <v>692</v>
      </c>
      <c r="D51" s="322" t="str">
        <f t="shared" ca="1" si="9"/>
        <v>P</v>
      </c>
      <c r="E51" s="322" t="str">
        <f t="shared" ca="1" si="10"/>
        <v>RAFAEL</v>
      </c>
      <c r="F51" s="322" t="str">
        <f t="shared" ca="1" si="11"/>
        <v>Cagliari</v>
      </c>
      <c r="G51" s="227" t="str">
        <f t="shared" ca="1" si="12"/>
        <v>D</v>
      </c>
      <c r="H51" s="227" t="str">
        <f t="shared" ca="1" si="13"/>
        <v>CASTAN</v>
      </c>
      <c r="I51" s="227" t="str">
        <f t="shared" ca="1" si="14"/>
        <v>Roma</v>
      </c>
      <c r="J51" s="227" t="str">
        <f t="shared" ca="1" si="15"/>
        <v>C</v>
      </c>
      <c r="K51" s="227" t="str">
        <f t="shared" ca="1" si="16"/>
        <v>CROCIATA</v>
      </c>
      <c r="L51" s="227" t="str">
        <f t="shared" ca="1" si="17"/>
        <v>Crotone</v>
      </c>
      <c r="M51" s="227" t="str">
        <f t="shared" ca="1" si="18"/>
        <v>A</v>
      </c>
      <c r="N51" s="227" t="str">
        <f t="shared" ca="1" si="19"/>
        <v>KALINIC</v>
      </c>
      <c r="O51" s="227" t="str">
        <f t="shared" ca="1" si="20"/>
        <v>Milan</v>
      </c>
      <c r="P51" s="227" t="str">
        <f t="shared" ca="1" si="21"/>
        <v/>
      </c>
      <c r="Q51" s="227" t="str">
        <f t="shared" ca="1" si="22"/>
        <v/>
      </c>
      <c r="R51" s="227" t="str">
        <f t="shared" ca="1" si="23"/>
        <v/>
      </c>
      <c r="T51" s="179">
        <f t="shared" ca="1" si="24"/>
        <v>422</v>
      </c>
      <c r="U51" s="179">
        <f t="shared" ca="1" si="30"/>
        <v>422</v>
      </c>
      <c r="V51" s="179">
        <f t="shared" ca="1" si="30"/>
        <v>422</v>
      </c>
      <c r="W51" s="179">
        <f t="shared" ca="1" si="1"/>
        <v>104</v>
      </c>
      <c r="X51" s="179">
        <f t="shared" ca="1" si="31"/>
        <v>104</v>
      </c>
      <c r="Y51" s="179">
        <f t="shared" ca="1" si="31"/>
        <v>104</v>
      </c>
      <c r="Z51" s="179">
        <f t="shared" ca="1" si="3"/>
        <v>138</v>
      </c>
      <c r="AA51" s="179">
        <f t="shared" ca="1" si="32"/>
        <v>138</v>
      </c>
      <c r="AB51" s="179">
        <f t="shared" ca="1" si="32"/>
        <v>138</v>
      </c>
      <c r="AC51" s="179">
        <f t="shared" ca="1" si="5"/>
        <v>269</v>
      </c>
      <c r="AD51" s="179">
        <f t="shared" ca="1" si="33"/>
        <v>269</v>
      </c>
      <c r="AE51" s="179">
        <f t="shared" ca="1" si="33"/>
        <v>269</v>
      </c>
      <c r="AF51" s="179" t="e">
        <f t="shared" ca="1" si="7"/>
        <v>#N/A</v>
      </c>
      <c r="AG51" s="179" t="e">
        <f t="shared" ca="1" si="34"/>
        <v>#N/A</v>
      </c>
      <c r="AH51" s="179" t="e">
        <f t="shared" ca="1" si="34"/>
        <v>#N/A</v>
      </c>
    </row>
    <row r="52" spans="1:34" ht="15.75" customHeight="1">
      <c r="A52" s="449" t="s">
        <v>37</v>
      </c>
      <c r="B52" s="449" t="s">
        <v>360</v>
      </c>
      <c r="C52" s="449" t="s">
        <v>676</v>
      </c>
      <c r="D52" s="322" t="str">
        <f t="shared" ca="1" si="9"/>
        <v>P</v>
      </c>
      <c r="E52" s="322" t="str">
        <f t="shared" ca="1" si="10"/>
        <v>RAFAEL CABRAL</v>
      </c>
      <c r="F52" s="322" t="str">
        <f t="shared" ca="1" si="11"/>
        <v>Napoli</v>
      </c>
      <c r="G52" s="227" t="str">
        <f t="shared" ca="1" si="12"/>
        <v>D</v>
      </c>
      <c r="H52" s="227" t="str">
        <f t="shared" ca="1" si="13"/>
        <v>CECCHERINI</v>
      </c>
      <c r="I52" s="227" t="str">
        <f t="shared" ca="1" si="14"/>
        <v>Crotone</v>
      </c>
      <c r="J52" s="227" t="str">
        <f t="shared" ca="1" si="15"/>
        <v>C</v>
      </c>
      <c r="K52" s="227" t="str">
        <f t="shared" ca="1" si="16"/>
        <v>CUADRADO</v>
      </c>
      <c r="L52" s="227" t="str">
        <f t="shared" ca="1" si="17"/>
        <v>Juventus</v>
      </c>
      <c r="M52" s="227" t="str">
        <f t="shared" ca="1" si="18"/>
        <v>A</v>
      </c>
      <c r="N52" s="227" t="str">
        <f t="shared" ca="1" si="19"/>
        <v>KARAMOH</v>
      </c>
      <c r="O52" s="227" t="str">
        <f t="shared" ca="1" si="20"/>
        <v>Inter</v>
      </c>
      <c r="P52" s="227" t="str">
        <f t="shared" ca="1" si="21"/>
        <v/>
      </c>
      <c r="Q52" s="227" t="str">
        <f t="shared" ca="1" si="22"/>
        <v/>
      </c>
      <c r="R52" s="227" t="str">
        <f t="shared" ca="1" si="23"/>
        <v/>
      </c>
      <c r="T52" s="179">
        <f t="shared" ca="1" si="24"/>
        <v>423</v>
      </c>
      <c r="U52" s="179">
        <f t="shared" ca="1" si="30"/>
        <v>423</v>
      </c>
      <c r="V52" s="179">
        <f t="shared" ca="1" si="30"/>
        <v>423</v>
      </c>
      <c r="W52" s="179">
        <f t="shared" ca="1" si="1"/>
        <v>107</v>
      </c>
      <c r="X52" s="179">
        <f t="shared" ca="1" si="31"/>
        <v>107</v>
      </c>
      <c r="Y52" s="179">
        <f t="shared" ca="1" si="31"/>
        <v>107</v>
      </c>
      <c r="Z52" s="179">
        <f t="shared" ca="1" si="3"/>
        <v>140</v>
      </c>
      <c r="AA52" s="179">
        <f t="shared" ca="1" si="32"/>
        <v>140</v>
      </c>
      <c r="AB52" s="179">
        <f t="shared" ca="1" si="32"/>
        <v>140</v>
      </c>
      <c r="AC52" s="179">
        <f t="shared" ca="1" si="5"/>
        <v>270</v>
      </c>
      <c r="AD52" s="179">
        <f t="shared" ca="1" si="33"/>
        <v>270</v>
      </c>
      <c r="AE52" s="179">
        <f t="shared" ca="1" si="33"/>
        <v>270</v>
      </c>
      <c r="AF52" s="179" t="e">
        <f t="shared" ca="1" si="7"/>
        <v>#N/A</v>
      </c>
      <c r="AG52" s="179" t="e">
        <f t="shared" ca="1" si="34"/>
        <v>#N/A</v>
      </c>
      <c r="AH52" s="179" t="e">
        <f t="shared" ca="1" si="34"/>
        <v>#N/A</v>
      </c>
    </row>
    <row r="53" spans="1:34" ht="15.75" customHeight="1">
      <c r="A53" s="449" t="s">
        <v>39</v>
      </c>
      <c r="B53" s="449" t="s">
        <v>1836</v>
      </c>
      <c r="C53" s="449" t="s">
        <v>676</v>
      </c>
      <c r="D53" s="322" t="str">
        <f t="shared" ca="1" si="9"/>
        <v>P</v>
      </c>
      <c r="E53" s="322" t="str">
        <f t="shared" ca="1" si="10"/>
        <v>REINA</v>
      </c>
      <c r="F53" s="322" t="str">
        <f t="shared" ca="1" si="11"/>
        <v>Napoli</v>
      </c>
      <c r="G53" s="227" t="str">
        <f t="shared" ca="1" si="12"/>
        <v>D</v>
      </c>
      <c r="H53" s="227" t="str">
        <f t="shared" ca="1" si="13"/>
        <v>CEPPITELLI</v>
      </c>
      <c r="I53" s="227" t="str">
        <f t="shared" ca="1" si="14"/>
        <v>Cagliari</v>
      </c>
      <c r="J53" s="227" t="str">
        <f t="shared" ca="1" si="15"/>
        <v>C</v>
      </c>
      <c r="K53" s="227" t="str">
        <f t="shared" ca="1" si="16"/>
        <v>D'ALESSANDRO</v>
      </c>
      <c r="L53" s="227" t="str">
        <f t="shared" ca="1" si="17"/>
        <v>Benevento</v>
      </c>
      <c r="M53" s="227" t="str">
        <f t="shared" ca="1" si="18"/>
        <v>A</v>
      </c>
      <c r="N53" s="227" t="str">
        <f t="shared" ca="1" si="19"/>
        <v>KEAN</v>
      </c>
      <c r="O53" s="227" t="str">
        <f t="shared" ca="1" si="20"/>
        <v>Verona</v>
      </c>
      <c r="P53" s="227" t="str">
        <f t="shared" ca="1" si="21"/>
        <v/>
      </c>
      <c r="Q53" s="227" t="str">
        <f t="shared" ca="1" si="22"/>
        <v/>
      </c>
      <c r="R53" s="227" t="str">
        <f t="shared" ca="1" si="23"/>
        <v/>
      </c>
      <c r="T53" s="179">
        <f t="shared" ca="1" si="24"/>
        <v>428</v>
      </c>
      <c r="U53" s="179">
        <f t="shared" ca="1" si="30"/>
        <v>428</v>
      </c>
      <c r="V53" s="179">
        <f t="shared" ca="1" si="30"/>
        <v>428</v>
      </c>
      <c r="W53" s="179">
        <f t="shared" ca="1" si="1"/>
        <v>109</v>
      </c>
      <c r="X53" s="179">
        <f t="shared" ca="1" si="31"/>
        <v>109</v>
      </c>
      <c r="Y53" s="179">
        <f t="shared" ca="1" si="31"/>
        <v>109</v>
      </c>
      <c r="Z53" s="179">
        <f t="shared" ca="1" si="3"/>
        <v>145</v>
      </c>
      <c r="AA53" s="179">
        <f t="shared" ca="1" si="32"/>
        <v>145</v>
      </c>
      <c r="AB53" s="179">
        <f t="shared" ca="1" si="32"/>
        <v>145</v>
      </c>
      <c r="AC53" s="179">
        <f t="shared" ca="1" si="5"/>
        <v>272</v>
      </c>
      <c r="AD53" s="179">
        <f t="shared" ca="1" si="33"/>
        <v>272</v>
      </c>
      <c r="AE53" s="179">
        <f t="shared" ca="1" si="33"/>
        <v>272</v>
      </c>
      <c r="AF53" s="179" t="e">
        <f t="shared" ca="1" si="7"/>
        <v>#N/A</v>
      </c>
      <c r="AG53" s="179" t="e">
        <f t="shared" ca="1" si="34"/>
        <v>#N/A</v>
      </c>
      <c r="AH53" s="179" t="e">
        <f t="shared" ca="1" si="34"/>
        <v>#N/A</v>
      </c>
    </row>
    <row r="54" spans="1:34" ht="15.75" customHeight="1">
      <c r="A54" s="449" t="s">
        <v>43</v>
      </c>
      <c r="B54" s="449" t="s">
        <v>315</v>
      </c>
      <c r="C54" s="449" t="s">
        <v>685</v>
      </c>
      <c r="D54" s="322" t="str">
        <f t="shared" ca="1" si="9"/>
        <v>P</v>
      </c>
      <c r="E54" s="322" t="str">
        <f t="shared" ca="1" si="10"/>
        <v>ROSSI F</v>
      </c>
      <c r="F54" s="322" t="str">
        <f t="shared" ca="1" si="11"/>
        <v>Atalanta</v>
      </c>
      <c r="G54" s="227" t="str">
        <f t="shared" ca="1" si="12"/>
        <v>D</v>
      </c>
      <c r="H54" s="227" t="str">
        <f t="shared" ca="1" si="13"/>
        <v>CESAR</v>
      </c>
      <c r="I54" s="227" t="str">
        <f t="shared" ca="1" si="14"/>
        <v>Chievo</v>
      </c>
      <c r="J54" s="227" t="str">
        <f t="shared" ca="1" si="15"/>
        <v>C</v>
      </c>
      <c r="K54" s="227" t="str">
        <f t="shared" ca="1" si="16"/>
        <v>DE PAUL</v>
      </c>
      <c r="L54" s="227" t="str">
        <f t="shared" ca="1" si="17"/>
        <v>Udinese</v>
      </c>
      <c r="M54" s="227" t="str">
        <f t="shared" ca="1" si="18"/>
        <v>A</v>
      </c>
      <c r="N54" s="227" t="str">
        <f t="shared" ca="1" si="19"/>
        <v>KOTNIK</v>
      </c>
      <c r="O54" s="227" t="str">
        <f t="shared" ca="1" si="20"/>
        <v>Crotone</v>
      </c>
      <c r="P54" s="227" t="str">
        <f t="shared" ca="1" si="21"/>
        <v/>
      </c>
      <c r="Q54" s="227" t="str">
        <f t="shared" ca="1" si="22"/>
        <v/>
      </c>
      <c r="R54" s="227" t="str">
        <f t="shared" ca="1" si="23"/>
        <v/>
      </c>
      <c r="T54" s="179">
        <f t="shared" ca="1" si="24"/>
        <v>445</v>
      </c>
      <c r="U54" s="179">
        <f t="shared" ca="1" si="30"/>
        <v>445</v>
      </c>
      <c r="V54" s="179">
        <f t="shared" ca="1" si="30"/>
        <v>445</v>
      </c>
      <c r="W54" s="179">
        <f t="shared" ca="1" si="1"/>
        <v>112</v>
      </c>
      <c r="X54" s="179">
        <f t="shared" ca="1" si="31"/>
        <v>112</v>
      </c>
      <c r="Y54" s="179">
        <f t="shared" ca="1" si="31"/>
        <v>112</v>
      </c>
      <c r="Z54" s="179">
        <f t="shared" ca="1" si="3"/>
        <v>149</v>
      </c>
      <c r="AA54" s="179">
        <f t="shared" ca="1" si="32"/>
        <v>149</v>
      </c>
      <c r="AB54" s="179">
        <f t="shared" ca="1" si="32"/>
        <v>149</v>
      </c>
      <c r="AC54" s="179">
        <f t="shared" ca="1" si="5"/>
        <v>278</v>
      </c>
      <c r="AD54" s="179">
        <f t="shared" ca="1" si="33"/>
        <v>278</v>
      </c>
      <c r="AE54" s="179">
        <f t="shared" ca="1" si="33"/>
        <v>278</v>
      </c>
      <c r="AF54" s="179" t="e">
        <f t="shared" ca="1" si="7"/>
        <v>#N/A</v>
      </c>
      <c r="AG54" s="179" t="e">
        <f t="shared" ca="1" si="34"/>
        <v>#N/A</v>
      </c>
      <c r="AH54" s="179" t="e">
        <f t="shared" ca="1" si="34"/>
        <v>#N/A</v>
      </c>
    </row>
    <row r="55" spans="1:34" ht="15.75" customHeight="1">
      <c r="A55" s="449" t="s">
        <v>39</v>
      </c>
      <c r="B55" s="449" t="s">
        <v>1738</v>
      </c>
      <c r="C55" s="449" t="s">
        <v>687</v>
      </c>
      <c r="D55" s="322" t="str">
        <f t="shared" ca="1" si="9"/>
        <v>P</v>
      </c>
      <c r="E55" s="322" t="str">
        <f t="shared" ca="1" si="10"/>
        <v>SANTURRO</v>
      </c>
      <c r="F55" s="322" t="str">
        <f t="shared" ca="1" si="11"/>
        <v>Bologna</v>
      </c>
      <c r="G55" s="227" t="str">
        <f t="shared" ca="1" si="12"/>
        <v>D</v>
      </c>
      <c r="H55" s="227" t="str">
        <f t="shared" ca="1" si="13"/>
        <v>CHERUBIN</v>
      </c>
      <c r="I55" s="227" t="str">
        <f t="shared" ca="1" si="14"/>
        <v>Verona</v>
      </c>
      <c r="J55" s="227" t="str">
        <f t="shared" ca="1" si="15"/>
        <v>C</v>
      </c>
      <c r="K55" s="227" t="str">
        <f t="shared" ca="1" si="16"/>
        <v>DE ROON</v>
      </c>
      <c r="L55" s="227" t="str">
        <f t="shared" ca="1" si="17"/>
        <v>Atalanta</v>
      </c>
      <c r="M55" s="227" t="str">
        <f t="shared" ca="1" si="18"/>
        <v>A</v>
      </c>
      <c r="N55" s="227" t="str">
        <f t="shared" ca="1" si="19"/>
        <v>KOWNACKI</v>
      </c>
      <c r="O55" s="227" t="str">
        <f t="shared" ca="1" si="20"/>
        <v>Sampdoria</v>
      </c>
      <c r="P55" s="227" t="str">
        <f t="shared" ca="1" si="21"/>
        <v/>
      </c>
      <c r="Q55" s="227" t="str">
        <f t="shared" ca="1" si="22"/>
        <v/>
      </c>
      <c r="R55" s="227" t="str">
        <f t="shared" ca="1" si="23"/>
        <v/>
      </c>
      <c r="T55" s="179">
        <f t="shared" ca="1" si="24"/>
        <v>455</v>
      </c>
      <c r="U55" s="179">
        <f t="shared" ca="1" si="30"/>
        <v>455</v>
      </c>
      <c r="V55" s="179">
        <f t="shared" ca="1" si="30"/>
        <v>455</v>
      </c>
      <c r="W55" s="179">
        <f t="shared" ca="1" si="1"/>
        <v>113</v>
      </c>
      <c r="X55" s="179">
        <f t="shared" ca="1" si="31"/>
        <v>113</v>
      </c>
      <c r="Y55" s="179">
        <f t="shared" ca="1" si="31"/>
        <v>113</v>
      </c>
      <c r="Z55" s="179">
        <f t="shared" ca="1" si="3"/>
        <v>150</v>
      </c>
      <c r="AA55" s="179">
        <f t="shared" ca="1" si="32"/>
        <v>150</v>
      </c>
      <c r="AB55" s="179">
        <f t="shared" ca="1" si="32"/>
        <v>150</v>
      </c>
      <c r="AC55" s="179">
        <f t="shared" ca="1" si="5"/>
        <v>280</v>
      </c>
      <c r="AD55" s="179">
        <f t="shared" ca="1" si="33"/>
        <v>280</v>
      </c>
      <c r="AE55" s="179">
        <f t="shared" ca="1" si="33"/>
        <v>280</v>
      </c>
      <c r="AF55" s="179" t="e">
        <f t="shared" ca="1" si="7"/>
        <v>#N/A</v>
      </c>
      <c r="AG55" s="179" t="e">
        <f t="shared" ca="1" si="34"/>
        <v>#N/A</v>
      </c>
      <c r="AH55" s="179" t="e">
        <f t="shared" ca="1" si="34"/>
        <v>#N/A</v>
      </c>
    </row>
    <row r="56" spans="1:34" ht="15.75" customHeight="1">
      <c r="A56" s="449" t="s">
        <v>37</v>
      </c>
      <c r="B56" s="449" t="s">
        <v>1723</v>
      </c>
      <c r="C56" s="449" t="s">
        <v>688</v>
      </c>
      <c r="D56" s="322" t="str">
        <f t="shared" ca="1" si="9"/>
        <v>P</v>
      </c>
      <c r="E56" s="322" t="str">
        <f t="shared" ca="1" si="10"/>
        <v>SATALINO</v>
      </c>
      <c r="F56" s="322" t="str">
        <f t="shared" ca="1" si="11"/>
        <v>Sassuolo</v>
      </c>
      <c r="G56" s="227" t="str">
        <f t="shared" ca="1" si="12"/>
        <v>D</v>
      </c>
      <c r="H56" s="227" t="str">
        <f t="shared" ca="1" si="13"/>
        <v>CHIELLINI</v>
      </c>
      <c r="I56" s="227" t="str">
        <f t="shared" ca="1" si="14"/>
        <v>Juventus</v>
      </c>
      <c r="J56" s="227" t="str">
        <f t="shared" ca="1" si="15"/>
        <v>C</v>
      </c>
      <c r="K56" s="227" t="str">
        <f t="shared" ca="1" si="16"/>
        <v>DE ROSSI</v>
      </c>
      <c r="L56" s="227" t="str">
        <f t="shared" ca="1" si="17"/>
        <v>Roma</v>
      </c>
      <c r="M56" s="227" t="str">
        <f t="shared" ca="1" si="18"/>
        <v>A</v>
      </c>
      <c r="N56" s="227" t="str">
        <f t="shared" ca="1" si="19"/>
        <v>LAPADULA</v>
      </c>
      <c r="O56" s="227" t="str">
        <f t="shared" ca="1" si="20"/>
        <v>Genoa</v>
      </c>
      <c r="P56" s="227" t="str">
        <f t="shared" ca="1" si="21"/>
        <v/>
      </c>
      <c r="Q56" s="227" t="str">
        <f t="shared" ca="1" si="22"/>
        <v/>
      </c>
      <c r="R56" s="227" t="str">
        <f t="shared" ca="1" si="23"/>
        <v/>
      </c>
      <c r="T56" s="179">
        <f t="shared" ca="1" si="24"/>
        <v>457</v>
      </c>
      <c r="U56" s="179">
        <f t="shared" ca="1" si="30"/>
        <v>457</v>
      </c>
      <c r="V56" s="179">
        <f t="shared" ca="1" si="30"/>
        <v>457</v>
      </c>
      <c r="W56" s="179">
        <f t="shared" ca="1" si="1"/>
        <v>115</v>
      </c>
      <c r="X56" s="179">
        <f t="shared" ca="1" si="31"/>
        <v>115</v>
      </c>
      <c r="Y56" s="179">
        <f t="shared" ca="1" si="31"/>
        <v>115</v>
      </c>
      <c r="Z56" s="179">
        <f t="shared" ca="1" si="3"/>
        <v>151</v>
      </c>
      <c r="AA56" s="179">
        <f t="shared" ca="1" si="32"/>
        <v>151</v>
      </c>
      <c r="AB56" s="179">
        <f t="shared" ca="1" si="32"/>
        <v>151</v>
      </c>
      <c r="AC56" s="179">
        <f t="shared" ca="1" si="5"/>
        <v>286</v>
      </c>
      <c r="AD56" s="179">
        <f t="shared" ca="1" si="33"/>
        <v>286</v>
      </c>
      <c r="AE56" s="179">
        <f t="shared" ca="1" si="33"/>
        <v>286</v>
      </c>
      <c r="AF56" s="179" t="e">
        <f t="shared" ca="1" si="7"/>
        <v>#N/A</v>
      </c>
      <c r="AG56" s="179" t="e">
        <f t="shared" ca="1" si="34"/>
        <v>#N/A</v>
      </c>
      <c r="AH56" s="179" t="e">
        <f t="shared" ca="1" si="34"/>
        <v>#N/A</v>
      </c>
    </row>
    <row r="57" spans="1:34" ht="15.75" customHeight="1">
      <c r="A57" s="449" t="s">
        <v>35</v>
      </c>
      <c r="B57" s="449" t="s">
        <v>311</v>
      </c>
      <c r="C57" s="449" t="s">
        <v>686</v>
      </c>
      <c r="D57" s="322" t="str">
        <f t="shared" ca="1" si="9"/>
        <v>P</v>
      </c>
      <c r="E57" s="322" t="str">
        <f t="shared" ca="1" si="10"/>
        <v>SCUFFET</v>
      </c>
      <c r="F57" s="322" t="str">
        <f t="shared" ca="1" si="11"/>
        <v>Udinese</v>
      </c>
      <c r="G57" s="227" t="str">
        <f t="shared" ca="1" si="12"/>
        <v>D</v>
      </c>
      <c r="H57" s="227" t="str">
        <f t="shared" ca="1" si="13"/>
        <v>CHIRICHES</v>
      </c>
      <c r="I57" s="227" t="str">
        <f t="shared" ca="1" si="14"/>
        <v>Napoli</v>
      </c>
      <c r="J57" s="227" t="str">
        <f t="shared" ca="1" si="15"/>
        <v>C</v>
      </c>
      <c r="K57" s="227" t="str">
        <f t="shared" ca="1" si="16"/>
        <v>DEIOLA</v>
      </c>
      <c r="L57" s="227" t="str">
        <f t="shared" ca="1" si="17"/>
        <v>Cagliari</v>
      </c>
      <c r="M57" s="227" t="str">
        <f t="shared" ca="1" si="18"/>
        <v>A</v>
      </c>
      <c r="N57" s="227" t="str">
        <f t="shared" ca="1" si="19"/>
        <v>LASAGNA</v>
      </c>
      <c r="O57" s="227" t="str">
        <f t="shared" ca="1" si="20"/>
        <v>Udinese</v>
      </c>
      <c r="P57" s="227" t="str">
        <f t="shared" ca="1" si="21"/>
        <v/>
      </c>
      <c r="Q57" s="227" t="str">
        <f t="shared" ca="1" si="22"/>
        <v/>
      </c>
      <c r="R57" s="227" t="str">
        <f t="shared" ca="1" si="23"/>
        <v/>
      </c>
      <c r="T57" s="179">
        <f t="shared" ca="1" si="24"/>
        <v>463</v>
      </c>
      <c r="U57" s="179">
        <f t="shared" ca="1" si="30"/>
        <v>463</v>
      </c>
      <c r="V57" s="179">
        <f t="shared" ca="1" si="30"/>
        <v>463</v>
      </c>
      <c r="W57" s="179">
        <f t="shared" ca="1" si="1"/>
        <v>117</v>
      </c>
      <c r="X57" s="179">
        <f t="shared" ca="1" si="31"/>
        <v>117</v>
      </c>
      <c r="Y57" s="179">
        <f t="shared" ca="1" si="31"/>
        <v>117</v>
      </c>
      <c r="Z57" s="179">
        <f t="shared" ca="1" si="3"/>
        <v>156</v>
      </c>
      <c r="AA57" s="179">
        <f t="shared" ca="1" si="32"/>
        <v>156</v>
      </c>
      <c r="AB57" s="179">
        <f t="shared" ca="1" si="32"/>
        <v>156</v>
      </c>
      <c r="AC57" s="179">
        <f t="shared" ca="1" si="5"/>
        <v>287</v>
      </c>
      <c r="AD57" s="179">
        <f t="shared" ca="1" si="33"/>
        <v>287</v>
      </c>
      <c r="AE57" s="179">
        <f t="shared" ca="1" si="33"/>
        <v>287</v>
      </c>
      <c r="AF57" s="179" t="e">
        <f t="shared" ca="1" si="7"/>
        <v>#N/A</v>
      </c>
      <c r="AG57" s="179" t="e">
        <f t="shared" ca="1" si="34"/>
        <v>#N/A</v>
      </c>
      <c r="AH57" s="179" t="e">
        <f t="shared" ca="1" si="34"/>
        <v>#N/A</v>
      </c>
    </row>
    <row r="58" spans="1:34" ht="15.75" customHeight="1">
      <c r="A58" s="449" t="s">
        <v>39</v>
      </c>
      <c r="B58" s="449" t="s">
        <v>340</v>
      </c>
      <c r="C58" s="449" t="s">
        <v>676</v>
      </c>
      <c r="D58" s="322" t="str">
        <f t="shared" ca="1" si="9"/>
        <v>P</v>
      </c>
      <c r="E58" s="322" t="str">
        <f t="shared" ca="1" si="10"/>
        <v>SECULIN</v>
      </c>
      <c r="F58" s="322" t="str">
        <f t="shared" ca="1" si="11"/>
        <v>Chievo</v>
      </c>
      <c r="G58" s="227" t="str">
        <f t="shared" ca="1" si="12"/>
        <v>D</v>
      </c>
      <c r="H58" s="227" t="str">
        <f t="shared" ca="1" si="13"/>
        <v>CONTI</v>
      </c>
      <c r="I58" s="227" t="str">
        <f t="shared" ca="1" si="14"/>
        <v>Milan</v>
      </c>
      <c r="J58" s="227" t="str">
        <f t="shared" ca="1" si="15"/>
        <v>C</v>
      </c>
      <c r="K58" s="227" t="str">
        <f t="shared" ca="1" si="16"/>
        <v>DEL PINTO</v>
      </c>
      <c r="L58" s="227" t="str">
        <f t="shared" ca="1" si="17"/>
        <v>Benevento</v>
      </c>
      <c r="M58" s="227" t="str">
        <f t="shared" ca="1" si="18"/>
        <v>A</v>
      </c>
      <c r="N58" s="227" t="str">
        <f t="shared" ca="1" si="19"/>
        <v>LEE</v>
      </c>
      <c r="O58" s="227" t="str">
        <f t="shared" ca="1" si="20"/>
        <v>Verona</v>
      </c>
      <c r="P58" s="227" t="str">
        <f t="shared" ca="1" si="21"/>
        <v/>
      </c>
      <c r="Q58" s="227" t="str">
        <f t="shared" ca="1" si="22"/>
        <v/>
      </c>
      <c r="R58" s="227" t="str">
        <f t="shared" ca="1" si="23"/>
        <v/>
      </c>
      <c r="T58" s="179">
        <f t="shared" ca="1" si="24"/>
        <v>464</v>
      </c>
      <c r="U58" s="179">
        <f t="shared" ca="1" si="30"/>
        <v>464</v>
      </c>
      <c r="V58" s="179">
        <f t="shared" ca="1" si="30"/>
        <v>464</v>
      </c>
      <c r="W58" s="179">
        <f t="shared" ca="1" si="1"/>
        <v>124</v>
      </c>
      <c r="X58" s="179">
        <f t="shared" ca="1" si="31"/>
        <v>124</v>
      </c>
      <c r="Y58" s="179">
        <f t="shared" ca="1" si="31"/>
        <v>124</v>
      </c>
      <c r="Z58" s="179">
        <f t="shared" ca="1" si="3"/>
        <v>157</v>
      </c>
      <c r="AA58" s="179">
        <f t="shared" ca="1" si="32"/>
        <v>157</v>
      </c>
      <c r="AB58" s="179">
        <f t="shared" ca="1" si="32"/>
        <v>157</v>
      </c>
      <c r="AC58" s="179">
        <f t="shared" ca="1" si="5"/>
        <v>293</v>
      </c>
      <c r="AD58" s="179">
        <f t="shared" ca="1" si="33"/>
        <v>293</v>
      </c>
      <c r="AE58" s="179">
        <f t="shared" ca="1" si="33"/>
        <v>293</v>
      </c>
      <c r="AF58" s="179" t="e">
        <f t="shared" ca="1" si="7"/>
        <v>#N/A</v>
      </c>
      <c r="AG58" s="179" t="e">
        <f t="shared" ca="1" si="34"/>
        <v>#N/A</v>
      </c>
      <c r="AH58" s="179" t="e">
        <f t="shared" ca="1" si="34"/>
        <v>#N/A</v>
      </c>
    </row>
    <row r="59" spans="1:34" ht="15.75" customHeight="1">
      <c r="A59" s="449" t="s">
        <v>35</v>
      </c>
      <c r="B59" s="449" t="s">
        <v>885</v>
      </c>
      <c r="C59" s="449" t="s">
        <v>677</v>
      </c>
      <c r="D59" s="322" t="str">
        <f t="shared" ca="1" si="9"/>
        <v>P</v>
      </c>
      <c r="E59" s="322" t="str">
        <f t="shared" ca="1" si="10"/>
        <v>SEPE</v>
      </c>
      <c r="F59" s="322" t="str">
        <f t="shared" ca="1" si="11"/>
        <v>Napoli</v>
      </c>
      <c r="G59" s="227" t="str">
        <f t="shared" ca="1" si="12"/>
        <v>D</v>
      </c>
      <c r="H59" s="227" t="str">
        <f t="shared" ca="1" si="13"/>
        <v>COSTA</v>
      </c>
      <c r="I59" s="227" t="str">
        <f t="shared" ca="1" si="14"/>
        <v>Benevento</v>
      </c>
      <c r="J59" s="227" t="str">
        <f t="shared" ca="1" si="15"/>
        <v>C</v>
      </c>
      <c r="K59" s="227" t="str">
        <f t="shared" ca="1" si="16"/>
        <v>DESSENA</v>
      </c>
      <c r="L59" s="227" t="str">
        <f t="shared" ca="1" si="17"/>
        <v>Cagliari</v>
      </c>
      <c r="M59" s="227" t="str">
        <f t="shared" ca="1" si="18"/>
        <v>A</v>
      </c>
      <c r="N59" s="227" t="str">
        <f t="shared" ca="1" si="19"/>
        <v>LO FASO</v>
      </c>
      <c r="O59" s="227" t="str">
        <f t="shared" ca="1" si="20"/>
        <v>Fiorentina</v>
      </c>
      <c r="P59" s="227" t="str">
        <f t="shared" ca="1" si="21"/>
        <v/>
      </c>
      <c r="Q59" s="227" t="str">
        <f t="shared" ca="1" si="22"/>
        <v/>
      </c>
      <c r="R59" s="227" t="str">
        <f t="shared" ca="1" si="23"/>
        <v/>
      </c>
      <c r="T59" s="179">
        <f t="shared" ca="1" si="24"/>
        <v>466</v>
      </c>
      <c r="U59" s="179">
        <f t="shared" ca="1" si="30"/>
        <v>466</v>
      </c>
      <c r="V59" s="179">
        <f t="shared" ca="1" si="30"/>
        <v>466</v>
      </c>
      <c r="W59" s="179">
        <f t="shared" ca="1" si="1"/>
        <v>129</v>
      </c>
      <c r="X59" s="179">
        <f t="shared" ca="1" si="31"/>
        <v>129</v>
      </c>
      <c r="Y59" s="179">
        <f t="shared" ca="1" si="31"/>
        <v>129</v>
      </c>
      <c r="Z59" s="179">
        <f t="shared" ca="1" si="3"/>
        <v>161</v>
      </c>
      <c r="AA59" s="179">
        <f t="shared" ca="1" si="32"/>
        <v>161</v>
      </c>
      <c r="AB59" s="179">
        <f t="shared" ca="1" si="32"/>
        <v>161</v>
      </c>
      <c r="AC59" s="179">
        <f t="shared" ca="1" si="5"/>
        <v>300</v>
      </c>
      <c r="AD59" s="179">
        <f t="shared" ca="1" si="33"/>
        <v>300</v>
      </c>
      <c r="AE59" s="179">
        <f t="shared" ca="1" si="33"/>
        <v>300</v>
      </c>
      <c r="AF59" s="179" t="e">
        <f t="shared" ca="1" si="7"/>
        <v>#N/A</v>
      </c>
      <c r="AG59" s="179" t="e">
        <f t="shared" ca="1" si="34"/>
        <v>#N/A</v>
      </c>
      <c r="AH59" s="179" t="e">
        <f t="shared" ca="1" si="34"/>
        <v>#N/A</v>
      </c>
    </row>
    <row r="60" spans="1:34" ht="15.75" customHeight="1">
      <c r="A60" s="449" t="s">
        <v>39</v>
      </c>
      <c r="B60" s="449" t="s">
        <v>343</v>
      </c>
      <c r="C60" s="449" t="s">
        <v>679</v>
      </c>
      <c r="D60" s="322" t="str">
        <f t="shared" ca="1" si="9"/>
        <v>P</v>
      </c>
      <c r="E60" s="322" t="str">
        <f t="shared" ca="1" si="10"/>
        <v>SILVESTRI</v>
      </c>
      <c r="F60" s="322" t="str">
        <f t="shared" ca="1" si="11"/>
        <v>Verona</v>
      </c>
      <c r="G60" s="227" t="str">
        <f t="shared" ca="1" si="12"/>
        <v>D</v>
      </c>
      <c r="H60" s="227" t="str">
        <f t="shared" ca="1" si="13"/>
        <v>COSTA F</v>
      </c>
      <c r="I60" s="227" t="str">
        <f t="shared" ca="1" si="14"/>
        <v>SPAL</v>
      </c>
      <c r="J60" s="227" t="str">
        <f t="shared" ca="1" si="15"/>
        <v>C</v>
      </c>
      <c r="K60" s="227" t="str">
        <f t="shared" ca="1" si="16"/>
        <v>DI GENNARO D</v>
      </c>
      <c r="L60" s="227" t="str">
        <f t="shared" ca="1" si="17"/>
        <v>Lazio</v>
      </c>
      <c r="M60" s="227" t="str">
        <f t="shared" ca="1" si="18"/>
        <v>A</v>
      </c>
      <c r="N60" s="227" t="str">
        <f t="shared" ca="1" si="19"/>
        <v>LOMBARDI</v>
      </c>
      <c r="O60" s="227" t="str">
        <f t="shared" ca="1" si="20"/>
        <v>Benevento</v>
      </c>
      <c r="P60" s="227" t="str">
        <f t="shared" ca="1" si="21"/>
        <v/>
      </c>
      <c r="Q60" s="227" t="str">
        <f t="shared" ca="1" si="22"/>
        <v/>
      </c>
      <c r="R60" s="227" t="str">
        <f t="shared" ca="1" si="23"/>
        <v/>
      </c>
      <c r="T60" s="179">
        <f t="shared" ca="1" si="24"/>
        <v>468</v>
      </c>
      <c r="U60" s="179">
        <f t="shared" ca="1" si="30"/>
        <v>468</v>
      </c>
      <c r="V60" s="179">
        <f t="shared" ca="1" si="30"/>
        <v>468</v>
      </c>
      <c r="W60" s="179">
        <f t="shared" ca="1" si="1"/>
        <v>130</v>
      </c>
      <c r="X60" s="179">
        <f t="shared" ca="1" si="31"/>
        <v>130</v>
      </c>
      <c r="Y60" s="179">
        <f t="shared" ca="1" si="31"/>
        <v>130</v>
      </c>
      <c r="Z60" s="179">
        <f t="shared" ca="1" si="3"/>
        <v>165</v>
      </c>
      <c r="AA60" s="179">
        <f t="shared" ca="1" si="32"/>
        <v>165</v>
      </c>
      <c r="AB60" s="179">
        <f t="shared" ca="1" si="32"/>
        <v>165</v>
      </c>
      <c r="AC60" s="179">
        <f t="shared" ca="1" si="5"/>
        <v>303</v>
      </c>
      <c r="AD60" s="179">
        <f t="shared" ca="1" si="33"/>
        <v>303</v>
      </c>
      <c r="AE60" s="179">
        <f t="shared" ca="1" si="33"/>
        <v>303</v>
      </c>
      <c r="AF60" s="179" t="e">
        <f t="shared" ca="1" si="7"/>
        <v>#N/A</v>
      </c>
      <c r="AG60" s="179" t="e">
        <f t="shared" ca="1" si="34"/>
        <v>#N/A</v>
      </c>
      <c r="AH60" s="179" t="e">
        <f t="shared" ca="1" si="34"/>
        <v>#N/A</v>
      </c>
    </row>
    <row r="61" spans="1:34" ht="15.75" customHeight="1">
      <c r="A61" s="449" t="s">
        <v>39</v>
      </c>
      <c r="B61" s="449" t="s">
        <v>1739</v>
      </c>
      <c r="C61" s="449" t="s">
        <v>1674</v>
      </c>
      <c r="D61" s="322" t="str">
        <f t="shared" ca="1" si="9"/>
        <v>P</v>
      </c>
      <c r="E61" s="322" t="str">
        <f t="shared" ca="1" si="10"/>
        <v>SIRIGU</v>
      </c>
      <c r="F61" s="322" t="str">
        <f t="shared" ca="1" si="11"/>
        <v>Torino</v>
      </c>
      <c r="G61" s="227" t="str">
        <f t="shared" ca="1" si="12"/>
        <v>D</v>
      </c>
      <c r="H61" s="227" t="str">
        <f t="shared" ca="1" si="13"/>
        <v>CREMONESI</v>
      </c>
      <c r="I61" s="227" t="str">
        <f t="shared" ca="1" si="14"/>
        <v>SPAL</v>
      </c>
      <c r="J61" s="227" t="str">
        <f t="shared" ca="1" si="15"/>
        <v>C</v>
      </c>
      <c r="K61" s="227" t="str">
        <f t="shared" ca="1" si="16"/>
        <v>DIAWARA</v>
      </c>
      <c r="L61" s="227" t="str">
        <f t="shared" ca="1" si="17"/>
        <v>Napoli</v>
      </c>
      <c r="M61" s="227" t="str">
        <f t="shared" ca="1" si="18"/>
        <v>A</v>
      </c>
      <c r="N61" s="227" t="str">
        <f t="shared" ca="1" si="19"/>
        <v>MANDZUKIC</v>
      </c>
      <c r="O61" s="227" t="str">
        <f t="shared" ca="1" si="20"/>
        <v>Juventus</v>
      </c>
      <c r="P61" s="227" t="str">
        <f t="shared" ca="1" si="21"/>
        <v/>
      </c>
      <c r="Q61" s="227" t="str">
        <f t="shared" ca="1" si="22"/>
        <v/>
      </c>
      <c r="R61" s="227" t="str">
        <f t="shared" ca="1" si="23"/>
        <v/>
      </c>
      <c r="T61" s="179">
        <f t="shared" ca="1" si="24"/>
        <v>472</v>
      </c>
      <c r="U61" s="179">
        <f t="shared" ca="1" si="30"/>
        <v>472</v>
      </c>
      <c r="V61" s="179">
        <f t="shared" ca="1" si="30"/>
        <v>472</v>
      </c>
      <c r="W61" s="179">
        <f t="shared" ca="1" si="1"/>
        <v>134</v>
      </c>
      <c r="X61" s="179">
        <f t="shared" ca="1" si="31"/>
        <v>134</v>
      </c>
      <c r="Y61" s="179">
        <f t="shared" ca="1" si="31"/>
        <v>134</v>
      </c>
      <c r="Z61" s="179">
        <f t="shared" ca="1" si="3"/>
        <v>166</v>
      </c>
      <c r="AA61" s="179">
        <f t="shared" ca="1" si="32"/>
        <v>166</v>
      </c>
      <c r="AB61" s="179">
        <f t="shared" ca="1" si="32"/>
        <v>166</v>
      </c>
      <c r="AC61" s="179">
        <f t="shared" ca="1" si="5"/>
        <v>317</v>
      </c>
      <c r="AD61" s="179">
        <f t="shared" ca="1" si="33"/>
        <v>317</v>
      </c>
      <c r="AE61" s="179">
        <f t="shared" ca="1" si="33"/>
        <v>317</v>
      </c>
      <c r="AF61" s="179" t="e">
        <f t="shared" ca="1" si="7"/>
        <v>#N/A</v>
      </c>
      <c r="AG61" s="179" t="e">
        <f t="shared" ca="1" si="34"/>
        <v>#N/A</v>
      </c>
      <c r="AH61" s="179" t="e">
        <f t="shared" ca="1" si="34"/>
        <v>#N/A</v>
      </c>
    </row>
    <row r="62" spans="1:34" ht="15.75" customHeight="1">
      <c r="A62" s="449" t="s">
        <v>37</v>
      </c>
      <c r="B62" s="449" t="s">
        <v>1730</v>
      </c>
      <c r="C62" s="449" t="s">
        <v>1674</v>
      </c>
      <c r="D62" s="322" t="str">
        <f t="shared" ca="1" si="9"/>
        <v>P</v>
      </c>
      <c r="E62" s="322" t="str">
        <f t="shared" ca="1" si="10"/>
        <v>SKORUPSKI</v>
      </c>
      <c r="F62" s="322" t="str">
        <f t="shared" ca="1" si="11"/>
        <v>Roma</v>
      </c>
      <c r="G62" s="227" t="str">
        <f t="shared" ca="1" si="12"/>
        <v>D</v>
      </c>
      <c r="H62" s="227" t="str">
        <f t="shared" ca="1" si="13"/>
        <v>DAINELLI</v>
      </c>
      <c r="I62" s="227" t="str">
        <f t="shared" ca="1" si="14"/>
        <v>Chievo</v>
      </c>
      <c r="J62" s="227" t="str">
        <f t="shared" ca="1" si="15"/>
        <v>C</v>
      </c>
      <c r="K62" s="227" t="str">
        <f t="shared" ca="1" si="16"/>
        <v>DJURICIC</v>
      </c>
      <c r="L62" s="227" t="str">
        <f t="shared" ca="1" si="17"/>
        <v>Sampdoria</v>
      </c>
      <c r="M62" s="227" t="str">
        <f t="shared" ca="1" si="18"/>
        <v>A</v>
      </c>
      <c r="N62" s="227" t="str">
        <f t="shared" ca="1" si="19"/>
        <v>MATOS</v>
      </c>
      <c r="O62" s="227" t="str">
        <f t="shared" ca="1" si="20"/>
        <v>Udinese</v>
      </c>
      <c r="P62" s="227" t="str">
        <f t="shared" ca="1" si="21"/>
        <v/>
      </c>
      <c r="Q62" s="227" t="str">
        <f t="shared" ca="1" si="22"/>
        <v/>
      </c>
      <c r="R62" s="227" t="str">
        <f t="shared" ca="1" si="23"/>
        <v/>
      </c>
      <c r="T62" s="179">
        <f t="shared" ca="1" si="24"/>
        <v>473</v>
      </c>
      <c r="U62" s="179">
        <f t="shared" ca="1" si="30"/>
        <v>473</v>
      </c>
      <c r="V62" s="179">
        <f t="shared" ca="1" si="30"/>
        <v>473</v>
      </c>
      <c r="W62" s="179">
        <f t="shared" ca="1" si="1"/>
        <v>143</v>
      </c>
      <c r="X62" s="179">
        <f t="shared" ca="1" si="31"/>
        <v>143</v>
      </c>
      <c r="Y62" s="179">
        <f t="shared" ca="1" si="31"/>
        <v>143</v>
      </c>
      <c r="Z62" s="179">
        <f t="shared" ca="1" si="3"/>
        <v>169</v>
      </c>
      <c r="AA62" s="179">
        <f t="shared" ca="1" si="32"/>
        <v>169</v>
      </c>
      <c r="AB62" s="179">
        <f t="shared" ca="1" si="32"/>
        <v>169</v>
      </c>
      <c r="AC62" s="179">
        <f t="shared" ca="1" si="5"/>
        <v>328</v>
      </c>
      <c r="AD62" s="179">
        <f t="shared" ca="1" si="33"/>
        <v>328</v>
      </c>
      <c r="AE62" s="179">
        <f t="shared" ca="1" si="33"/>
        <v>328</v>
      </c>
      <c r="AF62" s="179" t="e">
        <f t="shared" ca="1" si="7"/>
        <v>#N/A</v>
      </c>
      <c r="AG62" s="179" t="e">
        <f t="shared" ca="1" si="34"/>
        <v>#N/A</v>
      </c>
      <c r="AH62" s="179" t="e">
        <f t="shared" ca="1" si="34"/>
        <v>#N/A</v>
      </c>
    </row>
    <row r="63" spans="1:34" ht="15.75" customHeight="1">
      <c r="A63" s="449" t="s">
        <v>39</v>
      </c>
      <c r="B63" s="449" t="s">
        <v>346</v>
      </c>
      <c r="C63" s="449" t="s">
        <v>678</v>
      </c>
      <c r="D63" s="322" t="str">
        <f t="shared" ca="1" si="9"/>
        <v>P</v>
      </c>
      <c r="E63" s="322" t="str">
        <f t="shared" ca="1" si="10"/>
        <v>SORRENTINO</v>
      </c>
      <c r="F63" s="322" t="str">
        <f t="shared" ca="1" si="11"/>
        <v>Chievo</v>
      </c>
      <c r="G63" s="227" t="str">
        <f t="shared" ca="1" si="12"/>
        <v>D</v>
      </c>
      <c r="H63" s="227" t="str">
        <f t="shared" ca="1" si="13"/>
        <v>DALBERT</v>
      </c>
      <c r="I63" s="227" t="str">
        <f t="shared" ca="1" si="14"/>
        <v>Inter</v>
      </c>
      <c r="J63" s="227" t="str">
        <f t="shared" ca="1" si="15"/>
        <v>C</v>
      </c>
      <c r="K63" s="227" t="str">
        <f t="shared" ca="1" si="16"/>
        <v>DONSAH</v>
      </c>
      <c r="L63" s="227" t="str">
        <f t="shared" ca="1" si="17"/>
        <v>Bologna</v>
      </c>
      <c r="M63" s="227" t="str">
        <f t="shared" ca="1" si="18"/>
        <v>A</v>
      </c>
      <c r="N63" s="227" t="str">
        <f t="shared" ca="1" si="19"/>
        <v>MATRI</v>
      </c>
      <c r="O63" s="227" t="str">
        <f t="shared" ca="1" si="20"/>
        <v>Sassuolo</v>
      </c>
      <c r="P63" s="227" t="str">
        <f t="shared" ca="1" si="21"/>
        <v/>
      </c>
      <c r="Q63" s="227" t="str">
        <f t="shared" ca="1" si="22"/>
        <v/>
      </c>
      <c r="R63" s="227" t="str">
        <f t="shared" ca="1" si="23"/>
        <v/>
      </c>
      <c r="T63" s="179">
        <f t="shared" ca="1" si="24"/>
        <v>475</v>
      </c>
      <c r="U63" s="179">
        <f t="shared" ca="1" si="30"/>
        <v>475</v>
      </c>
      <c r="V63" s="179">
        <f t="shared" ca="1" si="30"/>
        <v>475</v>
      </c>
      <c r="W63" s="179">
        <f t="shared" ca="1" si="1"/>
        <v>144</v>
      </c>
      <c r="X63" s="179">
        <f t="shared" ca="1" si="31"/>
        <v>144</v>
      </c>
      <c r="Y63" s="179">
        <f t="shared" ca="1" si="31"/>
        <v>144</v>
      </c>
      <c r="Z63" s="179">
        <f t="shared" ca="1" si="3"/>
        <v>173</v>
      </c>
      <c r="AA63" s="179">
        <f t="shared" ca="1" si="32"/>
        <v>173</v>
      </c>
      <c r="AB63" s="179">
        <f t="shared" ca="1" si="32"/>
        <v>173</v>
      </c>
      <c r="AC63" s="179">
        <f t="shared" ca="1" si="5"/>
        <v>329</v>
      </c>
      <c r="AD63" s="179">
        <f t="shared" ca="1" si="33"/>
        <v>329</v>
      </c>
      <c r="AE63" s="179">
        <f t="shared" ca="1" si="33"/>
        <v>329</v>
      </c>
      <c r="AF63" s="179" t="e">
        <f t="shared" ca="1" si="7"/>
        <v>#N/A</v>
      </c>
      <c r="AG63" s="179" t="e">
        <f t="shared" ca="1" si="34"/>
        <v>#N/A</v>
      </c>
      <c r="AH63" s="179" t="e">
        <f t="shared" ca="1" si="34"/>
        <v>#N/A</v>
      </c>
    </row>
    <row r="64" spans="1:34" ht="15.75" customHeight="1">
      <c r="A64" s="449" t="s">
        <v>39</v>
      </c>
      <c r="B64" s="449" t="s">
        <v>350</v>
      </c>
      <c r="C64" s="449" t="s">
        <v>685</v>
      </c>
      <c r="D64" s="322" t="str">
        <f t="shared" ca="1" si="9"/>
        <v>P</v>
      </c>
      <c r="E64" s="322" t="str">
        <f t="shared" ca="1" si="10"/>
        <v>SPORTIELLO</v>
      </c>
      <c r="F64" s="322" t="str">
        <f t="shared" ca="1" si="11"/>
        <v>Fiorentina</v>
      </c>
      <c r="G64" s="227" t="str">
        <f t="shared" ca="1" si="12"/>
        <v>D</v>
      </c>
      <c r="H64" s="227" t="str">
        <f t="shared" ca="1" si="13"/>
        <v>D'AMBROSIO</v>
      </c>
      <c r="I64" s="227" t="str">
        <f t="shared" ca="1" si="14"/>
        <v>Inter</v>
      </c>
      <c r="J64" s="227" t="str">
        <f t="shared" ca="1" si="15"/>
        <v>C</v>
      </c>
      <c r="K64" s="227" t="str">
        <f t="shared" ca="1" si="16"/>
        <v>DOUGLAS COSTA</v>
      </c>
      <c r="L64" s="227" t="str">
        <f t="shared" ca="1" si="17"/>
        <v>Juventus</v>
      </c>
      <c r="M64" s="227" t="str">
        <f t="shared" ca="1" si="18"/>
        <v>A</v>
      </c>
      <c r="N64" s="227" t="str">
        <f t="shared" ca="1" si="19"/>
        <v>MAXI LOPEZ</v>
      </c>
      <c r="O64" s="227" t="str">
        <f t="shared" ca="1" si="20"/>
        <v>Udinese</v>
      </c>
      <c r="P64" s="227" t="str">
        <f t="shared" ca="1" si="21"/>
        <v/>
      </c>
      <c r="Q64" s="227" t="str">
        <f t="shared" ca="1" si="22"/>
        <v/>
      </c>
      <c r="R64" s="227" t="str">
        <f t="shared" ca="1" si="23"/>
        <v/>
      </c>
      <c r="T64" s="179">
        <f t="shared" ca="1" si="24"/>
        <v>479</v>
      </c>
      <c r="U64" s="179">
        <f t="shared" ca="1" si="30"/>
        <v>479</v>
      </c>
      <c r="V64" s="179">
        <f t="shared" ca="1" si="30"/>
        <v>479</v>
      </c>
      <c r="W64" s="179">
        <f t="shared" ca="1" si="1"/>
        <v>146</v>
      </c>
      <c r="X64" s="179">
        <f t="shared" ca="1" si="31"/>
        <v>146</v>
      </c>
      <c r="Y64" s="179">
        <f t="shared" ca="1" si="31"/>
        <v>146</v>
      </c>
      <c r="Z64" s="179">
        <f t="shared" ca="1" si="3"/>
        <v>174</v>
      </c>
      <c r="AA64" s="179">
        <f t="shared" ca="1" si="32"/>
        <v>174</v>
      </c>
      <c r="AB64" s="179">
        <f t="shared" ca="1" si="32"/>
        <v>174</v>
      </c>
      <c r="AC64" s="179">
        <f t="shared" ca="1" si="5"/>
        <v>333</v>
      </c>
      <c r="AD64" s="179">
        <f t="shared" ca="1" si="33"/>
        <v>333</v>
      </c>
      <c r="AE64" s="179">
        <f t="shared" ca="1" si="33"/>
        <v>333</v>
      </c>
      <c r="AF64" s="179" t="e">
        <f t="shared" ca="1" si="7"/>
        <v>#N/A</v>
      </c>
      <c r="AG64" s="179" t="e">
        <f t="shared" ca="1" si="34"/>
        <v>#N/A</v>
      </c>
      <c r="AH64" s="179" t="e">
        <f t="shared" ca="1" si="34"/>
        <v>#N/A</v>
      </c>
    </row>
    <row r="65" spans="1:34" ht="15.75" customHeight="1">
      <c r="A65" s="449" t="s">
        <v>37</v>
      </c>
      <c r="B65" s="449" t="s">
        <v>364</v>
      </c>
      <c r="C65" s="449" t="s">
        <v>692</v>
      </c>
      <c r="D65" s="322" t="str">
        <f t="shared" ca="1" si="9"/>
        <v>P</v>
      </c>
      <c r="E65" s="322" t="str">
        <f t="shared" ca="1" si="10"/>
        <v>STORARI</v>
      </c>
      <c r="F65" s="322" t="str">
        <f t="shared" ca="1" si="11"/>
        <v>Milan</v>
      </c>
      <c r="G65" s="227" t="str">
        <f t="shared" ca="1" si="12"/>
        <v>D</v>
      </c>
      <c r="H65" s="227" t="str">
        <f t="shared" ca="1" si="13"/>
        <v>DANILO</v>
      </c>
      <c r="I65" s="227" t="str">
        <f t="shared" ca="1" si="14"/>
        <v>Udinese</v>
      </c>
      <c r="J65" s="227" t="str">
        <f t="shared" ca="1" si="15"/>
        <v>C</v>
      </c>
      <c r="K65" s="227" t="str">
        <f t="shared" ca="1" si="16"/>
        <v>DUNCAN</v>
      </c>
      <c r="L65" s="227" t="str">
        <f t="shared" ca="1" si="17"/>
        <v>Sassuolo</v>
      </c>
      <c r="M65" s="227" t="str">
        <f t="shared" ca="1" si="18"/>
        <v>A</v>
      </c>
      <c r="N65" s="227" t="str">
        <f t="shared" ca="1" si="19"/>
        <v>MEGGIORINI</v>
      </c>
      <c r="O65" s="227" t="str">
        <f t="shared" ca="1" si="20"/>
        <v>Chievo</v>
      </c>
      <c r="P65" s="227" t="str">
        <f t="shared" ca="1" si="21"/>
        <v/>
      </c>
      <c r="Q65" s="227" t="str">
        <f t="shared" ca="1" si="22"/>
        <v/>
      </c>
      <c r="R65" s="227" t="str">
        <f t="shared" ca="1" si="23"/>
        <v/>
      </c>
      <c r="T65" s="179">
        <f t="shared" ca="1" si="24"/>
        <v>482</v>
      </c>
      <c r="U65" s="179">
        <f t="shared" ca="1" si="30"/>
        <v>482</v>
      </c>
      <c r="V65" s="179">
        <f t="shared" ca="1" si="30"/>
        <v>482</v>
      </c>
      <c r="W65" s="179">
        <f t="shared" ca="1" si="1"/>
        <v>147</v>
      </c>
      <c r="X65" s="179">
        <f t="shared" ca="1" si="31"/>
        <v>147</v>
      </c>
      <c r="Y65" s="179">
        <f t="shared" ca="1" si="31"/>
        <v>147</v>
      </c>
      <c r="Z65" s="179">
        <f t="shared" ca="1" si="3"/>
        <v>177</v>
      </c>
      <c r="AA65" s="179">
        <f t="shared" ca="1" si="32"/>
        <v>177</v>
      </c>
      <c r="AB65" s="179">
        <f t="shared" ca="1" si="32"/>
        <v>177</v>
      </c>
      <c r="AC65" s="179">
        <f t="shared" ca="1" si="5"/>
        <v>336</v>
      </c>
      <c r="AD65" s="179">
        <f t="shared" ca="1" si="33"/>
        <v>336</v>
      </c>
      <c r="AE65" s="179">
        <f t="shared" ca="1" si="33"/>
        <v>336</v>
      </c>
      <c r="AF65" s="179" t="e">
        <f t="shared" ca="1" si="7"/>
        <v>#N/A</v>
      </c>
      <c r="AG65" s="179" t="e">
        <f t="shared" ca="1" si="34"/>
        <v>#N/A</v>
      </c>
      <c r="AH65" s="179" t="e">
        <f t="shared" ca="1" si="34"/>
        <v>#N/A</v>
      </c>
    </row>
    <row r="66" spans="1:34" ht="15.75" customHeight="1">
      <c r="A66" s="449" t="s">
        <v>37</v>
      </c>
      <c r="B66" s="449" t="s">
        <v>1337</v>
      </c>
      <c r="C66" s="449" t="s">
        <v>679</v>
      </c>
      <c r="D66" s="322" t="str">
        <f t="shared" ca="1" si="9"/>
        <v>P</v>
      </c>
      <c r="E66" s="322" t="str">
        <f t="shared" ca="1" si="10"/>
        <v>STRAKOSHA</v>
      </c>
      <c r="F66" s="322" t="str">
        <f t="shared" ca="1" si="11"/>
        <v>Lazio</v>
      </c>
      <c r="G66" s="227" t="str">
        <f t="shared" ca="1" si="12"/>
        <v>D</v>
      </c>
      <c r="H66" s="227" t="str">
        <f t="shared" ca="1" si="13"/>
        <v>DE MAIO</v>
      </c>
      <c r="I66" s="227" t="str">
        <f t="shared" ca="1" si="14"/>
        <v>Bologna</v>
      </c>
      <c r="J66" s="227" t="str">
        <f t="shared" ca="1" si="15"/>
        <v>C</v>
      </c>
      <c r="K66" s="227" t="str">
        <f t="shared" ca="1" si="16"/>
        <v>EWANDRO</v>
      </c>
      <c r="L66" s="227" t="str">
        <f t="shared" ca="1" si="17"/>
        <v>Udinese</v>
      </c>
      <c r="M66" s="227" t="str">
        <f t="shared" ca="1" si="18"/>
        <v>A</v>
      </c>
      <c r="N66" s="227" t="str">
        <f t="shared" ca="1" si="19"/>
        <v>MELCHIORRI</v>
      </c>
      <c r="O66" s="227" t="str">
        <f t="shared" ca="1" si="20"/>
        <v>Cagliari</v>
      </c>
      <c r="P66" s="227" t="str">
        <f t="shared" ca="1" si="21"/>
        <v/>
      </c>
      <c r="Q66" s="227" t="str">
        <f t="shared" ca="1" si="22"/>
        <v/>
      </c>
      <c r="R66" s="227" t="str">
        <f t="shared" ca="1" si="23"/>
        <v/>
      </c>
      <c r="T66" s="179">
        <f t="shared" ca="1" si="24"/>
        <v>483</v>
      </c>
      <c r="U66" s="179">
        <f t="shared" ca="1" si="30"/>
        <v>483</v>
      </c>
      <c r="V66" s="179">
        <f t="shared" ca="1" si="30"/>
        <v>483</v>
      </c>
      <c r="W66" s="179">
        <f t="shared" ca="1" si="1"/>
        <v>148</v>
      </c>
      <c r="X66" s="179">
        <f t="shared" ca="1" si="31"/>
        <v>148</v>
      </c>
      <c r="Y66" s="179">
        <f t="shared" ca="1" si="31"/>
        <v>148</v>
      </c>
      <c r="Z66" s="179">
        <f t="shared" ca="1" si="3"/>
        <v>184</v>
      </c>
      <c r="AA66" s="179">
        <f t="shared" ca="1" si="32"/>
        <v>184</v>
      </c>
      <c r="AB66" s="179">
        <f t="shared" ca="1" si="32"/>
        <v>184</v>
      </c>
      <c r="AC66" s="179">
        <f t="shared" ca="1" si="5"/>
        <v>338</v>
      </c>
      <c r="AD66" s="179">
        <f t="shared" ca="1" si="33"/>
        <v>338</v>
      </c>
      <c r="AE66" s="179">
        <f t="shared" ca="1" si="33"/>
        <v>338</v>
      </c>
      <c r="AF66" s="179" t="e">
        <f t="shared" ca="1" si="7"/>
        <v>#N/A</v>
      </c>
      <c r="AG66" s="179" t="e">
        <f t="shared" ca="1" si="34"/>
        <v>#N/A</v>
      </c>
      <c r="AH66" s="179" t="e">
        <f t="shared" ca="1" si="34"/>
        <v>#N/A</v>
      </c>
    </row>
    <row r="67" spans="1:34" ht="15.75" customHeight="1">
      <c r="A67" s="449" t="s">
        <v>39</v>
      </c>
      <c r="B67" s="449" t="s">
        <v>354</v>
      </c>
      <c r="C67" s="449" t="s">
        <v>680</v>
      </c>
      <c r="D67" s="322" t="str">
        <f t="shared" ca="1" si="9"/>
        <v>P</v>
      </c>
      <c r="E67" s="322" t="str">
        <f t="shared" ca="1" si="10"/>
        <v>SZCZESNY</v>
      </c>
      <c r="F67" s="322" t="str">
        <f t="shared" ca="1" si="11"/>
        <v>Juventus</v>
      </c>
      <c r="G67" s="227" t="str">
        <f t="shared" ca="1" si="12"/>
        <v>D</v>
      </c>
      <c r="H67" s="227" t="str">
        <f t="shared" ca="1" si="13"/>
        <v>DE SCIGLIO</v>
      </c>
      <c r="I67" s="227" t="str">
        <f t="shared" ca="1" si="14"/>
        <v>Juventus</v>
      </c>
      <c r="J67" s="227" t="str">
        <f t="shared" ca="1" si="15"/>
        <v>C</v>
      </c>
      <c r="K67" s="227" t="str">
        <f t="shared" ca="1" si="16"/>
        <v>EYSSERIC</v>
      </c>
      <c r="L67" s="227" t="str">
        <f t="shared" ca="1" si="17"/>
        <v>Fiorentina</v>
      </c>
      <c r="M67" s="227" t="str">
        <f t="shared" ca="1" si="18"/>
        <v>A</v>
      </c>
      <c r="N67" s="227" t="str">
        <f t="shared" ca="1" si="19"/>
        <v>MERTENS</v>
      </c>
      <c r="O67" s="227" t="str">
        <f t="shared" ca="1" si="20"/>
        <v>Napoli</v>
      </c>
      <c r="P67" s="227" t="str">
        <f t="shared" ca="1" si="21"/>
        <v/>
      </c>
      <c r="Q67" s="227" t="str">
        <f t="shared" ca="1" si="22"/>
        <v/>
      </c>
      <c r="R67" s="227" t="str">
        <f t="shared" ca="1" si="23"/>
        <v/>
      </c>
      <c r="T67" s="179">
        <f t="shared" ca="1" si="24"/>
        <v>490</v>
      </c>
      <c r="U67" s="179">
        <f t="shared" ca="1" si="30"/>
        <v>490</v>
      </c>
      <c r="V67" s="179">
        <f t="shared" ca="1" si="30"/>
        <v>490</v>
      </c>
      <c r="W67" s="179">
        <f t="shared" ca="1" si="1"/>
        <v>152</v>
      </c>
      <c r="X67" s="179">
        <f t="shared" ca="1" si="31"/>
        <v>152</v>
      </c>
      <c r="Y67" s="179">
        <f t="shared" ca="1" si="31"/>
        <v>152</v>
      </c>
      <c r="Z67" s="179">
        <f t="shared" ca="1" si="3"/>
        <v>185</v>
      </c>
      <c r="AA67" s="179">
        <f t="shared" ca="1" si="32"/>
        <v>185</v>
      </c>
      <c r="AB67" s="179">
        <f t="shared" ca="1" si="32"/>
        <v>185</v>
      </c>
      <c r="AC67" s="179">
        <f t="shared" ca="1" si="5"/>
        <v>342</v>
      </c>
      <c r="AD67" s="179">
        <f t="shared" ca="1" si="33"/>
        <v>342</v>
      </c>
      <c r="AE67" s="179">
        <f t="shared" ca="1" si="33"/>
        <v>342</v>
      </c>
      <c r="AF67" s="179" t="e">
        <f t="shared" ca="1" si="7"/>
        <v>#N/A</v>
      </c>
      <c r="AG67" s="179" t="e">
        <f t="shared" ca="1" si="34"/>
        <v>#N/A</v>
      </c>
      <c r="AH67" s="179" t="e">
        <f t="shared" ca="1" si="34"/>
        <v>#N/A</v>
      </c>
    </row>
    <row r="68" spans="1:34" ht="15.75" customHeight="1">
      <c r="A68" s="449" t="s">
        <v>35</v>
      </c>
      <c r="B68" s="449" t="s">
        <v>314</v>
      </c>
      <c r="C68" s="449" t="s">
        <v>684</v>
      </c>
      <c r="D68" s="322" t="str">
        <f t="shared" ca="1" si="9"/>
        <v>P</v>
      </c>
      <c r="E68" s="322" t="str">
        <f t="shared" ca="1" si="10"/>
        <v>TOZZO</v>
      </c>
      <c r="F68" s="322" t="str">
        <f t="shared" ca="1" si="11"/>
        <v>Sampdoria</v>
      </c>
      <c r="G68" s="227" t="str">
        <f t="shared" ca="1" si="12"/>
        <v>D</v>
      </c>
      <c r="H68" s="227" t="str">
        <f t="shared" ca="1" si="13"/>
        <v>DE SILVESTRI</v>
      </c>
      <c r="I68" s="227" t="str">
        <f t="shared" ca="1" si="14"/>
        <v>Torino</v>
      </c>
      <c r="J68" s="227" t="str">
        <f t="shared" ca="1" si="15"/>
        <v>C</v>
      </c>
      <c r="K68" s="227" t="str">
        <f t="shared" ca="1" si="16"/>
        <v>FALLETTI</v>
      </c>
      <c r="L68" s="227" t="str">
        <f t="shared" ca="1" si="17"/>
        <v>Bologna</v>
      </c>
      <c r="M68" s="227" t="str">
        <f t="shared" ca="1" si="18"/>
        <v>A</v>
      </c>
      <c r="N68" s="227" t="str">
        <f t="shared" ca="1" si="19"/>
        <v>MILIK</v>
      </c>
      <c r="O68" s="227" t="str">
        <f t="shared" ca="1" si="20"/>
        <v>Napoli</v>
      </c>
      <c r="P68" s="227" t="str">
        <f t="shared" ca="1" si="21"/>
        <v/>
      </c>
      <c r="Q68" s="227" t="str">
        <f t="shared" ca="1" si="22"/>
        <v/>
      </c>
      <c r="R68" s="227" t="str">
        <f t="shared" ca="1" si="23"/>
        <v/>
      </c>
      <c r="T68" s="179">
        <f t="shared" ca="1" si="24"/>
        <v>501</v>
      </c>
      <c r="U68" s="179">
        <f t="shared" ca="1" si="30"/>
        <v>501</v>
      </c>
      <c r="V68" s="179">
        <f t="shared" ca="1" si="30"/>
        <v>501</v>
      </c>
      <c r="W68" s="179">
        <f t="shared" ca="1" si="1"/>
        <v>153</v>
      </c>
      <c r="X68" s="179">
        <f t="shared" ca="1" si="31"/>
        <v>153</v>
      </c>
      <c r="Y68" s="179">
        <f t="shared" ca="1" si="31"/>
        <v>153</v>
      </c>
      <c r="Z68" s="179">
        <f t="shared" ca="1" si="3"/>
        <v>187</v>
      </c>
      <c r="AA68" s="179">
        <f t="shared" ca="1" si="32"/>
        <v>187</v>
      </c>
      <c r="AB68" s="179">
        <f t="shared" ca="1" si="32"/>
        <v>187</v>
      </c>
      <c r="AC68" s="179">
        <f t="shared" ca="1" si="5"/>
        <v>348</v>
      </c>
      <c r="AD68" s="179">
        <f t="shared" ca="1" si="33"/>
        <v>348</v>
      </c>
      <c r="AE68" s="179">
        <f t="shared" ca="1" si="33"/>
        <v>348</v>
      </c>
      <c r="AF68" s="179" t="e">
        <f t="shared" ca="1" si="7"/>
        <v>#N/A</v>
      </c>
      <c r="AG68" s="179" t="e">
        <f t="shared" ca="1" si="34"/>
        <v>#N/A</v>
      </c>
      <c r="AH68" s="179" t="e">
        <f t="shared" ca="1" si="34"/>
        <v>#N/A</v>
      </c>
    </row>
    <row r="69" spans="1:34" ht="15.75" customHeight="1">
      <c r="A69" s="449" t="s">
        <v>37</v>
      </c>
      <c r="B69" s="449" t="s">
        <v>1719</v>
      </c>
      <c r="C69" s="449" t="s">
        <v>684</v>
      </c>
      <c r="D69" s="322" t="str">
        <f t="shared" ca="1" si="9"/>
        <v>P</v>
      </c>
      <c r="E69" s="322" t="str">
        <f t="shared" ca="1" si="10"/>
        <v>VARGIC</v>
      </c>
      <c r="F69" s="322" t="str">
        <f t="shared" ca="1" si="11"/>
        <v>Lazio</v>
      </c>
      <c r="G69" s="227" t="str">
        <f t="shared" ca="1" si="12"/>
        <v>D</v>
      </c>
      <c r="H69" s="227" t="str">
        <f t="shared" ca="1" si="13"/>
        <v>DE VRIJ</v>
      </c>
      <c r="I69" s="227" t="str">
        <f t="shared" ca="1" si="14"/>
        <v>Lazio</v>
      </c>
      <c r="J69" s="227" t="str">
        <f t="shared" ca="1" si="15"/>
        <v>C</v>
      </c>
      <c r="K69" s="227" t="str">
        <f t="shared" ca="1" si="16"/>
        <v>FARAGO'</v>
      </c>
      <c r="L69" s="227" t="str">
        <f t="shared" ca="1" si="17"/>
        <v>Cagliari</v>
      </c>
      <c r="M69" s="227" t="str">
        <f t="shared" ca="1" si="18"/>
        <v>A</v>
      </c>
      <c r="N69" s="227" t="str">
        <f t="shared" ca="1" si="19"/>
        <v>NANI</v>
      </c>
      <c r="O69" s="227" t="str">
        <f t="shared" ca="1" si="20"/>
        <v>Lazio</v>
      </c>
      <c r="P69" s="227" t="str">
        <f t="shared" ca="1" si="21"/>
        <v/>
      </c>
      <c r="Q69" s="227" t="str">
        <f t="shared" ca="1" si="22"/>
        <v/>
      </c>
      <c r="R69" s="227" t="str">
        <f t="shared" ca="1" si="23"/>
        <v/>
      </c>
      <c r="T69" s="179">
        <f t="shared" ca="1" si="24"/>
        <v>511</v>
      </c>
      <c r="U69" s="179">
        <f t="shared" ref="U69:V88" ca="1" si="35">T69</f>
        <v>511</v>
      </c>
      <c r="V69" s="179">
        <f t="shared" ca="1" si="35"/>
        <v>511</v>
      </c>
      <c r="W69" s="179">
        <f t="shared" ca="1" si="1"/>
        <v>154</v>
      </c>
      <c r="X69" s="179">
        <f t="shared" ref="X69:Y88" ca="1" si="36">W69</f>
        <v>154</v>
      </c>
      <c r="Y69" s="179">
        <f t="shared" ca="1" si="36"/>
        <v>154</v>
      </c>
      <c r="Z69" s="179">
        <f t="shared" ca="1" si="3"/>
        <v>188</v>
      </c>
      <c r="AA69" s="179">
        <f t="shared" ref="AA69:AB88" ca="1" si="37">Z69</f>
        <v>188</v>
      </c>
      <c r="AB69" s="179">
        <f t="shared" ca="1" si="37"/>
        <v>188</v>
      </c>
      <c r="AC69" s="179">
        <f t="shared" ca="1" si="5"/>
        <v>365</v>
      </c>
      <c r="AD69" s="179">
        <f t="shared" ref="AD69:AE88" ca="1" si="38">AC69</f>
        <v>365</v>
      </c>
      <c r="AE69" s="179">
        <f t="shared" ca="1" si="38"/>
        <v>365</v>
      </c>
      <c r="AF69" s="179" t="e">
        <f t="shared" ca="1" si="7"/>
        <v>#N/A</v>
      </c>
      <c r="AG69" s="179" t="e">
        <f t="shared" ref="AG69:AH88" ca="1" si="39">AF69</f>
        <v>#N/A</v>
      </c>
      <c r="AH69" s="179" t="e">
        <f t="shared" ca="1" si="39"/>
        <v>#N/A</v>
      </c>
    </row>
    <row r="70" spans="1:34" ht="15.75" customHeight="1">
      <c r="A70" s="449" t="s">
        <v>39</v>
      </c>
      <c r="B70" s="449" t="s">
        <v>357</v>
      </c>
      <c r="C70" s="449" t="s">
        <v>678</v>
      </c>
      <c r="D70" s="322" t="str">
        <f ca="1">IF(ISNA(T70),"",INDIRECT("A" &amp; T70))</f>
        <v>P</v>
      </c>
      <c r="E70" s="322" t="str">
        <f ca="1">IF(ISNA(U70),"",INDIRECT("B" &amp; U70))</f>
        <v>VISCOVO</v>
      </c>
      <c r="F70" s="322" t="str">
        <f ca="1">IF(ISNA(V70),"",INDIRECT("C" &amp; V70))</f>
        <v>Crotone</v>
      </c>
      <c r="G70" s="227" t="str">
        <f t="shared" ca="1" si="12"/>
        <v>D</v>
      </c>
      <c r="H70" s="227" t="str">
        <f t="shared" ca="1" si="13"/>
        <v>DELLA GIOVANNA</v>
      </c>
      <c r="I70" s="227" t="str">
        <f t="shared" ca="1" si="14"/>
        <v>SPAL</v>
      </c>
      <c r="J70" s="227" t="str">
        <f t="shared" ca="1" si="15"/>
        <v>C</v>
      </c>
      <c r="K70" s="227" t="str">
        <f t="shared" ca="1" si="16"/>
        <v>FARES</v>
      </c>
      <c r="L70" s="227" t="str">
        <f t="shared" ca="1" si="17"/>
        <v>Verona</v>
      </c>
      <c r="M70" s="227" t="str">
        <f t="shared" ca="1" si="18"/>
        <v>A</v>
      </c>
      <c r="N70" s="227" t="str">
        <f t="shared" ca="1" si="19"/>
        <v>NIANG</v>
      </c>
      <c r="O70" s="227" t="str">
        <f t="shared" ca="1" si="20"/>
        <v>Torino</v>
      </c>
      <c r="P70" s="227" t="str">
        <f t="shared" ca="1" si="21"/>
        <v/>
      </c>
      <c r="Q70" s="227" t="str">
        <f t="shared" ca="1" si="22"/>
        <v/>
      </c>
      <c r="R70" s="227" t="str">
        <f t="shared" ca="1" si="23"/>
        <v/>
      </c>
      <c r="T70" s="179">
        <f t="shared" ca="1" si="24"/>
        <v>521</v>
      </c>
      <c r="U70" s="179">
        <f t="shared" ca="1" si="35"/>
        <v>521</v>
      </c>
      <c r="V70" s="179">
        <f t="shared" ca="1" si="35"/>
        <v>521</v>
      </c>
      <c r="W70" s="179">
        <f t="shared" ca="1" si="1"/>
        <v>158</v>
      </c>
      <c r="X70" s="179">
        <f t="shared" ca="1" si="36"/>
        <v>158</v>
      </c>
      <c r="Y70" s="179">
        <f t="shared" ca="1" si="36"/>
        <v>158</v>
      </c>
      <c r="Z70" s="179">
        <f t="shared" ca="1" si="3"/>
        <v>190</v>
      </c>
      <c r="AA70" s="179">
        <f t="shared" ca="1" si="37"/>
        <v>190</v>
      </c>
      <c r="AB70" s="179">
        <f t="shared" ca="1" si="37"/>
        <v>190</v>
      </c>
      <c r="AC70" s="179">
        <f t="shared" ca="1" si="5"/>
        <v>366</v>
      </c>
      <c r="AD70" s="179">
        <f t="shared" ca="1" si="38"/>
        <v>366</v>
      </c>
      <c r="AE70" s="179">
        <f t="shared" ca="1" si="38"/>
        <v>366</v>
      </c>
      <c r="AF70" s="179" t="e">
        <f t="shared" ca="1" si="7"/>
        <v>#N/A</v>
      </c>
      <c r="AG70" s="179" t="e">
        <f t="shared" ca="1" si="39"/>
        <v>#N/A</v>
      </c>
      <c r="AH70" s="179" t="e">
        <f t="shared" ca="1" si="39"/>
        <v>#N/A</v>
      </c>
    </row>
    <row r="71" spans="1:34" ht="15.75" customHeight="1">
      <c r="A71" s="449" t="s">
        <v>43</v>
      </c>
      <c r="B71" s="449" t="s">
        <v>1801</v>
      </c>
      <c r="C71" s="449" t="s">
        <v>1477</v>
      </c>
      <c r="D71" s="322" t="str">
        <f t="shared" ref="D71:D80" ca="1" si="40">IF(ISNA(T71),"",INDIRECT("A" &amp; T71))</f>
        <v>P</v>
      </c>
      <c r="E71" s="322" t="str">
        <f t="shared" ref="E71:E80" ca="1" si="41">IF(ISNA(U71),"",INDIRECT("B" &amp; U71))</f>
        <v>VIVIANO</v>
      </c>
      <c r="F71" s="322" t="str">
        <f t="shared" ref="F71:F80" ca="1" si="42">IF(ISNA(V71),"",INDIRECT("C" &amp; V71))</f>
        <v>Sampdoria</v>
      </c>
      <c r="G71" s="227" t="str">
        <f t="shared" ca="1" si="12"/>
        <v>D</v>
      </c>
      <c r="H71" s="227" t="str">
        <f t="shared" ca="1" si="13"/>
        <v>DELL'ORCO</v>
      </c>
      <c r="I71" s="227" t="str">
        <f t="shared" ca="1" si="14"/>
        <v>Sassuolo</v>
      </c>
      <c r="J71" s="227" t="str">
        <f t="shared" ca="1" si="15"/>
        <v>C</v>
      </c>
      <c r="K71" s="227" t="str">
        <f t="shared" ca="1" si="16"/>
        <v>FELIPE ANDERSON</v>
      </c>
      <c r="L71" s="227" t="str">
        <f t="shared" ca="1" si="17"/>
        <v>Lazio</v>
      </c>
      <c r="M71" s="227" t="str">
        <f t="shared" ca="1" si="18"/>
        <v>A</v>
      </c>
      <c r="N71" s="227" t="str">
        <f t="shared" ca="1" si="19"/>
        <v>OKWONKWO</v>
      </c>
      <c r="O71" s="227" t="str">
        <f t="shared" ca="1" si="20"/>
        <v>Bologna</v>
      </c>
      <c r="P71" s="227" t="str">
        <f t="shared" ca="1" si="21"/>
        <v/>
      </c>
      <c r="Q71" s="227" t="str">
        <f t="shared" ca="1" si="22"/>
        <v/>
      </c>
      <c r="R71" s="227" t="str">
        <f t="shared" ca="1" si="23"/>
        <v/>
      </c>
      <c r="T71" s="179">
        <f t="shared" ca="1" si="24"/>
        <v>525</v>
      </c>
      <c r="U71" s="179">
        <f t="shared" ca="1" si="35"/>
        <v>525</v>
      </c>
      <c r="V71" s="179">
        <f t="shared" ca="1" si="35"/>
        <v>525</v>
      </c>
      <c r="W71" s="179">
        <f t="shared" ca="1" si="1"/>
        <v>159</v>
      </c>
      <c r="X71" s="179">
        <f t="shared" ca="1" si="36"/>
        <v>159</v>
      </c>
      <c r="Y71" s="179">
        <f t="shared" ca="1" si="36"/>
        <v>159</v>
      </c>
      <c r="Z71" s="179">
        <f t="shared" ca="1" si="3"/>
        <v>195</v>
      </c>
      <c r="AA71" s="179">
        <f t="shared" ca="1" si="37"/>
        <v>195</v>
      </c>
      <c r="AB71" s="179">
        <f t="shared" ca="1" si="37"/>
        <v>195</v>
      </c>
      <c r="AC71" s="179">
        <f t="shared" ca="1" si="5"/>
        <v>372</v>
      </c>
      <c r="AD71" s="179">
        <f t="shared" ca="1" si="38"/>
        <v>372</v>
      </c>
      <c r="AE71" s="179">
        <f t="shared" ca="1" si="38"/>
        <v>372</v>
      </c>
      <c r="AF71" s="179" t="e">
        <f t="shared" ca="1" si="7"/>
        <v>#N/A</v>
      </c>
      <c r="AG71" s="179" t="e">
        <f t="shared" ca="1" si="39"/>
        <v>#N/A</v>
      </c>
      <c r="AH71" s="179" t="e">
        <f t="shared" ca="1" si="39"/>
        <v>#N/A</v>
      </c>
    </row>
    <row r="72" spans="1:34" ht="15.75" customHeight="1">
      <c r="A72" s="449" t="s">
        <v>37</v>
      </c>
      <c r="B72" s="449" t="s">
        <v>1714</v>
      </c>
      <c r="C72" s="449" t="s">
        <v>687</v>
      </c>
      <c r="D72" s="322" t="str">
        <f t="shared" ca="1" si="40"/>
        <v>P</v>
      </c>
      <c r="E72" s="322" t="str">
        <f t="shared" ca="1" si="41"/>
        <v>ZIMA</v>
      </c>
      <c r="F72" s="322" t="str">
        <f t="shared" ca="1" si="42"/>
        <v>Genoa</v>
      </c>
      <c r="G72" s="227" t="str">
        <f t="shared" ca="1" si="12"/>
        <v>D</v>
      </c>
      <c r="H72" s="227" t="str">
        <f t="shared" ca="1" si="13"/>
        <v>DEPAOLI</v>
      </c>
      <c r="I72" s="227" t="str">
        <f t="shared" ca="1" si="14"/>
        <v>Chievo</v>
      </c>
      <c r="J72" s="227" t="str">
        <f t="shared" ca="1" si="15"/>
        <v>C</v>
      </c>
      <c r="K72" s="227" t="str">
        <f t="shared" ca="1" si="16"/>
        <v>FERNANDEZ M</v>
      </c>
      <c r="L72" s="227" t="str">
        <f t="shared" ca="1" si="17"/>
        <v>Fiorentina</v>
      </c>
      <c r="M72" s="227" t="str">
        <f t="shared" ca="1" si="18"/>
        <v>A</v>
      </c>
      <c r="N72" s="227" t="str">
        <f t="shared" ca="1" si="19"/>
        <v>ORSOLINI</v>
      </c>
      <c r="O72" s="227" t="str">
        <f t="shared" ca="1" si="20"/>
        <v>Atalanta</v>
      </c>
      <c r="P72" s="227" t="str">
        <f t="shared" ca="1" si="21"/>
        <v/>
      </c>
      <c r="Q72" s="227" t="str">
        <f t="shared" ca="1" si="22"/>
        <v/>
      </c>
      <c r="R72" s="227" t="str">
        <f t="shared" ca="1" si="23"/>
        <v/>
      </c>
      <c r="T72" s="179">
        <f t="shared" ca="1" si="24"/>
        <v>534</v>
      </c>
      <c r="U72" s="179">
        <f t="shared" ca="1" si="35"/>
        <v>534</v>
      </c>
      <c r="V72" s="179">
        <f t="shared" ca="1" si="35"/>
        <v>534</v>
      </c>
      <c r="W72" s="179">
        <f t="shared" ca="1" si="1"/>
        <v>160</v>
      </c>
      <c r="X72" s="179">
        <f t="shared" ca="1" si="36"/>
        <v>160</v>
      </c>
      <c r="Y72" s="179">
        <f t="shared" ca="1" si="36"/>
        <v>160</v>
      </c>
      <c r="Z72" s="179">
        <f t="shared" ca="1" si="3"/>
        <v>196</v>
      </c>
      <c r="AA72" s="179">
        <f t="shared" ca="1" si="37"/>
        <v>196</v>
      </c>
      <c r="AB72" s="179">
        <f t="shared" ca="1" si="37"/>
        <v>196</v>
      </c>
      <c r="AC72" s="179">
        <f t="shared" ca="1" si="5"/>
        <v>375</v>
      </c>
      <c r="AD72" s="179">
        <f t="shared" ca="1" si="38"/>
        <v>375</v>
      </c>
      <c r="AE72" s="179">
        <f t="shared" ca="1" si="38"/>
        <v>375</v>
      </c>
      <c r="AF72" s="179" t="e">
        <f t="shared" ca="1" si="7"/>
        <v>#N/A</v>
      </c>
      <c r="AG72" s="179" t="e">
        <f t="shared" ca="1" si="39"/>
        <v>#N/A</v>
      </c>
      <c r="AH72" s="179" t="e">
        <f t="shared" ca="1" si="39"/>
        <v>#N/A</v>
      </c>
    </row>
    <row r="73" spans="1:34" ht="15.75" customHeight="1">
      <c r="A73" s="449" t="s">
        <v>37</v>
      </c>
      <c r="B73" s="449" t="s">
        <v>371</v>
      </c>
      <c r="C73" s="449" t="s">
        <v>678</v>
      </c>
      <c r="D73" s="322" t="str">
        <f t="shared" ca="1" si="40"/>
        <v/>
      </c>
      <c r="E73" s="322" t="str">
        <f t="shared" ca="1" si="41"/>
        <v/>
      </c>
      <c r="F73" s="322" t="str">
        <f t="shared" ca="1" si="42"/>
        <v/>
      </c>
      <c r="G73" s="227" t="str">
        <f t="shared" ca="1" si="12"/>
        <v>D</v>
      </c>
      <c r="H73" s="227" t="str">
        <f t="shared" ca="1" si="13"/>
        <v>DI CHIARA</v>
      </c>
      <c r="I73" s="227" t="str">
        <f t="shared" ca="1" si="14"/>
        <v>Benevento</v>
      </c>
      <c r="J73" s="227" t="str">
        <f t="shared" ca="1" si="15"/>
        <v>C</v>
      </c>
      <c r="K73" s="227" t="str">
        <f t="shared" ca="1" si="16"/>
        <v>FOFANA</v>
      </c>
      <c r="L73" s="227" t="str">
        <f t="shared" ca="1" si="17"/>
        <v>Udinese</v>
      </c>
      <c r="M73" s="227" t="str">
        <f t="shared" ca="1" si="18"/>
        <v>A</v>
      </c>
      <c r="N73" s="227" t="str">
        <f t="shared" ca="1" si="19"/>
        <v>OUNAS</v>
      </c>
      <c r="O73" s="227" t="str">
        <f t="shared" ca="1" si="20"/>
        <v>Napoli</v>
      </c>
      <c r="P73" s="227" t="str">
        <f t="shared" ca="1" si="21"/>
        <v/>
      </c>
      <c r="Q73" s="227" t="str">
        <f t="shared" ca="1" si="22"/>
        <v/>
      </c>
      <c r="R73" s="227" t="str">
        <f t="shared" ca="1" si="23"/>
        <v/>
      </c>
      <c r="T73" s="179" t="e">
        <f t="shared" ca="1" si="24"/>
        <v>#N/A</v>
      </c>
      <c r="U73" s="179" t="e">
        <f t="shared" ca="1" si="35"/>
        <v>#N/A</v>
      </c>
      <c r="V73" s="179" t="e">
        <f t="shared" ca="1" si="35"/>
        <v>#N/A</v>
      </c>
      <c r="W73" s="179">
        <f t="shared" ref="W73:W136" ca="1" si="43">W72+MATCH(W$7,INDIRECT("$A"&amp;W72+1&amp;":$A$1000"),0)</f>
        <v>163</v>
      </c>
      <c r="X73" s="179">
        <f t="shared" ca="1" si="36"/>
        <v>163</v>
      </c>
      <c r="Y73" s="179">
        <f t="shared" ca="1" si="36"/>
        <v>163</v>
      </c>
      <c r="Z73" s="179">
        <f t="shared" ref="Z73:Z136" ca="1" si="44">Z72+MATCH(Z$7,INDIRECT("$A"&amp;Z72+1&amp;":$A$1000"),0)</f>
        <v>202</v>
      </c>
      <c r="AA73" s="179">
        <f t="shared" ca="1" si="37"/>
        <v>202</v>
      </c>
      <c r="AB73" s="179">
        <f t="shared" ca="1" si="37"/>
        <v>202</v>
      </c>
      <c r="AC73" s="179">
        <f t="shared" ref="AC73:AC136" ca="1" si="45">AC72+MATCH(AC$7,INDIRECT("$A"&amp;AC72+1&amp;":$A$1000"),0)</f>
        <v>376</v>
      </c>
      <c r="AD73" s="179">
        <f t="shared" ca="1" si="38"/>
        <v>376</v>
      </c>
      <c r="AE73" s="179">
        <f t="shared" ca="1" si="38"/>
        <v>376</v>
      </c>
      <c r="AF73" s="179" t="e">
        <f t="shared" ref="AF73:AF136" ca="1" si="46">AF72+MATCH(AF$7,INDIRECT("$A"&amp;AF72+1&amp;":$A$1000"),0)</f>
        <v>#N/A</v>
      </c>
      <c r="AG73" s="179" t="e">
        <f t="shared" ca="1" si="39"/>
        <v>#N/A</v>
      </c>
      <c r="AH73" s="179" t="e">
        <f t="shared" ca="1" si="39"/>
        <v>#N/A</v>
      </c>
    </row>
    <row r="74" spans="1:34" ht="15.75" customHeight="1">
      <c r="A74" s="449" t="s">
        <v>43</v>
      </c>
      <c r="B74" s="449" t="s">
        <v>1783</v>
      </c>
      <c r="C74" s="449" t="s">
        <v>678</v>
      </c>
      <c r="D74" s="322" t="str">
        <f t="shared" ca="1" si="40"/>
        <v/>
      </c>
      <c r="E74" s="322" t="str">
        <f t="shared" ca="1" si="41"/>
        <v/>
      </c>
      <c r="F74" s="322" t="str">
        <f t="shared" ca="1" si="42"/>
        <v/>
      </c>
      <c r="G74" s="227" t="str">
        <f t="shared" ref="G74:G137" ca="1" si="47">IF(ISNA(W74),"",INDIRECT("A" &amp; W74))</f>
        <v>D</v>
      </c>
      <c r="H74" s="227" t="str">
        <f t="shared" ref="H74:H137" ca="1" si="48">IF(ISNA(X74),"",INDIRECT("B" &amp; X74))</f>
        <v>DJIMSITI</v>
      </c>
      <c r="I74" s="227" t="str">
        <f t="shared" ref="I74:I137" ca="1" si="49">IF(ISNA(Y74),"",INDIRECT("C" &amp; Y74))</f>
        <v>Benevento</v>
      </c>
      <c r="J74" s="227" t="str">
        <f t="shared" ref="J74:J137" ca="1" si="50">IF(ISNA(Z74),"",INDIRECT("A" &amp; Z74))</f>
        <v>C</v>
      </c>
      <c r="K74" s="227" t="str">
        <f t="shared" ref="K74:K137" ca="1" si="51">IF(ISNA(AA74),"",INDIRECT("B" &amp; AA74))</f>
        <v>FOSSATI</v>
      </c>
      <c r="L74" s="227" t="str">
        <f t="shared" ref="L74:L137" ca="1" si="52">IF(ISNA(AB74),"",INDIRECT("C" &amp; AB74))</f>
        <v>Verona</v>
      </c>
      <c r="M74" s="227" t="str">
        <f t="shared" ref="M74:M116" ca="1" si="53">IF(ISNA(AC74),"",INDIRECT("A" &amp; AC74))</f>
        <v>A</v>
      </c>
      <c r="N74" s="227" t="str">
        <f t="shared" ref="N74:N116" ca="1" si="54">IF(ISNA(AD74),"",INDIRECT("B" &amp; AD74))</f>
        <v>PALACIO</v>
      </c>
      <c r="O74" s="227" t="str">
        <f t="shared" ref="O74:O116" ca="1" si="55">IF(ISNA(AE74),"",INDIRECT("C" &amp; AE74))</f>
        <v>Bologna</v>
      </c>
      <c r="P74" s="227" t="str">
        <f t="shared" ref="P74:P137" ca="1" si="56">IF(ISNA(AF74),"",INDIRECT("A" &amp; AF74))</f>
        <v/>
      </c>
      <c r="Q74" s="227" t="str">
        <f t="shared" ref="Q74:Q137" ca="1" si="57">IF(ISNA(AG74),"",INDIRECT("B" &amp; AG74))</f>
        <v/>
      </c>
      <c r="R74" s="227" t="str">
        <f t="shared" ref="R74:R137" ca="1" si="58">IF(ISNA(AH74),"",INDIRECT("C" &amp; AH74))</f>
        <v/>
      </c>
      <c r="T74" s="179" t="e">
        <f t="shared" ref="T74:T137" ca="1" si="59">T73+MATCH($T$7,INDIRECT("$A"&amp;T73+1&amp;":$A$1000"),0)</f>
        <v>#N/A</v>
      </c>
      <c r="U74" s="179" t="e">
        <f t="shared" ca="1" si="35"/>
        <v>#N/A</v>
      </c>
      <c r="V74" s="179" t="e">
        <f t="shared" ca="1" si="35"/>
        <v>#N/A</v>
      </c>
      <c r="W74" s="179">
        <f t="shared" ca="1" si="43"/>
        <v>167</v>
      </c>
      <c r="X74" s="179">
        <f t="shared" ca="1" si="36"/>
        <v>167</v>
      </c>
      <c r="Y74" s="179">
        <f t="shared" ca="1" si="36"/>
        <v>167</v>
      </c>
      <c r="Z74" s="179">
        <f t="shared" ca="1" si="44"/>
        <v>203</v>
      </c>
      <c r="AA74" s="179">
        <f t="shared" ca="1" si="37"/>
        <v>203</v>
      </c>
      <c r="AB74" s="179">
        <f t="shared" ca="1" si="37"/>
        <v>203</v>
      </c>
      <c r="AC74" s="179">
        <f t="shared" ca="1" si="45"/>
        <v>379</v>
      </c>
      <c r="AD74" s="179">
        <f t="shared" ca="1" si="38"/>
        <v>379</v>
      </c>
      <c r="AE74" s="179">
        <f t="shared" ca="1" si="38"/>
        <v>379</v>
      </c>
      <c r="AF74" s="179" t="e">
        <f t="shared" ca="1" si="46"/>
        <v>#N/A</v>
      </c>
      <c r="AG74" s="179" t="e">
        <f t="shared" ca="1" si="39"/>
        <v>#N/A</v>
      </c>
      <c r="AH74" s="179" t="e">
        <f t="shared" ca="1" si="39"/>
        <v>#N/A</v>
      </c>
    </row>
    <row r="75" spans="1:34" ht="15.75" customHeight="1">
      <c r="A75" s="449" t="s">
        <v>39</v>
      </c>
      <c r="B75" s="449" t="s">
        <v>361</v>
      </c>
      <c r="C75" s="449" t="s">
        <v>677</v>
      </c>
      <c r="D75" s="322" t="str">
        <f t="shared" ca="1" si="40"/>
        <v/>
      </c>
      <c r="E75" s="322" t="str">
        <f t="shared" ca="1" si="41"/>
        <v/>
      </c>
      <c r="F75" s="322" t="str">
        <f t="shared" ca="1" si="42"/>
        <v/>
      </c>
      <c r="G75" s="227" t="str">
        <f t="shared" ca="1" si="47"/>
        <v>D</v>
      </c>
      <c r="H75" s="227" t="str">
        <f t="shared" ca="1" si="48"/>
        <v>DODO'</v>
      </c>
      <c r="I75" s="227" t="str">
        <f t="shared" ca="1" si="49"/>
        <v>Sampdoria</v>
      </c>
      <c r="J75" s="227" t="str">
        <f t="shared" ca="1" si="50"/>
        <v>C</v>
      </c>
      <c r="K75" s="227" t="str">
        <f t="shared" ca="1" si="51"/>
        <v>FREULER</v>
      </c>
      <c r="L75" s="227" t="str">
        <f t="shared" ca="1" si="52"/>
        <v>Atalanta</v>
      </c>
      <c r="M75" s="227" t="str">
        <f t="shared" ca="1" si="53"/>
        <v>A</v>
      </c>
      <c r="N75" s="227" t="str">
        <f t="shared" ca="1" si="54"/>
        <v>PALLADINO</v>
      </c>
      <c r="O75" s="227" t="str">
        <f t="shared" ca="1" si="55"/>
        <v>Genoa</v>
      </c>
      <c r="P75" s="227" t="str">
        <f t="shared" ca="1" si="56"/>
        <v/>
      </c>
      <c r="Q75" s="227" t="str">
        <f t="shared" ca="1" si="57"/>
        <v/>
      </c>
      <c r="R75" s="227" t="str">
        <f t="shared" ca="1" si="58"/>
        <v/>
      </c>
      <c r="T75" s="179" t="e">
        <f t="shared" ca="1" si="59"/>
        <v>#N/A</v>
      </c>
      <c r="U75" s="179" t="e">
        <f t="shared" ca="1" si="35"/>
        <v>#N/A</v>
      </c>
      <c r="V75" s="179" t="e">
        <f t="shared" ca="1" si="35"/>
        <v>#N/A</v>
      </c>
      <c r="W75" s="179">
        <f t="shared" ca="1" si="43"/>
        <v>170</v>
      </c>
      <c r="X75" s="179">
        <f t="shared" ca="1" si="36"/>
        <v>170</v>
      </c>
      <c r="Y75" s="179">
        <f t="shared" ca="1" si="36"/>
        <v>170</v>
      </c>
      <c r="Z75" s="179">
        <f t="shared" ca="1" si="44"/>
        <v>204</v>
      </c>
      <c r="AA75" s="179">
        <f t="shared" ca="1" si="37"/>
        <v>204</v>
      </c>
      <c r="AB75" s="179">
        <f t="shared" ca="1" si="37"/>
        <v>204</v>
      </c>
      <c r="AC75" s="179">
        <f t="shared" ca="1" si="45"/>
        <v>381</v>
      </c>
      <c r="AD75" s="179">
        <f t="shared" ca="1" si="38"/>
        <v>381</v>
      </c>
      <c r="AE75" s="179">
        <f t="shared" ca="1" si="38"/>
        <v>381</v>
      </c>
      <c r="AF75" s="179" t="e">
        <f t="shared" ca="1" si="46"/>
        <v>#N/A</v>
      </c>
      <c r="AG75" s="179" t="e">
        <f t="shared" ca="1" si="39"/>
        <v>#N/A</v>
      </c>
      <c r="AH75" s="179" t="e">
        <f t="shared" ca="1" si="39"/>
        <v>#N/A</v>
      </c>
    </row>
    <row r="76" spans="1:34" ht="15.75" customHeight="1">
      <c r="A76" s="449" t="s">
        <v>43</v>
      </c>
      <c r="B76" s="449" t="s">
        <v>319</v>
      </c>
      <c r="C76" s="449" t="s">
        <v>1477</v>
      </c>
      <c r="D76" s="322" t="str">
        <f t="shared" ca="1" si="40"/>
        <v/>
      </c>
      <c r="E76" s="322" t="str">
        <f t="shared" ca="1" si="41"/>
        <v/>
      </c>
      <c r="F76" s="322" t="str">
        <f t="shared" ca="1" si="42"/>
        <v/>
      </c>
      <c r="G76" s="227" t="str">
        <f t="shared" ca="1" si="47"/>
        <v>D</v>
      </c>
      <c r="H76" s="227" t="str">
        <f t="shared" ca="1" si="48"/>
        <v>DRAME'</v>
      </c>
      <c r="I76" s="227" t="str">
        <f t="shared" ca="1" si="49"/>
        <v>Atalanta</v>
      </c>
      <c r="J76" s="227" t="str">
        <f t="shared" ca="1" si="50"/>
        <v>C</v>
      </c>
      <c r="K76" s="227" t="str">
        <f t="shared" ca="1" si="51"/>
        <v>GAGLIARDINI</v>
      </c>
      <c r="L76" s="227" t="str">
        <f t="shared" ca="1" si="52"/>
        <v>Inter</v>
      </c>
      <c r="M76" s="227" t="str">
        <f t="shared" ca="1" si="53"/>
        <v>A</v>
      </c>
      <c r="N76" s="227" t="str">
        <f t="shared" ca="1" si="54"/>
        <v>PALOMBI</v>
      </c>
      <c r="O76" s="227" t="str">
        <f t="shared" ca="1" si="55"/>
        <v>Lazio</v>
      </c>
      <c r="P76" s="227" t="str">
        <f t="shared" ca="1" si="56"/>
        <v/>
      </c>
      <c r="Q76" s="227" t="str">
        <f t="shared" ca="1" si="57"/>
        <v/>
      </c>
      <c r="R76" s="227" t="str">
        <f t="shared" ca="1" si="58"/>
        <v/>
      </c>
      <c r="T76" s="179" t="e">
        <f t="shared" ca="1" si="59"/>
        <v>#N/A</v>
      </c>
      <c r="U76" s="179" t="e">
        <f t="shared" ca="1" si="35"/>
        <v>#N/A</v>
      </c>
      <c r="V76" s="179" t="e">
        <f t="shared" ca="1" si="35"/>
        <v>#N/A</v>
      </c>
      <c r="W76" s="179">
        <f t="shared" ca="1" si="43"/>
        <v>176</v>
      </c>
      <c r="X76" s="179">
        <f t="shared" ca="1" si="36"/>
        <v>176</v>
      </c>
      <c r="Y76" s="179">
        <f t="shared" ca="1" si="36"/>
        <v>176</v>
      </c>
      <c r="Z76" s="179">
        <f t="shared" ca="1" si="44"/>
        <v>207</v>
      </c>
      <c r="AA76" s="179">
        <f t="shared" ca="1" si="37"/>
        <v>207</v>
      </c>
      <c r="AB76" s="179">
        <f t="shared" ca="1" si="37"/>
        <v>207</v>
      </c>
      <c r="AC76" s="179">
        <f t="shared" ca="1" si="45"/>
        <v>382</v>
      </c>
      <c r="AD76" s="179">
        <f t="shared" ca="1" si="38"/>
        <v>382</v>
      </c>
      <c r="AE76" s="179">
        <f t="shared" ca="1" si="38"/>
        <v>382</v>
      </c>
      <c r="AF76" s="179" t="e">
        <f t="shared" ca="1" si="46"/>
        <v>#N/A</v>
      </c>
      <c r="AG76" s="179" t="e">
        <f t="shared" ca="1" si="39"/>
        <v>#N/A</v>
      </c>
      <c r="AH76" s="179" t="e">
        <f t="shared" ca="1" si="39"/>
        <v>#N/A</v>
      </c>
    </row>
    <row r="77" spans="1:34" ht="15.75" customHeight="1">
      <c r="A77" s="449" t="s">
        <v>43</v>
      </c>
      <c r="B77" s="449" t="s">
        <v>1292</v>
      </c>
      <c r="C77" s="449" t="s">
        <v>687</v>
      </c>
      <c r="D77" s="322" t="str">
        <f t="shared" ca="1" si="40"/>
        <v/>
      </c>
      <c r="E77" s="322" t="str">
        <f t="shared" ca="1" si="41"/>
        <v/>
      </c>
      <c r="F77" s="322" t="str">
        <f t="shared" ca="1" si="42"/>
        <v/>
      </c>
      <c r="G77" s="227" t="str">
        <f t="shared" ca="1" si="47"/>
        <v>D</v>
      </c>
      <c r="H77" s="227" t="str">
        <f t="shared" ca="1" si="48"/>
        <v>EMERSON</v>
      </c>
      <c r="I77" s="227" t="str">
        <f t="shared" ca="1" si="49"/>
        <v>Roma</v>
      </c>
      <c r="J77" s="227" t="str">
        <f t="shared" ca="1" si="50"/>
        <v>C</v>
      </c>
      <c r="K77" s="227" t="str">
        <f t="shared" ca="1" si="51"/>
        <v>GARRITANO</v>
      </c>
      <c r="L77" s="227" t="str">
        <f t="shared" ca="1" si="52"/>
        <v>Chievo</v>
      </c>
      <c r="M77" s="227" t="str">
        <f t="shared" ca="1" si="53"/>
        <v>A</v>
      </c>
      <c r="N77" s="227" t="str">
        <f t="shared" ca="1" si="54"/>
        <v>PALOSCHI</v>
      </c>
      <c r="O77" s="227" t="str">
        <f t="shared" ca="1" si="55"/>
        <v>SPAL</v>
      </c>
      <c r="P77" s="227" t="str">
        <f t="shared" ca="1" si="56"/>
        <v/>
      </c>
      <c r="Q77" s="227" t="str">
        <f t="shared" ca="1" si="57"/>
        <v/>
      </c>
      <c r="R77" s="227" t="str">
        <f t="shared" ca="1" si="58"/>
        <v/>
      </c>
      <c r="T77" s="179" t="e">
        <f t="shared" ca="1" si="59"/>
        <v>#N/A</v>
      </c>
      <c r="U77" s="179" t="e">
        <f t="shared" ca="1" si="35"/>
        <v>#N/A</v>
      </c>
      <c r="V77" s="179" t="e">
        <f t="shared" ca="1" si="35"/>
        <v>#N/A</v>
      </c>
      <c r="W77" s="179">
        <f t="shared" ca="1" si="43"/>
        <v>183</v>
      </c>
      <c r="X77" s="179">
        <f t="shared" ca="1" si="36"/>
        <v>183</v>
      </c>
      <c r="Y77" s="179">
        <f t="shared" ca="1" si="36"/>
        <v>183</v>
      </c>
      <c r="Z77" s="179">
        <f t="shared" ca="1" si="44"/>
        <v>210</v>
      </c>
      <c r="AA77" s="179">
        <f t="shared" ca="1" si="37"/>
        <v>210</v>
      </c>
      <c r="AB77" s="179">
        <f t="shared" ca="1" si="37"/>
        <v>210</v>
      </c>
      <c r="AC77" s="179">
        <f t="shared" ca="1" si="45"/>
        <v>384</v>
      </c>
      <c r="AD77" s="179">
        <f t="shared" ca="1" si="38"/>
        <v>384</v>
      </c>
      <c r="AE77" s="179">
        <f t="shared" ca="1" si="38"/>
        <v>384</v>
      </c>
      <c r="AF77" s="179" t="e">
        <f t="shared" ca="1" si="46"/>
        <v>#N/A</v>
      </c>
      <c r="AG77" s="179" t="e">
        <f t="shared" ca="1" si="39"/>
        <v>#N/A</v>
      </c>
      <c r="AH77" s="179" t="e">
        <f t="shared" ca="1" si="39"/>
        <v>#N/A</v>
      </c>
    </row>
    <row r="78" spans="1:34" ht="15.75" customHeight="1">
      <c r="A78" s="449" t="s">
        <v>43</v>
      </c>
      <c r="B78" s="449" t="s">
        <v>1959</v>
      </c>
      <c r="C78" s="449" t="s">
        <v>1672</v>
      </c>
      <c r="D78" s="322" t="str">
        <f t="shared" ca="1" si="40"/>
        <v/>
      </c>
      <c r="E78" s="322" t="str">
        <f t="shared" ca="1" si="41"/>
        <v/>
      </c>
      <c r="F78" s="322" t="str">
        <f t="shared" ca="1" si="42"/>
        <v/>
      </c>
      <c r="G78" s="227" t="str">
        <f t="shared" ca="1" si="47"/>
        <v>D</v>
      </c>
      <c r="H78" s="227" t="str">
        <f t="shared" ca="1" si="48"/>
        <v>FARAONI</v>
      </c>
      <c r="I78" s="227" t="str">
        <f t="shared" ca="1" si="49"/>
        <v>Crotone</v>
      </c>
      <c r="J78" s="227" t="str">
        <f t="shared" ca="1" si="50"/>
        <v>C</v>
      </c>
      <c r="K78" s="227" t="str">
        <f t="shared" ca="1" si="51"/>
        <v>GAUDINO</v>
      </c>
      <c r="L78" s="227" t="str">
        <f t="shared" ca="1" si="52"/>
        <v>Chievo</v>
      </c>
      <c r="M78" s="227" t="str">
        <f t="shared" ca="1" si="53"/>
        <v>A</v>
      </c>
      <c r="N78" s="227" t="str">
        <f t="shared" ca="1" si="54"/>
        <v>PANDEV</v>
      </c>
      <c r="O78" s="227" t="str">
        <f t="shared" ca="1" si="55"/>
        <v>Genoa</v>
      </c>
      <c r="P78" s="227" t="str">
        <f t="shared" ca="1" si="56"/>
        <v/>
      </c>
      <c r="Q78" s="227" t="str">
        <f t="shared" ca="1" si="57"/>
        <v/>
      </c>
      <c r="R78" s="227" t="str">
        <f t="shared" ca="1" si="58"/>
        <v/>
      </c>
      <c r="T78" s="179" t="e">
        <f t="shared" ca="1" si="59"/>
        <v>#N/A</v>
      </c>
      <c r="U78" s="179" t="e">
        <f t="shared" ca="1" si="35"/>
        <v>#N/A</v>
      </c>
      <c r="V78" s="179" t="e">
        <f t="shared" ca="1" si="35"/>
        <v>#N/A</v>
      </c>
      <c r="W78" s="179">
        <f t="shared" ca="1" si="43"/>
        <v>189</v>
      </c>
      <c r="X78" s="179">
        <f t="shared" ca="1" si="36"/>
        <v>189</v>
      </c>
      <c r="Y78" s="179">
        <f t="shared" ca="1" si="36"/>
        <v>189</v>
      </c>
      <c r="Z78" s="179">
        <f t="shared" ca="1" si="44"/>
        <v>212</v>
      </c>
      <c r="AA78" s="179">
        <f t="shared" ca="1" si="37"/>
        <v>212</v>
      </c>
      <c r="AB78" s="179">
        <f t="shared" ca="1" si="37"/>
        <v>212</v>
      </c>
      <c r="AC78" s="179">
        <f t="shared" ca="1" si="45"/>
        <v>385</v>
      </c>
      <c r="AD78" s="179">
        <f t="shared" ca="1" si="38"/>
        <v>385</v>
      </c>
      <c r="AE78" s="179">
        <f t="shared" ca="1" si="38"/>
        <v>385</v>
      </c>
      <c r="AF78" s="179" t="e">
        <f t="shared" ca="1" si="46"/>
        <v>#N/A</v>
      </c>
      <c r="AG78" s="179" t="e">
        <f t="shared" ca="1" si="39"/>
        <v>#N/A</v>
      </c>
      <c r="AH78" s="179" t="e">
        <f t="shared" ca="1" si="39"/>
        <v>#N/A</v>
      </c>
    </row>
    <row r="79" spans="1:34" ht="15.75" customHeight="1">
      <c r="A79" s="449" t="s">
        <v>35</v>
      </c>
      <c r="B79" s="449" t="s">
        <v>1920</v>
      </c>
      <c r="C79" s="449" t="s">
        <v>1672</v>
      </c>
      <c r="D79" s="322" t="str">
        <f t="shared" ca="1" si="40"/>
        <v/>
      </c>
      <c r="E79" s="322" t="str">
        <f t="shared" ca="1" si="41"/>
        <v/>
      </c>
      <c r="F79" s="322" t="str">
        <f t="shared" ca="1" si="42"/>
        <v/>
      </c>
      <c r="G79" s="227" t="str">
        <f t="shared" ca="1" si="47"/>
        <v>D</v>
      </c>
      <c r="H79" s="227" t="str">
        <f t="shared" ca="1" si="48"/>
        <v>FAZIO</v>
      </c>
      <c r="I79" s="227" t="str">
        <f t="shared" ca="1" si="49"/>
        <v>Roma</v>
      </c>
      <c r="J79" s="227" t="str">
        <f t="shared" ca="1" si="50"/>
        <v>C</v>
      </c>
      <c r="K79" s="227" t="str">
        <f t="shared" ca="1" si="51"/>
        <v>GERSON</v>
      </c>
      <c r="L79" s="227" t="str">
        <f t="shared" ca="1" si="52"/>
        <v>Roma</v>
      </c>
      <c r="M79" s="227" t="str">
        <f t="shared" ca="1" si="53"/>
        <v>A</v>
      </c>
      <c r="N79" s="227" t="str">
        <f t="shared" ca="1" si="54"/>
        <v>PARIGINI</v>
      </c>
      <c r="O79" s="227" t="str">
        <f t="shared" ca="1" si="55"/>
        <v>Benevento</v>
      </c>
      <c r="P79" s="227" t="str">
        <f t="shared" ca="1" si="56"/>
        <v/>
      </c>
      <c r="Q79" s="227" t="str">
        <f t="shared" ca="1" si="57"/>
        <v/>
      </c>
      <c r="R79" s="227" t="str">
        <f t="shared" ca="1" si="58"/>
        <v/>
      </c>
      <c r="T79" s="179" t="e">
        <f t="shared" ca="1" si="59"/>
        <v>#N/A</v>
      </c>
      <c r="U79" s="179" t="e">
        <f t="shared" ca="1" si="35"/>
        <v>#N/A</v>
      </c>
      <c r="V79" s="179" t="e">
        <f t="shared" ca="1" si="35"/>
        <v>#N/A</v>
      </c>
      <c r="W79" s="179">
        <f t="shared" ca="1" si="43"/>
        <v>192</v>
      </c>
      <c r="X79" s="179">
        <f t="shared" ca="1" si="36"/>
        <v>192</v>
      </c>
      <c r="Y79" s="179">
        <f t="shared" ca="1" si="36"/>
        <v>192</v>
      </c>
      <c r="Z79" s="179">
        <f t="shared" ca="1" si="44"/>
        <v>215</v>
      </c>
      <c r="AA79" s="179">
        <f t="shared" ca="1" si="37"/>
        <v>215</v>
      </c>
      <c r="AB79" s="179">
        <f t="shared" ca="1" si="37"/>
        <v>215</v>
      </c>
      <c r="AC79" s="179">
        <f t="shared" ca="1" si="45"/>
        <v>386</v>
      </c>
      <c r="AD79" s="179">
        <f t="shared" ca="1" si="38"/>
        <v>386</v>
      </c>
      <c r="AE79" s="179">
        <f t="shared" ca="1" si="38"/>
        <v>386</v>
      </c>
      <c r="AF79" s="179" t="e">
        <f t="shared" ca="1" si="46"/>
        <v>#N/A</v>
      </c>
      <c r="AG79" s="179" t="e">
        <f t="shared" ca="1" si="39"/>
        <v>#N/A</v>
      </c>
      <c r="AH79" s="179" t="e">
        <f t="shared" ca="1" si="39"/>
        <v>#N/A</v>
      </c>
    </row>
    <row r="80" spans="1:34" ht="15.75" customHeight="1">
      <c r="A80" s="449" t="s">
        <v>39</v>
      </c>
      <c r="B80" s="449" t="s">
        <v>1956</v>
      </c>
      <c r="C80" s="449" t="s">
        <v>679</v>
      </c>
      <c r="D80" s="322" t="str">
        <f t="shared" ca="1" si="40"/>
        <v/>
      </c>
      <c r="E80" s="322" t="str">
        <f t="shared" ca="1" si="41"/>
        <v/>
      </c>
      <c r="F80" s="322" t="str">
        <f t="shared" ca="1" si="42"/>
        <v/>
      </c>
      <c r="G80" s="227" t="str">
        <f t="shared" ca="1" si="47"/>
        <v>D</v>
      </c>
      <c r="H80" s="227" t="str">
        <f t="shared" ca="1" si="48"/>
        <v>FELICIOLI</v>
      </c>
      <c r="I80" s="227" t="str">
        <f t="shared" ca="1" si="49"/>
        <v>Verona</v>
      </c>
      <c r="J80" s="227" t="str">
        <f t="shared" ca="1" si="50"/>
        <v>C</v>
      </c>
      <c r="K80" s="227" t="str">
        <f t="shared" ca="1" si="51"/>
        <v>GIACCHERINI</v>
      </c>
      <c r="L80" s="227" t="str">
        <f t="shared" ca="1" si="52"/>
        <v>Napoli</v>
      </c>
      <c r="M80" s="227" t="str">
        <f t="shared" ca="1" si="53"/>
        <v>A</v>
      </c>
      <c r="N80" s="227" t="str">
        <f t="shared" ca="1" si="54"/>
        <v>PAVOLETTI</v>
      </c>
      <c r="O80" s="227" t="str">
        <f t="shared" ca="1" si="55"/>
        <v>Cagliari</v>
      </c>
      <c r="P80" s="227" t="str">
        <f t="shared" ca="1" si="56"/>
        <v/>
      </c>
      <c r="Q80" s="227" t="str">
        <f t="shared" ca="1" si="57"/>
        <v/>
      </c>
      <c r="R80" s="227" t="str">
        <f t="shared" ca="1" si="58"/>
        <v/>
      </c>
      <c r="T80" s="179" t="e">
        <f t="shared" ca="1" si="59"/>
        <v>#N/A</v>
      </c>
      <c r="U80" s="179" t="e">
        <f t="shared" ca="1" si="35"/>
        <v>#N/A</v>
      </c>
      <c r="V80" s="179" t="e">
        <f t="shared" ca="1" si="35"/>
        <v>#N/A</v>
      </c>
      <c r="W80" s="179">
        <f t="shared" ca="1" si="43"/>
        <v>193</v>
      </c>
      <c r="X80" s="179">
        <f t="shared" ca="1" si="36"/>
        <v>193</v>
      </c>
      <c r="Y80" s="179">
        <f t="shared" ca="1" si="36"/>
        <v>193</v>
      </c>
      <c r="Z80" s="179">
        <f t="shared" ca="1" si="44"/>
        <v>217</v>
      </c>
      <c r="AA80" s="179">
        <f t="shared" ca="1" si="37"/>
        <v>217</v>
      </c>
      <c r="AB80" s="179">
        <f t="shared" ca="1" si="37"/>
        <v>217</v>
      </c>
      <c r="AC80" s="179">
        <f t="shared" ca="1" si="45"/>
        <v>390</v>
      </c>
      <c r="AD80" s="179">
        <f t="shared" ca="1" si="38"/>
        <v>390</v>
      </c>
      <c r="AE80" s="179">
        <f t="shared" ca="1" si="38"/>
        <v>390</v>
      </c>
      <c r="AF80" s="179" t="e">
        <f t="shared" ca="1" si="46"/>
        <v>#N/A</v>
      </c>
      <c r="AG80" s="179" t="e">
        <f t="shared" ca="1" si="39"/>
        <v>#N/A</v>
      </c>
      <c r="AH80" s="179" t="e">
        <f t="shared" ca="1" si="39"/>
        <v>#N/A</v>
      </c>
    </row>
    <row r="81" spans="1:34" ht="15.75" customHeight="1">
      <c r="A81" s="449" t="s">
        <v>39</v>
      </c>
      <c r="B81" s="449" t="s">
        <v>367</v>
      </c>
      <c r="C81" s="449" t="s">
        <v>677</v>
      </c>
      <c r="D81" s="322" t="str">
        <f t="shared" ref="D81:D144" ca="1" si="60">IF(ISNA(T81),"",INDIRECT("A" &amp; T81))</f>
        <v/>
      </c>
      <c r="E81" s="322" t="str">
        <f t="shared" ref="E81:E144" ca="1" si="61">IF(ISNA(U81),"",INDIRECT("B" &amp; U81))</f>
        <v/>
      </c>
      <c r="F81" s="322" t="str">
        <f t="shared" ref="F81:F144" ca="1" si="62">IF(ISNA(V81),"",INDIRECT("C" &amp; V81))</f>
        <v/>
      </c>
      <c r="G81" s="227" t="str">
        <f t="shared" ca="1" si="47"/>
        <v>D</v>
      </c>
      <c r="H81" s="227" t="str">
        <f t="shared" ca="1" si="48"/>
        <v>FELIPE</v>
      </c>
      <c r="I81" s="227" t="str">
        <f t="shared" ca="1" si="49"/>
        <v>SPAL</v>
      </c>
      <c r="J81" s="227" t="str">
        <f t="shared" ca="1" si="50"/>
        <v>C</v>
      </c>
      <c r="K81" s="227" t="str">
        <f t="shared" ca="1" si="51"/>
        <v>GIL DIAS</v>
      </c>
      <c r="L81" s="227" t="str">
        <f t="shared" ca="1" si="52"/>
        <v>Fiorentina</v>
      </c>
      <c r="M81" s="227" t="str">
        <f t="shared" ca="1" si="53"/>
        <v>A</v>
      </c>
      <c r="N81" s="227" t="str">
        <f t="shared" ca="1" si="54"/>
        <v>PAZZINI</v>
      </c>
      <c r="O81" s="227" t="str">
        <f t="shared" ca="1" si="55"/>
        <v>Verona</v>
      </c>
      <c r="P81" s="227" t="str">
        <f t="shared" ca="1" si="56"/>
        <v/>
      </c>
      <c r="Q81" s="227" t="str">
        <f t="shared" ca="1" si="57"/>
        <v/>
      </c>
      <c r="R81" s="227" t="str">
        <f t="shared" ca="1" si="58"/>
        <v/>
      </c>
      <c r="T81" s="179" t="e">
        <f t="shared" ca="1" si="59"/>
        <v>#N/A</v>
      </c>
      <c r="U81" s="179" t="e">
        <f t="shared" ca="1" si="35"/>
        <v>#N/A</v>
      </c>
      <c r="V81" s="179" t="e">
        <f t="shared" ca="1" si="35"/>
        <v>#N/A</v>
      </c>
      <c r="W81" s="179">
        <f t="shared" ca="1" si="43"/>
        <v>194</v>
      </c>
      <c r="X81" s="179">
        <f t="shared" ca="1" si="36"/>
        <v>194</v>
      </c>
      <c r="Y81" s="179">
        <f t="shared" ca="1" si="36"/>
        <v>194</v>
      </c>
      <c r="Z81" s="179">
        <f t="shared" ca="1" si="44"/>
        <v>219</v>
      </c>
      <c r="AA81" s="179">
        <f t="shared" ca="1" si="37"/>
        <v>219</v>
      </c>
      <c r="AB81" s="179">
        <f t="shared" ca="1" si="37"/>
        <v>219</v>
      </c>
      <c r="AC81" s="179">
        <f t="shared" ca="1" si="45"/>
        <v>391</v>
      </c>
      <c r="AD81" s="179">
        <f t="shared" ca="1" si="38"/>
        <v>391</v>
      </c>
      <c r="AE81" s="179">
        <f t="shared" ca="1" si="38"/>
        <v>391</v>
      </c>
      <c r="AF81" s="179" t="e">
        <f t="shared" ca="1" si="46"/>
        <v>#N/A</v>
      </c>
      <c r="AG81" s="179" t="e">
        <f t="shared" ca="1" si="39"/>
        <v>#N/A</v>
      </c>
      <c r="AH81" s="179" t="e">
        <f t="shared" ca="1" si="39"/>
        <v>#N/A</v>
      </c>
    </row>
    <row r="82" spans="1:34" ht="15.75" customHeight="1">
      <c r="A82" s="449" t="s">
        <v>37</v>
      </c>
      <c r="B82" s="449" t="s">
        <v>380</v>
      </c>
      <c r="C82" s="449" t="s">
        <v>695</v>
      </c>
      <c r="D82" s="322" t="str">
        <f t="shared" ca="1" si="60"/>
        <v/>
      </c>
      <c r="E82" s="322" t="str">
        <f t="shared" ca="1" si="61"/>
        <v/>
      </c>
      <c r="F82" s="322" t="str">
        <f t="shared" ca="1" si="62"/>
        <v/>
      </c>
      <c r="G82" s="227" t="str">
        <f t="shared" ca="1" si="47"/>
        <v>D</v>
      </c>
      <c r="H82" s="227" t="str">
        <f t="shared" ca="1" si="48"/>
        <v>FERRARI A</v>
      </c>
      <c r="I82" s="227" t="str">
        <f t="shared" ca="1" si="49"/>
        <v>Verona</v>
      </c>
      <c r="J82" s="227" t="str">
        <f t="shared" ca="1" si="50"/>
        <v>C</v>
      </c>
      <c r="K82" s="227" t="str">
        <f t="shared" ca="1" si="51"/>
        <v>GNOUKOURI</v>
      </c>
      <c r="L82" s="227" t="str">
        <f t="shared" ca="1" si="52"/>
        <v>Inter</v>
      </c>
      <c r="M82" s="227" t="str">
        <f t="shared" ca="1" si="53"/>
        <v>A</v>
      </c>
      <c r="N82" s="227" t="str">
        <f t="shared" ca="1" si="54"/>
        <v>PELLEGRI</v>
      </c>
      <c r="O82" s="227" t="str">
        <f t="shared" ca="1" si="55"/>
        <v>Genoa</v>
      </c>
      <c r="P82" s="227" t="str">
        <f t="shared" ca="1" si="56"/>
        <v/>
      </c>
      <c r="Q82" s="227" t="str">
        <f t="shared" ca="1" si="57"/>
        <v/>
      </c>
      <c r="R82" s="227" t="str">
        <f t="shared" ca="1" si="58"/>
        <v/>
      </c>
      <c r="T82" s="179" t="e">
        <f t="shared" ca="1" si="59"/>
        <v>#N/A</v>
      </c>
      <c r="U82" s="179" t="e">
        <f t="shared" ca="1" si="35"/>
        <v>#N/A</v>
      </c>
      <c r="V82" s="179" t="e">
        <f t="shared" ca="1" si="35"/>
        <v>#N/A</v>
      </c>
      <c r="W82" s="179">
        <f t="shared" ca="1" si="43"/>
        <v>197</v>
      </c>
      <c r="X82" s="179">
        <f t="shared" ca="1" si="36"/>
        <v>197</v>
      </c>
      <c r="Y82" s="179">
        <f t="shared" ca="1" si="36"/>
        <v>197</v>
      </c>
      <c r="Z82" s="179">
        <f t="shared" ca="1" si="44"/>
        <v>220</v>
      </c>
      <c r="AA82" s="179">
        <f t="shared" ca="1" si="37"/>
        <v>220</v>
      </c>
      <c r="AB82" s="179">
        <f t="shared" ca="1" si="37"/>
        <v>220</v>
      </c>
      <c r="AC82" s="179">
        <f t="shared" ca="1" si="45"/>
        <v>393</v>
      </c>
      <c r="AD82" s="179">
        <f t="shared" ca="1" si="38"/>
        <v>393</v>
      </c>
      <c r="AE82" s="179">
        <f t="shared" ca="1" si="38"/>
        <v>393</v>
      </c>
      <c r="AF82" s="179" t="e">
        <f t="shared" ca="1" si="46"/>
        <v>#N/A</v>
      </c>
      <c r="AG82" s="179" t="e">
        <f t="shared" ca="1" si="39"/>
        <v>#N/A</v>
      </c>
      <c r="AH82" s="179" t="e">
        <f t="shared" ca="1" si="39"/>
        <v>#N/A</v>
      </c>
    </row>
    <row r="83" spans="1:34" ht="15.75" customHeight="1">
      <c r="A83" s="449" t="s">
        <v>39</v>
      </c>
      <c r="B83" s="449" t="s">
        <v>377</v>
      </c>
      <c r="C83" s="449" t="s">
        <v>1674</v>
      </c>
      <c r="D83" s="322" t="str">
        <f t="shared" ca="1" si="60"/>
        <v/>
      </c>
      <c r="E83" s="322" t="str">
        <f t="shared" ca="1" si="61"/>
        <v/>
      </c>
      <c r="F83" s="322" t="str">
        <f t="shared" ca="1" si="62"/>
        <v/>
      </c>
      <c r="G83" s="227" t="str">
        <f t="shared" ca="1" si="47"/>
        <v>D</v>
      </c>
      <c r="H83" s="227" t="str">
        <f t="shared" ca="1" si="48"/>
        <v>FERRARI G</v>
      </c>
      <c r="I83" s="227" t="str">
        <f t="shared" ca="1" si="49"/>
        <v>Sampdoria</v>
      </c>
      <c r="J83" s="227" t="str">
        <f t="shared" ca="1" si="50"/>
        <v>C</v>
      </c>
      <c r="K83" s="227" t="str">
        <f t="shared" ca="1" si="51"/>
        <v>GONALONS</v>
      </c>
      <c r="L83" s="227" t="str">
        <f t="shared" ca="1" si="52"/>
        <v>Roma</v>
      </c>
      <c r="M83" s="227" t="str">
        <f t="shared" ca="1" si="53"/>
        <v>A</v>
      </c>
      <c r="N83" s="227" t="str">
        <f t="shared" ca="1" si="54"/>
        <v>PELLISSIER</v>
      </c>
      <c r="O83" s="227" t="str">
        <f t="shared" ca="1" si="55"/>
        <v>Chievo</v>
      </c>
      <c r="P83" s="227" t="str">
        <f t="shared" ca="1" si="56"/>
        <v/>
      </c>
      <c r="Q83" s="227" t="str">
        <f t="shared" ca="1" si="57"/>
        <v/>
      </c>
      <c r="R83" s="227" t="str">
        <f t="shared" ca="1" si="58"/>
        <v/>
      </c>
      <c r="T83" s="179" t="e">
        <f t="shared" ca="1" si="59"/>
        <v>#N/A</v>
      </c>
      <c r="U83" s="179" t="e">
        <f t="shared" ca="1" si="35"/>
        <v>#N/A</v>
      </c>
      <c r="V83" s="179" t="e">
        <f t="shared" ca="1" si="35"/>
        <v>#N/A</v>
      </c>
      <c r="W83" s="179">
        <f t="shared" ca="1" si="43"/>
        <v>198</v>
      </c>
      <c r="X83" s="179">
        <f t="shared" ca="1" si="36"/>
        <v>198</v>
      </c>
      <c r="Y83" s="179">
        <f t="shared" ca="1" si="36"/>
        <v>198</v>
      </c>
      <c r="Z83" s="179">
        <f t="shared" ca="1" si="44"/>
        <v>227</v>
      </c>
      <c r="AA83" s="179">
        <f t="shared" ca="1" si="37"/>
        <v>227</v>
      </c>
      <c r="AB83" s="179">
        <f t="shared" ca="1" si="37"/>
        <v>227</v>
      </c>
      <c r="AC83" s="179">
        <f t="shared" ca="1" si="45"/>
        <v>395</v>
      </c>
      <c r="AD83" s="179">
        <f t="shared" ca="1" si="38"/>
        <v>395</v>
      </c>
      <c r="AE83" s="179">
        <f t="shared" ca="1" si="38"/>
        <v>395</v>
      </c>
      <c r="AF83" s="179" t="e">
        <f t="shared" ca="1" si="46"/>
        <v>#N/A</v>
      </c>
      <c r="AG83" s="179" t="e">
        <f t="shared" ca="1" si="39"/>
        <v>#N/A</v>
      </c>
      <c r="AH83" s="179" t="e">
        <f t="shared" ca="1" si="39"/>
        <v>#N/A</v>
      </c>
    </row>
    <row r="84" spans="1:34" ht="15.75" customHeight="1">
      <c r="A84" s="449" t="s">
        <v>43</v>
      </c>
      <c r="B84" s="449" t="s">
        <v>324</v>
      </c>
      <c r="C84" s="449" t="s">
        <v>701</v>
      </c>
      <c r="D84" s="322" t="str">
        <f t="shared" ca="1" si="60"/>
        <v/>
      </c>
      <c r="E84" s="322" t="str">
        <f t="shared" ca="1" si="61"/>
        <v/>
      </c>
      <c r="F84" s="322" t="str">
        <f t="shared" ca="1" si="62"/>
        <v/>
      </c>
      <c r="G84" s="227" t="str">
        <f t="shared" ca="1" si="47"/>
        <v>D</v>
      </c>
      <c r="H84" s="227" t="str">
        <f t="shared" ca="1" si="48"/>
        <v>FLORENZI</v>
      </c>
      <c r="I84" s="227" t="str">
        <f t="shared" ca="1" si="49"/>
        <v>Roma</v>
      </c>
      <c r="J84" s="227" t="str">
        <f t="shared" ca="1" si="50"/>
        <v>C</v>
      </c>
      <c r="K84" s="227" t="str">
        <f t="shared" ca="1" si="51"/>
        <v>GRASSI</v>
      </c>
      <c r="L84" s="227" t="str">
        <f t="shared" ca="1" si="52"/>
        <v>SPAL</v>
      </c>
      <c r="M84" s="227" t="str">
        <f t="shared" ca="1" si="53"/>
        <v>A</v>
      </c>
      <c r="N84" s="227" t="str">
        <f t="shared" ca="1" si="54"/>
        <v>PERICA</v>
      </c>
      <c r="O84" s="227" t="str">
        <f t="shared" ca="1" si="55"/>
        <v>Udinese</v>
      </c>
      <c r="P84" s="227" t="str">
        <f t="shared" ca="1" si="56"/>
        <v/>
      </c>
      <c r="Q84" s="227" t="str">
        <f t="shared" ca="1" si="57"/>
        <v/>
      </c>
      <c r="R84" s="227" t="str">
        <f t="shared" ca="1" si="58"/>
        <v/>
      </c>
      <c r="T84" s="179" t="e">
        <f t="shared" ca="1" si="59"/>
        <v>#N/A</v>
      </c>
      <c r="U84" s="179" t="e">
        <f t="shared" ca="1" si="35"/>
        <v>#N/A</v>
      </c>
      <c r="V84" s="179" t="e">
        <f t="shared" ca="1" si="35"/>
        <v>#N/A</v>
      </c>
      <c r="W84" s="179">
        <f t="shared" ca="1" si="43"/>
        <v>201</v>
      </c>
      <c r="X84" s="179">
        <f t="shared" ca="1" si="36"/>
        <v>201</v>
      </c>
      <c r="Y84" s="179">
        <f t="shared" ca="1" si="36"/>
        <v>201</v>
      </c>
      <c r="Z84" s="179">
        <f t="shared" ca="1" si="44"/>
        <v>230</v>
      </c>
      <c r="AA84" s="179">
        <f t="shared" ca="1" si="37"/>
        <v>230</v>
      </c>
      <c r="AB84" s="179">
        <f t="shared" ca="1" si="37"/>
        <v>230</v>
      </c>
      <c r="AC84" s="179">
        <f t="shared" ca="1" si="45"/>
        <v>397</v>
      </c>
      <c r="AD84" s="179">
        <f t="shared" ca="1" si="38"/>
        <v>397</v>
      </c>
      <c r="AE84" s="179">
        <f t="shared" ca="1" si="38"/>
        <v>397</v>
      </c>
      <c r="AF84" s="179" t="e">
        <f t="shared" ca="1" si="46"/>
        <v>#N/A</v>
      </c>
      <c r="AG84" s="179" t="e">
        <f t="shared" ca="1" si="39"/>
        <v>#N/A</v>
      </c>
      <c r="AH84" s="179" t="e">
        <f t="shared" ca="1" si="39"/>
        <v>#N/A</v>
      </c>
    </row>
    <row r="85" spans="1:34" ht="15.75" customHeight="1">
      <c r="A85" s="449" t="s">
        <v>35</v>
      </c>
      <c r="B85" s="449" t="s">
        <v>316</v>
      </c>
      <c r="C85" s="449" t="s">
        <v>676</v>
      </c>
      <c r="D85" s="322" t="str">
        <f t="shared" ca="1" si="60"/>
        <v/>
      </c>
      <c r="E85" s="322" t="str">
        <f t="shared" ca="1" si="61"/>
        <v/>
      </c>
      <c r="F85" s="322" t="str">
        <f t="shared" ca="1" si="62"/>
        <v/>
      </c>
      <c r="G85" s="227" t="str">
        <f t="shared" ca="1" si="47"/>
        <v>D</v>
      </c>
      <c r="H85" s="227" t="str">
        <f t="shared" ca="1" si="48"/>
        <v>FREY</v>
      </c>
      <c r="I85" s="227" t="str">
        <f t="shared" ca="1" si="49"/>
        <v>Chievo</v>
      </c>
      <c r="J85" s="227" t="str">
        <f t="shared" ca="1" si="50"/>
        <v>C</v>
      </c>
      <c r="K85" s="227" t="str">
        <f t="shared" ca="1" si="51"/>
        <v>GUSTAFSON</v>
      </c>
      <c r="L85" s="227" t="str">
        <f t="shared" ca="1" si="52"/>
        <v>Torino</v>
      </c>
      <c r="M85" s="227" t="str">
        <f t="shared" ca="1" si="53"/>
        <v>A</v>
      </c>
      <c r="N85" s="227" t="str">
        <f t="shared" ca="1" si="54"/>
        <v>PETAGNA</v>
      </c>
      <c r="O85" s="227" t="str">
        <f t="shared" ca="1" si="55"/>
        <v>Atalanta</v>
      </c>
      <c r="P85" s="227" t="str">
        <f t="shared" ca="1" si="56"/>
        <v/>
      </c>
      <c r="Q85" s="227" t="str">
        <f t="shared" ca="1" si="57"/>
        <v/>
      </c>
      <c r="R85" s="227" t="str">
        <f t="shared" ca="1" si="58"/>
        <v/>
      </c>
      <c r="T85" s="179" t="e">
        <f t="shared" ca="1" si="59"/>
        <v>#N/A</v>
      </c>
      <c r="U85" s="179" t="e">
        <f t="shared" ca="1" si="35"/>
        <v>#N/A</v>
      </c>
      <c r="V85" s="179" t="e">
        <f t="shared" ca="1" si="35"/>
        <v>#N/A</v>
      </c>
      <c r="W85" s="179">
        <f t="shared" ca="1" si="43"/>
        <v>205</v>
      </c>
      <c r="X85" s="179">
        <f t="shared" ca="1" si="36"/>
        <v>205</v>
      </c>
      <c r="Y85" s="179">
        <f t="shared" ca="1" si="36"/>
        <v>205</v>
      </c>
      <c r="Z85" s="179">
        <f t="shared" ca="1" si="44"/>
        <v>233</v>
      </c>
      <c r="AA85" s="179">
        <f t="shared" ca="1" si="37"/>
        <v>233</v>
      </c>
      <c r="AB85" s="179">
        <f t="shared" ca="1" si="37"/>
        <v>233</v>
      </c>
      <c r="AC85" s="179">
        <f t="shared" ca="1" si="45"/>
        <v>401</v>
      </c>
      <c r="AD85" s="179">
        <f t="shared" ca="1" si="38"/>
        <v>401</v>
      </c>
      <c r="AE85" s="179">
        <f t="shared" ca="1" si="38"/>
        <v>401</v>
      </c>
      <c r="AF85" s="179" t="e">
        <f t="shared" ca="1" si="46"/>
        <v>#N/A</v>
      </c>
      <c r="AG85" s="179" t="e">
        <f t="shared" ca="1" si="39"/>
        <v>#N/A</v>
      </c>
      <c r="AH85" s="179" t="e">
        <f t="shared" ca="1" si="39"/>
        <v>#N/A</v>
      </c>
    </row>
    <row r="86" spans="1:34" ht="15.75" customHeight="1">
      <c r="A86" s="449" t="s">
        <v>37</v>
      </c>
      <c r="B86" s="449" t="s">
        <v>1988</v>
      </c>
      <c r="C86" s="449" t="s">
        <v>687</v>
      </c>
      <c r="D86" s="322" t="str">
        <f t="shared" ca="1" si="60"/>
        <v/>
      </c>
      <c r="E86" s="322" t="str">
        <f t="shared" ca="1" si="61"/>
        <v/>
      </c>
      <c r="F86" s="322" t="str">
        <f t="shared" ca="1" si="62"/>
        <v/>
      </c>
      <c r="G86" s="227" t="str">
        <f t="shared" ca="1" si="47"/>
        <v>D</v>
      </c>
      <c r="H86" s="227" t="str">
        <f t="shared" ca="1" si="48"/>
        <v>GAMBERINI</v>
      </c>
      <c r="I86" s="227" t="str">
        <f t="shared" ca="1" si="49"/>
        <v>Chievo</v>
      </c>
      <c r="J86" s="227" t="str">
        <f t="shared" ca="1" si="50"/>
        <v>C</v>
      </c>
      <c r="K86" s="227" t="str">
        <f t="shared" ca="1" si="51"/>
        <v>HAAS</v>
      </c>
      <c r="L86" s="227" t="str">
        <f t="shared" ca="1" si="52"/>
        <v>Atalanta</v>
      </c>
      <c r="M86" s="227" t="str">
        <f t="shared" ca="1" si="53"/>
        <v>A</v>
      </c>
      <c r="N86" s="227" t="str">
        <f t="shared" ca="1" si="54"/>
        <v>PETKOVIC</v>
      </c>
      <c r="O86" s="227" t="str">
        <f t="shared" ca="1" si="55"/>
        <v>Bologna</v>
      </c>
      <c r="P86" s="227" t="str">
        <f t="shared" ca="1" si="56"/>
        <v/>
      </c>
      <c r="Q86" s="227" t="str">
        <f t="shared" ca="1" si="57"/>
        <v/>
      </c>
      <c r="R86" s="227" t="str">
        <f t="shared" ca="1" si="58"/>
        <v/>
      </c>
      <c r="T86" s="179" t="e">
        <f t="shared" ca="1" si="59"/>
        <v>#N/A</v>
      </c>
      <c r="U86" s="179" t="e">
        <f t="shared" ca="1" si="35"/>
        <v>#N/A</v>
      </c>
      <c r="V86" s="179" t="e">
        <f t="shared" ca="1" si="35"/>
        <v>#N/A</v>
      </c>
      <c r="W86" s="179">
        <f t="shared" ca="1" si="43"/>
        <v>209</v>
      </c>
      <c r="X86" s="179">
        <f t="shared" ca="1" si="36"/>
        <v>209</v>
      </c>
      <c r="Y86" s="179">
        <f t="shared" ca="1" si="36"/>
        <v>209</v>
      </c>
      <c r="Z86" s="179">
        <f t="shared" ca="1" si="44"/>
        <v>235</v>
      </c>
      <c r="AA86" s="179">
        <f t="shared" ca="1" si="37"/>
        <v>235</v>
      </c>
      <c r="AB86" s="179">
        <f t="shared" ca="1" si="37"/>
        <v>235</v>
      </c>
      <c r="AC86" s="179">
        <f t="shared" ca="1" si="45"/>
        <v>402</v>
      </c>
      <c r="AD86" s="179">
        <f t="shared" ca="1" si="38"/>
        <v>402</v>
      </c>
      <c r="AE86" s="179">
        <f t="shared" ca="1" si="38"/>
        <v>402</v>
      </c>
      <c r="AF86" s="179" t="e">
        <f t="shared" ca="1" si="46"/>
        <v>#N/A</v>
      </c>
      <c r="AG86" s="179" t="e">
        <f t="shared" ca="1" si="39"/>
        <v>#N/A</v>
      </c>
      <c r="AH86" s="179" t="e">
        <f t="shared" ca="1" si="39"/>
        <v>#N/A</v>
      </c>
    </row>
    <row r="87" spans="1:34" ht="15.75" customHeight="1">
      <c r="A87" s="449" t="s">
        <v>37</v>
      </c>
      <c r="B87" s="449" t="s">
        <v>1706</v>
      </c>
      <c r="C87" s="449" t="s">
        <v>701</v>
      </c>
      <c r="D87" s="322" t="str">
        <f t="shared" ca="1" si="60"/>
        <v/>
      </c>
      <c r="E87" s="322" t="str">
        <f t="shared" ca="1" si="61"/>
        <v/>
      </c>
      <c r="F87" s="322" t="str">
        <f t="shared" ca="1" si="62"/>
        <v/>
      </c>
      <c r="G87" s="227" t="str">
        <f t="shared" ca="1" si="47"/>
        <v>D</v>
      </c>
      <c r="H87" s="227" t="str">
        <f t="shared" ca="1" si="48"/>
        <v>GASPAR</v>
      </c>
      <c r="I87" s="227" t="str">
        <f t="shared" ca="1" si="49"/>
        <v>Fiorentina</v>
      </c>
      <c r="J87" s="227" t="str">
        <f t="shared" ca="1" si="50"/>
        <v>C</v>
      </c>
      <c r="K87" s="227" t="str">
        <f t="shared" ca="1" si="51"/>
        <v>HAGI</v>
      </c>
      <c r="L87" s="227" t="str">
        <f t="shared" ca="1" si="52"/>
        <v>Fiorentina</v>
      </c>
      <c r="M87" s="227" t="str">
        <f t="shared" ca="1" si="53"/>
        <v>A</v>
      </c>
      <c r="N87" s="227" t="str">
        <f t="shared" ca="1" si="54"/>
        <v>PINAMONTI</v>
      </c>
      <c r="O87" s="227" t="str">
        <f t="shared" ca="1" si="55"/>
        <v>Inter</v>
      </c>
      <c r="P87" s="227" t="str">
        <f t="shared" ca="1" si="56"/>
        <v/>
      </c>
      <c r="Q87" s="227" t="str">
        <f t="shared" ca="1" si="57"/>
        <v/>
      </c>
      <c r="R87" s="227" t="str">
        <f t="shared" ca="1" si="58"/>
        <v/>
      </c>
      <c r="T87" s="179" t="e">
        <f t="shared" ca="1" si="59"/>
        <v>#N/A</v>
      </c>
      <c r="U87" s="179" t="e">
        <f t="shared" ca="1" si="35"/>
        <v>#N/A</v>
      </c>
      <c r="V87" s="179" t="e">
        <f t="shared" ca="1" si="35"/>
        <v>#N/A</v>
      </c>
      <c r="W87" s="179">
        <f t="shared" ca="1" si="43"/>
        <v>211</v>
      </c>
      <c r="X87" s="179">
        <f t="shared" ca="1" si="36"/>
        <v>211</v>
      </c>
      <c r="Y87" s="179">
        <f t="shared" ca="1" si="36"/>
        <v>211</v>
      </c>
      <c r="Z87" s="179">
        <f t="shared" ca="1" si="44"/>
        <v>236</v>
      </c>
      <c r="AA87" s="179">
        <f t="shared" ca="1" si="37"/>
        <v>236</v>
      </c>
      <c r="AB87" s="179">
        <f t="shared" ca="1" si="37"/>
        <v>236</v>
      </c>
      <c r="AC87" s="179">
        <f t="shared" ca="1" si="45"/>
        <v>405</v>
      </c>
      <c r="AD87" s="179">
        <f t="shared" ca="1" si="38"/>
        <v>405</v>
      </c>
      <c r="AE87" s="179">
        <f t="shared" ca="1" si="38"/>
        <v>405</v>
      </c>
      <c r="AF87" s="179" t="e">
        <f t="shared" ca="1" si="46"/>
        <v>#N/A</v>
      </c>
      <c r="AG87" s="179" t="e">
        <f t="shared" ca="1" si="39"/>
        <v>#N/A</v>
      </c>
      <c r="AH87" s="179" t="e">
        <f t="shared" ca="1" si="39"/>
        <v>#N/A</v>
      </c>
    </row>
    <row r="88" spans="1:34" ht="15.75" customHeight="1">
      <c r="A88" s="449" t="s">
        <v>37</v>
      </c>
      <c r="B88" s="449" t="s">
        <v>386</v>
      </c>
      <c r="C88" s="449" t="s">
        <v>680</v>
      </c>
      <c r="D88" s="322" t="str">
        <f t="shared" ca="1" si="60"/>
        <v/>
      </c>
      <c r="E88" s="322" t="str">
        <f t="shared" ca="1" si="61"/>
        <v/>
      </c>
      <c r="F88" s="322" t="str">
        <f t="shared" ca="1" si="62"/>
        <v/>
      </c>
      <c r="G88" s="227" t="str">
        <f t="shared" ca="1" si="47"/>
        <v>D</v>
      </c>
      <c r="H88" s="227" t="str">
        <f t="shared" ca="1" si="48"/>
        <v>GAZZOLA</v>
      </c>
      <c r="I88" s="227" t="str">
        <f t="shared" ca="1" si="49"/>
        <v>Sassuolo</v>
      </c>
      <c r="J88" s="227" t="str">
        <f t="shared" ca="1" si="50"/>
        <v>C</v>
      </c>
      <c r="K88" s="227" t="str">
        <f t="shared" ca="1" si="51"/>
        <v>HALLFREDSSON</v>
      </c>
      <c r="L88" s="227" t="str">
        <f t="shared" ca="1" si="52"/>
        <v>Udinese</v>
      </c>
      <c r="M88" s="227" t="str">
        <f t="shared" ca="1" si="53"/>
        <v>A</v>
      </c>
      <c r="N88" s="227" t="str">
        <f t="shared" ca="1" si="54"/>
        <v>PJACA</v>
      </c>
      <c r="O88" s="227" t="str">
        <f t="shared" ca="1" si="55"/>
        <v>Juventus</v>
      </c>
      <c r="P88" s="227" t="str">
        <f t="shared" ca="1" si="56"/>
        <v/>
      </c>
      <c r="Q88" s="227" t="str">
        <f t="shared" ca="1" si="57"/>
        <v/>
      </c>
      <c r="R88" s="227" t="str">
        <f t="shared" ca="1" si="58"/>
        <v/>
      </c>
      <c r="T88" s="179" t="e">
        <f t="shared" ca="1" si="59"/>
        <v>#N/A</v>
      </c>
      <c r="U88" s="179" t="e">
        <f t="shared" ca="1" si="35"/>
        <v>#N/A</v>
      </c>
      <c r="V88" s="179" t="e">
        <f t="shared" ca="1" si="35"/>
        <v>#N/A</v>
      </c>
      <c r="W88" s="179">
        <f t="shared" ca="1" si="43"/>
        <v>213</v>
      </c>
      <c r="X88" s="179">
        <f t="shared" ca="1" si="36"/>
        <v>213</v>
      </c>
      <c r="Y88" s="179">
        <f t="shared" ca="1" si="36"/>
        <v>213</v>
      </c>
      <c r="Z88" s="179">
        <f t="shared" ca="1" si="44"/>
        <v>237</v>
      </c>
      <c r="AA88" s="179">
        <f t="shared" ca="1" si="37"/>
        <v>237</v>
      </c>
      <c r="AB88" s="179">
        <f t="shared" ca="1" si="37"/>
        <v>237</v>
      </c>
      <c r="AC88" s="179">
        <f t="shared" ca="1" si="45"/>
        <v>409</v>
      </c>
      <c r="AD88" s="179">
        <f t="shared" ca="1" si="38"/>
        <v>409</v>
      </c>
      <c r="AE88" s="179">
        <f t="shared" ca="1" si="38"/>
        <v>409</v>
      </c>
      <c r="AF88" s="179" t="e">
        <f t="shared" ca="1" si="46"/>
        <v>#N/A</v>
      </c>
      <c r="AG88" s="179" t="e">
        <f t="shared" ca="1" si="39"/>
        <v>#N/A</v>
      </c>
      <c r="AH88" s="179" t="e">
        <f t="shared" ca="1" si="39"/>
        <v>#N/A</v>
      </c>
    </row>
    <row r="89" spans="1:34" ht="15.75" customHeight="1">
      <c r="A89" s="449" t="s">
        <v>37</v>
      </c>
      <c r="B89" s="449" t="s">
        <v>1708</v>
      </c>
      <c r="C89" s="449" t="s">
        <v>1674</v>
      </c>
      <c r="D89" s="322" t="str">
        <f t="shared" ca="1" si="60"/>
        <v/>
      </c>
      <c r="E89" s="322" t="str">
        <f t="shared" ca="1" si="61"/>
        <v/>
      </c>
      <c r="F89" s="322" t="str">
        <f t="shared" ca="1" si="62"/>
        <v/>
      </c>
      <c r="G89" s="227" t="str">
        <f t="shared" ca="1" si="47"/>
        <v>D</v>
      </c>
      <c r="H89" s="227" t="str">
        <f t="shared" ca="1" si="48"/>
        <v>GENTILETTI</v>
      </c>
      <c r="I89" s="227" t="str">
        <f t="shared" ca="1" si="49"/>
        <v>Genoa</v>
      </c>
      <c r="J89" s="227" t="str">
        <f t="shared" ca="1" si="50"/>
        <v>C</v>
      </c>
      <c r="K89" s="227" t="str">
        <f t="shared" ca="1" si="51"/>
        <v>HAMSIK</v>
      </c>
      <c r="L89" s="227" t="str">
        <f t="shared" ca="1" si="52"/>
        <v>Napoli</v>
      </c>
      <c r="M89" s="227" t="str">
        <f t="shared" ca="1" si="53"/>
        <v>A</v>
      </c>
      <c r="N89" s="227" t="str">
        <f t="shared" ca="1" si="54"/>
        <v>POLITANO</v>
      </c>
      <c r="O89" s="227" t="str">
        <f t="shared" ca="1" si="55"/>
        <v>Sassuolo</v>
      </c>
      <c r="P89" s="227" t="str">
        <f t="shared" ca="1" si="56"/>
        <v/>
      </c>
      <c r="Q89" s="227" t="str">
        <f t="shared" ca="1" si="57"/>
        <v/>
      </c>
      <c r="R89" s="227" t="str">
        <f t="shared" ca="1" si="58"/>
        <v/>
      </c>
      <c r="T89" s="179" t="e">
        <f t="shared" ca="1" si="59"/>
        <v>#N/A</v>
      </c>
      <c r="U89" s="179" t="e">
        <f t="shared" ref="U89:V108" ca="1" si="63">T89</f>
        <v>#N/A</v>
      </c>
      <c r="V89" s="179" t="e">
        <f t="shared" ca="1" si="63"/>
        <v>#N/A</v>
      </c>
      <c r="W89" s="179">
        <f t="shared" ca="1" si="43"/>
        <v>214</v>
      </c>
      <c r="X89" s="179">
        <f t="shared" ref="X89:Y108" ca="1" si="64">W89</f>
        <v>214</v>
      </c>
      <c r="Y89" s="179">
        <f t="shared" ca="1" si="64"/>
        <v>214</v>
      </c>
      <c r="Z89" s="179">
        <f t="shared" ca="1" si="44"/>
        <v>238</v>
      </c>
      <c r="AA89" s="179">
        <f t="shared" ref="AA89:AB108" ca="1" si="65">Z89</f>
        <v>238</v>
      </c>
      <c r="AB89" s="179">
        <f t="shared" ca="1" si="65"/>
        <v>238</v>
      </c>
      <c r="AC89" s="179">
        <f t="shared" ca="1" si="45"/>
        <v>412</v>
      </c>
      <c r="AD89" s="179">
        <f t="shared" ref="AD89:AE108" ca="1" si="66">AC89</f>
        <v>412</v>
      </c>
      <c r="AE89" s="179">
        <f t="shared" ca="1" si="66"/>
        <v>412</v>
      </c>
      <c r="AF89" s="179" t="e">
        <f t="shared" ca="1" si="46"/>
        <v>#N/A</v>
      </c>
      <c r="AG89" s="179" t="e">
        <f t="shared" ref="AG89:AH108" ca="1" si="67">AF89</f>
        <v>#N/A</v>
      </c>
      <c r="AH89" s="179" t="e">
        <f t="shared" ca="1" si="67"/>
        <v>#N/A</v>
      </c>
    </row>
    <row r="90" spans="1:34" ht="15.75" customHeight="1">
      <c r="A90" s="449" t="s">
        <v>43</v>
      </c>
      <c r="B90" s="449" t="s">
        <v>1796</v>
      </c>
      <c r="C90" s="449" t="s">
        <v>682</v>
      </c>
      <c r="D90" s="322" t="str">
        <f t="shared" ca="1" si="60"/>
        <v/>
      </c>
      <c r="E90" s="322" t="str">
        <f t="shared" ca="1" si="61"/>
        <v/>
      </c>
      <c r="F90" s="322" t="str">
        <f t="shared" ca="1" si="62"/>
        <v/>
      </c>
      <c r="G90" s="227" t="str">
        <f t="shared" ca="1" si="47"/>
        <v>D</v>
      </c>
      <c r="H90" s="227" t="str">
        <f t="shared" ca="1" si="48"/>
        <v>GHOULAM</v>
      </c>
      <c r="I90" s="227" t="str">
        <f t="shared" ca="1" si="49"/>
        <v>Napoli</v>
      </c>
      <c r="J90" s="227" t="str">
        <f t="shared" ca="1" si="50"/>
        <v>C</v>
      </c>
      <c r="K90" s="227" t="str">
        <f t="shared" ca="1" si="51"/>
        <v>HETEMAJ</v>
      </c>
      <c r="L90" s="227" t="str">
        <f t="shared" ca="1" si="52"/>
        <v>Chievo</v>
      </c>
      <c r="M90" s="227" t="str">
        <f t="shared" ca="1" si="53"/>
        <v>A</v>
      </c>
      <c r="N90" s="227" t="str">
        <f t="shared" ca="1" si="54"/>
        <v>PUCCIARELLI</v>
      </c>
      <c r="O90" s="227" t="str">
        <f t="shared" ca="1" si="55"/>
        <v>Chievo</v>
      </c>
      <c r="P90" s="227" t="str">
        <f t="shared" ca="1" si="56"/>
        <v/>
      </c>
      <c r="Q90" s="227" t="str">
        <f t="shared" ca="1" si="57"/>
        <v/>
      </c>
      <c r="R90" s="227" t="str">
        <f t="shared" ca="1" si="58"/>
        <v/>
      </c>
      <c r="T90" s="179" t="e">
        <f t="shared" ca="1" si="59"/>
        <v>#N/A</v>
      </c>
      <c r="U90" s="179" t="e">
        <f t="shared" ca="1" si="63"/>
        <v>#N/A</v>
      </c>
      <c r="V90" s="179" t="e">
        <f t="shared" ca="1" si="63"/>
        <v>#N/A</v>
      </c>
      <c r="W90" s="179">
        <f t="shared" ca="1" si="43"/>
        <v>216</v>
      </c>
      <c r="X90" s="179">
        <f t="shared" ca="1" si="64"/>
        <v>216</v>
      </c>
      <c r="Y90" s="179">
        <f t="shared" ca="1" si="64"/>
        <v>216</v>
      </c>
      <c r="Z90" s="179">
        <f t="shared" ca="1" si="44"/>
        <v>243</v>
      </c>
      <c r="AA90" s="179">
        <f t="shared" ca="1" si="65"/>
        <v>243</v>
      </c>
      <c r="AB90" s="179">
        <f t="shared" ca="1" si="65"/>
        <v>243</v>
      </c>
      <c r="AC90" s="179">
        <f t="shared" ca="1" si="45"/>
        <v>415</v>
      </c>
      <c r="AD90" s="179">
        <f t="shared" ca="1" si="66"/>
        <v>415</v>
      </c>
      <c r="AE90" s="179">
        <f t="shared" ca="1" si="66"/>
        <v>415</v>
      </c>
      <c r="AF90" s="179" t="e">
        <f t="shared" ca="1" si="46"/>
        <v>#N/A</v>
      </c>
      <c r="AG90" s="179" t="e">
        <f t="shared" ca="1" si="67"/>
        <v>#N/A</v>
      </c>
      <c r="AH90" s="179" t="e">
        <f t="shared" ca="1" si="67"/>
        <v>#N/A</v>
      </c>
    </row>
    <row r="91" spans="1:34" ht="15.75" customHeight="1">
      <c r="A91" s="449" t="s">
        <v>37</v>
      </c>
      <c r="B91" s="449" t="s">
        <v>388</v>
      </c>
      <c r="C91" s="449" t="s">
        <v>678</v>
      </c>
      <c r="D91" s="322" t="str">
        <f t="shared" ca="1" si="60"/>
        <v/>
      </c>
      <c r="E91" s="322" t="str">
        <f t="shared" ca="1" si="61"/>
        <v/>
      </c>
      <c r="F91" s="322" t="str">
        <f t="shared" ca="1" si="62"/>
        <v/>
      </c>
      <c r="G91" s="227" t="str">
        <f t="shared" ca="1" si="47"/>
        <v>D</v>
      </c>
      <c r="H91" s="227" t="str">
        <f t="shared" ca="1" si="48"/>
        <v>GOBBI</v>
      </c>
      <c r="I91" s="227" t="str">
        <f t="shared" ca="1" si="49"/>
        <v>Chievo</v>
      </c>
      <c r="J91" s="227" t="str">
        <f t="shared" ca="1" si="50"/>
        <v>C</v>
      </c>
      <c r="K91" s="227" t="str">
        <f t="shared" ca="1" si="51"/>
        <v>IAGO FALQUE</v>
      </c>
      <c r="L91" s="227" t="str">
        <f t="shared" ca="1" si="52"/>
        <v>Torino</v>
      </c>
      <c r="M91" s="227" t="str">
        <f t="shared" ca="1" si="53"/>
        <v>A</v>
      </c>
      <c r="N91" s="227" t="str">
        <f t="shared" ca="1" si="54"/>
        <v>PUSCAS</v>
      </c>
      <c r="O91" s="227" t="str">
        <f t="shared" ca="1" si="55"/>
        <v>Benevento</v>
      </c>
      <c r="P91" s="227" t="str">
        <f t="shared" ca="1" si="56"/>
        <v/>
      </c>
      <c r="Q91" s="227" t="str">
        <f t="shared" ca="1" si="57"/>
        <v/>
      </c>
      <c r="R91" s="227" t="str">
        <f t="shared" ca="1" si="58"/>
        <v/>
      </c>
      <c r="T91" s="179" t="e">
        <f t="shared" ca="1" si="59"/>
        <v>#N/A</v>
      </c>
      <c r="U91" s="179" t="e">
        <f t="shared" ca="1" si="63"/>
        <v>#N/A</v>
      </c>
      <c r="V91" s="179" t="e">
        <f t="shared" ca="1" si="63"/>
        <v>#N/A</v>
      </c>
      <c r="W91" s="179">
        <f t="shared" ca="1" si="43"/>
        <v>221</v>
      </c>
      <c r="X91" s="179">
        <f t="shared" ca="1" si="64"/>
        <v>221</v>
      </c>
      <c r="Y91" s="179">
        <f t="shared" ca="1" si="64"/>
        <v>221</v>
      </c>
      <c r="Z91" s="179">
        <f t="shared" ca="1" si="44"/>
        <v>249</v>
      </c>
      <c r="AA91" s="179">
        <f t="shared" ca="1" si="65"/>
        <v>249</v>
      </c>
      <c r="AB91" s="179">
        <f t="shared" ca="1" si="65"/>
        <v>249</v>
      </c>
      <c r="AC91" s="179">
        <f t="shared" ca="1" si="45"/>
        <v>418</v>
      </c>
      <c r="AD91" s="179">
        <f t="shared" ca="1" si="66"/>
        <v>418</v>
      </c>
      <c r="AE91" s="179">
        <f t="shared" ca="1" si="66"/>
        <v>418</v>
      </c>
      <c r="AF91" s="179" t="e">
        <f t="shared" ca="1" si="46"/>
        <v>#N/A</v>
      </c>
      <c r="AG91" s="179" t="e">
        <f t="shared" ca="1" si="67"/>
        <v>#N/A</v>
      </c>
      <c r="AH91" s="179" t="e">
        <f t="shared" ca="1" si="67"/>
        <v>#N/A</v>
      </c>
    </row>
    <row r="92" spans="1:34" ht="15.75" customHeight="1">
      <c r="A92" s="449" t="s">
        <v>37</v>
      </c>
      <c r="B92" s="449" t="s">
        <v>390</v>
      </c>
      <c r="C92" s="449" t="s">
        <v>686</v>
      </c>
      <c r="D92" s="322" t="str">
        <f t="shared" ca="1" si="60"/>
        <v/>
      </c>
      <c r="E92" s="322" t="str">
        <f t="shared" ca="1" si="61"/>
        <v/>
      </c>
      <c r="F92" s="322" t="str">
        <f t="shared" ca="1" si="62"/>
        <v/>
      </c>
      <c r="G92" s="227" t="str">
        <f t="shared" ca="1" si="47"/>
        <v>D</v>
      </c>
      <c r="H92" s="227" t="str">
        <f t="shared" ca="1" si="48"/>
        <v>GOLDANIGA</v>
      </c>
      <c r="I92" s="227" t="str">
        <f t="shared" ca="1" si="49"/>
        <v>Sassuolo</v>
      </c>
      <c r="J92" s="227" t="str">
        <f t="shared" ca="1" si="50"/>
        <v>C</v>
      </c>
      <c r="K92" s="227" t="str">
        <f t="shared" ca="1" si="51"/>
        <v>ILICIC</v>
      </c>
      <c r="L92" s="227" t="str">
        <f t="shared" ca="1" si="52"/>
        <v>Atalanta</v>
      </c>
      <c r="M92" s="227" t="str">
        <f t="shared" ca="1" si="53"/>
        <v>A</v>
      </c>
      <c r="N92" s="227" t="str">
        <f t="shared" ca="1" si="54"/>
        <v>QUAGLIARELLA</v>
      </c>
      <c r="O92" s="227" t="str">
        <f t="shared" ca="1" si="55"/>
        <v>Sampdoria</v>
      </c>
      <c r="P92" s="227" t="str">
        <f t="shared" ca="1" si="56"/>
        <v/>
      </c>
      <c r="Q92" s="227" t="str">
        <f t="shared" ca="1" si="57"/>
        <v/>
      </c>
      <c r="R92" s="227" t="str">
        <f t="shared" ca="1" si="58"/>
        <v/>
      </c>
      <c r="T92" s="179" t="e">
        <f t="shared" ca="1" si="59"/>
        <v>#N/A</v>
      </c>
      <c r="U92" s="179" t="e">
        <f t="shared" ca="1" si="63"/>
        <v>#N/A</v>
      </c>
      <c r="V92" s="179" t="e">
        <f t="shared" ca="1" si="63"/>
        <v>#N/A</v>
      </c>
      <c r="W92" s="179">
        <f t="shared" ca="1" si="43"/>
        <v>222</v>
      </c>
      <c r="X92" s="179">
        <f t="shared" ca="1" si="64"/>
        <v>222</v>
      </c>
      <c r="Y92" s="179">
        <f t="shared" ca="1" si="64"/>
        <v>222</v>
      </c>
      <c r="Z92" s="179">
        <f t="shared" ca="1" si="44"/>
        <v>253</v>
      </c>
      <c r="AA92" s="179">
        <f t="shared" ca="1" si="65"/>
        <v>253</v>
      </c>
      <c r="AB92" s="179">
        <f t="shared" ca="1" si="65"/>
        <v>253</v>
      </c>
      <c r="AC92" s="179">
        <f t="shared" ca="1" si="45"/>
        <v>419</v>
      </c>
      <c r="AD92" s="179">
        <f t="shared" ca="1" si="66"/>
        <v>419</v>
      </c>
      <c r="AE92" s="179">
        <f t="shared" ca="1" si="66"/>
        <v>419</v>
      </c>
      <c r="AF92" s="179" t="e">
        <f t="shared" ca="1" si="46"/>
        <v>#N/A</v>
      </c>
      <c r="AG92" s="179" t="e">
        <f t="shared" ca="1" si="67"/>
        <v>#N/A</v>
      </c>
      <c r="AH92" s="179" t="e">
        <f t="shared" ca="1" si="67"/>
        <v>#N/A</v>
      </c>
    </row>
    <row r="93" spans="1:34" ht="15.75" customHeight="1">
      <c r="A93" s="449" t="s">
        <v>39</v>
      </c>
      <c r="B93" s="449" t="s">
        <v>1735</v>
      </c>
      <c r="C93" s="449" t="s">
        <v>678</v>
      </c>
      <c r="D93" s="322" t="str">
        <f t="shared" ca="1" si="60"/>
        <v/>
      </c>
      <c r="E93" s="322" t="str">
        <f t="shared" ca="1" si="61"/>
        <v/>
      </c>
      <c r="F93" s="322" t="str">
        <f t="shared" ca="1" si="62"/>
        <v/>
      </c>
      <c r="G93" s="227" t="str">
        <f t="shared" ca="1" si="47"/>
        <v>D</v>
      </c>
      <c r="H93" s="227" t="str">
        <f t="shared" ca="1" si="48"/>
        <v>GOMEZ G</v>
      </c>
      <c r="I93" s="227" t="str">
        <f t="shared" ca="1" si="49"/>
        <v>Milan</v>
      </c>
      <c r="J93" s="227" t="str">
        <f t="shared" ca="1" si="50"/>
        <v>C</v>
      </c>
      <c r="K93" s="227" t="str">
        <f t="shared" ca="1" si="51"/>
        <v>INGELSSON</v>
      </c>
      <c r="L93" s="227" t="str">
        <f t="shared" ca="1" si="52"/>
        <v>Udinese</v>
      </c>
      <c r="M93" s="227" t="str">
        <f t="shared" ca="1" si="53"/>
        <v>A</v>
      </c>
      <c r="N93" s="227" t="str">
        <f t="shared" ca="1" si="54"/>
        <v>RAGUSA</v>
      </c>
      <c r="O93" s="227" t="str">
        <f t="shared" ca="1" si="55"/>
        <v>Sassuolo</v>
      </c>
      <c r="P93" s="227" t="str">
        <f t="shared" ca="1" si="56"/>
        <v/>
      </c>
      <c r="Q93" s="227" t="str">
        <f t="shared" ca="1" si="57"/>
        <v/>
      </c>
      <c r="R93" s="227" t="str">
        <f t="shared" ca="1" si="58"/>
        <v/>
      </c>
      <c r="T93" s="179" t="e">
        <f t="shared" ca="1" si="59"/>
        <v>#N/A</v>
      </c>
      <c r="U93" s="179" t="e">
        <f t="shared" ca="1" si="63"/>
        <v>#N/A</v>
      </c>
      <c r="V93" s="179" t="e">
        <f t="shared" ca="1" si="63"/>
        <v>#N/A</v>
      </c>
      <c r="W93" s="179">
        <f t="shared" ca="1" si="43"/>
        <v>225</v>
      </c>
      <c r="X93" s="179">
        <f t="shared" ca="1" si="64"/>
        <v>225</v>
      </c>
      <c r="Y93" s="179">
        <f t="shared" ca="1" si="64"/>
        <v>225</v>
      </c>
      <c r="Z93" s="179">
        <f t="shared" ca="1" si="44"/>
        <v>255</v>
      </c>
      <c r="AA93" s="179">
        <f t="shared" ca="1" si="65"/>
        <v>255</v>
      </c>
      <c r="AB93" s="179">
        <f t="shared" ca="1" si="65"/>
        <v>255</v>
      </c>
      <c r="AC93" s="179">
        <f t="shared" ca="1" si="45"/>
        <v>424</v>
      </c>
      <c r="AD93" s="179">
        <f t="shared" ca="1" si="66"/>
        <v>424</v>
      </c>
      <c r="AE93" s="179">
        <f t="shared" ca="1" si="66"/>
        <v>424</v>
      </c>
      <c r="AF93" s="179" t="e">
        <f t="shared" ca="1" si="46"/>
        <v>#N/A</v>
      </c>
      <c r="AG93" s="179" t="e">
        <f t="shared" ca="1" si="67"/>
        <v>#N/A</v>
      </c>
      <c r="AH93" s="179" t="e">
        <f t="shared" ca="1" si="67"/>
        <v>#N/A</v>
      </c>
    </row>
    <row r="94" spans="1:34" ht="15.75" customHeight="1">
      <c r="A94" s="449" t="s">
        <v>43</v>
      </c>
      <c r="B94" s="449" t="s">
        <v>328</v>
      </c>
      <c r="C94" s="449" t="s">
        <v>681</v>
      </c>
      <c r="D94" s="322" t="str">
        <f t="shared" ca="1" si="60"/>
        <v/>
      </c>
      <c r="E94" s="322" t="str">
        <f t="shared" ca="1" si="61"/>
        <v/>
      </c>
      <c r="F94" s="322" t="str">
        <f t="shared" ca="1" si="62"/>
        <v/>
      </c>
      <c r="G94" s="227" t="str">
        <f t="shared" ca="1" si="47"/>
        <v>D</v>
      </c>
      <c r="H94" s="227" t="str">
        <f t="shared" ca="1" si="48"/>
        <v>GONZALEZ G</v>
      </c>
      <c r="I94" s="227" t="str">
        <f t="shared" ca="1" si="49"/>
        <v>Bologna</v>
      </c>
      <c r="J94" s="227" t="str">
        <f t="shared" ca="1" si="50"/>
        <v>C</v>
      </c>
      <c r="K94" s="227" t="str">
        <f t="shared" ca="1" si="51"/>
        <v>IONITA</v>
      </c>
      <c r="L94" s="227" t="str">
        <f t="shared" ca="1" si="52"/>
        <v>Cagliari</v>
      </c>
      <c r="M94" s="227" t="str">
        <f t="shared" ca="1" si="53"/>
        <v>A</v>
      </c>
      <c r="N94" s="227" t="str">
        <f t="shared" ca="1" si="54"/>
        <v>RICCI</v>
      </c>
      <c r="O94" s="227" t="str">
        <f t="shared" ca="1" si="55"/>
        <v>Genoa</v>
      </c>
      <c r="P94" s="227" t="str">
        <f t="shared" ca="1" si="56"/>
        <v/>
      </c>
      <c r="Q94" s="227" t="str">
        <f t="shared" ca="1" si="57"/>
        <v/>
      </c>
      <c r="R94" s="227" t="str">
        <f t="shared" ca="1" si="58"/>
        <v/>
      </c>
      <c r="T94" s="179" t="e">
        <f t="shared" ca="1" si="59"/>
        <v>#N/A</v>
      </c>
      <c r="U94" s="179" t="e">
        <f t="shared" ca="1" si="63"/>
        <v>#N/A</v>
      </c>
      <c r="V94" s="179" t="e">
        <f t="shared" ca="1" si="63"/>
        <v>#N/A</v>
      </c>
      <c r="W94" s="179">
        <f t="shared" ca="1" si="43"/>
        <v>228</v>
      </c>
      <c r="X94" s="179">
        <f t="shared" ca="1" si="64"/>
        <v>228</v>
      </c>
      <c r="Y94" s="179">
        <f t="shared" ca="1" si="64"/>
        <v>228</v>
      </c>
      <c r="Z94" s="179">
        <f t="shared" ca="1" si="44"/>
        <v>258</v>
      </c>
      <c r="AA94" s="179">
        <f t="shared" ca="1" si="65"/>
        <v>258</v>
      </c>
      <c r="AB94" s="179">
        <f t="shared" ca="1" si="65"/>
        <v>258</v>
      </c>
      <c r="AC94" s="179">
        <f t="shared" ca="1" si="45"/>
        <v>429</v>
      </c>
      <c r="AD94" s="179">
        <f t="shared" ca="1" si="66"/>
        <v>429</v>
      </c>
      <c r="AE94" s="179">
        <f t="shared" ca="1" si="66"/>
        <v>429</v>
      </c>
      <c r="AF94" s="179" t="e">
        <f t="shared" ca="1" si="46"/>
        <v>#N/A</v>
      </c>
      <c r="AG94" s="179" t="e">
        <f t="shared" ca="1" si="67"/>
        <v>#N/A</v>
      </c>
      <c r="AH94" s="179" t="e">
        <f t="shared" ca="1" si="67"/>
        <v>#N/A</v>
      </c>
    </row>
    <row r="95" spans="1:34" ht="15.75" customHeight="1">
      <c r="A95" s="449" t="s">
        <v>37</v>
      </c>
      <c r="B95" s="449" t="s">
        <v>1955</v>
      </c>
      <c r="C95" s="449" t="s">
        <v>677</v>
      </c>
      <c r="D95" s="322" t="str">
        <f t="shared" ca="1" si="60"/>
        <v/>
      </c>
      <c r="E95" s="322" t="str">
        <f t="shared" ca="1" si="61"/>
        <v/>
      </c>
      <c r="F95" s="322" t="str">
        <f t="shared" ca="1" si="62"/>
        <v/>
      </c>
      <c r="G95" s="227" t="str">
        <f t="shared" ca="1" si="47"/>
        <v>D</v>
      </c>
      <c r="H95" s="227" t="str">
        <f t="shared" ca="1" si="48"/>
        <v>GOSENS</v>
      </c>
      <c r="I95" s="227" t="str">
        <f t="shared" ca="1" si="49"/>
        <v>Atalanta</v>
      </c>
      <c r="J95" s="227" t="str">
        <f t="shared" ca="1" si="50"/>
        <v>C</v>
      </c>
      <c r="K95" s="227" t="str">
        <f t="shared" ca="1" si="51"/>
        <v>IZCO</v>
      </c>
      <c r="L95" s="227" t="str">
        <f t="shared" ca="1" si="52"/>
        <v>Crotone</v>
      </c>
      <c r="M95" s="227" t="str">
        <f t="shared" ca="1" si="53"/>
        <v>A</v>
      </c>
      <c r="N95" s="227" t="str">
        <f t="shared" ca="1" si="54"/>
        <v>SADIQ</v>
      </c>
      <c r="O95" s="227" t="str">
        <f t="shared" ca="1" si="55"/>
        <v>Torino</v>
      </c>
      <c r="P95" s="227" t="str">
        <f t="shared" ca="1" si="56"/>
        <v/>
      </c>
      <c r="Q95" s="227" t="str">
        <f t="shared" ca="1" si="57"/>
        <v/>
      </c>
      <c r="R95" s="227" t="str">
        <f t="shared" ca="1" si="58"/>
        <v/>
      </c>
      <c r="T95" s="179" t="e">
        <f t="shared" ca="1" si="59"/>
        <v>#N/A</v>
      </c>
      <c r="U95" s="179" t="e">
        <f t="shared" ca="1" si="63"/>
        <v>#N/A</v>
      </c>
      <c r="V95" s="179" t="e">
        <f t="shared" ca="1" si="63"/>
        <v>#N/A</v>
      </c>
      <c r="W95" s="179">
        <f t="shared" ca="1" si="43"/>
        <v>229</v>
      </c>
      <c r="X95" s="179">
        <f t="shared" ca="1" si="64"/>
        <v>229</v>
      </c>
      <c r="Y95" s="179">
        <f t="shared" ca="1" si="64"/>
        <v>229</v>
      </c>
      <c r="Z95" s="179">
        <f t="shared" ca="1" si="44"/>
        <v>259</v>
      </c>
      <c r="AA95" s="179">
        <f t="shared" ca="1" si="65"/>
        <v>259</v>
      </c>
      <c r="AB95" s="179">
        <f t="shared" ca="1" si="65"/>
        <v>259</v>
      </c>
      <c r="AC95" s="179">
        <f t="shared" ca="1" si="45"/>
        <v>447</v>
      </c>
      <c r="AD95" s="179">
        <f t="shared" ca="1" si="66"/>
        <v>447</v>
      </c>
      <c r="AE95" s="179">
        <f t="shared" ca="1" si="66"/>
        <v>447</v>
      </c>
      <c r="AF95" s="179" t="e">
        <f t="shared" ca="1" si="46"/>
        <v>#N/A</v>
      </c>
      <c r="AG95" s="179" t="e">
        <f t="shared" ca="1" si="67"/>
        <v>#N/A</v>
      </c>
      <c r="AH95" s="179" t="e">
        <f t="shared" ca="1" si="67"/>
        <v>#N/A</v>
      </c>
    </row>
    <row r="96" spans="1:34" ht="15.75" customHeight="1">
      <c r="A96" s="449" t="s">
        <v>39</v>
      </c>
      <c r="B96" s="449" t="s">
        <v>378</v>
      </c>
      <c r="C96" s="449" t="s">
        <v>677</v>
      </c>
      <c r="D96" s="322" t="str">
        <f t="shared" ca="1" si="60"/>
        <v/>
      </c>
      <c r="E96" s="322" t="str">
        <f t="shared" ca="1" si="61"/>
        <v/>
      </c>
      <c r="F96" s="322" t="str">
        <f t="shared" ca="1" si="62"/>
        <v/>
      </c>
      <c r="G96" s="227" t="str">
        <f t="shared" ca="1" si="47"/>
        <v>D</v>
      </c>
      <c r="H96" s="227" t="str">
        <f t="shared" ca="1" si="48"/>
        <v>GRAVILLON</v>
      </c>
      <c r="I96" s="227" t="str">
        <f t="shared" ca="1" si="49"/>
        <v>Benevento</v>
      </c>
      <c r="J96" s="227" t="str">
        <f t="shared" ca="1" si="50"/>
        <v>C</v>
      </c>
      <c r="K96" s="227" t="str">
        <f t="shared" ca="1" si="51"/>
        <v>JANKTO</v>
      </c>
      <c r="L96" s="227" t="str">
        <f t="shared" ca="1" si="52"/>
        <v>Udinese</v>
      </c>
      <c r="M96" s="227" t="str">
        <f t="shared" ca="1" si="53"/>
        <v>A</v>
      </c>
      <c r="N96" s="227" t="str">
        <f t="shared" ca="1" si="54"/>
        <v>SALCEDO MORA</v>
      </c>
      <c r="O96" s="227" t="str">
        <f t="shared" ca="1" si="55"/>
        <v>Genoa</v>
      </c>
      <c r="P96" s="227" t="str">
        <f t="shared" ca="1" si="56"/>
        <v/>
      </c>
      <c r="Q96" s="227" t="str">
        <f t="shared" ca="1" si="57"/>
        <v/>
      </c>
      <c r="R96" s="227" t="str">
        <f t="shared" ca="1" si="58"/>
        <v/>
      </c>
      <c r="T96" s="179" t="e">
        <f t="shared" ca="1" si="59"/>
        <v>#N/A</v>
      </c>
      <c r="U96" s="179" t="e">
        <f t="shared" ca="1" si="63"/>
        <v>#N/A</v>
      </c>
      <c r="V96" s="179" t="e">
        <f t="shared" ca="1" si="63"/>
        <v>#N/A</v>
      </c>
      <c r="W96" s="179">
        <f t="shared" ca="1" si="43"/>
        <v>231</v>
      </c>
      <c r="X96" s="179">
        <f t="shared" ca="1" si="64"/>
        <v>231</v>
      </c>
      <c r="Y96" s="179">
        <f t="shared" ca="1" si="64"/>
        <v>231</v>
      </c>
      <c r="Z96" s="179">
        <f t="shared" ca="1" si="44"/>
        <v>261</v>
      </c>
      <c r="AA96" s="179">
        <f t="shared" ca="1" si="65"/>
        <v>261</v>
      </c>
      <c r="AB96" s="179">
        <f t="shared" ca="1" si="65"/>
        <v>261</v>
      </c>
      <c r="AC96" s="179">
        <f t="shared" ca="1" si="45"/>
        <v>450</v>
      </c>
      <c r="AD96" s="179">
        <f t="shared" ca="1" si="66"/>
        <v>450</v>
      </c>
      <c r="AE96" s="179">
        <f t="shared" ca="1" si="66"/>
        <v>450</v>
      </c>
      <c r="AF96" s="179" t="e">
        <f t="shared" ca="1" si="46"/>
        <v>#N/A</v>
      </c>
      <c r="AG96" s="179" t="e">
        <f t="shared" ca="1" si="67"/>
        <v>#N/A</v>
      </c>
      <c r="AH96" s="179" t="e">
        <f t="shared" ca="1" si="67"/>
        <v>#N/A</v>
      </c>
    </row>
    <row r="97" spans="1:34" ht="15.75" customHeight="1">
      <c r="A97" s="449" t="s">
        <v>37</v>
      </c>
      <c r="B97" s="449" t="s">
        <v>394</v>
      </c>
      <c r="C97" s="449" t="s">
        <v>685</v>
      </c>
      <c r="D97" s="322" t="str">
        <f t="shared" ca="1" si="60"/>
        <v/>
      </c>
      <c r="E97" s="322" t="str">
        <f t="shared" ca="1" si="61"/>
        <v/>
      </c>
      <c r="F97" s="322" t="str">
        <f t="shared" ca="1" si="62"/>
        <v/>
      </c>
      <c r="G97" s="227" t="str">
        <f t="shared" ca="1" si="47"/>
        <v>D</v>
      </c>
      <c r="H97" s="227" t="str">
        <f t="shared" ca="1" si="48"/>
        <v>GYAMFI</v>
      </c>
      <c r="I97" s="227" t="str">
        <f t="shared" ca="1" si="49"/>
        <v>Benevento</v>
      </c>
      <c r="J97" s="227" t="str">
        <f t="shared" ca="1" si="50"/>
        <v>C</v>
      </c>
      <c r="K97" s="227" t="str">
        <f t="shared" ca="1" si="51"/>
        <v>JOAO MARIO</v>
      </c>
      <c r="L97" s="227" t="str">
        <f t="shared" ca="1" si="52"/>
        <v>Inter</v>
      </c>
      <c r="M97" s="227" t="str">
        <f t="shared" ca="1" si="53"/>
        <v>A</v>
      </c>
      <c r="N97" s="227" t="str">
        <f t="shared" ca="1" si="54"/>
        <v>SAU</v>
      </c>
      <c r="O97" s="227" t="str">
        <f t="shared" ca="1" si="55"/>
        <v>Cagliari</v>
      </c>
      <c r="P97" s="227" t="str">
        <f t="shared" ca="1" si="56"/>
        <v/>
      </c>
      <c r="Q97" s="227" t="str">
        <f t="shared" ca="1" si="57"/>
        <v/>
      </c>
      <c r="R97" s="227" t="str">
        <f t="shared" ca="1" si="58"/>
        <v/>
      </c>
      <c r="T97" s="179" t="e">
        <f t="shared" ca="1" si="59"/>
        <v>#N/A</v>
      </c>
      <c r="U97" s="179" t="e">
        <f t="shared" ca="1" si="63"/>
        <v>#N/A</v>
      </c>
      <c r="V97" s="179" t="e">
        <f t="shared" ca="1" si="63"/>
        <v>#N/A</v>
      </c>
      <c r="W97" s="179">
        <f t="shared" ca="1" si="43"/>
        <v>234</v>
      </c>
      <c r="X97" s="179">
        <f t="shared" ca="1" si="64"/>
        <v>234</v>
      </c>
      <c r="Y97" s="179">
        <f t="shared" ca="1" si="64"/>
        <v>234</v>
      </c>
      <c r="Z97" s="179">
        <f t="shared" ca="1" si="44"/>
        <v>263</v>
      </c>
      <c r="AA97" s="179">
        <f t="shared" ca="1" si="65"/>
        <v>263</v>
      </c>
      <c r="AB97" s="179">
        <f t="shared" ca="1" si="65"/>
        <v>263</v>
      </c>
      <c r="AC97" s="179">
        <f t="shared" ca="1" si="45"/>
        <v>458</v>
      </c>
      <c r="AD97" s="179">
        <f t="shared" ca="1" si="66"/>
        <v>458</v>
      </c>
      <c r="AE97" s="179">
        <f t="shared" ca="1" si="66"/>
        <v>458</v>
      </c>
      <c r="AF97" s="179" t="e">
        <f t="shared" ca="1" si="46"/>
        <v>#N/A</v>
      </c>
      <c r="AG97" s="179" t="e">
        <f t="shared" ca="1" si="67"/>
        <v>#N/A</v>
      </c>
      <c r="AH97" s="179" t="e">
        <f t="shared" ca="1" si="67"/>
        <v>#N/A</v>
      </c>
    </row>
    <row r="98" spans="1:34" ht="15.75" customHeight="1">
      <c r="A98" s="449" t="s">
        <v>39</v>
      </c>
      <c r="B98" s="449" t="s">
        <v>383</v>
      </c>
      <c r="C98" s="449" t="s">
        <v>688</v>
      </c>
      <c r="D98" s="322" t="str">
        <f t="shared" ca="1" si="60"/>
        <v/>
      </c>
      <c r="E98" s="322" t="str">
        <f t="shared" ca="1" si="61"/>
        <v/>
      </c>
      <c r="F98" s="322" t="str">
        <f t="shared" ca="1" si="62"/>
        <v/>
      </c>
      <c r="G98" s="227" t="str">
        <f t="shared" ca="1" si="47"/>
        <v>D</v>
      </c>
      <c r="H98" s="227" t="str">
        <f t="shared" ca="1" si="48"/>
        <v>HATEBOER</v>
      </c>
      <c r="I98" s="227" t="str">
        <f t="shared" ca="1" si="49"/>
        <v>Atalanta</v>
      </c>
      <c r="J98" s="227" t="str">
        <f t="shared" ca="1" si="50"/>
        <v>C</v>
      </c>
      <c r="K98" s="227" t="str">
        <f t="shared" ca="1" si="51"/>
        <v>JOAO PEDRO</v>
      </c>
      <c r="L98" s="227" t="str">
        <f t="shared" ca="1" si="52"/>
        <v>Cagliari</v>
      </c>
      <c r="M98" s="227" t="str">
        <f t="shared" ca="1" si="53"/>
        <v>A</v>
      </c>
      <c r="N98" s="227" t="str">
        <f t="shared" ca="1" si="54"/>
        <v>SCAMACCA</v>
      </c>
      <c r="O98" s="227" t="str">
        <f t="shared" ca="1" si="55"/>
        <v>Sassuolo</v>
      </c>
      <c r="P98" s="227" t="str">
        <f t="shared" ca="1" si="56"/>
        <v/>
      </c>
      <c r="Q98" s="227" t="str">
        <f t="shared" ca="1" si="57"/>
        <v/>
      </c>
      <c r="R98" s="227" t="str">
        <f t="shared" ca="1" si="58"/>
        <v/>
      </c>
      <c r="T98" s="179" t="e">
        <f t="shared" ca="1" si="59"/>
        <v>#N/A</v>
      </c>
      <c r="U98" s="179" t="e">
        <f t="shared" ca="1" si="63"/>
        <v>#N/A</v>
      </c>
      <c r="V98" s="179" t="e">
        <f t="shared" ca="1" si="63"/>
        <v>#N/A</v>
      </c>
      <c r="W98" s="179">
        <f t="shared" ca="1" si="43"/>
        <v>240</v>
      </c>
      <c r="X98" s="179">
        <f t="shared" ca="1" si="64"/>
        <v>240</v>
      </c>
      <c r="Y98" s="179">
        <f t="shared" ca="1" si="64"/>
        <v>240</v>
      </c>
      <c r="Z98" s="179">
        <f t="shared" ca="1" si="44"/>
        <v>264</v>
      </c>
      <c r="AA98" s="179">
        <f t="shared" ca="1" si="65"/>
        <v>264</v>
      </c>
      <c r="AB98" s="179">
        <f t="shared" ca="1" si="65"/>
        <v>264</v>
      </c>
      <c r="AC98" s="179">
        <f t="shared" ca="1" si="45"/>
        <v>459</v>
      </c>
      <c r="AD98" s="179">
        <f t="shared" ca="1" si="66"/>
        <v>459</v>
      </c>
      <c r="AE98" s="179">
        <f t="shared" ca="1" si="66"/>
        <v>459</v>
      </c>
      <c r="AF98" s="179" t="e">
        <f t="shared" ca="1" si="46"/>
        <v>#N/A</v>
      </c>
      <c r="AG98" s="179" t="e">
        <f t="shared" ca="1" si="67"/>
        <v>#N/A</v>
      </c>
      <c r="AH98" s="179" t="e">
        <f t="shared" ca="1" si="67"/>
        <v>#N/A</v>
      </c>
    </row>
    <row r="99" spans="1:34" ht="15.75" customHeight="1">
      <c r="A99" s="449" t="s">
        <v>43</v>
      </c>
      <c r="B99" s="449" t="s">
        <v>331</v>
      </c>
      <c r="C99" s="449" t="s">
        <v>688</v>
      </c>
      <c r="D99" s="322" t="str">
        <f t="shared" ca="1" si="60"/>
        <v/>
      </c>
      <c r="E99" s="322" t="str">
        <f t="shared" ca="1" si="61"/>
        <v/>
      </c>
      <c r="F99" s="322" t="str">
        <f t="shared" ca="1" si="62"/>
        <v/>
      </c>
      <c r="G99" s="227" t="str">
        <f t="shared" ca="1" si="47"/>
        <v>D</v>
      </c>
      <c r="H99" s="227" t="str">
        <f t="shared" ca="1" si="48"/>
        <v>HECTOR MORENO</v>
      </c>
      <c r="I99" s="227" t="str">
        <f t="shared" ca="1" si="49"/>
        <v>Roma</v>
      </c>
      <c r="J99" s="227" t="str">
        <f t="shared" ca="1" si="50"/>
        <v>C</v>
      </c>
      <c r="K99" s="227" t="str">
        <f t="shared" ca="1" si="51"/>
        <v>JOAO SCHMIDT</v>
      </c>
      <c r="L99" s="227" t="str">
        <f t="shared" ca="1" si="52"/>
        <v>Atalanta</v>
      </c>
      <c r="M99" s="227" t="str">
        <f t="shared" ca="1" si="53"/>
        <v>A</v>
      </c>
      <c r="N99" s="227" t="str">
        <f t="shared" ca="1" si="54"/>
        <v>SCHICK</v>
      </c>
      <c r="O99" s="227" t="str">
        <f t="shared" ca="1" si="55"/>
        <v>Roma</v>
      </c>
      <c r="P99" s="227" t="str">
        <f t="shared" ca="1" si="56"/>
        <v/>
      </c>
      <c r="Q99" s="227" t="str">
        <f t="shared" ca="1" si="57"/>
        <v/>
      </c>
      <c r="R99" s="227" t="str">
        <f t="shared" ca="1" si="58"/>
        <v/>
      </c>
      <c r="T99" s="179" t="e">
        <f t="shared" ca="1" si="59"/>
        <v>#N/A</v>
      </c>
      <c r="U99" s="179" t="e">
        <f t="shared" ca="1" si="63"/>
        <v>#N/A</v>
      </c>
      <c r="V99" s="179" t="e">
        <f t="shared" ca="1" si="63"/>
        <v>#N/A</v>
      </c>
      <c r="W99" s="179">
        <f t="shared" ca="1" si="43"/>
        <v>241</v>
      </c>
      <c r="X99" s="179">
        <f t="shared" ca="1" si="64"/>
        <v>241</v>
      </c>
      <c r="Y99" s="179">
        <f t="shared" ca="1" si="64"/>
        <v>241</v>
      </c>
      <c r="Z99" s="179">
        <f t="shared" ca="1" si="44"/>
        <v>265</v>
      </c>
      <c r="AA99" s="179">
        <f t="shared" ca="1" si="65"/>
        <v>265</v>
      </c>
      <c r="AB99" s="179">
        <f t="shared" ca="1" si="65"/>
        <v>265</v>
      </c>
      <c r="AC99" s="179">
        <f t="shared" ca="1" si="45"/>
        <v>462</v>
      </c>
      <c r="AD99" s="179">
        <f t="shared" ca="1" si="66"/>
        <v>462</v>
      </c>
      <c r="AE99" s="179">
        <f t="shared" ca="1" si="66"/>
        <v>462</v>
      </c>
      <c r="AF99" s="179" t="e">
        <f t="shared" ca="1" si="46"/>
        <v>#N/A</v>
      </c>
      <c r="AG99" s="179" t="e">
        <f t="shared" ca="1" si="67"/>
        <v>#N/A</v>
      </c>
      <c r="AH99" s="179" t="e">
        <f t="shared" ca="1" si="67"/>
        <v>#N/A</v>
      </c>
    </row>
    <row r="100" spans="1:34" ht="15.75" customHeight="1">
      <c r="A100" s="449" t="s">
        <v>37</v>
      </c>
      <c r="B100" s="449" t="s">
        <v>397</v>
      </c>
      <c r="C100" s="449" t="s">
        <v>700</v>
      </c>
      <c r="D100" s="322" t="str">
        <f t="shared" ca="1" si="60"/>
        <v/>
      </c>
      <c r="E100" s="322" t="str">
        <f t="shared" ca="1" si="61"/>
        <v/>
      </c>
      <c r="F100" s="322" t="str">
        <f t="shared" ca="1" si="62"/>
        <v/>
      </c>
      <c r="G100" s="227" t="str">
        <f t="shared" ca="1" si="47"/>
        <v>D</v>
      </c>
      <c r="H100" s="227" t="str">
        <f t="shared" ca="1" si="48"/>
        <v>HELANDER</v>
      </c>
      <c r="I100" s="227" t="str">
        <f t="shared" ca="1" si="49"/>
        <v>Bologna</v>
      </c>
      <c r="J100" s="227" t="str">
        <f t="shared" ca="1" si="50"/>
        <v>C</v>
      </c>
      <c r="K100" s="227" t="str">
        <f t="shared" ca="1" si="51"/>
        <v>JORGINHO</v>
      </c>
      <c r="L100" s="227" t="str">
        <f t="shared" ca="1" si="52"/>
        <v>Napoli</v>
      </c>
      <c r="M100" s="227" t="str">
        <f t="shared" ca="1" si="53"/>
        <v>A</v>
      </c>
      <c r="N100" s="227" t="str">
        <f t="shared" ca="1" si="54"/>
        <v>SIMEONE</v>
      </c>
      <c r="O100" s="227" t="str">
        <f t="shared" ca="1" si="55"/>
        <v>Fiorentina</v>
      </c>
      <c r="P100" s="227" t="str">
        <f t="shared" ca="1" si="56"/>
        <v/>
      </c>
      <c r="Q100" s="227" t="str">
        <f t="shared" ca="1" si="57"/>
        <v/>
      </c>
      <c r="R100" s="227" t="str">
        <f t="shared" ca="1" si="58"/>
        <v/>
      </c>
      <c r="T100" s="179" t="e">
        <f t="shared" ca="1" si="59"/>
        <v>#N/A</v>
      </c>
      <c r="U100" s="179" t="e">
        <f t="shared" ca="1" si="63"/>
        <v>#N/A</v>
      </c>
      <c r="V100" s="179" t="e">
        <f t="shared" ca="1" si="63"/>
        <v>#N/A</v>
      </c>
      <c r="W100" s="179">
        <f t="shared" ca="1" si="43"/>
        <v>242</v>
      </c>
      <c r="X100" s="179">
        <f t="shared" ca="1" si="64"/>
        <v>242</v>
      </c>
      <c r="Y100" s="179">
        <f t="shared" ca="1" si="64"/>
        <v>242</v>
      </c>
      <c r="Z100" s="179">
        <f t="shared" ca="1" si="44"/>
        <v>266</v>
      </c>
      <c r="AA100" s="179">
        <f t="shared" ca="1" si="65"/>
        <v>266</v>
      </c>
      <c r="AB100" s="179">
        <f t="shared" ca="1" si="65"/>
        <v>266</v>
      </c>
      <c r="AC100" s="179">
        <f t="shared" ca="1" si="45"/>
        <v>469</v>
      </c>
      <c r="AD100" s="179">
        <f t="shared" ca="1" si="66"/>
        <v>469</v>
      </c>
      <c r="AE100" s="179">
        <f t="shared" ca="1" si="66"/>
        <v>469</v>
      </c>
      <c r="AF100" s="179" t="e">
        <f t="shared" ca="1" si="46"/>
        <v>#N/A</v>
      </c>
      <c r="AG100" s="179" t="e">
        <f t="shared" ca="1" si="67"/>
        <v>#N/A</v>
      </c>
      <c r="AH100" s="179" t="e">
        <f t="shared" ca="1" si="67"/>
        <v>#N/A</v>
      </c>
    </row>
    <row r="101" spans="1:34" ht="15.75" customHeight="1">
      <c r="A101" s="449" t="s">
        <v>37</v>
      </c>
      <c r="B101" s="449" t="s">
        <v>1863</v>
      </c>
      <c r="C101" s="449" t="s">
        <v>1674</v>
      </c>
      <c r="D101" s="322" t="str">
        <f t="shared" ca="1" si="60"/>
        <v/>
      </c>
      <c r="E101" s="322" t="str">
        <f t="shared" ca="1" si="61"/>
        <v/>
      </c>
      <c r="F101" s="322" t="str">
        <f t="shared" ca="1" si="62"/>
        <v/>
      </c>
      <c r="G101" s="227" t="str">
        <f t="shared" ca="1" si="47"/>
        <v>D</v>
      </c>
      <c r="H101" s="227" t="str">
        <f t="shared" ca="1" si="48"/>
        <v>HEURTAUX</v>
      </c>
      <c r="I101" s="227" t="str">
        <f t="shared" ca="1" si="49"/>
        <v>Verona</v>
      </c>
      <c r="J101" s="227" t="str">
        <f t="shared" ca="1" si="50"/>
        <v>C</v>
      </c>
      <c r="K101" s="227" t="str">
        <f t="shared" ca="1" si="51"/>
        <v>JOSE' SOSA</v>
      </c>
      <c r="L101" s="227" t="str">
        <f t="shared" ca="1" si="52"/>
        <v>Milan</v>
      </c>
      <c r="M101" s="227" t="str">
        <f t="shared" ca="1" si="53"/>
        <v>A</v>
      </c>
      <c r="N101" s="227" t="str">
        <f t="shared" ca="1" si="54"/>
        <v>SIMY</v>
      </c>
      <c r="O101" s="227" t="str">
        <f t="shared" ca="1" si="55"/>
        <v>Crotone</v>
      </c>
      <c r="P101" s="227" t="str">
        <f t="shared" ca="1" si="56"/>
        <v/>
      </c>
      <c r="Q101" s="227" t="str">
        <f t="shared" ca="1" si="57"/>
        <v/>
      </c>
      <c r="R101" s="227" t="str">
        <f t="shared" ca="1" si="58"/>
        <v/>
      </c>
      <c r="T101" s="179" t="e">
        <f t="shared" ca="1" si="59"/>
        <v>#N/A</v>
      </c>
      <c r="U101" s="179" t="e">
        <f t="shared" ca="1" si="63"/>
        <v>#N/A</v>
      </c>
      <c r="V101" s="179" t="e">
        <f t="shared" ca="1" si="63"/>
        <v>#N/A</v>
      </c>
      <c r="W101" s="179">
        <f t="shared" ca="1" si="43"/>
        <v>244</v>
      </c>
      <c r="X101" s="179">
        <f t="shared" ca="1" si="64"/>
        <v>244</v>
      </c>
      <c r="Y101" s="179">
        <f t="shared" ca="1" si="64"/>
        <v>244</v>
      </c>
      <c r="Z101" s="179">
        <f t="shared" ca="1" si="44"/>
        <v>267</v>
      </c>
      <c r="AA101" s="179">
        <f t="shared" ca="1" si="65"/>
        <v>267</v>
      </c>
      <c r="AB101" s="179">
        <f t="shared" ca="1" si="65"/>
        <v>267</v>
      </c>
      <c r="AC101" s="179">
        <f t="shared" ca="1" si="45"/>
        <v>471</v>
      </c>
      <c r="AD101" s="179">
        <f t="shared" ca="1" si="66"/>
        <v>471</v>
      </c>
      <c r="AE101" s="179">
        <f t="shared" ca="1" si="66"/>
        <v>471</v>
      </c>
      <c r="AF101" s="179" t="e">
        <f t="shared" ca="1" si="46"/>
        <v>#N/A</v>
      </c>
      <c r="AG101" s="179" t="e">
        <f t="shared" ca="1" si="67"/>
        <v>#N/A</v>
      </c>
      <c r="AH101" s="179" t="e">
        <f t="shared" ca="1" si="67"/>
        <v>#N/A</v>
      </c>
    </row>
    <row r="102" spans="1:34" ht="15.75" customHeight="1">
      <c r="A102" s="449" t="s">
        <v>39</v>
      </c>
      <c r="B102" s="449" t="s">
        <v>1772</v>
      </c>
      <c r="C102" s="449" t="s">
        <v>685</v>
      </c>
      <c r="D102" s="322" t="str">
        <f t="shared" ca="1" si="60"/>
        <v/>
      </c>
      <c r="E102" s="322" t="str">
        <f t="shared" ca="1" si="61"/>
        <v/>
      </c>
      <c r="F102" s="322" t="str">
        <f t="shared" ca="1" si="62"/>
        <v/>
      </c>
      <c r="G102" s="227" t="str">
        <f t="shared" ca="1" si="47"/>
        <v>D</v>
      </c>
      <c r="H102" s="227" t="str">
        <f t="shared" ca="1" si="48"/>
        <v>HOWEDES</v>
      </c>
      <c r="I102" s="227" t="str">
        <f t="shared" ca="1" si="49"/>
        <v>Juventus</v>
      </c>
      <c r="J102" s="227" t="str">
        <f t="shared" ca="1" si="50"/>
        <v>C</v>
      </c>
      <c r="K102" s="227" t="str">
        <f t="shared" ca="1" si="51"/>
        <v>KESSIE'</v>
      </c>
      <c r="L102" s="227" t="str">
        <f t="shared" ca="1" si="52"/>
        <v>Milan</v>
      </c>
      <c r="M102" s="227" t="str">
        <f t="shared" ca="1" si="53"/>
        <v>A</v>
      </c>
      <c r="N102" s="227" t="str">
        <f t="shared" ca="1" si="54"/>
        <v>STEPINSKI</v>
      </c>
      <c r="O102" s="227" t="str">
        <f t="shared" ca="1" si="55"/>
        <v>Chievo</v>
      </c>
      <c r="P102" s="227" t="str">
        <f t="shared" ca="1" si="56"/>
        <v/>
      </c>
      <c r="Q102" s="227" t="str">
        <f t="shared" ca="1" si="57"/>
        <v/>
      </c>
      <c r="R102" s="227" t="str">
        <f t="shared" ca="1" si="58"/>
        <v/>
      </c>
      <c r="T102" s="179" t="e">
        <f t="shared" ca="1" si="59"/>
        <v>#N/A</v>
      </c>
      <c r="U102" s="179" t="e">
        <f t="shared" ca="1" si="63"/>
        <v>#N/A</v>
      </c>
      <c r="V102" s="179" t="e">
        <f t="shared" ca="1" si="63"/>
        <v>#N/A</v>
      </c>
      <c r="W102" s="179">
        <f t="shared" ca="1" si="43"/>
        <v>246</v>
      </c>
      <c r="X102" s="179">
        <f t="shared" ca="1" si="64"/>
        <v>246</v>
      </c>
      <c r="Y102" s="179">
        <f t="shared" ca="1" si="64"/>
        <v>246</v>
      </c>
      <c r="Z102" s="179">
        <f t="shared" ca="1" si="44"/>
        <v>274</v>
      </c>
      <c r="AA102" s="179">
        <f t="shared" ca="1" si="65"/>
        <v>274</v>
      </c>
      <c r="AB102" s="179">
        <f t="shared" ca="1" si="65"/>
        <v>274</v>
      </c>
      <c r="AC102" s="179">
        <f t="shared" ca="1" si="45"/>
        <v>480</v>
      </c>
      <c r="AD102" s="179">
        <f t="shared" ca="1" si="66"/>
        <v>480</v>
      </c>
      <c r="AE102" s="179">
        <f t="shared" ca="1" si="66"/>
        <v>480</v>
      </c>
      <c r="AF102" s="179" t="e">
        <f t="shared" ca="1" si="46"/>
        <v>#N/A</v>
      </c>
      <c r="AG102" s="179" t="e">
        <f t="shared" ca="1" si="67"/>
        <v>#N/A</v>
      </c>
      <c r="AH102" s="179" t="e">
        <f t="shared" ca="1" si="67"/>
        <v>#N/A</v>
      </c>
    </row>
    <row r="103" spans="1:34" ht="15.75" customHeight="1">
      <c r="A103" s="449" t="s">
        <v>37</v>
      </c>
      <c r="B103" s="449" t="s">
        <v>1702</v>
      </c>
      <c r="C103" s="449" t="s">
        <v>686</v>
      </c>
      <c r="D103" s="322" t="str">
        <f t="shared" ca="1" si="60"/>
        <v/>
      </c>
      <c r="E103" s="322" t="str">
        <f t="shared" ca="1" si="61"/>
        <v/>
      </c>
      <c r="F103" s="322" t="str">
        <f t="shared" ca="1" si="62"/>
        <v/>
      </c>
      <c r="G103" s="227" t="str">
        <f t="shared" ca="1" si="47"/>
        <v>D</v>
      </c>
      <c r="H103" s="227" t="str">
        <f t="shared" ca="1" si="48"/>
        <v>HRISTOV</v>
      </c>
      <c r="I103" s="227" t="str">
        <f t="shared" ca="1" si="49"/>
        <v>Fiorentina</v>
      </c>
      <c r="J103" s="227" t="str">
        <f t="shared" ca="1" si="50"/>
        <v>C</v>
      </c>
      <c r="K103" s="227" t="str">
        <f t="shared" ca="1" si="51"/>
        <v>KHEDIRA</v>
      </c>
      <c r="L103" s="227" t="str">
        <f t="shared" ca="1" si="52"/>
        <v>Juventus</v>
      </c>
      <c r="M103" s="227" t="str">
        <f t="shared" ca="1" si="53"/>
        <v>A</v>
      </c>
      <c r="N103" s="227" t="str">
        <f t="shared" ca="1" si="54"/>
        <v>SUSO</v>
      </c>
      <c r="O103" s="227" t="str">
        <f t="shared" ca="1" si="55"/>
        <v>Milan</v>
      </c>
      <c r="P103" s="227" t="str">
        <f t="shared" ca="1" si="56"/>
        <v/>
      </c>
      <c r="Q103" s="227" t="str">
        <f t="shared" ca="1" si="57"/>
        <v/>
      </c>
      <c r="R103" s="227" t="str">
        <f t="shared" ca="1" si="58"/>
        <v/>
      </c>
      <c r="T103" s="179" t="e">
        <f t="shared" ca="1" si="59"/>
        <v>#N/A</v>
      </c>
      <c r="U103" s="179" t="e">
        <f t="shared" ca="1" si="63"/>
        <v>#N/A</v>
      </c>
      <c r="V103" s="179" t="e">
        <f t="shared" ca="1" si="63"/>
        <v>#N/A</v>
      </c>
      <c r="W103" s="179">
        <f t="shared" ca="1" si="43"/>
        <v>247</v>
      </c>
      <c r="X103" s="179">
        <f t="shared" ca="1" si="64"/>
        <v>247</v>
      </c>
      <c r="Y103" s="179">
        <f t="shared" ca="1" si="64"/>
        <v>247</v>
      </c>
      <c r="Z103" s="179">
        <f t="shared" ca="1" si="44"/>
        <v>275</v>
      </c>
      <c r="AA103" s="179">
        <f t="shared" ca="1" si="65"/>
        <v>275</v>
      </c>
      <c r="AB103" s="179">
        <f t="shared" ca="1" si="65"/>
        <v>275</v>
      </c>
      <c r="AC103" s="179">
        <f t="shared" ca="1" si="45"/>
        <v>489</v>
      </c>
      <c r="AD103" s="179">
        <f t="shared" ca="1" si="66"/>
        <v>489</v>
      </c>
      <c r="AE103" s="179">
        <f t="shared" ca="1" si="66"/>
        <v>489</v>
      </c>
      <c r="AF103" s="179" t="e">
        <f t="shared" ca="1" si="46"/>
        <v>#N/A</v>
      </c>
      <c r="AG103" s="179" t="e">
        <f t="shared" ca="1" si="67"/>
        <v>#N/A</v>
      </c>
      <c r="AH103" s="179" t="e">
        <f t="shared" ca="1" si="67"/>
        <v>#N/A</v>
      </c>
    </row>
    <row r="104" spans="1:34" ht="15.75" customHeight="1">
      <c r="A104" s="449" t="s">
        <v>37</v>
      </c>
      <c r="B104" s="449" t="s">
        <v>399</v>
      </c>
      <c r="C104" s="449" t="s">
        <v>695</v>
      </c>
      <c r="D104" s="322" t="str">
        <f t="shared" ca="1" si="60"/>
        <v/>
      </c>
      <c r="E104" s="322" t="str">
        <f t="shared" ca="1" si="61"/>
        <v/>
      </c>
      <c r="F104" s="322" t="str">
        <f t="shared" ca="1" si="62"/>
        <v/>
      </c>
      <c r="G104" s="227" t="str">
        <f t="shared" ca="1" si="47"/>
        <v>D</v>
      </c>
      <c r="H104" s="227" t="str">
        <f t="shared" ca="1" si="48"/>
        <v>HYSAJ</v>
      </c>
      <c r="I104" s="227" t="str">
        <f t="shared" ca="1" si="49"/>
        <v>Napoli</v>
      </c>
      <c r="J104" s="227" t="str">
        <f t="shared" ca="1" si="50"/>
        <v>C</v>
      </c>
      <c r="K104" s="227" t="str">
        <f t="shared" ca="1" si="51"/>
        <v>KRAGL</v>
      </c>
      <c r="L104" s="227" t="str">
        <f t="shared" ca="1" si="52"/>
        <v>Crotone</v>
      </c>
      <c r="M104" s="227" t="str">
        <f t="shared" ca="1" si="53"/>
        <v>A</v>
      </c>
      <c r="N104" s="227" t="str">
        <f t="shared" ca="1" si="54"/>
        <v>TAARABT</v>
      </c>
      <c r="O104" s="227" t="str">
        <f t="shared" ca="1" si="55"/>
        <v>Genoa</v>
      </c>
      <c r="P104" s="227" t="str">
        <f t="shared" ca="1" si="56"/>
        <v/>
      </c>
      <c r="Q104" s="227" t="str">
        <f t="shared" ca="1" si="57"/>
        <v/>
      </c>
      <c r="R104" s="227" t="str">
        <f t="shared" ca="1" si="58"/>
        <v/>
      </c>
      <c r="T104" s="179" t="e">
        <f t="shared" ca="1" si="59"/>
        <v>#N/A</v>
      </c>
      <c r="U104" s="179" t="e">
        <f t="shared" ca="1" si="63"/>
        <v>#N/A</v>
      </c>
      <c r="V104" s="179" t="e">
        <f t="shared" ca="1" si="63"/>
        <v>#N/A</v>
      </c>
      <c r="W104" s="179">
        <f t="shared" ca="1" si="43"/>
        <v>248</v>
      </c>
      <c r="X104" s="179">
        <f t="shared" ca="1" si="64"/>
        <v>248</v>
      </c>
      <c r="Y104" s="179">
        <f t="shared" ca="1" si="64"/>
        <v>248</v>
      </c>
      <c r="Z104" s="179">
        <f t="shared" ca="1" si="44"/>
        <v>282</v>
      </c>
      <c r="AA104" s="179">
        <f t="shared" ca="1" si="65"/>
        <v>282</v>
      </c>
      <c r="AB104" s="179">
        <f t="shared" ca="1" si="65"/>
        <v>282</v>
      </c>
      <c r="AC104" s="179">
        <f t="shared" ca="1" si="45"/>
        <v>491</v>
      </c>
      <c r="AD104" s="179">
        <f t="shared" ca="1" si="66"/>
        <v>491</v>
      </c>
      <c r="AE104" s="179">
        <f t="shared" ca="1" si="66"/>
        <v>491</v>
      </c>
      <c r="AF104" s="179" t="e">
        <f t="shared" ca="1" si="46"/>
        <v>#N/A</v>
      </c>
      <c r="AG104" s="179" t="e">
        <f t="shared" ca="1" si="67"/>
        <v>#N/A</v>
      </c>
      <c r="AH104" s="179" t="e">
        <f t="shared" ca="1" si="67"/>
        <v>#N/A</v>
      </c>
    </row>
    <row r="105" spans="1:34" ht="15.75" customHeight="1">
      <c r="A105" s="449" t="s">
        <v>39</v>
      </c>
      <c r="B105" s="449" t="s">
        <v>389</v>
      </c>
      <c r="C105" s="449" t="s">
        <v>680</v>
      </c>
      <c r="D105" s="322" t="str">
        <f t="shared" ca="1" si="60"/>
        <v/>
      </c>
      <c r="E105" s="322" t="str">
        <f t="shared" ca="1" si="61"/>
        <v/>
      </c>
      <c r="F105" s="322" t="str">
        <f t="shared" ca="1" si="62"/>
        <v/>
      </c>
      <c r="G105" s="227" t="str">
        <f t="shared" ca="1" si="47"/>
        <v>D</v>
      </c>
      <c r="H105" s="227" t="str">
        <f t="shared" ca="1" si="48"/>
        <v>IZZO</v>
      </c>
      <c r="I105" s="227" t="str">
        <f t="shared" ca="1" si="49"/>
        <v>Genoa</v>
      </c>
      <c r="J105" s="227" t="str">
        <f t="shared" ca="1" si="50"/>
        <v>C</v>
      </c>
      <c r="K105" s="227" t="str">
        <f t="shared" ca="1" si="51"/>
        <v>KREJCI</v>
      </c>
      <c r="L105" s="227" t="str">
        <f t="shared" ca="1" si="52"/>
        <v>Bologna</v>
      </c>
      <c r="M105" s="227" t="str">
        <f t="shared" ca="1" si="53"/>
        <v>A</v>
      </c>
      <c r="N105" s="227" t="str">
        <f t="shared" ca="1" si="54"/>
        <v>THEREAU</v>
      </c>
      <c r="O105" s="227" t="str">
        <f t="shared" ca="1" si="55"/>
        <v>Fiorentina</v>
      </c>
      <c r="P105" s="227" t="str">
        <f t="shared" ca="1" si="56"/>
        <v/>
      </c>
      <c r="Q105" s="227" t="str">
        <f t="shared" ca="1" si="57"/>
        <v/>
      </c>
      <c r="R105" s="227" t="str">
        <f t="shared" ca="1" si="58"/>
        <v/>
      </c>
      <c r="T105" s="179" t="e">
        <f t="shared" ca="1" si="59"/>
        <v>#N/A</v>
      </c>
      <c r="U105" s="179" t="e">
        <f t="shared" ca="1" si="63"/>
        <v>#N/A</v>
      </c>
      <c r="V105" s="179" t="e">
        <f t="shared" ca="1" si="63"/>
        <v>#N/A</v>
      </c>
      <c r="W105" s="179">
        <f t="shared" ca="1" si="43"/>
        <v>260</v>
      </c>
      <c r="X105" s="179">
        <f t="shared" ca="1" si="64"/>
        <v>260</v>
      </c>
      <c r="Y105" s="179">
        <f t="shared" ca="1" si="64"/>
        <v>260</v>
      </c>
      <c r="Z105" s="179">
        <f t="shared" ca="1" si="44"/>
        <v>283</v>
      </c>
      <c r="AA105" s="179">
        <f t="shared" ca="1" si="65"/>
        <v>283</v>
      </c>
      <c r="AB105" s="179">
        <f t="shared" ca="1" si="65"/>
        <v>283</v>
      </c>
      <c r="AC105" s="179">
        <f t="shared" ca="1" si="45"/>
        <v>493</v>
      </c>
      <c r="AD105" s="179">
        <f t="shared" ca="1" si="66"/>
        <v>493</v>
      </c>
      <c r="AE105" s="179">
        <f t="shared" ca="1" si="66"/>
        <v>493</v>
      </c>
      <c r="AF105" s="179" t="e">
        <f t="shared" ca="1" si="46"/>
        <v>#N/A</v>
      </c>
      <c r="AG105" s="179" t="e">
        <f t="shared" ca="1" si="67"/>
        <v>#N/A</v>
      </c>
      <c r="AH105" s="179" t="e">
        <f t="shared" ca="1" si="67"/>
        <v>#N/A</v>
      </c>
    </row>
    <row r="106" spans="1:34" ht="15.75" customHeight="1">
      <c r="A106" s="449" t="s">
        <v>39</v>
      </c>
      <c r="B106" s="449" t="s">
        <v>391</v>
      </c>
      <c r="C106" s="449" t="s">
        <v>1672</v>
      </c>
      <c r="D106" s="322" t="str">
        <f t="shared" ca="1" si="60"/>
        <v/>
      </c>
      <c r="E106" s="322" t="str">
        <f t="shared" ca="1" si="61"/>
        <v/>
      </c>
      <c r="F106" s="322" t="str">
        <f t="shared" ca="1" si="62"/>
        <v/>
      </c>
      <c r="G106" s="227" t="str">
        <f t="shared" ca="1" si="47"/>
        <v>D</v>
      </c>
      <c r="H106" s="227" t="str">
        <f t="shared" ca="1" si="48"/>
        <v>JAROSZYNSKI</v>
      </c>
      <c r="I106" s="227" t="str">
        <f t="shared" ca="1" si="49"/>
        <v>Chievo</v>
      </c>
      <c r="J106" s="227" t="str">
        <f t="shared" ca="1" si="50"/>
        <v>C</v>
      </c>
      <c r="K106" s="227" t="str">
        <f t="shared" ca="1" si="51"/>
        <v>KURTIC</v>
      </c>
      <c r="L106" s="227" t="str">
        <f t="shared" ca="1" si="52"/>
        <v>Atalanta</v>
      </c>
      <c r="M106" s="227" t="str">
        <f t="shared" ca="1" si="53"/>
        <v>A</v>
      </c>
      <c r="N106" s="227" t="str">
        <f t="shared" ca="1" si="54"/>
        <v>TONEV</v>
      </c>
      <c r="O106" s="227" t="str">
        <f t="shared" ca="1" si="55"/>
        <v>Crotone</v>
      </c>
      <c r="P106" s="227" t="str">
        <f t="shared" ca="1" si="56"/>
        <v/>
      </c>
      <c r="Q106" s="227" t="str">
        <f t="shared" ca="1" si="57"/>
        <v/>
      </c>
      <c r="R106" s="227" t="str">
        <f t="shared" ca="1" si="58"/>
        <v/>
      </c>
      <c r="T106" s="179" t="e">
        <f t="shared" ca="1" si="59"/>
        <v>#N/A</v>
      </c>
      <c r="U106" s="179" t="e">
        <f t="shared" ca="1" si="63"/>
        <v>#N/A</v>
      </c>
      <c r="V106" s="179" t="e">
        <f t="shared" ca="1" si="63"/>
        <v>#N/A</v>
      </c>
      <c r="W106" s="179">
        <f t="shared" ca="1" si="43"/>
        <v>262</v>
      </c>
      <c r="X106" s="179">
        <f t="shared" ca="1" si="64"/>
        <v>262</v>
      </c>
      <c r="Y106" s="179">
        <f t="shared" ca="1" si="64"/>
        <v>262</v>
      </c>
      <c r="Z106" s="179">
        <f t="shared" ca="1" si="44"/>
        <v>284</v>
      </c>
      <c r="AA106" s="179">
        <f t="shared" ca="1" si="65"/>
        <v>284</v>
      </c>
      <c r="AB106" s="179">
        <f t="shared" ca="1" si="65"/>
        <v>284</v>
      </c>
      <c r="AC106" s="179">
        <f t="shared" ca="1" si="45"/>
        <v>498</v>
      </c>
      <c r="AD106" s="179">
        <f t="shared" ca="1" si="66"/>
        <v>498</v>
      </c>
      <c r="AE106" s="179">
        <f t="shared" ca="1" si="66"/>
        <v>498</v>
      </c>
      <c r="AF106" s="179" t="e">
        <f t="shared" ca="1" si="46"/>
        <v>#N/A</v>
      </c>
      <c r="AG106" s="179" t="e">
        <f t="shared" ca="1" si="67"/>
        <v>#N/A</v>
      </c>
      <c r="AH106" s="179" t="e">
        <f t="shared" ca="1" si="67"/>
        <v>#N/A</v>
      </c>
    </row>
    <row r="107" spans="1:34" ht="15.75" customHeight="1">
      <c r="A107" s="449" t="s">
        <v>37</v>
      </c>
      <c r="B107" s="449" t="s">
        <v>403</v>
      </c>
      <c r="C107" s="449" t="s">
        <v>701</v>
      </c>
      <c r="D107" s="322" t="str">
        <f t="shared" ca="1" si="60"/>
        <v/>
      </c>
      <c r="E107" s="322" t="str">
        <f t="shared" ca="1" si="61"/>
        <v/>
      </c>
      <c r="F107" s="322" t="str">
        <f t="shared" ca="1" si="62"/>
        <v/>
      </c>
      <c r="G107" s="227" t="str">
        <f t="shared" ca="1" si="47"/>
        <v>D</v>
      </c>
      <c r="H107" s="227" t="str">
        <f t="shared" ca="1" si="48"/>
        <v>JUAN JESUS</v>
      </c>
      <c r="I107" s="227" t="str">
        <f t="shared" ca="1" si="49"/>
        <v>Roma</v>
      </c>
      <c r="J107" s="227" t="str">
        <f t="shared" ca="1" si="50"/>
        <v>C</v>
      </c>
      <c r="K107" s="227" t="str">
        <f t="shared" ca="1" si="51"/>
        <v>LAXALT</v>
      </c>
      <c r="L107" s="227" t="str">
        <f t="shared" ca="1" si="52"/>
        <v>Genoa</v>
      </c>
      <c r="M107" s="227" t="str">
        <f t="shared" ca="1" si="53"/>
        <v>A</v>
      </c>
      <c r="N107" s="227" t="str">
        <f t="shared" ca="1" si="54"/>
        <v>TROTTA</v>
      </c>
      <c r="O107" s="227" t="str">
        <f t="shared" ca="1" si="55"/>
        <v>Crotone</v>
      </c>
      <c r="P107" s="227" t="str">
        <f t="shared" ca="1" si="56"/>
        <v/>
      </c>
      <c r="Q107" s="227" t="str">
        <f t="shared" ca="1" si="57"/>
        <v/>
      </c>
      <c r="R107" s="227" t="str">
        <f t="shared" ca="1" si="58"/>
        <v/>
      </c>
      <c r="T107" s="179" t="e">
        <f t="shared" ca="1" si="59"/>
        <v>#N/A</v>
      </c>
      <c r="U107" s="179" t="e">
        <f t="shared" ca="1" si="63"/>
        <v>#N/A</v>
      </c>
      <c r="V107" s="179" t="e">
        <f t="shared" ca="1" si="63"/>
        <v>#N/A</v>
      </c>
      <c r="W107" s="179">
        <f t="shared" ca="1" si="43"/>
        <v>268</v>
      </c>
      <c r="X107" s="179">
        <f t="shared" ca="1" si="64"/>
        <v>268</v>
      </c>
      <c r="Y107" s="179">
        <f t="shared" ca="1" si="64"/>
        <v>268</v>
      </c>
      <c r="Z107" s="179">
        <f t="shared" ca="1" si="44"/>
        <v>289</v>
      </c>
      <c r="AA107" s="179">
        <f t="shared" ca="1" si="65"/>
        <v>289</v>
      </c>
      <c r="AB107" s="179">
        <f t="shared" ca="1" si="65"/>
        <v>289</v>
      </c>
      <c r="AC107" s="179">
        <f t="shared" ca="1" si="45"/>
        <v>502</v>
      </c>
      <c r="AD107" s="179">
        <f t="shared" ca="1" si="66"/>
        <v>502</v>
      </c>
      <c r="AE107" s="179">
        <f t="shared" ca="1" si="66"/>
        <v>502</v>
      </c>
      <c r="AF107" s="179" t="e">
        <f t="shared" ca="1" si="46"/>
        <v>#N/A</v>
      </c>
      <c r="AG107" s="179" t="e">
        <f t="shared" ca="1" si="67"/>
        <v>#N/A</v>
      </c>
      <c r="AH107" s="179" t="e">
        <f t="shared" ca="1" si="67"/>
        <v>#N/A</v>
      </c>
    </row>
    <row r="108" spans="1:34" ht="15.75" customHeight="1">
      <c r="A108" s="449" t="s">
        <v>43</v>
      </c>
      <c r="B108" s="449" t="s">
        <v>1843</v>
      </c>
      <c r="C108" s="449" t="s">
        <v>679</v>
      </c>
      <c r="D108" s="322" t="str">
        <f t="shared" ca="1" si="60"/>
        <v/>
      </c>
      <c r="E108" s="322" t="str">
        <f t="shared" ca="1" si="61"/>
        <v/>
      </c>
      <c r="F108" s="322" t="str">
        <f t="shared" ca="1" si="62"/>
        <v/>
      </c>
      <c r="G108" s="227" t="str">
        <f t="shared" ca="1" si="47"/>
        <v>D</v>
      </c>
      <c r="H108" s="227" t="str">
        <f t="shared" ca="1" si="48"/>
        <v>KARSDORP</v>
      </c>
      <c r="I108" s="227" t="str">
        <f t="shared" ca="1" si="49"/>
        <v>Roma</v>
      </c>
      <c r="J108" s="227" t="str">
        <f t="shared" ca="1" si="50"/>
        <v>C</v>
      </c>
      <c r="K108" s="227" t="str">
        <f t="shared" ca="1" si="51"/>
        <v>LAZOVIC</v>
      </c>
      <c r="L108" s="227" t="str">
        <f t="shared" ca="1" si="52"/>
        <v>Genoa</v>
      </c>
      <c r="M108" s="227" t="str">
        <f t="shared" ca="1" si="53"/>
        <v>A</v>
      </c>
      <c r="N108" s="227" t="str">
        <f t="shared" ca="1" si="54"/>
        <v>TUMMINELLO</v>
      </c>
      <c r="O108" s="227" t="str">
        <f t="shared" ca="1" si="55"/>
        <v>Crotone</v>
      </c>
      <c r="P108" s="227" t="str">
        <f t="shared" ca="1" si="56"/>
        <v/>
      </c>
      <c r="Q108" s="227" t="str">
        <f t="shared" ca="1" si="57"/>
        <v/>
      </c>
      <c r="R108" s="227" t="str">
        <f t="shared" ca="1" si="58"/>
        <v/>
      </c>
      <c r="T108" s="179" t="e">
        <f t="shared" ca="1" si="59"/>
        <v>#N/A</v>
      </c>
      <c r="U108" s="179" t="e">
        <f t="shared" ca="1" si="63"/>
        <v>#N/A</v>
      </c>
      <c r="V108" s="179" t="e">
        <f t="shared" ca="1" si="63"/>
        <v>#N/A</v>
      </c>
      <c r="W108" s="179">
        <f t="shared" ca="1" si="43"/>
        <v>271</v>
      </c>
      <c r="X108" s="179">
        <f t="shared" ca="1" si="64"/>
        <v>271</v>
      </c>
      <c r="Y108" s="179">
        <f t="shared" ca="1" si="64"/>
        <v>271</v>
      </c>
      <c r="Z108" s="179">
        <f t="shared" ca="1" si="44"/>
        <v>291</v>
      </c>
      <c r="AA108" s="179">
        <f t="shared" ca="1" si="65"/>
        <v>291</v>
      </c>
      <c r="AB108" s="179">
        <f t="shared" ca="1" si="65"/>
        <v>291</v>
      </c>
      <c r="AC108" s="179">
        <f t="shared" ca="1" si="45"/>
        <v>503</v>
      </c>
      <c r="AD108" s="179">
        <f t="shared" ca="1" si="66"/>
        <v>503</v>
      </c>
      <c r="AE108" s="179">
        <f t="shared" ca="1" si="66"/>
        <v>503</v>
      </c>
      <c r="AF108" s="179" t="e">
        <f t="shared" ca="1" si="46"/>
        <v>#N/A</v>
      </c>
      <c r="AG108" s="179" t="e">
        <f t="shared" ca="1" si="67"/>
        <v>#N/A</v>
      </c>
      <c r="AH108" s="179" t="e">
        <f t="shared" ca="1" si="67"/>
        <v>#N/A</v>
      </c>
    </row>
    <row r="109" spans="1:34" ht="15.75" customHeight="1">
      <c r="A109" s="449" t="s">
        <v>37</v>
      </c>
      <c r="B109" s="449" t="s">
        <v>406</v>
      </c>
      <c r="C109" s="449" t="s">
        <v>700</v>
      </c>
      <c r="D109" s="322" t="str">
        <f t="shared" ca="1" si="60"/>
        <v/>
      </c>
      <c r="E109" s="322" t="str">
        <f t="shared" ca="1" si="61"/>
        <v/>
      </c>
      <c r="F109" s="322" t="str">
        <f t="shared" ca="1" si="62"/>
        <v/>
      </c>
      <c r="G109" s="227" t="str">
        <f t="shared" ca="1" si="47"/>
        <v>D</v>
      </c>
      <c r="H109" s="227" t="str">
        <f t="shared" ca="1" si="48"/>
        <v>KEITA C</v>
      </c>
      <c r="I109" s="227" t="str">
        <f t="shared" ca="1" si="49"/>
        <v>Bologna</v>
      </c>
      <c r="J109" s="227" t="str">
        <f t="shared" ca="1" si="50"/>
        <v>C</v>
      </c>
      <c r="K109" s="227" t="str">
        <f t="shared" ca="1" si="51"/>
        <v>LAZZARI M</v>
      </c>
      <c r="L109" s="227" t="str">
        <f t="shared" ca="1" si="52"/>
        <v>SPAL</v>
      </c>
      <c r="M109" s="227" t="str">
        <f t="shared" ca="1" si="53"/>
        <v>A</v>
      </c>
      <c r="N109" s="227" t="str">
        <f t="shared" ca="1" si="54"/>
        <v>VERDE</v>
      </c>
      <c r="O109" s="227" t="str">
        <f t="shared" ca="1" si="55"/>
        <v>Verona</v>
      </c>
      <c r="P109" s="227" t="str">
        <f t="shared" ca="1" si="56"/>
        <v/>
      </c>
      <c r="Q109" s="227" t="str">
        <f t="shared" ca="1" si="57"/>
        <v/>
      </c>
      <c r="R109" s="227" t="str">
        <f t="shared" ca="1" si="58"/>
        <v/>
      </c>
      <c r="T109" s="179" t="e">
        <f t="shared" ca="1" si="59"/>
        <v>#N/A</v>
      </c>
      <c r="U109" s="179" t="e">
        <f t="shared" ref="U109:V128" ca="1" si="68">T109</f>
        <v>#N/A</v>
      </c>
      <c r="V109" s="179" t="e">
        <f t="shared" ca="1" si="68"/>
        <v>#N/A</v>
      </c>
      <c r="W109" s="179">
        <f t="shared" ca="1" si="43"/>
        <v>273</v>
      </c>
      <c r="X109" s="179">
        <f t="shared" ref="X109:Y128" ca="1" si="69">W109</f>
        <v>273</v>
      </c>
      <c r="Y109" s="179">
        <f t="shared" ca="1" si="69"/>
        <v>273</v>
      </c>
      <c r="Z109" s="179">
        <f t="shared" ca="1" si="44"/>
        <v>292</v>
      </c>
      <c r="AA109" s="179">
        <f t="shared" ref="AA109:AB128" ca="1" si="70">Z109</f>
        <v>292</v>
      </c>
      <c r="AB109" s="179">
        <f t="shared" ca="1" si="70"/>
        <v>292</v>
      </c>
      <c r="AC109" s="179">
        <f t="shared" ca="1" si="45"/>
        <v>514</v>
      </c>
      <c r="AD109" s="179">
        <f t="shared" ref="AD109:AE128" ca="1" si="71">AC109</f>
        <v>514</v>
      </c>
      <c r="AE109" s="179">
        <f t="shared" ca="1" si="71"/>
        <v>514</v>
      </c>
      <c r="AF109" s="179" t="e">
        <f t="shared" ca="1" si="46"/>
        <v>#N/A</v>
      </c>
      <c r="AG109" s="179" t="e">
        <f t="shared" ref="AG109:AH128" ca="1" si="72">AF109</f>
        <v>#N/A</v>
      </c>
      <c r="AH109" s="179" t="e">
        <f t="shared" ca="1" si="72"/>
        <v>#N/A</v>
      </c>
    </row>
    <row r="110" spans="1:34" ht="15.75" customHeight="1">
      <c r="A110" s="449" t="s">
        <v>43</v>
      </c>
      <c r="B110" s="449" t="s">
        <v>1785</v>
      </c>
      <c r="C110" s="449" t="s">
        <v>1674</v>
      </c>
      <c r="D110" s="322" t="str">
        <f t="shared" ca="1" si="60"/>
        <v/>
      </c>
      <c r="E110" s="322" t="str">
        <f t="shared" ca="1" si="61"/>
        <v/>
      </c>
      <c r="F110" s="322" t="str">
        <f t="shared" ca="1" si="62"/>
        <v/>
      </c>
      <c r="G110" s="227" t="str">
        <f t="shared" ca="1" si="47"/>
        <v>D</v>
      </c>
      <c r="H110" s="227" t="str">
        <f t="shared" ca="1" si="48"/>
        <v>KOLAROV</v>
      </c>
      <c r="I110" s="227" t="str">
        <f t="shared" ca="1" si="49"/>
        <v>Roma</v>
      </c>
      <c r="J110" s="227" t="str">
        <f t="shared" ca="1" si="50"/>
        <v>C</v>
      </c>
      <c r="K110" s="227" t="str">
        <f t="shared" ca="1" si="51"/>
        <v>LINETTY</v>
      </c>
      <c r="L110" s="227" t="str">
        <f t="shared" ca="1" si="52"/>
        <v>Sampdoria</v>
      </c>
      <c r="M110" s="227" t="str">
        <f t="shared" ca="1" si="53"/>
        <v>A</v>
      </c>
      <c r="N110" s="227" t="str">
        <f t="shared" ca="1" si="54"/>
        <v>VERDI</v>
      </c>
      <c r="O110" s="227" t="str">
        <f t="shared" ca="1" si="55"/>
        <v>Bologna</v>
      </c>
      <c r="P110" s="227" t="str">
        <f t="shared" ca="1" si="56"/>
        <v/>
      </c>
      <c r="Q110" s="227" t="str">
        <f t="shared" ca="1" si="57"/>
        <v/>
      </c>
      <c r="R110" s="227" t="str">
        <f t="shared" ca="1" si="58"/>
        <v/>
      </c>
      <c r="T110" s="179" t="e">
        <f t="shared" ca="1" si="59"/>
        <v>#N/A</v>
      </c>
      <c r="U110" s="179" t="e">
        <f t="shared" ca="1" si="68"/>
        <v>#N/A</v>
      </c>
      <c r="V110" s="179" t="e">
        <f t="shared" ca="1" si="68"/>
        <v>#N/A</v>
      </c>
      <c r="W110" s="179">
        <f t="shared" ca="1" si="43"/>
        <v>276</v>
      </c>
      <c r="X110" s="179">
        <f t="shared" ca="1" si="69"/>
        <v>276</v>
      </c>
      <c r="Y110" s="179">
        <f t="shared" ca="1" si="69"/>
        <v>276</v>
      </c>
      <c r="Z110" s="179">
        <f t="shared" ca="1" si="44"/>
        <v>297</v>
      </c>
      <c r="AA110" s="179">
        <f t="shared" ca="1" si="70"/>
        <v>297</v>
      </c>
      <c r="AB110" s="179">
        <f t="shared" ca="1" si="70"/>
        <v>297</v>
      </c>
      <c r="AC110" s="179">
        <f t="shared" ca="1" si="45"/>
        <v>515</v>
      </c>
      <c r="AD110" s="179">
        <f t="shared" ca="1" si="71"/>
        <v>515</v>
      </c>
      <c r="AE110" s="179">
        <f t="shared" ca="1" si="71"/>
        <v>515</v>
      </c>
      <c r="AF110" s="179" t="e">
        <f t="shared" ca="1" si="46"/>
        <v>#N/A</v>
      </c>
      <c r="AG110" s="179" t="e">
        <f t="shared" ca="1" si="72"/>
        <v>#N/A</v>
      </c>
      <c r="AH110" s="179" t="e">
        <f t="shared" ca="1" si="72"/>
        <v>#N/A</v>
      </c>
    </row>
    <row r="111" spans="1:34" ht="15.75" customHeight="1">
      <c r="A111" s="449" t="s">
        <v>35</v>
      </c>
      <c r="B111" s="449" t="s">
        <v>1934</v>
      </c>
      <c r="C111" s="449" t="s">
        <v>692</v>
      </c>
      <c r="D111" s="322" t="str">
        <f t="shared" ca="1" si="60"/>
        <v/>
      </c>
      <c r="E111" s="322" t="str">
        <f t="shared" ca="1" si="61"/>
        <v/>
      </c>
      <c r="F111" s="322" t="str">
        <f t="shared" ca="1" si="62"/>
        <v/>
      </c>
      <c r="G111" s="227" t="str">
        <f t="shared" ca="1" si="47"/>
        <v>D</v>
      </c>
      <c r="H111" s="227" t="str">
        <f t="shared" ca="1" si="48"/>
        <v>KONATE</v>
      </c>
      <c r="I111" s="227" t="str">
        <f t="shared" ca="1" si="49"/>
        <v>SPAL</v>
      </c>
      <c r="J111" s="227" t="str">
        <f t="shared" ca="1" si="50"/>
        <v>C</v>
      </c>
      <c r="K111" s="227" t="str">
        <f t="shared" ca="1" si="51"/>
        <v>LJAJIC</v>
      </c>
      <c r="L111" s="227" t="str">
        <f t="shared" ca="1" si="52"/>
        <v>Torino</v>
      </c>
      <c r="M111" s="227" t="str">
        <f t="shared" ca="1" si="53"/>
        <v>A</v>
      </c>
      <c r="N111" s="227" t="str">
        <f t="shared" ca="1" si="54"/>
        <v>VIDO</v>
      </c>
      <c r="O111" s="227" t="str">
        <f t="shared" ca="1" si="55"/>
        <v>Atalanta</v>
      </c>
      <c r="P111" s="227" t="str">
        <f t="shared" ca="1" si="56"/>
        <v/>
      </c>
      <c r="Q111" s="227" t="str">
        <f t="shared" ca="1" si="57"/>
        <v/>
      </c>
      <c r="R111" s="227" t="str">
        <f t="shared" ca="1" si="58"/>
        <v/>
      </c>
      <c r="T111" s="179" t="e">
        <f t="shared" ca="1" si="59"/>
        <v>#N/A</v>
      </c>
      <c r="U111" s="179" t="e">
        <f t="shared" ca="1" si="68"/>
        <v>#N/A</v>
      </c>
      <c r="V111" s="179" t="e">
        <f t="shared" ca="1" si="68"/>
        <v>#N/A</v>
      </c>
      <c r="W111" s="179">
        <f t="shared" ca="1" si="43"/>
        <v>277</v>
      </c>
      <c r="X111" s="179">
        <f t="shared" ca="1" si="69"/>
        <v>277</v>
      </c>
      <c r="Y111" s="179">
        <f t="shared" ca="1" si="69"/>
        <v>277</v>
      </c>
      <c r="Z111" s="179">
        <f t="shared" ca="1" si="44"/>
        <v>299</v>
      </c>
      <c r="AA111" s="179">
        <f t="shared" ca="1" si="70"/>
        <v>299</v>
      </c>
      <c r="AB111" s="179">
        <f t="shared" ca="1" si="70"/>
        <v>299</v>
      </c>
      <c r="AC111" s="179">
        <f t="shared" ca="1" si="45"/>
        <v>519</v>
      </c>
      <c r="AD111" s="179">
        <f t="shared" ca="1" si="71"/>
        <v>519</v>
      </c>
      <c r="AE111" s="179">
        <f t="shared" ca="1" si="71"/>
        <v>519</v>
      </c>
      <c r="AF111" s="179" t="e">
        <f t="shared" ca="1" si="46"/>
        <v>#N/A</v>
      </c>
      <c r="AG111" s="179" t="e">
        <f t="shared" ca="1" si="72"/>
        <v>#N/A</v>
      </c>
      <c r="AH111" s="179" t="e">
        <f t="shared" ca="1" si="72"/>
        <v>#N/A</v>
      </c>
    </row>
    <row r="112" spans="1:34" ht="15.75" customHeight="1">
      <c r="A112" s="449" t="s">
        <v>37</v>
      </c>
      <c r="B112" s="449" t="s">
        <v>410</v>
      </c>
      <c r="C112" s="449" t="s">
        <v>680</v>
      </c>
      <c r="D112" s="322" t="str">
        <f t="shared" ca="1" si="60"/>
        <v/>
      </c>
      <c r="E112" s="322" t="str">
        <f t="shared" ca="1" si="61"/>
        <v/>
      </c>
      <c r="F112" s="322" t="str">
        <f t="shared" ca="1" si="62"/>
        <v/>
      </c>
      <c r="G112" s="227" t="str">
        <f t="shared" ca="1" si="47"/>
        <v>D</v>
      </c>
      <c r="H112" s="227" t="str">
        <f t="shared" ca="1" si="48"/>
        <v>KOULIBALY</v>
      </c>
      <c r="I112" s="227" t="str">
        <f t="shared" ca="1" si="49"/>
        <v>Napoli</v>
      </c>
      <c r="J112" s="227" t="str">
        <f t="shared" ca="1" si="50"/>
        <v>C</v>
      </c>
      <c r="K112" s="227" t="str">
        <f t="shared" ca="1" si="51"/>
        <v>LOCATELLI M</v>
      </c>
      <c r="L112" s="227" t="str">
        <f t="shared" ca="1" si="52"/>
        <v>Milan</v>
      </c>
      <c r="M112" s="227" t="str">
        <f t="shared" ca="1" si="53"/>
        <v>A</v>
      </c>
      <c r="N112" s="227" t="str">
        <f t="shared" ca="1" si="54"/>
        <v>ZAPATA D</v>
      </c>
      <c r="O112" s="227" t="str">
        <f t="shared" ca="1" si="55"/>
        <v>Sampdoria</v>
      </c>
      <c r="P112" s="227" t="str">
        <f t="shared" ca="1" si="56"/>
        <v/>
      </c>
      <c r="Q112" s="227" t="str">
        <f t="shared" ca="1" si="57"/>
        <v/>
      </c>
      <c r="R112" s="227" t="str">
        <f t="shared" ca="1" si="58"/>
        <v/>
      </c>
      <c r="T112" s="179" t="e">
        <f t="shared" ca="1" si="59"/>
        <v>#N/A</v>
      </c>
      <c r="U112" s="179" t="e">
        <f t="shared" ca="1" si="68"/>
        <v>#N/A</v>
      </c>
      <c r="V112" s="179" t="e">
        <f t="shared" ca="1" si="68"/>
        <v>#N/A</v>
      </c>
      <c r="W112" s="179">
        <f t="shared" ca="1" si="43"/>
        <v>279</v>
      </c>
      <c r="X112" s="179">
        <f t="shared" ca="1" si="69"/>
        <v>279</v>
      </c>
      <c r="Y112" s="179">
        <f t="shared" ca="1" si="69"/>
        <v>279</v>
      </c>
      <c r="Z112" s="179">
        <f t="shared" ca="1" si="44"/>
        <v>302</v>
      </c>
      <c r="AA112" s="179">
        <f t="shared" ca="1" si="70"/>
        <v>302</v>
      </c>
      <c r="AB112" s="179">
        <f t="shared" ca="1" si="70"/>
        <v>302</v>
      </c>
      <c r="AC112" s="179">
        <f t="shared" ca="1" si="45"/>
        <v>531</v>
      </c>
      <c r="AD112" s="179">
        <f t="shared" ca="1" si="71"/>
        <v>531</v>
      </c>
      <c r="AE112" s="179">
        <f t="shared" ca="1" si="71"/>
        <v>531</v>
      </c>
      <c r="AF112" s="179" t="e">
        <f t="shared" ca="1" si="46"/>
        <v>#N/A</v>
      </c>
      <c r="AG112" s="179" t="e">
        <f t="shared" ca="1" si="72"/>
        <v>#N/A</v>
      </c>
      <c r="AH112" s="179" t="e">
        <f t="shared" ca="1" si="72"/>
        <v>#N/A</v>
      </c>
    </row>
    <row r="113" spans="1:34" ht="15.75" customHeight="1">
      <c r="A113" s="449" t="s">
        <v>37</v>
      </c>
      <c r="B113" s="449" t="s">
        <v>413</v>
      </c>
      <c r="C113" s="449" t="s">
        <v>1674</v>
      </c>
      <c r="D113" s="322" t="str">
        <f t="shared" ca="1" si="60"/>
        <v/>
      </c>
      <c r="E113" s="322" t="str">
        <f t="shared" ca="1" si="61"/>
        <v/>
      </c>
      <c r="F113" s="322" t="str">
        <f t="shared" ca="1" si="62"/>
        <v/>
      </c>
      <c r="G113" s="227" t="str">
        <f t="shared" ca="1" si="47"/>
        <v>D</v>
      </c>
      <c r="H113" s="227" t="str">
        <f t="shared" ca="1" si="48"/>
        <v>KRAFTH</v>
      </c>
      <c r="I113" s="227" t="str">
        <f t="shared" ca="1" si="49"/>
        <v>Bologna</v>
      </c>
      <c r="J113" s="227" t="str">
        <f t="shared" ca="1" si="50"/>
        <v>C</v>
      </c>
      <c r="K113" s="227" t="str">
        <f t="shared" ca="1" si="51"/>
        <v>LUCAS LEIVA</v>
      </c>
      <c r="L113" s="227" t="str">
        <f t="shared" ca="1" si="52"/>
        <v>Lazio</v>
      </c>
      <c r="M113" s="227" t="str">
        <f t="shared" ca="1" si="53"/>
        <v/>
      </c>
      <c r="N113" s="227" t="str">
        <f t="shared" ca="1" si="54"/>
        <v/>
      </c>
      <c r="O113" s="227" t="str">
        <f t="shared" ca="1" si="55"/>
        <v/>
      </c>
      <c r="P113" s="227" t="str">
        <f t="shared" ca="1" si="56"/>
        <v/>
      </c>
      <c r="Q113" s="227" t="str">
        <f t="shared" ca="1" si="57"/>
        <v/>
      </c>
      <c r="R113" s="227" t="str">
        <f t="shared" ca="1" si="58"/>
        <v/>
      </c>
      <c r="T113" s="179" t="e">
        <f t="shared" ca="1" si="59"/>
        <v>#N/A</v>
      </c>
      <c r="U113" s="179" t="e">
        <f t="shared" ca="1" si="68"/>
        <v>#N/A</v>
      </c>
      <c r="V113" s="179" t="e">
        <f t="shared" ca="1" si="68"/>
        <v>#N/A</v>
      </c>
      <c r="W113" s="179">
        <f t="shared" ca="1" si="43"/>
        <v>281</v>
      </c>
      <c r="X113" s="179">
        <f t="shared" ca="1" si="69"/>
        <v>281</v>
      </c>
      <c r="Y113" s="179">
        <f t="shared" ca="1" si="69"/>
        <v>281</v>
      </c>
      <c r="Z113" s="179">
        <f t="shared" ca="1" si="44"/>
        <v>304</v>
      </c>
      <c r="AA113" s="179">
        <f t="shared" ca="1" si="70"/>
        <v>304</v>
      </c>
      <c r="AB113" s="179">
        <f t="shared" ca="1" si="70"/>
        <v>304</v>
      </c>
      <c r="AC113" s="179" t="e">
        <f t="shared" ca="1" si="45"/>
        <v>#N/A</v>
      </c>
      <c r="AD113" s="179" t="e">
        <f t="shared" ca="1" si="71"/>
        <v>#N/A</v>
      </c>
      <c r="AE113" s="179" t="e">
        <f t="shared" ca="1" si="71"/>
        <v>#N/A</v>
      </c>
      <c r="AF113" s="179" t="e">
        <f t="shared" ca="1" si="46"/>
        <v>#N/A</v>
      </c>
      <c r="AG113" s="179" t="e">
        <f t="shared" ca="1" si="72"/>
        <v>#N/A</v>
      </c>
      <c r="AH113" s="179" t="e">
        <f t="shared" ca="1" si="72"/>
        <v>#N/A</v>
      </c>
    </row>
    <row r="114" spans="1:34" ht="15.75" customHeight="1">
      <c r="A114" s="449" t="s">
        <v>39</v>
      </c>
      <c r="B114" s="449" t="s">
        <v>1745</v>
      </c>
      <c r="C114" s="449" t="s">
        <v>1672</v>
      </c>
      <c r="D114" s="322" t="str">
        <f t="shared" ca="1" si="60"/>
        <v/>
      </c>
      <c r="E114" s="322" t="str">
        <f t="shared" ca="1" si="61"/>
        <v/>
      </c>
      <c r="F114" s="322" t="str">
        <f t="shared" ca="1" si="62"/>
        <v/>
      </c>
      <c r="G114" s="227" t="str">
        <f t="shared" ca="1" si="47"/>
        <v>D</v>
      </c>
      <c r="H114" s="227" t="str">
        <f t="shared" ca="1" si="48"/>
        <v>LAURINI</v>
      </c>
      <c r="I114" s="227" t="str">
        <f t="shared" ca="1" si="49"/>
        <v>Fiorentina</v>
      </c>
      <c r="J114" s="227" t="str">
        <f t="shared" ca="1" si="50"/>
        <v>C</v>
      </c>
      <c r="K114" s="227" t="str">
        <f t="shared" ca="1" si="51"/>
        <v>LUIS ALBERTO</v>
      </c>
      <c r="L114" s="227" t="str">
        <f t="shared" ca="1" si="52"/>
        <v>Lazio</v>
      </c>
      <c r="M114" s="227" t="str">
        <f t="shared" ca="1" si="53"/>
        <v/>
      </c>
      <c r="N114" s="227" t="str">
        <f t="shared" ca="1" si="54"/>
        <v/>
      </c>
      <c r="O114" s="227" t="str">
        <f t="shared" ca="1" si="55"/>
        <v/>
      </c>
      <c r="P114" s="227" t="str">
        <f t="shared" ca="1" si="56"/>
        <v/>
      </c>
      <c r="Q114" s="227" t="str">
        <f t="shared" ca="1" si="57"/>
        <v/>
      </c>
      <c r="R114" s="227" t="str">
        <f t="shared" ca="1" si="58"/>
        <v/>
      </c>
      <c r="T114" s="179" t="e">
        <f t="shared" ca="1" si="59"/>
        <v>#N/A</v>
      </c>
      <c r="U114" s="179" t="e">
        <f t="shared" ca="1" si="68"/>
        <v>#N/A</v>
      </c>
      <c r="V114" s="179" t="e">
        <f t="shared" ca="1" si="68"/>
        <v>#N/A</v>
      </c>
      <c r="W114" s="179">
        <f t="shared" ca="1" si="43"/>
        <v>288</v>
      </c>
      <c r="X114" s="179">
        <f t="shared" ca="1" si="69"/>
        <v>288</v>
      </c>
      <c r="Y114" s="179">
        <f t="shared" ca="1" si="69"/>
        <v>288</v>
      </c>
      <c r="Z114" s="179">
        <f t="shared" ca="1" si="44"/>
        <v>306</v>
      </c>
      <c r="AA114" s="179">
        <f t="shared" ca="1" si="70"/>
        <v>306</v>
      </c>
      <c r="AB114" s="179">
        <f t="shared" ca="1" si="70"/>
        <v>306</v>
      </c>
      <c r="AC114" s="179" t="e">
        <f t="shared" ca="1" si="45"/>
        <v>#N/A</v>
      </c>
      <c r="AD114" s="179" t="e">
        <f t="shared" ca="1" si="71"/>
        <v>#N/A</v>
      </c>
      <c r="AE114" s="179" t="e">
        <f t="shared" ca="1" si="71"/>
        <v>#N/A</v>
      </c>
      <c r="AF114" s="179" t="e">
        <f t="shared" ca="1" si="46"/>
        <v>#N/A</v>
      </c>
      <c r="AG114" s="179" t="e">
        <f t="shared" ca="1" si="72"/>
        <v>#N/A</v>
      </c>
      <c r="AH114" s="179" t="e">
        <f t="shared" ca="1" si="72"/>
        <v>#N/A</v>
      </c>
    </row>
    <row r="115" spans="1:34" ht="15.75" customHeight="1">
      <c r="A115" s="449" t="s">
        <v>37</v>
      </c>
      <c r="B115" s="449" t="s">
        <v>417</v>
      </c>
      <c r="C115" s="449" t="s">
        <v>676</v>
      </c>
      <c r="D115" s="322" t="str">
        <f t="shared" ca="1" si="60"/>
        <v/>
      </c>
      <c r="E115" s="322" t="str">
        <f t="shared" ca="1" si="61"/>
        <v/>
      </c>
      <c r="F115" s="322" t="str">
        <f t="shared" ca="1" si="62"/>
        <v/>
      </c>
      <c r="G115" s="227" t="str">
        <f t="shared" ca="1" si="47"/>
        <v>D</v>
      </c>
      <c r="H115" s="227" t="str">
        <f t="shared" ca="1" si="48"/>
        <v>LAZAAR</v>
      </c>
      <c r="I115" s="227" t="str">
        <f t="shared" ca="1" si="49"/>
        <v>Benevento</v>
      </c>
      <c r="J115" s="227" t="str">
        <f t="shared" ca="1" si="50"/>
        <v>C</v>
      </c>
      <c r="K115" s="227" t="str">
        <f t="shared" ca="1" si="51"/>
        <v>LULIC</v>
      </c>
      <c r="L115" s="227" t="str">
        <f t="shared" ca="1" si="52"/>
        <v>Lazio</v>
      </c>
      <c r="M115" s="227" t="str">
        <f t="shared" ca="1" si="53"/>
        <v/>
      </c>
      <c r="N115" s="227" t="str">
        <f t="shared" ca="1" si="54"/>
        <v/>
      </c>
      <c r="O115" s="227" t="str">
        <f t="shared" ca="1" si="55"/>
        <v/>
      </c>
      <c r="P115" s="227" t="str">
        <f t="shared" ca="1" si="56"/>
        <v/>
      </c>
      <c r="Q115" s="227" t="str">
        <f t="shared" ca="1" si="57"/>
        <v/>
      </c>
      <c r="R115" s="227" t="str">
        <f t="shared" ca="1" si="58"/>
        <v/>
      </c>
      <c r="T115" s="179" t="e">
        <f t="shared" ca="1" si="59"/>
        <v>#N/A</v>
      </c>
      <c r="U115" s="179" t="e">
        <f t="shared" ca="1" si="68"/>
        <v>#N/A</v>
      </c>
      <c r="V115" s="179" t="e">
        <f t="shared" ca="1" si="68"/>
        <v>#N/A</v>
      </c>
      <c r="W115" s="179">
        <f t="shared" ca="1" si="43"/>
        <v>290</v>
      </c>
      <c r="X115" s="179">
        <f t="shared" ca="1" si="69"/>
        <v>290</v>
      </c>
      <c r="Y115" s="179">
        <f t="shared" ca="1" si="69"/>
        <v>290</v>
      </c>
      <c r="Z115" s="179">
        <f t="shared" ca="1" si="44"/>
        <v>308</v>
      </c>
      <c r="AA115" s="179">
        <f t="shared" ca="1" si="70"/>
        <v>308</v>
      </c>
      <c r="AB115" s="179">
        <f t="shared" ca="1" si="70"/>
        <v>308</v>
      </c>
      <c r="AC115" s="179" t="e">
        <f t="shared" ca="1" si="45"/>
        <v>#N/A</v>
      </c>
      <c r="AD115" s="179" t="e">
        <f t="shared" ca="1" si="71"/>
        <v>#N/A</v>
      </c>
      <c r="AE115" s="179" t="e">
        <f t="shared" ca="1" si="71"/>
        <v>#N/A</v>
      </c>
      <c r="AF115" s="179" t="e">
        <f t="shared" ca="1" si="46"/>
        <v>#N/A</v>
      </c>
      <c r="AG115" s="179" t="e">
        <f t="shared" ca="1" si="72"/>
        <v>#N/A</v>
      </c>
      <c r="AH115" s="179" t="e">
        <f t="shared" ca="1" si="72"/>
        <v>#N/A</v>
      </c>
    </row>
    <row r="116" spans="1:34" ht="15.75" customHeight="1">
      <c r="A116" s="449" t="s">
        <v>39</v>
      </c>
      <c r="B116" s="449" t="s">
        <v>335</v>
      </c>
      <c r="C116" s="449" t="s">
        <v>692</v>
      </c>
      <c r="D116" s="322" t="str">
        <f t="shared" ca="1" si="60"/>
        <v/>
      </c>
      <c r="E116" s="322" t="str">
        <f t="shared" ca="1" si="61"/>
        <v/>
      </c>
      <c r="F116" s="322" t="str">
        <f t="shared" ca="1" si="62"/>
        <v/>
      </c>
      <c r="G116" s="227" t="str">
        <f t="shared" ca="1" si="47"/>
        <v>D</v>
      </c>
      <c r="H116" s="227" t="str">
        <f t="shared" ca="1" si="48"/>
        <v>LETIZIA</v>
      </c>
      <c r="I116" s="227" t="str">
        <f t="shared" ca="1" si="49"/>
        <v>Benevento</v>
      </c>
      <c r="J116" s="227" t="str">
        <f t="shared" ca="1" si="50"/>
        <v>C</v>
      </c>
      <c r="K116" s="227" t="str">
        <f t="shared" ca="1" si="51"/>
        <v>MAGNANELLI</v>
      </c>
      <c r="L116" s="227" t="str">
        <f t="shared" ca="1" si="52"/>
        <v>Sassuolo</v>
      </c>
      <c r="M116" s="227" t="str">
        <f t="shared" ca="1" si="53"/>
        <v/>
      </c>
      <c r="N116" s="227" t="str">
        <f t="shared" ca="1" si="54"/>
        <v/>
      </c>
      <c r="O116" s="227" t="str">
        <f t="shared" ca="1" si="55"/>
        <v/>
      </c>
      <c r="P116" s="227" t="str">
        <f t="shared" ca="1" si="56"/>
        <v/>
      </c>
      <c r="Q116" s="227" t="str">
        <f t="shared" ca="1" si="57"/>
        <v/>
      </c>
      <c r="R116" s="227" t="str">
        <f t="shared" ca="1" si="58"/>
        <v/>
      </c>
      <c r="T116" s="179" t="e">
        <f t="shared" ca="1" si="59"/>
        <v>#N/A</v>
      </c>
      <c r="U116" s="179" t="e">
        <f t="shared" ca="1" si="68"/>
        <v>#N/A</v>
      </c>
      <c r="V116" s="179" t="e">
        <f t="shared" ca="1" si="68"/>
        <v>#N/A</v>
      </c>
      <c r="W116" s="179">
        <f t="shared" ca="1" si="43"/>
        <v>294</v>
      </c>
      <c r="X116" s="179">
        <f t="shared" ca="1" si="69"/>
        <v>294</v>
      </c>
      <c r="Y116" s="179">
        <f t="shared" ca="1" si="69"/>
        <v>294</v>
      </c>
      <c r="Z116" s="179">
        <f t="shared" ca="1" si="44"/>
        <v>311</v>
      </c>
      <c r="AA116" s="179">
        <f t="shared" ca="1" si="70"/>
        <v>311</v>
      </c>
      <c r="AB116" s="179">
        <f t="shared" ca="1" si="70"/>
        <v>311</v>
      </c>
      <c r="AC116" s="179" t="e">
        <f t="shared" ca="1" si="45"/>
        <v>#N/A</v>
      </c>
      <c r="AD116" s="179" t="e">
        <f t="shared" ca="1" si="71"/>
        <v>#N/A</v>
      </c>
      <c r="AE116" s="179" t="e">
        <f t="shared" ca="1" si="71"/>
        <v>#N/A</v>
      </c>
      <c r="AF116" s="179" t="e">
        <f t="shared" ca="1" si="46"/>
        <v>#N/A</v>
      </c>
      <c r="AG116" s="179" t="e">
        <f t="shared" ca="1" si="72"/>
        <v>#N/A</v>
      </c>
      <c r="AH116" s="179" t="e">
        <f t="shared" ca="1" si="72"/>
        <v>#N/A</v>
      </c>
    </row>
    <row r="117" spans="1:34" ht="15.75" customHeight="1">
      <c r="A117" s="449" t="s">
        <v>37</v>
      </c>
      <c r="B117" s="449" t="s">
        <v>419</v>
      </c>
      <c r="C117" s="449" t="s">
        <v>681</v>
      </c>
      <c r="D117" s="322" t="str">
        <f t="shared" ca="1" si="60"/>
        <v/>
      </c>
      <c r="E117" s="322" t="str">
        <f t="shared" ca="1" si="61"/>
        <v/>
      </c>
      <c r="F117" s="322" t="str">
        <f t="shared" ca="1" si="62"/>
        <v/>
      </c>
      <c r="G117" s="227" t="str">
        <f t="shared" ca="1" si="47"/>
        <v>D</v>
      </c>
      <c r="H117" s="227" t="str">
        <f t="shared" ca="1" si="48"/>
        <v>LETSCHERT</v>
      </c>
      <c r="I117" s="227" t="str">
        <f t="shared" ca="1" si="49"/>
        <v>Sassuolo</v>
      </c>
      <c r="J117" s="227" t="str">
        <f t="shared" ca="1" si="50"/>
        <v>C</v>
      </c>
      <c r="K117" s="227" t="str">
        <f t="shared" ca="1" si="51"/>
        <v>MALLE'</v>
      </c>
      <c r="L117" s="227" t="str">
        <f t="shared" ca="1" si="52"/>
        <v>Udinese</v>
      </c>
      <c r="M117" s="227" t="str">
        <f t="shared" ref="M117:M180" ca="1" si="73">IF(ISNA(AC117),"",INDIRECT("A" &amp; AC117))</f>
        <v/>
      </c>
      <c r="N117" s="227" t="str">
        <f t="shared" ref="N117:N180" ca="1" si="74">IF(ISNA(AD117),"",INDIRECT("B" &amp; AD117))</f>
        <v/>
      </c>
      <c r="O117" s="227" t="str">
        <f t="shared" ref="O117:O180" ca="1" si="75">IF(ISNA(AE117),"",INDIRECT("C" &amp; AE117))</f>
        <v/>
      </c>
      <c r="P117" s="227" t="str">
        <f t="shared" ca="1" si="56"/>
        <v/>
      </c>
      <c r="Q117" s="227" t="str">
        <f t="shared" ca="1" si="57"/>
        <v/>
      </c>
      <c r="R117" s="227" t="str">
        <f t="shared" ca="1" si="58"/>
        <v/>
      </c>
      <c r="T117" s="179" t="e">
        <f t="shared" ca="1" si="59"/>
        <v>#N/A</v>
      </c>
      <c r="U117" s="179" t="e">
        <f t="shared" ca="1" si="68"/>
        <v>#N/A</v>
      </c>
      <c r="V117" s="179" t="e">
        <f t="shared" ca="1" si="68"/>
        <v>#N/A</v>
      </c>
      <c r="W117" s="179">
        <f t="shared" ca="1" si="43"/>
        <v>295</v>
      </c>
      <c r="X117" s="179">
        <f t="shared" ca="1" si="69"/>
        <v>295</v>
      </c>
      <c r="Y117" s="179">
        <f t="shared" ca="1" si="69"/>
        <v>295</v>
      </c>
      <c r="Z117" s="179">
        <f t="shared" ca="1" si="44"/>
        <v>314</v>
      </c>
      <c r="AA117" s="179">
        <f t="shared" ca="1" si="70"/>
        <v>314</v>
      </c>
      <c r="AB117" s="179">
        <f t="shared" ca="1" si="70"/>
        <v>314</v>
      </c>
      <c r="AC117" s="179" t="e">
        <f t="shared" ca="1" si="45"/>
        <v>#N/A</v>
      </c>
      <c r="AD117" s="179" t="e">
        <f t="shared" ca="1" si="71"/>
        <v>#N/A</v>
      </c>
      <c r="AE117" s="179" t="e">
        <f t="shared" ca="1" si="71"/>
        <v>#N/A</v>
      </c>
      <c r="AF117" s="179" t="e">
        <f t="shared" ca="1" si="46"/>
        <v>#N/A</v>
      </c>
      <c r="AG117" s="179" t="e">
        <f t="shared" ca="1" si="72"/>
        <v>#N/A</v>
      </c>
      <c r="AH117" s="179" t="e">
        <f t="shared" ca="1" si="72"/>
        <v>#N/A</v>
      </c>
    </row>
    <row r="118" spans="1:34" ht="15.75" customHeight="1">
      <c r="A118" s="449" t="s">
        <v>39</v>
      </c>
      <c r="B118" s="449" t="s">
        <v>1736</v>
      </c>
      <c r="C118" s="449" t="s">
        <v>1672</v>
      </c>
      <c r="D118" s="322" t="str">
        <f t="shared" ca="1" si="60"/>
        <v/>
      </c>
      <c r="E118" s="322" t="str">
        <f t="shared" ca="1" si="61"/>
        <v/>
      </c>
      <c r="F118" s="322" t="str">
        <f t="shared" ca="1" si="62"/>
        <v/>
      </c>
      <c r="G118" s="227" t="str">
        <f t="shared" ca="1" si="47"/>
        <v>D</v>
      </c>
      <c r="H118" s="227" t="str">
        <f t="shared" ca="1" si="48"/>
        <v>LICHTSTEINER</v>
      </c>
      <c r="I118" s="227" t="str">
        <f t="shared" ca="1" si="49"/>
        <v>Juventus</v>
      </c>
      <c r="J118" s="227" t="str">
        <f t="shared" ca="1" si="50"/>
        <v>C</v>
      </c>
      <c r="K118" s="227" t="str">
        <f t="shared" ca="1" si="51"/>
        <v>MANDRAGORA</v>
      </c>
      <c r="L118" s="227" t="str">
        <f t="shared" ca="1" si="52"/>
        <v>Crotone</v>
      </c>
      <c r="M118" s="227" t="str">
        <f t="shared" ca="1" si="73"/>
        <v/>
      </c>
      <c r="N118" s="227" t="str">
        <f t="shared" ca="1" si="74"/>
        <v/>
      </c>
      <c r="O118" s="227" t="str">
        <f t="shared" ca="1" si="75"/>
        <v/>
      </c>
      <c r="P118" s="227" t="str">
        <f t="shared" ca="1" si="56"/>
        <v/>
      </c>
      <c r="Q118" s="227" t="str">
        <f t="shared" ca="1" si="57"/>
        <v/>
      </c>
      <c r="R118" s="227" t="str">
        <f t="shared" ca="1" si="58"/>
        <v/>
      </c>
      <c r="T118" s="179" t="e">
        <f t="shared" ca="1" si="59"/>
        <v>#N/A</v>
      </c>
      <c r="U118" s="179" t="e">
        <f t="shared" ca="1" si="68"/>
        <v>#N/A</v>
      </c>
      <c r="V118" s="179" t="e">
        <f t="shared" ca="1" si="68"/>
        <v>#N/A</v>
      </c>
      <c r="W118" s="179">
        <f t="shared" ca="1" si="43"/>
        <v>296</v>
      </c>
      <c r="X118" s="179">
        <f t="shared" ca="1" si="69"/>
        <v>296</v>
      </c>
      <c r="Y118" s="179">
        <f t="shared" ca="1" si="69"/>
        <v>296</v>
      </c>
      <c r="Z118" s="179">
        <f t="shared" ca="1" si="44"/>
        <v>316</v>
      </c>
      <c r="AA118" s="179">
        <f t="shared" ca="1" si="70"/>
        <v>316</v>
      </c>
      <c r="AB118" s="179">
        <f t="shared" ca="1" si="70"/>
        <v>316</v>
      </c>
      <c r="AC118" s="179" t="e">
        <f t="shared" ca="1" si="45"/>
        <v>#N/A</v>
      </c>
      <c r="AD118" s="179" t="e">
        <f t="shared" ca="1" si="71"/>
        <v>#N/A</v>
      </c>
      <c r="AE118" s="179" t="e">
        <f t="shared" ca="1" si="71"/>
        <v>#N/A</v>
      </c>
      <c r="AF118" s="179" t="e">
        <f t="shared" ca="1" si="46"/>
        <v>#N/A</v>
      </c>
      <c r="AG118" s="179" t="e">
        <f t="shared" ca="1" si="72"/>
        <v>#N/A</v>
      </c>
      <c r="AH118" s="179" t="e">
        <f t="shared" ca="1" si="72"/>
        <v>#N/A</v>
      </c>
    </row>
    <row r="119" spans="1:34" ht="15.75" customHeight="1">
      <c r="A119" s="449" t="s">
        <v>39</v>
      </c>
      <c r="B119" s="449" t="s">
        <v>395</v>
      </c>
      <c r="C119" s="449" t="s">
        <v>700</v>
      </c>
      <c r="D119" s="322" t="str">
        <f t="shared" ca="1" si="60"/>
        <v/>
      </c>
      <c r="E119" s="322" t="str">
        <f t="shared" ca="1" si="61"/>
        <v/>
      </c>
      <c r="F119" s="322" t="str">
        <f t="shared" ca="1" si="62"/>
        <v/>
      </c>
      <c r="G119" s="227" t="str">
        <f t="shared" ca="1" si="47"/>
        <v>D</v>
      </c>
      <c r="H119" s="227" t="str">
        <f t="shared" ca="1" si="48"/>
        <v>LIROLA</v>
      </c>
      <c r="I119" s="227" t="str">
        <f t="shared" ca="1" si="49"/>
        <v>Sassuolo</v>
      </c>
      <c r="J119" s="227" t="str">
        <f t="shared" ca="1" si="50"/>
        <v>C</v>
      </c>
      <c r="K119" s="227" t="str">
        <f t="shared" ca="1" si="51"/>
        <v>MARCHISIO</v>
      </c>
      <c r="L119" s="227" t="str">
        <f t="shared" ca="1" si="52"/>
        <v>Juventus</v>
      </c>
      <c r="M119" s="227" t="str">
        <f t="shared" ca="1" si="73"/>
        <v/>
      </c>
      <c r="N119" s="227" t="str">
        <f t="shared" ca="1" si="74"/>
        <v/>
      </c>
      <c r="O119" s="227" t="str">
        <f t="shared" ca="1" si="75"/>
        <v/>
      </c>
      <c r="P119" s="227" t="str">
        <f t="shared" ca="1" si="56"/>
        <v/>
      </c>
      <c r="Q119" s="227" t="str">
        <f t="shared" ca="1" si="57"/>
        <v/>
      </c>
      <c r="R119" s="227" t="str">
        <f t="shared" ca="1" si="58"/>
        <v/>
      </c>
      <c r="T119" s="179" t="e">
        <f t="shared" ca="1" si="59"/>
        <v>#N/A</v>
      </c>
      <c r="U119" s="179" t="e">
        <f t="shared" ca="1" si="68"/>
        <v>#N/A</v>
      </c>
      <c r="V119" s="179" t="e">
        <f t="shared" ca="1" si="68"/>
        <v>#N/A</v>
      </c>
      <c r="W119" s="179">
        <f t="shared" ca="1" si="43"/>
        <v>298</v>
      </c>
      <c r="X119" s="179">
        <f t="shared" ca="1" si="69"/>
        <v>298</v>
      </c>
      <c r="Y119" s="179">
        <f t="shared" ca="1" si="69"/>
        <v>298</v>
      </c>
      <c r="Z119" s="179">
        <f t="shared" ca="1" si="44"/>
        <v>321</v>
      </c>
      <c r="AA119" s="179">
        <f t="shared" ca="1" si="70"/>
        <v>321</v>
      </c>
      <c r="AB119" s="179">
        <f t="shared" ca="1" si="70"/>
        <v>321</v>
      </c>
      <c r="AC119" s="179" t="e">
        <f t="shared" ca="1" si="45"/>
        <v>#N/A</v>
      </c>
      <c r="AD119" s="179" t="e">
        <f t="shared" ca="1" si="71"/>
        <v>#N/A</v>
      </c>
      <c r="AE119" s="179" t="e">
        <f t="shared" ca="1" si="71"/>
        <v>#N/A</v>
      </c>
      <c r="AF119" s="179" t="e">
        <f t="shared" ca="1" si="46"/>
        <v>#N/A</v>
      </c>
      <c r="AG119" s="179" t="e">
        <f t="shared" ca="1" si="72"/>
        <v>#N/A</v>
      </c>
      <c r="AH119" s="179" t="e">
        <f t="shared" ca="1" si="72"/>
        <v>#N/A</v>
      </c>
    </row>
    <row r="120" spans="1:34" ht="15.75" customHeight="1">
      <c r="A120" s="449" t="s">
        <v>43</v>
      </c>
      <c r="B120" s="449" t="s">
        <v>1853</v>
      </c>
      <c r="C120" s="449" t="s">
        <v>1672</v>
      </c>
      <c r="D120" s="322" t="str">
        <f t="shared" ca="1" si="60"/>
        <v/>
      </c>
      <c r="E120" s="322" t="str">
        <f t="shared" ca="1" si="61"/>
        <v/>
      </c>
      <c r="F120" s="322" t="str">
        <f t="shared" ca="1" si="62"/>
        <v/>
      </c>
      <c r="G120" s="227" t="str">
        <f t="shared" ca="1" si="47"/>
        <v>D</v>
      </c>
      <c r="H120" s="227" t="str">
        <f t="shared" ca="1" si="48"/>
        <v>LUCIONI</v>
      </c>
      <c r="I120" s="227" t="str">
        <f t="shared" ca="1" si="49"/>
        <v>Benevento</v>
      </c>
      <c r="J120" s="227" t="str">
        <f t="shared" ca="1" si="50"/>
        <v>C</v>
      </c>
      <c r="K120" s="227" t="str">
        <f t="shared" ca="1" si="51"/>
        <v>MATUIDI</v>
      </c>
      <c r="L120" s="227" t="str">
        <f t="shared" ca="1" si="52"/>
        <v>Juventus</v>
      </c>
      <c r="M120" s="227" t="str">
        <f t="shared" ca="1" si="73"/>
        <v/>
      </c>
      <c r="N120" s="227" t="str">
        <f t="shared" ca="1" si="74"/>
        <v/>
      </c>
      <c r="O120" s="227" t="str">
        <f t="shared" ca="1" si="75"/>
        <v/>
      </c>
      <c r="P120" s="227" t="str">
        <f t="shared" ca="1" si="56"/>
        <v/>
      </c>
      <c r="Q120" s="227" t="str">
        <f t="shared" ca="1" si="57"/>
        <v/>
      </c>
      <c r="R120" s="227" t="str">
        <f t="shared" ca="1" si="58"/>
        <v/>
      </c>
      <c r="T120" s="179" t="e">
        <f t="shared" ca="1" si="59"/>
        <v>#N/A</v>
      </c>
      <c r="U120" s="179" t="e">
        <f t="shared" ca="1" si="68"/>
        <v>#N/A</v>
      </c>
      <c r="V120" s="179" t="e">
        <f t="shared" ca="1" si="68"/>
        <v>#N/A</v>
      </c>
      <c r="W120" s="179">
        <f t="shared" ca="1" si="43"/>
        <v>305</v>
      </c>
      <c r="X120" s="179">
        <f t="shared" ca="1" si="69"/>
        <v>305</v>
      </c>
      <c r="Y120" s="179">
        <f t="shared" ca="1" si="69"/>
        <v>305</v>
      </c>
      <c r="Z120" s="179">
        <f t="shared" ca="1" si="44"/>
        <v>331</v>
      </c>
      <c r="AA120" s="179">
        <f t="shared" ca="1" si="70"/>
        <v>331</v>
      </c>
      <c r="AB120" s="179">
        <f t="shared" ca="1" si="70"/>
        <v>331</v>
      </c>
      <c r="AC120" s="179" t="e">
        <f t="shared" ca="1" si="45"/>
        <v>#N/A</v>
      </c>
      <c r="AD120" s="179" t="e">
        <f t="shared" ca="1" si="71"/>
        <v>#N/A</v>
      </c>
      <c r="AE120" s="179" t="e">
        <f t="shared" ca="1" si="71"/>
        <v>#N/A</v>
      </c>
      <c r="AF120" s="179" t="e">
        <f t="shared" ca="1" si="46"/>
        <v>#N/A</v>
      </c>
      <c r="AG120" s="179" t="e">
        <f t="shared" ca="1" si="72"/>
        <v>#N/A</v>
      </c>
      <c r="AH120" s="179" t="e">
        <f t="shared" ca="1" si="72"/>
        <v>#N/A</v>
      </c>
    </row>
    <row r="121" spans="1:34" ht="15.75" customHeight="1">
      <c r="A121" s="449" t="s">
        <v>39</v>
      </c>
      <c r="B121" s="449" t="s">
        <v>400</v>
      </c>
      <c r="C121" s="449" t="s">
        <v>679</v>
      </c>
      <c r="D121" s="322" t="str">
        <f t="shared" ca="1" si="60"/>
        <v/>
      </c>
      <c r="E121" s="322" t="str">
        <f t="shared" ca="1" si="61"/>
        <v/>
      </c>
      <c r="F121" s="322" t="str">
        <f t="shared" ca="1" si="62"/>
        <v/>
      </c>
      <c r="G121" s="227" t="str">
        <f t="shared" ca="1" si="47"/>
        <v>D</v>
      </c>
      <c r="H121" s="227" t="str">
        <f t="shared" ca="1" si="48"/>
        <v>LUKAKU</v>
      </c>
      <c r="I121" s="227" t="str">
        <f t="shared" ca="1" si="49"/>
        <v>Lazio</v>
      </c>
      <c r="J121" s="227" t="str">
        <f t="shared" ca="1" si="50"/>
        <v>C</v>
      </c>
      <c r="K121" s="227" t="str">
        <f t="shared" ca="1" si="51"/>
        <v>MAURI J</v>
      </c>
      <c r="L121" s="227" t="str">
        <f t="shared" ca="1" si="52"/>
        <v>Milan</v>
      </c>
      <c r="M121" s="227" t="str">
        <f t="shared" ca="1" si="73"/>
        <v/>
      </c>
      <c r="N121" s="227" t="str">
        <f t="shared" ca="1" si="74"/>
        <v/>
      </c>
      <c r="O121" s="227" t="str">
        <f t="shared" ca="1" si="75"/>
        <v/>
      </c>
      <c r="P121" s="227" t="str">
        <f t="shared" ca="1" si="56"/>
        <v/>
      </c>
      <c r="Q121" s="227" t="str">
        <f t="shared" ca="1" si="57"/>
        <v/>
      </c>
      <c r="R121" s="227" t="str">
        <f t="shared" ca="1" si="58"/>
        <v/>
      </c>
      <c r="T121" s="179" t="e">
        <f t="shared" ca="1" si="59"/>
        <v>#N/A</v>
      </c>
      <c r="U121" s="179" t="e">
        <f t="shared" ca="1" si="68"/>
        <v>#N/A</v>
      </c>
      <c r="V121" s="179" t="e">
        <f t="shared" ca="1" si="68"/>
        <v>#N/A</v>
      </c>
      <c r="W121" s="179">
        <f t="shared" ca="1" si="43"/>
        <v>307</v>
      </c>
      <c r="X121" s="179">
        <f t="shared" ca="1" si="69"/>
        <v>307</v>
      </c>
      <c r="Y121" s="179">
        <f t="shared" ca="1" si="69"/>
        <v>307</v>
      </c>
      <c r="Z121" s="179">
        <f t="shared" ca="1" si="44"/>
        <v>332</v>
      </c>
      <c r="AA121" s="179">
        <f t="shared" ca="1" si="70"/>
        <v>332</v>
      </c>
      <c r="AB121" s="179">
        <f t="shared" ca="1" si="70"/>
        <v>332</v>
      </c>
      <c r="AC121" s="179" t="e">
        <f t="shared" ca="1" si="45"/>
        <v>#N/A</v>
      </c>
      <c r="AD121" s="179" t="e">
        <f t="shared" ca="1" si="71"/>
        <v>#N/A</v>
      </c>
      <c r="AE121" s="179" t="e">
        <f t="shared" ca="1" si="71"/>
        <v>#N/A</v>
      </c>
      <c r="AF121" s="179" t="e">
        <f t="shared" ca="1" si="46"/>
        <v>#N/A</v>
      </c>
      <c r="AG121" s="179" t="e">
        <f t="shared" ca="1" si="72"/>
        <v>#N/A</v>
      </c>
      <c r="AH121" s="179" t="e">
        <f t="shared" ca="1" si="72"/>
        <v>#N/A</v>
      </c>
    </row>
    <row r="122" spans="1:34" ht="15.75" customHeight="1">
      <c r="A122" s="449" t="s">
        <v>35</v>
      </c>
      <c r="B122" s="449" t="s">
        <v>1688</v>
      </c>
      <c r="C122" s="449" t="s">
        <v>680</v>
      </c>
      <c r="D122" s="322" t="str">
        <f t="shared" ca="1" si="60"/>
        <v/>
      </c>
      <c r="E122" s="322" t="str">
        <f t="shared" ca="1" si="61"/>
        <v/>
      </c>
      <c r="F122" s="322" t="str">
        <f t="shared" ca="1" si="62"/>
        <v/>
      </c>
      <c r="G122" s="227" t="str">
        <f t="shared" ca="1" si="47"/>
        <v>D</v>
      </c>
      <c r="H122" s="227" t="str">
        <f t="shared" ca="1" si="48"/>
        <v>LYANCO</v>
      </c>
      <c r="I122" s="227" t="str">
        <f t="shared" ca="1" si="49"/>
        <v>Torino</v>
      </c>
      <c r="J122" s="227" t="str">
        <f t="shared" ca="1" si="50"/>
        <v>C</v>
      </c>
      <c r="K122" s="227" t="str">
        <f t="shared" ca="1" si="51"/>
        <v>MAZZITELLI</v>
      </c>
      <c r="L122" s="227" t="str">
        <f t="shared" ca="1" si="52"/>
        <v>Sassuolo</v>
      </c>
      <c r="M122" s="227" t="str">
        <f t="shared" ca="1" si="73"/>
        <v/>
      </c>
      <c r="N122" s="227" t="str">
        <f t="shared" ca="1" si="74"/>
        <v/>
      </c>
      <c r="O122" s="227" t="str">
        <f t="shared" ca="1" si="75"/>
        <v/>
      </c>
      <c r="P122" s="227" t="str">
        <f t="shared" ca="1" si="56"/>
        <v/>
      </c>
      <c r="Q122" s="227" t="str">
        <f t="shared" ca="1" si="57"/>
        <v/>
      </c>
      <c r="R122" s="227" t="str">
        <f t="shared" ca="1" si="58"/>
        <v/>
      </c>
      <c r="T122" s="179" t="e">
        <f t="shared" ca="1" si="59"/>
        <v>#N/A</v>
      </c>
      <c r="U122" s="179" t="e">
        <f t="shared" ca="1" si="68"/>
        <v>#N/A</v>
      </c>
      <c r="V122" s="179" t="e">
        <f t="shared" ca="1" si="68"/>
        <v>#N/A</v>
      </c>
      <c r="W122" s="179">
        <f t="shared" ca="1" si="43"/>
        <v>309</v>
      </c>
      <c r="X122" s="179">
        <f t="shared" ca="1" si="69"/>
        <v>309</v>
      </c>
      <c r="Y122" s="179">
        <f t="shared" ca="1" si="69"/>
        <v>309</v>
      </c>
      <c r="Z122" s="179">
        <f t="shared" ca="1" si="44"/>
        <v>334</v>
      </c>
      <c r="AA122" s="179">
        <f t="shared" ca="1" si="70"/>
        <v>334</v>
      </c>
      <c r="AB122" s="179">
        <f t="shared" ca="1" si="70"/>
        <v>334</v>
      </c>
      <c r="AC122" s="179" t="e">
        <f t="shared" ca="1" si="45"/>
        <v>#N/A</v>
      </c>
      <c r="AD122" s="179" t="e">
        <f t="shared" ca="1" si="71"/>
        <v>#N/A</v>
      </c>
      <c r="AE122" s="179" t="e">
        <f t="shared" ca="1" si="71"/>
        <v>#N/A</v>
      </c>
      <c r="AF122" s="179" t="e">
        <f t="shared" ca="1" si="46"/>
        <v>#N/A</v>
      </c>
      <c r="AG122" s="179" t="e">
        <f t="shared" ca="1" si="72"/>
        <v>#N/A</v>
      </c>
      <c r="AH122" s="179" t="e">
        <f t="shared" ca="1" si="72"/>
        <v>#N/A</v>
      </c>
    </row>
    <row r="123" spans="1:34" ht="15.75" customHeight="1">
      <c r="A123" s="449" t="s">
        <v>35</v>
      </c>
      <c r="B123" s="449" t="s">
        <v>325</v>
      </c>
      <c r="C123" s="449" t="s">
        <v>685</v>
      </c>
      <c r="D123" s="322" t="str">
        <f t="shared" ca="1" si="60"/>
        <v/>
      </c>
      <c r="E123" s="322" t="str">
        <f t="shared" ca="1" si="61"/>
        <v/>
      </c>
      <c r="F123" s="322" t="str">
        <f t="shared" ca="1" si="62"/>
        <v/>
      </c>
      <c r="G123" s="227" t="str">
        <f t="shared" ca="1" si="47"/>
        <v>D</v>
      </c>
      <c r="H123" s="227" t="str">
        <f t="shared" ca="1" si="48"/>
        <v>MAGGIO</v>
      </c>
      <c r="I123" s="227" t="str">
        <f t="shared" ca="1" si="49"/>
        <v>Napoli</v>
      </c>
      <c r="J123" s="227" t="str">
        <f t="shared" ca="1" si="50"/>
        <v>C</v>
      </c>
      <c r="K123" s="227" t="str">
        <f t="shared" ca="1" si="51"/>
        <v>MELARA</v>
      </c>
      <c r="L123" s="227" t="str">
        <f t="shared" ca="1" si="52"/>
        <v>Benevento</v>
      </c>
      <c r="M123" s="227" t="str">
        <f t="shared" ca="1" si="73"/>
        <v/>
      </c>
      <c r="N123" s="227" t="str">
        <f t="shared" ca="1" si="74"/>
        <v/>
      </c>
      <c r="O123" s="227" t="str">
        <f t="shared" ca="1" si="75"/>
        <v/>
      </c>
      <c r="P123" s="227" t="str">
        <f t="shared" ca="1" si="56"/>
        <v/>
      </c>
      <c r="Q123" s="227" t="str">
        <f t="shared" ca="1" si="57"/>
        <v/>
      </c>
      <c r="R123" s="227" t="str">
        <f t="shared" ca="1" si="58"/>
        <v/>
      </c>
      <c r="T123" s="179" t="e">
        <f t="shared" ca="1" si="59"/>
        <v>#N/A</v>
      </c>
      <c r="U123" s="179" t="e">
        <f t="shared" ca="1" si="68"/>
        <v>#N/A</v>
      </c>
      <c r="V123" s="179" t="e">
        <f t="shared" ca="1" si="68"/>
        <v>#N/A</v>
      </c>
      <c r="W123" s="179">
        <f t="shared" ca="1" si="43"/>
        <v>310</v>
      </c>
      <c r="X123" s="179">
        <f t="shared" ca="1" si="69"/>
        <v>310</v>
      </c>
      <c r="Y123" s="179">
        <f t="shared" ca="1" si="69"/>
        <v>310</v>
      </c>
      <c r="Z123" s="179">
        <f t="shared" ca="1" si="44"/>
        <v>337</v>
      </c>
      <c r="AA123" s="179">
        <f t="shared" ca="1" si="70"/>
        <v>337</v>
      </c>
      <c r="AB123" s="179">
        <f t="shared" ca="1" si="70"/>
        <v>337</v>
      </c>
      <c r="AC123" s="179" t="e">
        <f t="shared" ca="1" si="45"/>
        <v>#N/A</v>
      </c>
      <c r="AD123" s="179" t="e">
        <f t="shared" ca="1" si="71"/>
        <v>#N/A</v>
      </c>
      <c r="AE123" s="179" t="e">
        <f t="shared" ca="1" si="71"/>
        <v>#N/A</v>
      </c>
      <c r="AF123" s="179" t="e">
        <f t="shared" ca="1" si="46"/>
        <v>#N/A</v>
      </c>
      <c r="AG123" s="179" t="e">
        <f t="shared" ca="1" si="72"/>
        <v>#N/A</v>
      </c>
      <c r="AH123" s="179" t="e">
        <f t="shared" ca="1" si="72"/>
        <v>#N/A</v>
      </c>
    </row>
    <row r="124" spans="1:34" ht="15.75" customHeight="1">
      <c r="A124" s="449" t="s">
        <v>37</v>
      </c>
      <c r="B124" s="449" t="s">
        <v>429</v>
      </c>
      <c r="C124" s="449" t="s">
        <v>678</v>
      </c>
      <c r="D124" s="322" t="str">
        <f t="shared" ca="1" si="60"/>
        <v/>
      </c>
      <c r="E124" s="322" t="str">
        <f t="shared" ca="1" si="61"/>
        <v/>
      </c>
      <c r="F124" s="322" t="str">
        <f t="shared" ca="1" si="62"/>
        <v/>
      </c>
      <c r="G124" s="227" t="str">
        <f t="shared" ca="1" si="47"/>
        <v>D</v>
      </c>
      <c r="H124" s="227" t="str">
        <f t="shared" ca="1" si="48"/>
        <v>MAIETTA</v>
      </c>
      <c r="I124" s="227" t="str">
        <f t="shared" ca="1" si="49"/>
        <v>Bologna</v>
      </c>
      <c r="J124" s="227" t="str">
        <f t="shared" ca="1" si="50"/>
        <v>C</v>
      </c>
      <c r="K124" s="227" t="str">
        <f t="shared" ca="1" si="51"/>
        <v>MELEGONI</v>
      </c>
      <c r="L124" s="227" t="str">
        <f t="shared" ca="1" si="52"/>
        <v>Atalanta</v>
      </c>
      <c r="M124" s="227" t="str">
        <f t="shared" ca="1" si="73"/>
        <v/>
      </c>
      <c r="N124" s="227" t="str">
        <f t="shared" ca="1" si="74"/>
        <v/>
      </c>
      <c r="O124" s="227" t="str">
        <f t="shared" ca="1" si="75"/>
        <v/>
      </c>
      <c r="P124" s="227" t="str">
        <f t="shared" ca="1" si="56"/>
        <v/>
      </c>
      <c r="Q124" s="227" t="str">
        <f t="shared" ca="1" si="57"/>
        <v/>
      </c>
      <c r="R124" s="227" t="str">
        <f t="shared" ca="1" si="58"/>
        <v/>
      </c>
      <c r="T124" s="179" t="e">
        <f t="shared" ca="1" si="59"/>
        <v>#N/A</v>
      </c>
      <c r="U124" s="179" t="e">
        <f t="shared" ca="1" si="68"/>
        <v>#N/A</v>
      </c>
      <c r="V124" s="179" t="e">
        <f t="shared" ca="1" si="68"/>
        <v>#N/A</v>
      </c>
      <c r="W124" s="179">
        <f t="shared" ca="1" si="43"/>
        <v>312</v>
      </c>
      <c r="X124" s="179">
        <f t="shared" ca="1" si="69"/>
        <v>312</v>
      </c>
      <c r="Y124" s="179">
        <f t="shared" ca="1" si="69"/>
        <v>312</v>
      </c>
      <c r="Z124" s="179">
        <f t="shared" ca="1" si="44"/>
        <v>339</v>
      </c>
      <c r="AA124" s="179">
        <f t="shared" ca="1" si="70"/>
        <v>339</v>
      </c>
      <c r="AB124" s="179">
        <f t="shared" ca="1" si="70"/>
        <v>339</v>
      </c>
      <c r="AC124" s="179" t="e">
        <f t="shared" ca="1" si="45"/>
        <v>#N/A</v>
      </c>
      <c r="AD124" s="179" t="e">
        <f t="shared" ca="1" si="71"/>
        <v>#N/A</v>
      </c>
      <c r="AE124" s="179" t="e">
        <f t="shared" ca="1" si="71"/>
        <v>#N/A</v>
      </c>
      <c r="AF124" s="179" t="e">
        <f t="shared" ca="1" si="46"/>
        <v>#N/A</v>
      </c>
      <c r="AG124" s="179" t="e">
        <f t="shared" ca="1" si="72"/>
        <v>#N/A</v>
      </c>
      <c r="AH124" s="179" t="e">
        <f t="shared" ca="1" si="72"/>
        <v>#N/A</v>
      </c>
    </row>
    <row r="125" spans="1:34" ht="15.75" customHeight="1">
      <c r="A125" s="449" t="s">
        <v>35</v>
      </c>
      <c r="B125" s="449" t="s">
        <v>1690</v>
      </c>
      <c r="C125" s="449" t="s">
        <v>1674</v>
      </c>
      <c r="D125" s="322" t="str">
        <f t="shared" ca="1" si="60"/>
        <v/>
      </c>
      <c r="E125" s="322" t="str">
        <f t="shared" ca="1" si="61"/>
        <v/>
      </c>
      <c r="F125" s="322" t="str">
        <f t="shared" ca="1" si="62"/>
        <v/>
      </c>
      <c r="G125" s="227" t="str">
        <f t="shared" ca="1" si="47"/>
        <v>D</v>
      </c>
      <c r="H125" s="227" t="str">
        <f t="shared" ca="1" si="48"/>
        <v>MAKSIMOVIC</v>
      </c>
      <c r="I125" s="227" t="str">
        <f t="shared" ca="1" si="49"/>
        <v>Napoli</v>
      </c>
      <c r="J125" s="227" t="str">
        <f t="shared" ca="1" si="50"/>
        <v>C</v>
      </c>
      <c r="K125" s="227" t="str">
        <f t="shared" ca="1" si="51"/>
        <v>MEMUSHAJ</v>
      </c>
      <c r="L125" s="227" t="str">
        <f t="shared" ca="1" si="52"/>
        <v>Benevento</v>
      </c>
      <c r="M125" s="227" t="str">
        <f t="shared" ca="1" si="73"/>
        <v/>
      </c>
      <c r="N125" s="227" t="str">
        <f t="shared" ca="1" si="74"/>
        <v/>
      </c>
      <c r="O125" s="227" t="str">
        <f t="shared" ca="1" si="75"/>
        <v/>
      </c>
      <c r="P125" s="227" t="str">
        <f t="shared" ca="1" si="56"/>
        <v/>
      </c>
      <c r="Q125" s="227" t="str">
        <f t="shared" ca="1" si="57"/>
        <v/>
      </c>
      <c r="R125" s="227" t="str">
        <f t="shared" ca="1" si="58"/>
        <v/>
      </c>
      <c r="T125" s="179" t="e">
        <f t="shared" ca="1" si="59"/>
        <v>#N/A</v>
      </c>
      <c r="U125" s="179" t="e">
        <f t="shared" ca="1" si="68"/>
        <v>#N/A</v>
      </c>
      <c r="V125" s="179" t="e">
        <f t="shared" ca="1" si="68"/>
        <v>#N/A</v>
      </c>
      <c r="W125" s="179">
        <f t="shared" ca="1" si="43"/>
        <v>313</v>
      </c>
      <c r="X125" s="179">
        <f t="shared" ca="1" si="69"/>
        <v>313</v>
      </c>
      <c r="Y125" s="179">
        <f t="shared" ca="1" si="69"/>
        <v>313</v>
      </c>
      <c r="Z125" s="179">
        <f t="shared" ca="1" si="44"/>
        <v>340</v>
      </c>
      <c r="AA125" s="179">
        <f t="shared" ca="1" si="70"/>
        <v>340</v>
      </c>
      <c r="AB125" s="179">
        <f t="shared" ca="1" si="70"/>
        <v>340</v>
      </c>
      <c r="AC125" s="179" t="e">
        <f t="shared" ca="1" si="45"/>
        <v>#N/A</v>
      </c>
      <c r="AD125" s="179" t="e">
        <f t="shared" ca="1" si="71"/>
        <v>#N/A</v>
      </c>
      <c r="AE125" s="179" t="e">
        <f t="shared" ca="1" si="71"/>
        <v>#N/A</v>
      </c>
      <c r="AF125" s="179" t="e">
        <f t="shared" ca="1" si="46"/>
        <v>#N/A</v>
      </c>
      <c r="AG125" s="179" t="e">
        <f t="shared" ca="1" si="72"/>
        <v>#N/A</v>
      </c>
      <c r="AH125" s="179" t="e">
        <f t="shared" ca="1" si="72"/>
        <v>#N/A</v>
      </c>
    </row>
    <row r="126" spans="1:34" ht="15.75" customHeight="1">
      <c r="A126" s="449" t="s">
        <v>35</v>
      </c>
      <c r="B126" s="449" t="s">
        <v>329</v>
      </c>
      <c r="C126" s="449" t="s">
        <v>701</v>
      </c>
      <c r="D126" s="322" t="str">
        <f t="shared" ca="1" si="60"/>
        <v/>
      </c>
      <c r="E126" s="322" t="str">
        <f t="shared" ca="1" si="61"/>
        <v/>
      </c>
      <c r="F126" s="322" t="str">
        <f t="shared" ca="1" si="62"/>
        <v/>
      </c>
      <c r="G126" s="227" t="str">
        <f t="shared" ca="1" si="47"/>
        <v>D</v>
      </c>
      <c r="H126" s="227" t="str">
        <f t="shared" ca="1" si="48"/>
        <v>MANCINI G</v>
      </c>
      <c r="I126" s="227" t="str">
        <f t="shared" ca="1" si="49"/>
        <v>Atalanta</v>
      </c>
      <c r="J126" s="227" t="str">
        <f t="shared" ca="1" si="50"/>
        <v>C</v>
      </c>
      <c r="K126" s="227" t="str">
        <f t="shared" ca="1" si="51"/>
        <v>MIGUEL VELOSO</v>
      </c>
      <c r="L126" s="227" t="str">
        <f t="shared" ca="1" si="52"/>
        <v>Genoa</v>
      </c>
      <c r="M126" s="227" t="str">
        <f t="shared" ca="1" si="73"/>
        <v/>
      </c>
      <c r="N126" s="227" t="str">
        <f t="shared" ca="1" si="74"/>
        <v/>
      </c>
      <c r="O126" s="227" t="str">
        <f t="shared" ca="1" si="75"/>
        <v/>
      </c>
      <c r="P126" s="227" t="str">
        <f t="shared" ca="1" si="56"/>
        <v/>
      </c>
      <c r="Q126" s="227" t="str">
        <f t="shared" ca="1" si="57"/>
        <v/>
      </c>
      <c r="R126" s="227" t="str">
        <f t="shared" ca="1" si="58"/>
        <v/>
      </c>
      <c r="T126" s="179" t="e">
        <f t="shared" ca="1" si="59"/>
        <v>#N/A</v>
      </c>
      <c r="U126" s="179" t="e">
        <f t="shared" ca="1" si="68"/>
        <v>#N/A</v>
      </c>
      <c r="V126" s="179" t="e">
        <f t="shared" ca="1" si="68"/>
        <v>#N/A</v>
      </c>
      <c r="W126" s="179">
        <f t="shared" ca="1" si="43"/>
        <v>315</v>
      </c>
      <c r="X126" s="179">
        <f t="shared" ca="1" si="69"/>
        <v>315</v>
      </c>
      <c r="Y126" s="179">
        <f t="shared" ca="1" si="69"/>
        <v>315</v>
      </c>
      <c r="Z126" s="179">
        <f t="shared" ca="1" si="44"/>
        <v>345</v>
      </c>
      <c r="AA126" s="179">
        <f t="shared" ca="1" si="70"/>
        <v>345</v>
      </c>
      <c r="AB126" s="179">
        <f t="shared" ca="1" si="70"/>
        <v>345</v>
      </c>
      <c r="AC126" s="179" t="e">
        <f t="shared" ca="1" si="45"/>
        <v>#N/A</v>
      </c>
      <c r="AD126" s="179" t="e">
        <f t="shared" ca="1" si="71"/>
        <v>#N/A</v>
      </c>
      <c r="AE126" s="179" t="e">
        <f t="shared" ca="1" si="71"/>
        <v>#N/A</v>
      </c>
      <c r="AF126" s="179" t="e">
        <f t="shared" ca="1" si="46"/>
        <v>#N/A</v>
      </c>
      <c r="AG126" s="179" t="e">
        <f t="shared" ca="1" si="72"/>
        <v>#N/A</v>
      </c>
      <c r="AH126" s="179" t="e">
        <f t="shared" ca="1" si="72"/>
        <v>#N/A</v>
      </c>
    </row>
    <row r="127" spans="1:34" ht="15.75" customHeight="1">
      <c r="A127" s="449" t="s">
        <v>43</v>
      </c>
      <c r="B127" s="449" t="s">
        <v>1781</v>
      </c>
      <c r="C127" s="449" t="s">
        <v>686</v>
      </c>
      <c r="D127" s="322" t="str">
        <f t="shared" ca="1" si="60"/>
        <v/>
      </c>
      <c r="E127" s="322" t="str">
        <f t="shared" ca="1" si="61"/>
        <v/>
      </c>
      <c r="F127" s="322" t="str">
        <f t="shared" ca="1" si="62"/>
        <v/>
      </c>
      <c r="G127" s="227" t="str">
        <f t="shared" ca="1" si="47"/>
        <v>D</v>
      </c>
      <c r="H127" s="227" t="str">
        <f t="shared" ca="1" si="48"/>
        <v>MANOLAS</v>
      </c>
      <c r="I127" s="227" t="str">
        <f t="shared" ca="1" si="49"/>
        <v>Roma</v>
      </c>
      <c r="J127" s="227" t="str">
        <f t="shared" ca="1" si="50"/>
        <v>C</v>
      </c>
      <c r="K127" s="227" t="str">
        <f t="shared" ca="1" si="51"/>
        <v>MILINKOVIC-SAVIC</v>
      </c>
      <c r="L127" s="227" t="str">
        <f t="shared" ca="1" si="52"/>
        <v>Lazio</v>
      </c>
      <c r="M127" s="227" t="str">
        <f t="shared" ca="1" si="73"/>
        <v/>
      </c>
      <c r="N127" s="227" t="str">
        <f t="shared" ca="1" si="74"/>
        <v/>
      </c>
      <c r="O127" s="227" t="str">
        <f t="shared" ca="1" si="75"/>
        <v/>
      </c>
      <c r="P127" s="227" t="str">
        <f t="shared" ca="1" si="56"/>
        <v/>
      </c>
      <c r="Q127" s="227" t="str">
        <f t="shared" ca="1" si="57"/>
        <v/>
      </c>
      <c r="R127" s="227" t="str">
        <f t="shared" ca="1" si="58"/>
        <v/>
      </c>
      <c r="T127" s="179" t="e">
        <f t="shared" ca="1" si="59"/>
        <v>#N/A</v>
      </c>
      <c r="U127" s="179" t="e">
        <f t="shared" ca="1" si="68"/>
        <v>#N/A</v>
      </c>
      <c r="V127" s="179" t="e">
        <f t="shared" ca="1" si="68"/>
        <v>#N/A</v>
      </c>
      <c r="W127" s="179">
        <f t="shared" ca="1" si="43"/>
        <v>318</v>
      </c>
      <c r="X127" s="179">
        <f t="shared" ca="1" si="69"/>
        <v>318</v>
      </c>
      <c r="Y127" s="179">
        <f t="shared" ca="1" si="69"/>
        <v>318</v>
      </c>
      <c r="Z127" s="179">
        <f t="shared" ca="1" si="44"/>
        <v>349</v>
      </c>
      <c r="AA127" s="179">
        <f t="shared" ca="1" si="70"/>
        <v>349</v>
      </c>
      <c r="AB127" s="179">
        <f t="shared" ca="1" si="70"/>
        <v>349</v>
      </c>
      <c r="AC127" s="179" t="e">
        <f t="shared" ca="1" si="45"/>
        <v>#N/A</v>
      </c>
      <c r="AD127" s="179" t="e">
        <f t="shared" ca="1" si="71"/>
        <v>#N/A</v>
      </c>
      <c r="AE127" s="179" t="e">
        <f t="shared" ca="1" si="71"/>
        <v>#N/A</v>
      </c>
      <c r="AF127" s="179" t="e">
        <f t="shared" ca="1" si="46"/>
        <v>#N/A</v>
      </c>
      <c r="AG127" s="179" t="e">
        <f t="shared" ca="1" si="72"/>
        <v>#N/A</v>
      </c>
      <c r="AH127" s="179" t="e">
        <f t="shared" ca="1" si="72"/>
        <v>#N/A</v>
      </c>
    </row>
    <row r="128" spans="1:34" ht="15.75" customHeight="1">
      <c r="A128" s="449" t="s">
        <v>39</v>
      </c>
      <c r="B128" s="449" t="s">
        <v>1762</v>
      </c>
      <c r="C128" s="449" t="s">
        <v>700</v>
      </c>
      <c r="D128" s="322" t="str">
        <f t="shared" ca="1" si="60"/>
        <v/>
      </c>
      <c r="E128" s="322" t="str">
        <f t="shared" ca="1" si="61"/>
        <v/>
      </c>
      <c r="F128" s="322" t="str">
        <f t="shared" ca="1" si="62"/>
        <v/>
      </c>
      <c r="G128" s="227" t="str">
        <f t="shared" ca="1" si="47"/>
        <v>D</v>
      </c>
      <c r="H128" s="227" t="str">
        <f t="shared" ca="1" si="48"/>
        <v>MARIO RUI</v>
      </c>
      <c r="I128" s="227" t="str">
        <f t="shared" ca="1" si="49"/>
        <v>Napoli</v>
      </c>
      <c r="J128" s="227" t="str">
        <f t="shared" ca="1" si="50"/>
        <v>C</v>
      </c>
      <c r="K128" s="227" t="str">
        <f t="shared" ca="1" si="51"/>
        <v>MISSIROLI</v>
      </c>
      <c r="L128" s="227" t="str">
        <f t="shared" ca="1" si="52"/>
        <v>Sassuolo</v>
      </c>
      <c r="M128" s="227" t="str">
        <f t="shared" ca="1" si="73"/>
        <v/>
      </c>
      <c r="N128" s="227" t="str">
        <f t="shared" ca="1" si="74"/>
        <v/>
      </c>
      <c r="O128" s="227" t="str">
        <f t="shared" ca="1" si="75"/>
        <v/>
      </c>
      <c r="P128" s="227" t="str">
        <f t="shared" ca="1" si="56"/>
        <v/>
      </c>
      <c r="Q128" s="227" t="str">
        <f t="shared" ca="1" si="57"/>
        <v/>
      </c>
      <c r="R128" s="227" t="str">
        <f t="shared" ca="1" si="58"/>
        <v/>
      </c>
      <c r="T128" s="179" t="e">
        <f t="shared" ca="1" si="59"/>
        <v>#N/A</v>
      </c>
      <c r="U128" s="179" t="e">
        <f t="shared" ca="1" si="68"/>
        <v>#N/A</v>
      </c>
      <c r="V128" s="179" t="e">
        <f t="shared" ca="1" si="68"/>
        <v>#N/A</v>
      </c>
      <c r="W128" s="179">
        <f t="shared" ca="1" si="43"/>
        <v>322</v>
      </c>
      <c r="X128" s="179">
        <f t="shared" ca="1" si="69"/>
        <v>322</v>
      </c>
      <c r="Y128" s="179">
        <f t="shared" ca="1" si="69"/>
        <v>322</v>
      </c>
      <c r="Z128" s="179">
        <f t="shared" ca="1" si="44"/>
        <v>353</v>
      </c>
      <c r="AA128" s="179">
        <f t="shared" ca="1" si="70"/>
        <v>353</v>
      </c>
      <c r="AB128" s="179">
        <f t="shared" ca="1" si="70"/>
        <v>353</v>
      </c>
      <c r="AC128" s="179" t="e">
        <f t="shared" ca="1" si="45"/>
        <v>#N/A</v>
      </c>
      <c r="AD128" s="179" t="e">
        <f t="shared" ca="1" si="71"/>
        <v>#N/A</v>
      </c>
      <c r="AE128" s="179" t="e">
        <f t="shared" ca="1" si="71"/>
        <v>#N/A</v>
      </c>
      <c r="AF128" s="179" t="e">
        <f t="shared" ca="1" si="46"/>
        <v>#N/A</v>
      </c>
      <c r="AG128" s="179" t="e">
        <f t="shared" ca="1" si="72"/>
        <v>#N/A</v>
      </c>
      <c r="AH128" s="179" t="e">
        <f t="shared" ca="1" si="72"/>
        <v>#N/A</v>
      </c>
    </row>
    <row r="129" spans="1:34" ht="15.75" customHeight="1">
      <c r="A129" s="449" t="s">
        <v>37</v>
      </c>
      <c r="B129" s="449" t="s">
        <v>1282</v>
      </c>
      <c r="C129" s="449" t="s">
        <v>1672</v>
      </c>
      <c r="D129" s="322" t="str">
        <f t="shared" ca="1" si="60"/>
        <v/>
      </c>
      <c r="E129" s="322" t="str">
        <f t="shared" ca="1" si="61"/>
        <v/>
      </c>
      <c r="F129" s="322" t="str">
        <f t="shared" ca="1" si="62"/>
        <v/>
      </c>
      <c r="G129" s="227" t="str">
        <f t="shared" ca="1" si="47"/>
        <v>D</v>
      </c>
      <c r="H129" s="227" t="str">
        <f t="shared" ca="1" si="48"/>
        <v>MARTELLA</v>
      </c>
      <c r="I129" s="227" t="str">
        <f t="shared" ca="1" si="49"/>
        <v>Crotone</v>
      </c>
      <c r="J129" s="227" t="str">
        <f t="shared" ca="1" si="50"/>
        <v>C</v>
      </c>
      <c r="K129" s="227" t="str">
        <f t="shared" ca="1" si="51"/>
        <v>MONTOLIVO</v>
      </c>
      <c r="L129" s="227" t="str">
        <f t="shared" ca="1" si="52"/>
        <v>Milan</v>
      </c>
      <c r="M129" s="227" t="str">
        <f t="shared" ca="1" si="73"/>
        <v/>
      </c>
      <c r="N129" s="227" t="str">
        <f t="shared" ca="1" si="74"/>
        <v/>
      </c>
      <c r="O129" s="227" t="str">
        <f t="shared" ca="1" si="75"/>
        <v/>
      </c>
      <c r="P129" s="227" t="str">
        <f t="shared" ca="1" si="56"/>
        <v/>
      </c>
      <c r="Q129" s="227" t="str">
        <f t="shared" ca="1" si="57"/>
        <v/>
      </c>
      <c r="R129" s="227" t="str">
        <f t="shared" ca="1" si="58"/>
        <v/>
      </c>
      <c r="T129" s="179" t="e">
        <f t="shared" ca="1" si="59"/>
        <v>#N/A</v>
      </c>
      <c r="U129" s="179" t="e">
        <f t="shared" ref="U129:V148" ca="1" si="76">T129</f>
        <v>#N/A</v>
      </c>
      <c r="V129" s="179" t="e">
        <f t="shared" ca="1" si="76"/>
        <v>#N/A</v>
      </c>
      <c r="W129" s="179">
        <f t="shared" ca="1" si="43"/>
        <v>324</v>
      </c>
      <c r="X129" s="179">
        <f t="shared" ref="X129:Y148" ca="1" si="77">W129</f>
        <v>324</v>
      </c>
      <c r="Y129" s="179">
        <f t="shared" ca="1" si="77"/>
        <v>324</v>
      </c>
      <c r="Z129" s="179">
        <f t="shared" ca="1" si="44"/>
        <v>355</v>
      </c>
      <c r="AA129" s="179">
        <f t="shared" ref="AA129:AB148" ca="1" si="78">Z129</f>
        <v>355</v>
      </c>
      <c r="AB129" s="179">
        <f t="shared" ca="1" si="78"/>
        <v>355</v>
      </c>
      <c r="AC129" s="179" t="e">
        <f t="shared" ca="1" si="45"/>
        <v>#N/A</v>
      </c>
      <c r="AD129" s="179" t="e">
        <f t="shared" ref="AD129:AE148" ca="1" si="79">AC129</f>
        <v>#N/A</v>
      </c>
      <c r="AE129" s="179" t="e">
        <f t="shared" ca="1" si="79"/>
        <v>#N/A</v>
      </c>
      <c r="AF129" s="179" t="e">
        <f t="shared" ca="1" si="46"/>
        <v>#N/A</v>
      </c>
      <c r="AG129" s="179" t="e">
        <f t="shared" ref="AG129:AH148" ca="1" si="80">AF129</f>
        <v>#N/A</v>
      </c>
      <c r="AH129" s="179" t="e">
        <f t="shared" ca="1" si="80"/>
        <v>#N/A</v>
      </c>
    </row>
    <row r="130" spans="1:34" ht="15.75" customHeight="1">
      <c r="A130" s="449" t="s">
        <v>37</v>
      </c>
      <c r="B130" s="449" t="s">
        <v>435</v>
      </c>
      <c r="C130" s="449" t="s">
        <v>1477</v>
      </c>
      <c r="D130" s="322" t="str">
        <f t="shared" ca="1" si="60"/>
        <v/>
      </c>
      <c r="E130" s="322" t="str">
        <f t="shared" ca="1" si="61"/>
        <v/>
      </c>
      <c r="F130" s="322" t="str">
        <f t="shared" ca="1" si="62"/>
        <v/>
      </c>
      <c r="G130" s="227" t="str">
        <f t="shared" ca="1" si="47"/>
        <v>D</v>
      </c>
      <c r="H130" s="227" t="str">
        <f t="shared" ca="1" si="48"/>
        <v>MARUSIC</v>
      </c>
      <c r="I130" s="227" t="str">
        <f t="shared" ca="1" si="49"/>
        <v>Lazio</v>
      </c>
      <c r="J130" s="227" t="str">
        <f t="shared" ca="1" si="50"/>
        <v>C</v>
      </c>
      <c r="K130" s="227" t="str">
        <f t="shared" ca="1" si="51"/>
        <v>MORA</v>
      </c>
      <c r="L130" s="227" t="str">
        <f t="shared" ca="1" si="52"/>
        <v>SPAL</v>
      </c>
      <c r="M130" s="227" t="str">
        <f t="shared" ca="1" si="73"/>
        <v/>
      </c>
      <c r="N130" s="227" t="str">
        <f t="shared" ca="1" si="74"/>
        <v/>
      </c>
      <c r="O130" s="227" t="str">
        <f t="shared" ca="1" si="75"/>
        <v/>
      </c>
      <c r="P130" s="227" t="str">
        <f t="shared" ca="1" si="56"/>
        <v/>
      </c>
      <c r="Q130" s="227" t="str">
        <f t="shared" ca="1" si="57"/>
        <v/>
      </c>
      <c r="R130" s="227" t="str">
        <f t="shared" ca="1" si="58"/>
        <v/>
      </c>
      <c r="T130" s="179" t="e">
        <f t="shared" ca="1" si="59"/>
        <v>#N/A</v>
      </c>
      <c r="U130" s="179" t="e">
        <f t="shared" ca="1" si="76"/>
        <v>#N/A</v>
      </c>
      <c r="V130" s="179" t="e">
        <f t="shared" ca="1" si="76"/>
        <v>#N/A</v>
      </c>
      <c r="W130" s="179">
        <f t="shared" ca="1" si="43"/>
        <v>325</v>
      </c>
      <c r="X130" s="179">
        <f t="shared" ca="1" si="77"/>
        <v>325</v>
      </c>
      <c r="Y130" s="179">
        <f t="shared" ca="1" si="77"/>
        <v>325</v>
      </c>
      <c r="Z130" s="179">
        <f t="shared" ca="1" si="44"/>
        <v>356</v>
      </c>
      <c r="AA130" s="179">
        <f t="shared" ca="1" si="78"/>
        <v>356</v>
      </c>
      <c r="AB130" s="179">
        <f t="shared" ca="1" si="78"/>
        <v>356</v>
      </c>
      <c r="AC130" s="179" t="e">
        <f t="shared" ca="1" si="45"/>
        <v>#N/A</v>
      </c>
      <c r="AD130" s="179" t="e">
        <f t="shared" ca="1" si="79"/>
        <v>#N/A</v>
      </c>
      <c r="AE130" s="179" t="e">
        <f t="shared" ca="1" si="79"/>
        <v>#N/A</v>
      </c>
      <c r="AF130" s="179" t="e">
        <f t="shared" ca="1" si="46"/>
        <v>#N/A</v>
      </c>
      <c r="AG130" s="179" t="e">
        <f t="shared" ca="1" si="80"/>
        <v>#N/A</v>
      </c>
      <c r="AH130" s="179" t="e">
        <f t="shared" ca="1" si="80"/>
        <v>#N/A</v>
      </c>
    </row>
    <row r="131" spans="1:34" ht="15.75" customHeight="1">
      <c r="A131" s="449" t="s">
        <v>35</v>
      </c>
      <c r="B131" s="449" t="s">
        <v>1812</v>
      </c>
      <c r="C131" s="449" t="s">
        <v>1672</v>
      </c>
      <c r="D131" s="322" t="str">
        <f t="shared" ca="1" si="60"/>
        <v/>
      </c>
      <c r="E131" s="322" t="str">
        <f t="shared" ca="1" si="61"/>
        <v/>
      </c>
      <c r="F131" s="322" t="str">
        <f t="shared" ca="1" si="62"/>
        <v/>
      </c>
      <c r="G131" s="227" t="str">
        <f t="shared" ca="1" si="47"/>
        <v>D</v>
      </c>
      <c r="H131" s="227" t="str">
        <f t="shared" ca="1" si="48"/>
        <v>MASIELLO A</v>
      </c>
      <c r="I131" s="227" t="str">
        <f t="shared" ca="1" si="49"/>
        <v>Atalanta</v>
      </c>
      <c r="J131" s="227" t="str">
        <f t="shared" ca="1" si="50"/>
        <v>C</v>
      </c>
      <c r="K131" s="227" t="str">
        <f t="shared" ca="1" si="51"/>
        <v>MURGIA</v>
      </c>
      <c r="L131" s="227" t="str">
        <f t="shared" ca="1" si="52"/>
        <v>Lazio</v>
      </c>
      <c r="M131" s="227" t="str">
        <f t="shared" ca="1" si="73"/>
        <v/>
      </c>
      <c r="N131" s="227" t="str">
        <f t="shared" ca="1" si="74"/>
        <v/>
      </c>
      <c r="O131" s="227" t="str">
        <f t="shared" ca="1" si="75"/>
        <v/>
      </c>
      <c r="P131" s="227" t="str">
        <f t="shared" ca="1" si="56"/>
        <v/>
      </c>
      <c r="Q131" s="227" t="str">
        <f t="shared" ca="1" si="57"/>
        <v/>
      </c>
      <c r="R131" s="227" t="str">
        <f t="shared" ca="1" si="58"/>
        <v/>
      </c>
      <c r="T131" s="179" t="e">
        <f t="shared" ca="1" si="59"/>
        <v>#N/A</v>
      </c>
      <c r="U131" s="179" t="e">
        <f t="shared" ca="1" si="76"/>
        <v>#N/A</v>
      </c>
      <c r="V131" s="179" t="e">
        <f t="shared" ca="1" si="76"/>
        <v>#N/A</v>
      </c>
      <c r="W131" s="179">
        <f t="shared" ca="1" si="43"/>
        <v>326</v>
      </c>
      <c r="X131" s="179">
        <f t="shared" ca="1" si="77"/>
        <v>326</v>
      </c>
      <c r="Y131" s="179">
        <f t="shared" ca="1" si="77"/>
        <v>326</v>
      </c>
      <c r="Z131" s="179">
        <f t="shared" ca="1" si="44"/>
        <v>358</v>
      </c>
      <c r="AA131" s="179">
        <f t="shared" ca="1" si="78"/>
        <v>358</v>
      </c>
      <c r="AB131" s="179">
        <f t="shared" ca="1" si="78"/>
        <v>358</v>
      </c>
      <c r="AC131" s="179" t="e">
        <f t="shared" ca="1" si="45"/>
        <v>#N/A</v>
      </c>
      <c r="AD131" s="179" t="e">
        <f t="shared" ca="1" si="79"/>
        <v>#N/A</v>
      </c>
      <c r="AE131" s="179" t="e">
        <f t="shared" ca="1" si="79"/>
        <v>#N/A</v>
      </c>
      <c r="AF131" s="179" t="e">
        <f t="shared" ca="1" si="46"/>
        <v>#N/A</v>
      </c>
      <c r="AG131" s="179" t="e">
        <f t="shared" ca="1" si="80"/>
        <v>#N/A</v>
      </c>
      <c r="AH131" s="179" t="e">
        <f t="shared" ca="1" si="80"/>
        <v>#N/A</v>
      </c>
    </row>
    <row r="132" spans="1:34" ht="15.75" customHeight="1">
      <c r="A132" s="449" t="s">
        <v>35</v>
      </c>
      <c r="B132" s="449" t="s">
        <v>1677</v>
      </c>
      <c r="C132" s="449" t="s">
        <v>700</v>
      </c>
      <c r="D132" s="322" t="str">
        <f t="shared" ca="1" si="60"/>
        <v/>
      </c>
      <c r="E132" s="322" t="str">
        <f t="shared" ca="1" si="61"/>
        <v/>
      </c>
      <c r="F132" s="322" t="str">
        <f t="shared" ca="1" si="62"/>
        <v/>
      </c>
      <c r="G132" s="227" t="str">
        <f t="shared" ca="1" si="47"/>
        <v>D</v>
      </c>
      <c r="H132" s="227" t="str">
        <f t="shared" ca="1" si="48"/>
        <v>MASINA</v>
      </c>
      <c r="I132" s="227" t="str">
        <f t="shared" ca="1" si="49"/>
        <v>Bologna</v>
      </c>
      <c r="J132" s="227" t="str">
        <f t="shared" ca="1" si="50"/>
        <v>C</v>
      </c>
      <c r="K132" s="227" t="str">
        <f t="shared" ca="1" si="51"/>
        <v>NAGY</v>
      </c>
      <c r="L132" s="227" t="str">
        <f t="shared" ca="1" si="52"/>
        <v>Bologna</v>
      </c>
      <c r="M132" s="227" t="str">
        <f t="shared" ca="1" si="73"/>
        <v/>
      </c>
      <c r="N132" s="227" t="str">
        <f t="shared" ca="1" si="74"/>
        <v/>
      </c>
      <c r="O132" s="227" t="str">
        <f t="shared" ca="1" si="75"/>
        <v/>
      </c>
      <c r="P132" s="227" t="str">
        <f t="shared" ca="1" si="56"/>
        <v/>
      </c>
      <c r="Q132" s="227" t="str">
        <f t="shared" ca="1" si="57"/>
        <v/>
      </c>
      <c r="R132" s="227" t="str">
        <f t="shared" ca="1" si="58"/>
        <v/>
      </c>
      <c r="T132" s="179" t="e">
        <f t="shared" ca="1" si="59"/>
        <v>#N/A</v>
      </c>
      <c r="U132" s="179" t="e">
        <f t="shared" ca="1" si="76"/>
        <v>#N/A</v>
      </c>
      <c r="V132" s="179" t="e">
        <f t="shared" ca="1" si="76"/>
        <v>#N/A</v>
      </c>
      <c r="W132" s="179">
        <f t="shared" ca="1" si="43"/>
        <v>327</v>
      </c>
      <c r="X132" s="179">
        <f t="shared" ca="1" si="77"/>
        <v>327</v>
      </c>
      <c r="Y132" s="179">
        <f t="shared" ca="1" si="77"/>
        <v>327</v>
      </c>
      <c r="Z132" s="179">
        <f t="shared" ca="1" si="44"/>
        <v>362</v>
      </c>
      <c r="AA132" s="179">
        <f t="shared" ca="1" si="78"/>
        <v>362</v>
      </c>
      <c r="AB132" s="179">
        <f t="shared" ca="1" si="78"/>
        <v>362</v>
      </c>
      <c r="AC132" s="179" t="e">
        <f t="shared" ca="1" si="45"/>
        <v>#N/A</v>
      </c>
      <c r="AD132" s="179" t="e">
        <f t="shared" ca="1" si="79"/>
        <v>#N/A</v>
      </c>
      <c r="AE132" s="179" t="e">
        <f t="shared" ca="1" si="79"/>
        <v>#N/A</v>
      </c>
      <c r="AF132" s="179" t="e">
        <f t="shared" ca="1" si="46"/>
        <v>#N/A</v>
      </c>
      <c r="AG132" s="179" t="e">
        <f t="shared" ca="1" si="80"/>
        <v>#N/A</v>
      </c>
      <c r="AH132" s="179" t="e">
        <f t="shared" ca="1" si="80"/>
        <v>#N/A</v>
      </c>
    </row>
    <row r="133" spans="1:34" ht="15.75" customHeight="1">
      <c r="A133" s="449" t="s">
        <v>39</v>
      </c>
      <c r="B133" s="449" t="s">
        <v>1837</v>
      </c>
      <c r="C133" s="449" t="s">
        <v>682</v>
      </c>
      <c r="D133" s="322" t="str">
        <f t="shared" ca="1" si="60"/>
        <v/>
      </c>
      <c r="E133" s="322" t="str">
        <f t="shared" ca="1" si="61"/>
        <v/>
      </c>
      <c r="F133" s="322" t="str">
        <f t="shared" ca="1" si="62"/>
        <v/>
      </c>
      <c r="G133" s="227" t="str">
        <f t="shared" ca="1" si="47"/>
        <v>D</v>
      </c>
      <c r="H133" s="227" t="str">
        <f t="shared" ca="1" si="48"/>
        <v>MATTIELLO</v>
      </c>
      <c r="I133" s="227" t="str">
        <f t="shared" ca="1" si="49"/>
        <v>SPAL</v>
      </c>
      <c r="J133" s="227" t="str">
        <f t="shared" ca="1" si="50"/>
        <v>C</v>
      </c>
      <c r="K133" s="227" t="str">
        <f t="shared" ca="1" si="51"/>
        <v>NAINGGOLAN</v>
      </c>
      <c r="L133" s="227" t="str">
        <f t="shared" ca="1" si="52"/>
        <v>Roma</v>
      </c>
      <c r="M133" s="227" t="str">
        <f t="shared" ca="1" si="73"/>
        <v/>
      </c>
      <c r="N133" s="227" t="str">
        <f t="shared" ca="1" si="74"/>
        <v/>
      </c>
      <c r="O133" s="227" t="str">
        <f t="shared" ca="1" si="75"/>
        <v/>
      </c>
      <c r="P133" s="227" t="str">
        <f t="shared" ca="1" si="56"/>
        <v/>
      </c>
      <c r="Q133" s="227" t="str">
        <f t="shared" ca="1" si="57"/>
        <v/>
      </c>
      <c r="R133" s="227" t="str">
        <f t="shared" ca="1" si="58"/>
        <v/>
      </c>
      <c r="T133" s="179" t="e">
        <f t="shared" ca="1" si="59"/>
        <v>#N/A</v>
      </c>
      <c r="U133" s="179" t="e">
        <f t="shared" ca="1" si="76"/>
        <v>#N/A</v>
      </c>
      <c r="V133" s="179" t="e">
        <f t="shared" ca="1" si="76"/>
        <v>#N/A</v>
      </c>
      <c r="W133" s="179">
        <f t="shared" ca="1" si="43"/>
        <v>330</v>
      </c>
      <c r="X133" s="179">
        <f t="shared" ca="1" si="77"/>
        <v>330</v>
      </c>
      <c r="Y133" s="179">
        <f t="shared" ca="1" si="77"/>
        <v>330</v>
      </c>
      <c r="Z133" s="179">
        <f t="shared" ca="1" si="44"/>
        <v>363</v>
      </c>
      <c r="AA133" s="179">
        <f t="shared" ca="1" si="78"/>
        <v>363</v>
      </c>
      <c r="AB133" s="179">
        <f t="shared" ca="1" si="78"/>
        <v>363</v>
      </c>
      <c r="AC133" s="179" t="e">
        <f t="shared" ca="1" si="45"/>
        <v>#N/A</v>
      </c>
      <c r="AD133" s="179" t="e">
        <f t="shared" ca="1" si="79"/>
        <v>#N/A</v>
      </c>
      <c r="AE133" s="179" t="e">
        <f t="shared" ca="1" si="79"/>
        <v>#N/A</v>
      </c>
      <c r="AF133" s="179" t="e">
        <f t="shared" ca="1" si="46"/>
        <v>#N/A</v>
      </c>
      <c r="AG133" s="179" t="e">
        <f t="shared" ca="1" si="80"/>
        <v>#N/A</v>
      </c>
      <c r="AH133" s="179" t="e">
        <f t="shared" ca="1" si="80"/>
        <v>#N/A</v>
      </c>
    </row>
    <row r="134" spans="1:34" ht="15.75" customHeight="1">
      <c r="A134" s="449" t="s">
        <v>37</v>
      </c>
      <c r="B134" s="449" t="s">
        <v>1728</v>
      </c>
      <c r="C134" s="449" t="s">
        <v>1477</v>
      </c>
      <c r="D134" s="322" t="str">
        <f t="shared" ca="1" si="60"/>
        <v/>
      </c>
      <c r="E134" s="322" t="str">
        <f t="shared" ca="1" si="61"/>
        <v/>
      </c>
      <c r="F134" s="322" t="str">
        <f t="shared" ca="1" si="62"/>
        <v/>
      </c>
      <c r="G134" s="227" t="str">
        <f t="shared" ca="1" si="47"/>
        <v>D</v>
      </c>
      <c r="H134" s="227" t="str">
        <f t="shared" ca="1" si="48"/>
        <v>MBAYE</v>
      </c>
      <c r="I134" s="227" t="str">
        <f t="shared" ca="1" si="49"/>
        <v>Bologna</v>
      </c>
      <c r="J134" s="227" t="str">
        <f t="shared" ca="1" si="50"/>
        <v>C</v>
      </c>
      <c r="K134" s="227" t="str">
        <f t="shared" ca="1" si="51"/>
        <v>NALINI</v>
      </c>
      <c r="L134" s="227" t="str">
        <f t="shared" ca="1" si="52"/>
        <v>Crotone</v>
      </c>
      <c r="M134" s="227" t="str">
        <f t="shared" ca="1" si="73"/>
        <v/>
      </c>
      <c r="N134" s="227" t="str">
        <f t="shared" ca="1" si="74"/>
        <v/>
      </c>
      <c r="O134" s="227" t="str">
        <f t="shared" ca="1" si="75"/>
        <v/>
      </c>
      <c r="P134" s="227" t="str">
        <f t="shared" ca="1" si="56"/>
        <v/>
      </c>
      <c r="Q134" s="227" t="str">
        <f t="shared" ca="1" si="57"/>
        <v/>
      </c>
      <c r="R134" s="227" t="str">
        <f t="shared" ca="1" si="58"/>
        <v/>
      </c>
      <c r="T134" s="179" t="e">
        <f t="shared" ca="1" si="59"/>
        <v>#N/A</v>
      </c>
      <c r="U134" s="179" t="e">
        <f t="shared" ca="1" si="76"/>
        <v>#N/A</v>
      </c>
      <c r="V134" s="179" t="e">
        <f t="shared" ca="1" si="76"/>
        <v>#N/A</v>
      </c>
      <c r="W134" s="179">
        <f t="shared" ca="1" si="43"/>
        <v>335</v>
      </c>
      <c r="X134" s="179">
        <f t="shared" ca="1" si="77"/>
        <v>335</v>
      </c>
      <c r="Y134" s="179">
        <f t="shared" ca="1" si="77"/>
        <v>335</v>
      </c>
      <c r="Z134" s="179">
        <f t="shared" ca="1" si="44"/>
        <v>364</v>
      </c>
      <c r="AA134" s="179">
        <f t="shared" ca="1" si="78"/>
        <v>364</v>
      </c>
      <c r="AB134" s="179">
        <f t="shared" ca="1" si="78"/>
        <v>364</v>
      </c>
      <c r="AC134" s="179" t="e">
        <f t="shared" ca="1" si="45"/>
        <v>#N/A</v>
      </c>
      <c r="AD134" s="179" t="e">
        <f t="shared" ca="1" si="79"/>
        <v>#N/A</v>
      </c>
      <c r="AE134" s="179" t="e">
        <f t="shared" ca="1" si="79"/>
        <v>#N/A</v>
      </c>
      <c r="AF134" s="179" t="e">
        <f t="shared" ca="1" si="46"/>
        <v>#N/A</v>
      </c>
      <c r="AG134" s="179" t="e">
        <f t="shared" ca="1" si="80"/>
        <v>#N/A</v>
      </c>
      <c r="AH134" s="179" t="e">
        <f t="shared" ca="1" si="80"/>
        <v>#N/A</v>
      </c>
    </row>
    <row r="135" spans="1:34" ht="15.75" customHeight="1">
      <c r="A135" s="449" t="s">
        <v>39</v>
      </c>
      <c r="B135" s="449" t="s">
        <v>404</v>
      </c>
      <c r="C135" s="449" t="s">
        <v>691</v>
      </c>
      <c r="D135" s="322" t="str">
        <f t="shared" ca="1" si="60"/>
        <v/>
      </c>
      <c r="E135" s="322" t="str">
        <f t="shared" ca="1" si="61"/>
        <v/>
      </c>
      <c r="F135" s="322" t="str">
        <f t="shared" ca="1" si="62"/>
        <v/>
      </c>
      <c r="G135" s="227" t="str">
        <f t="shared" ca="1" si="47"/>
        <v>D</v>
      </c>
      <c r="H135" s="227" t="str">
        <f t="shared" ca="1" si="48"/>
        <v>MIANGUE</v>
      </c>
      <c r="I135" s="227" t="str">
        <f t="shared" ca="1" si="49"/>
        <v>Cagliari</v>
      </c>
      <c r="J135" s="227" t="str">
        <f t="shared" ca="1" si="50"/>
        <v>C</v>
      </c>
      <c r="K135" s="227" t="str">
        <f t="shared" ca="1" si="51"/>
        <v>OBI</v>
      </c>
      <c r="L135" s="227" t="str">
        <f t="shared" ca="1" si="52"/>
        <v>Torino</v>
      </c>
      <c r="M135" s="227" t="str">
        <f t="shared" ca="1" si="73"/>
        <v/>
      </c>
      <c r="N135" s="227" t="str">
        <f t="shared" ca="1" si="74"/>
        <v/>
      </c>
      <c r="O135" s="227" t="str">
        <f t="shared" ca="1" si="75"/>
        <v/>
      </c>
      <c r="P135" s="227" t="str">
        <f t="shared" ca="1" si="56"/>
        <v/>
      </c>
      <c r="Q135" s="227" t="str">
        <f t="shared" ca="1" si="57"/>
        <v/>
      </c>
      <c r="R135" s="227" t="str">
        <f t="shared" ca="1" si="58"/>
        <v/>
      </c>
      <c r="T135" s="179" t="e">
        <f t="shared" ca="1" si="59"/>
        <v>#N/A</v>
      </c>
      <c r="U135" s="179" t="e">
        <f t="shared" ca="1" si="76"/>
        <v>#N/A</v>
      </c>
      <c r="V135" s="179" t="e">
        <f t="shared" ca="1" si="76"/>
        <v>#N/A</v>
      </c>
      <c r="W135" s="179">
        <f t="shared" ca="1" si="43"/>
        <v>343</v>
      </c>
      <c r="X135" s="179">
        <f t="shared" ca="1" si="77"/>
        <v>343</v>
      </c>
      <c r="Y135" s="179">
        <f t="shared" ca="1" si="77"/>
        <v>343</v>
      </c>
      <c r="Z135" s="179">
        <f t="shared" ca="1" si="44"/>
        <v>370</v>
      </c>
      <c r="AA135" s="179">
        <f t="shared" ca="1" si="78"/>
        <v>370</v>
      </c>
      <c r="AB135" s="179">
        <f t="shared" ca="1" si="78"/>
        <v>370</v>
      </c>
      <c r="AC135" s="179" t="e">
        <f t="shared" ca="1" si="45"/>
        <v>#N/A</v>
      </c>
      <c r="AD135" s="179" t="e">
        <f t="shared" ca="1" si="79"/>
        <v>#N/A</v>
      </c>
      <c r="AE135" s="179" t="e">
        <f t="shared" ca="1" si="79"/>
        <v>#N/A</v>
      </c>
      <c r="AF135" s="179" t="e">
        <f t="shared" ca="1" si="46"/>
        <v>#N/A</v>
      </c>
      <c r="AG135" s="179" t="e">
        <f t="shared" ca="1" si="80"/>
        <v>#N/A</v>
      </c>
      <c r="AH135" s="179" t="e">
        <f t="shared" ca="1" si="80"/>
        <v>#N/A</v>
      </c>
    </row>
    <row r="136" spans="1:34" ht="15.75" customHeight="1">
      <c r="A136" s="449" t="s">
        <v>39</v>
      </c>
      <c r="B136" s="449" t="s">
        <v>407</v>
      </c>
      <c r="C136" s="449" t="s">
        <v>686</v>
      </c>
      <c r="D136" s="322" t="str">
        <f t="shared" ca="1" si="60"/>
        <v/>
      </c>
      <c r="E136" s="322" t="str">
        <f t="shared" ca="1" si="61"/>
        <v/>
      </c>
      <c r="F136" s="322" t="str">
        <f t="shared" ca="1" si="62"/>
        <v/>
      </c>
      <c r="G136" s="227" t="str">
        <f t="shared" ca="1" si="47"/>
        <v>D</v>
      </c>
      <c r="H136" s="227" t="str">
        <f t="shared" ca="1" si="48"/>
        <v>MIGLIORE</v>
      </c>
      <c r="I136" s="227" t="str">
        <f t="shared" ca="1" si="49"/>
        <v>Genoa</v>
      </c>
      <c r="J136" s="227" t="str">
        <f t="shared" ca="1" si="50"/>
        <v>C</v>
      </c>
      <c r="K136" s="227" t="str">
        <f t="shared" ca="1" si="51"/>
        <v>OMEONGA</v>
      </c>
      <c r="L136" s="227" t="str">
        <f t="shared" ca="1" si="52"/>
        <v>Genoa</v>
      </c>
      <c r="M136" s="227" t="str">
        <f t="shared" ca="1" si="73"/>
        <v/>
      </c>
      <c r="N136" s="227" t="str">
        <f t="shared" ca="1" si="74"/>
        <v/>
      </c>
      <c r="O136" s="227" t="str">
        <f t="shared" ca="1" si="75"/>
        <v/>
      </c>
      <c r="P136" s="227" t="str">
        <f t="shared" ca="1" si="56"/>
        <v/>
      </c>
      <c r="Q136" s="227" t="str">
        <f t="shared" ca="1" si="57"/>
        <v/>
      </c>
      <c r="R136" s="227" t="str">
        <f t="shared" ca="1" si="58"/>
        <v/>
      </c>
      <c r="T136" s="179" t="e">
        <f t="shared" ca="1" si="59"/>
        <v>#N/A</v>
      </c>
      <c r="U136" s="179" t="e">
        <f t="shared" ca="1" si="76"/>
        <v>#N/A</v>
      </c>
      <c r="V136" s="179" t="e">
        <f t="shared" ca="1" si="76"/>
        <v>#N/A</v>
      </c>
      <c r="W136" s="179">
        <f t="shared" ca="1" si="43"/>
        <v>344</v>
      </c>
      <c r="X136" s="179">
        <f t="shared" ca="1" si="77"/>
        <v>344</v>
      </c>
      <c r="Y136" s="179">
        <f t="shared" ca="1" si="77"/>
        <v>344</v>
      </c>
      <c r="Z136" s="179">
        <f t="shared" ca="1" si="44"/>
        <v>374</v>
      </c>
      <c r="AA136" s="179">
        <f t="shared" ca="1" si="78"/>
        <v>374</v>
      </c>
      <c r="AB136" s="179">
        <f t="shared" ca="1" si="78"/>
        <v>374</v>
      </c>
      <c r="AC136" s="179" t="e">
        <f t="shared" ca="1" si="45"/>
        <v>#N/A</v>
      </c>
      <c r="AD136" s="179" t="e">
        <f t="shared" ca="1" si="79"/>
        <v>#N/A</v>
      </c>
      <c r="AE136" s="179" t="e">
        <f t="shared" ca="1" si="79"/>
        <v>#N/A</v>
      </c>
      <c r="AF136" s="179" t="e">
        <f t="shared" ca="1" si="46"/>
        <v>#N/A</v>
      </c>
      <c r="AG136" s="179" t="e">
        <f t="shared" ca="1" si="80"/>
        <v>#N/A</v>
      </c>
      <c r="AH136" s="179" t="e">
        <f t="shared" ca="1" si="80"/>
        <v>#N/A</v>
      </c>
    </row>
    <row r="137" spans="1:34" ht="15.75" customHeight="1">
      <c r="A137" s="449" t="s">
        <v>39</v>
      </c>
      <c r="B137" s="449" t="s">
        <v>1338</v>
      </c>
      <c r="C137" s="449" t="s">
        <v>692</v>
      </c>
      <c r="D137" s="322" t="str">
        <f t="shared" ca="1" si="60"/>
        <v/>
      </c>
      <c r="E137" s="322" t="str">
        <f t="shared" ca="1" si="61"/>
        <v/>
      </c>
      <c r="F137" s="322" t="str">
        <f t="shared" ca="1" si="62"/>
        <v/>
      </c>
      <c r="G137" s="227" t="str">
        <f t="shared" ca="1" si="47"/>
        <v>D</v>
      </c>
      <c r="H137" s="227" t="str">
        <f t="shared" ca="1" si="48"/>
        <v>MIKULIC</v>
      </c>
      <c r="I137" s="227" t="str">
        <f t="shared" ca="1" si="49"/>
        <v>Sampdoria</v>
      </c>
      <c r="J137" s="227" t="str">
        <f t="shared" ca="1" si="50"/>
        <v>C</v>
      </c>
      <c r="K137" s="227" t="str">
        <f t="shared" ca="1" si="51"/>
        <v>PADOIN</v>
      </c>
      <c r="L137" s="227" t="str">
        <f t="shared" ca="1" si="52"/>
        <v>Cagliari</v>
      </c>
      <c r="M137" s="227" t="str">
        <f t="shared" ca="1" si="73"/>
        <v/>
      </c>
      <c r="N137" s="227" t="str">
        <f t="shared" ca="1" si="74"/>
        <v/>
      </c>
      <c r="O137" s="227" t="str">
        <f t="shared" ca="1" si="75"/>
        <v/>
      </c>
      <c r="P137" s="227" t="str">
        <f t="shared" ca="1" si="56"/>
        <v/>
      </c>
      <c r="Q137" s="227" t="str">
        <f t="shared" ca="1" si="57"/>
        <v/>
      </c>
      <c r="R137" s="227" t="str">
        <f t="shared" ca="1" si="58"/>
        <v/>
      </c>
      <c r="T137" s="179" t="e">
        <f t="shared" ca="1" si="59"/>
        <v>#N/A</v>
      </c>
      <c r="U137" s="179" t="e">
        <f t="shared" ca="1" si="76"/>
        <v>#N/A</v>
      </c>
      <c r="V137" s="179" t="e">
        <f t="shared" ca="1" si="76"/>
        <v>#N/A</v>
      </c>
      <c r="W137" s="179">
        <f t="shared" ref="W137:W200" ca="1" si="81">W136+MATCH(W$7,INDIRECT("$A"&amp;W136+1&amp;":$A$1000"),0)</f>
        <v>346</v>
      </c>
      <c r="X137" s="179">
        <f t="shared" ca="1" si="77"/>
        <v>346</v>
      </c>
      <c r="Y137" s="179">
        <f t="shared" ca="1" si="77"/>
        <v>346</v>
      </c>
      <c r="Z137" s="179">
        <f t="shared" ref="Z137:Z200" ca="1" si="82">Z136+MATCH(Z$7,INDIRECT("$A"&amp;Z136+1&amp;":$A$1000"),0)</f>
        <v>378</v>
      </c>
      <c r="AA137" s="179">
        <f t="shared" ca="1" si="78"/>
        <v>378</v>
      </c>
      <c r="AB137" s="179">
        <f t="shared" ca="1" si="78"/>
        <v>378</v>
      </c>
      <c r="AC137" s="179" t="e">
        <f t="shared" ref="AC137:AC200" ca="1" si="83">AC136+MATCH(AC$7,INDIRECT("$A"&amp;AC136+1&amp;":$A$1000"),0)</f>
        <v>#N/A</v>
      </c>
      <c r="AD137" s="179" t="e">
        <f t="shared" ca="1" si="79"/>
        <v>#N/A</v>
      </c>
      <c r="AE137" s="179" t="e">
        <f t="shared" ca="1" si="79"/>
        <v>#N/A</v>
      </c>
      <c r="AF137" s="179" t="e">
        <f t="shared" ref="AF137:AF200" ca="1" si="84">AF136+MATCH(AF$7,INDIRECT("$A"&amp;AF136+1&amp;":$A$1000"),0)</f>
        <v>#N/A</v>
      </c>
      <c r="AG137" s="179" t="e">
        <f t="shared" ca="1" si="80"/>
        <v>#N/A</v>
      </c>
      <c r="AH137" s="179" t="e">
        <f t="shared" ca="1" si="80"/>
        <v>#N/A</v>
      </c>
    </row>
    <row r="138" spans="1:34" ht="15.75" customHeight="1">
      <c r="A138" s="449" t="s">
        <v>39</v>
      </c>
      <c r="B138" s="449" t="s">
        <v>1838</v>
      </c>
      <c r="C138" s="449" t="s">
        <v>701</v>
      </c>
      <c r="D138" s="322" t="str">
        <f t="shared" ca="1" si="60"/>
        <v/>
      </c>
      <c r="E138" s="322" t="str">
        <f t="shared" ca="1" si="61"/>
        <v/>
      </c>
      <c r="F138" s="322" t="str">
        <f t="shared" ca="1" si="62"/>
        <v/>
      </c>
      <c r="G138" s="227" t="str">
        <f t="shared" ref="G138:G196" ca="1" si="85">IF(ISNA(W138),"",INDIRECT("A" &amp; W138))</f>
        <v>D</v>
      </c>
      <c r="H138" s="227" t="str">
        <f t="shared" ref="H138:H196" ca="1" si="86">IF(ISNA(X138),"",INDIRECT("B" &amp; X138))</f>
        <v>MILENKOVIC</v>
      </c>
      <c r="I138" s="227" t="str">
        <f t="shared" ref="I138:I196" ca="1" si="87">IF(ISNA(Y138),"",INDIRECT("C" &amp; Y138))</f>
        <v>Fiorentina</v>
      </c>
      <c r="J138" s="227" t="str">
        <f t="shared" ref="J138:J174" ca="1" si="88">IF(ISNA(Z138),"",INDIRECT("A" &amp; Z138))</f>
        <v>C</v>
      </c>
      <c r="K138" s="227" t="str">
        <f t="shared" ref="K138:K174" ca="1" si="89">IF(ISNA(AA138),"",INDIRECT("B" &amp; AA138))</f>
        <v>PAROLO</v>
      </c>
      <c r="L138" s="227" t="str">
        <f t="shared" ref="L138:L174" ca="1" si="90">IF(ISNA(AB138),"",INDIRECT("C" &amp; AB138))</f>
        <v>Lazio</v>
      </c>
      <c r="M138" s="227" t="str">
        <f t="shared" ca="1" si="73"/>
        <v/>
      </c>
      <c r="N138" s="227" t="str">
        <f t="shared" ca="1" si="74"/>
        <v/>
      </c>
      <c r="O138" s="227" t="str">
        <f t="shared" ca="1" si="75"/>
        <v/>
      </c>
      <c r="P138" s="227" t="str">
        <f t="shared" ref="P138:P201" ca="1" si="91">IF(ISNA(AF138),"",INDIRECT("A" &amp; AF138))</f>
        <v/>
      </c>
      <c r="Q138" s="227" t="str">
        <f t="shared" ref="Q138:Q201" ca="1" si="92">IF(ISNA(AG138),"",INDIRECT("B" &amp; AG138))</f>
        <v/>
      </c>
      <c r="R138" s="227" t="str">
        <f t="shared" ref="R138:R201" ca="1" si="93">IF(ISNA(AH138),"",INDIRECT("C" &amp; AH138))</f>
        <v/>
      </c>
      <c r="T138" s="179" t="e">
        <f t="shared" ref="T138:T201" ca="1" si="94">T137+MATCH($T$7,INDIRECT("$A"&amp;T137+1&amp;":$A$1000"),0)</f>
        <v>#N/A</v>
      </c>
      <c r="U138" s="179" t="e">
        <f t="shared" ca="1" si="76"/>
        <v>#N/A</v>
      </c>
      <c r="V138" s="179" t="e">
        <f t="shared" ca="1" si="76"/>
        <v>#N/A</v>
      </c>
      <c r="W138" s="179">
        <f t="shared" ca="1" si="81"/>
        <v>347</v>
      </c>
      <c r="X138" s="179">
        <f t="shared" ca="1" si="77"/>
        <v>347</v>
      </c>
      <c r="Y138" s="179">
        <f t="shared" ca="1" si="77"/>
        <v>347</v>
      </c>
      <c r="Z138" s="179">
        <f t="shared" ca="1" si="82"/>
        <v>387</v>
      </c>
      <c r="AA138" s="179">
        <f t="shared" ca="1" si="78"/>
        <v>387</v>
      </c>
      <c r="AB138" s="179">
        <f t="shared" ca="1" si="78"/>
        <v>387</v>
      </c>
      <c r="AC138" s="179" t="e">
        <f t="shared" ca="1" si="83"/>
        <v>#N/A</v>
      </c>
      <c r="AD138" s="179" t="e">
        <f t="shared" ca="1" si="79"/>
        <v>#N/A</v>
      </c>
      <c r="AE138" s="179" t="e">
        <f t="shared" ca="1" si="79"/>
        <v>#N/A</v>
      </c>
      <c r="AF138" s="179" t="e">
        <f t="shared" ca="1" si="84"/>
        <v>#N/A</v>
      </c>
      <c r="AG138" s="179" t="e">
        <f t="shared" ca="1" si="80"/>
        <v>#N/A</v>
      </c>
      <c r="AH138" s="179" t="e">
        <f t="shared" ca="1" si="80"/>
        <v>#N/A</v>
      </c>
    </row>
    <row r="139" spans="1:34" ht="15.75" customHeight="1">
      <c r="A139" s="449" t="s">
        <v>35</v>
      </c>
      <c r="B139" s="449" t="s">
        <v>1687</v>
      </c>
      <c r="C139" s="449" t="s">
        <v>700</v>
      </c>
      <c r="D139" s="322" t="str">
        <f t="shared" ca="1" si="60"/>
        <v/>
      </c>
      <c r="E139" s="322" t="str">
        <f t="shared" ca="1" si="61"/>
        <v/>
      </c>
      <c r="F139" s="322" t="str">
        <f t="shared" ca="1" si="62"/>
        <v/>
      </c>
      <c r="G139" s="227" t="str">
        <f t="shared" ca="1" si="85"/>
        <v>D</v>
      </c>
      <c r="H139" s="227" t="str">
        <f t="shared" ca="1" si="86"/>
        <v>MIRANDA</v>
      </c>
      <c r="I139" s="227" t="str">
        <f t="shared" ca="1" si="87"/>
        <v>Inter</v>
      </c>
      <c r="J139" s="227" t="str">
        <f t="shared" ca="1" si="88"/>
        <v>C</v>
      </c>
      <c r="K139" s="227" t="str">
        <f t="shared" ca="1" si="89"/>
        <v>PELLEGRINI</v>
      </c>
      <c r="L139" s="227" t="str">
        <f t="shared" ca="1" si="90"/>
        <v>Roma</v>
      </c>
      <c r="M139" s="227" t="str">
        <f t="shared" ca="1" si="73"/>
        <v/>
      </c>
      <c r="N139" s="227" t="str">
        <f t="shared" ca="1" si="74"/>
        <v/>
      </c>
      <c r="O139" s="227" t="str">
        <f t="shared" ca="1" si="75"/>
        <v/>
      </c>
      <c r="P139" s="227" t="str">
        <f t="shared" ca="1" si="91"/>
        <v/>
      </c>
      <c r="Q139" s="227" t="str">
        <f t="shared" ca="1" si="92"/>
        <v/>
      </c>
      <c r="R139" s="227" t="str">
        <f t="shared" ca="1" si="93"/>
        <v/>
      </c>
      <c r="T139" s="179" t="e">
        <f t="shared" ca="1" si="94"/>
        <v>#N/A</v>
      </c>
      <c r="U139" s="179" t="e">
        <f t="shared" ca="1" si="76"/>
        <v>#N/A</v>
      </c>
      <c r="V139" s="179" t="e">
        <f t="shared" ca="1" si="76"/>
        <v>#N/A</v>
      </c>
      <c r="W139" s="179">
        <f t="shared" ca="1" si="81"/>
        <v>351</v>
      </c>
      <c r="X139" s="179">
        <f t="shared" ca="1" si="77"/>
        <v>351</v>
      </c>
      <c r="Y139" s="179">
        <f t="shared" ca="1" si="77"/>
        <v>351</v>
      </c>
      <c r="Z139" s="179">
        <f t="shared" ca="1" si="82"/>
        <v>394</v>
      </c>
      <c r="AA139" s="179">
        <f t="shared" ca="1" si="78"/>
        <v>394</v>
      </c>
      <c r="AB139" s="179">
        <f t="shared" ca="1" si="78"/>
        <v>394</v>
      </c>
      <c r="AC139" s="179" t="e">
        <f t="shared" ca="1" si="83"/>
        <v>#N/A</v>
      </c>
      <c r="AD139" s="179" t="e">
        <f t="shared" ca="1" si="79"/>
        <v>#N/A</v>
      </c>
      <c r="AE139" s="179" t="e">
        <f t="shared" ca="1" si="79"/>
        <v>#N/A</v>
      </c>
      <c r="AF139" s="179" t="e">
        <f t="shared" ca="1" si="84"/>
        <v>#N/A</v>
      </c>
      <c r="AG139" s="179" t="e">
        <f t="shared" ca="1" si="80"/>
        <v>#N/A</v>
      </c>
      <c r="AH139" s="179" t="e">
        <f t="shared" ca="1" si="80"/>
        <v>#N/A</v>
      </c>
    </row>
    <row r="140" spans="1:34" ht="15.75" customHeight="1">
      <c r="A140" s="449" t="s">
        <v>39</v>
      </c>
      <c r="B140" s="449" t="s">
        <v>1339</v>
      </c>
      <c r="C140" s="449" t="s">
        <v>676</v>
      </c>
      <c r="D140" s="322" t="str">
        <f t="shared" ca="1" si="60"/>
        <v/>
      </c>
      <c r="E140" s="322" t="str">
        <f t="shared" ca="1" si="61"/>
        <v/>
      </c>
      <c r="F140" s="322" t="str">
        <f t="shared" ca="1" si="62"/>
        <v/>
      </c>
      <c r="G140" s="227" t="str">
        <f t="shared" ca="1" si="85"/>
        <v>D</v>
      </c>
      <c r="H140" s="227" t="str">
        <f t="shared" ca="1" si="86"/>
        <v>MOLINARO</v>
      </c>
      <c r="I140" s="227" t="str">
        <f t="shared" ca="1" si="87"/>
        <v>Torino</v>
      </c>
      <c r="J140" s="227" t="str">
        <f t="shared" ca="1" si="88"/>
        <v>C</v>
      </c>
      <c r="K140" s="227" t="str">
        <f t="shared" ca="1" si="89"/>
        <v>PERISIC</v>
      </c>
      <c r="L140" s="227" t="str">
        <f t="shared" ca="1" si="90"/>
        <v>Inter</v>
      </c>
      <c r="M140" s="227" t="str">
        <f t="shared" ca="1" si="73"/>
        <v/>
      </c>
      <c r="N140" s="227" t="str">
        <f t="shared" ca="1" si="74"/>
        <v/>
      </c>
      <c r="O140" s="227" t="str">
        <f t="shared" ca="1" si="75"/>
        <v/>
      </c>
      <c r="P140" s="227" t="str">
        <f t="shared" ca="1" si="91"/>
        <v/>
      </c>
      <c r="Q140" s="227" t="str">
        <f t="shared" ca="1" si="92"/>
        <v/>
      </c>
      <c r="R140" s="227" t="str">
        <f t="shared" ca="1" si="93"/>
        <v/>
      </c>
      <c r="T140" s="179" t="e">
        <f t="shared" ca="1" si="94"/>
        <v>#N/A</v>
      </c>
      <c r="U140" s="179" t="e">
        <f t="shared" ca="1" si="76"/>
        <v>#N/A</v>
      </c>
      <c r="V140" s="179" t="e">
        <f t="shared" ca="1" si="76"/>
        <v>#N/A</v>
      </c>
      <c r="W140" s="179">
        <f t="shared" ca="1" si="81"/>
        <v>354</v>
      </c>
      <c r="X140" s="179">
        <f t="shared" ca="1" si="77"/>
        <v>354</v>
      </c>
      <c r="Y140" s="179">
        <f t="shared" ca="1" si="77"/>
        <v>354</v>
      </c>
      <c r="Z140" s="179">
        <f t="shared" ca="1" si="82"/>
        <v>399</v>
      </c>
      <c r="AA140" s="179">
        <f t="shared" ca="1" si="78"/>
        <v>399</v>
      </c>
      <c r="AB140" s="179">
        <f t="shared" ca="1" si="78"/>
        <v>399</v>
      </c>
      <c r="AC140" s="179" t="e">
        <f t="shared" ca="1" si="83"/>
        <v>#N/A</v>
      </c>
      <c r="AD140" s="179" t="e">
        <f t="shared" ca="1" si="79"/>
        <v>#N/A</v>
      </c>
      <c r="AE140" s="179" t="e">
        <f t="shared" ca="1" si="79"/>
        <v>#N/A</v>
      </c>
      <c r="AF140" s="179" t="e">
        <f t="shared" ca="1" si="84"/>
        <v>#N/A</v>
      </c>
      <c r="AG140" s="179" t="e">
        <f t="shared" ca="1" si="80"/>
        <v>#N/A</v>
      </c>
      <c r="AH140" s="179" t="e">
        <f t="shared" ca="1" si="80"/>
        <v>#N/A</v>
      </c>
    </row>
    <row r="141" spans="1:34" ht="15.75" customHeight="1">
      <c r="A141" s="449" t="s">
        <v>43</v>
      </c>
      <c r="B141" s="449" t="s">
        <v>1782</v>
      </c>
      <c r="C141" s="449" t="s">
        <v>678</v>
      </c>
      <c r="D141" s="322" t="str">
        <f t="shared" ca="1" si="60"/>
        <v/>
      </c>
      <c r="E141" s="322" t="str">
        <f t="shared" ca="1" si="61"/>
        <v/>
      </c>
      <c r="F141" s="322" t="str">
        <f t="shared" ca="1" si="62"/>
        <v/>
      </c>
      <c r="G141" s="227" t="str">
        <f t="shared" ca="1" si="85"/>
        <v>D</v>
      </c>
      <c r="H141" s="227" t="str">
        <f t="shared" ca="1" si="86"/>
        <v>MORETTI</v>
      </c>
      <c r="I141" s="227" t="str">
        <f t="shared" ca="1" si="87"/>
        <v>Torino</v>
      </c>
      <c r="J141" s="227" t="str">
        <f t="shared" ca="1" si="88"/>
        <v>C</v>
      </c>
      <c r="K141" s="227" t="str">
        <f t="shared" ca="1" si="89"/>
        <v>PEROTTI</v>
      </c>
      <c r="L141" s="227" t="str">
        <f t="shared" ca="1" si="90"/>
        <v>Roma</v>
      </c>
      <c r="M141" s="227" t="str">
        <f t="shared" ca="1" si="73"/>
        <v/>
      </c>
      <c r="N141" s="227" t="str">
        <f t="shared" ca="1" si="74"/>
        <v/>
      </c>
      <c r="O141" s="227" t="str">
        <f t="shared" ca="1" si="75"/>
        <v/>
      </c>
      <c r="P141" s="227" t="str">
        <f t="shared" ca="1" si="91"/>
        <v/>
      </c>
      <c r="Q141" s="227" t="str">
        <f t="shared" ca="1" si="92"/>
        <v/>
      </c>
      <c r="R141" s="227" t="str">
        <f t="shared" ca="1" si="93"/>
        <v/>
      </c>
      <c r="T141" s="179" t="e">
        <f t="shared" ca="1" si="94"/>
        <v>#N/A</v>
      </c>
      <c r="U141" s="179" t="e">
        <f t="shared" ca="1" si="76"/>
        <v>#N/A</v>
      </c>
      <c r="V141" s="179" t="e">
        <f t="shared" ca="1" si="76"/>
        <v>#N/A</v>
      </c>
      <c r="W141" s="179">
        <f t="shared" ca="1" si="81"/>
        <v>357</v>
      </c>
      <c r="X141" s="179">
        <f t="shared" ca="1" si="77"/>
        <v>357</v>
      </c>
      <c r="Y141" s="179">
        <f t="shared" ca="1" si="77"/>
        <v>357</v>
      </c>
      <c r="Z141" s="179">
        <f t="shared" ca="1" si="82"/>
        <v>400</v>
      </c>
      <c r="AA141" s="179">
        <f t="shared" ca="1" si="78"/>
        <v>400</v>
      </c>
      <c r="AB141" s="179">
        <f t="shared" ca="1" si="78"/>
        <v>400</v>
      </c>
      <c r="AC141" s="179" t="e">
        <f t="shared" ca="1" si="83"/>
        <v>#N/A</v>
      </c>
      <c r="AD141" s="179" t="e">
        <f t="shared" ca="1" si="79"/>
        <v>#N/A</v>
      </c>
      <c r="AE141" s="179" t="e">
        <f t="shared" ca="1" si="79"/>
        <v>#N/A</v>
      </c>
      <c r="AF141" s="179" t="e">
        <f t="shared" ca="1" si="84"/>
        <v>#N/A</v>
      </c>
      <c r="AG141" s="179" t="e">
        <f t="shared" ca="1" si="80"/>
        <v>#N/A</v>
      </c>
      <c r="AH141" s="179" t="e">
        <f t="shared" ca="1" si="80"/>
        <v>#N/A</v>
      </c>
    </row>
    <row r="142" spans="1:34" ht="15.75" customHeight="1">
      <c r="A142" s="449" t="s">
        <v>35</v>
      </c>
      <c r="B142" s="449" t="s">
        <v>332</v>
      </c>
      <c r="C142" s="449" t="s">
        <v>691</v>
      </c>
      <c r="D142" s="322" t="str">
        <f t="shared" ca="1" si="60"/>
        <v/>
      </c>
      <c r="E142" s="322" t="str">
        <f t="shared" ca="1" si="61"/>
        <v/>
      </c>
      <c r="F142" s="322" t="str">
        <f t="shared" ca="1" si="62"/>
        <v/>
      </c>
      <c r="G142" s="227" t="str">
        <f t="shared" ca="1" si="85"/>
        <v>D</v>
      </c>
      <c r="H142" s="227" t="str">
        <f t="shared" ca="1" si="86"/>
        <v>MURRU</v>
      </c>
      <c r="I142" s="227" t="str">
        <f t="shared" ca="1" si="87"/>
        <v>Sampdoria</v>
      </c>
      <c r="J142" s="227" t="str">
        <f t="shared" ca="1" si="88"/>
        <v>C</v>
      </c>
      <c r="K142" s="227" t="str">
        <f t="shared" ca="1" si="89"/>
        <v>PJANIC</v>
      </c>
      <c r="L142" s="227" t="str">
        <f t="shared" ca="1" si="90"/>
        <v>Juventus</v>
      </c>
      <c r="M142" s="227" t="str">
        <f t="shared" ca="1" si="73"/>
        <v/>
      </c>
      <c r="N142" s="227" t="str">
        <f t="shared" ca="1" si="74"/>
        <v/>
      </c>
      <c r="O142" s="227" t="str">
        <f t="shared" ca="1" si="75"/>
        <v/>
      </c>
      <c r="P142" s="227" t="str">
        <f t="shared" ca="1" si="91"/>
        <v/>
      </c>
      <c r="Q142" s="227" t="str">
        <f t="shared" ca="1" si="92"/>
        <v/>
      </c>
      <c r="R142" s="227" t="str">
        <f t="shared" ca="1" si="93"/>
        <v/>
      </c>
      <c r="T142" s="179" t="e">
        <f t="shared" ca="1" si="94"/>
        <v>#N/A</v>
      </c>
      <c r="U142" s="179" t="e">
        <f t="shared" ca="1" si="76"/>
        <v>#N/A</v>
      </c>
      <c r="V142" s="179" t="e">
        <f t="shared" ca="1" si="76"/>
        <v>#N/A</v>
      </c>
      <c r="W142" s="179">
        <f t="shared" ca="1" si="81"/>
        <v>359</v>
      </c>
      <c r="X142" s="179">
        <f t="shared" ca="1" si="77"/>
        <v>359</v>
      </c>
      <c r="Y142" s="179">
        <f t="shared" ca="1" si="77"/>
        <v>359</v>
      </c>
      <c r="Z142" s="179">
        <f t="shared" ca="1" si="82"/>
        <v>410</v>
      </c>
      <c r="AA142" s="179">
        <f t="shared" ca="1" si="78"/>
        <v>410</v>
      </c>
      <c r="AB142" s="179">
        <f t="shared" ca="1" si="78"/>
        <v>410</v>
      </c>
      <c r="AC142" s="179" t="e">
        <f t="shared" ca="1" si="83"/>
        <v>#N/A</v>
      </c>
      <c r="AD142" s="179" t="e">
        <f t="shared" ca="1" si="79"/>
        <v>#N/A</v>
      </c>
      <c r="AE142" s="179" t="e">
        <f t="shared" ca="1" si="79"/>
        <v>#N/A</v>
      </c>
      <c r="AF142" s="179" t="e">
        <f t="shared" ca="1" si="84"/>
        <v>#N/A</v>
      </c>
      <c r="AG142" s="179" t="e">
        <f t="shared" ca="1" si="80"/>
        <v>#N/A</v>
      </c>
      <c r="AH142" s="179" t="e">
        <f t="shared" ca="1" si="80"/>
        <v>#N/A</v>
      </c>
    </row>
    <row r="143" spans="1:34" ht="15.75" customHeight="1">
      <c r="A143" s="449" t="s">
        <v>37</v>
      </c>
      <c r="B143" s="449" t="s">
        <v>440</v>
      </c>
      <c r="C143" s="449" t="s">
        <v>680</v>
      </c>
      <c r="D143" s="322" t="str">
        <f t="shared" ca="1" si="60"/>
        <v/>
      </c>
      <c r="E143" s="322" t="str">
        <f t="shared" ca="1" si="61"/>
        <v/>
      </c>
      <c r="F143" s="322" t="str">
        <f t="shared" ca="1" si="62"/>
        <v/>
      </c>
      <c r="G143" s="227" t="str">
        <f t="shared" ca="1" si="85"/>
        <v>D</v>
      </c>
      <c r="H143" s="227" t="str">
        <f t="shared" ca="1" si="86"/>
        <v>MUSACCHIO</v>
      </c>
      <c r="I143" s="227" t="str">
        <f t="shared" ca="1" si="87"/>
        <v>Milan</v>
      </c>
      <c r="J143" s="227" t="str">
        <f t="shared" ca="1" si="88"/>
        <v>C</v>
      </c>
      <c r="K143" s="227" t="str">
        <f t="shared" ca="1" si="89"/>
        <v>POLI</v>
      </c>
      <c r="L143" s="227" t="str">
        <f t="shared" ca="1" si="90"/>
        <v>Bologna</v>
      </c>
      <c r="M143" s="227" t="str">
        <f t="shared" ca="1" si="73"/>
        <v/>
      </c>
      <c r="N143" s="227" t="str">
        <f t="shared" ca="1" si="74"/>
        <v/>
      </c>
      <c r="O143" s="227" t="str">
        <f t="shared" ca="1" si="75"/>
        <v/>
      </c>
      <c r="P143" s="227" t="str">
        <f t="shared" ca="1" si="91"/>
        <v/>
      </c>
      <c r="Q143" s="227" t="str">
        <f t="shared" ca="1" si="92"/>
        <v/>
      </c>
      <c r="R143" s="227" t="str">
        <f t="shared" ca="1" si="93"/>
        <v/>
      </c>
      <c r="T143" s="179" t="e">
        <f t="shared" ca="1" si="94"/>
        <v>#N/A</v>
      </c>
      <c r="U143" s="179" t="e">
        <f t="shared" ca="1" si="76"/>
        <v>#N/A</v>
      </c>
      <c r="V143" s="179" t="e">
        <f t="shared" ca="1" si="76"/>
        <v>#N/A</v>
      </c>
      <c r="W143" s="179">
        <f t="shared" ca="1" si="81"/>
        <v>360</v>
      </c>
      <c r="X143" s="179">
        <f t="shared" ca="1" si="77"/>
        <v>360</v>
      </c>
      <c r="Y143" s="179">
        <f t="shared" ca="1" si="77"/>
        <v>360</v>
      </c>
      <c r="Z143" s="179">
        <f t="shared" ca="1" si="82"/>
        <v>411</v>
      </c>
      <c r="AA143" s="179">
        <f t="shared" ca="1" si="78"/>
        <v>411</v>
      </c>
      <c r="AB143" s="179">
        <f t="shared" ca="1" si="78"/>
        <v>411</v>
      </c>
      <c r="AC143" s="179" t="e">
        <f t="shared" ca="1" si="83"/>
        <v>#N/A</v>
      </c>
      <c r="AD143" s="179" t="e">
        <f t="shared" ca="1" si="79"/>
        <v>#N/A</v>
      </c>
      <c r="AE143" s="179" t="e">
        <f t="shared" ca="1" si="79"/>
        <v>#N/A</v>
      </c>
      <c r="AF143" s="179" t="e">
        <f t="shared" ca="1" si="84"/>
        <v>#N/A</v>
      </c>
      <c r="AG143" s="179" t="e">
        <f t="shared" ca="1" si="80"/>
        <v>#N/A</v>
      </c>
      <c r="AH143" s="179" t="e">
        <f t="shared" ca="1" si="80"/>
        <v>#N/A</v>
      </c>
    </row>
    <row r="144" spans="1:34" ht="15.75" customHeight="1">
      <c r="A144" s="449" t="s">
        <v>37</v>
      </c>
      <c r="B144" s="449" t="s">
        <v>1921</v>
      </c>
      <c r="C144" s="449" t="s">
        <v>677</v>
      </c>
      <c r="D144" s="322" t="str">
        <f t="shared" ca="1" si="60"/>
        <v/>
      </c>
      <c r="E144" s="322" t="str">
        <f t="shared" ca="1" si="61"/>
        <v/>
      </c>
      <c r="F144" s="322" t="str">
        <f t="shared" ca="1" si="62"/>
        <v/>
      </c>
      <c r="G144" s="227" t="str">
        <f t="shared" ca="1" si="85"/>
        <v>D</v>
      </c>
      <c r="H144" s="227" t="str">
        <f t="shared" ca="1" si="86"/>
        <v>NAGATOMO</v>
      </c>
      <c r="I144" s="227" t="str">
        <f t="shared" ca="1" si="87"/>
        <v>Inter</v>
      </c>
      <c r="J144" s="227" t="str">
        <f t="shared" ca="1" si="88"/>
        <v>C</v>
      </c>
      <c r="K144" s="227" t="str">
        <f t="shared" ca="1" si="89"/>
        <v>PRAET</v>
      </c>
      <c r="L144" s="227" t="str">
        <f t="shared" ca="1" si="90"/>
        <v>Sampdoria</v>
      </c>
      <c r="M144" s="227" t="str">
        <f t="shared" ca="1" si="73"/>
        <v/>
      </c>
      <c r="N144" s="227" t="str">
        <f t="shared" ca="1" si="74"/>
        <v/>
      </c>
      <c r="O144" s="227" t="str">
        <f t="shared" ca="1" si="75"/>
        <v/>
      </c>
      <c r="P144" s="227" t="str">
        <f t="shared" ca="1" si="91"/>
        <v/>
      </c>
      <c r="Q144" s="227" t="str">
        <f t="shared" ca="1" si="92"/>
        <v/>
      </c>
      <c r="R144" s="227" t="str">
        <f t="shared" ca="1" si="93"/>
        <v/>
      </c>
      <c r="T144" s="179" t="e">
        <f t="shared" ca="1" si="94"/>
        <v>#N/A</v>
      </c>
      <c r="U144" s="179" t="e">
        <f t="shared" ca="1" si="76"/>
        <v>#N/A</v>
      </c>
      <c r="V144" s="179" t="e">
        <f t="shared" ca="1" si="76"/>
        <v>#N/A</v>
      </c>
      <c r="W144" s="179">
        <f t="shared" ca="1" si="81"/>
        <v>361</v>
      </c>
      <c r="X144" s="179">
        <f t="shared" ca="1" si="77"/>
        <v>361</v>
      </c>
      <c r="Y144" s="179">
        <f t="shared" ca="1" si="77"/>
        <v>361</v>
      </c>
      <c r="Z144" s="179">
        <f t="shared" ca="1" si="82"/>
        <v>414</v>
      </c>
      <c r="AA144" s="179">
        <f t="shared" ca="1" si="78"/>
        <v>414</v>
      </c>
      <c r="AB144" s="179">
        <f t="shared" ca="1" si="78"/>
        <v>414</v>
      </c>
      <c r="AC144" s="179" t="e">
        <f t="shared" ca="1" si="83"/>
        <v>#N/A</v>
      </c>
      <c r="AD144" s="179" t="e">
        <f t="shared" ca="1" si="79"/>
        <v>#N/A</v>
      </c>
      <c r="AE144" s="179" t="e">
        <f t="shared" ca="1" si="79"/>
        <v>#N/A</v>
      </c>
      <c r="AF144" s="179" t="e">
        <f t="shared" ca="1" si="84"/>
        <v>#N/A</v>
      </c>
      <c r="AG144" s="179" t="e">
        <f t="shared" ca="1" si="80"/>
        <v>#N/A</v>
      </c>
      <c r="AH144" s="179" t="e">
        <f t="shared" ca="1" si="80"/>
        <v>#N/A</v>
      </c>
    </row>
    <row r="145" spans="1:34" ht="15.75" customHeight="1">
      <c r="A145" s="449" t="s">
        <v>39</v>
      </c>
      <c r="B145" s="449" t="s">
        <v>414</v>
      </c>
      <c r="C145" s="449" t="s">
        <v>1672</v>
      </c>
      <c r="D145" s="322" t="str">
        <f t="shared" ref="D145:D208" ca="1" si="95">IF(ISNA(T145),"",INDIRECT("A" &amp; T145))</f>
        <v/>
      </c>
      <c r="E145" s="322" t="str">
        <f t="shared" ref="E145:E208" ca="1" si="96">IF(ISNA(U145),"",INDIRECT("B" &amp; U145))</f>
        <v/>
      </c>
      <c r="F145" s="322" t="str">
        <f t="shared" ref="F145:F208" ca="1" si="97">IF(ISNA(V145),"",INDIRECT("C" &amp; V145))</f>
        <v/>
      </c>
      <c r="G145" s="227" t="str">
        <f t="shared" ca="1" si="85"/>
        <v>D</v>
      </c>
      <c r="H145" s="227" t="str">
        <f t="shared" ca="1" si="86"/>
        <v>N'KOULOU</v>
      </c>
      <c r="I145" s="227" t="str">
        <f t="shared" ca="1" si="87"/>
        <v>Torino</v>
      </c>
      <c r="J145" s="227" t="str">
        <f t="shared" ca="1" si="88"/>
        <v>C</v>
      </c>
      <c r="K145" s="227" t="str">
        <f t="shared" ca="1" si="89"/>
        <v>PULGAR</v>
      </c>
      <c r="L145" s="227" t="str">
        <f t="shared" ca="1" si="90"/>
        <v>Bologna</v>
      </c>
      <c r="M145" s="227" t="str">
        <f t="shared" ca="1" si="73"/>
        <v/>
      </c>
      <c r="N145" s="227" t="str">
        <f t="shared" ca="1" si="74"/>
        <v/>
      </c>
      <c r="O145" s="227" t="str">
        <f t="shared" ca="1" si="75"/>
        <v/>
      </c>
      <c r="P145" s="227" t="str">
        <f t="shared" ca="1" si="91"/>
        <v/>
      </c>
      <c r="Q145" s="227" t="str">
        <f t="shared" ca="1" si="92"/>
        <v/>
      </c>
      <c r="R145" s="227" t="str">
        <f t="shared" ca="1" si="93"/>
        <v/>
      </c>
      <c r="T145" s="179" t="e">
        <f t="shared" ca="1" si="94"/>
        <v>#N/A</v>
      </c>
      <c r="U145" s="179" t="e">
        <f t="shared" ca="1" si="76"/>
        <v>#N/A</v>
      </c>
      <c r="V145" s="179" t="e">
        <f t="shared" ca="1" si="76"/>
        <v>#N/A</v>
      </c>
      <c r="W145" s="179">
        <f t="shared" ca="1" si="81"/>
        <v>368</v>
      </c>
      <c r="X145" s="179">
        <f t="shared" ca="1" si="77"/>
        <v>368</v>
      </c>
      <c r="Y145" s="179">
        <f t="shared" ca="1" si="77"/>
        <v>368</v>
      </c>
      <c r="Z145" s="179">
        <f t="shared" ca="1" si="82"/>
        <v>417</v>
      </c>
      <c r="AA145" s="179">
        <f t="shared" ca="1" si="78"/>
        <v>417</v>
      </c>
      <c r="AB145" s="179">
        <f t="shared" ca="1" si="78"/>
        <v>417</v>
      </c>
      <c r="AC145" s="179" t="e">
        <f t="shared" ca="1" si="83"/>
        <v>#N/A</v>
      </c>
      <c r="AD145" s="179" t="e">
        <f t="shared" ca="1" si="79"/>
        <v>#N/A</v>
      </c>
      <c r="AE145" s="179" t="e">
        <f t="shared" ca="1" si="79"/>
        <v>#N/A</v>
      </c>
      <c r="AF145" s="179" t="e">
        <f t="shared" ca="1" si="84"/>
        <v>#N/A</v>
      </c>
      <c r="AG145" s="179" t="e">
        <f t="shared" ca="1" si="80"/>
        <v>#N/A</v>
      </c>
      <c r="AH145" s="179" t="e">
        <f t="shared" ca="1" si="80"/>
        <v>#N/A</v>
      </c>
    </row>
    <row r="146" spans="1:34" ht="15.75" customHeight="1">
      <c r="A146" s="449" t="s">
        <v>37</v>
      </c>
      <c r="B146" s="449" t="s">
        <v>443</v>
      </c>
      <c r="C146" s="449" t="s">
        <v>677</v>
      </c>
      <c r="D146" s="322" t="str">
        <f t="shared" ca="1" si="95"/>
        <v/>
      </c>
      <c r="E146" s="322" t="str">
        <f t="shared" ca="1" si="96"/>
        <v/>
      </c>
      <c r="F146" s="322" t="str">
        <f t="shared" ca="1" si="97"/>
        <v/>
      </c>
      <c r="G146" s="227" t="str">
        <f t="shared" ca="1" si="85"/>
        <v>D</v>
      </c>
      <c r="H146" s="227" t="str">
        <f t="shared" ca="1" si="86"/>
        <v>NUYTINCK</v>
      </c>
      <c r="I146" s="227" t="str">
        <f t="shared" ca="1" si="87"/>
        <v>Udinese</v>
      </c>
      <c r="J146" s="227" t="str">
        <f t="shared" ca="1" si="88"/>
        <v>C</v>
      </c>
      <c r="K146" s="227" t="str">
        <f t="shared" ca="1" si="89"/>
        <v>RADOVANOVIC</v>
      </c>
      <c r="L146" s="227" t="str">
        <f t="shared" ca="1" si="90"/>
        <v>Chievo</v>
      </c>
      <c r="M146" s="227" t="str">
        <f t="shared" ca="1" si="73"/>
        <v/>
      </c>
      <c r="N146" s="227" t="str">
        <f t="shared" ca="1" si="74"/>
        <v/>
      </c>
      <c r="O146" s="227" t="str">
        <f t="shared" ca="1" si="75"/>
        <v/>
      </c>
      <c r="P146" s="227" t="str">
        <f t="shared" ca="1" si="91"/>
        <v/>
      </c>
      <c r="Q146" s="227" t="str">
        <f t="shared" ca="1" si="92"/>
        <v/>
      </c>
      <c r="R146" s="227" t="str">
        <f t="shared" ca="1" si="93"/>
        <v/>
      </c>
      <c r="T146" s="179" t="e">
        <f t="shared" ca="1" si="94"/>
        <v>#N/A</v>
      </c>
      <c r="U146" s="179" t="e">
        <f t="shared" ca="1" si="76"/>
        <v>#N/A</v>
      </c>
      <c r="V146" s="179" t="e">
        <f t="shared" ca="1" si="76"/>
        <v>#N/A</v>
      </c>
      <c r="W146" s="179">
        <f t="shared" ca="1" si="81"/>
        <v>369</v>
      </c>
      <c r="X146" s="179">
        <f t="shared" ca="1" si="77"/>
        <v>369</v>
      </c>
      <c r="Y146" s="179">
        <f t="shared" ca="1" si="77"/>
        <v>369</v>
      </c>
      <c r="Z146" s="179">
        <f t="shared" ca="1" si="82"/>
        <v>420</v>
      </c>
      <c r="AA146" s="179">
        <f t="shared" ca="1" si="78"/>
        <v>420</v>
      </c>
      <c r="AB146" s="179">
        <f t="shared" ca="1" si="78"/>
        <v>420</v>
      </c>
      <c r="AC146" s="179" t="e">
        <f t="shared" ca="1" si="83"/>
        <v>#N/A</v>
      </c>
      <c r="AD146" s="179" t="e">
        <f t="shared" ca="1" si="79"/>
        <v>#N/A</v>
      </c>
      <c r="AE146" s="179" t="e">
        <f t="shared" ca="1" si="79"/>
        <v>#N/A</v>
      </c>
      <c r="AF146" s="179" t="e">
        <f t="shared" ca="1" si="84"/>
        <v>#N/A</v>
      </c>
      <c r="AG146" s="179" t="e">
        <f t="shared" ca="1" si="80"/>
        <v>#N/A</v>
      </c>
      <c r="AH146" s="179" t="e">
        <f t="shared" ca="1" si="80"/>
        <v>#N/A</v>
      </c>
    </row>
    <row r="147" spans="1:34" ht="15.75" customHeight="1">
      <c r="A147" s="449" t="s">
        <v>37</v>
      </c>
      <c r="B147" s="449" t="s">
        <v>449</v>
      </c>
      <c r="C147" s="449" t="s">
        <v>684</v>
      </c>
      <c r="D147" s="322" t="str">
        <f t="shared" ca="1" si="95"/>
        <v/>
      </c>
      <c r="E147" s="322" t="str">
        <f t="shared" ca="1" si="96"/>
        <v/>
      </c>
      <c r="F147" s="322" t="str">
        <f t="shared" ca="1" si="97"/>
        <v/>
      </c>
      <c r="G147" s="227" t="str">
        <f t="shared" ca="1" si="85"/>
        <v>D</v>
      </c>
      <c r="H147" s="227" t="str">
        <f t="shared" ca="1" si="86"/>
        <v>OIKONOMOU</v>
      </c>
      <c r="I147" s="227" t="str">
        <f t="shared" ca="1" si="87"/>
        <v>SPAL</v>
      </c>
      <c r="J147" s="227" t="str">
        <f t="shared" ca="1" si="88"/>
        <v>C</v>
      </c>
      <c r="K147" s="227" t="str">
        <f t="shared" ca="1" si="89"/>
        <v>RAMIREZ</v>
      </c>
      <c r="L147" s="227" t="str">
        <f t="shared" ca="1" si="90"/>
        <v>Sampdoria</v>
      </c>
      <c r="M147" s="227" t="str">
        <f t="shared" ca="1" si="73"/>
        <v/>
      </c>
      <c r="N147" s="227" t="str">
        <f t="shared" ca="1" si="74"/>
        <v/>
      </c>
      <c r="O147" s="227" t="str">
        <f t="shared" ca="1" si="75"/>
        <v/>
      </c>
      <c r="P147" s="227" t="str">
        <f t="shared" ca="1" si="91"/>
        <v/>
      </c>
      <c r="Q147" s="227" t="str">
        <f t="shared" ca="1" si="92"/>
        <v/>
      </c>
      <c r="R147" s="227" t="str">
        <f t="shared" ca="1" si="93"/>
        <v/>
      </c>
      <c r="T147" s="179" t="e">
        <f t="shared" ca="1" si="94"/>
        <v>#N/A</v>
      </c>
      <c r="U147" s="179" t="e">
        <f t="shared" ca="1" si="76"/>
        <v>#N/A</v>
      </c>
      <c r="V147" s="179" t="e">
        <f t="shared" ca="1" si="76"/>
        <v>#N/A</v>
      </c>
      <c r="W147" s="179">
        <f t="shared" ca="1" si="81"/>
        <v>371</v>
      </c>
      <c r="X147" s="179">
        <f t="shared" ca="1" si="77"/>
        <v>371</v>
      </c>
      <c r="Y147" s="179">
        <f t="shared" ca="1" si="77"/>
        <v>371</v>
      </c>
      <c r="Z147" s="179">
        <f t="shared" ca="1" si="82"/>
        <v>425</v>
      </c>
      <c r="AA147" s="179">
        <f t="shared" ca="1" si="78"/>
        <v>425</v>
      </c>
      <c r="AB147" s="179">
        <f t="shared" ca="1" si="78"/>
        <v>425</v>
      </c>
      <c r="AC147" s="179" t="e">
        <f t="shared" ca="1" si="83"/>
        <v>#N/A</v>
      </c>
      <c r="AD147" s="179" t="e">
        <f t="shared" ca="1" si="79"/>
        <v>#N/A</v>
      </c>
      <c r="AE147" s="179" t="e">
        <f t="shared" ca="1" si="79"/>
        <v>#N/A</v>
      </c>
      <c r="AF147" s="179" t="e">
        <f t="shared" ca="1" si="84"/>
        <v>#N/A</v>
      </c>
      <c r="AG147" s="179" t="e">
        <f t="shared" ca="1" si="80"/>
        <v>#N/A</v>
      </c>
      <c r="AH147" s="179" t="e">
        <f t="shared" ca="1" si="80"/>
        <v>#N/A</v>
      </c>
    </row>
    <row r="148" spans="1:34" ht="15.75" customHeight="1">
      <c r="A148" s="449" t="s">
        <v>37</v>
      </c>
      <c r="B148" s="449" t="s">
        <v>1290</v>
      </c>
      <c r="C148" s="449" t="s">
        <v>691</v>
      </c>
      <c r="D148" s="322" t="str">
        <f t="shared" ca="1" si="95"/>
        <v/>
      </c>
      <c r="E148" s="322" t="str">
        <f t="shared" ca="1" si="96"/>
        <v/>
      </c>
      <c r="F148" s="322" t="str">
        <f t="shared" ca="1" si="97"/>
        <v/>
      </c>
      <c r="G148" s="227" t="str">
        <f t="shared" ca="1" si="85"/>
        <v>D</v>
      </c>
      <c r="H148" s="227" t="str">
        <f t="shared" ca="1" si="86"/>
        <v>OLIVERA M</v>
      </c>
      <c r="I148" s="227" t="str">
        <f t="shared" ca="1" si="87"/>
        <v>Fiorentina</v>
      </c>
      <c r="J148" s="227" t="str">
        <f t="shared" ca="1" si="88"/>
        <v>C</v>
      </c>
      <c r="K148" s="227" t="str">
        <f t="shared" ca="1" si="89"/>
        <v>RIGONI L</v>
      </c>
      <c r="L148" s="227" t="str">
        <f t="shared" ca="1" si="90"/>
        <v>Genoa</v>
      </c>
      <c r="M148" s="227" t="str">
        <f t="shared" ca="1" si="73"/>
        <v/>
      </c>
      <c r="N148" s="227" t="str">
        <f t="shared" ca="1" si="74"/>
        <v/>
      </c>
      <c r="O148" s="227" t="str">
        <f t="shared" ca="1" si="75"/>
        <v/>
      </c>
      <c r="P148" s="227" t="str">
        <f t="shared" ca="1" si="91"/>
        <v/>
      </c>
      <c r="Q148" s="227" t="str">
        <f t="shared" ca="1" si="92"/>
        <v/>
      </c>
      <c r="R148" s="227" t="str">
        <f t="shared" ca="1" si="93"/>
        <v/>
      </c>
      <c r="T148" s="179" t="e">
        <f t="shared" ca="1" si="94"/>
        <v>#N/A</v>
      </c>
      <c r="U148" s="179" t="e">
        <f t="shared" ca="1" si="76"/>
        <v>#N/A</v>
      </c>
      <c r="V148" s="179" t="e">
        <f t="shared" ca="1" si="76"/>
        <v>#N/A</v>
      </c>
      <c r="W148" s="179">
        <f t="shared" ca="1" si="81"/>
        <v>373</v>
      </c>
      <c r="X148" s="179">
        <f t="shared" ca="1" si="77"/>
        <v>373</v>
      </c>
      <c r="Y148" s="179">
        <f t="shared" ca="1" si="77"/>
        <v>373</v>
      </c>
      <c r="Z148" s="179">
        <f t="shared" ca="1" si="82"/>
        <v>430</v>
      </c>
      <c r="AA148" s="179">
        <f t="shared" ca="1" si="78"/>
        <v>430</v>
      </c>
      <c r="AB148" s="179">
        <f t="shared" ca="1" si="78"/>
        <v>430</v>
      </c>
      <c r="AC148" s="179" t="e">
        <f t="shared" ca="1" si="83"/>
        <v>#N/A</v>
      </c>
      <c r="AD148" s="179" t="e">
        <f t="shared" ca="1" si="79"/>
        <v>#N/A</v>
      </c>
      <c r="AE148" s="179" t="e">
        <f t="shared" ca="1" si="79"/>
        <v>#N/A</v>
      </c>
      <c r="AF148" s="179" t="e">
        <f t="shared" ca="1" si="84"/>
        <v>#N/A</v>
      </c>
      <c r="AG148" s="179" t="e">
        <f t="shared" ca="1" si="80"/>
        <v>#N/A</v>
      </c>
      <c r="AH148" s="179" t="e">
        <f t="shared" ca="1" si="80"/>
        <v>#N/A</v>
      </c>
    </row>
    <row r="149" spans="1:34" ht="15.75" customHeight="1">
      <c r="A149" s="449" t="s">
        <v>39</v>
      </c>
      <c r="B149" s="449" t="s">
        <v>421</v>
      </c>
      <c r="C149" s="449" t="s">
        <v>684</v>
      </c>
      <c r="D149" s="322" t="str">
        <f t="shared" ca="1" si="95"/>
        <v/>
      </c>
      <c r="E149" s="322" t="str">
        <f t="shared" ca="1" si="96"/>
        <v/>
      </c>
      <c r="F149" s="322" t="str">
        <f t="shared" ca="1" si="97"/>
        <v/>
      </c>
      <c r="G149" s="227" t="str">
        <f t="shared" ca="1" si="85"/>
        <v>D</v>
      </c>
      <c r="H149" s="227" t="str">
        <f t="shared" ca="1" si="86"/>
        <v>PALETTA</v>
      </c>
      <c r="I149" s="227" t="str">
        <f t="shared" ca="1" si="87"/>
        <v>Milan</v>
      </c>
      <c r="J149" s="227" t="str">
        <f t="shared" ca="1" si="88"/>
        <v>C</v>
      </c>
      <c r="K149" s="227" t="str">
        <f t="shared" ca="1" si="89"/>
        <v>RIGONI N</v>
      </c>
      <c r="L149" s="227" t="str">
        <f t="shared" ca="1" si="90"/>
        <v>Chievo</v>
      </c>
      <c r="M149" s="227" t="str">
        <f t="shared" ca="1" si="73"/>
        <v/>
      </c>
      <c r="N149" s="227" t="str">
        <f t="shared" ca="1" si="74"/>
        <v/>
      </c>
      <c r="O149" s="227" t="str">
        <f t="shared" ca="1" si="75"/>
        <v/>
      </c>
      <c r="P149" s="227" t="str">
        <f t="shared" ca="1" si="91"/>
        <v/>
      </c>
      <c r="Q149" s="227" t="str">
        <f t="shared" ca="1" si="92"/>
        <v/>
      </c>
      <c r="R149" s="227" t="str">
        <f t="shared" ca="1" si="93"/>
        <v/>
      </c>
      <c r="T149" s="179" t="e">
        <f t="shared" ca="1" si="94"/>
        <v>#N/A</v>
      </c>
      <c r="U149" s="179" t="e">
        <f t="shared" ref="U149:V168" ca="1" si="98">T149</f>
        <v>#N/A</v>
      </c>
      <c r="V149" s="179" t="e">
        <f t="shared" ca="1" si="98"/>
        <v>#N/A</v>
      </c>
      <c r="W149" s="179">
        <f t="shared" ca="1" si="81"/>
        <v>380</v>
      </c>
      <c r="X149" s="179">
        <f t="shared" ref="X149:Y168" ca="1" si="99">W149</f>
        <v>380</v>
      </c>
      <c r="Y149" s="179">
        <f t="shared" ca="1" si="99"/>
        <v>380</v>
      </c>
      <c r="Z149" s="179">
        <f t="shared" ca="1" si="82"/>
        <v>431</v>
      </c>
      <c r="AA149" s="179">
        <f t="shared" ref="AA149:AB168" ca="1" si="100">Z149</f>
        <v>431</v>
      </c>
      <c r="AB149" s="179">
        <f t="shared" ca="1" si="100"/>
        <v>431</v>
      </c>
      <c r="AC149" s="179" t="e">
        <f t="shared" ca="1" si="83"/>
        <v>#N/A</v>
      </c>
      <c r="AD149" s="179" t="e">
        <f t="shared" ref="AD149:AE168" ca="1" si="101">AC149</f>
        <v>#N/A</v>
      </c>
      <c r="AE149" s="179" t="e">
        <f t="shared" ca="1" si="101"/>
        <v>#N/A</v>
      </c>
      <c r="AF149" s="179" t="e">
        <f t="shared" ca="1" si="84"/>
        <v>#N/A</v>
      </c>
      <c r="AG149" s="179" t="e">
        <f t="shared" ref="AG149:AH168" ca="1" si="102">AF149</f>
        <v>#N/A</v>
      </c>
      <c r="AH149" s="179" t="e">
        <f t="shared" ca="1" si="102"/>
        <v>#N/A</v>
      </c>
    </row>
    <row r="150" spans="1:34" ht="15.75" customHeight="1">
      <c r="A150" s="449" t="s">
        <v>39</v>
      </c>
      <c r="B150" s="449" t="s">
        <v>1924</v>
      </c>
      <c r="C150" s="449" t="s">
        <v>686</v>
      </c>
      <c r="D150" s="322" t="str">
        <f t="shared" ca="1" si="95"/>
        <v/>
      </c>
      <c r="E150" s="322" t="str">
        <f t="shared" ca="1" si="96"/>
        <v/>
      </c>
      <c r="F150" s="322" t="str">
        <f t="shared" ca="1" si="97"/>
        <v/>
      </c>
      <c r="G150" s="227" t="str">
        <f t="shared" ca="1" si="85"/>
        <v>D</v>
      </c>
      <c r="H150" s="227" t="str">
        <f t="shared" ca="1" si="86"/>
        <v>PALOMINO</v>
      </c>
      <c r="I150" s="227" t="str">
        <f t="shared" ca="1" si="87"/>
        <v>Atalanta</v>
      </c>
      <c r="J150" s="227" t="str">
        <f t="shared" ca="1" si="88"/>
        <v>C</v>
      </c>
      <c r="K150" s="227" t="str">
        <f t="shared" ca="1" si="89"/>
        <v>RINCON</v>
      </c>
      <c r="L150" s="227" t="str">
        <f t="shared" ca="1" si="90"/>
        <v>Torino</v>
      </c>
      <c r="M150" s="227" t="str">
        <f t="shared" ca="1" si="73"/>
        <v/>
      </c>
      <c r="N150" s="227" t="str">
        <f t="shared" ca="1" si="74"/>
        <v/>
      </c>
      <c r="O150" s="227" t="str">
        <f t="shared" ca="1" si="75"/>
        <v/>
      </c>
      <c r="P150" s="227" t="str">
        <f t="shared" ca="1" si="91"/>
        <v/>
      </c>
      <c r="Q150" s="227" t="str">
        <f t="shared" ca="1" si="92"/>
        <v/>
      </c>
      <c r="R150" s="227" t="str">
        <f t="shared" ca="1" si="93"/>
        <v/>
      </c>
      <c r="T150" s="179" t="e">
        <f t="shared" ca="1" si="94"/>
        <v>#N/A</v>
      </c>
      <c r="U150" s="179" t="e">
        <f t="shared" ca="1" si="98"/>
        <v>#N/A</v>
      </c>
      <c r="V150" s="179" t="e">
        <f t="shared" ca="1" si="98"/>
        <v>#N/A</v>
      </c>
      <c r="W150" s="179">
        <f t="shared" ca="1" si="81"/>
        <v>383</v>
      </c>
      <c r="X150" s="179">
        <f t="shared" ca="1" si="99"/>
        <v>383</v>
      </c>
      <c r="Y150" s="179">
        <f t="shared" ca="1" si="99"/>
        <v>383</v>
      </c>
      <c r="Z150" s="179">
        <f t="shared" ca="1" si="82"/>
        <v>432</v>
      </c>
      <c r="AA150" s="179">
        <f t="shared" ca="1" si="100"/>
        <v>432</v>
      </c>
      <c r="AB150" s="179">
        <f t="shared" ca="1" si="100"/>
        <v>432</v>
      </c>
      <c r="AC150" s="179" t="e">
        <f t="shared" ca="1" si="83"/>
        <v>#N/A</v>
      </c>
      <c r="AD150" s="179" t="e">
        <f t="shared" ca="1" si="101"/>
        <v>#N/A</v>
      </c>
      <c r="AE150" s="179" t="e">
        <f t="shared" ca="1" si="101"/>
        <v>#N/A</v>
      </c>
      <c r="AF150" s="179" t="e">
        <f t="shared" ca="1" si="84"/>
        <v>#N/A</v>
      </c>
      <c r="AG150" s="179" t="e">
        <f t="shared" ca="1" si="102"/>
        <v>#N/A</v>
      </c>
      <c r="AH150" s="179" t="e">
        <f t="shared" ca="1" si="102"/>
        <v>#N/A</v>
      </c>
    </row>
    <row r="151" spans="1:34" ht="15.75" customHeight="1">
      <c r="A151" s="449" t="s">
        <v>39</v>
      </c>
      <c r="B151" s="449" t="s">
        <v>424</v>
      </c>
      <c r="C151" s="449" t="s">
        <v>695</v>
      </c>
      <c r="D151" s="322" t="str">
        <f t="shared" ca="1" si="95"/>
        <v/>
      </c>
      <c r="E151" s="322" t="str">
        <f t="shared" ca="1" si="96"/>
        <v/>
      </c>
      <c r="F151" s="322" t="str">
        <f t="shared" ca="1" si="97"/>
        <v/>
      </c>
      <c r="G151" s="227" t="str">
        <f t="shared" ca="1" si="85"/>
        <v>D</v>
      </c>
      <c r="H151" s="227" t="str">
        <f t="shared" ca="1" si="86"/>
        <v>PATRIC</v>
      </c>
      <c r="I151" s="227" t="str">
        <f t="shared" ca="1" si="87"/>
        <v>Lazio</v>
      </c>
      <c r="J151" s="227" t="str">
        <f t="shared" ca="1" si="88"/>
        <v>C</v>
      </c>
      <c r="K151" s="227" t="str">
        <f t="shared" ca="1" si="89"/>
        <v>RIZZO</v>
      </c>
      <c r="L151" s="227" t="str">
        <f t="shared" ca="1" si="90"/>
        <v>SPAL</v>
      </c>
      <c r="M151" s="227" t="str">
        <f t="shared" ca="1" si="73"/>
        <v/>
      </c>
      <c r="N151" s="227" t="str">
        <f t="shared" ca="1" si="74"/>
        <v/>
      </c>
      <c r="O151" s="227" t="str">
        <f t="shared" ca="1" si="75"/>
        <v/>
      </c>
      <c r="P151" s="227" t="str">
        <f t="shared" ca="1" si="91"/>
        <v/>
      </c>
      <c r="Q151" s="227" t="str">
        <f t="shared" ca="1" si="92"/>
        <v/>
      </c>
      <c r="R151" s="227" t="str">
        <f t="shared" ca="1" si="93"/>
        <v/>
      </c>
      <c r="T151" s="179" t="e">
        <f t="shared" ca="1" si="94"/>
        <v>#N/A</v>
      </c>
      <c r="U151" s="179" t="e">
        <f t="shared" ca="1" si="98"/>
        <v>#N/A</v>
      </c>
      <c r="V151" s="179" t="e">
        <f t="shared" ca="1" si="98"/>
        <v>#N/A</v>
      </c>
      <c r="W151" s="179">
        <f t="shared" ca="1" si="81"/>
        <v>388</v>
      </c>
      <c r="X151" s="179">
        <f t="shared" ca="1" si="99"/>
        <v>388</v>
      </c>
      <c r="Y151" s="179">
        <f t="shared" ca="1" si="99"/>
        <v>388</v>
      </c>
      <c r="Z151" s="179">
        <f t="shared" ca="1" si="82"/>
        <v>433</v>
      </c>
      <c r="AA151" s="179">
        <f t="shared" ca="1" si="100"/>
        <v>433</v>
      </c>
      <c r="AB151" s="179">
        <f t="shared" ca="1" si="100"/>
        <v>433</v>
      </c>
      <c r="AC151" s="179" t="e">
        <f t="shared" ca="1" si="83"/>
        <v>#N/A</v>
      </c>
      <c r="AD151" s="179" t="e">
        <f t="shared" ca="1" si="101"/>
        <v>#N/A</v>
      </c>
      <c r="AE151" s="179" t="e">
        <f t="shared" ca="1" si="101"/>
        <v>#N/A</v>
      </c>
      <c r="AF151" s="179" t="e">
        <f t="shared" ca="1" si="84"/>
        <v>#N/A</v>
      </c>
      <c r="AG151" s="179" t="e">
        <f t="shared" ca="1" si="102"/>
        <v>#N/A</v>
      </c>
      <c r="AH151" s="179" t="e">
        <f t="shared" ca="1" si="102"/>
        <v>#N/A</v>
      </c>
    </row>
    <row r="152" spans="1:34" ht="15.75" customHeight="1">
      <c r="A152" s="449" t="s">
        <v>37</v>
      </c>
      <c r="B152" s="449" t="s">
        <v>451</v>
      </c>
      <c r="C152" s="449" t="s">
        <v>676</v>
      </c>
      <c r="D152" s="322" t="str">
        <f t="shared" ca="1" si="95"/>
        <v/>
      </c>
      <c r="E152" s="322" t="str">
        <f t="shared" ca="1" si="96"/>
        <v/>
      </c>
      <c r="F152" s="322" t="str">
        <f t="shared" ca="1" si="97"/>
        <v/>
      </c>
      <c r="G152" s="227" t="str">
        <f t="shared" ca="1" si="85"/>
        <v>D</v>
      </c>
      <c r="H152" s="227" t="str">
        <f t="shared" ca="1" si="86"/>
        <v>PAVLOVIC</v>
      </c>
      <c r="I152" s="227" t="str">
        <f t="shared" ca="1" si="87"/>
        <v>Crotone</v>
      </c>
      <c r="J152" s="227" t="str">
        <f t="shared" ca="1" si="88"/>
        <v>C</v>
      </c>
      <c r="K152" s="227" t="str">
        <f t="shared" ca="1" si="89"/>
        <v>RODRIGUEZ T</v>
      </c>
      <c r="L152" s="227" t="str">
        <f t="shared" ca="1" si="90"/>
        <v>Genoa</v>
      </c>
      <c r="M152" s="227" t="str">
        <f t="shared" ca="1" si="73"/>
        <v/>
      </c>
      <c r="N152" s="227" t="str">
        <f t="shared" ca="1" si="74"/>
        <v/>
      </c>
      <c r="O152" s="227" t="str">
        <f t="shared" ca="1" si="75"/>
        <v/>
      </c>
      <c r="P152" s="227" t="str">
        <f t="shared" ca="1" si="91"/>
        <v/>
      </c>
      <c r="Q152" s="227" t="str">
        <f t="shared" ca="1" si="92"/>
        <v/>
      </c>
      <c r="R152" s="227" t="str">
        <f t="shared" ca="1" si="93"/>
        <v/>
      </c>
      <c r="T152" s="179" t="e">
        <f t="shared" ca="1" si="94"/>
        <v>#N/A</v>
      </c>
      <c r="U152" s="179" t="e">
        <f t="shared" ca="1" si="98"/>
        <v>#N/A</v>
      </c>
      <c r="V152" s="179" t="e">
        <f t="shared" ca="1" si="98"/>
        <v>#N/A</v>
      </c>
      <c r="W152" s="179">
        <f t="shared" ca="1" si="81"/>
        <v>389</v>
      </c>
      <c r="X152" s="179">
        <f t="shared" ca="1" si="99"/>
        <v>389</v>
      </c>
      <c r="Y152" s="179">
        <f t="shared" ca="1" si="99"/>
        <v>389</v>
      </c>
      <c r="Z152" s="179">
        <f t="shared" ca="1" si="82"/>
        <v>435</v>
      </c>
      <c r="AA152" s="179">
        <f t="shared" ca="1" si="100"/>
        <v>435</v>
      </c>
      <c r="AB152" s="179">
        <f t="shared" ca="1" si="100"/>
        <v>435</v>
      </c>
      <c r="AC152" s="179" t="e">
        <f t="shared" ca="1" si="83"/>
        <v>#N/A</v>
      </c>
      <c r="AD152" s="179" t="e">
        <f t="shared" ca="1" si="101"/>
        <v>#N/A</v>
      </c>
      <c r="AE152" s="179" t="e">
        <f t="shared" ca="1" si="101"/>
        <v>#N/A</v>
      </c>
      <c r="AF152" s="179" t="e">
        <f t="shared" ca="1" si="84"/>
        <v>#N/A</v>
      </c>
      <c r="AG152" s="179" t="e">
        <f t="shared" ca="1" si="102"/>
        <v>#N/A</v>
      </c>
      <c r="AH152" s="179" t="e">
        <f t="shared" ca="1" si="102"/>
        <v>#N/A</v>
      </c>
    </row>
    <row r="153" spans="1:34" ht="15.75" customHeight="1">
      <c r="A153" s="449" t="s">
        <v>37</v>
      </c>
      <c r="B153" s="449" t="s">
        <v>453</v>
      </c>
      <c r="C153" s="449" t="s">
        <v>687</v>
      </c>
      <c r="D153" s="322" t="str">
        <f t="shared" ca="1" si="95"/>
        <v/>
      </c>
      <c r="E153" s="322" t="str">
        <f t="shared" ca="1" si="96"/>
        <v/>
      </c>
      <c r="F153" s="322" t="str">
        <f t="shared" ca="1" si="97"/>
        <v/>
      </c>
      <c r="G153" s="227" t="str">
        <f t="shared" ca="1" si="85"/>
        <v>D</v>
      </c>
      <c r="H153" s="227" t="str">
        <f t="shared" ca="1" si="86"/>
        <v>PELUSO</v>
      </c>
      <c r="I153" s="227" t="str">
        <f t="shared" ca="1" si="87"/>
        <v>Sassuolo</v>
      </c>
      <c r="J153" s="227" t="str">
        <f t="shared" ca="1" si="88"/>
        <v>C</v>
      </c>
      <c r="K153" s="227" t="str">
        <f t="shared" ca="1" si="89"/>
        <v>ROG</v>
      </c>
      <c r="L153" s="227" t="str">
        <f t="shared" ca="1" si="90"/>
        <v>Napoli</v>
      </c>
      <c r="M153" s="227" t="str">
        <f t="shared" ca="1" si="73"/>
        <v/>
      </c>
      <c r="N153" s="227" t="str">
        <f t="shared" ca="1" si="74"/>
        <v/>
      </c>
      <c r="O153" s="227" t="str">
        <f t="shared" ca="1" si="75"/>
        <v/>
      </c>
      <c r="P153" s="227" t="str">
        <f t="shared" ca="1" si="91"/>
        <v/>
      </c>
      <c r="Q153" s="227" t="str">
        <f t="shared" ca="1" si="92"/>
        <v/>
      </c>
      <c r="R153" s="227" t="str">
        <f t="shared" ca="1" si="93"/>
        <v/>
      </c>
      <c r="T153" s="179" t="e">
        <f t="shared" ca="1" si="94"/>
        <v>#N/A</v>
      </c>
      <c r="U153" s="179" t="e">
        <f t="shared" ca="1" si="98"/>
        <v>#N/A</v>
      </c>
      <c r="V153" s="179" t="e">
        <f t="shared" ca="1" si="98"/>
        <v>#N/A</v>
      </c>
      <c r="W153" s="179">
        <f t="shared" ca="1" si="81"/>
        <v>396</v>
      </c>
      <c r="X153" s="179">
        <f t="shared" ca="1" si="99"/>
        <v>396</v>
      </c>
      <c r="Y153" s="179">
        <f t="shared" ca="1" si="99"/>
        <v>396</v>
      </c>
      <c r="Z153" s="179">
        <f t="shared" ca="1" si="82"/>
        <v>436</v>
      </c>
      <c r="AA153" s="179">
        <f t="shared" ca="1" si="100"/>
        <v>436</v>
      </c>
      <c r="AB153" s="179">
        <f t="shared" ca="1" si="100"/>
        <v>436</v>
      </c>
      <c r="AC153" s="179" t="e">
        <f t="shared" ca="1" si="83"/>
        <v>#N/A</v>
      </c>
      <c r="AD153" s="179" t="e">
        <f t="shared" ca="1" si="101"/>
        <v>#N/A</v>
      </c>
      <c r="AE153" s="179" t="e">
        <f t="shared" ca="1" si="101"/>
        <v>#N/A</v>
      </c>
      <c r="AF153" s="179" t="e">
        <f t="shared" ca="1" si="84"/>
        <v>#N/A</v>
      </c>
      <c r="AG153" s="179" t="e">
        <f t="shared" ca="1" si="102"/>
        <v>#N/A</v>
      </c>
      <c r="AH153" s="179" t="e">
        <f t="shared" ca="1" si="102"/>
        <v>#N/A</v>
      </c>
    </row>
    <row r="154" spans="1:34" ht="15.75" customHeight="1">
      <c r="A154" s="449" t="s">
        <v>37</v>
      </c>
      <c r="B154" s="449" t="s">
        <v>455</v>
      </c>
      <c r="C154" s="449" t="s">
        <v>682</v>
      </c>
      <c r="D154" s="322" t="str">
        <f t="shared" ca="1" si="95"/>
        <v/>
      </c>
      <c r="E154" s="322" t="str">
        <f t="shared" ca="1" si="96"/>
        <v/>
      </c>
      <c r="F154" s="322" t="str">
        <f t="shared" ca="1" si="97"/>
        <v/>
      </c>
      <c r="G154" s="227" t="str">
        <f t="shared" ca="1" si="85"/>
        <v>D</v>
      </c>
      <c r="H154" s="227" t="str">
        <f t="shared" ca="1" si="86"/>
        <v>PEZZELLA GER</v>
      </c>
      <c r="I154" s="227" t="str">
        <f t="shared" ca="1" si="87"/>
        <v>Fiorentina</v>
      </c>
      <c r="J154" s="227" t="str">
        <f t="shared" ca="1" si="88"/>
        <v>C</v>
      </c>
      <c r="K154" s="227" t="str">
        <f t="shared" ca="1" si="89"/>
        <v>ROHDEN</v>
      </c>
      <c r="L154" s="227" t="str">
        <f t="shared" ca="1" si="90"/>
        <v>Crotone</v>
      </c>
      <c r="M154" s="227" t="str">
        <f t="shared" ca="1" si="73"/>
        <v/>
      </c>
      <c r="N154" s="227" t="str">
        <f t="shared" ca="1" si="74"/>
        <v/>
      </c>
      <c r="O154" s="227" t="str">
        <f t="shared" ca="1" si="75"/>
        <v/>
      </c>
      <c r="P154" s="227" t="str">
        <f t="shared" ca="1" si="91"/>
        <v/>
      </c>
      <c r="Q154" s="227" t="str">
        <f t="shared" ca="1" si="92"/>
        <v/>
      </c>
      <c r="R154" s="227" t="str">
        <f t="shared" ca="1" si="93"/>
        <v/>
      </c>
      <c r="T154" s="179" t="e">
        <f t="shared" ca="1" si="94"/>
        <v>#N/A</v>
      </c>
      <c r="U154" s="179" t="e">
        <f t="shared" ca="1" si="98"/>
        <v>#N/A</v>
      </c>
      <c r="V154" s="179" t="e">
        <f t="shared" ca="1" si="98"/>
        <v>#N/A</v>
      </c>
      <c r="W154" s="179">
        <f t="shared" ca="1" si="81"/>
        <v>403</v>
      </c>
      <c r="X154" s="179">
        <f t="shared" ca="1" si="99"/>
        <v>403</v>
      </c>
      <c r="Y154" s="179">
        <f t="shared" ca="1" si="99"/>
        <v>403</v>
      </c>
      <c r="Z154" s="179">
        <f t="shared" ca="1" si="82"/>
        <v>438</v>
      </c>
      <c r="AA154" s="179">
        <f t="shared" ca="1" si="100"/>
        <v>438</v>
      </c>
      <c r="AB154" s="179">
        <f t="shared" ca="1" si="100"/>
        <v>438</v>
      </c>
      <c r="AC154" s="179" t="e">
        <f t="shared" ca="1" si="83"/>
        <v>#N/A</v>
      </c>
      <c r="AD154" s="179" t="e">
        <f t="shared" ca="1" si="101"/>
        <v>#N/A</v>
      </c>
      <c r="AE154" s="179" t="e">
        <f t="shared" ca="1" si="101"/>
        <v>#N/A</v>
      </c>
      <c r="AF154" s="179" t="e">
        <f t="shared" ca="1" si="84"/>
        <v>#N/A</v>
      </c>
      <c r="AG154" s="179" t="e">
        <f t="shared" ca="1" si="102"/>
        <v>#N/A</v>
      </c>
      <c r="AH154" s="179" t="e">
        <f t="shared" ca="1" si="102"/>
        <v>#N/A</v>
      </c>
    </row>
    <row r="155" spans="1:34" ht="15.75" customHeight="1">
      <c r="A155" s="449" t="s">
        <v>43</v>
      </c>
      <c r="B155" s="449" t="s">
        <v>341</v>
      </c>
      <c r="C155" s="449" t="s">
        <v>695</v>
      </c>
      <c r="D155" s="322" t="str">
        <f t="shared" ca="1" si="95"/>
        <v/>
      </c>
      <c r="E155" s="322" t="str">
        <f t="shared" ca="1" si="96"/>
        <v/>
      </c>
      <c r="F155" s="322" t="str">
        <f t="shared" ca="1" si="97"/>
        <v/>
      </c>
      <c r="G155" s="227" t="str">
        <f t="shared" ca="1" si="85"/>
        <v>D</v>
      </c>
      <c r="H155" s="227" t="str">
        <f t="shared" ca="1" si="86"/>
        <v>PEZZELLA GIU</v>
      </c>
      <c r="I155" s="227" t="str">
        <f t="shared" ca="1" si="87"/>
        <v>Udinese</v>
      </c>
      <c r="J155" s="227" t="str">
        <f t="shared" ca="1" si="88"/>
        <v>C</v>
      </c>
      <c r="K155" s="227" t="str">
        <f t="shared" ca="1" si="89"/>
        <v>ROMERO</v>
      </c>
      <c r="L155" s="227" t="str">
        <f t="shared" ca="1" si="90"/>
        <v>Crotone</v>
      </c>
      <c r="M155" s="227" t="str">
        <f t="shared" ca="1" si="73"/>
        <v/>
      </c>
      <c r="N155" s="227" t="str">
        <f t="shared" ca="1" si="74"/>
        <v/>
      </c>
      <c r="O155" s="227" t="str">
        <f t="shared" ca="1" si="75"/>
        <v/>
      </c>
      <c r="P155" s="227" t="str">
        <f t="shared" ca="1" si="91"/>
        <v/>
      </c>
      <c r="Q155" s="227" t="str">
        <f t="shared" ca="1" si="92"/>
        <v/>
      </c>
      <c r="R155" s="227" t="str">
        <f t="shared" ca="1" si="93"/>
        <v/>
      </c>
      <c r="T155" s="179" t="e">
        <f t="shared" ca="1" si="94"/>
        <v>#N/A</v>
      </c>
      <c r="U155" s="179" t="e">
        <f t="shared" ca="1" si="98"/>
        <v>#N/A</v>
      </c>
      <c r="V155" s="179" t="e">
        <f t="shared" ca="1" si="98"/>
        <v>#N/A</v>
      </c>
      <c r="W155" s="179">
        <f t="shared" ca="1" si="81"/>
        <v>404</v>
      </c>
      <c r="X155" s="179">
        <f t="shared" ca="1" si="99"/>
        <v>404</v>
      </c>
      <c r="Y155" s="179">
        <f t="shared" ca="1" si="99"/>
        <v>404</v>
      </c>
      <c r="Z155" s="179">
        <f t="shared" ca="1" si="82"/>
        <v>441</v>
      </c>
      <c r="AA155" s="179">
        <f t="shared" ca="1" si="100"/>
        <v>441</v>
      </c>
      <c r="AB155" s="179">
        <f t="shared" ca="1" si="100"/>
        <v>441</v>
      </c>
      <c r="AC155" s="179" t="e">
        <f t="shared" ca="1" si="83"/>
        <v>#N/A</v>
      </c>
      <c r="AD155" s="179" t="e">
        <f t="shared" ca="1" si="101"/>
        <v>#N/A</v>
      </c>
      <c r="AE155" s="179" t="e">
        <f t="shared" ca="1" si="101"/>
        <v>#N/A</v>
      </c>
      <c r="AF155" s="179" t="e">
        <f t="shared" ca="1" si="84"/>
        <v>#N/A</v>
      </c>
      <c r="AG155" s="179" t="e">
        <f t="shared" ca="1" si="102"/>
        <v>#N/A</v>
      </c>
      <c r="AH155" s="179" t="e">
        <f t="shared" ca="1" si="102"/>
        <v>#N/A</v>
      </c>
    </row>
    <row r="156" spans="1:34" ht="15.75" customHeight="1">
      <c r="A156" s="449" t="s">
        <v>39</v>
      </c>
      <c r="B156" s="449" t="s">
        <v>427</v>
      </c>
      <c r="C156" s="449" t="s">
        <v>700</v>
      </c>
      <c r="D156" s="322" t="str">
        <f t="shared" ca="1" si="95"/>
        <v/>
      </c>
      <c r="E156" s="322" t="str">
        <f t="shared" ca="1" si="96"/>
        <v/>
      </c>
      <c r="F156" s="322" t="str">
        <f t="shared" ca="1" si="97"/>
        <v/>
      </c>
      <c r="G156" s="227" t="str">
        <f t="shared" ca="1" si="85"/>
        <v>D</v>
      </c>
      <c r="H156" s="227" t="str">
        <f t="shared" ca="1" si="86"/>
        <v>PISACANE</v>
      </c>
      <c r="I156" s="227" t="str">
        <f t="shared" ca="1" si="87"/>
        <v>Cagliari</v>
      </c>
      <c r="J156" s="227" t="str">
        <f t="shared" ca="1" si="88"/>
        <v>C</v>
      </c>
      <c r="K156" s="227" t="str">
        <f t="shared" ca="1" si="89"/>
        <v>SANCHEZ</v>
      </c>
      <c r="L156" s="227" t="str">
        <f t="shared" ca="1" si="90"/>
        <v>Fiorentina</v>
      </c>
      <c r="M156" s="227" t="str">
        <f t="shared" ca="1" si="73"/>
        <v/>
      </c>
      <c r="N156" s="227" t="str">
        <f t="shared" ca="1" si="74"/>
        <v/>
      </c>
      <c r="O156" s="227" t="str">
        <f t="shared" ca="1" si="75"/>
        <v/>
      </c>
      <c r="P156" s="227" t="str">
        <f t="shared" ca="1" si="91"/>
        <v/>
      </c>
      <c r="Q156" s="227" t="str">
        <f t="shared" ca="1" si="92"/>
        <v/>
      </c>
      <c r="R156" s="227" t="str">
        <f t="shared" ca="1" si="93"/>
        <v/>
      </c>
      <c r="T156" s="179" t="e">
        <f t="shared" ca="1" si="94"/>
        <v>#N/A</v>
      </c>
      <c r="U156" s="179" t="e">
        <f t="shared" ca="1" si="98"/>
        <v>#N/A</v>
      </c>
      <c r="V156" s="179" t="e">
        <f t="shared" ca="1" si="98"/>
        <v>#N/A</v>
      </c>
      <c r="W156" s="179">
        <f t="shared" ca="1" si="81"/>
        <v>407</v>
      </c>
      <c r="X156" s="179">
        <f t="shared" ca="1" si="99"/>
        <v>407</v>
      </c>
      <c r="Y156" s="179">
        <f t="shared" ca="1" si="99"/>
        <v>407</v>
      </c>
      <c r="Z156" s="179">
        <f t="shared" ca="1" si="82"/>
        <v>453</v>
      </c>
      <c r="AA156" s="179">
        <f t="shared" ca="1" si="100"/>
        <v>453</v>
      </c>
      <c r="AB156" s="179">
        <f t="shared" ca="1" si="100"/>
        <v>453</v>
      </c>
      <c r="AC156" s="179" t="e">
        <f t="shared" ca="1" si="83"/>
        <v>#N/A</v>
      </c>
      <c r="AD156" s="179" t="e">
        <f t="shared" ca="1" si="101"/>
        <v>#N/A</v>
      </c>
      <c r="AE156" s="179" t="e">
        <f t="shared" ca="1" si="101"/>
        <v>#N/A</v>
      </c>
      <c r="AF156" s="179" t="e">
        <f t="shared" ca="1" si="84"/>
        <v>#N/A</v>
      </c>
      <c r="AG156" s="179" t="e">
        <f t="shared" ca="1" si="102"/>
        <v>#N/A</v>
      </c>
      <c r="AH156" s="179" t="e">
        <f t="shared" ca="1" si="102"/>
        <v>#N/A</v>
      </c>
    </row>
    <row r="157" spans="1:34" ht="15.75" customHeight="1">
      <c r="A157" s="449" t="s">
        <v>39</v>
      </c>
      <c r="B157" s="449" t="s">
        <v>1770</v>
      </c>
      <c r="C157" s="449" t="s">
        <v>1672</v>
      </c>
      <c r="D157" s="322" t="str">
        <f t="shared" ca="1" si="95"/>
        <v/>
      </c>
      <c r="E157" s="322" t="str">
        <f t="shared" ca="1" si="96"/>
        <v/>
      </c>
      <c r="F157" s="322" t="str">
        <f t="shared" ca="1" si="97"/>
        <v/>
      </c>
      <c r="G157" s="227" t="str">
        <f t="shared" ca="1" si="85"/>
        <v>D</v>
      </c>
      <c r="H157" s="227" t="str">
        <f t="shared" ca="1" si="86"/>
        <v>RADU</v>
      </c>
      <c r="I157" s="227" t="str">
        <f t="shared" ca="1" si="87"/>
        <v>Lazio</v>
      </c>
      <c r="J157" s="227" t="str">
        <f t="shared" ca="1" si="88"/>
        <v>C</v>
      </c>
      <c r="K157" s="227" t="str">
        <f t="shared" ca="1" si="89"/>
        <v>SAPONARA</v>
      </c>
      <c r="L157" s="227" t="str">
        <f t="shared" ca="1" si="90"/>
        <v>Fiorentina</v>
      </c>
      <c r="M157" s="227" t="str">
        <f t="shared" ca="1" si="73"/>
        <v/>
      </c>
      <c r="N157" s="227" t="str">
        <f t="shared" ca="1" si="74"/>
        <v/>
      </c>
      <c r="O157" s="227" t="str">
        <f t="shared" ca="1" si="75"/>
        <v/>
      </c>
      <c r="P157" s="227" t="str">
        <f t="shared" ca="1" si="91"/>
        <v/>
      </c>
      <c r="Q157" s="227" t="str">
        <f t="shared" ca="1" si="92"/>
        <v/>
      </c>
      <c r="R157" s="227" t="str">
        <f t="shared" ca="1" si="93"/>
        <v/>
      </c>
      <c r="T157" s="179" t="e">
        <f t="shared" ca="1" si="94"/>
        <v>#N/A</v>
      </c>
      <c r="U157" s="179" t="e">
        <f t="shared" ca="1" si="98"/>
        <v>#N/A</v>
      </c>
      <c r="V157" s="179" t="e">
        <f t="shared" ca="1" si="98"/>
        <v>#N/A</v>
      </c>
      <c r="W157" s="179">
        <f t="shared" ca="1" si="81"/>
        <v>421</v>
      </c>
      <c r="X157" s="179">
        <f t="shared" ca="1" si="99"/>
        <v>421</v>
      </c>
      <c r="Y157" s="179">
        <f t="shared" ca="1" si="99"/>
        <v>421</v>
      </c>
      <c r="Z157" s="179">
        <f t="shared" ca="1" si="82"/>
        <v>456</v>
      </c>
      <c r="AA157" s="179">
        <f t="shared" ca="1" si="100"/>
        <v>456</v>
      </c>
      <c r="AB157" s="179">
        <f t="shared" ca="1" si="100"/>
        <v>456</v>
      </c>
      <c r="AC157" s="179" t="e">
        <f t="shared" ca="1" si="83"/>
        <v>#N/A</v>
      </c>
      <c r="AD157" s="179" t="e">
        <f t="shared" ca="1" si="101"/>
        <v>#N/A</v>
      </c>
      <c r="AE157" s="179" t="e">
        <f t="shared" ca="1" si="101"/>
        <v>#N/A</v>
      </c>
      <c r="AF157" s="179" t="e">
        <f t="shared" ca="1" si="84"/>
        <v>#N/A</v>
      </c>
      <c r="AG157" s="179" t="e">
        <f t="shared" ca="1" si="102"/>
        <v>#N/A</v>
      </c>
      <c r="AH157" s="179" t="e">
        <f t="shared" ca="1" si="102"/>
        <v>#N/A</v>
      </c>
    </row>
    <row r="158" spans="1:34" ht="15.75" customHeight="1">
      <c r="A158" s="449" t="s">
        <v>37</v>
      </c>
      <c r="B158" s="449" t="s">
        <v>1979</v>
      </c>
      <c r="C158" s="449" t="s">
        <v>1477</v>
      </c>
      <c r="D158" s="322" t="str">
        <f t="shared" ca="1" si="95"/>
        <v/>
      </c>
      <c r="E158" s="322" t="str">
        <f t="shared" ca="1" si="96"/>
        <v/>
      </c>
      <c r="F158" s="322" t="str">
        <f t="shared" ca="1" si="97"/>
        <v/>
      </c>
      <c r="G158" s="227" t="str">
        <f t="shared" ca="1" si="85"/>
        <v>D</v>
      </c>
      <c r="H158" s="227" t="str">
        <f t="shared" ca="1" si="86"/>
        <v>RANOCCHIA</v>
      </c>
      <c r="I158" s="227" t="str">
        <f t="shared" ca="1" si="87"/>
        <v>Inter</v>
      </c>
      <c r="J158" s="227" t="str">
        <f t="shared" ca="1" si="88"/>
        <v>C</v>
      </c>
      <c r="K158" s="227" t="str">
        <f t="shared" ca="1" si="89"/>
        <v>SCHIATTARELLA</v>
      </c>
      <c r="L158" s="227" t="str">
        <f t="shared" ca="1" si="90"/>
        <v>SPAL</v>
      </c>
      <c r="M158" s="227" t="str">
        <f t="shared" ca="1" si="73"/>
        <v/>
      </c>
      <c r="N158" s="227" t="str">
        <f t="shared" ca="1" si="74"/>
        <v/>
      </c>
      <c r="O158" s="227" t="str">
        <f t="shared" ca="1" si="75"/>
        <v/>
      </c>
      <c r="P158" s="227" t="str">
        <f t="shared" ca="1" si="91"/>
        <v/>
      </c>
      <c r="Q158" s="227" t="str">
        <f t="shared" ca="1" si="92"/>
        <v/>
      </c>
      <c r="R158" s="227" t="str">
        <f t="shared" ca="1" si="93"/>
        <v/>
      </c>
      <c r="T158" s="179" t="e">
        <f t="shared" ca="1" si="94"/>
        <v>#N/A</v>
      </c>
      <c r="U158" s="179" t="e">
        <f t="shared" ca="1" si="98"/>
        <v>#N/A</v>
      </c>
      <c r="V158" s="179" t="e">
        <f t="shared" ca="1" si="98"/>
        <v>#N/A</v>
      </c>
      <c r="W158" s="179">
        <f t="shared" ca="1" si="81"/>
        <v>426</v>
      </c>
      <c r="X158" s="179">
        <f t="shared" ca="1" si="99"/>
        <v>426</v>
      </c>
      <c r="Y158" s="179">
        <f t="shared" ca="1" si="99"/>
        <v>426</v>
      </c>
      <c r="Z158" s="179">
        <f t="shared" ca="1" si="82"/>
        <v>460</v>
      </c>
      <c r="AA158" s="179">
        <f t="shared" ca="1" si="100"/>
        <v>460</v>
      </c>
      <c r="AB158" s="179">
        <f t="shared" ca="1" si="100"/>
        <v>460</v>
      </c>
      <c r="AC158" s="179" t="e">
        <f t="shared" ca="1" si="83"/>
        <v>#N/A</v>
      </c>
      <c r="AD158" s="179" t="e">
        <f t="shared" ca="1" si="101"/>
        <v>#N/A</v>
      </c>
      <c r="AE158" s="179" t="e">
        <f t="shared" ca="1" si="101"/>
        <v>#N/A</v>
      </c>
      <c r="AF158" s="179" t="e">
        <f t="shared" ca="1" si="84"/>
        <v>#N/A</v>
      </c>
      <c r="AG158" s="179" t="e">
        <f t="shared" ca="1" si="102"/>
        <v>#N/A</v>
      </c>
      <c r="AH158" s="179" t="e">
        <f t="shared" ca="1" si="102"/>
        <v>#N/A</v>
      </c>
    </row>
    <row r="159" spans="1:34" ht="15.75" customHeight="1">
      <c r="A159" s="449" t="s">
        <v>37</v>
      </c>
      <c r="B159" s="449" t="s">
        <v>457</v>
      </c>
      <c r="C159" s="449" t="s">
        <v>685</v>
      </c>
      <c r="D159" s="322" t="str">
        <f t="shared" ca="1" si="95"/>
        <v/>
      </c>
      <c r="E159" s="322" t="str">
        <f t="shared" ca="1" si="96"/>
        <v/>
      </c>
      <c r="F159" s="322" t="str">
        <f t="shared" ca="1" si="97"/>
        <v/>
      </c>
      <c r="G159" s="227" t="str">
        <f t="shared" ca="1" si="85"/>
        <v>D</v>
      </c>
      <c r="H159" s="227" t="str">
        <f t="shared" ca="1" si="86"/>
        <v>REGINI</v>
      </c>
      <c r="I159" s="227" t="str">
        <f t="shared" ca="1" si="87"/>
        <v>Sampdoria</v>
      </c>
      <c r="J159" s="227" t="str">
        <f t="shared" ca="1" si="88"/>
        <v>C</v>
      </c>
      <c r="K159" s="227" t="str">
        <f t="shared" ca="1" si="89"/>
        <v>SCHIAVON</v>
      </c>
      <c r="L159" s="227" t="str">
        <f t="shared" ca="1" si="90"/>
        <v>SPAL</v>
      </c>
      <c r="M159" s="227" t="str">
        <f t="shared" ca="1" si="73"/>
        <v/>
      </c>
      <c r="N159" s="227" t="str">
        <f t="shared" ca="1" si="74"/>
        <v/>
      </c>
      <c r="O159" s="227" t="str">
        <f t="shared" ca="1" si="75"/>
        <v/>
      </c>
      <c r="P159" s="227" t="str">
        <f t="shared" ca="1" si="91"/>
        <v/>
      </c>
      <c r="Q159" s="227" t="str">
        <f t="shared" ca="1" si="92"/>
        <v/>
      </c>
      <c r="R159" s="227" t="str">
        <f t="shared" ca="1" si="93"/>
        <v/>
      </c>
      <c r="T159" s="179" t="e">
        <f t="shared" ca="1" si="94"/>
        <v>#N/A</v>
      </c>
      <c r="U159" s="179" t="e">
        <f t="shared" ca="1" si="98"/>
        <v>#N/A</v>
      </c>
      <c r="V159" s="179" t="e">
        <f t="shared" ca="1" si="98"/>
        <v>#N/A</v>
      </c>
      <c r="W159" s="179">
        <f t="shared" ca="1" si="81"/>
        <v>427</v>
      </c>
      <c r="X159" s="179">
        <f t="shared" ca="1" si="99"/>
        <v>427</v>
      </c>
      <c r="Y159" s="179">
        <f t="shared" ca="1" si="99"/>
        <v>427</v>
      </c>
      <c r="Z159" s="179">
        <f t="shared" ca="1" si="82"/>
        <v>461</v>
      </c>
      <c r="AA159" s="179">
        <f t="shared" ca="1" si="100"/>
        <v>461</v>
      </c>
      <c r="AB159" s="179">
        <f t="shared" ca="1" si="100"/>
        <v>461</v>
      </c>
      <c r="AC159" s="179" t="e">
        <f t="shared" ca="1" si="83"/>
        <v>#N/A</v>
      </c>
      <c r="AD159" s="179" t="e">
        <f t="shared" ca="1" si="101"/>
        <v>#N/A</v>
      </c>
      <c r="AE159" s="179" t="e">
        <f t="shared" ca="1" si="101"/>
        <v>#N/A</v>
      </c>
      <c r="AF159" s="179" t="e">
        <f t="shared" ca="1" si="84"/>
        <v>#N/A</v>
      </c>
      <c r="AG159" s="179" t="e">
        <f t="shared" ca="1" si="102"/>
        <v>#N/A</v>
      </c>
      <c r="AH159" s="179" t="e">
        <f t="shared" ca="1" si="102"/>
        <v>#N/A</v>
      </c>
    </row>
    <row r="160" spans="1:34" ht="15.75" customHeight="1">
      <c r="A160" s="449" t="s">
        <v>37</v>
      </c>
      <c r="B160" s="449" t="s">
        <v>1717</v>
      </c>
      <c r="C160" s="449" t="s">
        <v>680</v>
      </c>
      <c r="D160" s="322" t="str">
        <f t="shared" ca="1" si="95"/>
        <v/>
      </c>
      <c r="E160" s="322" t="str">
        <f t="shared" ca="1" si="96"/>
        <v/>
      </c>
      <c r="F160" s="322" t="str">
        <f t="shared" ca="1" si="97"/>
        <v/>
      </c>
      <c r="G160" s="227" t="str">
        <f t="shared" ca="1" si="85"/>
        <v>D</v>
      </c>
      <c r="H160" s="227" t="str">
        <f t="shared" ca="1" si="86"/>
        <v>RODRIGUEZ R</v>
      </c>
      <c r="I160" s="227" t="str">
        <f t="shared" ca="1" si="87"/>
        <v>Milan</v>
      </c>
      <c r="J160" s="227" t="str">
        <f t="shared" ca="1" si="88"/>
        <v>C</v>
      </c>
      <c r="K160" s="227" t="str">
        <f t="shared" ca="1" si="89"/>
        <v>SENSI</v>
      </c>
      <c r="L160" s="227" t="str">
        <f t="shared" ca="1" si="90"/>
        <v>Sassuolo</v>
      </c>
      <c r="M160" s="227" t="str">
        <f t="shared" ca="1" si="73"/>
        <v/>
      </c>
      <c r="N160" s="227" t="str">
        <f t="shared" ca="1" si="74"/>
        <v/>
      </c>
      <c r="O160" s="227" t="str">
        <f t="shared" ca="1" si="75"/>
        <v/>
      </c>
      <c r="P160" s="227" t="str">
        <f t="shared" ca="1" si="91"/>
        <v/>
      </c>
      <c r="Q160" s="227" t="str">
        <f t="shared" ca="1" si="92"/>
        <v/>
      </c>
      <c r="R160" s="227" t="str">
        <f t="shared" ca="1" si="93"/>
        <v/>
      </c>
      <c r="T160" s="179" t="e">
        <f t="shared" ca="1" si="94"/>
        <v>#N/A</v>
      </c>
      <c r="U160" s="179" t="e">
        <f t="shared" ca="1" si="98"/>
        <v>#N/A</v>
      </c>
      <c r="V160" s="179" t="e">
        <f t="shared" ca="1" si="98"/>
        <v>#N/A</v>
      </c>
      <c r="W160" s="179">
        <f t="shared" ca="1" si="81"/>
        <v>434</v>
      </c>
      <c r="X160" s="179">
        <f t="shared" ca="1" si="99"/>
        <v>434</v>
      </c>
      <c r="Y160" s="179">
        <f t="shared" ca="1" si="99"/>
        <v>434</v>
      </c>
      <c r="Z160" s="179">
        <f t="shared" ca="1" si="82"/>
        <v>465</v>
      </c>
      <c r="AA160" s="179">
        <f t="shared" ca="1" si="100"/>
        <v>465</v>
      </c>
      <c r="AB160" s="179">
        <f t="shared" ca="1" si="100"/>
        <v>465</v>
      </c>
      <c r="AC160" s="179" t="e">
        <f t="shared" ca="1" si="83"/>
        <v>#N/A</v>
      </c>
      <c r="AD160" s="179" t="e">
        <f t="shared" ca="1" si="101"/>
        <v>#N/A</v>
      </c>
      <c r="AE160" s="179" t="e">
        <f t="shared" ca="1" si="101"/>
        <v>#N/A</v>
      </c>
      <c r="AF160" s="179" t="e">
        <f t="shared" ca="1" si="84"/>
        <v>#N/A</v>
      </c>
      <c r="AG160" s="179" t="e">
        <f t="shared" ca="1" si="102"/>
        <v>#N/A</v>
      </c>
      <c r="AH160" s="179" t="e">
        <f t="shared" ca="1" si="102"/>
        <v>#N/A</v>
      </c>
    </row>
    <row r="161" spans="1:34" ht="15.75" customHeight="1">
      <c r="A161" s="449" t="s">
        <v>39</v>
      </c>
      <c r="B161" s="449" t="s">
        <v>430</v>
      </c>
      <c r="C161" s="449" t="s">
        <v>700</v>
      </c>
      <c r="D161" s="322" t="str">
        <f t="shared" ca="1" si="95"/>
        <v/>
      </c>
      <c r="E161" s="322" t="str">
        <f t="shared" ca="1" si="96"/>
        <v/>
      </c>
      <c r="F161" s="322" t="str">
        <f t="shared" ca="1" si="97"/>
        <v/>
      </c>
      <c r="G161" s="227" t="str">
        <f t="shared" ca="1" si="85"/>
        <v>D</v>
      </c>
      <c r="H161" s="227" t="str">
        <f t="shared" ca="1" si="86"/>
        <v>ROGERIO</v>
      </c>
      <c r="I161" s="227" t="str">
        <f t="shared" ca="1" si="87"/>
        <v>Sassuolo</v>
      </c>
      <c r="J161" s="227" t="str">
        <f t="shared" ca="1" si="88"/>
        <v>C</v>
      </c>
      <c r="K161" s="227" t="str">
        <f t="shared" ca="1" si="89"/>
        <v>SPINAZZOLA</v>
      </c>
      <c r="L161" s="227" t="str">
        <f t="shared" ca="1" si="90"/>
        <v>Atalanta</v>
      </c>
      <c r="M161" s="227" t="str">
        <f t="shared" ca="1" si="73"/>
        <v/>
      </c>
      <c r="N161" s="227" t="str">
        <f t="shared" ca="1" si="74"/>
        <v/>
      </c>
      <c r="O161" s="227" t="str">
        <f t="shared" ca="1" si="75"/>
        <v/>
      </c>
      <c r="P161" s="227" t="str">
        <f t="shared" ca="1" si="91"/>
        <v/>
      </c>
      <c r="Q161" s="227" t="str">
        <f t="shared" ca="1" si="92"/>
        <v/>
      </c>
      <c r="R161" s="227" t="str">
        <f t="shared" ca="1" si="93"/>
        <v/>
      </c>
      <c r="T161" s="179" t="e">
        <f t="shared" ca="1" si="94"/>
        <v>#N/A</v>
      </c>
      <c r="U161" s="179" t="e">
        <f t="shared" ca="1" si="98"/>
        <v>#N/A</v>
      </c>
      <c r="V161" s="179" t="e">
        <f t="shared" ca="1" si="98"/>
        <v>#N/A</v>
      </c>
      <c r="W161" s="179">
        <f t="shared" ca="1" si="81"/>
        <v>437</v>
      </c>
      <c r="X161" s="179">
        <f t="shared" ca="1" si="99"/>
        <v>437</v>
      </c>
      <c r="Y161" s="179">
        <f t="shared" ca="1" si="99"/>
        <v>437</v>
      </c>
      <c r="Z161" s="179">
        <f t="shared" ca="1" si="82"/>
        <v>477</v>
      </c>
      <c r="AA161" s="179">
        <f t="shared" ca="1" si="100"/>
        <v>477</v>
      </c>
      <c r="AB161" s="179">
        <f t="shared" ca="1" si="100"/>
        <v>477</v>
      </c>
      <c r="AC161" s="179" t="e">
        <f t="shared" ca="1" si="83"/>
        <v>#N/A</v>
      </c>
      <c r="AD161" s="179" t="e">
        <f t="shared" ca="1" si="101"/>
        <v>#N/A</v>
      </c>
      <c r="AE161" s="179" t="e">
        <f t="shared" ca="1" si="101"/>
        <v>#N/A</v>
      </c>
      <c r="AF161" s="179" t="e">
        <f t="shared" ca="1" si="84"/>
        <v>#N/A</v>
      </c>
      <c r="AG161" s="179" t="e">
        <f t="shared" ca="1" si="102"/>
        <v>#N/A</v>
      </c>
      <c r="AH161" s="179" t="e">
        <f t="shared" ca="1" si="102"/>
        <v>#N/A</v>
      </c>
    </row>
    <row r="162" spans="1:34" ht="15.75" customHeight="1">
      <c r="A162" s="449" t="s">
        <v>43</v>
      </c>
      <c r="B162" s="449" t="s">
        <v>344</v>
      </c>
      <c r="C162" s="449" t="s">
        <v>691</v>
      </c>
      <c r="D162" s="322" t="str">
        <f t="shared" ca="1" si="95"/>
        <v/>
      </c>
      <c r="E162" s="322" t="str">
        <f t="shared" ca="1" si="96"/>
        <v/>
      </c>
      <c r="F162" s="322" t="str">
        <f t="shared" ca="1" si="97"/>
        <v/>
      </c>
      <c r="G162" s="227" t="str">
        <f t="shared" ca="1" si="85"/>
        <v>D</v>
      </c>
      <c r="H162" s="227" t="str">
        <f t="shared" ca="1" si="86"/>
        <v>ROMAGNA</v>
      </c>
      <c r="I162" s="227" t="str">
        <f t="shared" ca="1" si="87"/>
        <v>Cagliari</v>
      </c>
      <c r="J162" s="227" t="str">
        <f t="shared" ca="1" si="88"/>
        <v>C</v>
      </c>
      <c r="K162" s="227" t="str">
        <f t="shared" ca="1" si="89"/>
        <v>STOIAN</v>
      </c>
      <c r="L162" s="227" t="str">
        <f t="shared" ca="1" si="90"/>
        <v>Crotone</v>
      </c>
      <c r="M162" s="227" t="str">
        <f t="shared" ca="1" si="73"/>
        <v/>
      </c>
      <c r="N162" s="227" t="str">
        <f t="shared" ca="1" si="74"/>
        <v/>
      </c>
      <c r="O162" s="227" t="str">
        <f t="shared" ca="1" si="75"/>
        <v/>
      </c>
      <c r="P162" s="227" t="str">
        <f t="shared" ca="1" si="91"/>
        <v/>
      </c>
      <c r="Q162" s="227" t="str">
        <f t="shared" ca="1" si="92"/>
        <v/>
      </c>
      <c r="R162" s="227" t="str">
        <f t="shared" ca="1" si="93"/>
        <v/>
      </c>
      <c r="T162" s="179" t="e">
        <f t="shared" ca="1" si="94"/>
        <v>#N/A</v>
      </c>
      <c r="U162" s="179" t="e">
        <f t="shared" ca="1" si="98"/>
        <v>#N/A</v>
      </c>
      <c r="V162" s="179" t="e">
        <f t="shared" ca="1" si="98"/>
        <v>#N/A</v>
      </c>
      <c r="W162" s="179">
        <f t="shared" ca="1" si="81"/>
        <v>439</v>
      </c>
      <c r="X162" s="179">
        <f t="shared" ca="1" si="99"/>
        <v>439</v>
      </c>
      <c r="Y162" s="179">
        <f t="shared" ca="1" si="99"/>
        <v>439</v>
      </c>
      <c r="Z162" s="179">
        <f t="shared" ca="1" si="82"/>
        <v>481</v>
      </c>
      <c r="AA162" s="179">
        <f t="shared" ca="1" si="100"/>
        <v>481</v>
      </c>
      <c r="AB162" s="179">
        <f t="shared" ca="1" si="100"/>
        <v>481</v>
      </c>
      <c r="AC162" s="179" t="e">
        <f t="shared" ca="1" si="83"/>
        <v>#N/A</v>
      </c>
      <c r="AD162" s="179" t="e">
        <f t="shared" ca="1" si="101"/>
        <v>#N/A</v>
      </c>
      <c r="AE162" s="179" t="e">
        <f t="shared" ca="1" si="101"/>
        <v>#N/A</v>
      </c>
      <c r="AF162" s="179" t="e">
        <f t="shared" ca="1" si="84"/>
        <v>#N/A</v>
      </c>
      <c r="AG162" s="179" t="e">
        <f t="shared" ca="1" si="102"/>
        <v>#N/A</v>
      </c>
      <c r="AH162" s="179" t="e">
        <f t="shared" ca="1" si="102"/>
        <v>#N/A</v>
      </c>
    </row>
    <row r="163" spans="1:34" ht="15.75" customHeight="1">
      <c r="A163" s="449" t="s">
        <v>37</v>
      </c>
      <c r="B163" s="449" t="s">
        <v>1699</v>
      </c>
      <c r="C163" s="449" t="s">
        <v>1672</v>
      </c>
      <c r="D163" s="322" t="str">
        <f t="shared" ca="1" si="95"/>
        <v/>
      </c>
      <c r="E163" s="322" t="str">
        <f t="shared" ca="1" si="96"/>
        <v/>
      </c>
      <c r="F163" s="322" t="str">
        <f t="shared" ca="1" si="97"/>
        <v/>
      </c>
      <c r="G163" s="227" t="str">
        <f t="shared" ca="1" si="85"/>
        <v>D</v>
      </c>
      <c r="H163" s="227" t="str">
        <f t="shared" ca="1" si="86"/>
        <v>ROMAGNOLI A</v>
      </c>
      <c r="I163" s="227" t="str">
        <f t="shared" ca="1" si="87"/>
        <v>Milan</v>
      </c>
      <c r="J163" s="227" t="str">
        <f t="shared" ca="1" si="88"/>
        <v>C</v>
      </c>
      <c r="K163" s="227" t="str">
        <f t="shared" ca="1" si="89"/>
        <v>STROOTMAN</v>
      </c>
      <c r="L163" s="227" t="str">
        <f t="shared" ca="1" si="90"/>
        <v>Roma</v>
      </c>
      <c r="M163" s="227" t="str">
        <f t="shared" ca="1" si="73"/>
        <v/>
      </c>
      <c r="N163" s="227" t="str">
        <f t="shared" ca="1" si="74"/>
        <v/>
      </c>
      <c r="O163" s="227" t="str">
        <f t="shared" ca="1" si="75"/>
        <v/>
      </c>
      <c r="P163" s="227" t="str">
        <f t="shared" ca="1" si="91"/>
        <v/>
      </c>
      <c r="Q163" s="227" t="str">
        <f t="shared" ca="1" si="92"/>
        <v/>
      </c>
      <c r="R163" s="227" t="str">
        <f t="shared" ca="1" si="93"/>
        <v/>
      </c>
      <c r="T163" s="179" t="e">
        <f t="shared" ca="1" si="94"/>
        <v>#N/A</v>
      </c>
      <c r="U163" s="179" t="e">
        <f t="shared" ca="1" si="98"/>
        <v>#N/A</v>
      </c>
      <c r="V163" s="179" t="e">
        <f t="shared" ca="1" si="98"/>
        <v>#N/A</v>
      </c>
      <c r="W163" s="179">
        <f t="shared" ca="1" si="81"/>
        <v>440</v>
      </c>
      <c r="X163" s="179">
        <f t="shared" ca="1" si="99"/>
        <v>440</v>
      </c>
      <c r="Y163" s="179">
        <f t="shared" ca="1" si="99"/>
        <v>440</v>
      </c>
      <c r="Z163" s="179">
        <f t="shared" ca="1" si="82"/>
        <v>485</v>
      </c>
      <c r="AA163" s="179">
        <f t="shared" ca="1" si="100"/>
        <v>485</v>
      </c>
      <c r="AB163" s="179">
        <f t="shared" ca="1" si="100"/>
        <v>485</v>
      </c>
      <c r="AC163" s="179" t="e">
        <f t="shared" ca="1" si="83"/>
        <v>#N/A</v>
      </c>
      <c r="AD163" s="179" t="e">
        <f t="shared" ca="1" si="101"/>
        <v>#N/A</v>
      </c>
      <c r="AE163" s="179" t="e">
        <f t="shared" ca="1" si="101"/>
        <v>#N/A</v>
      </c>
      <c r="AF163" s="179" t="e">
        <f t="shared" ca="1" si="84"/>
        <v>#N/A</v>
      </c>
      <c r="AG163" s="179" t="e">
        <f t="shared" ca="1" si="102"/>
        <v>#N/A</v>
      </c>
      <c r="AH163" s="179" t="e">
        <f t="shared" ca="1" si="102"/>
        <v>#N/A</v>
      </c>
    </row>
    <row r="164" spans="1:34" ht="15.75" customHeight="1">
      <c r="A164" s="449" t="s">
        <v>43</v>
      </c>
      <c r="B164" s="449" t="s">
        <v>1299</v>
      </c>
      <c r="C164" s="449" t="s">
        <v>691</v>
      </c>
      <c r="D164" s="322" t="str">
        <f t="shared" ca="1" si="95"/>
        <v/>
      </c>
      <c r="E164" s="322" t="str">
        <f t="shared" ca="1" si="96"/>
        <v/>
      </c>
      <c r="F164" s="322" t="str">
        <f t="shared" ca="1" si="97"/>
        <v/>
      </c>
      <c r="G164" s="227" t="str">
        <f t="shared" ca="1" si="85"/>
        <v>D</v>
      </c>
      <c r="H164" s="227" t="str">
        <f t="shared" ca="1" si="86"/>
        <v>ROMULO</v>
      </c>
      <c r="I164" s="227" t="str">
        <f t="shared" ca="1" si="87"/>
        <v>Verona</v>
      </c>
      <c r="J164" s="227" t="str">
        <f t="shared" ca="1" si="88"/>
        <v>C</v>
      </c>
      <c r="K164" s="227" t="str">
        <f t="shared" ca="1" si="89"/>
        <v>STURARO</v>
      </c>
      <c r="L164" s="227" t="str">
        <f t="shared" ca="1" si="90"/>
        <v>Juventus</v>
      </c>
      <c r="M164" s="227" t="str">
        <f t="shared" ca="1" si="73"/>
        <v/>
      </c>
      <c r="N164" s="227" t="str">
        <f t="shared" ca="1" si="74"/>
        <v/>
      </c>
      <c r="O164" s="227" t="str">
        <f t="shared" ca="1" si="75"/>
        <v/>
      </c>
      <c r="P164" s="227" t="str">
        <f t="shared" ca="1" si="91"/>
        <v/>
      </c>
      <c r="Q164" s="227" t="str">
        <f t="shared" ca="1" si="92"/>
        <v/>
      </c>
      <c r="R164" s="227" t="str">
        <f t="shared" ca="1" si="93"/>
        <v/>
      </c>
      <c r="T164" s="179" t="e">
        <f t="shared" ca="1" si="94"/>
        <v>#N/A</v>
      </c>
      <c r="U164" s="179" t="e">
        <f t="shared" ca="1" si="98"/>
        <v>#N/A</v>
      </c>
      <c r="V164" s="179" t="e">
        <f t="shared" ca="1" si="98"/>
        <v>#N/A</v>
      </c>
      <c r="W164" s="179">
        <f t="shared" ca="1" si="81"/>
        <v>442</v>
      </c>
      <c r="X164" s="179">
        <f t="shared" ca="1" si="99"/>
        <v>442</v>
      </c>
      <c r="Y164" s="179">
        <f t="shared" ca="1" si="99"/>
        <v>442</v>
      </c>
      <c r="Z164" s="179">
        <f t="shared" ca="1" si="82"/>
        <v>487</v>
      </c>
      <c r="AA164" s="179">
        <f t="shared" ca="1" si="100"/>
        <v>487</v>
      </c>
      <c r="AB164" s="179">
        <f t="shared" ca="1" si="100"/>
        <v>487</v>
      </c>
      <c r="AC164" s="179" t="e">
        <f t="shared" ca="1" si="83"/>
        <v>#N/A</v>
      </c>
      <c r="AD164" s="179" t="e">
        <f t="shared" ca="1" si="101"/>
        <v>#N/A</v>
      </c>
      <c r="AE164" s="179" t="e">
        <f t="shared" ca="1" si="101"/>
        <v>#N/A</v>
      </c>
      <c r="AF164" s="179" t="e">
        <f t="shared" ca="1" si="84"/>
        <v>#N/A</v>
      </c>
      <c r="AG164" s="179" t="e">
        <f t="shared" ca="1" si="102"/>
        <v>#N/A</v>
      </c>
      <c r="AH164" s="179" t="e">
        <f t="shared" ca="1" si="102"/>
        <v>#N/A</v>
      </c>
    </row>
    <row r="165" spans="1:34" ht="15.75" customHeight="1">
      <c r="A165" s="449" t="s">
        <v>39</v>
      </c>
      <c r="B165" s="449" t="s">
        <v>1301</v>
      </c>
      <c r="C165" s="449" t="s">
        <v>682</v>
      </c>
      <c r="D165" s="322" t="str">
        <f t="shared" ca="1" si="95"/>
        <v/>
      </c>
      <c r="E165" s="322" t="str">
        <f t="shared" ca="1" si="96"/>
        <v/>
      </c>
      <c r="F165" s="322" t="str">
        <f t="shared" ca="1" si="97"/>
        <v/>
      </c>
      <c r="G165" s="227" t="str">
        <f t="shared" ca="1" si="85"/>
        <v>D</v>
      </c>
      <c r="H165" s="227" t="str">
        <f t="shared" ca="1" si="86"/>
        <v>ROSI</v>
      </c>
      <c r="I165" s="227" t="str">
        <f t="shared" ca="1" si="87"/>
        <v>Genoa</v>
      </c>
      <c r="J165" s="227" t="str">
        <f t="shared" ca="1" si="88"/>
        <v>C</v>
      </c>
      <c r="K165" s="227" t="str">
        <f t="shared" ca="1" si="89"/>
        <v>SULJIC</v>
      </c>
      <c r="L165" s="227" t="str">
        <f t="shared" ca="1" si="90"/>
        <v>Crotone</v>
      </c>
      <c r="M165" s="227" t="str">
        <f t="shared" ca="1" si="73"/>
        <v/>
      </c>
      <c r="N165" s="227" t="str">
        <f t="shared" ca="1" si="74"/>
        <v/>
      </c>
      <c r="O165" s="227" t="str">
        <f t="shared" ca="1" si="75"/>
        <v/>
      </c>
      <c r="P165" s="227" t="str">
        <f t="shared" ca="1" si="91"/>
        <v/>
      </c>
      <c r="Q165" s="227" t="str">
        <f t="shared" ca="1" si="92"/>
        <v/>
      </c>
      <c r="R165" s="227" t="str">
        <f t="shared" ca="1" si="93"/>
        <v/>
      </c>
      <c r="T165" s="179" t="e">
        <f t="shared" ca="1" si="94"/>
        <v>#N/A</v>
      </c>
      <c r="U165" s="179" t="e">
        <f t="shared" ca="1" si="98"/>
        <v>#N/A</v>
      </c>
      <c r="V165" s="179" t="e">
        <f t="shared" ca="1" si="98"/>
        <v>#N/A</v>
      </c>
      <c r="W165" s="179">
        <f t="shared" ca="1" si="81"/>
        <v>443</v>
      </c>
      <c r="X165" s="179">
        <f t="shared" ca="1" si="99"/>
        <v>443</v>
      </c>
      <c r="Y165" s="179">
        <f t="shared" ca="1" si="99"/>
        <v>443</v>
      </c>
      <c r="Z165" s="179">
        <f t="shared" ca="1" si="82"/>
        <v>488</v>
      </c>
      <c r="AA165" s="179">
        <f t="shared" ca="1" si="100"/>
        <v>488</v>
      </c>
      <c r="AB165" s="179">
        <f t="shared" ca="1" si="100"/>
        <v>488</v>
      </c>
      <c r="AC165" s="179" t="e">
        <f t="shared" ca="1" si="83"/>
        <v>#N/A</v>
      </c>
      <c r="AD165" s="179" t="e">
        <f t="shared" ca="1" si="101"/>
        <v>#N/A</v>
      </c>
      <c r="AE165" s="179" t="e">
        <f t="shared" ca="1" si="101"/>
        <v>#N/A</v>
      </c>
      <c r="AF165" s="179" t="e">
        <f t="shared" ca="1" si="84"/>
        <v>#N/A</v>
      </c>
      <c r="AG165" s="179" t="e">
        <f t="shared" ca="1" si="102"/>
        <v>#N/A</v>
      </c>
      <c r="AH165" s="179" t="e">
        <f t="shared" ca="1" si="102"/>
        <v>#N/A</v>
      </c>
    </row>
    <row r="166" spans="1:34" ht="15.75" customHeight="1">
      <c r="A166" s="449" t="s">
        <v>39</v>
      </c>
      <c r="B166" s="449" t="s">
        <v>437</v>
      </c>
      <c r="C166" s="449" t="s">
        <v>681</v>
      </c>
      <c r="D166" s="322" t="str">
        <f t="shared" ca="1" si="95"/>
        <v/>
      </c>
      <c r="E166" s="322" t="str">
        <f t="shared" ca="1" si="96"/>
        <v/>
      </c>
      <c r="F166" s="322" t="str">
        <f t="shared" ca="1" si="97"/>
        <v/>
      </c>
      <c r="G166" s="227" t="str">
        <f t="shared" ca="1" si="85"/>
        <v>D</v>
      </c>
      <c r="H166" s="227" t="str">
        <f t="shared" ca="1" si="86"/>
        <v>ROSSETTINI</v>
      </c>
      <c r="I166" s="227" t="str">
        <f t="shared" ca="1" si="87"/>
        <v>Genoa</v>
      </c>
      <c r="J166" s="227" t="str">
        <f t="shared" ca="1" si="88"/>
        <v>C</v>
      </c>
      <c r="K166" s="227" t="str">
        <f t="shared" ca="1" si="89"/>
        <v>TAIDER</v>
      </c>
      <c r="L166" s="227" t="str">
        <f t="shared" ca="1" si="90"/>
        <v>Bologna</v>
      </c>
      <c r="M166" s="227" t="str">
        <f t="shared" ca="1" si="73"/>
        <v/>
      </c>
      <c r="N166" s="227" t="str">
        <f t="shared" ca="1" si="74"/>
        <v/>
      </c>
      <c r="O166" s="227" t="str">
        <f t="shared" ca="1" si="75"/>
        <v/>
      </c>
      <c r="P166" s="227" t="str">
        <f t="shared" ca="1" si="91"/>
        <v/>
      </c>
      <c r="Q166" s="227" t="str">
        <f t="shared" ca="1" si="92"/>
        <v/>
      </c>
      <c r="R166" s="227" t="str">
        <f t="shared" ca="1" si="93"/>
        <v/>
      </c>
      <c r="T166" s="179" t="e">
        <f t="shared" ca="1" si="94"/>
        <v>#N/A</v>
      </c>
      <c r="U166" s="179" t="e">
        <f t="shared" ca="1" si="98"/>
        <v>#N/A</v>
      </c>
      <c r="V166" s="179" t="e">
        <f t="shared" ca="1" si="98"/>
        <v>#N/A</v>
      </c>
      <c r="W166" s="179">
        <f t="shared" ca="1" si="81"/>
        <v>444</v>
      </c>
      <c r="X166" s="179">
        <f t="shared" ca="1" si="99"/>
        <v>444</v>
      </c>
      <c r="Y166" s="179">
        <f t="shared" ca="1" si="99"/>
        <v>444</v>
      </c>
      <c r="Z166" s="179">
        <f t="shared" ca="1" si="82"/>
        <v>492</v>
      </c>
      <c r="AA166" s="179">
        <f t="shared" ca="1" si="100"/>
        <v>492</v>
      </c>
      <c r="AB166" s="179">
        <f t="shared" ca="1" si="100"/>
        <v>492</v>
      </c>
      <c r="AC166" s="179" t="e">
        <f t="shared" ca="1" si="83"/>
        <v>#N/A</v>
      </c>
      <c r="AD166" s="179" t="e">
        <f t="shared" ca="1" si="101"/>
        <v>#N/A</v>
      </c>
      <c r="AE166" s="179" t="e">
        <f t="shared" ca="1" si="101"/>
        <v>#N/A</v>
      </c>
      <c r="AF166" s="179" t="e">
        <f t="shared" ca="1" si="84"/>
        <v>#N/A</v>
      </c>
      <c r="AG166" s="179" t="e">
        <f t="shared" ca="1" si="102"/>
        <v>#N/A</v>
      </c>
      <c r="AH166" s="179" t="e">
        <f t="shared" ca="1" si="102"/>
        <v>#N/A</v>
      </c>
    </row>
    <row r="167" spans="1:34" ht="15.75" customHeight="1">
      <c r="A167" s="449" t="s">
        <v>37</v>
      </c>
      <c r="B167" s="449" t="s">
        <v>460</v>
      </c>
      <c r="C167" s="449" t="s">
        <v>1672</v>
      </c>
      <c r="D167" s="322" t="str">
        <f t="shared" ca="1" si="95"/>
        <v/>
      </c>
      <c r="E167" s="322" t="str">
        <f t="shared" ca="1" si="96"/>
        <v/>
      </c>
      <c r="F167" s="322" t="str">
        <f t="shared" ca="1" si="97"/>
        <v/>
      </c>
      <c r="G167" s="227" t="str">
        <f t="shared" ca="1" si="85"/>
        <v>D</v>
      </c>
      <c r="H167" s="227" t="str">
        <f t="shared" ca="1" si="86"/>
        <v>RUGANI</v>
      </c>
      <c r="I167" s="227" t="str">
        <f t="shared" ca="1" si="87"/>
        <v>Juventus</v>
      </c>
      <c r="J167" s="227" t="str">
        <f t="shared" ca="1" si="88"/>
        <v>C</v>
      </c>
      <c r="K167" s="227" t="str">
        <f t="shared" ca="1" si="89"/>
        <v>TORREIRA</v>
      </c>
      <c r="L167" s="227" t="str">
        <f t="shared" ca="1" si="90"/>
        <v>Sampdoria</v>
      </c>
      <c r="M167" s="227" t="str">
        <f t="shared" ca="1" si="73"/>
        <v/>
      </c>
      <c r="N167" s="227" t="str">
        <f t="shared" ca="1" si="74"/>
        <v/>
      </c>
      <c r="O167" s="227" t="str">
        <f t="shared" ca="1" si="75"/>
        <v/>
      </c>
      <c r="P167" s="227" t="str">
        <f t="shared" ca="1" si="91"/>
        <v/>
      </c>
      <c r="Q167" s="227" t="str">
        <f t="shared" ca="1" si="92"/>
        <v/>
      </c>
      <c r="R167" s="227" t="str">
        <f t="shared" ca="1" si="93"/>
        <v/>
      </c>
      <c r="T167" s="179" t="e">
        <f t="shared" ca="1" si="94"/>
        <v>#N/A</v>
      </c>
      <c r="U167" s="179" t="e">
        <f t="shared" ca="1" si="98"/>
        <v>#N/A</v>
      </c>
      <c r="V167" s="179" t="e">
        <f t="shared" ca="1" si="98"/>
        <v>#N/A</v>
      </c>
      <c r="W167" s="179">
        <f t="shared" ca="1" si="81"/>
        <v>446</v>
      </c>
      <c r="X167" s="179">
        <f t="shared" ca="1" si="99"/>
        <v>446</v>
      </c>
      <c r="Y167" s="179">
        <f t="shared" ca="1" si="99"/>
        <v>446</v>
      </c>
      <c r="Z167" s="179">
        <f t="shared" ca="1" si="82"/>
        <v>500</v>
      </c>
      <c r="AA167" s="179">
        <f t="shared" ca="1" si="100"/>
        <v>500</v>
      </c>
      <c r="AB167" s="179">
        <f t="shared" ca="1" si="100"/>
        <v>500</v>
      </c>
      <c r="AC167" s="179" t="e">
        <f t="shared" ca="1" si="83"/>
        <v>#N/A</v>
      </c>
      <c r="AD167" s="179" t="e">
        <f t="shared" ca="1" si="101"/>
        <v>#N/A</v>
      </c>
      <c r="AE167" s="179" t="e">
        <f t="shared" ca="1" si="101"/>
        <v>#N/A</v>
      </c>
      <c r="AF167" s="179" t="e">
        <f t="shared" ca="1" si="84"/>
        <v>#N/A</v>
      </c>
      <c r="AG167" s="179" t="e">
        <f t="shared" ca="1" si="102"/>
        <v>#N/A</v>
      </c>
      <c r="AH167" s="179" t="e">
        <f t="shared" ca="1" si="102"/>
        <v>#N/A</v>
      </c>
    </row>
    <row r="168" spans="1:34" ht="15.75" customHeight="1">
      <c r="A168" s="449" t="s">
        <v>43</v>
      </c>
      <c r="B168" s="449" t="s">
        <v>347</v>
      </c>
      <c r="C168" s="449" t="s">
        <v>682</v>
      </c>
      <c r="D168" s="322" t="str">
        <f t="shared" ca="1" si="95"/>
        <v/>
      </c>
      <c r="E168" s="322" t="str">
        <f t="shared" ca="1" si="96"/>
        <v/>
      </c>
      <c r="F168" s="322" t="str">
        <f t="shared" ca="1" si="97"/>
        <v/>
      </c>
      <c r="G168" s="227" t="str">
        <f t="shared" ca="1" si="85"/>
        <v>D</v>
      </c>
      <c r="H168" s="227" t="str">
        <f t="shared" ca="1" si="86"/>
        <v>SALA</v>
      </c>
      <c r="I168" s="227" t="str">
        <f t="shared" ca="1" si="87"/>
        <v>Sampdoria</v>
      </c>
      <c r="J168" s="227" t="str">
        <f t="shared" ca="1" si="88"/>
        <v>C</v>
      </c>
      <c r="K168" s="227" t="str">
        <f t="shared" ca="1" si="89"/>
        <v>UNDER</v>
      </c>
      <c r="L168" s="227" t="str">
        <f t="shared" ca="1" si="90"/>
        <v>Roma</v>
      </c>
      <c r="M168" s="227" t="str">
        <f t="shared" ca="1" si="73"/>
        <v/>
      </c>
      <c r="N168" s="227" t="str">
        <f t="shared" ca="1" si="74"/>
        <v/>
      </c>
      <c r="O168" s="227" t="str">
        <f t="shared" ca="1" si="75"/>
        <v/>
      </c>
      <c r="P168" s="227" t="str">
        <f t="shared" ca="1" si="91"/>
        <v/>
      </c>
      <c r="Q168" s="227" t="str">
        <f t="shared" ca="1" si="92"/>
        <v/>
      </c>
      <c r="R168" s="227" t="str">
        <f t="shared" ca="1" si="93"/>
        <v/>
      </c>
      <c r="T168" s="179" t="e">
        <f t="shared" ca="1" si="94"/>
        <v>#N/A</v>
      </c>
      <c r="U168" s="179" t="e">
        <f t="shared" ca="1" si="98"/>
        <v>#N/A</v>
      </c>
      <c r="V168" s="179" t="e">
        <f t="shared" ca="1" si="98"/>
        <v>#N/A</v>
      </c>
      <c r="W168" s="179">
        <f t="shared" ca="1" si="81"/>
        <v>448</v>
      </c>
      <c r="X168" s="179">
        <f t="shared" ca="1" si="99"/>
        <v>448</v>
      </c>
      <c r="Y168" s="179">
        <f t="shared" ca="1" si="99"/>
        <v>448</v>
      </c>
      <c r="Z168" s="179">
        <f t="shared" ca="1" si="82"/>
        <v>504</v>
      </c>
      <c r="AA168" s="179">
        <f t="shared" ca="1" si="100"/>
        <v>504</v>
      </c>
      <c r="AB168" s="179">
        <f t="shared" ca="1" si="100"/>
        <v>504</v>
      </c>
      <c r="AC168" s="179" t="e">
        <f t="shared" ca="1" si="83"/>
        <v>#N/A</v>
      </c>
      <c r="AD168" s="179" t="e">
        <f t="shared" ca="1" si="101"/>
        <v>#N/A</v>
      </c>
      <c r="AE168" s="179" t="e">
        <f t="shared" ca="1" si="101"/>
        <v>#N/A</v>
      </c>
      <c r="AF168" s="179" t="e">
        <f t="shared" ca="1" si="84"/>
        <v>#N/A</v>
      </c>
      <c r="AG168" s="179" t="e">
        <f t="shared" ca="1" si="102"/>
        <v>#N/A</v>
      </c>
      <c r="AH168" s="179" t="e">
        <f t="shared" ca="1" si="102"/>
        <v>#N/A</v>
      </c>
    </row>
    <row r="169" spans="1:34" ht="15.75" customHeight="1">
      <c r="A169" s="449" t="s">
        <v>39</v>
      </c>
      <c r="B169" s="449" t="s">
        <v>351</v>
      </c>
      <c r="C169" s="449" t="s">
        <v>688</v>
      </c>
      <c r="D169" s="322" t="str">
        <f t="shared" ca="1" si="95"/>
        <v/>
      </c>
      <c r="E169" s="322" t="str">
        <f t="shared" ca="1" si="96"/>
        <v/>
      </c>
      <c r="F169" s="322" t="str">
        <f t="shared" ca="1" si="97"/>
        <v/>
      </c>
      <c r="G169" s="227" t="str">
        <f t="shared" ca="1" si="85"/>
        <v>D</v>
      </c>
      <c r="H169" s="227" t="str">
        <f t="shared" ca="1" si="86"/>
        <v>SALAMON</v>
      </c>
      <c r="I169" s="227" t="str">
        <f t="shared" ca="1" si="87"/>
        <v>SPAL</v>
      </c>
      <c r="J169" s="227" t="str">
        <f t="shared" ca="1" si="88"/>
        <v>C</v>
      </c>
      <c r="K169" s="227" t="str">
        <f t="shared" ca="1" si="89"/>
        <v>VALDIFIORI</v>
      </c>
      <c r="L169" s="227" t="str">
        <f t="shared" ca="1" si="90"/>
        <v>Torino</v>
      </c>
      <c r="M169" s="227" t="str">
        <f t="shared" ca="1" si="73"/>
        <v/>
      </c>
      <c r="N169" s="227" t="str">
        <f t="shared" ca="1" si="74"/>
        <v/>
      </c>
      <c r="O169" s="227" t="str">
        <f t="shared" ca="1" si="75"/>
        <v/>
      </c>
      <c r="P169" s="227" t="str">
        <f t="shared" ca="1" si="91"/>
        <v/>
      </c>
      <c r="Q169" s="227" t="str">
        <f t="shared" ca="1" si="92"/>
        <v/>
      </c>
      <c r="R169" s="227" t="str">
        <f t="shared" ca="1" si="93"/>
        <v/>
      </c>
      <c r="T169" s="179" t="e">
        <f t="shared" ca="1" si="94"/>
        <v>#N/A</v>
      </c>
      <c r="U169" s="179" t="e">
        <f t="shared" ref="U169:V188" ca="1" si="103">T169</f>
        <v>#N/A</v>
      </c>
      <c r="V169" s="179" t="e">
        <f t="shared" ca="1" si="103"/>
        <v>#N/A</v>
      </c>
      <c r="W169" s="179">
        <f t="shared" ca="1" si="81"/>
        <v>449</v>
      </c>
      <c r="X169" s="179">
        <f t="shared" ref="X169:Y188" ca="1" si="104">W169</f>
        <v>449</v>
      </c>
      <c r="Y169" s="179">
        <f t="shared" ca="1" si="104"/>
        <v>449</v>
      </c>
      <c r="Z169" s="179">
        <f t="shared" ca="1" si="82"/>
        <v>506</v>
      </c>
      <c r="AA169" s="179">
        <f t="shared" ref="AA169:AB188" ca="1" si="105">Z169</f>
        <v>506</v>
      </c>
      <c r="AB169" s="179">
        <f t="shared" ca="1" si="105"/>
        <v>506</v>
      </c>
      <c r="AC169" s="179" t="e">
        <f t="shared" ca="1" si="83"/>
        <v>#N/A</v>
      </c>
      <c r="AD169" s="179" t="e">
        <f t="shared" ref="AD169:AE188" ca="1" si="106">AC169</f>
        <v>#N/A</v>
      </c>
      <c r="AE169" s="179" t="e">
        <f t="shared" ca="1" si="106"/>
        <v>#N/A</v>
      </c>
      <c r="AF169" s="179" t="e">
        <f t="shared" ca="1" si="84"/>
        <v>#N/A</v>
      </c>
      <c r="AG169" s="179" t="e">
        <f t="shared" ref="AG169:AH188" ca="1" si="107">AF169</f>
        <v>#N/A</v>
      </c>
      <c r="AH169" s="179" t="e">
        <f t="shared" ca="1" si="107"/>
        <v>#N/A</v>
      </c>
    </row>
    <row r="170" spans="1:34" ht="15.75" customHeight="1">
      <c r="A170" s="449" t="s">
        <v>37</v>
      </c>
      <c r="B170" s="449" t="s">
        <v>1305</v>
      </c>
      <c r="C170" s="449" t="s">
        <v>688</v>
      </c>
      <c r="D170" s="322" t="str">
        <f t="shared" ca="1" si="95"/>
        <v/>
      </c>
      <c r="E170" s="322" t="str">
        <f t="shared" ca="1" si="96"/>
        <v/>
      </c>
      <c r="F170" s="322" t="str">
        <f t="shared" ca="1" si="97"/>
        <v/>
      </c>
      <c r="G170" s="227" t="str">
        <f t="shared" ca="1" si="85"/>
        <v>D</v>
      </c>
      <c r="H170" s="227" t="str">
        <f t="shared" ca="1" si="86"/>
        <v>SAMIR</v>
      </c>
      <c r="I170" s="227" t="str">
        <f t="shared" ca="1" si="87"/>
        <v>Udinese</v>
      </c>
      <c r="J170" s="227" t="str">
        <f t="shared" ca="1" si="88"/>
        <v>c</v>
      </c>
      <c r="K170" s="227" t="str">
        <f t="shared" ca="1" si="89"/>
        <v>VALENCIA</v>
      </c>
      <c r="L170" s="227" t="str">
        <f t="shared" ca="1" si="90"/>
        <v>Bologna</v>
      </c>
      <c r="M170" s="227" t="str">
        <f t="shared" ca="1" si="73"/>
        <v/>
      </c>
      <c r="N170" s="227" t="str">
        <f t="shared" ca="1" si="74"/>
        <v/>
      </c>
      <c r="O170" s="227" t="str">
        <f t="shared" ca="1" si="75"/>
        <v/>
      </c>
      <c r="P170" s="227" t="str">
        <f t="shared" ca="1" si="91"/>
        <v/>
      </c>
      <c r="Q170" s="227" t="str">
        <f t="shared" ca="1" si="92"/>
        <v/>
      </c>
      <c r="R170" s="227" t="str">
        <f t="shared" ca="1" si="93"/>
        <v/>
      </c>
      <c r="T170" s="179" t="e">
        <f t="shared" ca="1" si="94"/>
        <v>#N/A</v>
      </c>
      <c r="U170" s="179" t="e">
        <f t="shared" ca="1" si="103"/>
        <v>#N/A</v>
      </c>
      <c r="V170" s="179" t="e">
        <f t="shared" ca="1" si="103"/>
        <v>#N/A</v>
      </c>
      <c r="W170" s="179">
        <f t="shared" ca="1" si="81"/>
        <v>451</v>
      </c>
      <c r="X170" s="179">
        <f t="shared" ca="1" si="104"/>
        <v>451</v>
      </c>
      <c r="Y170" s="179">
        <f t="shared" ca="1" si="104"/>
        <v>451</v>
      </c>
      <c r="Z170" s="179">
        <f t="shared" ca="1" si="82"/>
        <v>507</v>
      </c>
      <c r="AA170" s="179">
        <f t="shared" ca="1" si="105"/>
        <v>507</v>
      </c>
      <c r="AB170" s="179">
        <f t="shared" ca="1" si="105"/>
        <v>507</v>
      </c>
      <c r="AC170" s="179" t="e">
        <f t="shared" ca="1" si="83"/>
        <v>#N/A</v>
      </c>
      <c r="AD170" s="179" t="e">
        <f t="shared" ca="1" si="106"/>
        <v>#N/A</v>
      </c>
      <c r="AE170" s="179" t="e">
        <f t="shared" ca="1" si="106"/>
        <v>#N/A</v>
      </c>
      <c r="AF170" s="179" t="e">
        <f t="shared" ca="1" si="84"/>
        <v>#N/A</v>
      </c>
      <c r="AG170" s="179" t="e">
        <f t="shared" ca="1" si="107"/>
        <v>#N/A</v>
      </c>
      <c r="AH170" s="179" t="e">
        <f t="shared" ca="1" si="107"/>
        <v>#N/A</v>
      </c>
    </row>
    <row r="171" spans="1:34" ht="15.75" customHeight="1">
      <c r="A171" s="449" t="s">
        <v>35</v>
      </c>
      <c r="B171" s="449" t="s">
        <v>1867</v>
      </c>
      <c r="C171" s="449" t="s">
        <v>678</v>
      </c>
      <c r="D171" s="322" t="str">
        <f t="shared" ca="1" si="95"/>
        <v/>
      </c>
      <c r="E171" s="322" t="str">
        <f t="shared" ca="1" si="96"/>
        <v/>
      </c>
      <c r="F171" s="322" t="str">
        <f t="shared" ca="1" si="97"/>
        <v/>
      </c>
      <c r="G171" s="227" t="str">
        <f t="shared" ca="1" si="85"/>
        <v>D</v>
      </c>
      <c r="H171" s="227" t="str">
        <f t="shared" ca="1" si="86"/>
        <v>SAMPIRISI</v>
      </c>
      <c r="I171" s="227" t="str">
        <f t="shared" ca="1" si="87"/>
        <v>Crotone</v>
      </c>
      <c r="J171" s="227" t="str">
        <f t="shared" ca="1" si="88"/>
        <v>C</v>
      </c>
      <c r="K171" s="227" t="str">
        <f t="shared" ca="1" si="89"/>
        <v>VALOTI</v>
      </c>
      <c r="L171" s="227" t="str">
        <f t="shared" ca="1" si="90"/>
        <v>Verona</v>
      </c>
      <c r="M171" s="227" t="str">
        <f t="shared" ca="1" si="73"/>
        <v/>
      </c>
      <c r="N171" s="227" t="str">
        <f t="shared" ca="1" si="74"/>
        <v/>
      </c>
      <c r="O171" s="227" t="str">
        <f t="shared" ca="1" si="75"/>
        <v/>
      </c>
      <c r="P171" s="227" t="str">
        <f t="shared" ca="1" si="91"/>
        <v/>
      </c>
      <c r="Q171" s="227" t="str">
        <f t="shared" ca="1" si="92"/>
        <v/>
      </c>
      <c r="R171" s="227" t="str">
        <f t="shared" ca="1" si="93"/>
        <v/>
      </c>
      <c r="T171" s="179" t="e">
        <f t="shared" ca="1" si="94"/>
        <v>#N/A</v>
      </c>
      <c r="U171" s="179" t="e">
        <f t="shared" ca="1" si="103"/>
        <v>#N/A</v>
      </c>
      <c r="V171" s="179" t="e">
        <f t="shared" ca="1" si="103"/>
        <v>#N/A</v>
      </c>
      <c r="W171" s="179">
        <f t="shared" ca="1" si="81"/>
        <v>452</v>
      </c>
      <c r="X171" s="179">
        <f t="shared" ca="1" si="104"/>
        <v>452</v>
      </c>
      <c r="Y171" s="179">
        <f t="shared" ca="1" si="104"/>
        <v>452</v>
      </c>
      <c r="Z171" s="179">
        <f t="shared" ca="1" si="82"/>
        <v>508</v>
      </c>
      <c r="AA171" s="179">
        <f t="shared" ca="1" si="105"/>
        <v>508</v>
      </c>
      <c r="AB171" s="179">
        <f t="shared" ca="1" si="105"/>
        <v>508</v>
      </c>
      <c r="AC171" s="179" t="e">
        <f t="shared" ca="1" si="83"/>
        <v>#N/A</v>
      </c>
      <c r="AD171" s="179" t="e">
        <f t="shared" ca="1" si="106"/>
        <v>#N/A</v>
      </c>
      <c r="AE171" s="179" t="e">
        <f t="shared" ca="1" si="106"/>
        <v>#N/A</v>
      </c>
      <c r="AF171" s="179" t="e">
        <f t="shared" ca="1" si="84"/>
        <v>#N/A</v>
      </c>
      <c r="AG171" s="179" t="e">
        <f t="shared" ca="1" si="107"/>
        <v>#N/A</v>
      </c>
      <c r="AH171" s="179" t="e">
        <f t="shared" ca="1" si="107"/>
        <v>#N/A</v>
      </c>
    </row>
    <row r="172" spans="1:34" ht="15.75" customHeight="1">
      <c r="A172" s="449" t="s">
        <v>35</v>
      </c>
      <c r="B172" s="449" t="s">
        <v>1294</v>
      </c>
      <c r="C172" s="449" t="s">
        <v>678</v>
      </c>
      <c r="D172" s="322" t="str">
        <f t="shared" ca="1" si="95"/>
        <v/>
      </c>
      <c r="E172" s="322" t="str">
        <f t="shared" ca="1" si="96"/>
        <v/>
      </c>
      <c r="F172" s="322" t="str">
        <f t="shared" ca="1" si="97"/>
        <v/>
      </c>
      <c r="G172" s="227" t="str">
        <f t="shared" ca="1" si="85"/>
        <v>D</v>
      </c>
      <c r="H172" s="227" t="str">
        <f t="shared" ca="1" si="86"/>
        <v>SANTON</v>
      </c>
      <c r="I172" s="227" t="str">
        <f t="shared" ca="1" si="87"/>
        <v>Inter</v>
      </c>
      <c r="J172" s="227" t="str">
        <f t="shared" ca="1" si="88"/>
        <v>C</v>
      </c>
      <c r="K172" s="227" t="str">
        <f t="shared" ca="1" si="89"/>
        <v>VECINO</v>
      </c>
      <c r="L172" s="227" t="str">
        <f t="shared" ca="1" si="90"/>
        <v>Inter</v>
      </c>
      <c r="M172" s="227" t="str">
        <f t="shared" ca="1" si="73"/>
        <v/>
      </c>
      <c r="N172" s="227" t="str">
        <f t="shared" ca="1" si="74"/>
        <v/>
      </c>
      <c r="O172" s="227" t="str">
        <f t="shared" ca="1" si="75"/>
        <v/>
      </c>
      <c r="P172" s="227" t="str">
        <f t="shared" ca="1" si="91"/>
        <v/>
      </c>
      <c r="Q172" s="227" t="str">
        <f t="shared" ca="1" si="92"/>
        <v/>
      </c>
      <c r="R172" s="227" t="str">
        <f t="shared" ca="1" si="93"/>
        <v/>
      </c>
      <c r="T172" s="179" t="e">
        <f t="shared" ca="1" si="94"/>
        <v>#N/A</v>
      </c>
      <c r="U172" s="179" t="e">
        <f t="shared" ca="1" si="103"/>
        <v>#N/A</v>
      </c>
      <c r="V172" s="179" t="e">
        <f t="shared" ca="1" si="103"/>
        <v>#N/A</v>
      </c>
      <c r="W172" s="179">
        <f t="shared" ca="1" si="81"/>
        <v>454</v>
      </c>
      <c r="X172" s="179">
        <f t="shared" ca="1" si="104"/>
        <v>454</v>
      </c>
      <c r="Y172" s="179">
        <f t="shared" ca="1" si="104"/>
        <v>454</v>
      </c>
      <c r="Z172" s="179">
        <f t="shared" ca="1" si="82"/>
        <v>512</v>
      </c>
      <c r="AA172" s="179">
        <f t="shared" ca="1" si="105"/>
        <v>512</v>
      </c>
      <c r="AB172" s="179">
        <f t="shared" ca="1" si="105"/>
        <v>512</v>
      </c>
      <c r="AC172" s="179" t="e">
        <f t="shared" ca="1" si="83"/>
        <v>#N/A</v>
      </c>
      <c r="AD172" s="179" t="e">
        <f t="shared" ca="1" si="106"/>
        <v>#N/A</v>
      </c>
      <c r="AE172" s="179" t="e">
        <f t="shared" ca="1" si="106"/>
        <v>#N/A</v>
      </c>
      <c r="AF172" s="179" t="e">
        <f t="shared" ca="1" si="84"/>
        <v>#N/A</v>
      </c>
      <c r="AG172" s="179" t="e">
        <f t="shared" ca="1" si="107"/>
        <v>#N/A</v>
      </c>
      <c r="AH172" s="179" t="e">
        <f t="shared" ca="1" si="107"/>
        <v>#N/A</v>
      </c>
    </row>
    <row r="173" spans="1:34" ht="15.75" customHeight="1">
      <c r="A173" s="449" t="s">
        <v>39</v>
      </c>
      <c r="B173" s="449" t="s">
        <v>444</v>
      </c>
      <c r="C173" s="449" t="s">
        <v>691</v>
      </c>
      <c r="D173" s="322" t="str">
        <f t="shared" ca="1" si="95"/>
        <v/>
      </c>
      <c r="E173" s="322" t="str">
        <f t="shared" ca="1" si="96"/>
        <v/>
      </c>
      <c r="F173" s="322" t="str">
        <f t="shared" ca="1" si="97"/>
        <v/>
      </c>
      <c r="G173" s="227" t="str">
        <f t="shared" ca="1" si="85"/>
        <v>D</v>
      </c>
      <c r="H173" s="227" t="str">
        <f t="shared" ca="1" si="86"/>
        <v>SILVESTRE</v>
      </c>
      <c r="I173" s="227" t="str">
        <f t="shared" ca="1" si="87"/>
        <v>Sampdoria</v>
      </c>
      <c r="J173" s="227" t="str">
        <f t="shared" ca="1" si="88"/>
        <v>C</v>
      </c>
      <c r="K173" s="227" t="str">
        <f t="shared" ca="1" si="89"/>
        <v>VERETOUT</v>
      </c>
      <c r="L173" s="227" t="str">
        <f t="shared" ca="1" si="90"/>
        <v>Fiorentina</v>
      </c>
      <c r="M173" s="227" t="str">
        <f t="shared" ca="1" si="73"/>
        <v/>
      </c>
      <c r="N173" s="227" t="str">
        <f t="shared" ca="1" si="74"/>
        <v/>
      </c>
      <c r="O173" s="227" t="str">
        <f t="shared" ca="1" si="75"/>
        <v/>
      </c>
      <c r="P173" s="227" t="str">
        <f t="shared" ca="1" si="91"/>
        <v/>
      </c>
      <c r="Q173" s="227" t="str">
        <f t="shared" ca="1" si="92"/>
        <v/>
      </c>
      <c r="R173" s="227" t="str">
        <f t="shared" ca="1" si="93"/>
        <v/>
      </c>
      <c r="T173" s="179" t="e">
        <f t="shared" ca="1" si="94"/>
        <v>#N/A</v>
      </c>
      <c r="U173" s="179" t="e">
        <f t="shared" ca="1" si="103"/>
        <v>#N/A</v>
      </c>
      <c r="V173" s="179" t="e">
        <f t="shared" ca="1" si="103"/>
        <v>#N/A</v>
      </c>
      <c r="W173" s="179">
        <f t="shared" ca="1" si="81"/>
        <v>467</v>
      </c>
      <c r="X173" s="179">
        <f t="shared" ca="1" si="104"/>
        <v>467</v>
      </c>
      <c r="Y173" s="179">
        <f t="shared" ca="1" si="104"/>
        <v>467</v>
      </c>
      <c r="Z173" s="179">
        <f t="shared" ca="1" si="82"/>
        <v>516</v>
      </c>
      <c r="AA173" s="179">
        <f t="shared" ca="1" si="105"/>
        <v>516</v>
      </c>
      <c r="AB173" s="179">
        <f t="shared" ca="1" si="105"/>
        <v>516</v>
      </c>
      <c r="AC173" s="179" t="e">
        <f t="shared" ca="1" si="83"/>
        <v>#N/A</v>
      </c>
      <c r="AD173" s="179" t="e">
        <f t="shared" ca="1" si="106"/>
        <v>#N/A</v>
      </c>
      <c r="AE173" s="179" t="e">
        <f t="shared" ca="1" si="106"/>
        <v>#N/A</v>
      </c>
      <c r="AF173" s="179" t="e">
        <f t="shared" ca="1" si="84"/>
        <v>#N/A</v>
      </c>
      <c r="AG173" s="179" t="e">
        <f t="shared" ca="1" si="107"/>
        <v>#N/A</v>
      </c>
      <c r="AH173" s="179" t="e">
        <f t="shared" ca="1" si="107"/>
        <v>#N/A</v>
      </c>
    </row>
    <row r="174" spans="1:34" ht="15.75" customHeight="1">
      <c r="A174" s="449" t="s">
        <v>39</v>
      </c>
      <c r="B174" s="449" t="s">
        <v>1734</v>
      </c>
      <c r="C174" s="449" t="s">
        <v>676</v>
      </c>
      <c r="D174" s="322" t="str">
        <f t="shared" ca="1" si="95"/>
        <v/>
      </c>
      <c r="E174" s="322" t="str">
        <f t="shared" ca="1" si="96"/>
        <v/>
      </c>
      <c r="F174" s="322" t="str">
        <f t="shared" ca="1" si="97"/>
        <v/>
      </c>
      <c r="G174" s="227" t="str">
        <f t="shared" ca="1" si="85"/>
        <v>D</v>
      </c>
      <c r="H174" s="227" t="str">
        <f t="shared" ca="1" si="86"/>
        <v>SIMIC S</v>
      </c>
      <c r="I174" s="227" t="str">
        <f t="shared" ca="1" si="87"/>
        <v>Crotone</v>
      </c>
      <c r="J174" s="227" t="str">
        <f t="shared" ca="1" si="88"/>
        <v>C</v>
      </c>
      <c r="K174" s="227" t="str">
        <f t="shared" ca="1" si="89"/>
        <v>VERRE</v>
      </c>
      <c r="L174" s="227" t="str">
        <f t="shared" ca="1" si="90"/>
        <v>Sampdoria</v>
      </c>
      <c r="M174" s="227" t="str">
        <f t="shared" ca="1" si="73"/>
        <v/>
      </c>
      <c r="N174" s="227" t="str">
        <f t="shared" ca="1" si="74"/>
        <v/>
      </c>
      <c r="O174" s="227" t="str">
        <f t="shared" ca="1" si="75"/>
        <v/>
      </c>
      <c r="P174" s="227" t="str">
        <f t="shared" ca="1" si="91"/>
        <v/>
      </c>
      <c r="Q174" s="227" t="str">
        <f t="shared" ca="1" si="92"/>
        <v/>
      </c>
      <c r="R174" s="227" t="str">
        <f t="shared" ca="1" si="93"/>
        <v/>
      </c>
      <c r="T174" s="179" t="e">
        <f t="shared" ca="1" si="94"/>
        <v>#N/A</v>
      </c>
      <c r="U174" s="179" t="e">
        <f t="shared" ca="1" si="103"/>
        <v>#N/A</v>
      </c>
      <c r="V174" s="179" t="e">
        <f t="shared" ca="1" si="103"/>
        <v>#N/A</v>
      </c>
      <c r="W174" s="179">
        <f t="shared" ca="1" si="81"/>
        <v>470</v>
      </c>
      <c r="X174" s="179">
        <f t="shared" ca="1" si="104"/>
        <v>470</v>
      </c>
      <c r="Y174" s="179">
        <f t="shared" ca="1" si="104"/>
        <v>470</v>
      </c>
      <c r="Z174" s="179">
        <f t="shared" ca="1" si="82"/>
        <v>517</v>
      </c>
      <c r="AA174" s="179">
        <f t="shared" ca="1" si="105"/>
        <v>517</v>
      </c>
      <c r="AB174" s="179">
        <f t="shared" ca="1" si="105"/>
        <v>517</v>
      </c>
      <c r="AC174" s="179" t="e">
        <f t="shared" ca="1" si="83"/>
        <v>#N/A</v>
      </c>
      <c r="AD174" s="179" t="e">
        <f t="shared" ca="1" si="106"/>
        <v>#N/A</v>
      </c>
      <c r="AE174" s="179" t="e">
        <f t="shared" ca="1" si="106"/>
        <v>#N/A</v>
      </c>
      <c r="AF174" s="179" t="e">
        <f t="shared" ca="1" si="84"/>
        <v>#N/A</v>
      </c>
      <c r="AG174" s="179" t="e">
        <f t="shared" ca="1" si="107"/>
        <v>#N/A</v>
      </c>
      <c r="AH174" s="179" t="e">
        <f t="shared" ca="1" si="107"/>
        <v>#N/A</v>
      </c>
    </row>
    <row r="175" spans="1:34" ht="15.75" customHeight="1">
      <c r="A175" s="449" t="s">
        <v>35</v>
      </c>
      <c r="B175" s="449" t="s">
        <v>338</v>
      </c>
      <c r="C175" s="449" t="s">
        <v>692</v>
      </c>
      <c r="D175" s="322" t="str">
        <f t="shared" ca="1" si="95"/>
        <v/>
      </c>
      <c r="E175" s="322" t="str">
        <f t="shared" ca="1" si="96"/>
        <v/>
      </c>
      <c r="F175" s="322" t="str">
        <f t="shared" ca="1" si="97"/>
        <v/>
      </c>
      <c r="G175" s="227" t="str">
        <f t="shared" ca="1" si="85"/>
        <v>D</v>
      </c>
      <c r="H175" s="227" t="str">
        <f t="shared" ca="1" si="86"/>
        <v>SKRINIAR</v>
      </c>
      <c r="I175" s="227" t="str">
        <f t="shared" ca="1" si="87"/>
        <v>Inter</v>
      </c>
      <c r="J175" s="227" t="str">
        <f t="shared" ref="J175:J199" ca="1" si="108">IF(ISNA(Z175),"",INDIRECT("A" &amp; Z175))</f>
        <v>C</v>
      </c>
      <c r="K175" s="227" t="str">
        <f t="shared" ref="K175:K199" ca="1" si="109">IF(ISNA(AA175),"",INDIRECT("B" &amp; AA175))</f>
        <v>VIOLA</v>
      </c>
      <c r="L175" s="227" t="str">
        <f t="shared" ref="L175:L199" ca="1" si="110">IF(ISNA(AB175),"",INDIRECT("C" &amp; AB175))</f>
        <v>Benevento</v>
      </c>
      <c r="M175" s="227" t="str">
        <f t="shared" ca="1" si="73"/>
        <v/>
      </c>
      <c r="N175" s="227" t="str">
        <f t="shared" ca="1" si="74"/>
        <v/>
      </c>
      <c r="O175" s="227" t="str">
        <f t="shared" ca="1" si="75"/>
        <v/>
      </c>
      <c r="P175" s="227" t="str">
        <f t="shared" ca="1" si="91"/>
        <v/>
      </c>
      <c r="Q175" s="227" t="str">
        <f t="shared" ca="1" si="92"/>
        <v/>
      </c>
      <c r="R175" s="227" t="str">
        <f t="shared" ca="1" si="93"/>
        <v/>
      </c>
      <c r="T175" s="179" t="e">
        <f t="shared" ca="1" si="94"/>
        <v>#N/A</v>
      </c>
      <c r="U175" s="179" t="e">
        <f t="shared" ca="1" si="103"/>
        <v>#N/A</v>
      </c>
      <c r="V175" s="179" t="e">
        <f t="shared" ca="1" si="103"/>
        <v>#N/A</v>
      </c>
      <c r="W175" s="179">
        <f t="shared" ca="1" si="81"/>
        <v>474</v>
      </c>
      <c r="X175" s="179">
        <f t="shared" ca="1" si="104"/>
        <v>474</v>
      </c>
      <c r="Y175" s="179">
        <f t="shared" ca="1" si="104"/>
        <v>474</v>
      </c>
      <c r="Z175" s="179">
        <f t="shared" ca="1" si="82"/>
        <v>520</v>
      </c>
      <c r="AA175" s="179">
        <f t="shared" ca="1" si="105"/>
        <v>520</v>
      </c>
      <c r="AB175" s="179">
        <f t="shared" ca="1" si="105"/>
        <v>520</v>
      </c>
      <c r="AC175" s="179" t="e">
        <f t="shared" ca="1" si="83"/>
        <v>#N/A</v>
      </c>
      <c r="AD175" s="179" t="e">
        <f t="shared" ca="1" si="106"/>
        <v>#N/A</v>
      </c>
      <c r="AE175" s="179" t="e">
        <f t="shared" ca="1" si="106"/>
        <v>#N/A</v>
      </c>
      <c r="AF175" s="179" t="e">
        <f t="shared" ca="1" si="84"/>
        <v>#N/A</v>
      </c>
      <c r="AG175" s="179" t="e">
        <f t="shared" ca="1" si="107"/>
        <v>#N/A</v>
      </c>
      <c r="AH175" s="179" t="e">
        <f t="shared" ca="1" si="107"/>
        <v>#N/A</v>
      </c>
    </row>
    <row r="176" spans="1:34" ht="15.75" customHeight="1">
      <c r="A176" s="449" t="s">
        <v>37</v>
      </c>
      <c r="B176" s="449" t="s">
        <v>464</v>
      </c>
      <c r="C176" s="449" t="s">
        <v>686</v>
      </c>
      <c r="D176" s="322" t="str">
        <f t="shared" ca="1" si="95"/>
        <v/>
      </c>
      <c r="E176" s="322" t="str">
        <f t="shared" ca="1" si="96"/>
        <v/>
      </c>
      <c r="F176" s="322" t="str">
        <f t="shared" ca="1" si="97"/>
        <v/>
      </c>
      <c r="G176" s="227" t="str">
        <f t="shared" ca="1" si="85"/>
        <v>D</v>
      </c>
      <c r="H176" s="227" t="str">
        <f t="shared" ca="1" si="86"/>
        <v>SOUPRAYEN</v>
      </c>
      <c r="I176" s="227" t="str">
        <f t="shared" ca="1" si="87"/>
        <v>Verona</v>
      </c>
      <c r="J176" s="227" t="str">
        <f t="shared" ca="1" si="108"/>
        <v>C</v>
      </c>
      <c r="K176" s="227" t="str">
        <f t="shared" ca="1" si="109"/>
        <v>VITALE</v>
      </c>
      <c r="L176" s="227" t="str">
        <f t="shared" ca="1" si="110"/>
        <v>SPAL</v>
      </c>
      <c r="M176" s="227" t="str">
        <f t="shared" ca="1" si="73"/>
        <v/>
      </c>
      <c r="N176" s="227" t="str">
        <f t="shared" ca="1" si="74"/>
        <v/>
      </c>
      <c r="O176" s="227" t="str">
        <f t="shared" ca="1" si="75"/>
        <v/>
      </c>
      <c r="P176" s="227" t="str">
        <f t="shared" ca="1" si="91"/>
        <v/>
      </c>
      <c r="Q176" s="227" t="str">
        <f t="shared" ca="1" si="92"/>
        <v/>
      </c>
      <c r="R176" s="227" t="str">
        <f t="shared" ca="1" si="93"/>
        <v/>
      </c>
      <c r="T176" s="179" t="e">
        <f t="shared" ca="1" si="94"/>
        <v>#N/A</v>
      </c>
      <c r="U176" s="179" t="e">
        <f t="shared" ca="1" si="103"/>
        <v>#N/A</v>
      </c>
      <c r="V176" s="179" t="e">
        <f t="shared" ca="1" si="103"/>
        <v>#N/A</v>
      </c>
      <c r="W176" s="179">
        <f t="shared" ca="1" si="81"/>
        <v>476</v>
      </c>
      <c r="X176" s="179">
        <f t="shared" ca="1" si="104"/>
        <v>476</v>
      </c>
      <c r="Y176" s="179">
        <f t="shared" ca="1" si="104"/>
        <v>476</v>
      </c>
      <c r="Z176" s="179">
        <f t="shared" ca="1" si="82"/>
        <v>522</v>
      </c>
      <c r="AA176" s="179">
        <f t="shared" ca="1" si="105"/>
        <v>522</v>
      </c>
      <c r="AB176" s="179">
        <f t="shared" ca="1" si="105"/>
        <v>522</v>
      </c>
      <c r="AC176" s="179" t="e">
        <f t="shared" ca="1" si="83"/>
        <v>#N/A</v>
      </c>
      <c r="AD176" s="179" t="e">
        <f t="shared" ca="1" si="106"/>
        <v>#N/A</v>
      </c>
      <c r="AE176" s="179" t="e">
        <f t="shared" ca="1" si="106"/>
        <v>#N/A</v>
      </c>
      <c r="AF176" s="179" t="e">
        <f t="shared" ca="1" si="84"/>
        <v>#N/A</v>
      </c>
      <c r="AG176" s="179" t="e">
        <f t="shared" ca="1" si="107"/>
        <v>#N/A</v>
      </c>
      <c r="AH176" s="179" t="e">
        <f t="shared" ca="1" si="107"/>
        <v>#N/A</v>
      </c>
    </row>
    <row r="177" spans="1:34" ht="15.75" customHeight="1">
      <c r="A177" s="449" t="s">
        <v>39</v>
      </c>
      <c r="B177" s="449" t="s">
        <v>447</v>
      </c>
      <c r="C177" s="449" t="s">
        <v>685</v>
      </c>
      <c r="D177" s="322" t="str">
        <f t="shared" ca="1" si="95"/>
        <v/>
      </c>
      <c r="E177" s="322" t="str">
        <f t="shared" ca="1" si="96"/>
        <v/>
      </c>
      <c r="F177" s="322" t="str">
        <f t="shared" ca="1" si="97"/>
        <v/>
      </c>
      <c r="G177" s="227" t="str">
        <f t="shared" ca="1" si="85"/>
        <v>D</v>
      </c>
      <c r="H177" s="227" t="str">
        <f t="shared" ca="1" si="86"/>
        <v>SPOLLI</v>
      </c>
      <c r="I177" s="227" t="str">
        <f t="shared" ca="1" si="87"/>
        <v>Genoa</v>
      </c>
      <c r="J177" s="227" t="str">
        <f t="shared" ca="1" si="108"/>
        <v>C</v>
      </c>
      <c r="K177" s="227" t="str">
        <f t="shared" ca="1" si="109"/>
        <v>VIVIANI</v>
      </c>
      <c r="L177" s="227" t="str">
        <f t="shared" ca="1" si="110"/>
        <v>SPAL</v>
      </c>
      <c r="M177" s="227" t="str">
        <f t="shared" ca="1" si="73"/>
        <v/>
      </c>
      <c r="N177" s="227" t="str">
        <f t="shared" ca="1" si="74"/>
        <v/>
      </c>
      <c r="O177" s="227" t="str">
        <f t="shared" ca="1" si="75"/>
        <v/>
      </c>
      <c r="P177" s="227" t="str">
        <f t="shared" ca="1" si="91"/>
        <v/>
      </c>
      <c r="Q177" s="227" t="str">
        <f t="shared" ca="1" si="92"/>
        <v/>
      </c>
      <c r="R177" s="227" t="str">
        <f t="shared" ca="1" si="93"/>
        <v/>
      </c>
      <c r="T177" s="179" t="e">
        <f t="shared" ca="1" si="94"/>
        <v>#N/A</v>
      </c>
      <c r="U177" s="179" t="e">
        <f t="shared" ca="1" si="103"/>
        <v>#N/A</v>
      </c>
      <c r="V177" s="179" t="e">
        <f t="shared" ca="1" si="103"/>
        <v>#N/A</v>
      </c>
      <c r="W177" s="179">
        <f t="shared" ca="1" si="81"/>
        <v>478</v>
      </c>
      <c r="X177" s="179">
        <f t="shared" ca="1" si="104"/>
        <v>478</v>
      </c>
      <c r="Y177" s="179">
        <f t="shared" ca="1" si="104"/>
        <v>478</v>
      </c>
      <c r="Z177" s="179">
        <f t="shared" ca="1" si="82"/>
        <v>524</v>
      </c>
      <c r="AA177" s="179">
        <f t="shared" ca="1" si="105"/>
        <v>524</v>
      </c>
      <c r="AB177" s="179">
        <f t="shared" ca="1" si="105"/>
        <v>524</v>
      </c>
      <c r="AC177" s="179" t="e">
        <f t="shared" ca="1" si="83"/>
        <v>#N/A</v>
      </c>
      <c r="AD177" s="179" t="e">
        <f t="shared" ca="1" si="106"/>
        <v>#N/A</v>
      </c>
      <c r="AE177" s="179" t="e">
        <f t="shared" ca="1" si="106"/>
        <v>#N/A</v>
      </c>
      <c r="AF177" s="179" t="e">
        <f t="shared" ca="1" si="84"/>
        <v>#N/A</v>
      </c>
      <c r="AG177" s="179" t="e">
        <f t="shared" ca="1" si="107"/>
        <v>#N/A</v>
      </c>
      <c r="AH177" s="179" t="e">
        <f t="shared" ca="1" si="107"/>
        <v>#N/A</v>
      </c>
    </row>
    <row r="178" spans="1:34" ht="15.75" customHeight="1">
      <c r="A178" s="449" t="s">
        <v>43</v>
      </c>
      <c r="B178" s="449" t="s">
        <v>355</v>
      </c>
      <c r="C178" s="449" t="s">
        <v>676</v>
      </c>
      <c r="D178" s="322" t="str">
        <f t="shared" ca="1" si="95"/>
        <v/>
      </c>
      <c r="E178" s="322" t="str">
        <f t="shared" ca="1" si="96"/>
        <v/>
      </c>
      <c r="F178" s="322" t="str">
        <f t="shared" ca="1" si="97"/>
        <v/>
      </c>
      <c r="G178" s="227" t="str">
        <f t="shared" ca="1" si="85"/>
        <v>D</v>
      </c>
      <c r="H178" s="227" t="str">
        <f t="shared" ca="1" si="86"/>
        <v>STRINIC</v>
      </c>
      <c r="I178" s="227" t="str">
        <f t="shared" ca="1" si="87"/>
        <v>Sampdoria</v>
      </c>
      <c r="J178" s="227" t="str">
        <f t="shared" ca="1" si="108"/>
        <v>C</v>
      </c>
      <c r="K178" s="227" t="str">
        <f t="shared" ca="1" si="109"/>
        <v>ZACCAGNI</v>
      </c>
      <c r="L178" s="227" t="str">
        <f t="shared" ca="1" si="110"/>
        <v>Verona</v>
      </c>
      <c r="M178" s="227" t="str">
        <f t="shared" ca="1" si="73"/>
        <v/>
      </c>
      <c r="N178" s="227" t="str">
        <f t="shared" ca="1" si="74"/>
        <v/>
      </c>
      <c r="O178" s="227" t="str">
        <f t="shared" ca="1" si="75"/>
        <v/>
      </c>
      <c r="P178" s="227" t="str">
        <f t="shared" ca="1" si="91"/>
        <v/>
      </c>
      <c r="Q178" s="227" t="str">
        <f t="shared" ca="1" si="92"/>
        <v/>
      </c>
      <c r="R178" s="227" t="str">
        <f t="shared" ca="1" si="93"/>
        <v/>
      </c>
      <c r="T178" s="179" t="e">
        <f t="shared" ca="1" si="94"/>
        <v>#N/A</v>
      </c>
      <c r="U178" s="179" t="e">
        <f t="shared" ca="1" si="103"/>
        <v>#N/A</v>
      </c>
      <c r="V178" s="179" t="e">
        <f t="shared" ca="1" si="103"/>
        <v>#N/A</v>
      </c>
      <c r="W178" s="179">
        <f t="shared" ca="1" si="81"/>
        <v>484</v>
      </c>
      <c r="X178" s="179">
        <f t="shared" ca="1" si="104"/>
        <v>484</v>
      </c>
      <c r="Y178" s="179">
        <f t="shared" ca="1" si="104"/>
        <v>484</v>
      </c>
      <c r="Z178" s="179">
        <f t="shared" ca="1" si="82"/>
        <v>528</v>
      </c>
      <c r="AA178" s="179">
        <f t="shared" ca="1" si="105"/>
        <v>528</v>
      </c>
      <c r="AB178" s="179">
        <f t="shared" ca="1" si="105"/>
        <v>528</v>
      </c>
      <c r="AC178" s="179" t="e">
        <f t="shared" ca="1" si="83"/>
        <v>#N/A</v>
      </c>
      <c r="AD178" s="179" t="e">
        <f t="shared" ca="1" si="106"/>
        <v>#N/A</v>
      </c>
      <c r="AE178" s="179" t="e">
        <f t="shared" ca="1" si="106"/>
        <v>#N/A</v>
      </c>
      <c r="AF178" s="179" t="e">
        <f t="shared" ca="1" si="84"/>
        <v>#N/A</v>
      </c>
      <c r="AG178" s="179" t="e">
        <f t="shared" ca="1" si="107"/>
        <v>#N/A</v>
      </c>
      <c r="AH178" s="179" t="e">
        <f t="shared" ca="1" si="107"/>
        <v>#N/A</v>
      </c>
    </row>
    <row r="179" spans="1:34" ht="15.75" customHeight="1">
      <c r="A179" s="449" t="s">
        <v>43</v>
      </c>
      <c r="B179" s="449" t="s">
        <v>358</v>
      </c>
      <c r="C179" s="449" t="s">
        <v>695</v>
      </c>
      <c r="D179" s="322" t="str">
        <f t="shared" ca="1" si="95"/>
        <v/>
      </c>
      <c r="E179" s="322" t="str">
        <f t="shared" ca="1" si="96"/>
        <v/>
      </c>
      <c r="F179" s="322" t="str">
        <f t="shared" ca="1" si="97"/>
        <v/>
      </c>
      <c r="G179" s="227" t="str">
        <f t="shared" ca="1" si="85"/>
        <v>D</v>
      </c>
      <c r="H179" s="227" t="str">
        <f t="shared" ca="1" si="86"/>
        <v>STRYGER LARSEN</v>
      </c>
      <c r="I179" s="227" t="str">
        <f t="shared" ca="1" si="87"/>
        <v>Udinese</v>
      </c>
      <c r="J179" s="227" t="str">
        <f t="shared" ca="1" si="108"/>
        <v>C</v>
      </c>
      <c r="K179" s="227" t="str">
        <f t="shared" ca="1" si="109"/>
        <v>ZANELLATO</v>
      </c>
      <c r="L179" s="227" t="str">
        <f t="shared" ca="1" si="110"/>
        <v>Milan</v>
      </c>
      <c r="M179" s="227" t="str">
        <f t="shared" ca="1" si="73"/>
        <v/>
      </c>
      <c r="N179" s="227" t="str">
        <f t="shared" ca="1" si="74"/>
        <v/>
      </c>
      <c r="O179" s="227" t="str">
        <f t="shared" ca="1" si="75"/>
        <v/>
      </c>
      <c r="P179" s="227" t="str">
        <f t="shared" ca="1" si="91"/>
        <v/>
      </c>
      <c r="Q179" s="227" t="str">
        <f t="shared" ca="1" si="92"/>
        <v/>
      </c>
      <c r="R179" s="227" t="str">
        <f t="shared" ca="1" si="93"/>
        <v/>
      </c>
      <c r="T179" s="179" t="e">
        <f t="shared" ca="1" si="94"/>
        <v>#N/A</v>
      </c>
      <c r="U179" s="179" t="e">
        <f t="shared" ca="1" si="103"/>
        <v>#N/A</v>
      </c>
      <c r="V179" s="179" t="e">
        <f t="shared" ca="1" si="103"/>
        <v>#N/A</v>
      </c>
      <c r="W179" s="179">
        <f t="shared" ca="1" si="81"/>
        <v>486</v>
      </c>
      <c r="X179" s="179">
        <f t="shared" ca="1" si="104"/>
        <v>486</v>
      </c>
      <c r="Y179" s="179">
        <f t="shared" ca="1" si="104"/>
        <v>486</v>
      </c>
      <c r="Z179" s="179">
        <f t="shared" ca="1" si="82"/>
        <v>529</v>
      </c>
      <c r="AA179" s="179">
        <f t="shared" ca="1" si="105"/>
        <v>529</v>
      </c>
      <c r="AB179" s="179">
        <f t="shared" ca="1" si="105"/>
        <v>529</v>
      </c>
      <c r="AC179" s="179" t="e">
        <f t="shared" ca="1" si="83"/>
        <v>#N/A</v>
      </c>
      <c r="AD179" s="179" t="e">
        <f t="shared" ca="1" si="106"/>
        <v>#N/A</v>
      </c>
      <c r="AE179" s="179" t="e">
        <f t="shared" ca="1" si="106"/>
        <v>#N/A</v>
      </c>
      <c r="AF179" s="179" t="e">
        <f t="shared" ca="1" si="84"/>
        <v>#N/A</v>
      </c>
      <c r="AG179" s="179" t="e">
        <f t="shared" ca="1" si="107"/>
        <v>#N/A</v>
      </c>
      <c r="AH179" s="179" t="e">
        <f t="shared" ca="1" si="107"/>
        <v>#N/A</v>
      </c>
    </row>
    <row r="180" spans="1:34" ht="15.75" customHeight="1">
      <c r="A180" s="449" t="s">
        <v>43</v>
      </c>
      <c r="B180" s="449" t="s">
        <v>362</v>
      </c>
      <c r="C180" s="449" t="s">
        <v>677</v>
      </c>
      <c r="D180" s="322" t="str">
        <f t="shared" ca="1" si="95"/>
        <v/>
      </c>
      <c r="E180" s="322" t="str">
        <f t="shared" ca="1" si="96"/>
        <v/>
      </c>
      <c r="F180" s="322" t="str">
        <f t="shared" ca="1" si="97"/>
        <v/>
      </c>
      <c r="G180" s="227" t="str">
        <f t="shared" ca="1" si="85"/>
        <v>D</v>
      </c>
      <c r="H180" s="227" t="str">
        <f t="shared" ca="1" si="86"/>
        <v>TOLOI</v>
      </c>
      <c r="I180" s="227" t="str">
        <f t="shared" ca="1" si="87"/>
        <v>Atalanta</v>
      </c>
      <c r="J180" s="227" t="str">
        <f t="shared" ca="1" si="108"/>
        <v>C</v>
      </c>
      <c r="K180" s="227" t="str">
        <f t="shared" ca="1" si="109"/>
        <v>ZEKHNINI</v>
      </c>
      <c r="L180" s="227" t="str">
        <f t="shared" ca="1" si="110"/>
        <v>Fiorentina</v>
      </c>
      <c r="M180" s="227" t="str">
        <f t="shared" ca="1" si="73"/>
        <v/>
      </c>
      <c r="N180" s="227" t="str">
        <f t="shared" ca="1" si="74"/>
        <v/>
      </c>
      <c r="O180" s="227" t="str">
        <f t="shared" ca="1" si="75"/>
        <v/>
      </c>
      <c r="P180" s="227" t="str">
        <f t="shared" ca="1" si="91"/>
        <v/>
      </c>
      <c r="Q180" s="227" t="str">
        <f t="shared" ca="1" si="92"/>
        <v/>
      </c>
      <c r="R180" s="227" t="str">
        <f t="shared" ca="1" si="93"/>
        <v/>
      </c>
      <c r="T180" s="179" t="e">
        <f t="shared" ca="1" si="94"/>
        <v>#N/A</v>
      </c>
      <c r="U180" s="179" t="e">
        <f t="shared" ca="1" si="103"/>
        <v>#N/A</v>
      </c>
      <c r="V180" s="179" t="e">
        <f t="shared" ca="1" si="103"/>
        <v>#N/A</v>
      </c>
      <c r="W180" s="179">
        <f t="shared" ca="1" si="81"/>
        <v>494</v>
      </c>
      <c r="X180" s="179">
        <f t="shared" ca="1" si="104"/>
        <v>494</v>
      </c>
      <c r="Y180" s="179">
        <f t="shared" ca="1" si="104"/>
        <v>494</v>
      </c>
      <c r="Z180" s="179">
        <f t="shared" ca="1" si="82"/>
        <v>532</v>
      </c>
      <c r="AA180" s="179">
        <f t="shared" ca="1" si="105"/>
        <v>532</v>
      </c>
      <c r="AB180" s="179">
        <f t="shared" ca="1" si="105"/>
        <v>532</v>
      </c>
      <c r="AC180" s="179" t="e">
        <f t="shared" ca="1" si="83"/>
        <v>#N/A</v>
      </c>
      <c r="AD180" s="179" t="e">
        <f t="shared" ca="1" si="106"/>
        <v>#N/A</v>
      </c>
      <c r="AE180" s="179" t="e">
        <f t="shared" ca="1" si="106"/>
        <v>#N/A</v>
      </c>
      <c r="AF180" s="179" t="e">
        <f t="shared" ca="1" si="84"/>
        <v>#N/A</v>
      </c>
      <c r="AG180" s="179" t="e">
        <f t="shared" ca="1" si="107"/>
        <v>#N/A</v>
      </c>
      <c r="AH180" s="179" t="e">
        <f t="shared" ca="1" si="107"/>
        <v>#N/A</v>
      </c>
    </row>
    <row r="181" spans="1:34" ht="15.75" customHeight="1">
      <c r="A181" s="449" t="s">
        <v>43</v>
      </c>
      <c r="B181" s="449" t="s">
        <v>1929</v>
      </c>
      <c r="C181" s="449" t="s">
        <v>687</v>
      </c>
      <c r="D181" s="322" t="str">
        <f t="shared" ca="1" si="95"/>
        <v/>
      </c>
      <c r="E181" s="322" t="str">
        <f t="shared" ca="1" si="96"/>
        <v/>
      </c>
      <c r="F181" s="322" t="str">
        <f t="shared" ca="1" si="97"/>
        <v/>
      </c>
      <c r="G181" s="227" t="str">
        <f t="shared" ca="1" si="85"/>
        <v>D</v>
      </c>
      <c r="H181" s="227" t="str">
        <f t="shared" ca="1" si="86"/>
        <v>TOMIC</v>
      </c>
      <c r="I181" s="227" t="str">
        <f t="shared" ca="1" si="87"/>
        <v>Sampdoria</v>
      </c>
      <c r="J181" s="227" t="str">
        <f t="shared" ca="1" si="108"/>
        <v>C</v>
      </c>
      <c r="K181" s="227" t="str">
        <f t="shared" ca="1" si="109"/>
        <v>ZIELINSKI</v>
      </c>
      <c r="L181" s="227" t="str">
        <f t="shared" ca="1" si="110"/>
        <v>Napoli</v>
      </c>
      <c r="M181" s="227" t="str">
        <f t="shared" ref="M181:M228" ca="1" si="111">IF(ISNA(AC181),"",INDIRECT("A" &amp; AC181))</f>
        <v/>
      </c>
      <c r="N181" s="227" t="str">
        <f t="shared" ref="N181:N228" ca="1" si="112">IF(ISNA(AD181),"",INDIRECT("B" &amp; AD181))</f>
        <v/>
      </c>
      <c r="O181" s="227" t="str">
        <f t="shared" ref="O181:O228" ca="1" si="113">IF(ISNA(AE181),"",INDIRECT("C" &amp; AE181))</f>
        <v/>
      </c>
      <c r="P181" s="227" t="str">
        <f t="shared" ca="1" si="91"/>
        <v/>
      </c>
      <c r="Q181" s="227" t="str">
        <f t="shared" ca="1" si="92"/>
        <v/>
      </c>
      <c r="R181" s="227" t="str">
        <f t="shared" ca="1" si="93"/>
        <v/>
      </c>
      <c r="T181" s="179" t="e">
        <f t="shared" ca="1" si="94"/>
        <v>#N/A</v>
      </c>
      <c r="U181" s="179" t="e">
        <f t="shared" ca="1" si="103"/>
        <v>#N/A</v>
      </c>
      <c r="V181" s="179" t="e">
        <f t="shared" ca="1" si="103"/>
        <v>#N/A</v>
      </c>
      <c r="W181" s="179">
        <f t="shared" ca="1" si="81"/>
        <v>495</v>
      </c>
      <c r="X181" s="179">
        <f t="shared" ca="1" si="104"/>
        <v>495</v>
      </c>
      <c r="Y181" s="179">
        <f t="shared" ca="1" si="104"/>
        <v>495</v>
      </c>
      <c r="Z181" s="179">
        <f t="shared" ca="1" si="82"/>
        <v>533</v>
      </c>
      <c r="AA181" s="179">
        <f t="shared" ca="1" si="105"/>
        <v>533</v>
      </c>
      <c r="AB181" s="179">
        <f t="shared" ca="1" si="105"/>
        <v>533</v>
      </c>
      <c r="AC181" s="179" t="e">
        <f t="shared" ca="1" si="83"/>
        <v>#N/A</v>
      </c>
      <c r="AD181" s="179" t="e">
        <f t="shared" ca="1" si="106"/>
        <v>#N/A</v>
      </c>
      <c r="AE181" s="179" t="e">
        <f t="shared" ca="1" si="106"/>
        <v>#N/A</v>
      </c>
      <c r="AF181" s="179" t="e">
        <f t="shared" ca="1" si="84"/>
        <v>#N/A</v>
      </c>
      <c r="AG181" s="179" t="e">
        <f t="shared" ca="1" si="107"/>
        <v>#N/A</v>
      </c>
      <c r="AH181" s="179" t="e">
        <f t="shared" ca="1" si="107"/>
        <v>#N/A</v>
      </c>
    </row>
    <row r="182" spans="1:34" ht="15.75" customHeight="1">
      <c r="A182" s="449" t="s">
        <v>43</v>
      </c>
      <c r="B182" s="449" t="s">
        <v>365</v>
      </c>
      <c r="C182" s="449" t="s">
        <v>695</v>
      </c>
      <c r="D182" s="322" t="str">
        <f t="shared" ca="1" si="95"/>
        <v/>
      </c>
      <c r="E182" s="322" t="str">
        <f t="shared" ca="1" si="96"/>
        <v/>
      </c>
      <c r="F182" s="322" t="str">
        <f t="shared" ca="1" si="97"/>
        <v/>
      </c>
      <c r="G182" s="227" t="str">
        <f t="shared" ca="1" si="85"/>
        <v>D</v>
      </c>
      <c r="H182" s="227" t="str">
        <f t="shared" ca="1" si="86"/>
        <v>TOMOVIC</v>
      </c>
      <c r="I182" s="227" t="str">
        <f t="shared" ca="1" si="87"/>
        <v>Chievo</v>
      </c>
      <c r="J182" s="227" t="str">
        <f t="shared" ca="1" si="108"/>
        <v>C</v>
      </c>
      <c r="K182" s="227" t="str">
        <f t="shared" ca="1" si="109"/>
        <v>ZUCULINI B</v>
      </c>
      <c r="L182" s="227" t="str">
        <f t="shared" ca="1" si="110"/>
        <v>Verona</v>
      </c>
      <c r="M182" s="227" t="str">
        <f t="shared" ca="1" si="111"/>
        <v/>
      </c>
      <c r="N182" s="227" t="str">
        <f t="shared" ca="1" si="112"/>
        <v/>
      </c>
      <c r="O182" s="227" t="str">
        <f t="shared" ca="1" si="113"/>
        <v/>
      </c>
      <c r="P182" s="227" t="str">
        <f t="shared" ca="1" si="91"/>
        <v/>
      </c>
      <c r="Q182" s="227" t="str">
        <f t="shared" ca="1" si="92"/>
        <v/>
      </c>
      <c r="R182" s="227" t="str">
        <f t="shared" ca="1" si="93"/>
        <v/>
      </c>
      <c r="T182" s="179" t="e">
        <f t="shared" ca="1" si="94"/>
        <v>#N/A</v>
      </c>
      <c r="U182" s="179" t="e">
        <f t="shared" ca="1" si="103"/>
        <v>#N/A</v>
      </c>
      <c r="V182" s="179" t="e">
        <f t="shared" ca="1" si="103"/>
        <v>#N/A</v>
      </c>
      <c r="W182" s="179">
        <f t="shared" ca="1" si="81"/>
        <v>496</v>
      </c>
      <c r="X182" s="179">
        <f t="shared" ca="1" si="104"/>
        <v>496</v>
      </c>
      <c r="Y182" s="179">
        <f t="shared" ca="1" si="104"/>
        <v>496</v>
      </c>
      <c r="Z182" s="179">
        <f t="shared" ca="1" si="82"/>
        <v>535</v>
      </c>
      <c r="AA182" s="179">
        <f t="shared" ca="1" si="105"/>
        <v>535</v>
      </c>
      <c r="AB182" s="179">
        <f t="shared" ca="1" si="105"/>
        <v>535</v>
      </c>
      <c r="AC182" s="179" t="e">
        <f t="shared" ca="1" si="83"/>
        <v>#N/A</v>
      </c>
      <c r="AD182" s="179" t="e">
        <f t="shared" ca="1" si="106"/>
        <v>#N/A</v>
      </c>
      <c r="AE182" s="179" t="e">
        <f t="shared" ca="1" si="106"/>
        <v>#N/A</v>
      </c>
      <c r="AF182" s="179" t="e">
        <f t="shared" ca="1" si="84"/>
        <v>#N/A</v>
      </c>
      <c r="AG182" s="179" t="e">
        <f t="shared" ca="1" si="107"/>
        <v>#N/A</v>
      </c>
      <c r="AH182" s="179" t="e">
        <f t="shared" ca="1" si="107"/>
        <v>#N/A</v>
      </c>
    </row>
    <row r="183" spans="1:34" ht="15.75" customHeight="1">
      <c r="A183" s="449" t="s">
        <v>37</v>
      </c>
      <c r="B183" s="449" t="s">
        <v>467</v>
      </c>
      <c r="C183" s="449" t="s">
        <v>695</v>
      </c>
      <c r="D183" s="322" t="str">
        <f t="shared" ca="1" si="95"/>
        <v/>
      </c>
      <c r="E183" s="322" t="str">
        <f t="shared" ca="1" si="96"/>
        <v/>
      </c>
      <c r="F183" s="322" t="str">
        <f t="shared" ca="1" si="97"/>
        <v/>
      </c>
      <c r="G183" s="227" t="str">
        <f t="shared" ca="1" si="85"/>
        <v>D</v>
      </c>
      <c r="H183" s="227" t="str">
        <f t="shared" ca="1" si="86"/>
        <v>TONELLI</v>
      </c>
      <c r="I183" s="227" t="str">
        <f t="shared" ca="1" si="87"/>
        <v>Napoli</v>
      </c>
      <c r="J183" s="227" t="str">
        <f t="shared" ca="1" si="108"/>
        <v>C</v>
      </c>
      <c r="K183" s="227" t="str">
        <f t="shared" ca="1" si="109"/>
        <v>ZUCULINI F</v>
      </c>
      <c r="L183" s="227" t="str">
        <f t="shared" ca="1" si="110"/>
        <v>Verona</v>
      </c>
      <c r="M183" s="227" t="str">
        <f t="shared" ca="1" si="111"/>
        <v/>
      </c>
      <c r="N183" s="227" t="str">
        <f t="shared" ca="1" si="112"/>
        <v/>
      </c>
      <c r="O183" s="227" t="str">
        <f t="shared" ca="1" si="113"/>
        <v/>
      </c>
      <c r="P183" s="227" t="str">
        <f t="shared" ca="1" si="91"/>
        <v/>
      </c>
      <c r="Q183" s="227" t="str">
        <f t="shared" ca="1" si="92"/>
        <v/>
      </c>
      <c r="R183" s="227" t="str">
        <f t="shared" ca="1" si="93"/>
        <v/>
      </c>
      <c r="T183" s="179" t="e">
        <f t="shared" ca="1" si="94"/>
        <v>#N/A</v>
      </c>
      <c r="U183" s="179" t="e">
        <f t="shared" ca="1" si="103"/>
        <v>#N/A</v>
      </c>
      <c r="V183" s="179" t="e">
        <f t="shared" ca="1" si="103"/>
        <v>#N/A</v>
      </c>
      <c r="W183" s="179">
        <f t="shared" ca="1" si="81"/>
        <v>497</v>
      </c>
      <c r="X183" s="179">
        <f t="shared" ca="1" si="104"/>
        <v>497</v>
      </c>
      <c r="Y183" s="179">
        <f t="shared" ca="1" si="104"/>
        <v>497</v>
      </c>
      <c r="Z183" s="179">
        <f t="shared" ca="1" si="82"/>
        <v>536</v>
      </c>
      <c r="AA183" s="179">
        <f t="shared" ca="1" si="105"/>
        <v>536</v>
      </c>
      <c r="AB183" s="179">
        <f t="shared" ca="1" si="105"/>
        <v>536</v>
      </c>
      <c r="AC183" s="179" t="e">
        <f t="shared" ca="1" si="83"/>
        <v>#N/A</v>
      </c>
      <c r="AD183" s="179" t="e">
        <f t="shared" ca="1" si="106"/>
        <v>#N/A</v>
      </c>
      <c r="AE183" s="179" t="e">
        <f t="shared" ca="1" si="106"/>
        <v>#N/A</v>
      </c>
      <c r="AF183" s="179" t="e">
        <f t="shared" ca="1" si="84"/>
        <v>#N/A</v>
      </c>
      <c r="AG183" s="179" t="e">
        <f t="shared" ca="1" si="107"/>
        <v>#N/A</v>
      </c>
      <c r="AH183" s="179" t="e">
        <f t="shared" ca="1" si="107"/>
        <v>#N/A</v>
      </c>
    </row>
    <row r="184" spans="1:34" ht="15.75" customHeight="1">
      <c r="A184" s="449" t="s">
        <v>39</v>
      </c>
      <c r="B184" s="449" t="s">
        <v>368</v>
      </c>
      <c r="C184" s="449" t="s">
        <v>684</v>
      </c>
      <c r="D184" s="322" t="str">
        <f t="shared" ca="1" si="95"/>
        <v/>
      </c>
      <c r="E184" s="322" t="str">
        <f t="shared" ca="1" si="96"/>
        <v/>
      </c>
      <c r="F184" s="322" t="str">
        <f t="shared" ca="1" si="97"/>
        <v/>
      </c>
      <c r="G184" s="227" t="str">
        <f t="shared" ca="1" si="85"/>
        <v>D</v>
      </c>
      <c r="H184" s="227" t="str">
        <f t="shared" ca="1" si="86"/>
        <v>TOROSIDIS</v>
      </c>
      <c r="I184" s="227" t="str">
        <f t="shared" ca="1" si="87"/>
        <v>Bologna</v>
      </c>
      <c r="J184" s="227" t="str">
        <f t="shared" ca="1" si="108"/>
        <v/>
      </c>
      <c r="K184" s="227" t="str">
        <f t="shared" ca="1" si="109"/>
        <v/>
      </c>
      <c r="L184" s="227" t="str">
        <f t="shared" ca="1" si="110"/>
        <v/>
      </c>
      <c r="M184" s="227" t="str">
        <f t="shared" ca="1" si="111"/>
        <v/>
      </c>
      <c r="N184" s="227" t="str">
        <f t="shared" ca="1" si="112"/>
        <v/>
      </c>
      <c r="O184" s="227" t="str">
        <f t="shared" ca="1" si="113"/>
        <v/>
      </c>
      <c r="P184" s="227" t="str">
        <f t="shared" ca="1" si="91"/>
        <v/>
      </c>
      <c r="Q184" s="227" t="str">
        <f t="shared" ca="1" si="92"/>
        <v/>
      </c>
      <c r="R184" s="227" t="str">
        <f t="shared" ca="1" si="93"/>
        <v/>
      </c>
      <c r="T184" s="179" t="e">
        <f t="shared" ca="1" si="94"/>
        <v>#N/A</v>
      </c>
      <c r="U184" s="179" t="e">
        <f t="shared" ca="1" si="103"/>
        <v>#N/A</v>
      </c>
      <c r="V184" s="179" t="e">
        <f t="shared" ca="1" si="103"/>
        <v>#N/A</v>
      </c>
      <c r="W184" s="179">
        <f t="shared" ca="1" si="81"/>
        <v>499</v>
      </c>
      <c r="X184" s="179">
        <f t="shared" ca="1" si="104"/>
        <v>499</v>
      </c>
      <c r="Y184" s="179">
        <f t="shared" ca="1" si="104"/>
        <v>499</v>
      </c>
      <c r="Z184" s="179" t="e">
        <f t="shared" ca="1" si="82"/>
        <v>#N/A</v>
      </c>
      <c r="AA184" s="179" t="e">
        <f t="shared" ca="1" si="105"/>
        <v>#N/A</v>
      </c>
      <c r="AB184" s="179" t="e">
        <f t="shared" ca="1" si="105"/>
        <v>#N/A</v>
      </c>
      <c r="AC184" s="179" t="e">
        <f t="shared" ca="1" si="83"/>
        <v>#N/A</v>
      </c>
      <c r="AD184" s="179" t="e">
        <f t="shared" ca="1" si="106"/>
        <v>#N/A</v>
      </c>
      <c r="AE184" s="179" t="e">
        <f t="shared" ca="1" si="106"/>
        <v>#N/A</v>
      </c>
      <c r="AF184" s="179" t="e">
        <f t="shared" ca="1" si="84"/>
        <v>#N/A</v>
      </c>
      <c r="AG184" s="179" t="e">
        <f t="shared" ca="1" si="107"/>
        <v>#N/A</v>
      </c>
      <c r="AH184" s="179" t="e">
        <f t="shared" ca="1" si="107"/>
        <v>#N/A</v>
      </c>
    </row>
    <row r="185" spans="1:34" ht="15.75" customHeight="1">
      <c r="A185" s="449" t="s">
        <v>39</v>
      </c>
      <c r="B185" s="449" t="s">
        <v>1925</v>
      </c>
      <c r="C185" s="449" t="s">
        <v>692</v>
      </c>
      <c r="D185" s="322" t="str">
        <f t="shared" ca="1" si="95"/>
        <v/>
      </c>
      <c r="E185" s="322" t="str">
        <f t="shared" ca="1" si="96"/>
        <v/>
      </c>
      <c r="F185" s="322" t="str">
        <f t="shared" ca="1" si="97"/>
        <v/>
      </c>
      <c r="G185" s="227" t="str">
        <f t="shared" ca="1" si="85"/>
        <v>D</v>
      </c>
      <c r="H185" s="227" t="str">
        <f t="shared" ca="1" si="86"/>
        <v>VAISANEN</v>
      </c>
      <c r="I185" s="227" t="str">
        <f t="shared" ca="1" si="87"/>
        <v>SPAL</v>
      </c>
      <c r="J185" s="227" t="str">
        <f t="shared" ca="1" si="108"/>
        <v/>
      </c>
      <c r="K185" s="227" t="str">
        <f t="shared" ca="1" si="109"/>
        <v/>
      </c>
      <c r="L185" s="227" t="str">
        <f t="shared" ca="1" si="110"/>
        <v/>
      </c>
      <c r="M185" s="227" t="str">
        <f t="shared" ca="1" si="111"/>
        <v/>
      </c>
      <c r="N185" s="227" t="str">
        <f t="shared" ca="1" si="112"/>
        <v/>
      </c>
      <c r="O185" s="227" t="str">
        <f t="shared" ca="1" si="113"/>
        <v/>
      </c>
      <c r="P185" s="227" t="str">
        <f t="shared" ca="1" si="91"/>
        <v/>
      </c>
      <c r="Q185" s="227" t="str">
        <f t="shared" ca="1" si="92"/>
        <v/>
      </c>
      <c r="R185" s="227" t="str">
        <f t="shared" ca="1" si="93"/>
        <v/>
      </c>
      <c r="T185" s="179" t="e">
        <f t="shared" ca="1" si="94"/>
        <v>#N/A</v>
      </c>
      <c r="U185" s="179" t="e">
        <f t="shared" ca="1" si="103"/>
        <v>#N/A</v>
      </c>
      <c r="V185" s="179" t="e">
        <f t="shared" ca="1" si="103"/>
        <v>#N/A</v>
      </c>
      <c r="W185" s="179">
        <f t="shared" ca="1" si="81"/>
        <v>505</v>
      </c>
      <c r="X185" s="179">
        <f t="shared" ca="1" si="104"/>
        <v>505</v>
      </c>
      <c r="Y185" s="179">
        <f t="shared" ca="1" si="104"/>
        <v>505</v>
      </c>
      <c r="Z185" s="179" t="e">
        <f t="shared" ca="1" si="82"/>
        <v>#N/A</v>
      </c>
      <c r="AA185" s="179" t="e">
        <f t="shared" ca="1" si="105"/>
        <v>#N/A</v>
      </c>
      <c r="AB185" s="179" t="e">
        <f t="shared" ca="1" si="105"/>
        <v>#N/A</v>
      </c>
      <c r="AC185" s="179" t="e">
        <f t="shared" ca="1" si="83"/>
        <v>#N/A</v>
      </c>
      <c r="AD185" s="179" t="e">
        <f t="shared" ca="1" si="106"/>
        <v>#N/A</v>
      </c>
      <c r="AE185" s="179" t="e">
        <f t="shared" ca="1" si="106"/>
        <v>#N/A</v>
      </c>
      <c r="AF185" s="179" t="e">
        <f t="shared" ca="1" si="84"/>
        <v>#N/A</v>
      </c>
      <c r="AG185" s="179" t="e">
        <f t="shared" ca="1" si="107"/>
        <v>#N/A</v>
      </c>
      <c r="AH185" s="179" t="e">
        <f t="shared" ca="1" si="107"/>
        <v>#N/A</v>
      </c>
    </row>
    <row r="186" spans="1:34" ht="15.75" customHeight="1">
      <c r="A186" s="449" t="s">
        <v>43</v>
      </c>
      <c r="B186" s="449" t="s">
        <v>369</v>
      </c>
      <c r="C186" s="449" t="s">
        <v>685</v>
      </c>
      <c r="D186" s="322" t="str">
        <f t="shared" ca="1" si="95"/>
        <v/>
      </c>
      <c r="E186" s="322" t="str">
        <f t="shared" ca="1" si="96"/>
        <v/>
      </c>
      <c r="F186" s="322" t="str">
        <f t="shared" ca="1" si="97"/>
        <v/>
      </c>
      <c r="G186" s="227" t="str">
        <f t="shared" ca="1" si="85"/>
        <v>D</v>
      </c>
      <c r="H186" s="227" t="str">
        <f t="shared" ca="1" si="86"/>
        <v>VAN DER WIEL</v>
      </c>
      <c r="I186" s="227" t="str">
        <f t="shared" ca="1" si="87"/>
        <v>Cagliari</v>
      </c>
      <c r="J186" s="227" t="str">
        <f t="shared" ca="1" si="108"/>
        <v/>
      </c>
      <c r="K186" s="227" t="str">
        <f t="shared" ca="1" si="109"/>
        <v/>
      </c>
      <c r="L186" s="227" t="str">
        <f t="shared" ca="1" si="110"/>
        <v/>
      </c>
      <c r="M186" s="227" t="str">
        <f t="shared" ca="1" si="111"/>
        <v/>
      </c>
      <c r="N186" s="227" t="str">
        <f t="shared" ca="1" si="112"/>
        <v/>
      </c>
      <c r="O186" s="227" t="str">
        <f t="shared" ca="1" si="113"/>
        <v/>
      </c>
      <c r="P186" s="227" t="str">
        <f t="shared" ca="1" si="91"/>
        <v/>
      </c>
      <c r="Q186" s="227" t="str">
        <f t="shared" ca="1" si="92"/>
        <v/>
      </c>
      <c r="R186" s="227" t="str">
        <f t="shared" ca="1" si="93"/>
        <v/>
      </c>
      <c r="T186" s="179" t="e">
        <f t="shared" ca="1" si="94"/>
        <v>#N/A</v>
      </c>
      <c r="U186" s="179" t="e">
        <f t="shared" ca="1" si="103"/>
        <v>#N/A</v>
      </c>
      <c r="V186" s="179" t="e">
        <f t="shared" ca="1" si="103"/>
        <v>#N/A</v>
      </c>
      <c r="W186" s="179">
        <f t="shared" ca="1" si="81"/>
        <v>509</v>
      </c>
      <c r="X186" s="179">
        <f t="shared" ca="1" si="104"/>
        <v>509</v>
      </c>
      <c r="Y186" s="179">
        <f t="shared" ca="1" si="104"/>
        <v>509</v>
      </c>
      <c r="Z186" s="179" t="e">
        <f t="shared" ca="1" si="82"/>
        <v>#N/A</v>
      </c>
      <c r="AA186" s="179" t="e">
        <f t="shared" ca="1" si="105"/>
        <v>#N/A</v>
      </c>
      <c r="AB186" s="179" t="e">
        <f t="shared" ca="1" si="105"/>
        <v>#N/A</v>
      </c>
      <c r="AC186" s="179" t="e">
        <f t="shared" ca="1" si="83"/>
        <v>#N/A</v>
      </c>
      <c r="AD186" s="179" t="e">
        <f t="shared" ca="1" si="106"/>
        <v>#N/A</v>
      </c>
      <c r="AE186" s="179" t="e">
        <f t="shared" ca="1" si="106"/>
        <v>#N/A</v>
      </c>
      <c r="AF186" s="179" t="e">
        <f t="shared" ca="1" si="84"/>
        <v>#N/A</v>
      </c>
      <c r="AG186" s="179" t="e">
        <f t="shared" ca="1" si="107"/>
        <v>#N/A</v>
      </c>
      <c r="AH186" s="179" t="e">
        <f t="shared" ca="1" si="107"/>
        <v>#N/A</v>
      </c>
    </row>
    <row r="187" spans="1:34" ht="15.75" customHeight="1">
      <c r="A187" s="449" t="s">
        <v>39</v>
      </c>
      <c r="B187" s="449" t="s">
        <v>1755</v>
      </c>
      <c r="C187" s="449" t="s">
        <v>691</v>
      </c>
      <c r="D187" s="322" t="str">
        <f t="shared" ca="1" si="95"/>
        <v/>
      </c>
      <c r="E187" s="322" t="str">
        <f t="shared" ca="1" si="96"/>
        <v/>
      </c>
      <c r="F187" s="322" t="str">
        <f t="shared" ca="1" si="97"/>
        <v/>
      </c>
      <c r="G187" s="227" t="str">
        <f t="shared" ca="1" si="85"/>
        <v>D</v>
      </c>
      <c r="H187" s="227" t="str">
        <f t="shared" ca="1" si="86"/>
        <v>VANHEUSDEN</v>
      </c>
      <c r="I187" s="227" t="str">
        <f t="shared" ca="1" si="87"/>
        <v>Inter</v>
      </c>
      <c r="J187" s="227" t="str">
        <f t="shared" ca="1" si="108"/>
        <v/>
      </c>
      <c r="K187" s="227" t="str">
        <f t="shared" ca="1" si="109"/>
        <v/>
      </c>
      <c r="L187" s="227" t="str">
        <f t="shared" ca="1" si="110"/>
        <v/>
      </c>
      <c r="M187" s="227" t="str">
        <f t="shared" ca="1" si="111"/>
        <v/>
      </c>
      <c r="N187" s="227" t="str">
        <f t="shared" ca="1" si="112"/>
        <v/>
      </c>
      <c r="O187" s="227" t="str">
        <f t="shared" ca="1" si="113"/>
        <v/>
      </c>
      <c r="P187" s="227" t="str">
        <f t="shared" ca="1" si="91"/>
        <v/>
      </c>
      <c r="Q187" s="227" t="str">
        <f t="shared" ca="1" si="92"/>
        <v/>
      </c>
      <c r="R187" s="227" t="str">
        <f t="shared" ca="1" si="93"/>
        <v/>
      </c>
      <c r="T187" s="179" t="e">
        <f t="shared" ca="1" si="94"/>
        <v>#N/A</v>
      </c>
      <c r="U187" s="179" t="e">
        <f t="shared" ca="1" si="103"/>
        <v>#N/A</v>
      </c>
      <c r="V187" s="179" t="e">
        <f t="shared" ca="1" si="103"/>
        <v>#N/A</v>
      </c>
      <c r="W187" s="179">
        <f t="shared" ca="1" si="81"/>
        <v>510</v>
      </c>
      <c r="X187" s="179">
        <f t="shared" ca="1" si="104"/>
        <v>510</v>
      </c>
      <c r="Y187" s="179">
        <f t="shared" ca="1" si="104"/>
        <v>510</v>
      </c>
      <c r="Z187" s="179" t="e">
        <f t="shared" ca="1" si="82"/>
        <v>#N/A</v>
      </c>
      <c r="AA187" s="179" t="e">
        <f t="shared" ca="1" si="105"/>
        <v>#N/A</v>
      </c>
      <c r="AB187" s="179" t="e">
        <f t="shared" ca="1" si="105"/>
        <v>#N/A</v>
      </c>
      <c r="AC187" s="179" t="e">
        <f t="shared" ca="1" si="83"/>
        <v>#N/A</v>
      </c>
      <c r="AD187" s="179" t="e">
        <f t="shared" ca="1" si="106"/>
        <v>#N/A</v>
      </c>
      <c r="AE187" s="179" t="e">
        <f t="shared" ca="1" si="106"/>
        <v>#N/A</v>
      </c>
      <c r="AF187" s="179" t="e">
        <f t="shared" ca="1" si="84"/>
        <v>#N/A</v>
      </c>
      <c r="AG187" s="179" t="e">
        <f t="shared" ca="1" si="107"/>
        <v>#N/A</v>
      </c>
      <c r="AH187" s="179" t="e">
        <f t="shared" ca="1" si="107"/>
        <v>#N/A</v>
      </c>
    </row>
    <row r="188" spans="1:34" ht="15.75" customHeight="1">
      <c r="A188" s="449" t="s">
        <v>39</v>
      </c>
      <c r="B188" s="449" t="s">
        <v>1852</v>
      </c>
      <c r="C188" s="449" t="s">
        <v>700</v>
      </c>
      <c r="D188" s="322" t="str">
        <f t="shared" ca="1" si="95"/>
        <v/>
      </c>
      <c r="E188" s="322" t="str">
        <f t="shared" ca="1" si="96"/>
        <v/>
      </c>
      <c r="F188" s="322" t="str">
        <f t="shared" ca="1" si="97"/>
        <v/>
      </c>
      <c r="G188" s="227" t="str">
        <f t="shared" ca="1" si="85"/>
        <v>D</v>
      </c>
      <c r="H188" s="227" t="str">
        <f t="shared" ca="1" si="86"/>
        <v>VENUTI</v>
      </c>
      <c r="I188" s="227" t="str">
        <f t="shared" ca="1" si="87"/>
        <v>Benevento</v>
      </c>
      <c r="J188" s="227" t="str">
        <f t="shared" ca="1" si="108"/>
        <v/>
      </c>
      <c r="K188" s="227" t="str">
        <f t="shared" ca="1" si="109"/>
        <v/>
      </c>
      <c r="L188" s="227" t="str">
        <f t="shared" ca="1" si="110"/>
        <v/>
      </c>
      <c r="M188" s="227" t="str">
        <f t="shared" ca="1" si="111"/>
        <v/>
      </c>
      <c r="N188" s="227" t="str">
        <f t="shared" ca="1" si="112"/>
        <v/>
      </c>
      <c r="O188" s="227" t="str">
        <f t="shared" ca="1" si="113"/>
        <v/>
      </c>
      <c r="P188" s="227" t="str">
        <f t="shared" ca="1" si="91"/>
        <v/>
      </c>
      <c r="Q188" s="227" t="str">
        <f t="shared" ca="1" si="92"/>
        <v/>
      </c>
      <c r="R188" s="227" t="str">
        <f t="shared" ca="1" si="93"/>
        <v/>
      </c>
      <c r="T188" s="179" t="e">
        <f t="shared" ca="1" si="94"/>
        <v>#N/A</v>
      </c>
      <c r="U188" s="179" t="e">
        <f t="shared" ca="1" si="103"/>
        <v>#N/A</v>
      </c>
      <c r="V188" s="179" t="e">
        <f t="shared" ca="1" si="103"/>
        <v>#N/A</v>
      </c>
      <c r="W188" s="179">
        <f t="shared" ca="1" si="81"/>
        <v>513</v>
      </c>
      <c r="X188" s="179">
        <f t="shared" ca="1" si="104"/>
        <v>513</v>
      </c>
      <c r="Y188" s="179">
        <f t="shared" ca="1" si="104"/>
        <v>513</v>
      </c>
      <c r="Z188" s="179" t="e">
        <f t="shared" ca="1" si="82"/>
        <v>#N/A</v>
      </c>
      <c r="AA188" s="179" t="e">
        <f t="shared" ca="1" si="105"/>
        <v>#N/A</v>
      </c>
      <c r="AB188" s="179" t="e">
        <f t="shared" ca="1" si="105"/>
        <v>#N/A</v>
      </c>
      <c r="AC188" s="179" t="e">
        <f t="shared" ca="1" si="83"/>
        <v>#N/A</v>
      </c>
      <c r="AD188" s="179" t="e">
        <f t="shared" ca="1" si="106"/>
        <v>#N/A</v>
      </c>
      <c r="AE188" s="179" t="e">
        <f t="shared" ca="1" si="106"/>
        <v>#N/A</v>
      </c>
      <c r="AF188" s="179" t="e">
        <f t="shared" ca="1" si="84"/>
        <v>#N/A</v>
      </c>
      <c r="AG188" s="179" t="e">
        <f t="shared" ca="1" si="107"/>
        <v>#N/A</v>
      </c>
      <c r="AH188" s="179" t="e">
        <f t="shared" ca="1" si="107"/>
        <v>#N/A</v>
      </c>
    </row>
    <row r="189" spans="1:34" ht="15.75" customHeight="1">
      <c r="A189" s="449" t="s">
        <v>37</v>
      </c>
      <c r="B189" s="449" t="s">
        <v>472</v>
      </c>
      <c r="C189" s="449" t="s">
        <v>701</v>
      </c>
      <c r="D189" s="322" t="str">
        <f t="shared" ca="1" si="95"/>
        <v/>
      </c>
      <c r="E189" s="322" t="str">
        <f t="shared" ca="1" si="96"/>
        <v/>
      </c>
      <c r="F189" s="322" t="str">
        <f t="shared" ca="1" si="97"/>
        <v/>
      </c>
      <c r="G189" s="227" t="str">
        <f t="shared" ca="1" si="85"/>
        <v>D</v>
      </c>
      <c r="H189" s="227" t="str">
        <f t="shared" ca="1" si="86"/>
        <v>VICARI</v>
      </c>
      <c r="I189" s="227" t="str">
        <f t="shared" ca="1" si="87"/>
        <v>SPAL</v>
      </c>
      <c r="J189" s="227" t="str">
        <f t="shared" ca="1" si="108"/>
        <v/>
      </c>
      <c r="K189" s="227" t="str">
        <f t="shared" ca="1" si="109"/>
        <v/>
      </c>
      <c r="L189" s="227" t="str">
        <f t="shared" ca="1" si="110"/>
        <v/>
      </c>
      <c r="M189" s="227" t="str">
        <f t="shared" ca="1" si="111"/>
        <v/>
      </c>
      <c r="N189" s="227" t="str">
        <f t="shared" ca="1" si="112"/>
        <v/>
      </c>
      <c r="O189" s="227" t="str">
        <f t="shared" ca="1" si="113"/>
        <v/>
      </c>
      <c r="P189" s="227" t="str">
        <f t="shared" ca="1" si="91"/>
        <v/>
      </c>
      <c r="Q189" s="227" t="str">
        <f t="shared" ca="1" si="92"/>
        <v/>
      </c>
      <c r="R189" s="227" t="str">
        <f t="shared" ca="1" si="93"/>
        <v/>
      </c>
      <c r="T189" s="179" t="e">
        <f t="shared" ca="1" si="94"/>
        <v>#N/A</v>
      </c>
      <c r="U189" s="179" t="e">
        <f t="shared" ref="U189:V208" ca="1" si="114">T189</f>
        <v>#N/A</v>
      </c>
      <c r="V189" s="179" t="e">
        <f t="shared" ca="1" si="114"/>
        <v>#N/A</v>
      </c>
      <c r="W189" s="179">
        <f t="shared" ca="1" si="81"/>
        <v>518</v>
      </c>
      <c r="X189" s="179">
        <f t="shared" ref="X189:Y208" ca="1" si="115">W189</f>
        <v>518</v>
      </c>
      <c r="Y189" s="179">
        <f t="shared" ca="1" si="115"/>
        <v>518</v>
      </c>
      <c r="Z189" s="179" t="e">
        <f t="shared" ca="1" si="82"/>
        <v>#N/A</v>
      </c>
      <c r="AA189" s="179" t="e">
        <f t="shared" ref="AA189:AB208" ca="1" si="116">Z189</f>
        <v>#N/A</v>
      </c>
      <c r="AB189" s="179" t="e">
        <f t="shared" ca="1" si="116"/>
        <v>#N/A</v>
      </c>
      <c r="AC189" s="179" t="e">
        <f t="shared" ca="1" si="83"/>
        <v>#N/A</v>
      </c>
      <c r="AD189" s="179" t="e">
        <f t="shared" ref="AD189:AE208" ca="1" si="117">AC189</f>
        <v>#N/A</v>
      </c>
      <c r="AE189" s="179" t="e">
        <f t="shared" ca="1" si="117"/>
        <v>#N/A</v>
      </c>
      <c r="AF189" s="179" t="e">
        <f t="shared" ca="1" si="84"/>
        <v>#N/A</v>
      </c>
      <c r="AG189" s="179" t="e">
        <f t="shared" ref="AG189:AH208" ca="1" si="118">AF189</f>
        <v>#N/A</v>
      </c>
      <c r="AH189" s="179" t="e">
        <f t="shared" ca="1" si="118"/>
        <v>#N/A</v>
      </c>
    </row>
    <row r="190" spans="1:34" ht="15.75" customHeight="1">
      <c r="A190" s="449" t="s">
        <v>39</v>
      </c>
      <c r="B190" s="449" t="s">
        <v>1809</v>
      </c>
      <c r="C190" s="449" t="s">
        <v>1674</v>
      </c>
      <c r="D190" s="322" t="str">
        <f t="shared" ca="1" si="95"/>
        <v/>
      </c>
      <c r="E190" s="322" t="str">
        <f t="shared" ca="1" si="96"/>
        <v/>
      </c>
      <c r="F190" s="322" t="str">
        <f t="shared" ca="1" si="97"/>
        <v/>
      </c>
      <c r="G190" s="227" t="str">
        <f t="shared" ca="1" si="85"/>
        <v>D</v>
      </c>
      <c r="H190" s="227" t="str">
        <f t="shared" ca="1" si="86"/>
        <v>VITOR HUGO</v>
      </c>
      <c r="I190" s="227" t="str">
        <f t="shared" ca="1" si="87"/>
        <v>Fiorentina</v>
      </c>
      <c r="J190" s="227" t="str">
        <f t="shared" ca="1" si="108"/>
        <v/>
      </c>
      <c r="K190" s="227" t="str">
        <f t="shared" ca="1" si="109"/>
        <v/>
      </c>
      <c r="L190" s="227" t="str">
        <f t="shared" ca="1" si="110"/>
        <v/>
      </c>
      <c r="M190" s="227" t="str">
        <f t="shared" ca="1" si="111"/>
        <v/>
      </c>
      <c r="N190" s="227" t="str">
        <f t="shared" ca="1" si="112"/>
        <v/>
      </c>
      <c r="O190" s="227" t="str">
        <f t="shared" ca="1" si="113"/>
        <v/>
      </c>
      <c r="P190" s="227" t="str">
        <f t="shared" ca="1" si="91"/>
        <v/>
      </c>
      <c r="Q190" s="227" t="str">
        <f t="shared" ca="1" si="92"/>
        <v/>
      </c>
      <c r="R190" s="227" t="str">
        <f t="shared" ca="1" si="93"/>
        <v/>
      </c>
      <c r="T190" s="179" t="e">
        <f t="shared" ca="1" si="94"/>
        <v>#N/A</v>
      </c>
      <c r="U190" s="179" t="e">
        <f t="shared" ca="1" si="114"/>
        <v>#N/A</v>
      </c>
      <c r="V190" s="179" t="e">
        <f t="shared" ca="1" si="114"/>
        <v>#N/A</v>
      </c>
      <c r="W190" s="179">
        <f t="shared" ca="1" si="81"/>
        <v>523</v>
      </c>
      <c r="X190" s="179">
        <f t="shared" ca="1" si="115"/>
        <v>523</v>
      </c>
      <c r="Y190" s="179">
        <f t="shared" ca="1" si="115"/>
        <v>523</v>
      </c>
      <c r="Z190" s="179" t="e">
        <f t="shared" ca="1" si="82"/>
        <v>#N/A</v>
      </c>
      <c r="AA190" s="179" t="e">
        <f t="shared" ca="1" si="116"/>
        <v>#N/A</v>
      </c>
      <c r="AB190" s="179" t="e">
        <f t="shared" ca="1" si="116"/>
        <v>#N/A</v>
      </c>
      <c r="AC190" s="179" t="e">
        <f t="shared" ca="1" si="83"/>
        <v>#N/A</v>
      </c>
      <c r="AD190" s="179" t="e">
        <f t="shared" ca="1" si="117"/>
        <v>#N/A</v>
      </c>
      <c r="AE190" s="179" t="e">
        <f t="shared" ca="1" si="117"/>
        <v>#N/A</v>
      </c>
      <c r="AF190" s="179" t="e">
        <f t="shared" ca="1" si="84"/>
        <v>#N/A</v>
      </c>
      <c r="AG190" s="179" t="e">
        <f t="shared" ca="1" si="118"/>
        <v>#N/A</v>
      </c>
      <c r="AH190" s="179" t="e">
        <f t="shared" ca="1" si="118"/>
        <v>#N/A</v>
      </c>
    </row>
    <row r="191" spans="1:34" ht="15.75" customHeight="1">
      <c r="A191" s="449" t="s">
        <v>43</v>
      </c>
      <c r="B191" s="449" t="s">
        <v>372</v>
      </c>
      <c r="C191" s="449" t="s">
        <v>700</v>
      </c>
      <c r="D191" s="322" t="str">
        <f t="shared" ca="1" si="95"/>
        <v/>
      </c>
      <c r="E191" s="322" t="str">
        <f t="shared" ca="1" si="96"/>
        <v/>
      </c>
      <c r="F191" s="322" t="str">
        <f t="shared" ca="1" si="97"/>
        <v/>
      </c>
      <c r="G191" s="227" t="str">
        <f t="shared" ca="1" si="85"/>
        <v>D</v>
      </c>
      <c r="H191" s="227" t="str">
        <f t="shared" ca="1" si="86"/>
        <v>WALLACE</v>
      </c>
      <c r="I191" s="227" t="str">
        <f t="shared" ca="1" si="87"/>
        <v>Lazio</v>
      </c>
      <c r="J191" s="227" t="str">
        <f t="shared" ca="1" si="108"/>
        <v/>
      </c>
      <c r="K191" s="227" t="str">
        <f t="shared" ca="1" si="109"/>
        <v/>
      </c>
      <c r="L191" s="227" t="str">
        <f t="shared" ca="1" si="110"/>
        <v/>
      </c>
      <c r="M191" s="227" t="str">
        <f t="shared" ca="1" si="111"/>
        <v/>
      </c>
      <c r="N191" s="227" t="str">
        <f t="shared" ca="1" si="112"/>
        <v/>
      </c>
      <c r="O191" s="227" t="str">
        <f t="shared" ca="1" si="113"/>
        <v/>
      </c>
      <c r="P191" s="227" t="str">
        <f t="shared" ca="1" si="91"/>
        <v/>
      </c>
      <c r="Q191" s="227" t="str">
        <f t="shared" ca="1" si="92"/>
        <v/>
      </c>
      <c r="R191" s="227" t="str">
        <f t="shared" ca="1" si="93"/>
        <v/>
      </c>
      <c r="T191" s="179" t="e">
        <f t="shared" ca="1" si="94"/>
        <v>#N/A</v>
      </c>
      <c r="U191" s="179" t="e">
        <f t="shared" ca="1" si="114"/>
        <v>#N/A</v>
      </c>
      <c r="V191" s="179" t="e">
        <f t="shared" ca="1" si="114"/>
        <v>#N/A</v>
      </c>
      <c r="W191" s="179">
        <f t="shared" ca="1" si="81"/>
        <v>526</v>
      </c>
      <c r="X191" s="179">
        <f t="shared" ca="1" si="115"/>
        <v>526</v>
      </c>
      <c r="Y191" s="179">
        <f t="shared" ca="1" si="115"/>
        <v>526</v>
      </c>
      <c r="Z191" s="179" t="e">
        <f t="shared" ca="1" si="82"/>
        <v>#N/A</v>
      </c>
      <c r="AA191" s="179" t="e">
        <f t="shared" ca="1" si="116"/>
        <v>#N/A</v>
      </c>
      <c r="AB191" s="179" t="e">
        <f t="shared" ca="1" si="116"/>
        <v>#N/A</v>
      </c>
      <c r="AC191" s="179" t="e">
        <f t="shared" ca="1" si="83"/>
        <v>#N/A</v>
      </c>
      <c r="AD191" s="179" t="e">
        <f t="shared" ca="1" si="117"/>
        <v>#N/A</v>
      </c>
      <c r="AE191" s="179" t="e">
        <f t="shared" ca="1" si="117"/>
        <v>#N/A</v>
      </c>
      <c r="AF191" s="179" t="e">
        <f t="shared" ca="1" si="84"/>
        <v>#N/A</v>
      </c>
      <c r="AG191" s="179" t="e">
        <f t="shared" ca="1" si="118"/>
        <v>#N/A</v>
      </c>
      <c r="AH191" s="179" t="e">
        <f t="shared" ca="1" si="118"/>
        <v>#N/A</v>
      </c>
    </row>
    <row r="192" spans="1:34" ht="15.75" customHeight="1">
      <c r="A192" s="449" t="s">
        <v>37</v>
      </c>
      <c r="B192" s="449" t="s">
        <v>922</v>
      </c>
      <c r="C192" s="449" t="s">
        <v>695</v>
      </c>
      <c r="D192" s="322" t="str">
        <f t="shared" ca="1" si="95"/>
        <v/>
      </c>
      <c r="E192" s="322" t="str">
        <f t="shared" ca="1" si="96"/>
        <v/>
      </c>
      <c r="F192" s="322" t="str">
        <f t="shared" ca="1" si="97"/>
        <v/>
      </c>
      <c r="G192" s="227" t="str">
        <f t="shared" ca="1" si="85"/>
        <v>D</v>
      </c>
      <c r="H192" s="227" t="str">
        <f t="shared" ca="1" si="86"/>
        <v>WIDMER</v>
      </c>
      <c r="I192" s="227" t="str">
        <f t="shared" ca="1" si="87"/>
        <v>Udinese</v>
      </c>
      <c r="J192" s="227" t="str">
        <f t="shared" ca="1" si="108"/>
        <v/>
      </c>
      <c r="K192" s="227" t="str">
        <f t="shared" ca="1" si="109"/>
        <v/>
      </c>
      <c r="L192" s="227" t="str">
        <f t="shared" ca="1" si="110"/>
        <v/>
      </c>
      <c r="M192" s="227" t="str">
        <f t="shared" ca="1" si="111"/>
        <v/>
      </c>
      <c r="N192" s="227" t="str">
        <f t="shared" ca="1" si="112"/>
        <v/>
      </c>
      <c r="O192" s="227" t="str">
        <f t="shared" ca="1" si="113"/>
        <v/>
      </c>
      <c r="P192" s="227" t="str">
        <f t="shared" ca="1" si="91"/>
        <v/>
      </c>
      <c r="Q192" s="227" t="str">
        <f t="shared" ca="1" si="92"/>
        <v/>
      </c>
      <c r="R192" s="227" t="str">
        <f t="shared" ca="1" si="93"/>
        <v/>
      </c>
      <c r="T192" s="179" t="e">
        <f t="shared" ca="1" si="94"/>
        <v>#N/A</v>
      </c>
      <c r="U192" s="179" t="e">
        <f t="shared" ca="1" si="114"/>
        <v>#N/A</v>
      </c>
      <c r="V192" s="179" t="e">
        <f t="shared" ca="1" si="114"/>
        <v>#N/A</v>
      </c>
      <c r="W192" s="179">
        <f t="shared" ca="1" si="81"/>
        <v>527</v>
      </c>
      <c r="X192" s="179">
        <f t="shared" ca="1" si="115"/>
        <v>527</v>
      </c>
      <c r="Y192" s="179">
        <f t="shared" ca="1" si="115"/>
        <v>527</v>
      </c>
      <c r="Z192" s="179" t="e">
        <f t="shared" ca="1" si="82"/>
        <v>#N/A</v>
      </c>
      <c r="AA192" s="179" t="e">
        <f t="shared" ca="1" si="116"/>
        <v>#N/A</v>
      </c>
      <c r="AB192" s="179" t="e">
        <f t="shared" ca="1" si="116"/>
        <v>#N/A</v>
      </c>
      <c r="AC192" s="179" t="e">
        <f t="shared" ca="1" si="83"/>
        <v>#N/A</v>
      </c>
      <c r="AD192" s="179" t="e">
        <f t="shared" ca="1" si="117"/>
        <v>#N/A</v>
      </c>
      <c r="AE192" s="179" t="e">
        <f t="shared" ca="1" si="117"/>
        <v>#N/A</v>
      </c>
      <c r="AF192" s="179" t="e">
        <f t="shared" ca="1" si="84"/>
        <v>#N/A</v>
      </c>
      <c r="AG192" s="179" t="e">
        <f t="shared" ca="1" si="118"/>
        <v>#N/A</v>
      </c>
      <c r="AH192" s="179" t="e">
        <f t="shared" ca="1" si="118"/>
        <v>#N/A</v>
      </c>
    </row>
    <row r="193" spans="1:34" ht="15.75" customHeight="1">
      <c r="A193" s="449" t="s">
        <v>37</v>
      </c>
      <c r="B193" s="449" t="s">
        <v>1720</v>
      </c>
      <c r="C193" s="449" t="s">
        <v>1674</v>
      </c>
      <c r="D193" s="322" t="str">
        <f t="shared" ca="1" si="95"/>
        <v/>
      </c>
      <c r="E193" s="322" t="str">
        <f t="shared" ca="1" si="96"/>
        <v/>
      </c>
      <c r="F193" s="322" t="str">
        <f t="shared" ca="1" si="97"/>
        <v/>
      </c>
      <c r="G193" s="227" t="str">
        <f t="shared" ca="1" si="85"/>
        <v>D</v>
      </c>
      <c r="H193" s="227" t="str">
        <f t="shared" ca="1" si="86"/>
        <v>ZAPATA C</v>
      </c>
      <c r="I193" s="227" t="str">
        <f t="shared" ca="1" si="87"/>
        <v>Milan</v>
      </c>
      <c r="J193" s="227" t="str">
        <f t="shared" ca="1" si="108"/>
        <v/>
      </c>
      <c r="K193" s="227" t="str">
        <f t="shared" ca="1" si="109"/>
        <v/>
      </c>
      <c r="L193" s="227" t="str">
        <f t="shared" ca="1" si="110"/>
        <v/>
      </c>
      <c r="M193" s="227" t="str">
        <f t="shared" ca="1" si="111"/>
        <v/>
      </c>
      <c r="N193" s="227" t="str">
        <f t="shared" ca="1" si="112"/>
        <v/>
      </c>
      <c r="O193" s="227" t="str">
        <f t="shared" ca="1" si="113"/>
        <v/>
      </c>
      <c r="P193" s="227" t="str">
        <f t="shared" ca="1" si="91"/>
        <v/>
      </c>
      <c r="Q193" s="227" t="str">
        <f t="shared" ca="1" si="92"/>
        <v/>
      </c>
      <c r="R193" s="227" t="str">
        <f t="shared" ca="1" si="93"/>
        <v/>
      </c>
      <c r="T193" s="179" t="e">
        <f t="shared" ca="1" si="94"/>
        <v>#N/A</v>
      </c>
      <c r="U193" s="179" t="e">
        <f t="shared" ca="1" si="114"/>
        <v>#N/A</v>
      </c>
      <c r="V193" s="179" t="e">
        <f t="shared" ca="1" si="114"/>
        <v>#N/A</v>
      </c>
      <c r="W193" s="179">
        <f t="shared" ca="1" si="81"/>
        <v>530</v>
      </c>
      <c r="X193" s="179">
        <f t="shared" ca="1" si="115"/>
        <v>530</v>
      </c>
      <c r="Y193" s="179">
        <f t="shared" ca="1" si="115"/>
        <v>530</v>
      </c>
      <c r="Z193" s="179" t="e">
        <f t="shared" ca="1" si="82"/>
        <v>#N/A</v>
      </c>
      <c r="AA193" s="179" t="e">
        <f t="shared" ca="1" si="116"/>
        <v>#N/A</v>
      </c>
      <c r="AB193" s="179" t="e">
        <f t="shared" ca="1" si="116"/>
        <v>#N/A</v>
      </c>
      <c r="AC193" s="179" t="e">
        <f t="shared" ca="1" si="83"/>
        <v>#N/A</v>
      </c>
      <c r="AD193" s="179" t="e">
        <f t="shared" ca="1" si="117"/>
        <v>#N/A</v>
      </c>
      <c r="AE193" s="179" t="e">
        <f t="shared" ca="1" si="117"/>
        <v>#N/A</v>
      </c>
      <c r="AF193" s="179" t="e">
        <f t="shared" ca="1" si="84"/>
        <v>#N/A</v>
      </c>
      <c r="AG193" s="179" t="e">
        <f t="shared" ca="1" si="118"/>
        <v>#N/A</v>
      </c>
      <c r="AH193" s="179" t="e">
        <f t="shared" ca="1" si="118"/>
        <v>#N/A</v>
      </c>
    </row>
    <row r="194" spans="1:34" ht="15.75" customHeight="1">
      <c r="A194" s="449" t="s">
        <v>37</v>
      </c>
      <c r="B194" s="449" t="s">
        <v>475</v>
      </c>
      <c r="C194" s="449" t="s">
        <v>1477</v>
      </c>
      <c r="D194" s="322" t="str">
        <f t="shared" ca="1" si="95"/>
        <v/>
      </c>
      <c r="E194" s="322" t="str">
        <f t="shared" ca="1" si="96"/>
        <v/>
      </c>
      <c r="F194" s="322" t="str">
        <f t="shared" ca="1" si="97"/>
        <v/>
      </c>
      <c r="G194" s="227" t="str">
        <f t="shared" ca="1" si="85"/>
        <v>D</v>
      </c>
      <c r="H194" s="227" t="str">
        <f t="shared" ca="1" si="86"/>
        <v>ZUKANOVIC</v>
      </c>
      <c r="I194" s="227" t="str">
        <f t="shared" ca="1" si="87"/>
        <v>Genoa</v>
      </c>
      <c r="J194" s="227" t="str">
        <f t="shared" ca="1" si="108"/>
        <v/>
      </c>
      <c r="K194" s="227" t="str">
        <f t="shared" ca="1" si="109"/>
        <v/>
      </c>
      <c r="L194" s="227" t="str">
        <f t="shared" ca="1" si="110"/>
        <v/>
      </c>
      <c r="M194" s="227" t="str">
        <f t="shared" ca="1" si="111"/>
        <v/>
      </c>
      <c r="N194" s="227" t="str">
        <f t="shared" ca="1" si="112"/>
        <v/>
      </c>
      <c r="O194" s="227" t="str">
        <f t="shared" ca="1" si="113"/>
        <v/>
      </c>
      <c r="P194" s="227" t="str">
        <f t="shared" ca="1" si="91"/>
        <v/>
      </c>
      <c r="Q194" s="227" t="str">
        <f t="shared" ca="1" si="92"/>
        <v/>
      </c>
      <c r="R194" s="227" t="str">
        <f t="shared" ca="1" si="93"/>
        <v/>
      </c>
      <c r="T194" s="179" t="e">
        <f t="shared" ca="1" si="94"/>
        <v>#N/A</v>
      </c>
      <c r="U194" s="179" t="e">
        <f t="shared" ca="1" si="114"/>
        <v>#N/A</v>
      </c>
      <c r="V194" s="179" t="e">
        <f t="shared" ca="1" si="114"/>
        <v>#N/A</v>
      </c>
      <c r="W194" s="179">
        <f t="shared" ca="1" si="81"/>
        <v>537</v>
      </c>
      <c r="X194" s="179">
        <f t="shared" ca="1" si="115"/>
        <v>537</v>
      </c>
      <c r="Y194" s="179">
        <f t="shared" ca="1" si="115"/>
        <v>537</v>
      </c>
      <c r="Z194" s="179" t="e">
        <f t="shared" ca="1" si="82"/>
        <v>#N/A</v>
      </c>
      <c r="AA194" s="179" t="e">
        <f t="shared" ca="1" si="116"/>
        <v>#N/A</v>
      </c>
      <c r="AB194" s="179" t="e">
        <f t="shared" ca="1" si="116"/>
        <v>#N/A</v>
      </c>
      <c r="AC194" s="179" t="e">
        <f t="shared" ca="1" si="83"/>
        <v>#N/A</v>
      </c>
      <c r="AD194" s="179" t="e">
        <f t="shared" ca="1" si="117"/>
        <v>#N/A</v>
      </c>
      <c r="AE194" s="179" t="e">
        <f t="shared" ca="1" si="117"/>
        <v>#N/A</v>
      </c>
      <c r="AF194" s="179" t="e">
        <f t="shared" ca="1" si="84"/>
        <v>#N/A</v>
      </c>
      <c r="AG194" s="179" t="e">
        <f t="shared" ca="1" si="118"/>
        <v>#N/A</v>
      </c>
      <c r="AH194" s="179" t="e">
        <f t="shared" ca="1" si="118"/>
        <v>#N/A</v>
      </c>
    </row>
    <row r="195" spans="1:34" ht="15.75" customHeight="1">
      <c r="A195" s="449" t="s">
        <v>39</v>
      </c>
      <c r="B195" s="449" t="s">
        <v>456</v>
      </c>
      <c r="C195" s="449" t="s">
        <v>682</v>
      </c>
      <c r="D195" s="322" t="str">
        <f t="shared" ca="1" si="95"/>
        <v/>
      </c>
      <c r="E195" s="322" t="str">
        <f t="shared" ca="1" si="96"/>
        <v/>
      </c>
      <c r="F195" s="322" t="str">
        <f t="shared" ca="1" si="97"/>
        <v/>
      </c>
      <c r="G195" s="227" t="str">
        <f t="shared" ca="1" si="85"/>
        <v/>
      </c>
      <c r="H195" s="227" t="str">
        <f t="shared" ca="1" si="86"/>
        <v/>
      </c>
      <c r="I195" s="227" t="str">
        <f t="shared" ca="1" si="87"/>
        <v/>
      </c>
      <c r="J195" s="227" t="str">
        <f t="shared" ca="1" si="108"/>
        <v/>
      </c>
      <c r="K195" s="227" t="str">
        <f t="shared" ca="1" si="109"/>
        <v/>
      </c>
      <c r="L195" s="227" t="str">
        <f t="shared" ca="1" si="110"/>
        <v/>
      </c>
      <c r="M195" s="227" t="str">
        <f t="shared" ca="1" si="111"/>
        <v/>
      </c>
      <c r="N195" s="227" t="str">
        <f t="shared" ca="1" si="112"/>
        <v/>
      </c>
      <c r="O195" s="227" t="str">
        <f t="shared" ca="1" si="113"/>
        <v/>
      </c>
      <c r="P195" s="227" t="str">
        <f t="shared" ca="1" si="91"/>
        <v/>
      </c>
      <c r="Q195" s="227" t="str">
        <f t="shared" ca="1" si="92"/>
        <v/>
      </c>
      <c r="R195" s="227" t="str">
        <f t="shared" ca="1" si="93"/>
        <v/>
      </c>
      <c r="T195" s="179" t="e">
        <f t="shared" ca="1" si="94"/>
        <v>#N/A</v>
      </c>
      <c r="U195" s="179" t="e">
        <f t="shared" ca="1" si="114"/>
        <v>#N/A</v>
      </c>
      <c r="V195" s="179" t="e">
        <f t="shared" ca="1" si="114"/>
        <v>#N/A</v>
      </c>
      <c r="W195" s="179" t="e">
        <f t="shared" ca="1" si="81"/>
        <v>#N/A</v>
      </c>
      <c r="X195" s="179" t="e">
        <f t="shared" ca="1" si="115"/>
        <v>#N/A</v>
      </c>
      <c r="Y195" s="179" t="e">
        <f t="shared" ca="1" si="115"/>
        <v>#N/A</v>
      </c>
      <c r="Z195" s="179" t="e">
        <f t="shared" ca="1" si="82"/>
        <v>#N/A</v>
      </c>
      <c r="AA195" s="179" t="e">
        <f t="shared" ca="1" si="116"/>
        <v>#N/A</v>
      </c>
      <c r="AB195" s="179" t="e">
        <f t="shared" ca="1" si="116"/>
        <v>#N/A</v>
      </c>
      <c r="AC195" s="179" t="e">
        <f t="shared" ca="1" si="83"/>
        <v>#N/A</v>
      </c>
      <c r="AD195" s="179" t="e">
        <f t="shared" ca="1" si="117"/>
        <v>#N/A</v>
      </c>
      <c r="AE195" s="179" t="e">
        <f t="shared" ca="1" si="117"/>
        <v>#N/A</v>
      </c>
      <c r="AF195" s="179" t="e">
        <f t="shared" ca="1" si="84"/>
        <v>#N/A</v>
      </c>
      <c r="AG195" s="179" t="e">
        <f t="shared" ca="1" si="118"/>
        <v>#N/A</v>
      </c>
      <c r="AH195" s="179" t="e">
        <f t="shared" ca="1" si="118"/>
        <v>#N/A</v>
      </c>
    </row>
    <row r="196" spans="1:34" ht="15.75" customHeight="1">
      <c r="A196" s="449" t="s">
        <v>39</v>
      </c>
      <c r="B196" s="449" t="s">
        <v>1298</v>
      </c>
      <c r="C196" s="449" t="s">
        <v>692</v>
      </c>
      <c r="D196" s="322" t="str">
        <f t="shared" ca="1" si="95"/>
        <v/>
      </c>
      <c r="E196" s="322" t="str">
        <f t="shared" ca="1" si="96"/>
        <v/>
      </c>
      <c r="F196" s="322" t="str">
        <f t="shared" ca="1" si="97"/>
        <v/>
      </c>
      <c r="G196" s="227" t="str">
        <f t="shared" ca="1" si="85"/>
        <v/>
      </c>
      <c r="H196" s="227" t="str">
        <f t="shared" ca="1" si="86"/>
        <v/>
      </c>
      <c r="I196" s="227" t="str">
        <f t="shared" ca="1" si="87"/>
        <v/>
      </c>
      <c r="J196" s="227" t="str">
        <f t="shared" ca="1" si="108"/>
        <v/>
      </c>
      <c r="K196" s="227" t="str">
        <f t="shared" ca="1" si="109"/>
        <v/>
      </c>
      <c r="L196" s="227" t="str">
        <f t="shared" ca="1" si="110"/>
        <v/>
      </c>
      <c r="M196" s="227" t="str">
        <f t="shared" ca="1" si="111"/>
        <v/>
      </c>
      <c r="N196" s="227" t="str">
        <f t="shared" ca="1" si="112"/>
        <v/>
      </c>
      <c r="O196" s="227" t="str">
        <f t="shared" ca="1" si="113"/>
        <v/>
      </c>
      <c r="P196" s="227" t="str">
        <f t="shared" ca="1" si="91"/>
        <v/>
      </c>
      <c r="Q196" s="227" t="str">
        <f t="shared" ca="1" si="92"/>
        <v/>
      </c>
      <c r="R196" s="227" t="str">
        <f t="shared" ca="1" si="93"/>
        <v/>
      </c>
      <c r="T196" s="179" t="e">
        <f t="shared" ca="1" si="94"/>
        <v>#N/A</v>
      </c>
      <c r="U196" s="179" t="e">
        <f t="shared" ca="1" si="114"/>
        <v>#N/A</v>
      </c>
      <c r="V196" s="179" t="e">
        <f t="shared" ca="1" si="114"/>
        <v>#N/A</v>
      </c>
      <c r="W196" s="179" t="e">
        <f t="shared" ca="1" si="81"/>
        <v>#N/A</v>
      </c>
      <c r="X196" s="179" t="e">
        <f t="shared" ca="1" si="115"/>
        <v>#N/A</v>
      </c>
      <c r="Y196" s="179" t="e">
        <f t="shared" ca="1" si="115"/>
        <v>#N/A</v>
      </c>
      <c r="Z196" s="179" t="e">
        <f t="shared" ca="1" si="82"/>
        <v>#N/A</v>
      </c>
      <c r="AA196" s="179" t="e">
        <f t="shared" ca="1" si="116"/>
        <v>#N/A</v>
      </c>
      <c r="AB196" s="179" t="e">
        <f t="shared" ca="1" si="116"/>
        <v>#N/A</v>
      </c>
      <c r="AC196" s="179" t="e">
        <f t="shared" ca="1" si="83"/>
        <v>#N/A</v>
      </c>
      <c r="AD196" s="179" t="e">
        <f t="shared" ca="1" si="117"/>
        <v>#N/A</v>
      </c>
      <c r="AE196" s="179" t="e">
        <f t="shared" ca="1" si="117"/>
        <v>#N/A</v>
      </c>
      <c r="AF196" s="179" t="e">
        <f t="shared" ca="1" si="84"/>
        <v>#N/A</v>
      </c>
      <c r="AG196" s="179" t="e">
        <f t="shared" ca="1" si="118"/>
        <v>#N/A</v>
      </c>
      <c r="AH196" s="179" t="e">
        <f t="shared" ca="1" si="118"/>
        <v>#N/A</v>
      </c>
    </row>
    <row r="197" spans="1:34" ht="15.75" customHeight="1">
      <c r="A197" s="449" t="s">
        <v>37</v>
      </c>
      <c r="B197" s="449" t="s">
        <v>478</v>
      </c>
      <c r="C197" s="449" t="s">
        <v>1674</v>
      </c>
      <c r="D197" s="322" t="str">
        <f t="shared" ca="1" si="95"/>
        <v/>
      </c>
      <c r="E197" s="322" t="str">
        <f t="shared" ca="1" si="96"/>
        <v/>
      </c>
      <c r="F197" s="322" t="str">
        <f t="shared" ca="1" si="97"/>
        <v/>
      </c>
      <c r="G197" s="227" t="str">
        <f t="shared" ref="G197:G215" ca="1" si="119">IF(ISNA(W197),"",INDIRECT("A" &amp; W197))</f>
        <v/>
      </c>
      <c r="H197" s="227" t="str">
        <f t="shared" ref="H197:H215" ca="1" si="120">IF(ISNA(X197),"",INDIRECT("B" &amp; X197))</f>
        <v/>
      </c>
      <c r="I197" s="227" t="str">
        <f t="shared" ref="I197:I215" ca="1" si="121">IF(ISNA(Y197),"",INDIRECT("C" &amp; Y197))</f>
        <v/>
      </c>
      <c r="J197" s="227" t="str">
        <f t="shared" ca="1" si="108"/>
        <v/>
      </c>
      <c r="K197" s="227" t="str">
        <f t="shared" ca="1" si="109"/>
        <v/>
      </c>
      <c r="L197" s="227" t="str">
        <f t="shared" ca="1" si="110"/>
        <v/>
      </c>
      <c r="M197" s="227" t="str">
        <f t="shared" ca="1" si="111"/>
        <v/>
      </c>
      <c r="N197" s="227" t="str">
        <f t="shared" ca="1" si="112"/>
        <v/>
      </c>
      <c r="O197" s="227" t="str">
        <f t="shared" ca="1" si="113"/>
        <v/>
      </c>
      <c r="P197" s="227" t="str">
        <f t="shared" ca="1" si="91"/>
        <v/>
      </c>
      <c r="Q197" s="227" t="str">
        <f t="shared" ca="1" si="92"/>
        <v/>
      </c>
      <c r="R197" s="227" t="str">
        <f t="shared" ca="1" si="93"/>
        <v/>
      </c>
      <c r="T197" s="179" t="e">
        <f t="shared" ca="1" si="94"/>
        <v>#N/A</v>
      </c>
      <c r="U197" s="179" t="e">
        <f t="shared" ca="1" si="114"/>
        <v>#N/A</v>
      </c>
      <c r="V197" s="179" t="e">
        <f t="shared" ca="1" si="114"/>
        <v>#N/A</v>
      </c>
      <c r="W197" s="179" t="e">
        <f t="shared" ca="1" si="81"/>
        <v>#N/A</v>
      </c>
      <c r="X197" s="179" t="e">
        <f t="shared" ca="1" si="115"/>
        <v>#N/A</v>
      </c>
      <c r="Y197" s="179" t="e">
        <f t="shared" ca="1" si="115"/>
        <v>#N/A</v>
      </c>
      <c r="Z197" s="179" t="e">
        <f t="shared" ca="1" si="82"/>
        <v>#N/A</v>
      </c>
      <c r="AA197" s="179" t="e">
        <f t="shared" ca="1" si="116"/>
        <v>#N/A</v>
      </c>
      <c r="AB197" s="179" t="e">
        <f t="shared" ca="1" si="116"/>
        <v>#N/A</v>
      </c>
      <c r="AC197" s="179" t="e">
        <f t="shared" ca="1" si="83"/>
        <v>#N/A</v>
      </c>
      <c r="AD197" s="179" t="e">
        <f t="shared" ca="1" si="117"/>
        <v>#N/A</v>
      </c>
      <c r="AE197" s="179" t="e">
        <f t="shared" ca="1" si="117"/>
        <v>#N/A</v>
      </c>
      <c r="AF197" s="179" t="e">
        <f t="shared" ca="1" si="84"/>
        <v>#N/A</v>
      </c>
      <c r="AG197" s="179" t="e">
        <f t="shared" ca="1" si="118"/>
        <v>#N/A</v>
      </c>
      <c r="AH197" s="179" t="e">
        <f t="shared" ca="1" si="118"/>
        <v>#N/A</v>
      </c>
    </row>
    <row r="198" spans="1:34" ht="15.75" customHeight="1">
      <c r="A198" s="449" t="s">
        <v>37</v>
      </c>
      <c r="B198" s="449" t="s">
        <v>481</v>
      </c>
      <c r="C198" s="449" t="s">
        <v>688</v>
      </c>
      <c r="D198" s="322" t="str">
        <f t="shared" ca="1" si="95"/>
        <v/>
      </c>
      <c r="E198" s="322" t="str">
        <f t="shared" ca="1" si="96"/>
        <v/>
      </c>
      <c r="F198" s="322" t="str">
        <f t="shared" ca="1" si="97"/>
        <v/>
      </c>
      <c r="G198" s="227" t="str">
        <f t="shared" ca="1" si="119"/>
        <v/>
      </c>
      <c r="H198" s="227" t="str">
        <f t="shared" ca="1" si="120"/>
        <v/>
      </c>
      <c r="I198" s="227" t="str">
        <f t="shared" ca="1" si="121"/>
        <v/>
      </c>
      <c r="J198" s="227" t="str">
        <f t="shared" ca="1" si="108"/>
        <v/>
      </c>
      <c r="K198" s="227" t="str">
        <f t="shared" ca="1" si="109"/>
        <v/>
      </c>
      <c r="L198" s="227" t="str">
        <f t="shared" ca="1" si="110"/>
        <v/>
      </c>
      <c r="M198" s="227" t="str">
        <f t="shared" ca="1" si="111"/>
        <v/>
      </c>
      <c r="N198" s="227" t="str">
        <f t="shared" ca="1" si="112"/>
        <v/>
      </c>
      <c r="O198" s="227" t="str">
        <f t="shared" ca="1" si="113"/>
        <v/>
      </c>
      <c r="P198" s="227" t="str">
        <f t="shared" ca="1" si="91"/>
        <v/>
      </c>
      <c r="Q198" s="227" t="str">
        <f t="shared" ca="1" si="92"/>
        <v/>
      </c>
      <c r="R198" s="227" t="str">
        <f t="shared" ca="1" si="93"/>
        <v/>
      </c>
      <c r="T198" s="179" t="e">
        <f t="shared" ca="1" si="94"/>
        <v>#N/A</v>
      </c>
      <c r="U198" s="179" t="e">
        <f t="shared" ca="1" si="114"/>
        <v>#N/A</v>
      </c>
      <c r="V198" s="179" t="e">
        <f t="shared" ca="1" si="114"/>
        <v>#N/A</v>
      </c>
      <c r="W198" s="179" t="e">
        <f t="shared" ca="1" si="81"/>
        <v>#N/A</v>
      </c>
      <c r="X198" s="179" t="e">
        <f t="shared" ca="1" si="115"/>
        <v>#N/A</v>
      </c>
      <c r="Y198" s="179" t="e">
        <f t="shared" ca="1" si="115"/>
        <v>#N/A</v>
      </c>
      <c r="Z198" s="179" t="e">
        <f t="shared" ca="1" si="82"/>
        <v>#N/A</v>
      </c>
      <c r="AA198" s="179" t="e">
        <f t="shared" ca="1" si="116"/>
        <v>#N/A</v>
      </c>
      <c r="AB198" s="179" t="e">
        <f t="shared" ca="1" si="116"/>
        <v>#N/A</v>
      </c>
      <c r="AC198" s="179" t="e">
        <f t="shared" ca="1" si="83"/>
        <v>#N/A</v>
      </c>
      <c r="AD198" s="179" t="e">
        <f t="shared" ca="1" si="117"/>
        <v>#N/A</v>
      </c>
      <c r="AE198" s="179" t="e">
        <f t="shared" ca="1" si="117"/>
        <v>#N/A</v>
      </c>
      <c r="AF198" s="179" t="e">
        <f t="shared" ca="1" si="84"/>
        <v>#N/A</v>
      </c>
      <c r="AG198" s="179" t="e">
        <f t="shared" ca="1" si="118"/>
        <v>#N/A</v>
      </c>
      <c r="AH198" s="179" t="e">
        <f t="shared" ca="1" si="118"/>
        <v>#N/A</v>
      </c>
    </row>
    <row r="199" spans="1:34" ht="15.75" customHeight="1">
      <c r="A199" s="449" t="s">
        <v>35</v>
      </c>
      <c r="B199" s="449" t="s">
        <v>342</v>
      </c>
      <c r="C199" s="449" t="s">
        <v>701</v>
      </c>
      <c r="D199" s="322" t="str">
        <f t="shared" ca="1" si="95"/>
        <v/>
      </c>
      <c r="E199" s="322" t="str">
        <f t="shared" ca="1" si="96"/>
        <v/>
      </c>
      <c r="F199" s="322" t="str">
        <f t="shared" ca="1" si="97"/>
        <v/>
      </c>
      <c r="G199" s="227" t="str">
        <f t="shared" ca="1" si="119"/>
        <v/>
      </c>
      <c r="H199" s="227" t="str">
        <f t="shared" ca="1" si="120"/>
        <v/>
      </c>
      <c r="I199" s="227" t="str">
        <f t="shared" ca="1" si="121"/>
        <v/>
      </c>
      <c r="J199" s="227" t="str">
        <f t="shared" ca="1" si="108"/>
        <v/>
      </c>
      <c r="K199" s="227" t="str">
        <f t="shared" ca="1" si="109"/>
        <v/>
      </c>
      <c r="L199" s="227" t="str">
        <f t="shared" ca="1" si="110"/>
        <v/>
      </c>
      <c r="M199" s="227" t="str">
        <f t="shared" ca="1" si="111"/>
        <v/>
      </c>
      <c r="N199" s="227" t="str">
        <f t="shared" ca="1" si="112"/>
        <v/>
      </c>
      <c r="O199" s="227" t="str">
        <f t="shared" ca="1" si="113"/>
        <v/>
      </c>
      <c r="P199" s="227" t="str">
        <f t="shared" ca="1" si="91"/>
        <v/>
      </c>
      <c r="Q199" s="227" t="str">
        <f t="shared" ca="1" si="92"/>
        <v/>
      </c>
      <c r="R199" s="227" t="str">
        <f t="shared" ca="1" si="93"/>
        <v/>
      </c>
      <c r="T199" s="179" t="e">
        <f t="shared" ca="1" si="94"/>
        <v>#N/A</v>
      </c>
      <c r="U199" s="179" t="e">
        <f t="shared" ca="1" si="114"/>
        <v>#N/A</v>
      </c>
      <c r="V199" s="179" t="e">
        <f t="shared" ca="1" si="114"/>
        <v>#N/A</v>
      </c>
      <c r="W199" s="179" t="e">
        <f t="shared" ca="1" si="81"/>
        <v>#N/A</v>
      </c>
      <c r="X199" s="179" t="e">
        <f t="shared" ca="1" si="115"/>
        <v>#N/A</v>
      </c>
      <c r="Y199" s="179" t="e">
        <f t="shared" ca="1" si="115"/>
        <v>#N/A</v>
      </c>
      <c r="Z199" s="179" t="e">
        <f t="shared" ca="1" si="82"/>
        <v>#N/A</v>
      </c>
      <c r="AA199" s="179" t="e">
        <f t="shared" ca="1" si="116"/>
        <v>#N/A</v>
      </c>
      <c r="AB199" s="179" t="e">
        <f t="shared" ca="1" si="116"/>
        <v>#N/A</v>
      </c>
      <c r="AC199" s="179" t="e">
        <f t="shared" ca="1" si="83"/>
        <v>#N/A</v>
      </c>
      <c r="AD199" s="179" t="e">
        <f t="shared" ca="1" si="117"/>
        <v>#N/A</v>
      </c>
      <c r="AE199" s="179" t="e">
        <f t="shared" ca="1" si="117"/>
        <v>#N/A</v>
      </c>
      <c r="AF199" s="179" t="e">
        <f t="shared" ca="1" si="84"/>
        <v>#N/A</v>
      </c>
      <c r="AG199" s="179" t="e">
        <f t="shared" ca="1" si="118"/>
        <v>#N/A</v>
      </c>
      <c r="AH199" s="179" t="e">
        <f t="shared" ca="1" si="118"/>
        <v>#N/A</v>
      </c>
    </row>
    <row r="200" spans="1:34" ht="15.75" customHeight="1">
      <c r="A200" s="449" t="s">
        <v>43</v>
      </c>
      <c r="B200" s="449" t="s">
        <v>374</v>
      </c>
      <c r="C200" s="449" t="s">
        <v>1477</v>
      </c>
      <c r="D200" s="322" t="str">
        <f t="shared" ca="1" si="95"/>
        <v/>
      </c>
      <c r="E200" s="322" t="str">
        <f t="shared" ca="1" si="96"/>
        <v/>
      </c>
      <c r="F200" s="322" t="str">
        <f t="shared" ca="1" si="97"/>
        <v/>
      </c>
      <c r="G200" s="227" t="str">
        <f t="shared" ca="1" si="119"/>
        <v/>
      </c>
      <c r="H200" s="227" t="str">
        <f t="shared" ca="1" si="120"/>
        <v/>
      </c>
      <c r="I200" s="227" t="str">
        <f t="shared" ca="1" si="121"/>
        <v/>
      </c>
      <c r="J200" s="227" t="str">
        <f t="shared" ref="J200:J228" ca="1" si="122">IF(ISNA(Z200),"",INDIRECT("A" &amp; Z200))</f>
        <v/>
      </c>
      <c r="K200" s="227" t="str">
        <f t="shared" ref="K200:K228" ca="1" si="123">IF(ISNA(AA200),"",INDIRECT("B" &amp; AA200))</f>
        <v/>
      </c>
      <c r="L200" s="227" t="str">
        <f t="shared" ref="L200:L228" ca="1" si="124">IF(ISNA(AB200),"",INDIRECT("C" &amp; AB200))</f>
        <v/>
      </c>
      <c r="M200" s="227" t="str">
        <f t="shared" ca="1" si="111"/>
        <v/>
      </c>
      <c r="N200" s="227" t="str">
        <f t="shared" ca="1" si="112"/>
        <v/>
      </c>
      <c r="O200" s="227" t="str">
        <f t="shared" ca="1" si="113"/>
        <v/>
      </c>
      <c r="P200" s="227" t="str">
        <f t="shared" ca="1" si="91"/>
        <v/>
      </c>
      <c r="Q200" s="227" t="str">
        <f t="shared" ca="1" si="92"/>
        <v/>
      </c>
      <c r="R200" s="227" t="str">
        <f t="shared" ca="1" si="93"/>
        <v/>
      </c>
      <c r="T200" s="179" t="e">
        <f t="shared" ca="1" si="94"/>
        <v>#N/A</v>
      </c>
      <c r="U200" s="179" t="e">
        <f t="shared" ca="1" si="114"/>
        <v>#N/A</v>
      </c>
      <c r="V200" s="179" t="e">
        <f t="shared" ca="1" si="114"/>
        <v>#N/A</v>
      </c>
      <c r="W200" s="179" t="e">
        <f t="shared" ca="1" si="81"/>
        <v>#N/A</v>
      </c>
      <c r="X200" s="179" t="e">
        <f t="shared" ca="1" si="115"/>
        <v>#N/A</v>
      </c>
      <c r="Y200" s="179" t="e">
        <f t="shared" ca="1" si="115"/>
        <v>#N/A</v>
      </c>
      <c r="Z200" s="179" t="e">
        <f t="shared" ca="1" si="82"/>
        <v>#N/A</v>
      </c>
      <c r="AA200" s="179" t="e">
        <f t="shared" ca="1" si="116"/>
        <v>#N/A</v>
      </c>
      <c r="AB200" s="179" t="e">
        <f t="shared" ca="1" si="116"/>
        <v>#N/A</v>
      </c>
      <c r="AC200" s="179" t="e">
        <f t="shared" ca="1" si="83"/>
        <v>#N/A</v>
      </c>
      <c r="AD200" s="179" t="e">
        <f t="shared" ca="1" si="117"/>
        <v>#N/A</v>
      </c>
      <c r="AE200" s="179" t="e">
        <f t="shared" ca="1" si="117"/>
        <v>#N/A</v>
      </c>
      <c r="AF200" s="179" t="e">
        <f t="shared" ca="1" si="84"/>
        <v>#N/A</v>
      </c>
      <c r="AG200" s="179" t="e">
        <f t="shared" ca="1" si="118"/>
        <v>#N/A</v>
      </c>
      <c r="AH200" s="179" t="e">
        <f t="shared" ca="1" si="118"/>
        <v>#N/A</v>
      </c>
    </row>
    <row r="201" spans="1:34" ht="15.75" customHeight="1">
      <c r="A201" s="449" t="s">
        <v>37</v>
      </c>
      <c r="B201" s="449" t="s">
        <v>485</v>
      </c>
      <c r="C201" s="449" t="s">
        <v>695</v>
      </c>
      <c r="D201" s="322" t="str">
        <f t="shared" ca="1" si="95"/>
        <v/>
      </c>
      <c r="E201" s="322" t="str">
        <f t="shared" ca="1" si="96"/>
        <v/>
      </c>
      <c r="F201" s="322" t="str">
        <f t="shared" ca="1" si="97"/>
        <v/>
      </c>
      <c r="G201" s="227" t="str">
        <f t="shared" ca="1" si="119"/>
        <v/>
      </c>
      <c r="H201" s="227" t="str">
        <f t="shared" ca="1" si="120"/>
        <v/>
      </c>
      <c r="I201" s="227" t="str">
        <f t="shared" ca="1" si="121"/>
        <v/>
      </c>
      <c r="J201" s="227" t="str">
        <f t="shared" ca="1" si="122"/>
        <v/>
      </c>
      <c r="K201" s="227" t="str">
        <f t="shared" ca="1" si="123"/>
        <v/>
      </c>
      <c r="L201" s="227" t="str">
        <f t="shared" ca="1" si="124"/>
        <v/>
      </c>
      <c r="M201" s="227" t="str">
        <f t="shared" ca="1" si="111"/>
        <v/>
      </c>
      <c r="N201" s="227" t="str">
        <f t="shared" ca="1" si="112"/>
        <v/>
      </c>
      <c r="O201" s="227" t="str">
        <f t="shared" ca="1" si="113"/>
        <v/>
      </c>
      <c r="P201" s="227" t="str">
        <f t="shared" ca="1" si="91"/>
        <v/>
      </c>
      <c r="Q201" s="227" t="str">
        <f t="shared" ca="1" si="92"/>
        <v/>
      </c>
      <c r="R201" s="227" t="str">
        <f t="shared" ca="1" si="93"/>
        <v/>
      </c>
      <c r="T201" s="179" t="e">
        <f t="shared" ca="1" si="94"/>
        <v>#N/A</v>
      </c>
      <c r="U201" s="179" t="e">
        <f t="shared" ca="1" si="114"/>
        <v>#N/A</v>
      </c>
      <c r="V201" s="179" t="e">
        <f t="shared" ca="1" si="114"/>
        <v>#N/A</v>
      </c>
      <c r="W201" s="179" t="e">
        <f t="shared" ref="W201:W264" ca="1" si="125">W200+MATCH(W$7,INDIRECT("$A"&amp;W200+1&amp;":$A$1000"),0)</f>
        <v>#N/A</v>
      </c>
      <c r="X201" s="179" t="e">
        <f t="shared" ca="1" si="115"/>
        <v>#N/A</v>
      </c>
      <c r="Y201" s="179" t="e">
        <f t="shared" ca="1" si="115"/>
        <v>#N/A</v>
      </c>
      <c r="Z201" s="179" t="e">
        <f t="shared" ref="Z201:Z264" ca="1" si="126">Z200+MATCH(Z$7,INDIRECT("$A"&amp;Z200+1&amp;":$A$1000"),0)</f>
        <v>#N/A</v>
      </c>
      <c r="AA201" s="179" t="e">
        <f t="shared" ca="1" si="116"/>
        <v>#N/A</v>
      </c>
      <c r="AB201" s="179" t="e">
        <f t="shared" ca="1" si="116"/>
        <v>#N/A</v>
      </c>
      <c r="AC201" s="179" t="e">
        <f t="shared" ref="AC201:AC264" ca="1" si="127">AC200+MATCH(AC$7,INDIRECT("$A"&amp;AC200+1&amp;":$A$1000"),0)</f>
        <v>#N/A</v>
      </c>
      <c r="AD201" s="179" t="e">
        <f t="shared" ca="1" si="117"/>
        <v>#N/A</v>
      </c>
      <c r="AE201" s="179" t="e">
        <f t="shared" ca="1" si="117"/>
        <v>#N/A</v>
      </c>
      <c r="AF201" s="179" t="e">
        <f t="shared" ref="AF201:AF264" ca="1" si="128">AF200+MATCH(AF$7,INDIRECT("$A"&amp;AF200+1&amp;":$A$1000"),0)</f>
        <v>#N/A</v>
      </c>
      <c r="AG201" s="179" t="e">
        <f t="shared" ca="1" si="118"/>
        <v>#N/A</v>
      </c>
      <c r="AH201" s="179" t="e">
        <f t="shared" ca="1" si="118"/>
        <v>#N/A</v>
      </c>
    </row>
    <row r="202" spans="1:34" ht="15.75" customHeight="1">
      <c r="A202" s="449" t="s">
        <v>39</v>
      </c>
      <c r="B202" s="449" t="s">
        <v>459</v>
      </c>
      <c r="C202" s="449" t="s">
        <v>684</v>
      </c>
      <c r="D202" s="322" t="str">
        <f t="shared" ca="1" si="95"/>
        <v/>
      </c>
      <c r="E202" s="322" t="str">
        <f t="shared" ca="1" si="96"/>
        <v/>
      </c>
      <c r="F202" s="322" t="str">
        <f t="shared" ca="1" si="97"/>
        <v/>
      </c>
      <c r="G202" s="227" t="str">
        <f t="shared" ca="1" si="119"/>
        <v/>
      </c>
      <c r="H202" s="227" t="str">
        <f t="shared" ca="1" si="120"/>
        <v/>
      </c>
      <c r="I202" s="227" t="str">
        <f t="shared" ca="1" si="121"/>
        <v/>
      </c>
      <c r="J202" s="227" t="str">
        <f t="shared" ca="1" si="122"/>
        <v/>
      </c>
      <c r="K202" s="227" t="str">
        <f t="shared" ca="1" si="123"/>
        <v/>
      </c>
      <c r="L202" s="227" t="str">
        <f t="shared" ca="1" si="124"/>
        <v/>
      </c>
      <c r="M202" s="227" t="str">
        <f t="shared" ca="1" si="111"/>
        <v/>
      </c>
      <c r="N202" s="227" t="str">
        <f t="shared" ca="1" si="112"/>
        <v/>
      </c>
      <c r="O202" s="227" t="str">
        <f t="shared" ca="1" si="113"/>
        <v/>
      </c>
      <c r="P202" s="227" t="str">
        <f t="shared" ref="P202:P228" ca="1" si="129">IF(ISNA(AF202),"",INDIRECT("A" &amp; AF202))</f>
        <v/>
      </c>
      <c r="Q202" s="227" t="str">
        <f t="shared" ref="Q202:Q228" ca="1" si="130">IF(ISNA(AG202),"",INDIRECT("B" &amp; AG202))</f>
        <v/>
      </c>
      <c r="R202" s="227" t="str">
        <f t="shared" ref="R202:R228" ca="1" si="131">IF(ISNA(AH202),"",INDIRECT("C" &amp; AH202))</f>
        <v/>
      </c>
      <c r="T202" s="179" t="e">
        <f t="shared" ref="T202:T265" ca="1" si="132">T201+MATCH($T$7,INDIRECT("$A"&amp;T201+1&amp;":$A$1000"),0)</f>
        <v>#N/A</v>
      </c>
      <c r="U202" s="179" t="e">
        <f t="shared" ca="1" si="114"/>
        <v>#N/A</v>
      </c>
      <c r="V202" s="179" t="e">
        <f t="shared" ca="1" si="114"/>
        <v>#N/A</v>
      </c>
      <c r="W202" s="179" t="e">
        <f t="shared" ca="1" si="125"/>
        <v>#N/A</v>
      </c>
      <c r="X202" s="179" t="e">
        <f t="shared" ca="1" si="115"/>
        <v>#N/A</v>
      </c>
      <c r="Y202" s="179" t="e">
        <f t="shared" ca="1" si="115"/>
        <v>#N/A</v>
      </c>
      <c r="Z202" s="179" t="e">
        <f t="shared" ca="1" si="126"/>
        <v>#N/A</v>
      </c>
      <c r="AA202" s="179" t="e">
        <f t="shared" ca="1" si="116"/>
        <v>#N/A</v>
      </c>
      <c r="AB202" s="179" t="e">
        <f t="shared" ca="1" si="116"/>
        <v>#N/A</v>
      </c>
      <c r="AC202" s="179" t="e">
        <f t="shared" ca="1" si="127"/>
        <v>#N/A</v>
      </c>
      <c r="AD202" s="179" t="e">
        <f t="shared" ca="1" si="117"/>
        <v>#N/A</v>
      </c>
      <c r="AE202" s="179" t="e">
        <f t="shared" ca="1" si="117"/>
        <v>#N/A</v>
      </c>
      <c r="AF202" s="179" t="e">
        <f t="shared" ca="1" si="128"/>
        <v>#N/A</v>
      </c>
      <c r="AG202" s="179" t="e">
        <f t="shared" ca="1" si="118"/>
        <v>#N/A</v>
      </c>
      <c r="AH202" s="179" t="e">
        <f t="shared" ca="1" si="118"/>
        <v>#N/A</v>
      </c>
    </row>
    <row r="203" spans="1:34" ht="15.75" customHeight="1">
      <c r="A203" s="449" t="s">
        <v>39</v>
      </c>
      <c r="B203" s="449" t="s">
        <v>1760</v>
      </c>
      <c r="C203" s="449" t="s">
        <v>1674</v>
      </c>
      <c r="D203" s="322" t="str">
        <f t="shared" ca="1" si="95"/>
        <v/>
      </c>
      <c r="E203" s="322" t="str">
        <f t="shared" ca="1" si="96"/>
        <v/>
      </c>
      <c r="F203" s="322" t="str">
        <f t="shared" ca="1" si="97"/>
        <v/>
      </c>
      <c r="G203" s="227" t="str">
        <f t="shared" ca="1" si="119"/>
        <v/>
      </c>
      <c r="H203" s="227" t="str">
        <f t="shared" ca="1" si="120"/>
        <v/>
      </c>
      <c r="I203" s="227" t="str">
        <f t="shared" ca="1" si="121"/>
        <v/>
      </c>
      <c r="J203" s="227" t="str">
        <f t="shared" ca="1" si="122"/>
        <v/>
      </c>
      <c r="K203" s="227" t="str">
        <f t="shared" ca="1" si="123"/>
        <v/>
      </c>
      <c r="L203" s="227" t="str">
        <f t="shared" ca="1" si="124"/>
        <v/>
      </c>
      <c r="M203" s="227" t="str">
        <f t="shared" ca="1" si="111"/>
        <v/>
      </c>
      <c r="N203" s="227" t="str">
        <f t="shared" ca="1" si="112"/>
        <v/>
      </c>
      <c r="O203" s="227" t="str">
        <f t="shared" ca="1" si="113"/>
        <v/>
      </c>
      <c r="P203" s="227" t="str">
        <f t="shared" ca="1" si="129"/>
        <v/>
      </c>
      <c r="Q203" s="227" t="str">
        <f t="shared" ca="1" si="130"/>
        <v/>
      </c>
      <c r="R203" s="227" t="str">
        <f t="shared" ca="1" si="131"/>
        <v/>
      </c>
      <c r="T203" s="179" t="e">
        <f t="shared" ca="1" si="132"/>
        <v>#N/A</v>
      </c>
      <c r="U203" s="179" t="e">
        <f t="shared" ca="1" si="114"/>
        <v>#N/A</v>
      </c>
      <c r="V203" s="179" t="e">
        <f t="shared" ca="1" si="114"/>
        <v>#N/A</v>
      </c>
      <c r="W203" s="179" t="e">
        <f t="shared" ca="1" si="125"/>
        <v>#N/A</v>
      </c>
      <c r="X203" s="179" t="e">
        <f t="shared" ca="1" si="115"/>
        <v>#N/A</v>
      </c>
      <c r="Y203" s="179" t="e">
        <f t="shared" ca="1" si="115"/>
        <v>#N/A</v>
      </c>
      <c r="Z203" s="179" t="e">
        <f t="shared" ca="1" si="126"/>
        <v>#N/A</v>
      </c>
      <c r="AA203" s="179" t="e">
        <f t="shared" ca="1" si="116"/>
        <v>#N/A</v>
      </c>
      <c r="AB203" s="179" t="e">
        <f t="shared" ca="1" si="116"/>
        <v>#N/A</v>
      </c>
      <c r="AC203" s="179" t="e">
        <f t="shared" ca="1" si="127"/>
        <v>#N/A</v>
      </c>
      <c r="AD203" s="179" t="e">
        <f t="shared" ca="1" si="117"/>
        <v>#N/A</v>
      </c>
      <c r="AE203" s="179" t="e">
        <f t="shared" ca="1" si="117"/>
        <v>#N/A</v>
      </c>
      <c r="AF203" s="179" t="e">
        <f t="shared" ca="1" si="128"/>
        <v>#N/A</v>
      </c>
      <c r="AG203" s="179" t="e">
        <f t="shared" ca="1" si="118"/>
        <v>#N/A</v>
      </c>
      <c r="AH203" s="179" t="e">
        <f t="shared" ca="1" si="118"/>
        <v>#N/A</v>
      </c>
    </row>
    <row r="204" spans="1:34" ht="15.75" customHeight="1">
      <c r="A204" s="449" t="s">
        <v>39</v>
      </c>
      <c r="B204" s="449" t="s">
        <v>461</v>
      </c>
      <c r="C204" s="449" t="s">
        <v>686</v>
      </c>
      <c r="D204" s="322" t="str">
        <f t="shared" ca="1" si="95"/>
        <v/>
      </c>
      <c r="E204" s="322" t="str">
        <f t="shared" ca="1" si="96"/>
        <v/>
      </c>
      <c r="F204" s="322" t="str">
        <f t="shared" ca="1" si="97"/>
        <v/>
      </c>
      <c r="G204" s="227" t="str">
        <f t="shared" ca="1" si="119"/>
        <v/>
      </c>
      <c r="H204" s="227" t="str">
        <f t="shared" ca="1" si="120"/>
        <v/>
      </c>
      <c r="I204" s="227" t="str">
        <f t="shared" ca="1" si="121"/>
        <v/>
      </c>
      <c r="J204" s="227" t="str">
        <f t="shared" ca="1" si="122"/>
        <v/>
      </c>
      <c r="K204" s="227" t="str">
        <f t="shared" ca="1" si="123"/>
        <v/>
      </c>
      <c r="L204" s="227" t="str">
        <f t="shared" ca="1" si="124"/>
        <v/>
      </c>
      <c r="M204" s="227" t="str">
        <f t="shared" ca="1" si="111"/>
        <v/>
      </c>
      <c r="N204" s="227" t="str">
        <f t="shared" ca="1" si="112"/>
        <v/>
      </c>
      <c r="O204" s="227" t="str">
        <f t="shared" ca="1" si="113"/>
        <v/>
      </c>
      <c r="P204" s="227" t="str">
        <f t="shared" ca="1" si="129"/>
        <v/>
      </c>
      <c r="Q204" s="227" t="str">
        <f t="shared" ca="1" si="130"/>
        <v/>
      </c>
      <c r="R204" s="227" t="str">
        <f t="shared" ca="1" si="131"/>
        <v/>
      </c>
      <c r="T204" s="179" t="e">
        <f t="shared" ca="1" si="132"/>
        <v>#N/A</v>
      </c>
      <c r="U204" s="179" t="e">
        <f t="shared" ca="1" si="114"/>
        <v>#N/A</v>
      </c>
      <c r="V204" s="179" t="e">
        <f t="shared" ca="1" si="114"/>
        <v>#N/A</v>
      </c>
      <c r="W204" s="179" t="e">
        <f t="shared" ca="1" si="125"/>
        <v>#N/A</v>
      </c>
      <c r="X204" s="179" t="e">
        <f t="shared" ca="1" si="115"/>
        <v>#N/A</v>
      </c>
      <c r="Y204" s="179" t="e">
        <f t="shared" ca="1" si="115"/>
        <v>#N/A</v>
      </c>
      <c r="Z204" s="179" t="e">
        <f t="shared" ca="1" si="126"/>
        <v>#N/A</v>
      </c>
      <c r="AA204" s="179" t="e">
        <f t="shared" ca="1" si="116"/>
        <v>#N/A</v>
      </c>
      <c r="AB204" s="179" t="e">
        <f t="shared" ca="1" si="116"/>
        <v>#N/A</v>
      </c>
      <c r="AC204" s="179" t="e">
        <f t="shared" ca="1" si="127"/>
        <v>#N/A</v>
      </c>
      <c r="AD204" s="179" t="e">
        <f t="shared" ca="1" si="117"/>
        <v>#N/A</v>
      </c>
      <c r="AE204" s="179" t="e">
        <f t="shared" ca="1" si="117"/>
        <v>#N/A</v>
      </c>
      <c r="AF204" s="179" t="e">
        <f t="shared" ca="1" si="128"/>
        <v>#N/A</v>
      </c>
      <c r="AG204" s="179" t="e">
        <f t="shared" ca="1" si="118"/>
        <v>#N/A</v>
      </c>
      <c r="AH204" s="179" t="e">
        <f t="shared" ca="1" si="118"/>
        <v>#N/A</v>
      </c>
    </row>
    <row r="205" spans="1:34" ht="15.75" customHeight="1">
      <c r="A205" s="449" t="s">
        <v>37</v>
      </c>
      <c r="B205" s="449" t="s">
        <v>891</v>
      </c>
      <c r="C205" s="449" t="s">
        <v>680</v>
      </c>
      <c r="D205" s="322" t="str">
        <f t="shared" ca="1" si="95"/>
        <v/>
      </c>
      <c r="E205" s="322" t="str">
        <f t="shared" ca="1" si="96"/>
        <v/>
      </c>
      <c r="F205" s="322" t="str">
        <f t="shared" ca="1" si="97"/>
        <v/>
      </c>
      <c r="G205" s="227" t="str">
        <f t="shared" ca="1" si="119"/>
        <v/>
      </c>
      <c r="H205" s="227" t="str">
        <f t="shared" ca="1" si="120"/>
        <v/>
      </c>
      <c r="I205" s="227" t="str">
        <f t="shared" ca="1" si="121"/>
        <v/>
      </c>
      <c r="J205" s="227" t="str">
        <f t="shared" ca="1" si="122"/>
        <v/>
      </c>
      <c r="K205" s="227" t="str">
        <f t="shared" ca="1" si="123"/>
        <v/>
      </c>
      <c r="L205" s="227" t="str">
        <f t="shared" ca="1" si="124"/>
        <v/>
      </c>
      <c r="M205" s="227" t="str">
        <f t="shared" ca="1" si="111"/>
        <v/>
      </c>
      <c r="N205" s="227" t="str">
        <f t="shared" ca="1" si="112"/>
        <v/>
      </c>
      <c r="O205" s="227" t="str">
        <f t="shared" ca="1" si="113"/>
        <v/>
      </c>
      <c r="P205" s="227" t="str">
        <f t="shared" ca="1" si="129"/>
        <v/>
      </c>
      <c r="Q205" s="227" t="str">
        <f t="shared" ca="1" si="130"/>
        <v/>
      </c>
      <c r="R205" s="227" t="str">
        <f t="shared" ca="1" si="131"/>
        <v/>
      </c>
      <c r="T205" s="179" t="e">
        <f t="shared" ca="1" si="132"/>
        <v>#N/A</v>
      </c>
      <c r="U205" s="179" t="e">
        <f t="shared" ca="1" si="114"/>
        <v>#N/A</v>
      </c>
      <c r="V205" s="179" t="e">
        <f t="shared" ca="1" si="114"/>
        <v>#N/A</v>
      </c>
      <c r="W205" s="179" t="e">
        <f t="shared" ca="1" si="125"/>
        <v>#N/A</v>
      </c>
      <c r="X205" s="179" t="e">
        <f t="shared" ca="1" si="115"/>
        <v>#N/A</v>
      </c>
      <c r="Y205" s="179" t="e">
        <f t="shared" ca="1" si="115"/>
        <v>#N/A</v>
      </c>
      <c r="Z205" s="179" t="e">
        <f t="shared" ca="1" si="126"/>
        <v>#N/A</v>
      </c>
      <c r="AA205" s="179" t="e">
        <f t="shared" ca="1" si="116"/>
        <v>#N/A</v>
      </c>
      <c r="AB205" s="179" t="e">
        <f t="shared" ca="1" si="116"/>
        <v>#N/A</v>
      </c>
      <c r="AC205" s="179" t="e">
        <f t="shared" ca="1" si="127"/>
        <v>#N/A</v>
      </c>
      <c r="AD205" s="179" t="e">
        <f t="shared" ca="1" si="117"/>
        <v>#N/A</v>
      </c>
      <c r="AE205" s="179" t="e">
        <f t="shared" ca="1" si="117"/>
        <v>#N/A</v>
      </c>
      <c r="AF205" s="179" t="e">
        <f t="shared" ca="1" si="128"/>
        <v>#N/A</v>
      </c>
      <c r="AG205" s="179" t="e">
        <f t="shared" ca="1" si="118"/>
        <v>#N/A</v>
      </c>
      <c r="AH205" s="179" t="e">
        <f t="shared" ca="1" si="118"/>
        <v>#N/A</v>
      </c>
    </row>
    <row r="206" spans="1:34" ht="15.75" customHeight="1">
      <c r="A206" s="449" t="s">
        <v>35</v>
      </c>
      <c r="B206" s="449" t="s">
        <v>348</v>
      </c>
      <c r="C206" s="449" t="s">
        <v>678</v>
      </c>
      <c r="D206" s="322" t="str">
        <f t="shared" ca="1" si="95"/>
        <v/>
      </c>
      <c r="E206" s="322" t="str">
        <f t="shared" ca="1" si="96"/>
        <v/>
      </c>
      <c r="F206" s="322" t="str">
        <f t="shared" ca="1" si="97"/>
        <v/>
      </c>
      <c r="G206" s="227" t="str">
        <f t="shared" ca="1" si="119"/>
        <v/>
      </c>
      <c r="H206" s="227" t="str">
        <f t="shared" ca="1" si="120"/>
        <v/>
      </c>
      <c r="I206" s="227" t="str">
        <f t="shared" ca="1" si="121"/>
        <v/>
      </c>
      <c r="J206" s="227" t="str">
        <f t="shared" ca="1" si="122"/>
        <v/>
      </c>
      <c r="K206" s="227" t="str">
        <f t="shared" ca="1" si="123"/>
        <v/>
      </c>
      <c r="L206" s="227" t="str">
        <f t="shared" ca="1" si="124"/>
        <v/>
      </c>
      <c r="M206" s="227" t="str">
        <f t="shared" ca="1" si="111"/>
        <v/>
      </c>
      <c r="N206" s="227" t="str">
        <f t="shared" ca="1" si="112"/>
        <v/>
      </c>
      <c r="O206" s="227" t="str">
        <f t="shared" ca="1" si="113"/>
        <v/>
      </c>
      <c r="P206" s="227" t="str">
        <f t="shared" ca="1" si="129"/>
        <v/>
      </c>
      <c r="Q206" s="227" t="str">
        <f t="shared" ca="1" si="130"/>
        <v/>
      </c>
      <c r="R206" s="227" t="str">
        <f t="shared" ca="1" si="131"/>
        <v/>
      </c>
      <c r="T206" s="179" t="e">
        <f t="shared" ca="1" si="132"/>
        <v>#N/A</v>
      </c>
      <c r="U206" s="179" t="e">
        <f t="shared" ca="1" si="114"/>
        <v>#N/A</v>
      </c>
      <c r="V206" s="179" t="e">
        <f t="shared" ca="1" si="114"/>
        <v>#N/A</v>
      </c>
      <c r="W206" s="179" t="e">
        <f t="shared" ca="1" si="125"/>
        <v>#N/A</v>
      </c>
      <c r="X206" s="179" t="e">
        <f t="shared" ca="1" si="115"/>
        <v>#N/A</v>
      </c>
      <c r="Y206" s="179" t="e">
        <f t="shared" ca="1" si="115"/>
        <v>#N/A</v>
      </c>
      <c r="Z206" s="179" t="e">
        <f t="shared" ca="1" si="126"/>
        <v>#N/A</v>
      </c>
      <c r="AA206" s="179" t="e">
        <f t="shared" ca="1" si="116"/>
        <v>#N/A</v>
      </c>
      <c r="AB206" s="179" t="e">
        <f t="shared" ca="1" si="116"/>
        <v>#N/A</v>
      </c>
      <c r="AC206" s="179" t="e">
        <f t="shared" ca="1" si="127"/>
        <v>#N/A</v>
      </c>
      <c r="AD206" s="179" t="e">
        <f t="shared" ca="1" si="117"/>
        <v>#N/A</v>
      </c>
      <c r="AE206" s="179" t="e">
        <f t="shared" ca="1" si="117"/>
        <v>#N/A</v>
      </c>
      <c r="AF206" s="179" t="e">
        <f t="shared" ca="1" si="128"/>
        <v>#N/A</v>
      </c>
      <c r="AG206" s="179" t="e">
        <f t="shared" ca="1" si="118"/>
        <v>#N/A</v>
      </c>
      <c r="AH206" s="179" t="e">
        <f t="shared" ca="1" si="118"/>
        <v>#N/A</v>
      </c>
    </row>
    <row r="207" spans="1:34" ht="15.75" customHeight="1">
      <c r="A207" s="449" t="s">
        <v>39</v>
      </c>
      <c r="B207" s="449" t="s">
        <v>463</v>
      </c>
      <c r="C207" s="449" t="s">
        <v>677</v>
      </c>
      <c r="D207" s="322" t="str">
        <f t="shared" ca="1" si="95"/>
        <v/>
      </c>
      <c r="E207" s="322" t="str">
        <f t="shared" ca="1" si="96"/>
        <v/>
      </c>
      <c r="F207" s="322" t="str">
        <f t="shared" ca="1" si="97"/>
        <v/>
      </c>
      <c r="G207" s="227" t="str">
        <f t="shared" ca="1" si="119"/>
        <v/>
      </c>
      <c r="H207" s="227" t="str">
        <f t="shared" ca="1" si="120"/>
        <v/>
      </c>
      <c r="I207" s="227" t="str">
        <f t="shared" ca="1" si="121"/>
        <v/>
      </c>
      <c r="J207" s="227" t="str">
        <f t="shared" ca="1" si="122"/>
        <v/>
      </c>
      <c r="K207" s="227" t="str">
        <f t="shared" ca="1" si="123"/>
        <v/>
      </c>
      <c r="L207" s="227" t="str">
        <f t="shared" ca="1" si="124"/>
        <v/>
      </c>
      <c r="M207" s="227" t="str">
        <f t="shared" ca="1" si="111"/>
        <v/>
      </c>
      <c r="N207" s="227" t="str">
        <f t="shared" ca="1" si="112"/>
        <v/>
      </c>
      <c r="O207" s="227" t="str">
        <f t="shared" ca="1" si="113"/>
        <v/>
      </c>
      <c r="P207" s="227" t="str">
        <f t="shared" ca="1" si="129"/>
        <v/>
      </c>
      <c r="Q207" s="227" t="str">
        <f t="shared" ca="1" si="130"/>
        <v/>
      </c>
      <c r="R207" s="227" t="str">
        <f t="shared" ca="1" si="131"/>
        <v/>
      </c>
      <c r="T207" s="179" t="e">
        <f t="shared" ca="1" si="132"/>
        <v>#N/A</v>
      </c>
      <c r="U207" s="179" t="e">
        <f t="shared" ca="1" si="114"/>
        <v>#N/A</v>
      </c>
      <c r="V207" s="179" t="e">
        <f t="shared" ca="1" si="114"/>
        <v>#N/A</v>
      </c>
      <c r="W207" s="179" t="e">
        <f t="shared" ca="1" si="125"/>
        <v>#N/A</v>
      </c>
      <c r="X207" s="179" t="e">
        <f t="shared" ca="1" si="115"/>
        <v>#N/A</v>
      </c>
      <c r="Y207" s="179" t="e">
        <f t="shared" ca="1" si="115"/>
        <v>#N/A</v>
      </c>
      <c r="Z207" s="179" t="e">
        <f t="shared" ca="1" si="126"/>
        <v>#N/A</v>
      </c>
      <c r="AA207" s="179" t="e">
        <f t="shared" ca="1" si="116"/>
        <v>#N/A</v>
      </c>
      <c r="AB207" s="179" t="e">
        <f t="shared" ca="1" si="116"/>
        <v>#N/A</v>
      </c>
      <c r="AC207" s="179" t="e">
        <f t="shared" ca="1" si="127"/>
        <v>#N/A</v>
      </c>
      <c r="AD207" s="179" t="e">
        <f t="shared" ca="1" si="117"/>
        <v>#N/A</v>
      </c>
      <c r="AE207" s="179" t="e">
        <f t="shared" ca="1" si="117"/>
        <v>#N/A</v>
      </c>
      <c r="AF207" s="179" t="e">
        <f t="shared" ca="1" si="128"/>
        <v>#N/A</v>
      </c>
      <c r="AG207" s="179" t="e">
        <f t="shared" ca="1" si="118"/>
        <v>#N/A</v>
      </c>
      <c r="AH207" s="179" t="e">
        <f t="shared" ca="1" si="118"/>
        <v>#N/A</v>
      </c>
    </row>
    <row r="208" spans="1:34" ht="15.75" customHeight="1">
      <c r="A208" s="449" t="s">
        <v>43</v>
      </c>
      <c r="B208" s="449" t="s">
        <v>1786</v>
      </c>
      <c r="C208" s="449" t="s">
        <v>679</v>
      </c>
      <c r="D208" s="322" t="str">
        <f t="shared" ca="1" si="95"/>
        <v/>
      </c>
      <c r="E208" s="322" t="str">
        <f t="shared" ca="1" si="96"/>
        <v/>
      </c>
      <c r="F208" s="322" t="str">
        <f t="shared" ca="1" si="97"/>
        <v/>
      </c>
      <c r="G208" s="227" t="str">
        <f t="shared" ca="1" si="119"/>
        <v/>
      </c>
      <c r="H208" s="227" t="str">
        <f t="shared" ca="1" si="120"/>
        <v/>
      </c>
      <c r="I208" s="227" t="str">
        <f t="shared" ca="1" si="121"/>
        <v/>
      </c>
      <c r="J208" s="227" t="str">
        <f t="shared" ca="1" si="122"/>
        <v/>
      </c>
      <c r="K208" s="227" t="str">
        <f t="shared" ca="1" si="123"/>
        <v/>
      </c>
      <c r="L208" s="227" t="str">
        <f t="shared" ca="1" si="124"/>
        <v/>
      </c>
      <c r="M208" s="227" t="str">
        <f t="shared" ca="1" si="111"/>
        <v/>
      </c>
      <c r="N208" s="227" t="str">
        <f t="shared" ca="1" si="112"/>
        <v/>
      </c>
      <c r="O208" s="227" t="str">
        <f t="shared" ca="1" si="113"/>
        <v/>
      </c>
      <c r="P208" s="227" t="str">
        <f t="shared" ca="1" si="129"/>
        <v/>
      </c>
      <c r="Q208" s="227" t="str">
        <f t="shared" ca="1" si="130"/>
        <v/>
      </c>
      <c r="R208" s="227" t="str">
        <f t="shared" ca="1" si="131"/>
        <v/>
      </c>
      <c r="T208" s="179" t="e">
        <f t="shared" ca="1" si="132"/>
        <v>#N/A</v>
      </c>
      <c r="U208" s="179" t="e">
        <f t="shared" ca="1" si="114"/>
        <v>#N/A</v>
      </c>
      <c r="V208" s="179" t="e">
        <f t="shared" ca="1" si="114"/>
        <v>#N/A</v>
      </c>
      <c r="W208" s="179" t="e">
        <f t="shared" ca="1" si="125"/>
        <v>#N/A</v>
      </c>
      <c r="X208" s="179" t="e">
        <f t="shared" ca="1" si="115"/>
        <v>#N/A</v>
      </c>
      <c r="Y208" s="179" t="e">
        <f t="shared" ca="1" si="115"/>
        <v>#N/A</v>
      </c>
      <c r="Z208" s="179" t="e">
        <f t="shared" ca="1" si="126"/>
        <v>#N/A</v>
      </c>
      <c r="AA208" s="179" t="e">
        <f t="shared" ca="1" si="116"/>
        <v>#N/A</v>
      </c>
      <c r="AB208" s="179" t="e">
        <f t="shared" ca="1" si="116"/>
        <v>#N/A</v>
      </c>
      <c r="AC208" s="179" t="e">
        <f t="shared" ca="1" si="127"/>
        <v>#N/A</v>
      </c>
      <c r="AD208" s="179" t="e">
        <f t="shared" ca="1" si="117"/>
        <v>#N/A</v>
      </c>
      <c r="AE208" s="179" t="e">
        <f t="shared" ca="1" si="117"/>
        <v>#N/A</v>
      </c>
      <c r="AF208" s="179" t="e">
        <f t="shared" ca="1" si="128"/>
        <v>#N/A</v>
      </c>
      <c r="AG208" s="179" t="e">
        <f t="shared" ca="1" si="118"/>
        <v>#N/A</v>
      </c>
      <c r="AH208" s="179" t="e">
        <f t="shared" ca="1" si="118"/>
        <v>#N/A</v>
      </c>
    </row>
    <row r="209" spans="1:34" ht="15.75" customHeight="1">
      <c r="A209" s="449" t="s">
        <v>37</v>
      </c>
      <c r="B209" s="449" t="s">
        <v>490</v>
      </c>
      <c r="C209" s="449" t="s">
        <v>680</v>
      </c>
      <c r="D209" s="322" t="str">
        <f t="shared" ref="D209:D228" ca="1" si="133">IF(ISNA(T209),"",INDIRECT("A" &amp; T209))</f>
        <v/>
      </c>
      <c r="E209" s="322" t="str">
        <f t="shared" ref="E209:E228" ca="1" si="134">IF(ISNA(U209),"",INDIRECT("B" &amp; U209))</f>
        <v/>
      </c>
      <c r="F209" s="322" t="str">
        <f t="shared" ref="F209:F228" ca="1" si="135">IF(ISNA(V209),"",INDIRECT("C" &amp; V209))</f>
        <v/>
      </c>
      <c r="G209" s="227" t="str">
        <f t="shared" ca="1" si="119"/>
        <v/>
      </c>
      <c r="H209" s="227" t="str">
        <f t="shared" ca="1" si="120"/>
        <v/>
      </c>
      <c r="I209" s="227" t="str">
        <f t="shared" ca="1" si="121"/>
        <v/>
      </c>
      <c r="J209" s="227" t="str">
        <f t="shared" ca="1" si="122"/>
        <v/>
      </c>
      <c r="K209" s="227" t="str">
        <f t="shared" ca="1" si="123"/>
        <v/>
      </c>
      <c r="L209" s="227" t="str">
        <f t="shared" ca="1" si="124"/>
        <v/>
      </c>
      <c r="M209" s="227" t="str">
        <f t="shared" ca="1" si="111"/>
        <v/>
      </c>
      <c r="N209" s="227" t="str">
        <f t="shared" ca="1" si="112"/>
        <v/>
      </c>
      <c r="O209" s="227" t="str">
        <f t="shared" ca="1" si="113"/>
        <v/>
      </c>
      <c r="P209" s="227" t="str">
        <f t="shared" ca="1" si="129"/>
        <v/>
      </c>
      <c r="Q209" s="227" t="str">
        <f t="shared" ca="1" si="130"/>
        <v/>
      </c>
      <c r="R209" s="227" t="str">
        <f t="shared" ca="1" si="131"/>
        <v/>
      </c>
      <c r="T209" s="179" t="e">
        <f t="shared" ca="1" si="132"/>
        <v>#N/A</v>
      </c>
      <c r="U209" s="179" t="e">
        <f t="shared" ref="U209:V228" ca="1" si="136">T209</f>
        <v>#N/A</v>
      </c>
      <c r="V209" s="179" t="e">
        <f t="shared" ca="1" si="136"/>
        <v>#N/A</v>
      </c>
      <c r="W209" s="179" t="e">
        <f t="shared" ca="1" si="125"/>
        <v>#N/A</v>
      </c>
      <c r="X209" s="179" t="e">
        <f t="shared" ref="X209:Y228" ca="1" si="137">W209</f>
        <v>#N/A</v>
      </c>
      <c r="Y209" s="179" t="e">
        <f t="shared" ca="1" si="137"/>
        <v>#N/A</v>
      </c>
      <c r="Z209" s="179" t="e">
        <f t="shared" ca="1" si="126"/>
        <v>#N/A</v>
      </c>
      <c r="AA209" s="179" t="e">
        <f t="shared" ref="AA209:AB228" ca="1" si="138">Z209</f>
        <v>#N/A</v>
      </c>
      <c r="AB209" s="179" t="e">
        <f t="shared" ca="1" si="138"/>
        <v>#N/A</v>
      </c>
      <c r="AC209" s="179" t="e">
        <f t="shared" ca="1" si="127"/>
        <v>#N/A</v>
      </c>
      <c r="AD209" s="179" t="e">
        <f t="shared" ref="AD209:AE228" ca="1" si="139">AC209</f>
        <v>#N/A</v>
      </c>
      <c r="AE209" s="179" t="e">
        <f t="shared" ca="1" si="139"/>
        <v>#N/A</v>
      </c>
      <c r="AF209" s="179" t="e">
        <f t="shared" ca="1" si="128"/>
        <v>#N/A</v>
      </c>
      <c r="AG209" s="179" t="e">
        <f t="shared" ref="AG209:AH228" ca="1" si="140">AF209</f>
        <v>#N/A</v>
      </c>
      <c r="AH209" s="179" t="e">
        <f t="shared" ca="1" si="140"/>
        <v>#N/A</v>
      </c>
    </row>
    <row r="210" spans="1:34" ht="15.75" customHeight="1">
      <c r="A210" s="449" t="s">
        <v>39</v>
      </c>
      <c r="B210" s="449" t="s">
        <v>1751</v>
      </c>
      <c r="C210" s="449" t="s">
        <v>680</v>
      </c>
      <c r="D210" s="322" t="str">
        <f t="shared" ca="1" si="133"/>
        <v/>
      </c>
      <c r="E210" s="322" t="str">
        <f t="shared" ca="1" si="134"/>
        <v/>
      </c>
      <c r="F210" s="322" t="str">
        <f t="shared" ca="1" si="135"/>
        <v/>
      </c>
      <c r="G210" s="227" t="str">
        <f t="shared" ca="1" si="119"/>
        <v/>
      </c>
      <c r="H210" s="227" t="str">
        <f t="shared" ca="1" si="120"/>
        <v/>
      </c>
      <c r="I210" s="227" t="str">
        <f t="shared" ca="1" si="121"/>
        <v/>
      </c>
      <c r="J210" s="227" t="str">
        <f t="shared" ca="1" si="122"/>
        <v/>
      </c>
      <c r="K210" s="227" t="str">
        <f t="shared" ca="1" si="123"/>
        <v/>
      </c>
      <c r="L210" s="227" t="str">
        <f t="shared" ca="1" si="124"/>
        <v/>
      </c>
      <c r="M210" s="227" t="str">
        <f t="shared" ca="1" si="111"/>
        <v/>
      </c>
      <c r="N210" s="227" t="str">
        <f t="shared" ca="1" si="112"/>
        <v/>
      </c>
      <c r="O210" s="227" t="str">
        <f t="shared" ca="1" si="113"/>
        <v/>
      </c>
      <c r="P210" s="227" t="str">
        <f t="shared" ca="1" si="129"/>
        <v/>
      </c>
      <c r="Q210" s="227" t="str">
        <f t="shared" ca="1" si="130"/>
        <v/>
      </c>
      <c r="R210" s="227" t="str">
        <f t="shared" ca="1" si="131"/>
        <v/>
      </c>
      <c r="T210" s="179" t="e">
        <f t="shared" ca="1" si="132"/>
        <v>#N/A</v>
      </c>
      <c r="U210" s="179" t="e">
        <f t="shared" ca="1" si="136"/>
        <v>#N/A</v>
      </c>
      <c r="V210" s="179" t="e">
        <f t="shared" ca="1" si="136"/>
        <v>#N/A</v>
      </c>
      <c r="W210" s="179" t="e">
        <f t="shared" ca="1" si="125"/>
        <v>#N/A</v>
      </c>
      <c r="X210" s="179" t="e">
        <f t="shared" ca="1" si="137"/>
        <v>#N/A</v>
      </c>
      <c r="Y210" s="179" t="e">
        <f t="shared" ca="1" si="137"/>
        <v>#N/A</v>
      </c>
      <c r="Z210" s="179" t="e">
        <f t="shared" ca="1" si="126"/>
        <v>#N/A</v>
      </c>
      <c r="AA210" s="179" t="e">
        <f t="shared" ca="1" si="138"/>
        <v>#N/A</v>
      </c>
      <c r="AB210" s="179" t="e">
        <f t="shared" ca="1" si="138"/>
        <v>#N/A</v>
      </c>
      <c r="AC210" s="179" t="e">
        <f t="shared" ca="1" si="127"/>
        <v>#N/A</v>
      </c>
      <c r="AD210" s="179" t="e">
        <f t="shared" ca="1" si="139"/>
        <v>#N/A</v>
      </c>
      <c r="AE210" s="179" t="e">
        <f t="shared" ca="1" si="139"/>
        <v>#N/A</v>
      </c>
      <c r="AF210" s="179" t="e">
        <f t="shared" ca="1" si="128"/>
        <v>#N/A</v>
      </c>
      <c r="AG210" s="179" t="e">
        <f t="shared" ca="1" si="140"/>
        <v>#N/A</v>
      </c>
      <c r="AH210" s="179" t="e">
        <f t="shared" ca="1" si="140"/>
        <v>#N/A</v>
      </c>
    </row>
    <row r="211" spans="1:34" ht="15.75" customHeight="1">
      <c r="A211" s="449" t="s">
        <v>37</v>
      </c>
      <c r="B211" s="449" t="s">
        <v>1695</v>
      </c>
      <c r="C211" s="449" t="s">
        <v>692</v>
      </c>
      <c r="D211" s="322" t="str">
        <f t="shared" ca="1" si="133"/>
        <v/>
      </c>
      <c r="E211" s="322" t="str">
        <f t="shared" ca="1" si="134"/>
        <v/>
      </c>
      <c r="F211" s="322" t="str">
        <f t="shared" ca="1" si="135"/>
        <v/>
      </c>
      <c r="G211" s="227" t="str">
        <f t="shared" ca="1" si="119"/>
        <v/>
      </c>
      <c r="H211" s="227" t="str">
        <f t="shared" ca="1" si="120"/>
        <v/>
      </c>
      <c r="I211" s="227" t="str">
        <f t="shared" ca="1" si="121"/>
        <v/>
      </c>
      <c r="J211" s="227" t="str">
        <f t="shared" ca="1" si="122"/>
        <v/>
      </c>
      <c r="K211" s="227" t="str">
        <f t="shared" ca="1" si="123"/>
        <v/>
      </c>
      <c r="L211" s="227" t="str">
        <f t="shared" ca="1" si="124"/>
        <v/>
      </c>
      <c r="M211" s="227" t="str">
        <f t="shared" ca="1" si="111"/>
        <v/>
      </c>
      <c r="N211" s="227" t="str">
        <f t="shared" ca="1" si="112"/>
        <v/>
      </c>
      <c r="O211" s="227" t="str">
        <f t="shared" ca="1" si="113"/>
        <v/>
      </c>
      <c r="P211" s="227" t="str">
        <f t="shared" ca="1" si="129"/>
        <v/>
      </c>
      <c r="Q211" s="227" t="str">
        <f t="shared" ca="1" si="130"/>
        <v/>
      </c>
      <c r="R211" s="227" t="str">
        <f t="shared" ca="1" si="131"/>
        <v/>
      </c>
      <c r="T211" s="179" t="e">
        <f t="shared" ca="1" si="132"/>
        <v>#N/A</v>
      </c>
      <c r="U211" s="179" t="e">
        <f t="shared" ca="1" si="136"/>
        <v>#N/A</v>
      </c>
      <c r="V211" s="179" t="e">
        <f t="shared" ca="1" si="136"/>
        <v>#N/A</v>
      </c>
      <c r="W211" s="179" t="e">
        <f t="shared" ca="1" si="125"/>
        <v>#N/A</v>
      </c>
      <c r="X211" s="179" t="e">
        <f t="shared" ca="1" si="137"/>
        <v>#N/A</v>
      </c>
      <c r="Y211" s="179" t="e">
        <f t="shared" ca="1" si="137"/>
        <v>#N/A</v>
      </c>
      <c r="Z211" s="179" t="e">
        <f t="shared" ca="1" si="126"/>
        <v>#N/A</v>
      </c>
      <c r="AA211" s="179" t="e">
        <f t="shared" ca="1" si="138"/>
        <v>#N/A</v>
      </c>
      <c r="AB211" s="179" t="e">
        <f t="shared" ca="1" si="138"/>
        <v>#N/A</v>
      </c>
      <c r="AC211" s="179" t="e">
        <f t="shared" ca="1" si="127"/>
        <v>#N/A</v>
      </c>
      <c r="AD211" s="179" t="e">
        <f t="shared" ca="1" si="139"/>
        <v>#N/A</v>
      </c>
      <c r="AE211" s="179" t="e">
        <f t="shared" ca="1" si="139"/>
        <v>#N/A</v>
      </c>
      <c r="AF211" s="179" t="e">
        <f t="shared" ca="1" si="128"/>
        <v>#N/A</v>
      </c>
      <c r="AG211" s="179" t="e">
        <f t="shared" ca="1" si="140"/>
        <v>#N/A</v>
      </c>
      <c r="AH211" s="179" t="e">
        <f t="shared" ca="1" si="140"/>
        <v>#N/A</v>
      </c>
    </row>
    <row r="212" spans="1:34" ht="15.75" customHeight="1">
      <c r="A212" s="449" t="s">
        <v>39</v>
      </c>
      <c r="B212" s="449" t="s">
        <v>1765</v>
      </c>
      <c r="C212" s="449" t="s">
        <v>680</v>
      </c>
      <c r="D212" s="322" t="str">
        <f t="shared" ca="1" si="133"/>
        <v/>
      </c>
      <c r="E212" s="322" t="str">
        <f t="shared" ca="1" si="134"/>
        <v/>
      </c>
      <c r="F212" s="322" t="str">
        <f t="shared" ca="1" si="135"/>
        <v/>
      </c>
      <c r="G212" s="227" t="str">
        <f t="shared" ca="1" si="119"/>
        <v/>
      </c>
      <c r="H212" s="227" t="str">
        <f t="shared" ca="1" si="120"/>
        <v/>
      </c>
      <c r="I212" s="227" t="str">
        <f t="shared" ca="1" si="121"/>
        <v/>
      </c>
      <c r="J212" s="227" t="str">
        <f t="shared" ca="1" si="122"/>
        <v/>
      </c>
      <c r="K212" s="227" t="str">
        <f t="shared" ca="1" si="123"/>
        <v/>
      </c>
      <c r="L212" s="227" t="str">
        <f t="shared" ca="1" si="124"/>
        <v/>
      </c>
      <c r="M212" s="227" t="str">
        <f t="shared" ca="1" si="111"/>
        <v/>
      </c>
      <c r="N212" s="227" t="str">
        <f t="shared" ca="1" si="112"/>
        <v/>
      </c>
      <c r="O212" s="227" t="str">
        <f t="shared" ca="1" si="113"/>
        <v/>
      </c>
      <c r="P212" s="227" t="str">
        <f t="shared" ca="1" si="129"/>
        <v/>
      </c>
      <c r="Q212" s="227" t="str">
        <f t="shared" ca="1" si="130"/>
        <v/>
      </c>
      <c r="R212" s="227" t="str">
        <f t="shared" ca="1" si="131"/>
        <v/>
      </c>
      <c r="T212" s="179" t="e">
        <f t="shared" ca="1" si="132"/>
        <v>#N/A</v>
      </c>
      <c r="U212" s="179" t="e">
        <f t="shared" ca="1" si="136"/>
        <v>#N/A</v>
      </c>
      <c r="V212" s="179" t="e">
        <f t="shared" ca="1" si="136"/>
        <v>#N/A</v>
      </c>
      <c r="W212" s="179" t="e">
        <f t="shared" ca="1" si="125"/>
        <v>#N/A</v>
      </c>
      <c r="X212" s="179" t="e">
        <f t="shared" ca="1" si="137"/>
        <v>#N/A</v>
      </c>
      <c r="Y212" s="179" t="e">
        <f t="shared" ca="1" si="137"/>
        <v>#N/A</v>
      </c>
      <c r="Z212" s="179" t="e">
        <f t="shared" ca="1" si="126"/>
        <v>#N/A</v>
      </c>
      <c r="AA212" s="179" t="e">
        <f t="shared" ca="1" si="138"/>
        <v>#N/A</v>
      </c>
      <c r="AB212" s="179" t="e">
        <f t="shared" ca="1" si="138"/>
        <v>#N/A</v>
      </c>
      <c r="AC212" s="179" t="e">
        <f t="shared" ca="1" si="127"/>
        <v>#N/A</v>
      </c>
      <c r="AD212" s="179" t="e">
        <f t="shared" ca="1" si="139"/>
        <v>#N/A</v>
      </c>
      <c r="AE212" s="179" t="e">
        <f t="shared" ca="1" si="139"/>
        <v>#N/A</v>
      </c>
      <c r="AF212" s="179" t="e">
        <f t="shared" ca="1" si="128"/>
        <v>#N/A</v>
      </c>
      <c r="AG212" s="179" t="e">
        <f t="shared" ca="1" si="140"/>
        <v>#N/A</v>
      </c>
      <c r="AH212" s="179" t="e">
        <f t="shared" ca="1" si="140"/>
        <v>#N/A</v>
      </c>
    </row>
    <row r="213" spans="1:34" ht="15.75" customHeight="1">
      <c r="A213" s="449" t="s">
        <v>37</v>
      </c>
      <c r="B213" s="449" t="s">
        <v>496</v>
      </c>
      <c r="C213" s="449" t="s">
        <v>685</v>
      </c>
      <c r="D213" s="322" t="str">
        <f t="shared" ca="1" si="133"/>
        <v/>
      </c>
      <c r="E213" s="322" t="str">
        <f t="shared" ca="1" si="134"/>
        <v/>
      </c>
      <c r="F213" s="322" t="str">
        <f t="shared" ca="1" si="135"/>
        <v/>
      </c>
      <c r="G213" s="227" t="str">
        <f t="shared" ca="1" si="119"/>
        <v/>
      </c>
      <c r="H213" s="227" t="str">
        <f t="shared" ca="1" si="120"/>
        <v/>
      </c>
      <c r="I213" s="227" t="str">
        <f t="shared" ca="1" si="121"/>
        <v/>
      </c>
      <c r="J213" s="227" t="str">
        <f t="shared" ca="1" si="122"/>
        <v/>
      </c>
      <c r="K213" s="227" t="str">
        <f t="shared" ca="1" si="123"/>
        <v/>
      </c>
      <c r="L213" s="227" t="str">
        <f t="shared" ca="1" si="124"/>
        <v/>
      </c>
      <c r="M213" s="227" t="str">
        <f t="shared" ca="1" si="111"/>
        <v/>
      </c>
      <c r="N213" s="227" t="str">
        <f t="shared" ca="1" si="112"/>
        <v/>
      </c>
      <c r="O213" s="227" t="str">
        <f t="shared" ca="1" si="113"/>
        <v/>
      </c>
      <c r="P213" s="227" t="str">
        <f t="shared" ca="1" si="129"/>
        <v/>
      </c>
      <c r="Q213" s="227" t="str">
        <f t="shared" ca="1" si="130"/>
        <v/>
      </c>
      <c r="R213" s="227" t="str">
        <f t="shared" ca="1" si="131"/>
        <v/>
      </c>
      <c r="T213" s="179" t="e">
        <f t="shared" ca="1" si="132"/>
        <v>#N/A</v>
      </c>
      <c r="U213" s="179" t="e">
        <f t="shared" ca="1" si="136"/>
        <v>#N/A</v>
      </c>
      <c r="V213" s="179" t="e">
        <f t="shared" ca="1" si="136"/>
        <v>#N/A</v>
      </c>
      <c r="W213" s="179" t="e">
        <f t="shared" ca="1" si="125"/>
        <v>#N/A</v>
      </c>
      <c r="X213" s="179" t="e">
        <f t="shared" ca="1" si="137"/>
        <v>#N/A</v>
      </c>
      <c r="Y213" s="179" t="e">
        <f t="shared" ca="1" si="137"/>
        <v>#N/A</v>
      </c>
      <c r="Z213" s="179" t="e">
        <f t="shared" ca="1" si="126"/>
        <v>#N/A</v>
      </c>
      <c r="AA213" s="179" t="e">
        <f t="shared" ca="1" si="138"/>
        <v>#N/A</v>
      </c>
      <c r="AB213" s="179" t="e">
        <f t="shared" ca="1" si="138"/>
        <v>#N/A</v>
      </c>
      <c r="AC213" s="179" t="e">
        <f t="shared" ca="1" si="127"/>
        <v>#N/A</v>
      </c>
      <c r="AD213" s="179" t="e">
        <f t="shared" ca="1" si="139"/>
        <v>#N/A</v>
      </c>
      <c r="AE213" s="179" t="e">
        <f t="shared" ca="1" si="139"/>
        <v>#N/A</v>
      </c>
      <c r="AF213" s="179" t="e">
        <f t="shared" ca="1" si="128"/>
        <v>#N/A</v>
      </c>
      <c r="AG213" s="179" t="e">
        <f t="shared" ca="1" si="140"/>
        <v>#N/A</v>
      </c>
      <c r="AH213" s="179" t="e">
        <f t="shared" ca="1" si="140"/>
        <v>#N/A</v>
      </c>
    </row>
    <row r="214" spans="1:34" ht="15.75" customHeight="1">
      <c r="A214" s="449" t="s">
        <v>37</v>
      </c>
      <c r="B214" s="449" t="s">
        <v>498</v>
      </c>
      <c r="C214" s="449" t="s">
        <v>679</v>
      </c>
      <c r="D214" s="322" t="str">
        <f t="shared" ca="1" si="133"/>
        <v/>
      </c>
      <c r="E214" s="322" t="str">
        <f t="shared" ca="1" si="134"/>
        <v/>
      </c>
      <c r="F214" s="322" t="str">
        <f t="shared" ca="1" si="135"/>
        <v/>
      </c>
      <c r="G214" s="227" t="str">
        <f t="shared" ca="1" si="119"/>
        <v/>
      </c>
      <c r="H214" s="227" t="str">
        <f t="shared" ca="1" si="120"/>
        <v/>
      </c>
      <c r="I214" s="227" t="str">
        <f t="shared" ca="1" si="121"/>
        <v/>
      </c>
      <c r="J214" s="227" t="str">
        <f t="shared" ca="1" si="122"/>
        <v/>
      </c>
      <c r="K214" s="227" t="str">
        <f t="shared" ca="1" si="123"/>
        <v/>
      </c>
      <c r="L214" s="227" t="str">
        <f t="shared" ca="1" si="124"/>
        <v/>
      </c>
      <c r="M214" s="227" t="str">
        <f t="shared" ca="1" si="111"/>
        <v/>
      </c>
      <c r="N214" s="227" t="str">
        <f t="shared" ca="1" si="112"/>
        <v/>
      </c>
      <c r="O214" s="227" t="str">
        <f t="shared" ca="1" si="113"/>
        <v/>
      </c>
      <c r="P214" s="227" t="str">
        <f t="shared" ca="1" si="129"/>
        <v/>
      </c>
      <c r="Q214" s="227" t="str">
        <f t="shared" ca="1" si="130"/>
        <v/>
      </c>
      <c r="R214" s="227" t="str">
        <f t="shared" ca="1" si="131"/>
        <v/>
      </c>
      <c r="T214" s="179" t="e">
        <f t="shared" ca="1" si="132"/>
        <v>#N/A</v>
      </c>
      <c r="U214" s="179" t="e">
        <f t="shared" ca="1" si="136"/>
        <v>#N/A</v>
      </c>
      <c r="V214" s="179" t="e">
        <f t="shared" ca="1" si="136"/>
        <v>#N/A</v>
      </c>
      <c r="W214" s="179" t="e">
        <f t="shared" ca="1" si="125"/>
        <v>#N/A</v>
      </c>
      <c r="X214" s="179" t="e">
        <f t="shared" ca="1" si="137"/>
        <v>#N/A</v>
      </c>
      <c r="Y214" s="179" t="e">
        <f t="shared" ca="1" si="137"/>
        <v>#N/A</v>
      </c>
      <c r="Z214" s="179" t="e">
        <f t="shared" ca="1" si="126"/>
        <v>#N/A</v>
      </c>
      <c r="AA214" s="179" t="e">
        <f t="shared" ca="1" si="138"/>
        <v>#N/A</v>
      </c>
      <c r="AB214" s="179" t="e">
        <f t="shared" ca="1" si="138"/>
        <v>#N/A</v>
      </c>
      <c r="AC214" s="179" t="e">
        <f t="shared" ca="1" si="127"/>
        <v>#N/A</v>
      </c>
      <c r="AD214" s="179" t="e">
        <f t="shared" ca="1" si="139"/>
        <v>#N/A</v>
      </c>
      <c r="AE214" s="179" t="e">
        <f t="shared" ca="1" si="139"/>
        <v>#N/A</v>
      </c>
      <c r="AF214" s="179" t="e">
        <f t="shared" ca="1" si="128"/>
        <v>#N/A</v>
      </c>
      <c r="AG214" s="179" t="e">
        <f t="shared" ca="1" si="140"/>
        <v>#N/A</v>
      </c>
      <c r="AH214" s="179" t="e">
        <f t="shared" ca="1" si="140"/>
        <v>#N/A</v>
      </c>
    </row>
    <row r="215" spans="1:34" ht="15.75" customHeight="1">
      <c r="A215" s="449" t="s">
        <v>39</v>
      </c>
      <c r="B215" s="449" t="s">
        <v>381</v>
      </c>
      <c r="C215" s="449" t="s">
        <v>695</v>
      </c>
      <c r="D215" s="322" t="str">
        <f t="shared" ca="1" si="133"/>
        <v/>
      </c>
      <c r="E215" s="322" t="str">
        <f t="shared" ca="1" si="134"/>
        <v/>
      </c>
      <c r="F215" s="322" t="str">
        <f t="shared" ca="1" si="135"/>
        <v/>
      </c>
      <c r="G215" s="227" t="str">
        <f t="shared" ca="1" si="119"/>
        <v/>
      </c>
      <c r="H215" s="227" t="str">
        <f t="shared" ca="1" si="120"/>
        <v/>
      </c>
      <c r="I215" s="227" t="str">
        <f t="shared" ca="1" si="121"/>
        <v/>
      </c>
      <c r="J215" s="227" t="str">
        <f t="shared" ca="1" si="122"/>
        <v/>
      </c>
      <c r="K215" s="227" t="str">
        <f t="shared" ca="1" si="123"/>
        <v/>
      </c>
      <c r="L215" s="227" t="str">
        <f t="shared" ca="1" si="124"/>
        <v/>
      </c>
      <c r="M215" s="227" t="str">
        <f t="shared" ca="1" si="111"/>
        <v/>
      </c>
      <c r="N215" s="227" t="str">
        <f t="shared" ca="1" si="112"/>
        <v/>
      </c>
      <c r="O215" s="227" t="str">
        <f t="shared" ca="1" si="113"/>
        <v/>
      </c>
      <c r="P215" s="227" t="str">
        <f t="shared" ca="1" si="129"/>
        <v/>
      </c>
      <c r="Q215" s="227" t="str">
        <f t="shared" ca="1" si="130"/>
        <v/>
      </c>
      <c r="R215" s="227" t="str">
        <f t="shared" ca="1" si="131"/>
        <v/>
      </c>
      <c r="T215" s="179" t="e">
        <f t="shared" ca="1" si="132"/>
        <v>#N/A</v>
      </c>
      <c r="U215" s="179" t="e">
        <f t="shared" ca="1" si="136"/>
        <v>#N/A</v>
      </c>
      <c r="V215" s="179" t="e">
        <f t="shared" ca="1" si="136"/>
        <v>#N/A</v>
      </c>
      <c r="W215" s="179" t="e">
        <f t="shared" ca="1" si="125"/>
        <v>#N/A</v>
      </c>
      <c r="X215" s="179" t="e">
        <f t="shared" ca="1" si="137"/>
        <v>#N/A</v>
      </c>
      <c r="Y215" s="179" t="e">
        <f t="shared" ca="1" si="137"/>
        <v>#N/A</v>
      </c>
      <c r="Z215" s="179" t="e">
        <f t="shared" ca="1" si="126"/>
        <v>#N/A</v>
      </c>
      <c r="AA215" s="179" t="e">
        <f t="shared" ca="1" si="138"/>
        <v>#N/A</v>
      </c>
      <c r="AB215" s="179" t="e">
        <f t="shared" ca="1" si="138"/>
        <v>#N/A</v>
      </c>
      <c r="AC215" s="179" t="e">
        <f t="shared" ca="1" si="127"/>
        <v>#N/A</v>
      </c>
      <c r="AD215" s="179" t="e">
        <f t="shared" ca="1" si="139"/>
        <v>#N/A</v>
      </c>
      <c r="AE215" s="179" t="e">
        <f t="shared" ca="1" si="139"/>
        <v>#N/A</v>
      </c>
      <c r="AF215" s="179" t="e">
        <f t="shared" ca="1" si="128"/>
        <v>#N/A</v>
      </c>
      <c r="AG215" s="179" t="e">
        <f t="shared" ca="1" si="140"/>
        <v>#N/A</v>
      </c>
      <c r="AH215" s="179" t="e">
        <f t="shared" ca="1" si="140"/>
        <v>#N/A</v>
      </c>
    </row>
    <row r="216" spans="1:34" ht="15.75" customHeight="1">
      <c r="A216" s="449" t="s">
        <v>37</v>
      </c>
      <c r="B216" s="449" t="s">
        <v>500</v>
      </c>
      <c r="C216" s="449" t="s">
        <v>681</v>
      </c>
      <c r="D216" s="322" t="str">
        <f t="shared" ca="1" si="133"/>
        <v/>
      </c>
      <c r="E216" s="322" t="str">
        <f t="shared" ca="1" si="134"/>
        <v/>
      </c>
      <c r="F216" s="322" t="str">
        <f t="shared" ca="1" si="135"/>
        <v/>
      </c>
      <c r="G216" s="227" t="str">
        <f t="shared" ref="G216:G228" ca="1" si="141">IF(ISNA(W216),"",INDIRECT("A" &amp; W216))</f>
        <v/>
      </c>
      <c r="H216" s="227" t="str">
        <f t="shared" ref="H216:H228" ca="1" si="142">IF(ISNA(X216),"",INDIRECT("B" &amp; X216))</f>
        <v/>
      </c>
      <c r="I216" s="227" t="str">
        <f t="shared" ref="I216:I228" ca="1" si="143">IF(ISNA(Y216),"",INDIRECT("C" &amp; Y216))</f>
        <v/>
      </c>
      <c r="J216" s="227" t="str">
        <f t="shared" ca="1" si="122"/>
        <v/>
      </c>
      <c r="K216" s="227" t="str">
        <f t="shared" ca="1" si="123"/>
        <v/>
      </c>
      <c r="L216" s="227" t="str">
        <f t="shared" ca="1" si="124"/>
        <v/>
      </c>
      <c r="M216" s="227" t="str">
        <f t="shared" ca="1" si="111"/>
        <v/>
      </c>
      <c r="N216" s="227" t="str">
        <f t="shared" ca="1" si="112"/>
        <v/>
      </c>
      <c r="O216" s="227" t="str">
        <f t="shared" ca="1" si="113"/>
        <v/>
      </c>
      <c r="P216" s="227" t="str">
        <f t="shared" ca="1" si="129"/>
        <v/>
      </c>
      <c r="Q216" s="227" t="str">
        <f t="shared" ca="1" si="130"/>
        <v/>
      </c>
      <c r="R216" s="227" t="str">
        <f t="shared" ca="1" si="131"/>
        <v/>
      </c>
      <c r="T216" s="179" t="e">
        <f t="shared" ca="1" si="132"/>
        <v>#N/A</v>
      </c>
      <c r="U216" s="179" t="e">
        <f t="shared" ca="1" si="136"/>
        <v>#N/A</v>
      </c>
      <c r="V216" s="179" t="e">
        <f t="shared" ca="1" si="136"/>
        <v>#N/A</v>
      </c>
      <c r="W216" s="179" t="e">
        <f t="shared" ca="1" si="125"/>
        <v>#N/A</v>
      </c>
      <c r="X216" s="179" t="e">
        <f t="shared" ca="1" si="137"/>
        <v>#N/A</v>
      </c>
      <c r="Y216" s="179" t="e">
        <f t="shared" ca="1" si="137"/>
        <v>#N/A</v>
      </c>
      <c r="Z216" s="179" t="e">
        <f t="shared" ca="1" si="126"/>
        <v>#N/A</v>
      </c>
      <c r="AA216" s="179" t="e">
        <f t="shared" ca="1" si="138"/>
        <v>#N/A</v>
      </c>
      <c r="AB216" s="179" t="e">
        <f t="shared" ca="1" si="138"/>
        <v>#N/A</v>
      </c>
      <c r="AC216" s="179" t="e">
        <f t="shared" ca="1" si="127"/>
        <v>#N/A</v>
      </c>
      <c r="AD216" s="179" t="e">
        <f t="shared" ca="1" si="139"/>
        <v>#N/A</v>
      </c>
      <c r="AE216" s="179" t="e">
        <f t="shared" ca="1" si="139"/>
        <v>#N/A</v>
      </c>
      <c r="AF216" s="179" t="e">
        <f t="shared" ca="1" si="128"/>
        <v>#N/A</v>
      </c>
      <c r="AG216" s="179" t="e">
        <f t="shared" ca="1" si="140"/>
        <v>#N/A</v>
      </c>
      <c r="AH216" s="179" t="e">
        <f t="shared" ca="1" si="140"/>
        <v>#N/A</v>
      </c>
    </row>
    <row r="217" spans="1:34" ht="15.75" customHeight="1">
      <c r="A217" s="449" t="s">
        <v>39</v>
      </c>
      <c r="B217" s="449" t="s">
        <v>468</v>
      </c>
      <c r="C217" s="449" t="s">
        <v>681</v>
      </c>
      <c r="D217" s="322" t="str">
        <f t="shared" ca="1" si="133"/>
        <v/>
      </c>
      <c r="E217" s="322" t="str">
        <f t="shared" ca="1" si="134"/>
        <v/>
      </c>
      <c r="F217" s="322" t="str">
        <f t="shared" ca="1" si="135"/>
        <v/>
      </c>
      <c r="G217" s="227" t="str">
        <f t="shared" ca="1" si="141"/>
        <v/>
      </c>
      <c r="H217" s="227" t="str">
        <f t="shared" ca="1" si="142"/>
        <v/>
      </c>
      <c r="I217" s="227" t="str">
        <f t="shared" ca="1" si="143"/>
        <v/>
      </c>
      <c r="J217" s="227" t="str">
        <f t="shared" ca="1" si="122"/>
        <v/>
      </c>
      <c r="K217" s="227" t="str">
        <f t="shared" ca="1" si="123"/>
        <v/>
      </c>
      <c r="L217" s="227" t="str">
        <f t="shared" ca="1" si="124"/>
        <v/>
      </c>
      <c r="M217" s="227" t="str">
        <f t="shared" ca="1" si="111"/>
        <v/>
      </c>
      <c r="N217" s="227" t="str">
        <f t="shared" ca="1" si="112"/>
        <v/>
      </c>
      <c r="O217" s="227" t="str">
        <f t="shared" ca="1" si="113"/>
        <v/>
      </c>
      <c r="P217" s="227" t="str">
        <f t="shared" ca="1" si="129"/>
        <v/>
      </c>
      <c r="Q217" s="227" t="str">
        <f t="shared" ca="1" si="130"/>
        <v/>
      </c>
      <c r="R217" s="227" t="str">
        <f t="shared" ca="1" si="131"/>
        <v/>
      </c>
      <c r="T217" s="179" t="e">
        <f t="shared" ca="1" si="132"/>
        <v>#N/A</v>
      </c>
      <c r="U217" s="179" t="e">
        <f t="shared" ca="1" si="136"/>
        <v>#N/A</v>
      </c>
      <c r="V217" s="179" t="e">
        <f t="shared" ca="1" si="136"/>
        <v>#N/A</v>
      </c>
      <c r="W217" s="179" t="e">
        <f t="shared" ca="1" si="125"/>
        <v>#N/A</v>
      </c>
      <c r="X217" s="179" t="e">
        <f t="shared" ca="1" si="137"/>
        <v>#N/A</v>
      </c>
      <c r="Y217" s="179" t="e">
        <f t="shared" ca="1" si="137"/>
        <v>#N/A</v>
      </c>
      <c r="Z217" s="179" t="e">
        <f t="shared" ca="1" si="126"/>
        <v>#N/A</v>
      </c>
      <c r="AA217" s="179" t="e">
        <f t="shared" ca="1" si="138"/>
        <v>#N/A</v>
      </c>
      <c r="AB217" s="179" t="e">
        <f t="shared" ca="1" si="138"/>
        <v>#N/A</v>
      </c>
      <c r="AC217" s="179" t="e">
        <f t="shared" ca="1" si="127"/>
        <v>#N/A</v>
      </c>
      <c r="AD217" s="179" t="e">
        <f t="shared" ca="1" si="139"/>
        <v>#N/A</v>
      </c>
      <c r="AE217" s="179" t="e">
        <f t="shared" ca="1" si="139"/>
        <v>#N/A</v>
      </c>
      <c r="AF217" s="179" t="e">
        <f t="shared" ca="1" si="128"/>
        <v>#N/A</v>
      </c>
      <c r="AG217" s="179" t="e">
        <f t="shared" ca="1" si="140"/>
        <v>#N/A</v>
      </c>
      <c r="AH217" s="179" t="e">
        <f t="shared" ca="1" si="140"/>
        <v>#N/A</v>
      </c>
    </row>
    <row r="218" spans="1:34" ht="15.75" customHeight="1">
      <c r="A218" s="449" t="s">
        <v>43</v>
      </c>
      <c r="B218" s="449" t="s">
        <v>384</v>
      </c>
      <c r="C218" s="449" t="s">
        <v>700</v>
      </c>
      <c r="D218" s="322" t="str">
        <f t="shared" ca="1" si="133"/>
        <v/>
      </c>
      <c r="E218" s="322" t="str">
        <f t="shared" ca="1" si="134"/>
        <v/>
      </c>
      <c r="F218" s="322" t="str">
        <f t="shared" ca="1" si="135"/>
        <v/>
      </c>
      <c r="G218" s="227" t="str">
        <f t="shared" ca="1" si="141"/>
        <v/>
      </c>
      <c r="H218" s="227" t="str">
        <f t="shared" ca="1" si="142"/>
        <v/>
      </c>
      <c r="I218" s="227" t="str">
        <f t="shared" ca="1" si="143"/>
        <v/>
      </c>
      <c r="J218" s="227" t="str">
        <f t="shared" ca="1" si="122"/>
        <v/>
      </c>
      <c r="K218" s="227" t="str">
        <f t="shared" ca="1" si="123"/>
        <v/>
      </c>
      <c r="L218" s="227" t="str">
        <f t="shared" ca="1" si="124"/>
        <v/>
      </c>
      <c r="M218" s="227" t="str">
        <f t="shared" ca="1" si="111"/>
        <v/>
      </c>
      <c r="N218" s="227" t="str">
        <f t="shared" ca="1" si="112"/>
        <v/>
      </c>
      <c r="O218" s="227" t="str">
        <f t="shared" ca="1" si="113"/>
        <v/>
      </c>
      <c r="P218" s="227" t="str">
        <f t="shared" ca="1" si="129"/>
        <v/>
      </c>
      <c r="Q218" s="227" t="str">
        <f t="shared" ca="1" si="130"/>
        <v/>
      </c>
      <c r="R218" s="227" t="str">
        <f t="shared" ca="1" si="131"/>
        <v/>
      </c>
      <c r="T218" s="179" t="e">
        <f t="shared" ca="1" si="132"/>
        <v>#N/A</v>
      </c>
      <c r="U218" s="179" t="e">
        <f t="shared" ca="1" si="136"/>
        <v>#N/A</v>
      </c>
      <c r="V218" s="179" t="e">
        <f t="shared" ca="1" si="136"/>
        <v>#N/A</v>
      </c>
      <c r="W218" s="179" t="e">
        <f t="shared" ca="1" si="125"/>
        <v>#N/A</v>
      </c>
      <c r="X218" s="179" t="e">
        <f t="shared" ca="1" si="137"/>
        <v>#N/A</v>
      </c>
      <c r="Y218" s="179" t="e">
        <f t="shared" ca="1" si="137"/>
        <v>#N/A</v>
      </c>
      <c r="Z218" s="179" t="e">
        <f t="shared" ca="1" si="126"/>
        <v>#N/A</v>
      </c>
      <c r="AA218" s="179" t="e">
        <f t="shared" ca="1" si="138"/>
        <v>#N/A</v>
      </c>
      <c r="AB218" s="179" t="e">
        <f t="shared" ca="1" si="138"/>
        <v>#N/A</v>
      </c>
      <c r="AC218" s="179" t="e">
        <f t="shared" ca="1" si="127"/>
        <v>#N/A</v>
      </c>
      <c r="AD218" s="179" t="e">
        <f t="shared" ca="1" si="139"/>
        <v>#N/A</v>
      </c>
      <c r="AE218" s="179" t="e">
        <f t="shared" ca="1" si="139"/>
        <v>#N/A</v>
      </c>
      <c r="AF218" s="179" t="e">
        <f t="shared" ca="1" si="128"/>
        <v>#N/A</v>
      </c>
      <c r="AG218" s="179" t="e">
        <f t="shared" ca="1" si="140"/>
        <v>#N/A</v>
      </c>
      <c r="AH218" s="179" t="e">
        <f t="shared" ca="1" si="140"/>
        <v>#N/A</v>
      </c>
    </row>
    <row r="219" spans="1:34" ht="15.75" customHeight="1">
      <c r="A219" s="449" t="s">
        <v>39</v>
      </c>
      <c r="B219" s="449" t="s">
        <v>1937</v>
      </c>
      <c r="C219" s="449" t="s">
        <v>692</v>
      </c>
      <c r="D219" s="322" t="str">
        <f t="shared" ca="1" si="133"/>
        <v/>
      </c>
      <c r="E219" s="322" t="str">
        <f t="shared" ca="1" si="134"/>
        <v/>
      </c>
      <c r="F219" s="322" t="str">
        <f t="shared" ca="1" si="135"/>
        <v/>
      </c>
      <c r="G219" s="227" t="str">
        <f t="shared" ca="1" si="141"/>
        <v/>
      </c>
      <c r="H219" s="227" t="str">
        <f t="shared" ca="1" si="142"/>
        <v/>
      </c>
      <c r="I219" s="227" t="str">
        <f t="shared" ca="1" si="143"/>
        <v/>
      </c>
      <c r="J219" s="227" t="str">
        <f t="shared" ca="1" si="122"/>
        <v/>
      </c>
      <c r="K219" s="227" t="str">
        <f t="shared" ca="1" si="123"/>
        <v/>
      </c>
      <c r="L219" s="227" t="str">
        <f t="shared" ca="1" si="124"/>
        <v/>
      </c>
      <c r="M219" s="227" t="str">
        <f t="shared" ca="1" si="111"/>
        <v/>
      </c>
      <c r="N219" s="227" t="str">
        <f t="shared" ca="1" si="112"/>
        <v/>
      </c>
      <c r="O219" s="227" t="str">
        <f t="shared" ca="1" si="113"/>
        <v/>
      </c>
      <c r="P219" s="227" t="str">
        <f t="shared" ca="1" si="129"/>
        <v/>
      </c>
      <c r="Q219" s="227" t="str">
        <f t="shared" ca="1" si="130"/>
        <v/>
      </c>
      <c r="R219" s="227" t="str">
        <f t="shared" ca="1" si="131"/>
        <v/>
      </c>
      <c r="T219" s="179" t="e">
        <f t="shared" ca="1" si="132"/>
        <v>#N/A</v>
      </c>
      <c r="U219" s="179" t="e">
        <f t="shared" ca="1" si="136"/>
        <v>#N/A</v>
      </c>
      <c r="V219" s="179" t="e">
        <f t="shared" ca="1" si="136"/>
        <v>#N/A</v>
      </c>
      <c r="W219" s="179" t="e">
        <f t="shared" ca="1" si="125"/>
        <v>#N/A</v>
      </c>
      <c r="X219" s="179" t="e">
        <f t="shared" ca="1" si="137"/>
        <v>#N/A</v>
      </c>
      <c r="Y219" s="179" t="e">
        <f t="shared" ca="1" si="137"/>
        <v>#N/A</v>
      </c>
      <c r="Z219" s="179" t="e">
        <f t="shared" ca="1" si="126"/>
        <v>#N/A</v>
      </c>
      <c r="AA219" s="179" t="e">
        <f t="shared" ca="1" si="138"/>
        <v>#N/A</v>
      </c>
      <c r="AB219" s="179" t="e">
        <f t="shared" ca="1" si="138"/>
        <v>#N/A</v>
      </c>
      <c r="AC219" s="179" t="e">
        <f t="shared" ca="1" si="127"/>
        <v>#N/A</v>
      </c>
      <c r="AD219" s="179" t="e">
        <f t="shared" ca="1" si="139"/>
        <v>#N/A</v>
      </c>
      <c r="AE219" s="179" t="e">
        <f t="shared" ca="1" si="139"/>
        <v>#N/A</v>
      </c>
      <c r="AF219" s="179" t="e">
        <f t="shared" ca="1" si="128"/>
        <v>#N/A</v>
      </c>
      <c r="AG219" s="179" t="e">
        <f t="shared" ca="1" si="140"/>
        <v>#N/A</v>
      </c>
      <c r="AH219" s="179" t="e">
        <f t="shared" ca="1" si="140"/>
        <v>#N/A</v>
      </c>
    </row>
    <row r="220" spans="1:34" ht="15.75" customHeight="1">
      <c r="A220" s="449" t="s">
        <v>39</v>
      </c>
      <c r="B220" s="449" t="s">
        <v>473</v>
      </c>
      <c r="C220" s="449" t="s">
        <v>677</v>
      </c>
      <c r="D220" s="322" t="str">
        <f t="shared" ca="1" si="133"/>
        <v/>
      </c>
      <c r="E220" s="322" t="str">
        <f t="shared" ca="1" si="134"/>
        <v/>
      </c>
      <c r="F220" s="322" t="str">
        <f t="shared" ca="1" si="135"/>
        <v/>
      </c>
      <c r="G220" s="227" t="str">
        <f t="shared" ca="1" si="141"/>
        <v/>
      </c>
      <c r="H220" s="227" t="str">
        <f t="shared" ca="1" si="142"/>
        <v/>
      </c>
      <c r="I220" s="227" t="str">
        <f t="shared" ca="1" si="143"/>
        <v/>
      </c>
      <c r="J220" s="227" t="str">
        <f t="shared" ca="1" si="122"/>
        <v/>
      </c>
      <c r="K220" s="227" t="str">
        <f t="shared" ca="1" si="123"/>
        <v/>
      </c>
      <c r="L220" s="227" t="str">
        <f t="shared" ca="1" si="124"/>
        <v/>
      </c>
      <c r="M220" s="227" t="str">
        <f t="shared" ca="1" si="111"/>
        <v/>
      </c>
      <c r="N220" s="227" t="str">
        <f t="shared" ca="1" si="112"/>
        <v/>
      </c>
      <c r="O220" s="227" t="str">
        <f t="shared" ca="1" si="113"/>
        <v/>
      </c>
      <c r="P220" s="227" t="str">
        <f t="shared" ca="1" si="129"/>
        <v/>
      </c>
      <c r="Q220" s="227" t="str">
        <f t="shared" ca="1" si="130"/>
        <v/>
      </c>
      <c r="R220" s="227" t="str">
        <f t="shared" ca="1" si="131"/>
        <v/>
      </c>
      <c r="T220" s="179" t="e">
        <f t="shared" ca="1" si="132"/>
        <v>#N/A</v>
      </c>
      <c r="U220" s="179" t="e">
        <f t="shared" ca="1" si="136"/>
        <v>#N/A</v>
      </c>
      <c r="V220" s="179" t="e">
        <f t="shared" ca="1" si="136"/>
        <v>#N/A</v>
      </c>
      <c r="W220" s="179" t="e">
        <f t="shared" ca="1" si="125"/>
        <v>#N/A</v>
      </c>
      <c r="X220" s="179" t="e">
        <f t="shared" ca="1" si="137"/>
        <v>#N/A</v>
      </c>
      <c r="Y220" s="179" t="e">
        <f t="shared" ca="1" si="137"/>
        <v>#N/A</v>
      </c>
      <c r="Z220" s="179" t="e">
        <f t="shared" ca="1" si="126"/>
        <v>#N/A</v>
      </c>
      <c r="AA220" s="179" t="e">
        <f t="shared" ca="1" si="138"/>
        <v>#N/A</v>
      </c>
      <c r="AB220" s="179" t="e">
        <f t="shared" ca="1" si="138"/>
        <v>#N/A</v>
      </c>
      <c r="AC220" s="179" t="e">
        <f t="shared" ca="1" si="127"/>
        <v>#N/A</v>
      </c>
      <c r="AD220" s="179" t="e">
        <f t="shared" ca="1" si="139"/>
        <v>#N/A</v>
      </c>
      <c r="AE220" s="179" t="e">
        <f t="shared" ca="1" si="139"/>
        <v>#N/A</v>
      </c>
      <c r="AF220" s="179" t="e">
        <f t="shared" ca="1" si="128"/>
        <v>#N/A</v>
      </c>
      <c r="AG220" s="179" t="e">
        <f t="shared" ca="1" si="140"/>
        <v>#N/A</v>
      </c>
      <c r="AH220" s="179" t="e">
        <f t="shared" ca="1" si="140"/>
        <v>#N/A</v>
      </c>
    </row>
    <row r="221" spans="1:34" ht="15.75" customHeight="1">
      <c r="A221" s="449" t="s">
        <v>37</v>
      </c>
      <c r="B221" s="449" t="s">
        <v>502</v>
      </c>
      <c r="C221" s="449" t="s">
        <v>680</v>
      </c>
      <c r="D221" s="322" t="str">
        <f t="shared" ca="1" si="133"/>
        <v/>
      </c>
      <c r="E221" s="322" t="str">
        <f t="shared" ca="1" si="134"/>
        <v/>
      </c>
      <c r="F221" s="322" t="str">
        <f t="shared" ca="1" si="135"/>
        <v/>
      </c>
      <c r="G221" s="227" t="str">
        <f t="shared" ca="1" si="141"/>
        <v/>
      </c>
      <c r="H221" s="227" t="str">
        <f t="shared" ca="1" si="142"/>
        <v/>
      </c>
      <c r="I221" s="227" t="str">
        <f t="shared" ca="1" si="143"/>
        <v/>
      </c>
      <c r="J221" s="227" t="str">
        <f t="shared" ca="1" si="122"/>
        <v/>
      </c>
      <c r="K221" s="227" t="str">
        <f t="shared" ca="1" si="123"/>
        <v/>
      </c>
      <c r="L221" s="227" t="str">
        <f t="shared" ca="1" si="124"/>
        <v/>
      </c>
      <c r="M221" s="227" t="str">
        <f t="shared" ca="1" si="111"/>
        <v/>
      </c>
      <c r="N221" s="227" t="str">
        <f t="shared" ca="1" si="112"/>
        <v/>
      </c>
      <c r="O221" s="227" t="str">
        <f t="shared" ca="1" si="113"/>
        <v/>
      </c>
      <c r="P221" s="227" t="str">
        <f t="shared" ca="1" si="129"/>
        <v/>
      </c>
      <c r="Q221" s="227" t="str">
        <f t="shared" ca="1" si="130"/>
        <v/>
      </c>
      <c r="R221" s="227" t="str">
        <f t="shared" ca="1" si="131"/>
        <v/>
      </c>
      <c r="T221" s="179" t="e">
        <f t="shared" ca="1" si="132"/>
        <v>#N/A</v>
      </c>
      <c r="U221" s="179" t="e">
        <f t="shared" ca="1" si="136"/>
        <v>#N/A</v>
      </c>
      <c r="V221" s="179" t="e">
        <f t="shared" ca="1" si="136"/>
        <v>#N/A</v>
      </c>
      <c r="W221" s="179" t="e">
        <f t="shared" ca="1" si="125"/>
        <v>#N/A</v>
      </c>
      <c r="X221" s="179" t="e">
        <f t="shared" ca="1" si="137"/>
        <v>#N/A</v>
      </c>
      <c r="Y221" s="179" t="e">
        <f t="shared" ca="1" si="137"/>
        <v>#N/A</v>
      </c>
      <c r="Z221" s="179" t="e">
        <f t="shared" ca="1" si="126"/>
        <v>#N/A</v>
      </c>
      <c r="AA221" s="179" t="e">
        <f t="shared" ca="1" si="138"/>
        <v>#N/A</v>
      </c>
      <c r="AB221" s="179" t="e">
        <f t="shared" ca="1" si="138"/>
        <v>#N/A</v>
      </c>
      <c r="AC221" s="179" t="e">
        <f t="shared" ca="1" si="127"/>
        <v>#N/A</v>
      </c>
      <c r="AD221" s="179" t="e">
        <f t="shared" ca="1" si="139"/>
        <v>#N/A</v>
      </c>
      <c r="AE221" s="179" t="e">
        <f t="shared" ca="1" si="139"/>
        <v>#N/A</v>
      </c>
      <c r="AF221" s="179" t="e">
        <f t="shared" ca="1" si="128"/>
        <v>#N/A</v>
      </c>
      <c r="AG221" s="179" t="e">
        <f t="shared" ca="1" si="140"/>
        <v>#N/A</v>
      </c>
      <c r="AH221" s="179" t="e">
        <f t="shared" ca="1" si="140"/>
        <v>#N/A</v>
      </c>
    </row>
    <row r="222" spans="1:34" ht="15.75" customHeight="1">
      <c r="A222" s="449" t="s">
        <v>37</v>
      </c>
      <c r="B222" s="449" t="s">
        <v>503</v>
      </c>
      <c r="C222" s="449" t="s">
        <v>685</v>
      </c>
      <c r="D222" s="322" t="str">
        <f t="shared" ca="1" si="133"/>
        <v/>
      </c>
      <c r="E222" s="322" t="str">
        <f t="shared" ca="1" si="134"/>
        <v/>
      </c>
      <c r="F222" s="322" t="str">
        <f t="shared" ca="1" si="135"/>
        <v/>
      </c>
      <c r="G222" s="227" t="str">
        <f t="shared" ca="1" si="141"/>
        <v/>
      </c>
      <c r="H222" s="227" t="str">
        <f t="shared" ca="1" si="142"/>
        <v/>
      </c>
      <c r="I222" s="227" t="str">
        <f t="shared" ca="1" si="143"/>
        <v/>
      </c>
      <c r="J222" s="227" t="str">
        <f t="shared" ca="1" si="122"/>
        <v/>
      </c>
      <c r="K222" s="227" t="str">
        <f t="shared" ca="1" si="123"/>
        <v/>
      </c>
      <c r="L222" s="227" t="str">
        <f t="shared" ca="1" si="124"/>
        <v/>
      </c>
      <c r="M222" s="227" t="str">
        <f t="shared" ca="1" si="111"/>
        <v/>
      </c>
      <c r="N222" s="227" t="str">
        <f t="shared" ca="1" si="112"/>
        <v/>
      </c>
      <c r="O222" s="227" t="str">
        <f t="shared" ca="1" si="113"/>
        <v/>
      </c>
      <c r="P222" s="227" t="str">
        <f t="shared" ca="1" si="129"/>
        <v/>
      </c>
      <c r="Q222" s="227" t="str">
        <f t="shared" ca="1" si="130"/>
        <v/>
      </c>
      <c r="R222" s="227" t="str">
        <f t="shared" ca="1" si="131"/>
        <v/>
      </c>
      <c r="T222" s="179" t="e">
        <f t="shared" ca="1" si="132"/>
        <v>#N/A</v>
      </c>
      <c r="U222" s="179" t="e">
        <f t="shared" ca="1" si="136"/>
        <v>#N/A</v>
      </c>
      <c r="V222" s="179" t="e">
        <f t="shared" ca="1" si="136"/>
        <v>#N/A</v>
      </c>
      <c r="W222" s="179" t="e">
        <f t="shared" ca="1" si="125"/>
        <v>#N/A</v>
      </c>
      <c r="X222" s="179" t="e">
        <f t="shared" ca="1" si="137"/>
        <v>#N/A</v>
      </c>
      <c r="Y222" s="179" t="e">
        <f t="shared" ca="1" si="137"/>
        <v>#N/A</v>
      </c>
      <c r="Z222" s="179" t="e">
        <f t="shared" ca="1" si="126"/>
        <v>#N/A</v>
      </c>
      <c r="AA222" s="179" t="e">
        <f t="shared" ca="1" si="138"/>
        <v>#N/A</v>
      </c>
      <c r="AB222" s="179" t="e">
        <f t="shared" ca="1" si="138"/>
        <v>#N/A</v>
      </c>
      <c r="AC222" s="179" t="e">
        <f t="shared" ca="1" si="127"/>
        <v>#N/A</v>
      </c>
      <c r="AD222" s="179" t="e">
        <f t="shared" ca="1" si="139"/>
        <v>#N/A</v>
      </c>
      <c r="AE222" s="179" t="e">
        <f t="shared" ca="1" si="139"/>
        <v>#N/A</v>
      </c>
      <c r="AF222" s="179" t="e">
        <f t="shared" ca="1" si="128"/>
        <v>#N/A</v>
      </c>
      <c r="AG222" s="179" t="e">
        <f t="shared" ca="1" si="140"/>
        <v>#N/A</v>
      </c>
      <c r="AH222" s="179" t="e">
        <f t="shared" ca="1" si="140"/>
        <v>#N/A</v>
      </c>
    </row>
    <row r="223" spans="1:34" ht="15.75" customHeight="1">
      <c r="A223" s="449" t="s">
        <v>35</v>
      </c>
      <c r="B223" s="449" t="s">
        <v>1680</v>
      </c>
      <c r="C223" s="449" t="s">
        <v>686</v>
      </c>
      <c r="D223" s="322" t="str">
        <f t="shared" ca="1" si="133"/>
        <v/>
      </c>
      <c r="E223" s="322" t="str">
        <f t="shared" ca="1" si="134"/>
        <v/>
      </c>
      <c r="F223" s="322" t="str">
        <f t="shared" ca="1" si="135"/>
        <v/>
      </c>
      <c r="G223" s="227" t="str">
        <f t="shared" ca="1" si="141"/>
        <v/>
      </c>
      <c r="H223" s="227" t="str">
        <f t="shared" ca="1" si="142"/>
        <v/>
      </c>
      <c r="I223" s="227" t="str">
        <f t="shared" ca="1" si="143"/>
        <v/>
      </c>
      <c r="J223" s="227" t="str">
        <f t="shared" ca="1" si="122"/>
        <v/>
      </c>
      <c r="K223" s="227" t="str">
        <f t="shared" ca="1" si="123"/>
        <v/>
      </c>
      <c r="L223" s="227" t="str">
        <f t="shared" ca="1" si="124"/>
        <v/>
      </c>
      <c r="M223" s="227" t="str">
        <f t="shared" ca="1" si="111"/>
        <v/>
      </c>
      <c r="N223" s="227" t="str">
        <f t="shared" ca="1" si="112"/>
        <v/>
      </c>
      <c r="O223" s="227" t="str">
        <f t="shared" ca="1" si="113"/>
        <v/>
      </c>
      <c r="P223" s="227" t="str">
        <f t="shared" ca="1" si="129"/>
        <v/>
      </c>
      <c r="Q223" s="227" t="str">
        <f t="shared" ca="1" si="130"/>
        <v/>
      </c>
      <c r="R223" s="227" t="str">
        <f t="shared" ca="1" si="131"/>
        <v/>
      </c>
      <c r="T223" s="179" t="e">
        <f t="shared" ca="1" si="132"/>
        <v>#N/A</v>
      </c>
      <c r="U223" s="179" t="e">
        <f t="shared" ca="1" si="136"/>
        <v>#N/A</v>
      </c>
      <c r="V223" s="179" t="e">
        <f t="shared" ca="1" si="136"/>
        <v>#N/A</v>
      </c>
      <c r="W223" s="179" t="e">
        <f t="shared" ca="1" si="125"/>
        <v>#N/A</v>
      </c>
      <c r="X223" s="179" t="e">
        <f t="shared" ca="1" si="137"/>
        <v>#N/A</v>
      </c>
      <c r="Y223" s="179" t="e">
        <f t="shared" ca="1" si="137"/>
        <v>#N/A</v>
      </c>
      <c r="Z223" s="179" t="e">
        <f t="shared" ca="1" si="126"/>
        <v>#N/A</v>
      </c>
      <c r="AA223" s="179" t="e">
        <f t="shared" ca="1" si="138"/>
        <v>#N/A</v>
      </c>
      <c r="AB223" s="179" t="e">
        <f t="shared" ca="1" si="138"/>
        <v>#N/A</v>
      </c>
      <c r="AC223" s="179" t="e">
        <f t="shared" ca="1" si="127"/>
        <v>#N/A</v>
      </c>
      <c r="AD223" s="179" t="e">
        <f t="shared" ca="1" si="139"/>
        <v>#N/A</v>
      </c>
      <c r="AE223" s="179" t="e">
        <f t="shared" ca="1" si="139"/>
        <v>#N/A</v>
      </c>
      <c r="AF223" s="179" t="e">
        <f t="shared" ca="1" si="128"/>
        <v>#N/A</v>
      </c>
      <c r="AG223" s="179" t="e">
        <f t="shared" ca="1" si="140"/>
        <v>#N/A</v>
      </c>
      <c r="AH223" s="179" t="e">
        <f t="shared" ca="1" si="140"/>
        <v>#N/A</v>
      </c>
    </row>
    <row r="224" spans="1:34" ht="15.75" customHeight="1">
      <c r="A224" s="449" t="s">
        <v>43</v>
      </c>
      <c r="B224" s="449" t="s">
        <v>476</v>
      </c>
      <c r="C224" s="449" t="s">
        <v>686</v>
      </c>
      <c r="D224" s="322" t="str">
        <f t="shared" ca="1" si="133"/>
        <v/>
      </c>
      <c r="E224" s="322" t="str">
        <f t="shared" ca="1" si="134"/>
        <v/>
      </c>
      <c r="F224" s="322" t="str">
        <f t="shared" ca="1" si="135"/>
        <v/>
      </c>
      <c r="G224" s="227" t="str">
        <f t="shared" ca="1" si="141"/>
        <v/>
      </c>
      <c r="H224" s="227" t="str">
        <f t="shared" ca="1" si="142"/>
        <v/>
      </c>
      <c r="I224" s="227" t="str">
        <f t="shared" ca="1" si="143"/>
        <v/>
      </c>
      <c r="J224" s="227" t="str">
        <f t="shared" ca="1" si="122"/>
        <v/>
      </c>
      <c r="K224" s="227" t="str">
        <f t="shared" ca="1" si="123"/>
        <v/>
      </c>
      <c r="L224" s="227" t="str">
        <f t="shared" ca="1" si="124"/>
        <v/>
      </c>
      <c r="M224" s="227" t="str">
        <f t="shared" ca="1" si="111"/>
        <v/>
      </c>
      <c r="N224" s="227" t="str">
        <f t="shared" ca="1" si="112"/>
        <v/>
      </c>
      <c r="O224" s="227" t="str">
        <f t="shared" ca="1" si="113"/>
        <v/>
      </c>
      <c r="P224" s="227" t="str">
        <f t="shared" ca="1" si="129"/>
        <v/>
      </c>
      <c r="Q224" s="227" t="str">
        <f t="shared" ca="1" si="130"/>
        <v/>
      </c>
      <c r="R224" s="227" t="str">
        <f t="shared" ca="1" si="131"/>
        <v/>
      </c>
      <c r="T224" s="179" t="e">
        <f t="shared" ca="1" si="132"/>
        <v>#N/A</v>
      </c>
      <c r="U224" s="179" t="e">
        <f t="shared" ca="1" si="136"/>
        <v>#N/A</v>
      </c>
      <c r="V224" s="179" t="e">
        <f t="shared" ca="1" si="136"/>
        <v>#N/A</v>
      </c>
      <c r="W224" s="179" t="e">
        <f t="shared" ca="1" si="125"/>
        <v>#N/A</v>
      </c>
      <c r="X224" s="179" t="e">
        <f t="shared" ca="1" si="137"/>
        <v>#N/A</v>
      </c>
      <c r="Y224" s="179" t="e">
        <f t="shared" ca="1" si="137"/>
        <v>#N/A</v>
      </c>
      <c r="Z224" s="179" t="e">
        <f t="shared" ca="1" si="126"/>
        <v>#N/A</v>
      </c>
      <c r="AA224" s="179" t="e">
        <f t="shared" ca="1" si="138"/>
        <v>#N/A</v>
      </c>
      <c r="AB224" s="179" t="e">
        <f t="shared" ca="1" si="138"/>
        <v>#N/A</v>
      </c>
      <c r="AC224" s="179" t="e">
        <f t="shared" ca="1" si="127"/>
        <v>#N/A</v>
      </c>
      <c r="AD224" s="179" t="e">
        <f t="shared" ca="1" si="139"/>
        <v>#N/A</v>
      </c>
      <c r="AE224" s="179" t="e">
        <f t="shared" ca="1" si="139"/>
        <v>#N/A</v>
      </c>
      <c r="AF224" s="179" t="e">
        <f t="shared" ca="1" si="128"/>
        <v>#N/A</v>
      </c>
      <c r="AG224" s="179" t="e">
        <f t="shared" ca="1" si="140"/>
        <v>#N/A</v>
      </c>
      <c r="AH224" s="179" t="e">
        <f t="shared" ca="1" si="140"/>
        <v>#N/A</v>
      </c>
    </row>
    <row r="225" spans="1:34" ht="15.75" customHeight="1">
      <c r="A225" s="449" t="s">
        <v>37</v>
      </c>
      <c r="B225" s="449" t="s">
        <v>1281</v>
      </c>
      <c r="C225" s="449" t="s">
        <v>678</v>
      </c>
      <c r="D225" s="322" t="str">
        <f t="shared" ca="1" si="133"/>
        <v/>
      </c>
      <c r="E225" s="322" t="str">
        <f t="shared" ca="1" si="134"/>
        <v/>
      </c>
      <c r="F225" s="322" t="str">
        <f t="shared" ca="1" si="135"/>
        <v/>
      </c>
      <c r="G225" s="227" t="str">
        <f t="shared" ca="1" si="141"/>
        <v/>
      </c>
      <c r="H225" s="227" t="str">
        <f t="shared" ca="1" si="142"/>
        <v/>
      </c>
      <c r="I225" s="227" t="str">
        <f t="shared" ca="1" si="143"/>
        <v/>
      </c>
      <c r="J225" s="227" t="str">
        <f t="shared" ca="1" si="122"/>
        <v/>
      </c>
      <c r="K225" s="227" t="str">
        <f t="shared" ca="1" si="123"/>
        <v/>
      </c>
      <c r="L225" s="227" t="str">
        <f t="shared" ca="1" si="124"/>
        <v/>
      </c>
      <c r="M225" s="227" t="str">
        <f t="shared" ca="1" si="111"/>
        <v/>
      </c>
      <c r="N225" s="227" t="str">
        <f t="shared" ca="1" si="112"/>
        <v/>
      </c>
      <c r="O225" s="227" t="str">
        <f t="shared" ca="1" si="113"/>
        <v/>
      </c>
      <c r="P225" s="227" t="str">
        <f t="shared" ca="1" si="129"/>
        <v/>
      </c>
      <c r="Q225" s="227" t="str">
        <f t="shared" ca="1" si="130"/>
        <v/>
      </c>
      <c r="R225" s="227" t="str">
        <f t="shared" ca="1" si="131"/>
        <v/>
      </c>
      <c r="T225" s="179" t="e">
        <f t="shared" ca="1" si="132"/>
        <v>#N/A</v>
      </c>
      <c r="U225" s="179" t="e">
        <f t="shared" ca="1" si="136"/>
        <v>#N/A</v>
      </c>
      <c r="V225" s="179" t="e">
        <f t="shared" ca="1" si="136"/>
        <v>#N/A</v>
      </c>
      <c r="W225" s="179" t="e">
        <f t="shared" ca="1" si="125"/>
        <v>#N/A</v>
      </c>
      <c r="X225" s="179" t="e">
        <f t="shared" ca="1" si="137"/>
        <v>#N/A</v>
      </c>
      <c r="Y225" s="179" t="e">
        <f t="shared" ca="1" si="137"/>
        <v>#N/A</v>
      </c>
      <c r="Z225" s="179" t="e">
        <f t="shared" ca="1" si="126"/>
        <v>#N/A</v>
      </c>
      <c r="AA225" s="179" t="e">
        <f t="shared" ca="1" si="138"/>
        <v>#N/A</v>
      </c>
      <c r="AB225" s="179" t="e">
        <f t="shared" ca="1" si="138"/>
        <v>#N/A</v>
      </c>
      <c r="AC225" s="179" t="e">
        <f t="shared" ca="1" si="127"/>
        <v>#N/A</v>
      </c>
      <c r="AD225" s="179" t="e">
        <f t="shared" ca="1" si="139"/>
        <v>#N/A</v>
      </c>
      <c r="AE225" s="179" t="e">
        <f t="shared" ca="1" si="139"/>
        <v>#N/A</v>
      </c>
      <c r="AF225" s="179" t="e">
        <f t="shared" ca="1" si="128"/>
        <v>#N/A</v>
      </c>
      <c r="AG225" s="179" t="e">
        <f t="shared" ca="1" si="140"/>
        <v>#N/A</v>
      </c>
      <c r="AH225" s="179" t="e">
        <f t="shared" ca="1" si="140"/>
        <v>#N/A</v>
      </c>
    </row>
    <row r="226" spans="1:34" ht="15.75" customHeight="1">
      <c r="A226" s="449" t="s">
        <v>35</v>
      </c>
      <c r="B226" s="449" t="s">
        <v>352</v>
      </c>
      <c r="C226" s="449" t="s">
        <v>1477</v>
      </c>
      <c r="D226" s="322" t="str">
        <f t="shared" ca="1" si="133"/>
        <v/>
      </c>
      <c r="E226" s="322" t="str">
        <f t="shared" ca="1" si="134"/>
        <v/>
      </c>
      <c r="F226" s="322" t="str">
        <f t="shared" ca="1" si="135"/>
        <v/>
      </c>
      <c r="G226" s="227" t="str">
        <f t="shared" ca="1" si="141"/>
        <v/>
      </c>
      <c r="H226" s="227" t="str">
        <f t="shared" ca="1" si="142"/>
        <v/>
      </c>
      <c r="I226" s="227" t="str">
        <f t="shared" ca="1" si="143"/>
        <v/>
      </c>
      <c r="J226" s="227" t="str">
        <f t="shared" ca="1" si="122"/>
        <v/>
      </c>
      <c r="K226" s="227" t="str">
        <f t="shared" ca="1" si="123"/>
        <v/>
      </c>
      <c r="L226" s="227" t="str">
        <f t="shared" ca="1" si="124"/>
        <v/>
      </c>
      <c r="M226" s="227" t="str">
        <f t="shared" ca="1" si="111"/>
        <v/>
      </c>
      <c r="N226" s="227" t="str">
        <f t="shared" ca="1" si="112"/>
        <v/>
      </c>
      <c r="O226" s="227" t="str">
        <f t="shared" ca="1" si="113"/>
        <v/>
      </c>
      <c r="P226" s="227" t="str">
        <f t="shared" ca="1" si="129"/>
        <v/>
      </c>
      <c r="Q226" s="227" t="str">
        <f t="shared" ca="1" si="130"/>
        <v/>
      </c>
      <c r="R226" s="227" t="str">
        <f t="shared" ca="1" si="131"/>
        <v/>
      </c>
      <c r="T226" s="179" t="e">
        <f t="shared" ca="1" si="132"/>
        <v>#N/A</v>
      </c>
      <c r="U226" s="179" t="e">
        <f t="shared" ca="1" si="136"/>
        <v>#N/A</v>
      </c>
      <c r="V226" s="179" t="e">
        <f t="shared" ca="1" si="136"/>
        <v>#N/A</v>
      </c>
      <c r="W226" s="179" t="e">
        <f t="shared" ca="1" si="125"/>
        <v>#N/A</v>
      </c>
      <c r="X226" s="179" t="e">
        <f t="shared" ca="1" si="137"/>
        <v>#N/A</v>
      </c>
      <c r="Y226" s="179" t="e">
        <f t="shared" ca="1" si="137"/>
        <v>#N/A</v>
      </c>
      <c r="Z226" s="179" t="e">
        <f t="shared" ca="1" si="126"/>
        <v>#N/A</v>
      </c>
      <c r="AA226" s="179" t="e">
        <f t="shared" ca="1" si="138"/>
        <v>#N/A</v>
      </c>
      <c r="AB226" s="179" t="e">
        <f t="shared" ca="1" si="138"/>
        <v>#N/A</v>
      </c>
      <c r="AC226" s="179" t="e">
        <f t="shared" ca="1" si="127"/>
        <v>#N/A</v>
      </c>
      <c r="AD226" s="179" t="e">
        <f t="shared" ca="1" si="139"/>
        <v>#N/A</v>
      </c>
      <c r="AE226" s="179" t="e">
        <f t="shared" ca="1" si="139"/>
        <v>#N/A</v>
      </c>
      <c r="AF226" s="179" t="e">
        <f t="shared" ca="1" si="128"/>
        <v>#N/A</v>
      </c>
      <c r="AG226" s="179" t="e">
        <f t="shared" ca="1" si="140"/>
        <v>#N/A</v>
      </c>
      <c r="AH226" s="179" t="e">
        <f t="shared" ca="1" si="140"/>
        <v>#N/A</v>
      </c>
    </row>
    <row r="227" spans="1:34" ht="15.75" customHeight="1">
      <c r="A227" s="449" t="s">
        <v>39</v>
      </c>
      <c r="B227" s="449" t="s">
        <v>1756</v>
      </c>
      <c r="C227" s="449" t="s">
        <v>695</v>
      </c>
      <c r="D227" s="322" t="str">
        <f t="shared" ca="1" si="133"/>
        <v/>
      </c>
      <c r="E227" s="322" t="str">
        <f t="shared" ca="1" si="134"/>
        <v/>
      </c>
      <c r="F227" s="322" t="str">
        <f t="shared" ca="1" si="135"/>
        <v/>
      </c>
      <c r="G227" s="227" t="str">
        <f t="shared" ca="1" si="141"/>
        <v/>
      </c>
      <c r="H227" s="227" t="str">
        <f t="shared" ca="1" si="142"/>
        <v/>
      </c>
      <c r="I227" s="227" t="str">
        <f t="shared" ca="1" si="143"/>
        <v/>
      </c>
      <c r="J227" s="227" t="str">
        <f t="shared" ca="1" si="122"/>
        <v/>
      </c>
      <c r="K227" s="227" t="str">
        <f t="shared" ca="1" si="123"/>
        <v/>
      </c>
      <c r="L227" s="227" t="str">
        <f t="shared" ca="1" si="124"/>
        <v/>
      </c>
      <c r="M227" s="227" t="str">
        <f t="shared" ca="1" si="111"/>
        <v/>
      </c>
      <c r="N227" s="227" t="str">
        <f t="shared" ca="1" si="112"/>
        <v/>
      </c>
      <c r="O227" s="227" t="str">
        <f t="shared" ca="1" si="113"/>
        <v/>
      </c>
      <c r="P227" s="227" t="str">
        <f t="shared" ca="1" si="129"/>
        <v/>
      </c>
      <c r="Q227" s="227" t="str">
        <f t="shared" ca="1" si="130"/>
        <v/>
      </c>
      <c r="R227" s="227" t="str">
        <f t="shared" ca="1" si="131"/>
        <v/>
      </c>
      <c r="T227" s="179" t="e">
        <f t="shared" ca="1" si="132"/>
        <v>#N/A</v>
      </c>
      <c r="U227" s="179" t="e">
        <f t="shared" ca="1" si="136"/>
        <v>#N/A</v>
      </c>
      <c r="V227" s="179" t="e">
        <f t="shared" ca="1" si="136"/>
        <v>#N/A</v>
      </c>
      <c r="W227" s="179" t="e">
        <f t="shared" ca="1" si="125"/>
        <v>#N/A</v>
      </c>
      <c r="X227" s="179" t="e">
        <f t="shared" ca="1" si="137"/>
        <v>#N/A</v>
      </c>
      <c r="Y227" s="179" t="e">
        <f t="shared" ca="1" si="137"/>
        <v>#N/A</v>
      </c>
      <c r="Z227" s="179" t="e">
        <f t="shared" ca="1" si="126"/>
        <v>#N/A</v>
      </c>
      <c r="AA227" s="179" t="e">
        <f t="shared" ca="1" si="138"/>
        <v>#N/A</v>
      </c>
      <c r="AB227" s="179" t="e">
        <f t="shared" ca="1" si="138"/>
        <v>#N/A</v>
      </c>
      <c r="AC227" s="179" t="e">
        <f t="shared" ca="1" si="127"/>
        <v>#N/A</v>
      </c>
      <c r="AD227" s="179" t="e">
        <f t="shared" ca="1" si="139"/>
        <v>#N/A</v>
      </c>
      <c r="AE227" s="179" t="e">
        <f t="shared" ca="1" si="139"/>
        <v>#N/A</v>
      </c>
      <c r="AF227" s="179" t="e">
        <f t="shared" ca="1" si="128"/>
        <v>#N/A</v>
      </c>
      <c r="AG227" s="179" t="e">
        <f t="shared" ca="1" si="140"/>
        <v>#N/A</v>
      </c>
      <c r="AH227" s="179" t="e">
        <f t="shared" ca="1" si="140"/>
        <v>#N/A</v>
      </c>
    </row>
    <row r="228" spans="1:34" ht="15.75" customHeight="1">
      <c r="A228" s="449" t="s">
        <v>37</v>
      </c>
      <c r="B228" s="449" t="s">
        <v>505</v>
      </c>
      <c r="C228" s="449" t="s">
        <v>691</v>
      </c>
      <c r="D228" s="322" t="str">
        <f t="shared" ca="1" si="133"/>
        <v/>
      </c>
      <c r="E228" s="322" t="str">
        <f t="shared" ca="1" si="134"/>
        <v/>
      </c>
      <c r="F228" s="322" t="str">
        <f t="shared" ca="1" si="135"/>
        <v/>
      </c>
      <c r="G228" s="227" t="str">
        <f t="shared" ca="1" si="141"/>
        <v/>
      </c>
      <c r="H228" s="227" t="str">
        <f t="shared" ca="1" si="142"/>
        <v/>
      </c>
      <c r="I228" s="227" t="str">
        <f t="shared" ca="1" si="143"/>
        <v/>
      </c>
      <c r="J228" s="227" t="str">
        <f t="shared" ca="1" si="122"/>
        <v/>
      </c>
      <c r="K228" s="227" t="str">
        <f t="shared" ca="1" si="123"/>
        <v/>
      </c>
      <c r="L228" s="227" t="str">
        <f t="shared" ca="1" si="124"/>
        <v/>
      </c>
      <c r="M228" s="227" t="str">
        <f t="shared" ca="1" si="111"/>
        <v/>
      </c>
      <c r="N228" s="227" t="str">
        <f t="shared" ca="1" si="112"/>
        <v/>
      </c>
      <c r="O228" s="227" t="str">
        <f t="shared" ca="1" si="113"/>
        <v/>
      </c>
      <c r="P228" s="227" t="str">
        <f t="shared" ca="1" si="129"/>
        <v/>
      </c>
      <c r="Q228" s="227" t="str">
        <f t="shared" ca="1" si="130"/>
        <v/>
      </c>
      <c r="R228" s="227" t="str">
        <f t="shared" ca="1" si="131"/>
        <v/>
      </c>
      <c r="T228" s="179" t="e">
        <f t="shared" ca="1" si="132"/>
        <v>#N/A</v>
      </c>
      <c r="U228" s="179" t="e">
        <f t="shared" ca="1" si="136"/>
        <v>#N/A</v>
      </c>
      <c r="V228" s="179" t="e">
        <f t="shared" ca="1" si="136"/>
        <v>#N/A</v>
      </c>
      <c r="W228" s="179" t="e">
        <f t="shared" ca="1" si="125"/>
        <v>#N/A</v>
      </c>
      <c r="X228" s="179" t="e">
        <f t="shared" ca="1" si="137"/>
        <v>#N/A</v>
      </c>
      <c r="Y228" s="179" t="e">
        <f t="shared" ca="1" si="137"/>
        <v>#N/A</v>
      </c>
      <c r="Z228" s="179" t="e">
        <f t="shared" ca="1" si="126"/>
        <v>#N/A</v>
      </c>
      <c r="AA228" s="179" t="e">
        <f t="shared" ca="1" si="138"/>
        <v>#N/A</v>
      </c>
      <c r="AB228" s="179" t="e">
        <f t="shared" ca="1" si="138"/>
        <v>#N/A</v>
      </c>
      <c r="AC228" s="179" t="e">
        <f t="shared" ca="1" si="127"/>
        <v>#N/A</v>
      </c>
      <c r="AD228" s="179" t="e">
        <f t="shared" ca="1" si="139"/>
        <v>#N/A</v>
      </c>
      <c r="AE228" s="179" t="e">
        <f t="shared" ca="1" si="139"/>
        <v>#N/A</v>
      </c>
      <c r="AF228" s="179" t="e">
        <f t="shared" ca="1" si="128"/>
        <v>#N/A</v>
      </c>
      <c r="AG228" s="179" t="e">
        <f t="shared" ca="1" si="140"/>
        <v>#N/A</v>
      </c>
      <c r="AH228" s="179" t="e">
        <f t="shared" ca="1" si="140"/>
        <v>#N/A</v>
      </c>
    </row>
    <row r="229" spans="1:34" ht="15.75" customHeight="1">
      <c r="A229" s="449" t="s">
        <v>37</v>
      </c>
      <c r="B229" s="449" t="s">
        <v>1710</v>
      </c>
      <c r="C229" s="449" t="s">
        <v>686</v>
      </c>
      <c r="D229" s="193"/>
      <c r="E229" s="193"/>
      <c r="F229" s="193"/>
      <c r="T229" s="179" t="e">
        <f t="shared" ca="1" si="132"/>
        <v>#N/A</v>
      </c>
      <c r="U229" s="179" t="e">
        <f t="shared" ref="U229:V248" ca="1" si="144">T229</f>
        <v>#N/A</v>
      </c>
      <c r="V229" s="179" t="e">
        <f t="shared" ca="1" si="144"/>
        <v>#N/A</v>
      </c>
      <c r="W229" s="179" t="e">
        <f t="shared" ca="1" si="125"/>
        <v>#N/A</v>
      </c>
      <c r="X229" s="179" t="e">
        <f t="shared" ref="X229:Y248" ca="1" si="145">W229</f>
        <v>#N/A</v>
      </c>
      <c r="Y229" s="179" t="e">
        <f t="shared" ca="1" si="145"/>
        <v>#N/A</v>
      </c>
      <c r="Z229" s="179" t="e">
        <f t="shared" ca="1" si="126"/>
        <v>#N/A</v>
      </c>
      <c r="AA229" s="179" t="e">
        <f t="shared" ref="AA229:AB248" ca="1" si="146">Z229</f>
        <v>#N/A</v>
      </c>
      <c r="AB229" s="179" t="e">
        <f t="shared" ca="1" si="146"/>
        <v>#N/A</v>
      </c>
      <c r="AC229" s="179" t="e">
        <f t="shared" ca="1" si="127"/>
        <v>#N/A</v>
      </c>
      <c r="AD229" s="179" t="e">
        <f t="shared" ref="AD229:AE248" ca="1" si="147">AC229</f>
        <v>#N/A</v>
      </c>
      <c r="AE229" s="179" t="e">
        <f t="shared" ca="1" si="147"/>
        <v>#N/A</v>
      </c>
      <c r="AF229" s="179" t="e">
        <f t="shared" ca="1" si="128"/>
        <v>#N/A</v>
      </c>
      <c r="AG229" s="179" t="e">
        <f t="shared" ref="AG229:AH248" ca="1" si="148">AF229</f>
        <v>#N/A</v>
      </c>
      <c r="AH229" s="179" t="e">
        <f t="shared" ca="1" si="148"/>
        <v>#N/A</v>
      </c>
    </row>
    <row r="230" spans="1:34" ht="15.75" customHeight="1">
      <c r="A230" s="449" t="s">
        <v>39</v>
      </c>
      <c r="B230" s="449" t="s">
        <v>479</v>
      </c>
      <c r="C230" s="449" t="s">
        <v>1477</v>
      </c>
      <c r="D230" s="193"/>
      <c r="E230" s="193"/>
      <c r="F230" s="193"/>
      <c r="T230" s="179" t="e">
        <f t="shared" ca="1" si="132"/>
        <v>#N/A</v>
      </c>
      <c r="U230" s="179" t="e">
        <f t="shared" ca="1" si="144"/>
        <v>#N/A</v>
      </c>
      <c r="V230" s="179" t="e">
        <f t="shared" ca="1" si="144"/>
        <v>#N/A</v>
      </c>
      <c r="W230" s="179" t="e">
        <f t="shared" ca="1" si="125"/>
        <v>#N/A</v>
      </c>
      <c r="X230" s="179" t="e">
        <f t="shared" ca="1" si="145"/>
        <v>#N/A</v>
      </c>
      <c r="Y230" s="179" t="e">
        <f t="shared" ca="1" si="145"/>
        <v>#N/A</v>
      </c>
      <c r="Z230" s="179" t="e">
        <f t="shared" ca="1" si="126"/>
        <v>#N/A</v>
      </c>
      <c r="AA230" s="179" t="e">
        <f t="shared" ca="1" si="146"/>
        <v>#N/A</v>
      </c>
      <c r="AB230" s="179" t="e">
        <f t="shared" ca="1" si="146"/>
        <v>#N/A</v>
      </c>
      <c r="AC230" s="179" t="e">
        <f t="shared" ca="1" si="127"/>
        <v>#N/A</v>
      </c>
      <c r="AD230" s="179" t="e">
        <f t="shared" ca="1" si="147"/>
        <v>#N/A</v>
      </c>
      <c r="AE230" s="179" t="e">
        <f t="shared" ca="1" si="147"/>
        <v>#N/A</v>
      </c>
      <c r="AF230" s="179" t="e">
        <f t="shared" ca="1" si="128"/>
        <v>#N/A</v>
      </c>
      <c r="AG230" s="179" t="e">
        <f t="shared" ca="1" si="148"/>
        <v>#N/A</v>
      </c>
      <c r="AH230" s="179" t="e">
        <f t="shared" ca="1" si="148"/>
        <v>#N/A</v>
      </c>
    </row>
    <row r="231" spans="1:34" ht="15.75" customHeight="1">
      <c r="A231" s="449" t="s">
        <v>37</v>
      </c>
      <c r="B231" s="449" t="s">
        <v>1716</v>
      </c>
      <c r="C231" s="449" t="s">
        <v>1672</v>
      </c>
      <c r="D231" s="193"/>
      <c r="E231" s="193"/>
      <c r="F231" s="193"/>
      <c r="T231" s="179" t="e">
        <f t="shared" ca="1" si="132"/>
        <v>#N/A</v>
      </c>
      <c r="U231" s="179" t="e">
        <f t="shared" ca="1" si="144"/>
        <v>#N/A</v>
      </c>
      <c r="V231" s="179" t="e">
        <f t="shared" ca="1" si="144"/>
        <v>#N/A</v>
      </c>
      <c r="W231" s="179" t="e">
        <f t="shared" ca="1" si="125"/>
        <v>#N/A</v>
      </c>
      <c r="X231" s="179" t="e">
        <f t="shared" ca="1" si="145"/>
        <v>#N/A</v>
      </c>
      <c r="Y231" s="179" t="e">
        <f t="shared" ca="1" si="145"/>
        <v>#N/A</v>
      </c>
      <c r="Z231" s="179" t="e">
        <f t="shared" ca="1" si="126"/>
        <v>#N/A</v>
      </c>
      <c r="AA231" s="179" t="e">
        <f t="shared" ca="1" si="146"/>
        <v>#N/A</v>
      </c>
      <c r="AB231" s="179" t="e">
        <f t="shared" ca="1" si="146"/>
        <v>#N/A</v>
      </c>
      <c r="AC231" s="179" t="e">
        <f t="shared" ca="1" si="127"/>
        <v>#N/A</v>
      </c>
      <c r="AD231" s="179" t="e">
        <f t="shared" ca="1" si="147"/>
        <v>#N/A</v>
      </c>
      <c r="AE231" s="179" t="e">
        <f t="shared" ca="1" si="147"/>
        <v>#N/A</v>
      </c>
      <c r="AF231" s="179" t="e">
        <f t="shared" ca="1" si="128"/>
        <v>#N/A</v>
      </c>
      <c r="AG231" s="179" t="e">
        <f t="shared" ca="1" si="148"/>
        <v>#N/A</v>
      </c>
      <c r="AH231" s="179" t="e">
        <f t="shared" ca="1" si="148"/>
        <v>#N/A</v>
      </c>
    </row>
    <row r="232" spans="1:34" ht="15.75" customHeight="1">
      <c r="A232" s="449" t="s">
        <v>35</v>
      </c>
      <c r="B232" s="449" t="s">
        <v>1686</v>
      </c>
      <c r="C232" s="449" t="s">
        <v>682</v>
      </c>
      <c r="D232" s="193"/>
      <c r="E232" s="193"/>
      <c r="F232" s="193"/>
      <c r="T232" s="179" t="e">
        <f t="shared" ca="1" si="132"/>
        <v>#N/A</v>
      </c>
      <c r="U232" s="179" t="e">
        <f t="shared" ca="1" si="144"/>
        <v>#N/A</v>
      </c>
      <c r="V232" s="179" t="e">
        <f t="shared" ca="1" si="144"/>
        <v>#N/A</v>
      </c>
      <c r="W232" s="179" t="e">
        <f t="shared" ca="1" si="125"/>
        <v>#N/A</v>
      </c>
      <c r="X232" s="179" t="e">
        <f t="shared" ca="1" si="145"/>
        <v>#N/A</v>
      </c>
      <c r="Y232" s="179" t="e">
        <f t="shared" ca="1" si="145"/>
        <v>#N/A</v>
      </c>
      <c r="Z232" s="179" t="e">
        <f t="shared" ca="1" si="126"/>
        <v>#N/A</v>
      </c>
      <c r="AA232" s="179" t="e">
        <f t="shared" ca="1" si="146"/>
        <v>#N/A</v>
      </c>
      <c r="AB232" s="179" t="e">
        <f t="shared" ca="1" si="146"/>
        <v>#N/A</v>
      </c>
      <c r="AC232" s="179" t="e">
        <f t="shared" ca="1" si="127"/>
        <v>#N/A</v>
      </c>
      <c r="AD232" s="179" t="e">
        <f t="shared" ca="1" si="147"/>
        <v>#N/A</v>
      </c>
      <c r="AE232" s="179" t="e">
        <f t="shared" ca="1" si="147"/>
        <v>#N/A</v>
      </c>
      <c r="AF232" s="179" t="e">
        <f t="shared" ca="1" si="128"/>
        <v>#N/A</v>
      </c>
      <c r="AG232" s="179" t="e">
        <f t="shared" ca="1" si="148"/>
        <v>#N/A</v>
      </c>
      <c r="AH232" s="179" t="e">
        <f t="shared" ca="1" si="148"/>
        <v>#N/A</v>
      </c>
    </row>
    <row r="233" spans="1:34" ht="15.75" customHeight="1">
      <c r="A233" s="449" t="s">
        <v>39</v>
      </c>
      <c r="B233" s="449" t="s">
        <v>1279</v>
      </c>
      <c r="C233" s="449" t="s">
        <v>687</v>
      </c>
      <c r="D233" s="193"/>
      <c r="E233" s="193"/>
      <c r="F233" s="193"/>
      <c r="T233" s="179" t="e">
        <f t="shared" ca="1" si="132"/>
        <v>#N/A</v>
      </c>
      <c r="U233" s="179" t="e">
        <f t="shared" ca="1" si="144"/>
        <v>#N/A</v>
      </c>
      <c r="V233" s="179" t="e">
        <f t="shared" ca="1" si="144"/>
        <v>#N/A</v>
      </c>
      <c r="W233" s="179" t="e">
        <f t="shared" ca="1" si="125"/>
        <v>#N/A</v>
      </c>
      <c r="X233" s="179" t="e">
        <f t="shared" ca="1" si="145"/>
        <v>#N/A</v>
      </c>
      <c r="Y233" s="179" t="e">
        <f t="shared" ca="1" si="145"/>
        <v>#N/A</v>
      </c>
      <c r="Z233" s="179" t="e">
        <f t="shared" ca="1" si="126"/>
        <v>#N/A</v>
      </c>
      <c r="AA233" s="179" t="e">
        <f t="shared" ca="1" si="146"/>
        <v>#N/A</v>
      </c>
      <c r="AB233" s="179" t="e">
        <f t="shared" ca="1" si="146"/>
        <v>#N/A</v>
      </c>
      <c r="AC233" s="179" t="e">
        <f t="shared" ca="1" si="127"/>
        <v>#N/A</v>
      </c>
      <c r="AD233" s="179" t="e">
        <f t="shared" ca="1" si="147"/>
        <v>#N/A</v>
      </c>
      <c r="AE233" s="179" t="e">
        <f t="shared" ca="1" si="147"/>
        <v>#N/A</v>
      </c>
      <c r="AF233" s="179" t="e">
        <f t="shared" ca="1" si="128"/>
        <v>#N/A</v>
      </c>
      <c r="AG233" s="179" t="e">
        <f t="shared" ca="1" si="148"/>
        <v>#N/A</v>
      </c>
      <c r="AH233" s="179" t="e">
        <f t="shared" ca="1" si="148"/>
        <v>#N/A</v>
      </c>
    </row>
    <row r="234" spans="1:34" ht="15.75" customHeight="1">
      <c r="A234" s="449" t="s">
        <v>37</v>
      </c>
      <c r="B234" s="449" t="s">
        <v>1711</v>
      </c>
      <c r="C234" s="449" t="s">
        <v>1672</v>
      </c>
      <c r="D234" s="193"/>
      <c r="E234" s="193"/>
      <c r="F234" s="193"/>
      <c r="T234" s="179" t="e">
        <f t="shared" ca="1" si="132"/>
        <v>#N/A</v>
      </c>
      <c r="U234" s="179" t="e">
        <f t="shared" ca="1" si="144"/>
        <v>#N/A</v>
      </c>
      <c r="V234" s="179" t="e">
        <f t="shared" ca="1" si="144"/>
        <v>#N/A</v>
      </c>
      <c r="W234" s="179" t="e">
        <f t="shared" ca="1" si="125"/>
        <v>#N/A</v>
      </c>
      <c r="X234" s="179" t="e">
        <f t="shared" ca="1" si="145"/>
        <v>#N/A</v>
      </c>
      <c r="Y234" s="179" t="e">
        <f t="shared" ca="1" si="145"/>
        <v>#N/A</v>
      </c>
      <c r="Z234" s="179" t="e">
        <f t="shared" ca="1" si="126"/>
        <v>#N/A</v>
      </c>
      <c r="AA234" s="179" t="e">
        <f t="shared" ca="1" si="146"/>
        <v>#N/A</v>
      </c>
      <c r="AB234" s="179" t="e">
        <f t="shared" ca="1" si="146"/>
        <v>#N/A</v>
      </c>
      <c r="AC234" s="179" t="e">
        <f t="shared" ca="1" si="127"/>
        <v>#N/A</v>
      </c>
      <c r="AD234" s="179" t="e">
        <f t="shared" ca="1" si="147"/>
        <v>#N/A</v>
      </c>
      <c r="AE234" s="179" t="e">
        <f t="shared" ca="1" si="147"/>
        <v>#N/A</v>
      </c>
      <c r="AF234" s="179" t="e">
        <f t="shared" ca="1" si="128"/>
        <v>#N/A</v>
      </c>
      <c r="AG234" s="179" t="e">
        <f t="shared" ca="1" si="148"/>
        <v>#N/A</v>
      </c>
      <c r="AH234" s="179" t="e">
        <f t="shared" ca="1" si="148"/>
        <v>#N/A</v>
      </c>
    </row>
    <row r="235" spans="1:34" ht="15.75" customHeight="1">
      <c r="A235" s="449" t="s">
        <v>39</v>
      </c>
      <c r="B235" s="449" t="s">
        <v>1746</v>
      </c>
      <c r="C235" s="449" t="s">
        <v>686</v>
      </c>
      <c r="D235" s="193"/>
      <c r="E235" s="193"/>
      <c r="F235" s="193"/>
      <c r="T235" s="179" t="e">
        <f t="shared" ca="1" si="132"/>
        <v>#N/A</v>
      </c>
      <c r="U235" s="179" t="e">
        <f t="shared" ca="1" si="144"/>
        <v>#N/A</v>
      </c>
      <c r="V235" s="179" t="e">
        <f t="shared" ca="1" si="144"/>
        <v>#N/A</v>
      </c>
      <c r="W235" s="179" t="e">
        <f t="shared" ca="1" si="125"/>
        <v>#N/A</v>
      </c>
      <c r="X235" s="179" t="e">
        <f t="shared" ca="1" si="145"/>
        <v>#N/A</v>
      </c>
      <c r="Y235" s="179" t="e">
        <f t="shared" ca="1" si="145"/>
        <v>#N/A</v>
      </c>
      <c r="Z235" s="179" t="e">
        <f t="shared" ca="1" si="126"/>
        <v>#N/A</v>
      </c>
      <c r="AA235" s="179" t="e">
        <f t="shared" ca="1" si="146"/>
        <v>#N/A</v>
      </c>
      <c r="AB235" s="179" t="e">
        <f t="shared" ca="1" si="146"/>
        <v>#N/A</v>
      </c>
      <c r="AC235" s="179" t="e">
        <f t="shared" ca="1" si="127"/>
        <v>#N/A</v>
      </c>
      <c r="AD235" s="179" t="e">
        <f t="shared" ca="1" si="147"/>
        <v>#N/A</v>
      </c>
      <c r="AE235" s="179" t="e">
        <f t="shared" ca="1" si="147"/>
        <v>#N/A</v>
      </c>
      <c r="AF235" s="179" t="e">
        <f t="shared" ca="1" si="128"/>
        <v>#N/A</v>
      </c>
      <c r="AG235" s="179" t="e">
        <f t="shared" ca="1" si="148"/>
        <v>#N/A</v>
      </c>
      <c r="AH235" s="179" t="e">
        <f t="shared" ca="1" si="148"/>
        <v>#N/A</v>
      </c>
    </row>
    <row r="236" spans="1:34" ht="15.75" customHeight="1">
      <c r="A236" s="449" t="s">
        <v>39</v>
      </c>
      <c r="B236" s="449" t="s">
        <v>926</v>
      </c>
      <c r="C236" s="449" t="s">
        <v>692</v>
      </c>
      <c r="D236" s="193"/>
      <c r="E236" s="193"/>
      <c r="F236" s="193"/>
      <c r="T236" s="179" t="e">
        <f t="shared" ca="1" si="132"/>
        <v>#N/A</v>
      </c>
      <c r="U236" s="179" t="e">
        <f t="shared" ca="1" si="144"/>
        <v>#N/A</v>
      </c>
      <c r="V236" s="179" t="e">
        <f t="shared" ca="1" si="144"/>
        <v>#N/A</v>
      </c>
      <c r="W236" s="179" t="e">
        <f t="shared" ca="1" si="125"/>
        <v>#N/A</v>
      </c>
      <c r="X236" s="179" t="e">
        <f t="shared" ca="1" si="145"/>
        <v>#N/A</v>
      </c>
      <c r="Y236" s="179" t="e">
        <f t="shared" ca="1" si="145"/>
        <v>#N/A</v>
      </c>
      <c r="Z236" s="179" t="e">
        <f t="shared" ca="1" si="126"/>
        <v>#N/A</v>
      </c>
      <c r="AA236" s="179" t="e">
        <f t="shared" ca="1" si="146"/>
        <v>#N/A</v>
      </c>
      <c r="AB236" s="179" t="e">
        <f t="shared" ca="1" si="146"/>
        <v>#N/A</v>
      </c>
      <c r="AC236" s="179" t="e">
        <f t="shared" ca="1" si="127"/>
        <v>#N/A</v>
      </c>
      <c r="AD236" s="179" t="e">
        <f t="shared" ca="1" si="147"/>
        <v>#N/A</v>
      </c>
      <c r="AE236" s="179" t="e">
        <f t="shared" ca="1" si="147"/>
        <v>#N/A</v>
      </c>
      <c r="AF236" s="179" t="e">
        <f t="shared" ca="1" si="128"/>
        <v>#N/A</v>
      </c>
      <c r="AG236" s="179" t="e">
        <f t="shared" ca="1" si="148"/>
        <v>#N/A</v>
      </c>
      <c r="AH236" s="179" t="e">
        <f t="shared" ca="1" si="148"/>
        <v>#N/A</v>
      </c>
    </row>
    <row r="237" spans="1:34" ht="15.75" customHeight="1">
      <c r="A237" s="449" t="s">
        <v>39</v>
      </c>
      <c r="B237" s="449" t="s">
        <v>482</v>
      </c>
      <c r="C237" s="449" t="s">
        <v>684</v>
      </c>
      <c r="D237" s="193"/>
      <c r="E237" s="193"/>
      <c r="F237" s="193"/>
      <c r="T237" s="179" t="e">
        <f t="shared" ca="1" si="132"/>
        <v>#N/A</v>
      </c>
      <c r="U237" s="179" t="e">
        <f t="shared" ca="1" si="144"/>
        <v>#N/A</v>
      </c>
      <c r="V237" s="179" t="e">
        <f t="shared" ca="1" si="144"/>
        <v>#N/A</v>
      </c>
      <c r="W237" s="179" t="e">
        <f t="shared" ca="1" si="125"/>
        <v>#N/A</v>
      </c>
      <c r="X237" s="179" t="e">
        <f t="shared" ca="1" si="145"/>
        <v>#N/A</v>
      </c>
      <c r="Y237" s="179" t="e">
        <f t="shared" ca="1" si="145"/>
        <v>#N/A</v>
      </c>
      <c r="Z237" s="179" t="e">
        <f t="shared" ca="1" si="126"/>
        <v>#N/A</v>
      </c>
      <c r="AA237" s="179" t="e">
        <f t="shared" ca="1" si="146"/>
        <v>#N/A</v>
      </c>
      <c r="AB237" s="179" t="e">
        <f t="shared" ca="1" si="146"/>
        <v>#N/A</v>
      </c>
      <c r="AC237" s="179" t="e">
        <f t="shared" ca="1" si="127"/>
        <v>#N/A</v>
      </c>
      <c r="AD237" s="179" t="e">
        <f t="shared" ca="1" si="147"/>
        <v>#N/A</v>
      </c>
      <c r="AE237" s="179" t="e">
        <f t="shared" ca="1" si="147"/>
        <v>#N/A</v>
      </c>
      <c r="AF237" s="179" t="e">
        <f t="shared" ca="1" si="128"/>
        <v>#N/A</v>
      </c>
      <c r="AG237" s="179" t="e">
        <f t="shared" ca="1" si="148"/>
        <v>#N/A</v>
      </c>
      <c r="AH237" s="179" t="e">
        <f t="shared" ca="1" si="148"/>
        <v>#N/A</v>
      </c>
    </row>
    <row r="238" spans="1:34" ht="15.75" customHeight="1">
      <c r="A238" s="449" t="s">
        <v>39</v>
      </c>
      <c r="B238" s="449" t="s">
        <v>483</v>
      </c>
      <c r="C238" s="449" t="s">
        <v>681</v>
      </c>
      <c r="D238" s="193"/>
      <c r="E238" s="193"/>
      <c r="F238" s="193"/>
      <c r="T238" s="179" t="e">
        <f t="shared" ca="1" si="132"/>
        <v>#N/A</v>
      </c>
      <c r="U238" s="179" t="e">
        <f t="shared" ca="1" si="144"/>
        <v>#N/A</v>
      </c>
      <c r="V238" s="179" t="e">
        <f t="shared" ca="1" si="144"/>
        <v>#N/A</v>
      </c>
      <c r="W238" s="179" t="e">
        <f t="shared" ca="1" si="125"/>
        <v>#N/A</v>
      </c>
      <c r="X238" s="179" t="e">
        <f t="shared" ca="1" si="145"/>
        <v>#N/A</v>
      </c>
      <c r="Y238" s="179" t="e">
        <f t="shared" ca="1" si="145"/>
        <v>#N/A</v>
      </c>
      <c r="Z238" s="179" t="e">
        <f t="shared" ca="1" si="126"/>
        <v>#N/A</v>
      </c>
      <c r="AA238" s="179" t="e">
        <f t="shared" ca="1" si="146"/>
        <v>#N/A</v>
      </c>
      <c r="AB238" s="179" t="e">
        <f t="shared" ca="1" si="146"/>
        <v>#N/A</v>
      </c>
      <c r="AC238" s="179" t="e">
        <f t="shared" ca="1" si="127"/>
        <v>#N/A</v>
      </c>
      <c r="AD238" s="179" t="e">
        <f t="shared" ca="1" si="147"/>
        <v>#N/A</v>
      </c>
      <c r="AE238" s="179" t="e">
        <f t="shared" ca="1" si="147"/>
        <v>#N/A</v>
      </c>
      <c r="AF238" s="179" t="e">
        <f t="shared" ca="1" si="128"/>
        <v>#N/A</v>
      </c>
      <c r="AG238" s="179" t="e">
        <f t="shared" ca="1" si="148"/>
        <v>#N/A</v>
      </c>
      <c r="AH238" s="179" t="e">
        <f t="shared" ca="1" si="148"/>
        <v>#N/A</v>
      </c>
    </row>
    <row r="239" spans="1:34" ht="15.75" customHeight="1">
      <c r="A239" s="449" t="s">
        <v>35</v>
      </c>
      <c r="B239" s="449" t="s">
        <v>356</v>
      </c>
      <c r="C239" s="449" t="s">
        <v>677</v>
      </c>
      <c r="D239" s="193"/>
      <c r="E239" s="193"/>
      <c r="F239" s="193"/>
      <c r="T239" s="179" t="e">
        <f t="shared" ca="1" si="132"/>
        <v>#N/A</v>
      </c>
      <c r="U239" s="179" t="e">
        <f t="shared" ca="1" si="144"/>
        <v>#N/A</v>
      </c>
      <c r="V239" s="179" t="e">
        <f t="shared" ca="1" si="144"/>
        <v>#N/A</v>
      </c>
      <c r="W239" s="179" t="e">
        <f t="shared" ca="1" si="125"/>
        <v>#N/A</v>
      </c>
      <c r="X239" s="179" t="e">
        <f t="shared" ca="1" si="145"/>
        <v>#N/A</v>
      </c>
      <c r="Y239" s="179" t="e">
        <f t="shared" ca="1" si="145"/>
        <v>#N/A</v>
      </c>
      <c r="Z239" s="179" t="e">
        <f t="shared" ca="1" si="126"/>
        <v>#N/A</v>
      </c>
      <c r="AA239" s="179" t="e">
        <f t="shared" ca="1" si="146"/>
        <v>#N/A</v>
      </c>
      <c r="AB239" s="179" t="e">
        <f t="shared" ca="1" si="146"/>
        <v>#N/A</v>
      </c>
      <c r="AC239" s="179" t="e">
        <f t="shared" ca="1" si="127"/>
        <v>#N/A</v>
      </c>
      <c r="AD239" s="179" t="e">
        <f t="shared" ca="1" si="147"/>
        <v>#N/A</v>
      </c>
      <c r="AE239" s="179" t="e">
        <f t="shared" ca="1" si="147"/>
        <v>#N/A</v>
      </c>
      <c r="AF239" s="179" t="e">
        <f t="shared" ca="1" si="128"/>
        <v>#N/A</v>
      </c>
      <c r="AG239" s="179" t="e">
        <f t="shared" ca="1" si="148"/>
        <v>#N/A</v>
      </c>
      <c r="AH239" s="179" t="e">
        <f t="shared" ca="1" si="148"/>
        <v>#N/A</v>
      </c>
    </row>
    <row r="240" spans="1:34" ht="15.75" customHeight="1">
      <c r="A240" s="449" t="s">
        <v>37</v>
      </c>
      <c r="B240" s="449" t="s">
        <v>1697</v>
      </c>
      <c r="C240" s="449" t="s">
        <v>686</v>
      </c>
      <c r="D240" s="193"/>
      <c r="E240" s="193"/>
      <c r="F240" s="193"/>
      <c r="T240" s="179" t="e">
        <f t="shared" ca="1" si="132"/>
        <v>#N/A</v>
      </c>
      <c r="U240" s="179" t="e">
        <f t="shared" ca="1" si="144"/>
        <v>#N/A</v>
      </c>
      <c r="V240" s="179" t="e">
        <f t="shared" ca="1" si="144"/>
        <v>#N/A</v>
      </c>
      <c r="W240" s="179" t="e">
        <f t="shared" ca="1" si="125"/>
        <v>#N/A</v>
      </c>
      <c r="X240" s="179" t="e">
        <f t="shared" ca="1" si="145"/>
        <v>#N/A</v>
      </c>
      <c r="Y240" s="179" t="e">
        <f t="shared" ca="1" si="145"/>
        <v>#N/A</v>
      </c>
      <c r="Z240" s="179" t="e">
        <f t="shared" ca="1" si="126"/>
        <v>#N/A</v>
      </c>
      <c r="AA240" s="179" t="e">
        <f t="shared" ca="1" si="146"/>
        <v>#N/A</v>
      </c>
      <c r="AB240" s="179" t="e">
        <f t="shared" ca="1" si="146"/>
        <v>#N/A</v>
      </c>
      <c r="AC240" s="179" t="e">
        <f t="shared" ca="1" si="127"/>
        <v>#N/A</v>
      </c>
      <c r="AD240" s="179" t="e">
        <f t="shared" ca="1" si="147"/>
        <v>#N/A</v>
      </c>
      <c r="AE240" s="179" t="e">
        <f t="shared" ca="1" si="147"/>
        <v>#N/A</v>
      </c>
      <c r="AF240" s="179" t="e">
        <f t="shared" ca="1" si="128"/>
        <v>#N/A</v>
      </c>
      <c r="AG240" s="179" t="e">
        <f t="shared" ca="1" si="148"/>
        <v>#N/A</v>
      </c>
      <c r="AH240" s="179" t="e">
        <f t="shared" ca="1" si="148"/>
        <v>#N/A</v>
      </c>
    </row>
    <row r="241" spans="1:34" ht="15.75" customHeight="1">
      <c r="A241" s="449" t="s">
        <v>37</v>
      </c>
      <c r="B241" s="449" t="s">
        <v>1862</v>
      </c>
      <c r="C241" s="449" t="s">
        <v>695</v>
      </c>
      <c r="D241" s="193"/>
      <c r="E241" s="193"/>
      <c r="F241" s="193"/>
      <c r="T241" s="179" t="e">
        <f t="shared" ca="1" si="132"/>
        <v>#N/A</v>
      </c>
      <c r="U241" s="179" t="e">
        <f t="shared" ca="1" si="144"/>
        <v>#N/A</v>
      </c>
      <c r="V241" s="179" t="e">
        <f t="shared" ca="1" si="144"/>
        <v>#N/A</v>
      </c>
      <c r="W241" s="179" t="e">
        <f t="shared" ca="1" si="125"/>
        <v>#N/A</v>
      </c>
      <c r="X241" s="179" t="e">
        <f t="shared" ca="1" si="145"/>
        <v>#N/A</v>
      </c>
      <c r="Y241" s="179" t="e">
        <f t="shared" ca="1" si="145"/>
        <v>#N/A</v>
      </c>
      <c r="Z241" s="179" t="e">
        <f t="shared" ca="1" si="126"/>
        <v>#N/A</v>
      </c>
      <c r="AA241" s="179" t="e">
        <f t="shared" ca="1" si="146"/>
        <v>#N/A</v>
      </c>
      <c r="AB241" s="179" t="e">
        <f t="shared" ca="1" si="146"/>
        <v>#N/A</v>
      </c>
      <c r="AC241" s="179" t="e">
        <f t="shared" ca="1" si="127"/>
        <v>#N/A</v>
      </c>
      <c r="AD241" s="179" t="e">
        <f t="shared" ca="1" si="147"/>
        <v>#N/A</v>
      </c>
      <c r="AE241" s="179" t="e">
        <f t="shared" ca="1" si="147"/>
        <v>#N/A</v>
      </c>
      <c r="AF241" s="179" t="e">
        <f t="shared" ca="1" si="128"/>
        <v>#N/A</v>
      </c>
      <c r="AG241" s="179" t="e">
        <f t="shared" ca="1" si="148"/>
        <v>#N/A</v>
      </c>
      <c r="AH241" s="179" t="e">
        <f t="shared" ca="1" si="148"/>
        <v>#N/A</v>
      </c>
    </row>
    <row r="242" spans="1:34" ht="15.75" customHeight="1">
      <c r="A242" s="449" t="s">
        <v>37</v>
      </c>
      <c r="B242" s="449" t="s">
        <v>1343</v>
      </c>
      <c r="C242" s="449" t="s">
        <v>691</v>
      </c>
      <c r="D242" s="193"/>
      <c r="E242" s="193"/>
      <c r="F242" s="193"/>
      <c r="T242" s="179" t="e">
        <f t="shared" ca="1" si="132"/>
        <v>#N/A</v>
      </c>
      <c r="U242" s="179" t="e">
        <f t="shared" ca="1" si="144"/>
        <v>#N/A</v>
      </c>
      <c r="V242" s="179" t="e">
        <f t="shared" ca="1" si="144"/>
        <v>#N/A</v>
      </c>
      <c r="W242" s="179" t="e">
        <f t="shared" ca="1" si="125"/>
        <v>#N/A</v>
      </c>
      <c r="X242" s="179" t="e">
        <f t="shared" ca="1" si="145"/>
        <v>#N/A</v>
      </c>
      <c r="Y242" s="179" t="e">
        <f t="shared" ca="1" si="145"/>
        <v>#N/A</v>
      </c>
      <c r="Z242" s="179" t="e">
        <f t="shared" ca="1" si="126"/>
        <v>#N/A</v>
      </c>
      <c r="AA242" s="179" t="e">
        <f t="shared" ca="1" si="146"/>
        <v>#N/A</v>
      </c>
      <c r="AB242" s="179" t="e">
        <f t="shared" ca="1" si="146"/>
        <v>#N/A</v>
      </c>
      <c r="AC242" s="179" t="e">
        <f t="shared" ca="1" si="127"/>
        <v>#N/A</v>
      </c>
      <c r="AD242" s="179" t="e">
        <f t="shared" ca="1" si="147"/>
        <v>#N/A</v>
      </c>
      <c r="AE242" s="179" t="e">
        <f t="shared" ca="1" si="147"/>
        <v>#N/A</v>
      </c>
      <c r="AF242" s="179" t="e">
        <f t="shared" ca="1" si="128"/>
        <v>#N/A</v>
      </c>
      <c r="AG242" s="179" t="e">
        <f t="shared" ca="1" si="148"/>
        <v>#N/A</v>
      </c>
      <c r="AH242" s="179" t="e">
        <f t="shared" ca="1" si="148"/>
        <v>#N/A</v>
      </c>
    </row>
    <row r="243" spans="1:34" ht="15.75" customHeight="1">
      <c r="A243" s="449" t="s">
        <v>39</v>
      </c>
      <c r="B243" s="449" t="s">
        <v>487</v>
      </c>
      <c r="C243" s="449" t="s">
        <v>680</v>
      </c>
      <c r="D243" s="193"/>
      <c r="E243" s="193"/>
      <c r="F243" s="193"/>
      <c r="T243" s="179" t="e">
        <f t="shared" ca="1" si="132"/>
        <v>#N/A</v>
      </c>
      <c r="U243" s="179" t="e">
        <f t="shared" ca="1" si="144"/>
        <v>#N/A</v>
      </c>
      <c r="V243" s="179" t="e">
        <f t="shared" ca="1" si="144"/>
        <v>#N/A</v>
      </c>
      <c r="W243" s="179" t="e">
        <f t="shared" ca="1" si="125"/>
        <v>#N/A</v>
      </c>
      <c r="X243" s="179" t="e">
        <f t="shared" ca="1" si="145"/>
        <v>#N/A</v>
      </c>
      <c r="Y243" s="179" t="e">
        <f t="shared" ca="1" si="145"/>
        <v>#N/A</v>
      </c>
      <c r="Z243" s="179" t="e">
        <f t="shared" ca="1" si="126"/>
        <v>#N/A</v>
      </c>
      <c r="AA243" s="179" t="e">
        <f t="shared" ca="1" si="146"/>
        <v>#N/A</v>
      </c>
      <c r="AB243" s="179" t="e">
        <f t="shared" ca="1" si="146"/>
        <v>#N/A</v>
      </c>
      <c r="AC243" s="179" t="e">
        <f t="shared" ca="1" si="127"/>
        <v>#N/A</v>
      </c>
      <c r="AD243" s="179" t="e">
        <f t="shared" ca="1" si="147"/>
        <v>#N/A</v>
      </c>
      <c r="AE243" s="179" t="e">
        <f t="shared" ca="1" si="147"/>
        <v>#N/A</v>
      </c>
      <c r="AF243" s="179" t="e">
        <f t="shared" ca="1" si="128"/>
        <v>#N/A</v>
      </c>
      <c r="AG243" s="179" t="e">
        <f t="shared" ca="1" si="148"/>
        <v>#N/A</v>
      </c>
      <c r="AH243" s="179" t="e">
        <f t="shared" ca="1" si="148"/>
        <v>#N/A</v>
      </c>
    </row>
    <row r="244" spans="1:34" ht="15.75" customHeight="1">
      <c r="A244" s="449" t="s">
        <v>37</v>
      </c>
      <c r="B244" s="449" t="s">
        <v>510</v>
      </c>
      <c r="C244" s="449" t="s">
        <v>1674</v>
      </c>
      <c r="D244" s="193"/>
      <c r="E244" s="193"/>
      <c r="F244" s="193"/>
      <c r="T244" s="179" t="e">
        <f t="shared" ca="1" si="132"/>
        <v>#N/A</v>
      </c>
      <c r="U244" s="179" t="e">
        <f t="shared" ca="1" si="144"/>
        <v>#N/A</v>
      </c>
      <c r="V244" s="179" t="e">
        <f t="shared" ca="1" si="144"/>
        <v>#N/A</v>
      </c>
      <c r="W244" s="179" t="e">
        <f t="shared" ca="1" si="125"/>
        <v>#N/A</v>
      </c>
      <c r="X244" s="179" t="e">
        <f t="shared" ca="1" si="145"/>
        <v>#N/A</v>
      </c>
      <c r="Y244" s="179" t="e">
        <f t="shared" ca="1" si="145"/>
        <v>#N/A</v>
      </c>
      <c r="Z244" s="179" t="e">
        <f t="shared" ca="1" si="126"/>
        <v>#N/A</v>
      </c>
      <c r="AA244" s="179" t="e">
        <f t="shared" ca="1" si="146"/>
        <v>#N/A</v>
      </c>
      <c r="AB244" s="179" t="e">
        <f t="shared" ca="1" si="146"/>
        <v>#N/A</v>
      </c>
      <c r="AC244" s="179" t="e">
        <f t="shared" ca="1" si="127"/>
        <v>#N/A</v>
      </c>
      <c r="AD244" s="179" t="e">
        <f t="shared" ca="1" si="147"/>
        <v>#N/A</v>
      </c>
      <c r="AE244" s="179" t="e">
        <f t="shared" ca="1" si="147"/>
        <v>#N/A</v>
      </c>
      <c r="AF244" s="179" t="e">
        <f t="shared" ca="1" si="128"/>
        <v>#N/A</v>
      </c>
      <c r="AG244" s="179" t="e">
        <f t="shared" ca="1" si="148"/>
        <v>#N/A</v>
      </c>
      <c r="AH244" s="179" t="e">
        <f t="shared" ca="1" si="148"/>
        <v>#N/A</v>
      </c>
    </row>
    <row r="245" spans="1:34" ht="15.75" customHeight="1">
      <c r="A245" s="449" t="s">
        <v>43</v>
      </c>
      <c r="B245" s="449" t="s">
        <v>393</v>
      </c>
      <c r="C245" s="449" t="s">
        <v>676</v>
      </c>
      <c r="D245" s="193"/>
      <c r="E245" s="193"/>
      <c r="F245" s="193"/>
      <c r="T245" s="179" t="e">
        <f t="shared" ca="1" si="132"/>
        <v>#N/A</v>
      </c>
      <c r="U245" s="179" t="e">
        <f t="shared" ca="1" si="144"/>
        <v>#N/A</v>
      </c>
      <c r="V245" s="179" t="e">
        <f t="shared" ca="1" si="144"/>
        <v>#N/A</v>
      </c>
      <c r="W245" s="179" t="e">
        <f t="shared" ca="1" si="125"/>
        <v>#N/A</v>
      </c>
      <c r="X245" s="179" t="e">
        <f t="shared" ca="1" si="145"/>
        <v>#N/A</v>
      </c>
      <c r="Y245" s="179" t="e">
        <f t="shared" ca="1" si="145"/>
        <v>#N/A</v>
      </c>
      <c r="Z245" s="179" t="e">
        <f t="shared" ca="1" si="126"/>
        <v>#N/A</v>
      </c>
      <c r="AA245" s="179" t="e">
        <f t="shared" ca="1" si="146"/>
        <v>#N/A</v>
      </c>
      <c r="AB245" s="179" t="e">
        <f t="shared" ca="1" si="146"/>
        <v>#N/A</v>
      </c>
      <c r="AC245" s="179" t="e">
        <f t="shared" ca="1" si="127"/>
        <v>#N/A</v>
      </c>
      <c r="AD245" s="179" t="e">
        <f t="shared" ca="1" si="147"/>
        <v>#N/A</v>
      </c>
      <c r="AE245" s="179" t="e">
        <f t="shared" ca="1" si="147"/>
        <v>#N/A</v>
      </c>
      <c r="AF245" s="179" t="e">
        <f t="shared" ca="1" si="128"/>
        <v>#N/A</v>
      </c>
      <c r="AG245" s="179" t="e">
        <f t="shared" ca="1" si="148"/>
        <v>#N/A</v>
      </c>
      <c r="AH245" s="179" t="e">
        <f t="shared" ca="1" si="148"/>
        <v>#N/A</v>
      </c>
    </row>
    <row r="246" spans="1:34" ht="15.75" customHeight="1">
      <c r="A246" s="449" t="s">
        <v>37</v>
      </c>
      <c r="B246" s="449" t="s">
        <v>1981</v>
      </c>
      <c r="C246" s="449" t="s">
        <v>676</v>
      </c>
      <c r="D246" s="193"/>
      <c r="E246" s="193"/>
      <c r="F246" s="193"/>
      <c r="T246" s="179" t="e">
        <f t="shared" ca="1" si="132"/>
        <v>#N/A</v>
      </c>
      <c r="U246" s="179" t="e">
        <f t="shared" ca="1" si="144"/>
        <v>#N/A</v>
      </c>
      <c r="V246" s="179" t="e">
        <f t="shared" ca="1" si="144"/>
        <v>#N/A</v>
      </c>
      <c r="W246" s="179" t="e">
        <f t="shared" ca="1" si="125"/>
        <v>#N/A</v>
      </c>
      <c r="X246" s="179" t="e">
        <f t="shared" ca="1" si="145"/>
        <v>#N/A</v>
      </c>
      <c r="Y246" s="179" t="e">
        <f t="shared" ca="1" si="145"/>
        <v>#N/A</v>
      </c>
      <c r="Z246" s="179" t="e">
        <f t="shared" ca="1" si="126"/>
        <v>#N/A</v>
      </c>
      <c r="AA246" s="179" t="e">
        <f t="shared" ca="1" si="146"/>
        <v>#N/A</v>
      </c>
      <c r="AB246" s="179" t="e">
        <f t="shared" ca="1" si="146"/>
        <v>#N/A</v>
      </c>
      <c r="AC246" s="179" t="e">
        <f t="shared" ca="1" si="127"/>
        <v>#N/A</v>
      </c>
      <c r="AD246" s="179" t="e">
        <f t="shared" ca="1" si="147"/>
        <v>#N/A</v>
      </c>
      <c r="AE246" s="179" t="e">
        <f t="shared" ca="1" si="147"/>
        <v>#N/A</v>
      </c>
      <c r="AF246" s="179" t="e">
        <f t="shared" ca="1" si="128"/>
        <v>#N/A</v>
      </c>
      <c r="AG246" s="179" t="e">
        <f t="shared" ca="1" si="148"/>
        <v>#N/A</v>
      </c>
      <c r="AH246" s="179" t="e">
        <f t="shared" ca="1" si="148"/>
        <v>#N/A</v>
      </c>
    </row>
    <row r="247" spans="1:34" ht="15.75" customHeight="1">
      <c r="A247" s="449" t="s">
        <v>37</v>
      </c>
      <c r="B247" s="449" t="s">
        <v>1823</v>
      </c>
      <c r="C247" s="449" t="s">
        <v>692</v>
      </c>
      <c r="D247" s="193"/>
      <c r="E247" s="193"/>
      <c r="F247" s="193"/>
      <c r="T247" s="179" t="e">
        <f t="shared" ca="1" si="132"/>
        <v>#N/A</v>
      </c>
      <c r="U247" s="179" t="e">
        <f t="shared" ca="1" si="144"/>
        <v>#N/A</v>
      </c>
      <c r="V247" s="179" t="e">
        <f t="shared" ca="1" si="144"/>
        <v>#N/A</v>
      </c>
      <c r="W247" s="179" t="e">
        <f t="shared" ca="1" si="125"/>
        <v>#N/A</v>
      </c>
      <c r="X247" s="179" t="e">
        <f t="shared" ca="1" si="145"/>
        <v>#N/A</v>
      </c>
      <c r="Y247" s="179" t="e">
        <f t="shared" ca="1" si="145"/>
        <v>#N/A</v>
      </c>
      <c r="Z247" s="179" t="e">
        <f t="shared" ca="1" si="126"/>
        <v>#N/A</v>
      </c>
      <c r="AA247" s="179" t="e">
        <f t="shared" ca="1" si="146"/>
        <v>#N/A</v>
      </c>
      <c r="AB247" s="179" t="e">
        <f t="shared" ca="1" si="146"/>
        <v>#N/A</v>
      </c>
      <c r="AC247" s="179" t="e">
        <f t="shared" ca="1" si="127"/>
        <v>#N/A</v>
      </c>
      <c r="AD247" s="179" t="e">
        <f t="shared" ca="1" si="147"/>
        <v>#N/A</v>
      </c>
      <c r="AE247" s="179" t="e">
        <f t="shared" ca="1" si="147"/>
        <v>#N/A</v>
      </c>
      <c r="AF247" s="179" t="e">
        <f t="shared" ca="1" si="128"/>
        <v>#N/A</v>
      </c>
      <c r="AG247" s="179" t="e">
        <f t="shared" ca="1" si="148"/>
        <v>#N/A</v>
      </c>
      <c r="AH247" s="179" t="e">
        <f t="shared" ca="1" si="148"/>
        <v>#N/A</v>
      </c>
    </row>
    <row r="248" spans="1:34" ht="15.75" customHeight="1">
      <c r="A248" s="449" t="s">
        <v>37</v>
      </c>
      <c r="B248" s="449" t="s">
        <v>515</v>
      </c>
      <c r="C248" s="449" t="s">
        <v>681</v>
      </c>
      <c r="D248" s="193"/>
      <c r="E248" s="193"/>
      <c r="F248" s="193"/>
      <c r="T248" s="179" t="e">
        <f t="shared" ca="1" si="132"/>
        <v>#N/A</v>
      </c>
      <c r="U248" s="179" t="e">
        <f t="shared" ca="1" si="144"/>
        <v>#N/A</v>
      </c>
      <c r="V248" s="179" t="e">
        <f t="shared" ca="1" si="144"/>
        <v>#N/A</v>
      </c>
      <c r="W248" s="179" t="e">
        <f t="shared" ca="1" si="125"/>
        <v>#N/A</v>
      </c>
      <c r="X248" s="179" t="e">
        <f t="shared" ca="1" si="145"/>
        <v>#N/A</v>
      </c>
      <c r="Y248" s="179" t="e">
        <f t="shared" ca="1" si="145"/>
        <v>#N/A</v>
      </c>
      <c r="Z248" s="179" t="e">
        <f t="shared" ca="1" si="126"/>
        <v>#N/A</v>
      </c>
      <c r="AA248" s="179" t="e">
        <f t="shared" ca="1" si="146"/>
        <v>#N/A</v>
      </c>
      <c r="AB248" s="179" t="e">
        <f t="shared" ca="1" si="146"/>
        <v>#N/A</v>
      </c>
      <c r="AC248" s="179" t="e">
        <f t="shared" ca="1" si="127"/>
        <v>#N/A</v>
      </c>
      <c r="AD248" s="179" t="e">
        <f t="shared" ca="1" si="147"/>
        <v>#N/A</v>
      </c>
      <c r="AE248" s="179" t="e">
        <f t="shared" ca="1" si="147"/>
        <v>#N/A</v>
      </c>
      <c r="AF248" s="179" t="e">
        <f t="shared" ca="1" si="128"/>
        <v>#N/A</v>
      </c>
      <c r="AG248" s="179" t="e">
        <f t="shared" ca="1" si="148"/>
        <v>#N/A</v>
      </c>
      <c r="AH248" s="179" t="e">
        <f t="shared" ca="1" si="148"/>
        <v>#N/A</v>
      </c>
    </row>
    <row r="249" spans="1:34" ht="15.75" customHeight="1">
      <c r="A249" s="449" t="s">
        <v>39</v>
      </c>
      <c r="B249" s="449" t="s">
        <v>493</v>
      </c>
      <c r="C249" s="449" t="s">
        <v>687</v>
      </c>
      <c r="D249" s="193"/>
      <c r="E249" s="193"/>
      <c r="F249" s="193"/>
      <c r="T249" s="179" t="e">
        <f t="shared" ca="1" si="132"/>
        <v>#N/A</v>
      </c>
      <c r="U249" s="179" t="e">
        <f t="shared" ref="U249:V268" ca="1" si="149">T249</f>
        <v>#N/A</v>
      </c>
      <c r="V249" s="179" t="e">
        <f t="shared" ca="1" si="149"/>
        <v>#N/A</v>
      </c>
      <c r="W249" s="179" t="e">
        <f t="shared" ca="1" si="125"/>
        <v>#N/A</v>
      </c>
      <c r="X249" s="179" t="e">
        <f t="shared" ref="X249:Y268" ca="1" si="150">W249</f>
        <v>#N/A</v>
      </c>
      <c r="Y249" s="179" t="e">
        <f t="shared" ca="1" si="150"/>
        <v>#N/A</v>
      </c>
      <c r="Z249" s="179" t="e">
        <f t="shared" ca="1" si="126"/>
        <v>#N/A</v>
      </c>
      <c r="AA249" s="179" t="e">
        <f t="shared" ref="AA249:AB268" ca="1" si="151">Z249</f>
        <v>#N/A</v>
      </c>
      <c r="AB249" s="179" t="e">
        <f t="shared" ca="1" si="151"/>
        <v>#N/A</v>
      </c>
      <c r="AC249" s="179" t="e">
        <f t="shared" ca="1" si="127"/>
        <v>#N/A</v>
      </c>
      <c r="AD249" s="179" t="e">
        <f t="shared" ref="AD249:AE268" ca="1" si="152">AC249</f>
        <v>#N/A</v>
      </c>
      <c r="AE249" s="179" t="e">
        <f t="shared" ca="1" si="152"/>
        <v>#N/A</v>
      </c>
      <c r="AF249" s="179" t="e">
        <f t="shared" ca="1" si="128"/>
        <v>#N/A</v>
      </c>
      <c r="AG249" s="179" t="e">
        <f t="shared" ref="AG249:AH268" ca="1" si="153">AF249</f>
        <v>#N/A</v>
      </c>
      <c r="AH249" s="179" t="e">
        <f t="shared" ca="1" si="153"/>
        <v>#N/A</v>
      </c>
    </row>
    <row r="250" spans="1:34" ht="15.75" customHeight="1">
      <c r="A250" s="449" t="s">
        <v>43</v>
      </c>
      <c r="B250" s="449" t="s">
        <v>396</v>
      </c>
      <c r="C250" s="449" t="s">
        <v>677</v>
      </c>
      <c r="D250" s="193"/>
      <c r="E250" s="193"/>
      <c r="F250" s="193"/>
      <c r="T250" s="179" t="e">
        <f t="shared" ca="1" si="132"/>
        <v>#N/A</v>
      </c>
      <c r="U250" s="179" t="e">
        <f t="shared" ca="1" si="149"/>
        <v>#N/A</v>
      </c>
      <c r="V250" s="179" t="e">
        <f t="shared" ca="1" si="149"/>
        <v>#N/A</v>
      </c>
      <c r="W250" s="179" t="e">
        <f t="shared" ca="1" si="125"/>
        <v>#N/A</v>
      </c>
      <c r="X250" s="179" t="e">
        <f t="shared" ca="1" si="150"/>
        <v>#N/A</v>
      </c>
      <c r="Y250" s="179" t="e">
        <f t="shared" ca="1" si="150"/>
        <v>#N/A</v>
      </c>
      <c r="Z250" s="179" t="e">
        <f t="shared" ca="1" si="126"/>
        <v>#N/A</v>
      </c>
      <c r="AA250" s="179" t="e">
        <f t="shared" ca="1" si="151"/>
        <v>#N/A</v>
      </c>
      <c r="AB250" s="179" t="e">
        <f t="shared" ca="1" si="151"/>
        <v>#N/A</v>
      </c>
      <c r="AC250" s="179" t="e">
        <f t="shared" ca="1" si="127"/>
        <v>#N/A</v>
      </c>
      <c r="AD250" s="179" t="e">
        <f t="shared" ca="1" si="152"/>
        <v>#N/A</v>
      </c>
      <c r="AE250" s="179" t="e">
        <f t="shared" ca="1" si="152"/>
        <v>#N/A</v>
      </c>
      <c r="AF250" s="179" t="e">
        <f t="shared" ca="1" si="128"/>
        <v>#N/A</v>
      </c>
      <c r="AG250" s="179" t="e">
        <f t="shared" ca="1" si="153"/>
        <v>#N/A</v>
      </c>
      <c r="AH250" s="179" t="e">
        <f t="shared" ca="1" si="153"/>
        <v>#N/A</v>
      </c>
    </row>
    <row r="251" spans="1:34" ht="15.75" customHeight="1">
      <c r="A251" s="449" t="s">
        <v>35</v>
      </c>
      <c r="B251" s="449" t="s">
        <v>359</v>
      </c>
      <c r="C251" s="449" t="s">
        <v>687</v>
      </c>
      <c r="D251" s="193"/>
      <c r="E251" s="193"/>
      <c r="F251" s="193"/>
      <c r="T251" s="179" t="e">
        <f t="shared" ca="1" si="132"/>
        <v>#N/A</v>
      </c>
      <c r="U251" s="179" t="e">
        <f t="shared" ca="1" si="149"/>
        <v>#N/A</v>
      </c>
      <c r="V251" s="179" t="e">
        <f t="shared" ca="1" si="149"/>
        <v>#N/A</v>
      </c>
      <c r="W251" s="179" t="e">
        <f t="shared" ca="1" si="125"/>
        <v>#N/A</v>
      </c>
      <c r="X251" s="179" t="e">
        <f t="shared" ca="1" si="150"/>
        <v>#N/A</v>
      </c>
      <c r="Y251" s="179" t="e">
        <f t="shared" ca="1" si="150"/>
        <v>#N/A</v>
      </c>
      <c r="Z251" s="179" t="e">
        <f t="shared" ca="1" si="126"/>
        <v>#N/A</v>
      </c>
      <c r="AA251" s="179" t="e">
        <f t="shared" ca="1" si="151"/>
        <v>#N/A</v>
      </c>
      <c r="AB251" s="179" t="e">
        <f t="shared" ca="1" si="151"/>
        <v>#N/A</v>
      </c>
      <c r="AC251" s="179" t="e">
        <f t="shared" ca="1" si="127"/>
        <v>#N/A</v>
      </c>
      <c r="AD251" s="179" t="e">
        <f t="shared" ca="1" si="152"/>
        <v>#N/A</v>
      </c>
      <c r="AE251" s="179" t="e">
        <f t="shared" ca="1" si="152"/>
        <v>#N/A</v>
      </c>
      <c r="AF251" s="179" t="e">
        <f t="shared" ca="1" si="128"/>
        <v>#N/A</v>
      </c>
      <c r="AG251" s="179" t="e">
        <f t="shared" ca="1" si="153"/>
        <v>#N/A</v>
      </c>
      <c r="AH251" s="179" t="e">
        <f t="shared" ca="1" si="153"/>
        <v>#N/A</v>
      </c>
    </row>
    <row r="252" spans="1:34" ht="15.75" customHeight="1">
      <c r="A252" s="449" t="s">
        <v>43</v>
      </c>
      <c r="B252" s="449" t="s">
        <v>1341</v>
      </c>
      <c r="C252" s="449" t="s">
        <v>1672</v>
      </c>
      <c r="D252" s="193"/>
      <c r="E252" s="193"/>
      <c r="F252" s="193"/>
      <c r="T252" s="179" t="e">
        <f t="shared" ca="1" si="132"/>
        <v>#N/A</v>
      </c>
      <c r="U252" s="179" t="e">
        <f t="shared" ca="1" si="149"/>
        <v>#N/A</v>
      </c>
      <c r="V252" s="179" t="e">
        <f t="shared" ca="1" si="149"/>
        <v>#N/A</v>
      </c>
      <c r="W252" s="179" t="e">
        <f t="shared" ca="1" si="125"/>
        <v>#N/A</v>
      </c>
      <c r="X252" s="179" t="e">
        <f t="shared" ca="1" si="150"/>
        <v>#N/A</v>
      </c>
      <c r="Y252" s="179" t="e">
        <f t="shared" ca="1" si="150"/>
        <v>#N/A</v>
      </c>
      <c r="Z252" s="179" t="e">
        <f t="shared" ca="1" si="126"/>
        <v>#N/A</v>
      </c>
      <c r="AA252" s="179" t="e">
        <f t="shared" ca="1" si="151"/>
        <v>#N/A</v>
      </c>
      <c r="AB252" s="179" t="e">
        <f t="shared" ca="1" si="151"/>
        <v>#N/A</v>
      </c>
      <c r="AC252" s="179" t="e">
        <f t="shared" ca="1" si="127"/>
        <v>#N/A</v>
      </c>
      <c r="AD252" s="179" t="e">
        <f t="shared" ca="1" si="152"/>
        <v>#N/A</v>
      </c>
      <c r="AE252" s="179" t="e">
        <f t="shared" ca="1" si="152"/>
        <v>#N/A</v>
      </c>
      <c r="AF252" s="179" t="e">
        <f t="shared" ca="1" si="128"/>
        <v>#N/A</v>
      </c>
      <c r="AG252" s="179" t="e">
        <f t="shared" ca="1" si="153"/>
        <v>#N/A</v>
      </c>
      <c r="AH252" s="179" t="e">
        <f t="shared" ca="1" si="153"/>
        <v>#N/A</v>
      </c>
    </row>
    <row r="253" spans="1:34" ht="15.75" customHeight="1">
      <c r="A253" s="449" t="s">
        <v>39</v>
      </c>
      <c r="B253" s="449" t="s">
        <v>398</v>
      </c>
      <c r="C253" s="449" t="s">
        <v>686</v>
      </c>
      <c r="D253" s="193"/>
      <c r="E253" s="193"/>
      <c r="F253" s="193"/>
      <c r="T253" s="179" t="e">
        <f t="shared" ca="1" si="132"/>
        <v>#N/A</v>
      </c>
      <c r="U253" s="179" t="e">
        <f t="shared" ca="1" si="149"/>
        <v>#N/A</v>
      </c>
      <c r="V253" s="179" t="e">
        <f t="shared" ca="1" si="149"/>
        <v>#N/A</v>
      </c>
      <c r="W253" s="179" t="e">
        <f t="shared" ca="1" si="125"/>
        <v>#N/A</v>
      </c>
      <c r="X253" s="179" t="e">
        <f t="shared" ca="1" si="150"/>
        <v>#N/A</v>
      </c>
      <c r="Y253" s="179" t="e">
        <f t="shared" ca="1" si="150"/>
        <v>#N/A</v>
      </c>
      <c r="Z253" s="179" t="e">
        <f t="shared" ca="1" si="126"/>
        <v>#N/A</v>
      </c>
      <c r="AA253" s="179" t="e">
        <f t="shared" ca="1" si="151"/>
        <v>#N/A</v>
      </c>
      <c r="AB253" s="179" t="e">
        <f t="shared" ca="1" si="151"/>
        <v>#N/A</v>
      </c>
      <c r="AC253" s="179" t="e">
        <f t="shared" ca="1" si="127"/>
        <v>#N/A</v>
      </c>
      <c r="AD253" s="179" t="e">
        <f t="shared" ca="1" si="152"/>
        <v>#N/A</v>
      </c>
      <c r="AE253" s="179" t="e">
        <f t="shared" ca="1" si="152"/>
        <v>#N/A</v>
      </c>
      <c r="AF253" s="179" t="e">
        <f t="shared" ca="1" si="128"/>
        <v>#N/A</v>
      </c>
      <c r="AG253" s="179" t="e">
        <f t="shared" ca="1" si="153"/>
        <v>#N/A</v>
      </c>
      <c r="AH253" s="179" t="e">
        <f t="shared" ca="1" si="153"/>
        <v>#N/A</v>
      </c>
    </row>
    <row r="254" spans="1:34" ht="15.75" customHeight="1">
      <c r="A254" s="449" t="s">
        <v>43</v>
      </c>
      <c r="B254" s="449" t="s">
        <v>401</v>
      </c>
      <c r="C254" s="449" t="s">
        <v>682</v>
      </c>
      <c r="D254" s="193"/>
      <c r="E254" s="193"/>
      <c r="F254" s="193"/>
      <c r="T254" s="179" t="e">
        <f t="shared" ca="1" si="132"/>
        <v>#N/A</v>
      </c>
      <c r="U254" s="179" t="e">
        <f t="shared" ca="1" si="149"/>
        <v>#N/A</v>
      </c>
      <c r="V254" s="179" t="e">
        <f t="shared" ca="1" si="149"/>
        <v>#N/A</v>
      </c>
      <c r="W254" s="179" t="e">
        <f t="shared" ca="1" si="125"/>
        <v>#N/A</v>
      </c>
      <c r="X254" s="179" t="e">
        <f t="shared" ca="1" si="150"/>
        <v>#N/A</v>
      </c>
      <c r="Y254" s="179" t="e">
        <f t="shared" ca="1" si="150"/>
        <v>#N/A</v>
      </c>
      <c r="Z254" s="179" t="e">
        <f t="shared" ca="1" si="126"/>
        <v>#N/A</v>
      </c>
      <c r="AA254" s="179" t="e">
        <f t="shared" ca="1" si="151"/>
        <v>#N/A</v>
      </c>
      <c r="AB254" s="179" t="e">
        <f t="shared" ca="1" si="151"/>
        <v>#N/A</v>
      </c>
      <c r="AC254" s="179" t="e">
        <f t="shared" ca="1" si="127"/>
        <v>#N/A</v>
      </c>
      <c r="AD254" s="179" t="e">
        <f t="shared" ca="1" si="152"/>
        <v>#N/A</v>
      </c>
      <c r="AE254" s="179" t="e">
        <f t="shared" ca="1" si="152"/>
        <v>#N/A</v>
      </c>
      <c r="AF254" s="179" t="e">
        <f t="shared" ca="1" si="128"/>
        <v>#N/A</v>
      </c>
      <c r="AG254" s="179" t="e">
        <f t="shared" ca="1" si="153"/>
        <v>#N/A</v>
      </c>
      <c r="AH254" s="179" t="e">
        <f t="shared" ca="1" si="153"/>
        <v>#N/A</v>
      </c>
    </row>
    <row r="255" spans="1:34" ht="15.75" customHeight="1">
      <c r="A255" s="449" t="s">
        <v>39</v>
      </c>
      <c r="B255" s="449" t="s">
        <v>1742</v>
      </c>
      <c r="C255" s="449" t="s">
        <v>684</v>
      </c>
      <c r="D255" s="193"/>
      <c r="E255" s="193"/>
      <c r="F255" s="193"/>
      <c r="T255" s="179" t="e">
        <f t="shared" ca="1" si="132"/>
        <v>#N/A</v>
      </c>
      <c r="U255" s="179" t="e">
        <f t="shared" ca="1" si="149"/>
        <v>#N/A</v>
      </c>
      <c r="V255" s="179" t="e">
        <f t="shared" ca="1" si="149"/>
        <v>#N/A</v>
      </c>
      <c r="W255" s="179" t="e">
        <f t="shared" ca="1" si="125"/>
        <v>#N/A</v>
      </c>
      <c r="X255" s="179" t="e">
        <f t="shared" ca="1" si="150"/>
        <v>#N/A</v>
      </c>
      <c r="Y255" s="179" t="e">
        <f t="shared" ca="1" si="150"/>
        <v>#N/A</v>
      </c>
      <c r="Z255" s="179" t="e">
        <f t="shared" ca="1" si="126"/>
        <v>#N/A</v>
      </c>
      <c r="AA255" s="179" t="e">
        <f t="shared" ca="1" si="151"/>
        <v>#N/A</v>
      </c>
      <c r="AB255" s="179" t="e">
        <f t="shared" ca="1" si="151"/>
        <v>#N/A</v>
      </c>
      <c r="AC255" s="179" t="e">
        <f t="shared" ca="1" si="127"/>
        <v>#N/A</v>
      </c>
      <c r="AD255" s="179" t="e">
        <f t="shared" ca="1" si="152"/>
        <v>#N/A</v>
      </c>
      <c r="AE255" s="179" t="e">
        <f t="shared" ca="1" si="152"/>
        <v>#N/A</v>
      </c>
      <c r="AF255" s="179" t="e">
        <f t="shared" ca="1" si="128"/>
        <v>#N/A</v>
      </c>
      <c r="AG255" s="179" t="e">
        <f t="shared" ca="1" si="153"/>
        <v>#N/A</v>
      </c>
      <c r="AH255" s="179" t="e">
        <f t="shared" ca="1" si="153"/>
        <v>#N/A</v>
      </c>
    </row>
    <row r="256" spans="1:34" ht="15.75" customHeight="1">
      <c r="A256" s="449" t="s">
        <v>43</v>
      </c>
      <c r="B256" s="449" t="s">
        <v>405</v>
      </c>
      <c r="C256" s="449" t="s">
        <v>680</v>
      </c>
      <c r="D256" s="193"/>
      <c r="E256" s="193"/>
      <c r="F256" s="193"/>
      <c r="T256" s="179" t="e">
        <f t="shared" ca="1" si="132"/>
        <v>#N/A</v>
      </c>
      <c r="U256" s="179" t="e">
        <f t="shared" ca="1" si="149"/>
        <v>#N/A</v>
      </c>
      <c r="V256" s="179" t="e">
        <f t="shared" ca="1" si="149"/>
        <v>#N/A</v>
      </c>
      <c r="W256" s="179" t="e">
        <f t="shared" ca="1" si="125"/>
        <v>#N/A</v>
      </c>
      <c r="X256" s="179" t="e">
        <f t="shared" ca="1" si="150"/>
        <v>#N/A</v>
      </c>
      <c r="Y256" s="179" t="e">
        <f t="shared" ca="1" si="150"/>
        <v>#N/A</v>
      </c>
      <c r="Z256" s="179" t="e">
        <f t="shared" ca="1" si="126"/>
        <v>#N/A</v>
      </c>
      <c r="AA256" s="179" t="e">
        <f t="shared" ca="1" si="151"/>
        <v>#N/A</v>
      </c>
      <c r="AB256" s="179" t="e">
        <f t="shared" ca="1" si="151"/>
        <v>#N/A</v>
      </c>
      <c r="AC256" s="179" t="e">
        <f t="shared" ca="1" si="127"/>
        <v>#N/A</v>
      </c>
      <c r="AD256" s="179" t="e">
        <f t="shared" ca="1" si="152"/>
        <v>#N/A</v>
      </c>
      <c r="AE256" s="179" t="e">
        <f t="shared" ca="1" si="152"/>
        <v>#N/A</v>
      </c>
      <c r="AF256" s="179" t="e">
        <f t="shared" ca="1" si="128"/>
        <v>#N/A</v>
      </c>
      <c r="AG256" s="179" t="e">
        <f t="shared" ca="1" si="153"/>
        <v>#N/A</v>
      </c>
      <c r="AH256" s="179" t="e">
        <f t="shared" ca="1" si="153"/>
        <v>#N/A</v>
      </c>
    </row>
    <row r="257" spans="1:34" ht="15.75" customHeight="1">
      <c r="A257" s="449" t="s">
        <v>43</v>
      </c>
      <c r="B257" s="449" t="s">
        <v>408</v>
      </c>
      <c r="C257" s="449" t="s">
        <v>681</v>
      </c>
      <c r="D257" s="193"/>
      <c r="E257" s="193"/>
      <c r="F257" s="193"/>
      <c r="T257" s="179" t="e">
        <f t="shared" ca="1" si="132"/>
        <v>#N/A</v>
      </c>
      <c r="U257" s="179" t="e">
        <f t="shared" ca="1" si="149"/>
        <v>#N/A</v>
      </c>
      <c r="V257" s="179" t="e">
        <f t="shared" ca="1" si="149"/>
        <v>#N/A</v>
      </c>
      <c r="W257" s="179" t="e">
        <f t="shared" ca="1" si="125"/>
        <v>#N/A</v>
      </c>
      <c r="X257" s="179" t="e">
        <f t="shared" ca="1" si="150"/>
        <v>#N/A</v>
      </c>
      <c r="Y257" s="179" t="e">
        <f t="shared" ca="1" si="150"/>
        <v>#N/A</v>
      </c>
      <c r="Z257" s="179" t="e">
        <f t="shared" ca="1" si="126"/>
        <v>#N/A</v>
      </c>
      <c r="AA257" s="179" t="e">
        <f t="shared" ca="1" si="151"/>
        <v>#N/A</v>
      </c>
      <c r="AB257" s="179" t="e">
        <f t="shared" ca="1" si="151"/>
        <v>#N/A</v>
      </c>
      <c r="AC257" s="179" t="e">
        <f t="shared" ca="1" si="127"/>
        <v>#N/A</v>
      </c>
      <c r="AD257" s="179" t="e">
        <f t="shared" ca="1" si="152"/>
        <v>#N/A</v>
      </c>
      <c r="AE257" s="179" t="e">
        <f t="shared" ca="1" si="152"/>
        <v>#N/A</v>
      </c>
      <c r="AF257" s="179" t="e">
        <f t="shared" ca="1" si="128"/>
        <v>#N/A</v>
      </c>
      <c r="AG257" s="179" t="e">
        <f t="shared" ca="1" si="153"/>
        <v>#N/A</v>
      </c>
      <c r="AH257" s="179" t="e">
        <f t="shared" ca="1" si="153"/>
        <v>#N/A</v>
      </c>
    </row>
    <row r="258" spans="1:34" ht="15.75" customHeight="1">
      <c r="A258" s="449" t="s">
        <v>39</v>
      </c>
      <c r="B258" s="449" t="s">
        <v>497</v>
      </c>
      <c r="C258" s="449" t="s">
        <v>700</v>
      </c>
      <c r="D258" s="193"/>
      <c r="E258" s="193"/>
      <c r="F258" s="193"/>
      <c r="T258" s="179" t="e">
        <f t="shared" ca="1" si="132"/>
        <v>#N/A</v>
      </c>
      <c r="U258" s="179" t="e">
        <f t="shared" ca="1" si="149"/>
        <v>#N/A</v>
      </c>
      <c r="V258" s="179" t="e">
        <f t="shared" ca="1" si="149"/>
        <v>#N/A</v>
      </c>
      <c r="W258" s="179" t="e">
        <f t="shared" ca="1" si="125"/>
        <v>#N/A</v>
      </c>
      <c r="X258" s="179" t="e">
        <f t="shared" ca="1" si="150"/>
        <v>#N/A</v>
      </c>
      <c r="Y258" s="179" t="e">
        <f t="shared" ca="1" si="150"/>
        <v>#N/A</v>
      </c>
      <c r="Z258" s="179" t="e">
        <f t="shared" ca="1" si="126"/>
        <v>#N/A</v>
      </c>
      <c r="AA258" s="179" t="e">
        <f t="shared" ca="1" si="151"/>
        <v>#N/A</v>
      </c>
      <c r="AB258" s="179" t="e">
        <f t="shared" ca="1" si="151"/>
        <v>#N/A</v>
      </c>
      <c r="AC258" s="179" t="e">
        <f t="shared" ca="1" si="127"/>
        <v>#N/A</v>
      </c>
      <c r="AD258" s="179" t="e">
        <f t="shared" ca="1" si="152"/>
        <v>#N/A</v>
      </c>
      <c r="AE258" s="179" t="e">
        <f t="shared" ca="1" si="152"/>
        <v>#N/A</v>
      </c>
      <c r="AF258" s="179" t="e">
        <f t="shared" ca="1" si="128"/>
        <v>#N/A</v>
      </c>
      <c r="AG258" s="179" t="e">
        <f t="shared" ca="1" si="153"/>
        <v>#N/A</v>
      </c>
      <c r="AH258" s="179" t="e">
        <f t="shared" ca="1" si="153"/>
        <v>#N/A</v>
      </c>
    </row>
    <row r="259" spans="1:34" ht="15.75" customHeight="1">
      <c r="A259" s="449" t="s">
        <v>39</v>
      </c>
      <c r="B259" s="449" t="s">
        <v>501</v>
      </c>
      <c r="C259" s="449" t="s">
        <v>701</v>
      </c>
      <c r="D259" s="193"/>
      <c r="E259" s="193"/>
      <c r="F259" s="193"/>
      <c r="T259" s="179" t="e">
        <f t="shared" ca="1" si="132"/>
        <v>#N/A</v>
      </c>
      <c r="U259" s="179" t="e">
        <f t="shared" ca="1" si="149"/>
        <v>#N/A</v>
      </c>
      <c r="V259" s="179" t="e">
        <f t="shared" ca="1" si="149"/>
        <v>#N/A</v>
      </c>
      <c r="W259" s="179" t="e">
        <f t="shared" ca="1" si="125"/>
        <v>#N/A</v>
      </c>
      <c r="X259" s="179" t="e">
        <f t="shared" ca="1" si="150"/>
        <v>#N/A</v>
      </c>
      <c r="Y259" s="179" t="e">
        <f t="shared" ca="1" si="150"/>
        <v>#N/A</v>
      </c>
      <c r="Z259" s="179" t="e">
        <f t="shared" ca="1" si="126"/>
        <v>#N/A</v>
      </c>
      <c r="AA259" s="179" t="e">
        <f t="shared" ca="1" si="151"/>
        <v>#N/A</v>
      </c>
      <c r="AB259" s="179" t="e">
        <f t="shared" ca="1" si="151"/>
        <v>#N/A</v>
      </c>
      <c r="AC259" s="179" t="e">
        <f t="shared" ca="1" si="127"/>
        <v>#N/A</v>
      </c>
      <c r="AD259" s="179" t="e">
        <f t="shared" ca="1" si="152"/>
        <v>#N/A</v>
      </c>
      <c r="AE259" s="179" t="e">
        <f t="shared" ca="1" si="152"/>
        <v>#N/A</v>
      </c>
      <c r="AF259" s="179" t="e">
        <f t="shared" ca="1" si="128"/>
        <v>#N/A</v>
      </c>
      <c r="AG259" s="179" t="e">
        <f t="shared" ca="1" si="153"/>
        <v>#N/A</v>
      </c>
      <c r="AH259" s="179" t="e">
        <f t="shared" ca="1" si="153"/>
        <v>#N/A</v>
      </c>
    </row>
    <row r="260" spans="1:34" ht="15.75" customHeight="1">
      <c r="A260" s="449" t="s">
        <v>37</v>
      </c>
      <c r="B260" s="449" t="s">
        <v>517</v>
      </c>
      <c r="C260" s="449" t="s">
        <v>679</v>
      </c>
      <c r="D260" s="193"/>
      <c r="E260" s="193"/>
      <c r="F260" s="193"/>
      <c r="T260" s="179" t="e">
        <f t="shared" ca="1" si="132"/>
        <v>#N/A</v>
      </c>
      <c r="U260" s="179" t="e">
        <f t="shared" ca="1" si="149"/>
        <v>#N/A</v>
      </c>
      <c r="V260" s="179" t="e">
        <f t="shared" ca="1" si="149"/>
        <v>#N/A</v>
      </c>
      <c r="W260" s="179" t="e">
        <f t="shared" ca="1" si="125"/>
        <v>#N/A</v>
      </c>
      <c r="X260" s="179" t="e">
        <f t="shared" ca="1" si="150"/>
        <v>#N/A</v>
      </c>
      <c r="Y260" s="179" t="e">
        <f t="shared" ca="1" si="150"/>
        <v>#N/A</v>
      </c>
      <c r="Z260" s="179" t="e">
        <f t="shared" ca="1" si="126"/>
        <v>#N/A</v>
      </c>
      <c r="AA260" s="179" t="e">
        <f t="shared" ca="1" si="151"/>
        <v>#N/A</v>
      </c>
      <c r="AB260" s="179" t="e">
        <f t="shared" ca="1" si="151"/>
        <v>#N/A</v>
      </c>
      <c r="AC260" s="179" t="e">
        <f t="shared" ca="1" si="127"/>
        <v>#N/A</v>
      </c>
      <c r="AD260" s="179" t="e">
        <f t="shared" ca="1" si="152"/>
        <v>#N/A</v>
      </c>
      <c r="AE260" s="179" t="e">
        <f t="shared" ca="1" si="152"/>
        <v>#N/A</v>
      </c>
      <c r="AF260" s="179" t="e">
        <f t="shared" ca="1" si="128"/>
        <v>#N/A</v>
      </c>
      <c r="AG260" s="179" t="e">
        <f t="shared" ca="1" si="153"/>
        <v>#N/A</v>
      </c>
      <c r="AH260" s="179" t="e">
        <f t="shared" ca="1" si="153"/>
        <v>#N/A</v>
      </c>
    </row>
    <row r="261" spans="1:34" ht="15.75" customHeight="1">
      <c r="A261" s="449" t="s">
        <v>39</v>
      </c>
      <c r="B261" s="449" t="s">
        <v>504</v>
      </c>
      <c r="C261" s="449" t="s">
        <v>684</v>
      </c>
      <c r="D261" s="193"/>
      <c r="E261" s="193"/>
      <c r="F261" s="193"/>
      <c r="T261" s="179" t="e">
        <f t="shared" ca="1" si="132"/>
        <v>#N/A</v>
      </c>
      <c r="U261" s="179" t="e">
        <f t="shared" ca="1" si="149"/>
        <v>#N/A</v>
      </c>
      <c r="V261" s="179" t="e">
        <f t="shared" ca="1" si="149"/>
        <v>#N/A</v>
      </c>
      <c r="W261" s="179" t="e">
        <f t="shared" ca="1" si="125"/>
        <v>#N/A</v>
      </c>
      <c r="X261" s="179" t="e">
        <f t="shared" ca="1" si="150"/>
        <v>#N/A</v>
      </c>
      <c r="Y261" s="179" t="e">
        <f t="shared" ca="1" si="150"/>
        <v>#N/A</v>
      </c>
      <c r="Z261" s="179" t="e">
        <f t="shared" ca="1" si="126"/>
        <v>#N/A</v>
      </c>
      <c r="AA261" s="179" t="e">
        <f t="shared" ca="1" si="151"/>
        <v>#N/A</v>
      </c>
      <c r="AB261" s="179" t="e">
        <f t="shared" ca="1" si="151"/>
        <v>#N/A</v>
      </c>
      <c r="AC261" s="179" t="e">
        <f t="shared" ca="1" si="127"/>
        <v>#N/A</v>
      </c>
      <c r="AD261" s="179" t="e">
        <f t="shared" ca="1" si="152"/>
        <v>#N/A</v>
      </c>
      <c r="AE261" s="179" t="e">
        <f t="shared" ca="1" si="152"/>
        <v>#N/A</v>
      </c>
      <c r="AF261" s="179" t="e">
        <f t="shared" ca="1" si="128"/>
        <v>#N/A</v>
      </c>
      <c r="AG261" s="179" t="e">
        <f t="shared" ca="1" si="153"/>
        <v>#N/A</v>
      </c>
      <c r="AH261" s="179" t="e">
        <f t="shared" ca="1" si="153"/>
        <v>#N/A</v>
      </c>
    </row>
    <row r="262" spans="1:34" ht="15.75" customHeight="1">
      <c r="A262" s="449" t="s">
        <v>37</v>
      </c>
      <c r="B262" s="449" t="s">
        <v>1727</v>
      </c>
      <c r="C262" s="449" t="s">
        <v>680</v>
      </c>
      <c r="D262" s="193"/>
      <c r="E262" s="193"/>
      <c r="F262" s="193"/>
      <c r="T262" s="179" t="e">
        <f t="shared" ca="1" si="132"/>
        <v>#N/A</v>
      </c>
      <c r="U262" s="179" t="e">
        <f t="shared" ca="1" si="149"/>
        <v>#N/A</v>
      </c>
      <c r="V262" s="179" t="e">
        <f t="shared" ca="1" si="149"/>
        <v>#N/A</v>
      </c>
      <c r="W262" s="179" t="e">
        <f t="shared" ca="1" si="125"/>
        <v>#N/A</v>
      </c>
      <c r="X262" s="179" t="e">
        <f t="shared" ca="1" si="150"/>
        <v>#N/A</v>
      </c>
      <c r="Y262" s="179" t="e">
        <f t="shared" ca="1" si="150"/>
        <v>#N/A</v>
      </c>
      <c r="Z262" s="179" t="e">
        <f t="shared" ca="1" si="126"/>
        <v>#N/A</v>
      </c>
      <c r="AA262" s="179" t="e">
        <f t="shared" ca="1" si="151"/>
        <v>#N/A</v>
      </c>
      <c r="AB262" s="179" t="e">
        <f t="shared" ca="1" si="151"/>
        <v>#N/A</v>
      </c>
      <c r="AC262" s="179" t="e">
        <f t="shared" ca="1" si="127"/>
        <v>#N/A</v>
      </c>
      <c r="AD262" s="179" t="e">
        <f t="shared" ca="1" si="152"/>
        <v>#N/A</v>
      </c>
      <c r="AE262" s="179" t="e">
        <f t="shared" ca="1" si="152"/>
        <v>#N/A</v>
      </c>
      <c r="AF262" s="179" t="e">
        <f t="shared" ca="1" si="128"/>
        <v>#N/A</v>
      </c>
      <c r="AG262" s="179" t="e">
        <f t="shared" ca="1" si="153"/>
        <v>#N/A</v>
      </c>
      <c r="AH262" s="179" t="e">
        <f t="shared" ca="1" si="153"/>
        <v>#N/A</v>
      </c>
    </row>
    <row r="263" spans="1:34" ht="15.75" customHeight="1">
      <c r="A263" s="449" t="s">
        <v>39</v>
      </c>
      <c r="B263" s="449" t="s">
        <v>1329</v>
      </c>
      <c r="C263" s="449" t="s">
        <v>677</v>
      </c>
      <c r="D263" s="193"/>
      <c r="E263" s="193"/>
      <c r="F263" s="193"/>
      <c r="T263" s="179" t="e">
        <f t="shared" ca="1" si="132"/>
        <v>#N/A</v>
      </c>
      <c r="U263" s="179" t="e">
        <f t="shared" ca="1" si="149"/>
        <v>#N/A</v>
      </c>
      <c r="V263" s="179" t="e">
        <f t="shared" ca="1" si="149"/>
        <v>#N/A</v>
      </c>
      <c r="W263" s="179" t="e">
        <f t="shared" ca="1" si="125"/>
        <v>#N/A</v>
      </c>
      <c r="X263" s="179" t="e">
        <f t="shared" ca="1" si="150"/>
        <v>#N/A</v>
      </c>
      <c r="Y263" s="179" t="e">
        <f t="shared" ca="1" si="150"/>
        <v>#N/A</v>
      </c>
      <c r="Z263" s="179" t="e">
        <f t="shared" ca="1" si="126"/>
        <v>#N/A</v>
      </c>
      <c r="AA263" s="179" t="e">
        <f t="shared" ca="1" si="151"/>
        <v>#N/A</v>
      </c>
      <c r="AB263" s="179" t="e">
        <f t="shared" ca="1" si="151"/>
        <v>#N/A</v>
      </c>
      <c r="AC263" s="179" t="e">
        <f t="shared" ca="1" si="127"/>
        <v>#N/A</v>
      </c>
      <c r="AD263" s="179" t="e">
        <f t="shared" ca="1" si="152"/>
        <v>#N/A</v>
      </c>
      <c r="AE263" s="179" t="e">
        <f t="shared" ca="1" si="152"/>
        <v>#N/A</v>
      </c>
      <c r="AF263" s="179" t="e">
        <f t="shared" ca="1" si="128"/>
        <v>#N/A</v>
      </c>
      <c r="AG263" s="179" t="e">
        <f t="shared" ca="1" si="153"/>
        <v>#N/A</v>
      </c>
      <c r="AH263" s="179" t="e">
        <f t="shared" ca="1" si="153"/>
        <v>#N/A</v>
      </c>
    </row>
    <row r="264" spans="1:34" ht="15.75" customHeight="1">
      <c r="A264" s="449" t="s">
        <v>39</v>
      </c>
      <c r="B264" s="449" t="s">
        <v>506</v>
      </c>
      <c r="C264" s="449" t="s">
        <v>700</v>
      </c>
      <c r="D264" s="193"/>
      <c r="E264" s="193"/>
      <c r="F264" s="193"/>
      <c r="T264" s="179" t="e">
        <f t="shared" ca="1" si="132"/>
        <v>#N/A</v>
      </c>
      <c r="U264" s="179" t="e">
        <f t="shared" ca="1" si="149"/>
        <v>#N/A</v>
      </c>
      <c r="V264" s="179" t="e">
        <f t="shared" ca="1" si="149"/>
        <v>#N/A</v>
      </c>
      <c r="W264" s="179" t="e">
        <f t="shared" ca="1" si="125"/>
        <v>#N/A</v>
      </c>
      <c r="X264" s="179" t="e">
        <f t="shared" ca="1" si="150"/>
        <v>#N/A</v>
      </c>
      <c r="Y264" s="179" t="e">
        <f t="shared" ca="1" si="150"/>
        <v>#N/A</v>
      </c>
      <c r="Z264" s="179" t="e">
        <f t="shared" ca="1" si="126"/>
        <v>#N/A</v>
      </c>
      <c r="AA264" s="179" t="e">
        <f t="shared" ca="1" si="151"/>
        <v>#N/A</v>
      </c>
      <c r="AB264" s="179" t="e">
        <f t="shared" ca="1" si="151"/>
        <v>#N/A</v>
      </c>
      <c r="AC264" s="179" t="e">
        <f t="shared" ca="1" si="127"/>
        <v>#N/A</v>
      </c>
      <c r="AD264" s="179" t="e">
        <f t="shared" ca="1" si="152"/>
        <v>#N/A</v>
      </c>
      <c r="AE264" s="179" t="e">
        <f t="shared" ca="1" si="152"/>
        <v>#N/A</v>
      </c>
      <c r="AF264" s="179" t="e">
        <f t="shared" ca="1" si="128"/>
        <v>#N/A</v>
      </c>
      <c r="AG264" s="179" t="e">
        <f t="shared" ca="1" si="153"/>
        <v>#N/A</v>
      </c>
      <c r="AH264" s="179" t="e">
        <f t="shared" ca="1" si="153"/>
        <v>#N/A</v>
      </c>
    </row>
    <row r="265" spans="1:34" ht="15.75" customHeight="1">
      <c r="A265" s="449" t="s">
        <v>39</v>
      </c>
      <c r="B265" s="449" t="s">
        <v>1858</v>
      </c>
      <c r="C265" s="449" t="s">
        <v>686</v>
      </c>
      <c r="D265" s="193"/>
      <c r="E265" s="193"/>
      <c r="F265" s="193"/>
      <c r="T265" s="179" t="e">
        <f t="shared" ca="1" si="132"/>
        <v>#N/A</v>
      </c>
      <c r="U265" s="179" t="e">
        <f t="shared" ca="1" si="149"/>
        <v>#N/A</v>
      </c>
      <c r="V265" s="179" t="e">
        <f t="shared" ca="1" si="149"/>
        <v>#N/A</v>
      </c>
      <c r="W265" s="179" t="e">
        <f t="shared" ref="W265:W328" ca="1" si="154">W264+MATCH(W$7,INDIRECT("$A"&amp;W264+1&amp;":$A$1000"),0)</f>
        <v>#N/A</v>
      </c>
      <c r="X265" s="179" t="e">
        <f t="shared" ca="1" si="150"/>
        <v>#N/A</v>
      </c>
      <c r="Y265" s="179" t="e">
        <f t="shared" ca="1" si="150"/>
        <v>#N/A</v>
      </c>
      <c r="Z265" s="179" t="e">
        <f t="shared" ref="Z265:Z328" ca="1" si="155">Z264+MATCH(Z$7,INDIRECT("$A"&amp;Z264+1&amp;":$A$1000"),0)</f>
        <v>#N/A</v>
      </c>
      <c r="AA265" s="179" t="e">
        <f t="shared" ca="1" si="151"/>
        <v>#N/A</v>
      </c>
      <c r="AB265" s="179" t="e">
        <f t="shared" ca="1" si="151"/>
        <v>#N/A</v>
      </c>
      <c r="AC265" s="179" t="e">
        <f t="shared" ref="AC265:AC328" ca="1" si="156">AC264+MATCH(AC$7,INDIRECT("$A"&amp;AC264+1&amp;":$A$1000"),0)</f>
        <v>#N/A</v>
      </c>
      <c r="AD265" s="179" t="e">
        <f t="shared" ca="1" si="152"/>
        <v>#N/A</v>
      </c>
      <c r="AE265" s="179" t="e">
        <f t="shared" ca="1" si="152"/>
        <v>#N/A</v>
      </c>
      <c r="AF265" s="179" t="e">
        <f t="shared" ref="AF265:AF328" ca="1" si="157">AF264+MATCH(AF$7,INDIRECT("$A"&amp;AF264+1&amp;":$A$1000"),0)</f>
        <v>#N/A</v>
      </c>
      <c r="AG265" s="179" t="e">
        <f t="shared" ca="1" si="153"/>
        <v>#N/A</v>
      </c>
      <c r="AH265" s="179" t="e">
        <f t="shared" ca="1" si="153"/>
        <v>#N/A</v>
      </c>
    </row>
    <row r="266" spans="1:34" ht="15.75" customHeight="1">
      <c r="A266" s="449" t="s">
        <v>39</v>
      </c>
      <c r="B266" s="449" t="s">
        <v>508</v>
      </c>
      <c r="C266" s="449" t="s">
        <v>681</v>
      </c>
      <c r="D266" s="193"/>
      <c r="E266" s="193"/>
      <c r="F266" s="193"/>
      <c r="T266" s="179" t="e">
        <f t="shared" ref="T266:T329" ca="1" si="158">T265+MATCH($T$7,INDIRECT("$A"&amp;T265+1&amp;":$A$1000"),0)</f>
        <v>#N/A</v>
      </c>
      <c r="U266" s="179" t="e">
        <f t="shared" ca="1" si="149"/>
        <v>#N/A</v>
      </c>
      <c r="V266" s="179" t="e">
        <f t="shared" ca="1" si="149"/>
        <v>#N/A</v>
      </c>
      <c r="W266" s="179" t="e">
        <f t="shared" ca="1" si="154"/>
        <v>#N/A</v>
      </c>
      <c r="X266" s="179" t="e">
        <f t="shared" ca="1" si="150"/>
        <v>#N/A</v>
      </c>
      <c r="Y266" s="179" t="e">
        <f t="shared" ca="1" si="150"/>
        <v>#N/A</v>
      </c>
      <c r="Z266" s="179" t="e">
        <f t="shared" ca="1" si="155"/>
        <v>#N/A</v>
      </c>
      <c r="AA266" s="179" t="e">
        <f t="shared" ca="1" si="151"/>
        <v>#N/A</v>
      </c>
      <c r="AB266" s="179" t="e">
        <f t="shared" ca="1" si="151"/>
        <v>#N/A</v>
      </c>
      <c r="AC266" s="179" t="e">
        <f t="shared" ca="1" si="156"/>
        <v>#N/A</v>
      </c>
      <c r="AD266" s="179" t="e">
        <f t="shared" ca="1" si="152"/>
        <v>#N/A</v>
      </c>
      <c r="AE266" s="179" t="e">
        <f t="shared" ca="1" si="152"/>
        <v>#N/A</v>
      </c>
      <c r="AF266" s="179" t="e">
        <f t="shared" ca="1" si="157"/>
        <v>#N/A</v>
      </c>
      <c r="AG266" s="179" t="e">
        <f t="shared" ca="1" si="153"/>
        <v>#N/A</v>
      </c>
      <c r="AH266" s="179" t="e">
        <f t="shared" ca="1" si="153"/>
        <v>#N/A</v>
      </c>
    </row>
    <row r="267" spans="1:34" ht="15.75" customHeight="1">
      <c r="A267" s="449" t="s">
        <v>39</v>
      </c>
      <c r="B267" s="449" t="s">
        <v>1295</v>
      </c>
      <c r="C267" s="449" t="s">
        <v>678</v>
      </c>
      <c r="D267" s="193"/>
      <c r="E267" s="193"/>
      <c r="F267" s="193"/>
      <c r="T267" s="179" t="e">
        <f t="shared" ca="1" si="158"/>
        <v>#N/A</v>
      </c>
      <c r="U267" s="179" t="e">
        <f t="shared" ca="1" si="149"/>
        <v>#N/A</v>
      </c>
      <c r="V267" s="179" t="e">
        <f t="shared" ca="1" si="149"/>
        <v>#N/A</v>
      </c>
      <c r="W267" s="179" t="e">
        <f t="shared" ca="1" si="154"/>
        <v>#N/A</v>
      </c>
      <c r="X267" s="179" t="e">
        <f t="shared" ca="1" si="150"/>
        <v>#N/A</v>
      </c>
      <c r="Y267" s="179" t="e">
        <f t="shared" ca="1" si="150"/>
        <v>#N/A</v>
      </c>
      <c r="Z267" s="179" t="e">
        <f t="shared" ca="1" si="155"/>
        <v>#N/A</v>
      </c>
      <c r="AA267" s="179" t="e">
        <f t="shared" ca="1" si="151"/>
        <v>#N/A</v>
      </c>
      <c r="AB267" s="179" t="e">
        <f t="shared" ca="1" si="151"/>
        <v>#N/A</v>
      </c>
      <c r="AC267" s="179" t="e">
        <f t="shared" ca="1" si="156"/>
        <v>#N/A</v>
      </c>
      <c r="AD267" s="179" t="e">
        <f t="shared" ca="1" si="152"/>
        <v>#N/A</v>
      </c>
      <c r="AE267" s="179" t="e">
        <f t="shared" ca="1" si="152"/>
        <v>#N/A</v>
      </c>
      <c r="AF267" s="179" t="e">
        <f t="shared" ca="1" si="157"/>
        <v>#N/A</v>
      </c>
      <c r="AG267" s="179" t="e">
        <f t="shared" ca="1" si="153"/>
        <v>#N/A</v>
      </c>
      <c r="AH267" s="179" t="e">
        <f t="shared" ca="1" si="153"/>
        <v>#N/A</v>
      </c>
    </row>
    <row r="268" spans="1:34" ht="15.75" customHeight="1">
      <c r="A268" s="449" t="s">
        <v>37</v>
      </c>
      <c r="B268" s="449" t="s">
        <v>521</v>
      </c>
      <c r="C268" s="449" t="s">
        <v>695</v>
      </c>
      <c r="D268" s="193"/>
      <c r="E268" s="193"/>
      <c r="F268" s="193"/>
      <c r="T268" s="179" t="e">
        <f t="shared" ca="1" si="158"/>
        <v>#N/A</v>
      </c>
      <c r="U268" s="179" t="e">
        <f t="shared" ca="1" si="149"/>
        <v>#N/A</v>
      </c>
      <c r="V268" s="179" t="e">
        <f t="shared" ca="1" si="149"/>
        <v>#N/A</v>
      </c>
      <c r="W268" s="179" t="e">
        <f t="shared" ca="1" si="154"/>
        <v>#N/A</v>
      </c>
      <c r="X268" s="179" t="e">
        <f t="shared" ca="1" si="150"/>
        <v>#N/A</v>
      </c>
      <c r="Y268" s="179" t="e">
        <f t="shared" ca="1" si="150"/>
        <v>#N/A</v>
      </c>
      <c r="Z268" s="179" t="e">
        <f t="shared" ca="1" si="155"/>
        <v>#N/A</v>
      </c>
      <c r="AA268" s="179" t="e">
        <f t="shared" ca="1" si="151"/>
        <v>#N/A</v>
      </c>
      <c r="AB268" s="179" t="e">
        <f t="shared" ca="1" si="151"/>
        <v>#N/A</v>
      </c>
      <c r="AC268" s="179" t="e">
        <f t="shared" ca="1" si="156"/>
        <v>#N/A</v>
      </c>
      <c r="AD268" s="179" t="e">
        <f t="shared" ca="1" si="152"/>
        <v>#N/A</v>
      </c>
      <c r="AE268" s="179" t="e">
        <f t="shared" ca="1" si="152"/>
        <v>#N/A</v>
      </c>
      <c r="AF268" s="179" t="e">
        <f t="shared" ca="1" si="157"/>
        <v>#N/A</v>
      </c>
      <c r="AG268" s="179" t="e">
        <f t="shared" ca="1" si="153"/>
        <v>#N/A</v>
      </c>
      <c r="AH268" s="179" t="e">
        <f t="shared" ca="1" si="153"/>
        <v>#N/A</v>
      </c>
    </row>
    <row r="269" spans="1:34" ht="15.75" customHeight="1">
      <c r="A269" s="449" t="s">
        <v>43</v>
      </c>
      <c r="B269" s="449" t="s">
        <v>418</v>
      </c>
      <c r="C269" s="449" t="s">
        <v>678</v>
      </c>
      <c r="D269" s="193"/>
      <c r="E269" s="193"/>
      <c r="F269" s="193"/>
      <c r="T269" s="179" t="e">
        <f t="shared" ca="1" si="158"/>
        <v>#N/A</v>
      </c>
      <c r="U269" s="179" t="e">
        <f t="shared" ref="U269:V288" ca="1" si="159">T269</f>
        <v>#N/A</v>
      </c>
      <c r="V269" s="179" t="e">
        <f t="shared" ca="1" si="159"/>
        <v>#N/A</v>
      </c>
      <c r="W269" s="179" t="e">
        <f t="shared" ca="1" si="154"/>
        <v>#N/A</v>
      </c>
      <c r="X269" s="179" t="e">
        <f t="shared" ref="X269:Y288" ca="1" si="160">W269</f>
        <v>#N/A</v>
      </c>
      <c r="Y269" s="179" t="e">
        <f t="shared" ca="1" si="160"/>
        <v>#N/A</v>
      </c>
      <c r="Z269" s="179" t="e">
        <f t="shared" ca="1" si="155"/>
        <v>#N/A</v>
      </c>
      <c r="AA269" s="179" t="e">
        <f t="shared" ref="AA269:AB288" ca="1" si="161">Z269</f>
        <v>#N/A</v>
      </c>
      <c r="AB269" s="179" t="e">
        <f t="shared" ca="1" si="161"/>
        <v>#N/A</v>
      </c>
      <c r="AC269" s="179" t="e">
        <f t="shared" ca="1" si="156"/>
        <v>#N/A</v>
      </c>
      <c r="AD269" s="179" t="e">
        <f t="shared" ref="AD269:AE288" ca="1" si="162">AC269</f>
        <v>#N/A</v>
      </c>
      <c r="AE269" s="179" t="e">
        <f t="shared" ca="1" si="162"/>
        <v>#N/A</v>
      </c>
      <c r="AF269" s="179" t="e">
        <f t="shared" ca="1" si="157"/>
        <v>#N/A</v>
      </c>
      <c r="AG269" s="179" t="e">
        <f t="shared" ref="AG269:AH288" ca="1" si="163">AF269</f>
        <v>#N/A</v>
      </c>
      <c r="AH269" s="179" t="e">
        <f t="shared" ca="1" si="163"/>
        <v>#N/A</v>
      </c>
    </row>
    <row r="270" spans="1:34" ht="15.75" customHeight="1">
      <c r="A270" s="449" t="s">
        <v>43</v>
      </c>
      <c r="B270" s="449" t="s">
        <v>1983</v>
      </c>
      <c r="C270" s="449" t="s">
        <v>677</v>
      </c>
      <c r="D270" s="193"/>
      <c r="E270" s="193"/>
      <c r="F270" s="193"/>
      <c r="T270" s="179" t="e">
        <f t="shared" ca="1" si="158"/>
        <v>#N/A</v>
      </c>
      <c r="U270" s="179" t="e">
        <f t="shared" ca="1" si="159"/>
        <v>#N/A</v>
      </c>
      <c r="V270" s="179" t="e">
        <f t="shared" ca="1" si="159"/>
        <v>#N/A</v>
      </c>
      <c r="W270" s="179" t="e">
        <f t="shared" ca="1" si="154"/>
        <v>#N/A</v>
      </c>
      <c r="X270" s="179" t="e">
        <f t="shared" ca="1" si="160"/>
        <v>#N/A</v>
      </c>
      <c r="Y270" s="179" t="e">
        <f t="shared" ca="1" si="160"/>
        <v>#N/A</v>
      </c>
      <c r="Z270" s="179" t="e">
        <f t="shared" ca="1" si="155"/>
        <v>#N/A</v>
      </c>
      <c r="AA270" s="179" t="e">
        <f t="shared" ca="1" si="161"/>
        <v>#N/A</v>
      </c>
      <c r="AB270" s="179" t="e">
        <f t="shared" ca="1" si="161"/>
        <v>#N/A</v>
      </c>
      <c r="AC270" s="179" t="e">
        <f t="shared" ca="1" si="156"/>
        <v>#N/A</v>
      </c>
      <c r="AD270" s="179" t="e">
        <f t="shared" ca="1" si="162"/>
        <v>#N/A</v>
      </c>
      <c r="AE270" s="179" t="e">
        <f t="shared" ca="1" si="162"/>
        <v>#N/A</v>
      </c>
      <c r="AF270" s="179" t="e">
        <f t="shared" ca="1" si="157"/>
        <v>#N/A</v>
      </c>
      <c r="AG270" s="179" t="e">
        <f t="shared" ca="1" si="163"/>
        <v>#N/A</v>
      </c>
      <c r="AH270" s="179" t="e">
        <f t="shared" ca="1" si="163"/>
        <v>#N/A</v>
      </c>
    </row>
    <row r="271" spans="1:34" ht="15.75" customHeight="1">
      <c r="A271" s="449" t="s">
        <v>37</v>
      </c>
      <c r="B271" s="449" t="s">
        <v>1700</v>
      </c>
      <c r="C271" s="449" t="s">
        <v>695</v>
      </c>
      <c r="D271" s="193"/>
      <c r="E271" s="193"/>
      <c r="F271" s="193"/>
      <c r="T271" s="179" t="e">
        <f t="shared" ca="1" si="158"/>
        <v>#N/A</v>
      </c>
      <c r="U271" s="179" t="e">
        <f t="shared" ca="1" si="159"/>
        <v>#N/A</v>
      </c>
      <c r="V271" s="179" t="e">
        <f t="shared" ca="1" si="159"/>
        <v>#N/A</v>
      </c>
      <c r="W271" s="179" t="e">
        <f t="shared" ca="1" si="154"/>
        <v>#N/A</v>
      </c>
      <c r="X271" s="179" t="e">
        <f t="shared" ca="1" si="160"/>
        <v>#N/A</v>
      </c>
      <c r="Y271" s="179" t="e">
        <f t="shared" ca="1" si="160"/>
        <v>#N/A</v>
      </c>
      <c r="Z271" s="179" t="e">
        <f t="shared" ca="1" si="155"/>
        <v>#N/A</v>
      </c>
      <c r="AA271" s="179" t="e">
        <f t="shared" ca="1" si="161"/>
        <v>#N/A</v>
      </c>
      <c r="AB271" s="179" t="e">
        <f t="shared" ca="1" si="161"/>
        <v>#N/A</v>
      </c>
      <c r="AC271" s="179" t="e">
        <f t="shared" ca="1" si="156"/>
        <v>#N/A</v>
      </c>
      <c r="AD271" s="179" t="e">
        <f t="shared" ca="1" si="162"/>
        <v>#N/A</v>
      </c>
      <c r="AE271" s="179" t="e">
        <f t="shared" ca="1" si="162"/>
        <v>#N/A</v>
      </c>
      <c r="AF271" s="179" t="e">
        <f t="shared" ca="1" si="157"/>
        <v>#N/A</v>
      </c>
      <c r="AG271" s="179" t="e">
        <f t="shared" ca="1" si="163"/>
        <v>#N/A</v>
      </c>
      <c r="AH271" s="179" t="e">
        <f t="shared" ca="1" si="163"/>
        <v>#N/A</v>
      </c>
    </row>
    <row r="272" spans="1:34" ht="15.75" customHeight="1">
      <c r="A272" s="449" t="s">
        <v>43</v>
      </c>
      <c r="B272" s="449" t="s">
        <v>1791</v>
      </c>
      <c r="C272" s="449" t="s">
        <v>1674</v>
      </c>
      <c r="D272" s="193"/>
      <c r="E272" s="193"/>
      <c r="F272" s="193"/>
      <c r="T272" s="179" t="e">
        <f t="shared" ca="1" si="158"/>
        <v>#N/A</v>
      </c>
      <c r="U272" s="179" t="e">
        <f t="shared" ca="1" si="159"/>
        <v>#N/A</v>
      </c>
      <c r="V272" s="179" t="e">
        <f t="shared" ca="1" si="159"/>
        <v>#N/A</v>
      </c>
      <c r="W272" s="179" t="e">
        <f t="shared" ca="1" si="154"/>
        <v>#N/A</v>
      </c>
      <c r="X272" s="179" t="e">
        <f t="shared" ca="1" si="160"/>
        <v>#N/A</v>
      </c>
      <c r="Y272" s="179" t="e">
        <f t="shared" ca="1" si="160"/>
        <v>#N/A</v>
      </c>
      <c r="Z272" s="179" t="e">
        <f t="shared" ca="1" si="155"/>
        <v>#N/A</v>
      </c>
      <c r="AA272" s="179" t="e">
        <f t="shared" ca="1" si="161"/>
        <v>#N/A</v>
      </c>
      <c r="AB272" s="179" t="e">
        <f t="shared" ca="1" si="161"/>
        <v>#N/A</v>
      </c>
      <c r="AC272" s="179" t="e">
        <f t="shared" ca="1" si="156"/>
        <v>#N/A</v>
      </c>
      <c r="AD272" s="179" t="e">
        <f t="shared" ca="1" si="162"/>
        <v>#N/A</v>
      </c>
      <c r="AE272" s="179" t="e">
        <f t="shared" ca="1" si="162"/>
        <v>#N/A</v>
      </c>
      <c r="AF272" s="179" t="e">
        <f t="shared" ca="1" si="157"/>
        <v>#N/A</v>
      </c>
      <c r="AG272" s="179" t="e">
        <f t="shared" ca="1" si="163"/>
        <v>#N/A</v>
      </c>
      <c r="AH272" s="179" t="e">
        <f t="shared" ca="1" si="163"/>
        <v>#N/A</v>
      </c>
    </row>
    <row r="273" spans="1:34" ht="15.75" customHeight="1">
      <c r="A273" s="449" t="s">
        <v>37</v>
      </c>
      <c r="B273" s="449" t="s">
        <v>1987</v>
      </c>
      <c r="C273" s="449" t="s">
        <v>691</v>
      </c>
      <c r="D273" s="193"/>
      <c r="E273" s="193"/>
      <c r="F273" s="193"/>
      <c r="T273" s="179" t="e">
        <f t="shared" ca="1" si="158"/>
        <v>#N/A</v>
      </c>
      <c r="U273" s="179" t="e">
        <f t="shared" ca="1" si="159"/>
        <v>#N/A</v>
      </c>
      <c r="V273" s="179" t="e">
        <f t="shared" ca="1" si="159"/>
        <v>#N/A</v>
      </c>
      <c r="W273" s="179" t="e">
        <f t="shared" ca="1" si="154"/>
        <v>#N/A</v>
      </c>
      <c r="X273" s="179" t="e">
        <f t="shared" ca="1" si="160"/>
        <v>#N/A</v>
      </c>
      <c r="Y273" s="179" t="e">
        <f t="shared" ca="1" si="160"/>
        <v>#N/A</v>
      </c>
      <c r="Z273" s="179" t="e">
        <f t="shared" ca="1" si="155"/>
        <v>#N/A</v>
      </c>
      <c r="AA273" s="179" t="e">
        <f t="shared" ca="1" si="161"/>
        <v>#N/A</v>
      </c>
      <c r="AB273" s="179" t="e">
        <f t="shared" ca="1" si="161"/>
        <v>#N/A</v>
      </c>
      <c r="AC273" s="179" t="e">
        <f t="shared" ca="1" si="156"/>
        <v>#N/A</v>
      </c>
      <c r="AD273" s="179" t="e">
        <f t="shared" ca="1" si="162"/>
        <v>#N/A</v>
      </c>
      <c r="AE273" s="179" t="e">
        <f t="shared" ca="1" si="162"/>
        <v>#N/A</v>
      </c>
      <c r="AF273" s="179" t="e">
        <f t="shared" ca="1" si="157"/>
        <v>#N/A</v>
      </c>
      <c r="AG273" s="179" t="e">
        <f t="shared" ca="1" si="163"/>
        <v>#N/A</v>
      </c>
      <c r="AH273" s="179" t="e">
        <f t="shared" ca="1" si="163"/>
        <v>#N/A</v>
      </c>
    </row>
    <row r="274" spans="1:34" ht="15.75" customHeight="1">
      <c r="A274" s="449" t="s">
        <v>39</v>
      </c>
      <c r="B274" s="449" t="s">
        <v>1303</v>
      </c>
      <c r="C274" s="449" t="s">
        <v>678</v>
      </c>
      <c r="D274" s="193"/>
      <c r="E274" s="193"/>
      <c r="F274" s="193"/>
      <c r="T274" s="179" t="e">
        <f t="shared" ca="1" si="158"/>
        <v>#N/A</v>
      </c>
      <c r="U274" s="179" t="e">
        <f t="shared" ca="1" si="159"/>
        <v>#N/A</v>
      </c>
      <c r="V274" s="179" t="e">
        <f t="shared" ca="1" si="159"/>
        <v>#N/A</v>
      </c>
      <c r="W274" s="179" t="e">
        <f t="shared" ca="1" si="154"/>
        <v>#N/A</v>
      </c>
      <c r="X274" s="179" t="e">
        <f t="shared" ca="1" si="160"/>
        <v>#N/A</v>
      </c>
      <c r="Y274" s="179" t="e">
        <f t="shared" ca="1" si="160"/>
        <v>#N/A</v>
      </c>
      <c r="Z274" s="179" t="e">
        <f t="shared" ca="1" si="155"/>
        <v>#N/A</v>
      </c>
      <c r="AA274" s="179" t="e">
        <f t="shared" ca="1" si="161"/>
        <v>#N/A</v>
      </c>
      <c r="AB274" s="179" t="e">
        <f t="shared" ca="1" si="161"/>
        <v>#N/A</v>
      </c>
      <c r="AC274" s="179" t="e">
        <f t="shared" ca="1" si="156"/>
        <v>#N/A</v>
      </c>
      <c r="AD274" s="179" t="e">
        <f t="shared" ca="1" si="162"/>
        <v>#N/A</v>
      </c>
      <c r="AE274" s="179" t="e">
        <f t="shared" ca="1" si="162"/>
        <v>#N/A</v>
      </c>
      <c r="AF274" s="179" t="e">
        <f t="shared" ca="1" si="157"/>
        <v>#N/A</v>
      </c>
      <c r="AG274" s="179" t="e">
        <f t="shared" ca="1" si="163"/>
        <v>#N/A</v>
      </c>
      <c r="AH274" s="179" t="e">
        <f t="shared" ca="1" si="163"/>
        <v>#N/A</v>
      </c>
    </row>
    <row r="275" spans="1:34" ht="15.75" customHeight="1">
      <c r="A275" s="449" t="s">
        <v>39</v>
      </c>
      <c r="B275" s="449" t="s">
        <v>513</v>
      </c>
      <c r="C275" s="449" t="s">
        <v>676</v>
      </c>
      <c r="D275" s="193"/>
      <c r="E275" s="193"/>
      <c r="F275" s="193"/>
      <c r="T275" s="179" t="e">
        <f t="shared" ca="1" si="158"/>
        <v>#N/A</v>
      </c>
      <c r="U275" s="179" t="e">
        <f t="shared" ca="1" si="159"/>
        <v>#N/A</v>
      </c>
      <c r="V275" s="179" t="e">
        <f t="shared" ca="1" si="159"/>
        <v>#N/A</v>
      </c>
      <c r="W275" s="179" t="e">
        <f t="shared" ca="1" si="154"/>
        <v>#N/A</v>
      </c>
      <c r="X275" s="179" t="e">
        <f t="shared" ca="1" si="160"/>
        <v>#N/A</v>
      </c>
      <c r="Y275" s="179" t="e">
        <f t="shared" ca="1" si="160"/>
        <v>#N/A</v>
      </c>
      <c r="Z275" s="179" t="e">
        <f t="shared" ca="1" si="155"/>
        <v>#N/A</v>
      </c>
      <c r="AA275" s="179" t="e">
        <f t="shared" ca="1" si="161"/>
        <v>#N/A</v>
      </c>
      <c r="AB275" s="179" t="e">
        <f t="shared" ca="1" si="161"/>
        <v>#N/A</v>
      </c>
      <c r="AC275" s="179" t="e">
        <f t="shared" ca="1" si="156"/>
        <v>#N/A</v>
      </c>
      <c r="AD275" s="179" t="e">
        <f t="shared" ca="1" si="162"/>
        <v>#N/A</v>
      </c>
      <c r="AE275" s="179" t="e">
        <f t="shared" ca="1" si="162"/>
        <v>#N/A</v>
      </c>
      <c r="AF275" s="179" t="e">
        <f t="shared" ca="1" si="157"/>
        <v>#N/A</v>
      </c>
      <c r="AG275" s="179" t="e">
        <f t="shared" ca="1" si="163"/>
        <v>#N/A</v>
      </c>
      <c r="AH275" s="179" t="e">
        <f t="shared" ca="1" si="163"/>
        <v>#N/A</v>
      </c>
    </row>
    <row r="276" spans="1:34" ht="15.75" customHeight="1">
      <c r="A276" s="449" t="s">
        <v>37</v>
      </c>
      <c r="B276" s="449" t="s">
        <v>1692</v>
      </c>
      <c r="C276" s="449" t="s">
        <v>695</v>
      </c>
      <c r="D276" s="193"/>
      <c r="E276" s="193"/>
      <c r="F276" s="193"/>
      <c r="T276" s="179" t="e">
        <f t="shared" ca="1" si="158"/>
        <v>#N/A</v>
      </c>
      <c r="U276" s="179" t="e">
        <f t="shared" ca="1" si="159"/>
        <v>#N/A</v>
      </c>
      <c r="V276" s="179" t="e">
        <f t="shared" ca="1" si="159"/>
        <v>#N/A</v>
      </c>
      <c r="W276" s="179" t="e">
        <f t="shared" ca="1" si="154"/>
        <v>#N/A</v>
      </c>
      <c r="X276" s="179" t="e">
        <f t="shared" ca="1" si="160"/>
        <v>#N/A</v>
      </c>
      <c r="Y276" s="179" t="e">
        <f t="shared" ca="1" si="160"/>
        <v>#N/A</v>
      </c>
      <c r="Z276" s="179" t="e">
        <f t="shared" ca="1" si="155"/>
        <v>#N/A</v>
      </c>
      <c r="AA276" s="179" t="e">
        <f t="shared" ca="1" si="161"/>
        <v>#N/A</v>
      </c>
      <c r="AB276" s="179" t="e">
        <f t="shared" ca="1" si="161"/>
        <v>#N/A</v>
      </c>
      <c r="AC276" s="179" t="e">
        <f t="shared" ca="1" si="156"/>
        <v>#N/A</v>
      </c>
      <c r="AD276" s="179" t="e">
        <f t="shared" ca="1" si="162"/>
        <v>#N/A</v>
      </c>
      <c r="AE276" s="179" t="e">
        <f t="shared" ca="1" si="162"/>
        <v>#N/A</v>
      </c>
      <c r="AF276" s="179" t="e">
        <f t="shared" ca="1" si="157"/>
        <v>#N/A</v>
      </c>
      <c r="AG276" s="179" t="e">
        <f t="shared" ca="1" si="163"/>
        <v>#N/A</v>
      </c>
      <c r="AH276" s="179" t="e">
        <f t="shared" ca="1" si="163"/>
        <v>#N/A</v>
      </c>
    </row>
    <row r="277" spans="1:34" ht="15.75" customHeight="1">
      <c r="A277" s="449" t="s">
        <v>37</v>
      </c>
      <c r="B277" s="449" t="s">
        <v>1831</v>
      </c>
      <c r="C277" s="449" t="s">
        <v>1477</v>
      </c>
      <c r="D277" s="193"/>
      <c r="E277" s="193"/>
      <c r="F277" s="193"/>
      <c r="T277" s="179" t="e">
        <f t="shared" ca="1" si="158"/>
        <v>#N/A</v>
      </c>
      <c r="U277" s="179" t="e">
        <f t="shared" ca="1" si="159"/>
        <v>#N/A</v>
      </c>
      <c r="V277" s="179" t="e">
        <f t="shared" ca="1" si="159"/>
        <v>#N/A</v>
      </c>
      <c r="W277" s="179" t="e">
        <f t="shared" ca="1" si="154"/>
        <v>#N/A</v>
      </c>
      <c r="X277" s="179" t="e">
        <f t="shared" ca="1" si="160"/>
        <v>#N/A</v>
      </c>
      <c r="Y277" s="179" t="e">
        <f t="shared" ca="1" si="160"/>
        <v>#N/A</v>
      </c>
      <c r="Z277" s="179" t="e">
        <f t="shared" ca="1" si="155"/>
        <v>#N/A</v>
      </c>
      <c r="AA277" s="179" t="e">
        <f t="shared" ca="1" si="161"/>
        <v>#N/A</v>
      </c>
      <c r="AB277" s="179" t="e">
        <f t="shared" ca="1" si="161"/>
        <v>#N/A</v>
      </c>
      <c r="AC277" s="179" t="e">
        <f t="shared" ca="1" si="156"/>
        <v>#N/A</v>
      </c>
      <c r="AD277" s="179" t="e">
        <f t="shared" ca="1" si="162"/>
        <v>#N/A</v>
      </c>
      <c r="AE277" s="179" t="e">
        <f t="shared" ca="1" si="162"/>
        <v>#N/A</v>
      </c>
      <c r="AF277" s="179" t="e">
        <f t="shared" ca="1" si="157"/>
        <v>#N/A</v>
      </c>
      <c r="AG277" s="179" t="e">
        <f t="shared" ca="1" si="163"/>
        <v>#N/A</v>
      </c>
      <c r="AH277" s="179" t="e">
        <f t="shared" ca="1" si="163"/>
        <v>#N/A</v>
      </c>
    </row>
    <row r="278" spans="1:34" ht="15.75" customHeight="1">
      <c r="A278" s="449" t="s">
        <v>43</v>
      </c>
      <c r="B278" s="449" t="s">
        <v>1804</v>
      </c>
      <c r="C278" s="449" t="s">
        <v>701</v>
      </c>
      <c r="D278" s="193"/>
      <c r="E278" s="193"/>
      <c r="F278" s="193"/>
      <c r="T278" s="179" t="e">
        <f t="shared" ca="1" si="158"/>
        <v>#N/A</v>
      </c>
      <c r="U278" s="179" t="e">
        <f t="shared" ca="1" si="159"/>
        <v>#N/A</v>
      </c>
      <c r="V278" s="179" t="e">
        <f t="shared" ca="1" si="159"/>
        <v>#N/A</v>
      </c>
      <c r="W278" s="179" t="e">
        <f t="shared" ca="1" si="154"/>
        <v>#N/A</v>
      </c>
      <c r="X278" s="179" t="e">
        <f t="shared" ca="1" si="160"/>
        <v>#N/A</v>
      </c>
      <c r="Y278" s="179" t="e">
        <f t="shared" ca="1" si="160"/>
        <v>#N/A</v>
      </c>
      <c r="Z278" s="179" t="e">
        <f t="shared" ca="1" si="155"/>
        <v>#N/A</v>
      </c>
      <c r="AA278" s="179" t="e">
        <f t="shared" ca="1" si="161"/>
        <v>#N/A</v>
      </c>
      <c r="AB278" s="179" t="e">
        <f t="shared" ca="1" si="161"/>
        <v>#N/A</v>
      </c>
      <c r="AC278" s="179" t="e">
        <f t="shared" ca="1" si="156"/>
        <v>#N/A</v>
      </c>
      <c r="AD278" s="179" t="e">
        <f t="shared" ca="1" si="162"/>
        <v>#N/A</v>
      </c>
      <c r="AE278" s="179" t="e">
        <f t="shared" ca="1" si="162"/>
        <v>#N/A</v>
      </c>
      <c r="AF278" s="179" t="e">
        <f t="shared" ca="1" si="157"/>
        <v>#N/A</v>
      </c>
      <c r="AG278" s="179" t="e">
        <f t="shared" ca="1" si="163"/>
        <v>#N/A</v>
      </c>
      <c r="AH278" s="179" t="e">
        <f t="shared" ca="1" si="163"/>
        <v>#N/A</v>
      </c>
    </row>
    <row r="279" spans="1:34" ht="15.75" customHeight="1">
      <c r="A279" s="449" t="s">
        <v>37</v>
      </c>
      <c r="B279" s="449" t="s">
        <v>523</v>
      </c>
      <c r="C279" s="449" t="s">
        <v>681</v>
      </c>
      <c r="D279" s="193"/>
      <c r="E279" s="193"/>
      <c r="F279" s="193"/>
      <c r="T279" s="179" t="e">
        <f t="shared" ca="1" si="158"/>
        <v>#N/A</v>
      </c>
      <c r="U279" s="179" t="e">
        <f t="shared" ca="1" si="159"/>
        <v>#N/A</v>
      </c>
      <c r="V279" s="179" t="e">
        <f t="shared" ca="1" si="159"/>
        <v>#N/A</v>
      </c>
      <c r="W279" s="179" t="e">
        <f t="shared" ca="1" si="154"/>
        <v>#N/A</v>
      </c>
      <c r="X279" s="179" t="e">
        <f t="shared" ca="1" si="160"/>
        <v>#N/A</v>
      </c>
      <c r="Y279" s="179" t="e">
        <f t="shared" ca="1" si="160"/>
        <v>#N/A</v>
      </c>
      <c r="Z279" s="179" t="e">
        <f t="shared" ca="1" si="155"/>
        <v>#N/A</v>
      </c>
      <c r="AA279" s="179" t="e">
        <f t="shared" ca="1" si="161"/>
        <v>#N/A</v>
      </c>
      <c r="AB279" s="179" t="e">
        <f t="shared" ca="1" si="161"/>
        <v>#N/A</v>
      </c>
      <c r="AC279" s="179" t="e">
        <f t="shared" ca="1" si="156"/>
        <v>#N/A</v>
      </c>
      <c r="AD279" s="179" t="e">
        <f t="shared" ca="1" si="162"/>
        <v>#N/A</v>
      </c>
      <c r="AE279" s="179" t="e">
        <f t="shared" ca="1" si="162"/>
        <v>#N/A</v>
      </c>
      <c r="AF279" s="179" t="e">
        <f t="shared" ca="1" si="157"/>
        <v>#N/A</v>
      </c>
      <c r="AG279" s="179" t="e">
        <f t="shared" ca="1" si="163"/>
        <v>#N/A</v>
      </c>
      <c r="AH279" s="179" t="e">
        <f t="shared" ca="1" si="163"/>
        <v>#N/A</v>
      </c>
    </row>
    <row r="280" spans="1:34" ht="15.75" customHeight="1">
      <c r="A280" s="449" t="s">
        <v>43</v>
      </c>
      <c r="B280" s="449" t="s">
        <v>1794</v>
      </c>
      <c r="C280" s="449" t="s">
        <v>688</v>
      </c>
      <c r="D280" s="193"/>
      <c r="E280" s="193"/>
      <c r="F280" s="193"/>
      <c r="T280" s="179" t="e">
        <f t="shared" ca="1" si="158"/>
        <v>#N/A</v>
      </c>
      <c r="U280" s="179" t="e">
        <f t="shared" ca="1" si="159"/>
        <v>#N/A</v>
      </c>
      <c r="V280" s="179" t="e">
        <f t="shared" ca="1" si="159"/>
        <v>#N/A</v>
      </c>
      <c r="W280" s="179" t="e">
        <f t="shared" ca="1" si="154"/>
        <v>#N/A</v>
      </c>
      <c r="X280" s="179" t="e">
        <f t="shared" ca="1" si="160"/>
        <v>#N/A</v>
      </c>
      <c r="Y280" s="179" t="e">
        <f t="shared" ca="1" si="160"/>
        <v>#N/A</v>
      </c>
      <c r="Z280" s="179" t="e">
        <f t="shared" ca="1" si="155"/>
        <v>#N/A</v>
      </c>
      <c r="AA280" s="179" t="e">
        <f t="shared" ca="1" si="161"/>
        <v>#N/A</v>
      </c>
      <c r="AB280" s="179" t="e">
        <f t="shared" ca="1" si="161"/>
        <v>#N/A</v>
      </c>
      <c r="AC280" s="179" t="e">
        <f t="shared" ca="1" si="156"/>
        <v>#N/A</v>
      </c>
      <c r="AD280" s="179" t="e">
        <f t="shared" ca="1" si="162"/>
        <v>#N/A</v>
      </c>
      <c r="AE280" s="179" t="e">
        <f t="shared" ca="1" si="162"/>
        <v>#N/A</v>
      </c>
      <c r="AF280" s="179" t="e">
        <f t="shared" ca="1" si="157"/>
        <v>#N/A</v>
      </c>
      <c r="AG280" s="179" t="e">
        <f t="shared" ca="1" si="163"/>
        <v>#N/A</v>
      </c>
      <c r="AH280" s="179" t="e">
        <f t="shared" ca="1" si="163"/>
        <v>#N/A</v>
      </c>
    </row>
    <row r="281" spans="1:34" ht="15.75" customHeight="1">
      <c r="A281" s="449" t="s">
        <v>37</v>
      </c>
      <c r="B281" s="449" t="s">
        <v>524</v>
      </c>
      <c r="C281" s="449" t="s">
        <v>691</v>
      </c>
      <c r="D281" s="193"/>
      <c r="E281" s="193"/>
      <c r="F281" s="193"/>
      <c r="T281" s="179" t="e">
        <f t="shared" ca="1" si="158"/>
        <v>#N/A</v>
      </c>
      <c r="U281" s="179" t="e">
        <f t="shared" ca="1" si="159"/>
        <v>#N/A</v>
      </c>
      <c r="V281" s="179" t="e">
        <f t="shared" ca="1" si="159"/>
        <v>#N/A</v>
      </c>
      <c r="W281" s="179" t="e">
        <f t="shared" ca="1" si="154"/>
        <v>#N/A</v>
      </c>
      <c r="X281" s="179" t="e">
        <f t="shared" ca="1" si="160"/>
        <v>#N/A</v>
      </c>
      <c r="Y281" s="179" t="e">
        <f t="shared" ca="1" si="160"/>
        <v>#N/A</v>
      </c>
      <c r="Z281" s="179" t="e">
        <f t="shared" ca="1" si="155"/>
        <v>#N/A</v>
      </c>
      <c r="AA281" s="179" t="e">
        <f t="shared" ca="1" si="161"/>
        <v>#N/A</v>
      </c>
      <c r="AB281" s="179" t="e">
        <f t="shared" ca="1" si="161"/>
        <v>#N/A</v>
      </c>
      <c r="AC281" s="179" t="e">
        <f t="shared" ca="1" si="156"/>
        <v>#N/A</v>
      </c>
      <c r="AD281" s="179" t="e">
        <f t="shared" ca="1" si="162"/>
        <v>#N/A</v>
      </c>
      <c r="AE281" s="179" t="e">
        <f t="shared" ca="1" si="162"/>
        <v>#N/A</v>
      </c>
      <c r="AF281" s="179" t="e">
        <f t="shared" ca="1" si="157"/>
        <v>#N/A</v>
      </c>
      <c r="AG281" s="179" t="e">
        <f t="shared" ca="1" si="163"/>
        <v>#N/A</v>
      </c>
      <c r="AH281" s="179" t="e">
        <f t="shared" ca="1" si="163"/>
        <v>#N/A</v>
      </c>
    </row>
    <row r="282" spans="1:34" ht="15.75" customHeight="1">
      <c r="A282" s="449" t="s">
        <v>39</v>
      </c>
      <c r="B282" s="449" t="s">
        <v>1767</v>
      </c>
      <c r="C282" s="449" t="s">
        <v>701</v>
      </c>
      <c r="D282" s="193"/>
      <c r="E282" s="193"/>
      <c r="F282" s="193"/>
      <c r="T282" s="179" t="e">
        <f t="shared" ca="1" si="158"/>
        <v>#N/A</v>
      </c>
      <c r="U282" s="179" t="e">
        <f t="shared" ca="1" si="159"/>
        <v>#N/A</v>
      </c>
      <c r="V282" s="179" t="e">
        <f t="shared" ca="1" si="159"/>
        <v>#N/A</v>
      </c>
      <c r="W282" s="179" t="e">
        <f t="shared" ca="1" si="154"/>
        <v>#N/A</v>
      </c>
      <c r="X282" s="179" t="e">
        <f t="shared" ca="1" si="160"/>
        <v>#N/A</v>
      </c>
      <c r="Y282" s="179" t="e">
        <f t="shared" ca="1" si="160"/>
        <v>#N/A</v>
      </c>
      <c r="Z282" s="179" t="e">
        <f t="shared" ca="1" si="155"/>
        <v>#N/A</v>
      </c>
      <c r="AA282" s="179" t="e">
        <f t="shared" ca="1" si="161"/>
        <v>#N/A</v>
      </c>
      <c r="AB282" s="179" t="e">
        <f t="shared" ca="1" si="161"/>
        <v>#N/A</v>
      </c>
      <c r="AC282" s="179" t="e">
        <f t="shared" ca="1" si="156"/>
        <v>#N/A</v>
      </c>
      <c r="AD282" s="179" t="e">
        <f t="shared" ca="1" si="162"/>
        <v>#N/A</v>
      </c>
      <c r="AE282" s="179" t="e">
        <f t="shared" ca="1" si="162"/>
        <v>#N/A</v>
      </c>
      <c r="AF282" s="179" t="e">
        <f t="shared" ca="1" si="157"/>
        <v>#N/A</v>
      </c>
      <c r="AG282" s="179" t="e">
        <f t="shared" ca="1" si="163"/>
        <v>#N/A</v>
      </c>
      <c r="AH282" s="179" t="e">
        <f t="shared" ca="1" si="163"/>
        <v>#N/A</v>
      </c>
    </row>
    <row r="283" spans="1:34" ht="15.75" customHeight="1">
      <c r="A283" s="449" t="s">
        <v>39</v>
      </c>
      <c r="B283" s="449" t="s">
        <v>519</v>
      </c>
      <c r="C283" s="449" t="s">
        <v>691</v>
      </c>
      <c r="D283" s="193"/>
      <c r="E283" s="193"/>
      <c r="F283" s="193"/>
      <c r="T283" s="179" t="e">
        <f t="shared" ca="1" si="158"/>
        <v>#N/A</v>
      </c>
      <c r="U283" s="179" t="e">
        <f t="shared" ca="1" si="159"/>
        <v>#N/A</v>
      </c>
      <c r="V283" s="179" t="e">
        <f t="shared" ca="1" si="159"/>
        <v>#N/A</v>
      </c>
      <c r="W283" s="179" t="e">
        <f t="shared" ca="1" si="154"/>
        <v>#N/A</v>
      </c>
      <c r="X283" s="179" t="e">
        <f t="shared" ca="1" si="160"/>
        <v>#N/A</v>
      </c>
      <c r="Y283" s="179" t="e">
        <f t="shared" ca="1" si="160"/>
        <v>#N/A</v>
      </c>
      <c r="Z283" s="179" t="e">
        <f t="shared" ca="1" si="155"/>
        <v>#N/A</v>
      </c>
      <c r="AA283" s="179" t="e">
        <f t="shared" ca="1" si="161"/>
        <v>#N/A</v>
      </c>
      <c r="AB283" s="179" t="e">
        <f t="shared" ca="1" si="161"/>
        <v>#N/A</v>
      </c>
      <c r="AC283" s="179" t="e">
        <f t="shared" ca="1" si="156"/>
        <v>#N/A</v>
      </c>
      <c r="AD283" s="179" t="e">
        <f t="shared" ca="1" si="162"/>
        <v>#N/A</v>
      </c>
      <c r="AE283" s="179" t="e">
        <f t="shared" ca="1" si="162"/>
        <v>#N/A</v>
      </c>
      <c r="AF283" s="179" t="e">
        <f t="shared" ca="1" si="157"/>
        <v>#N/A</v>
      </c>
      <c r="AG283" s="179" t="e">
        <f t="shared" ca="1" si="163"/>
        <v>#N/A</v>
      </c>
      <c r="AH283" s="179" t="e">
        <f t="shared" ca="1" si="163"/>
        <v>#N/A</v>
      </c>
    </row>
    <row r="284" spans="1:34" ht="15.75" customHeight="1">
      <c r="A284" s="449" t="s">
        <v>39</v>
      </c>
      <c r="B284" s="449" t="s">
        <v>525</v>
      </c>
      <c r="C284" s="449" t="s">
        <v>686</v>
      </c>
      <c r="D284" s="193"/>
      <c r="E284" s="193"/>
      <c r="F284" s="193"/>
      <c r="T284" s="179" t="e">
        <f t="shared" ca="1" si="158"/>
        <v>#N/A</v>
      </c>
      <c r="U284" s="179" t="e">
        <f t="shared" ca="1" si="159"/>
        <v>#N/A</v>
      </c>
      <c r="V284" s="179" t="e">
        <f t="shared" ca="1" si="159"/>
        <v>#N/A</v>
      </c>
      <c r="W284" s="179" t="e">
        <f t="shared" ca="1" si="154"/>
        <v>#N/A</v>
      </c>
      <c r="X284" s="179" t="e">
        <f t="shared" ca="1" si="160"/>
        <v>#N/A</v>
      </c>
      <c r="Y284" s="179" t="e">
        <f t="shared" ca="1" si="160"/>
        <v>#N/A</v>
      </c>
      <c r="Z284" s="179" t="e">
        <f t="shared" ca="1" si="155"/>
        <v>#N/A</v>
      </c>
      <c r="AA284" s="179" t="e">
        <f t="shared" ca="1" si="161"/>
        <v>#N/A</v>
      </c>
      <c r="AB284" s="179" t="e">
        <f t="shared" ca="1" si="161"/>
        <v>#N/A</v>
      </c>
      <c r="AC284" s="179" t="e">
        <f t="shared" ca="1" si="156"/>
        <v>#N/A</v>
      </c>
      <c r="AD284" s="179" t="e">
        <f t="shared" ca="1" si="162"/>
        <v>#N/A</v>
      </c>
      <c r="AE284" s="179" t="e">
        <f t="shared" ca="1" si="162"/>
        <v>#N/A</v>
      </c>
      <c r="AF284" s="179" t="e">
        <f t="shared" ca="1" si="157"/>
        <v>#N/A</v>
      </c>
      <c r="AG284" s="179" t="e">
        <f t="shared" ca="1" si="163"/>
        <v>#N/A</v>
      </c>
      <c r="AH284" s="179" t="e">
        <f t="shared" ca="1" si="163"/>
        <v>#N/A</v>
      </c>
    </row>
    <row r="285" spans="1:34" ht="15.75" customHeight="1">
      <c r="A285" s="449" t="s">
        <v>35</v>
      </c>
      <c r="B285" s="449" t="s">
        <v>366</v>
      </c>
      <c r="C285" s="449" t="s">
        <v>679</v>
      </c>
      <c r="D285" s="193"/>
      <c r="E285" s="193"/>
      <c r="F285" s="193"/>
      <c r="T285" s="179" t="e">
        <f t="shared" ca="1" si="158"/>
        <v>#N/A</v>
      </c>
      <c r="U285" s="179" t="e">
        <f t="shared" ca="1" si="159"/>
        <v>#N/A</v>
      </c>
      <c r="V285" s="179" t="e">
        <f t="shared" ca="1" si="159"/>
        <v>#N/A</v>
      </c>
      <c r="W285" s="179" t="e">
        <f t="shared" ca="1" si="154"/>
        <v>#N/A</v>
      </c>
      <c r="X285" s="179" t="e">
        <f t="shared" ca="1" si="160"/>
        <v>#N/A</v>
      </c>
      <c r="Y285" s="179" t="e">
        <f t="shared" ca="1" si="160"/>
        <v>#N/A</v>
      </c>
      <c r="Z285" s="179" t="e">
        <f t="shared" ca="1" si="155"/>
        <v>#N/A</v>
      </c>
      <c r="AA285" s="179" t="e">
        <f t="shared" ca="1" si="161"/>
        <v>#N/A</v>
      </c>
      <c r="AB285" s="179" t="e">
        <f t="shared" ca="1" si="161"/>
        <v>#N/A</v>
      </c>
      <c r="AC285" s="179" t="e">
        <f t="shared" ca="1" si="156"/>
        <v>#N/A</v>
      </c>
      <c r="AD285" s="179" t="e">
        <f t="shared" ca="1" si="162"/>
        <v>#N/A</v>
      </c>
      <c r="AE285" s="179" t="e">
        <f t="shared" ca="1" si="162"/>
        <v>#N/A</v>
      </c>
      <c r="AF285" s="179" t="e">
        <f t="shared" ca="1" si="157"/>
        <v>#N/A</v>
      </c>
      <c r="AG285" s="179" t="e">
        <f t="shared" ca="1" si="163"/>
        <v>#N/A</v>
      </c>
      <c r="AH285" s="179" t="e">
        <f t="shared" ca="1" si="163"/>
        <v>#N/A</v>
      </c>
    </row>
    <row r="286" spans="1:34" ht="15.75" customHeight="1">
      <c r="A286" s="449" t="s">
        <v>43</v>
      </c>
      <c r="B286" s="449" t="s">
        <v>425</v>
      </c>
      <c r="C286" s="449" t="s">
        <v>679</v>
      </c>
      <c r="D286" s="193"/>
      <c r="E286" s="193"/>
      <c r="F286" s="193"/>
      <c r="T286" s="179" t="e">
        <f t="shared" ca="1" si="158"/>
        <v>#N/A</v>
      </c>
      <c r="U286" s="179" t="e">
        <f t="shared" ca="1" si="159"/>
        <v>#N/A</v>
      </c>
      <c r="V286" s="179" t="e">
        <f t="shared" ca="1" si="159"/>
        <v>#N/A</v>
      </c>
      <c r="W286" s="179" t="e">
        <f t="shared" ca="1" si="154"/>
        <v>#N/A</v>
      </c>
      <c r="X286" s="179" t="e">
        <f t="shared" ca="1" si="160"/>
        <v>#N/A</v>
      </c>
      <c r="Y286" s="179" t="e">
        <f t="shared" ca="1" si="160"/>
        <v>#N/A</v>
      </c>
      <c r="Z286" s="179" t="e">
        <f t="shared" ca="1" si="155"/>
        <v>#N/A</v>
      </c>
      <c r="AA286" s="179" t="e">
        <f t="shared" ca="1" si="161"/>
        <v>#N/A</v>
      </c>
      <c r="AB286" s="179" t="e">
        <f t="shared" ca="1" si="161"/>
        <v>#N/A</v>
      </c>
      <c r="AC286" s="179" t="e">
        <f t="shared" ca="1" si="156"/>
        <v>#N/A</v>
      </c>
      <c r="AD286" s="179" t="e">
        <f t="shared" ca="1" si="162"/>
        <v>#N/A</v>
      </c>
      <c r="AE286" s="179" t="e">
        <f t="shared" ca="1" si="162"/>
        <v>#N/A</v>
      </c>
      <c r="AF286" s="179" t="e">
        <f t="shared" ca="1" si="157"/>
        <v>#N/A</v>
      </c>
      <c r="AG286" s="179" t="e">
        <f t="shared" ca="1" si="163"/>
        <v>#N/A</v>
      </c>
      <c r="AH286" s="179" t="e">
        <f t="shared" ca="1" si="163"/>
        <v>#N/A</v>
      </c>
    </row>
    <row r="287" spans="1:34" ht="15.75" customHeight="1">
      <c r="A287" s="449" t="s">
        <v>43</v>
      </c>
      <c r="B287" s="449" t="s">
        <v>1779</v>
      </c>
      <c r="C287" s="449" t="s">
        <v>684</v>
      </c>
      <c r="D287" s="193"/>
      <c r="E287" s="193"/>
      <c r="F287" s="193"/>
      <c r="T287" s="179" t="e">
        <f t="shared" ca="1" si="158"/>
        <v>#N/A</v>
      </c>
      <c r="U287" s="179" t="e">
        <f t="shared" ca="1" si="159"/>
        <v>#N/A</v>
      </c>
      <c r="V287" s="179" t="e">
        <f t="shared" ca="1" si="159"/>
        <v>#N/A</v>
      </c>
      <c r="W287" s="179" t="e">
        <f t="shared" ca="1" si="154"/>
        <v>#N/A</v>
      </c>
      <c r="X287" s="179" t="e">
        <f t="shared" ca="1" si="160"/>
        <v>#N/A</v>
      </c>
      <c r="Y287" s="179" t="e">
        <f t="shared" ca="1" si="160"/>
        <v>#N/A</v>
      </c>
      <c r="Z287" s="179" t="e">
        <f t="shared" ca="1" si="155"/>
        <v>#N/A</v>
      </c>
      <c r="AA287" s="179" t="e">
        <f t="shared" ca="1" si="161"/>
        <v>#N/A</v>
      </c>
      <c r="AB287" s="179" t="e">
        <f t="shared" ca="1" si="161"/>
        <v>#N/A</v>
      </c>
      <c r="AC287" s="179" t="e">
        <f t="shared" ca="1" si="156"/>
        <v>#N/A</v>
      </c>
      <c r="AD287" s="179" t="e">
        <f t="shared" ca="1" si="162"/>
        <v>#N/A</v>
      </c>
      <c r="AE287" s="179" t="e">
        <f t="shared" ca="1" si="162"/>
        <v>#N/A</v>
      </c>
      <c r="AF287" s="179" t="e">
        <f t="shared" ca="1" si="157"/>
        <v>#N/A</v>
      </c>
      <c r="AG287" s="179" t="e">
        <f t="shared" ca="1" si="163"/>
        <v>#N/A</v>
      </c>
      <c r="AH287" s="179" t="e">
        <f t="shared" ca="1" si="163"/>
        <v>#N/A</v>
      </c>
    </row>
    <row r="288" spans="1:34" ht="15.75" customHeight="1">
      <c r="A288" s="449" t="s">
        <v>37</v>
      </c>
      <c r="B288" s="449" t="s">
        <v>1965</v>
      </c>
      <c r="C288" s="449" t="s">
        <v>692</v>
      </c>
      <c r="D288" s="193"/>
      <c r="E288" s="193"/>
      <c r="F288" s="193"/>
      <c r="T288" s="179" t="e">
        <f t="shared" ca="1" si="158"/>
        <v>#N/A</v>
      </c>
      <c r="U288" s="179" t="e">
        <f t="shared" ca="1" si="159"/>
        <v>#N/A</v>
      </c>
      <c r="V288" s="179" t="e">
        <f t="shared" ca="1" si="159"/>
        <v>#N/A</v>
      </c>
      <c r="W288" s="179" t="e">
        <f t="shared" ca="1" si="154"/>
        <v>#N/A</v>
      </c>
      <c r="X288" s="179" t="e">
        <f t="shared" ca="1" si="160"/>
        <v>#N/A</v>
      </c>
      <c r="Y288" s="179" t="e">
        <f t="shared" ca="1" si="160"/>
        <v>#N/A</v>
      </c>
      <c r="Z288" s="179" t="e">
        <f t="shared" ca="1" si="155"/>
        <v>#N/A</v>
      </c>
      <c r="AA288" s="179" t="e">
        <f t="shared" ca="1" si="161"/>
        <v>#N/A</v>
      </c>
      <c r="AB288" s="179" t="e">
        <f t="shared" ca="1" si="161"/>
        <v>#N/A</v>
      </c>
      <c r="AC288" s="179" t="e">
        <f t="shared" ca="1" si="156"/>
        <v>#N/A</v>
      </c>
      <c r="AD288" s="179" t="e">
        <f t="shared" ca="1" si="162"/>
        <v>#N/A</v>
      </c>
      <c r="AE288" s="179" t="e">
        <f t="shared" ca="1" si="162"/>
        <v>#N/A</v>
      </c>
      <c r="AF288" s="179" t="e">
        <f t="shared" ca="1" si="157"/>
        <v>#N/A</v>
      </c>
      <c r="AG288" s="179" t="e">
        <f t="shared" ca="1" si="163"/>
        <v>#N/A</v>
      </c>
      <c r="AH288" s="179" t="e">
        <f t="shared" ca="1" si="163"/>
        <v>#N/A</v>
      </c>
    </row>
    <row r="289" spans="1:34" ht="15.75" customHeight="1">
      <c r="A289" s="449" t="s">
        <v>39</v>
      </c>
      <c r="B289" s="449" t="s">
        <v>526</v>
      </c>
      <c r="C289" s="449" t="s">
        <v>679</v>
      </c>
      <c r="D289" s="193"/>
      <c r="E289" s="193"/>
      <c r="F289" s="193"/>
      <c r="T289" s="179" t="e">
        <f t="shared" ca="1" si="158"/>
        <v>#N/A</v>
      </c>
      <c r="U289" s="179" t="e">
        <f t="shared" ref="U289:V308" ca="1" si="164">T289</f>
        <v>#N/A</v>
      </c>
      <c r="V289" s="179" t="e">
        <f t="shared" ca="1" si="164"/>
        <v>#N/A</v>
      </c>
      <c r="W289" s="179" t="e">
        <f t="shared" ca="1" si="154"/>
        <v>#N/A</v>
      </c>
      <c r="X289" s="179" t="e">
        <f t="shared" ref="X289:Y308" ca="1" si="165">W289</f>
        <v>#N/A</v>
      </c>
      <c r="Y289" s="179" t="e">
        <f t="shared" ca="1" si="165"/>
        <v>#N/A</v>
      </c>
      <c r="Z289" s="179" t="e">
        <f t="shared" ca="1" si="155"/>
        <v>#N/A</v>
      </c>
      <c r="AA289" s="179" t="e">
        <f t="shared" ref="AA289:AB308" ca="1" si="166">Z289</f>
        <v>#N/A</v>
      </c>
      <c r="AB289" s="179" t="e">
        <f t="shared" ca="1" si="166"/>
        <v>#N/A</v>
      </c>
      <c r="AC289" s="179" t="e">
        <f t="shared" ca="1" si="156"/>
        <v>#N/A</v>
      </c>
      <c r="AD289" s="179" t="e">
        <f t="shared" ref="AD289:AE308" ca="1" si="167">AC289</f>
        <v>#N/A</v>
      </c>
      <c r="AE289" s="179" t="e">
        <f t="shared" ca="1" si="167"/>
        <v>#N/A</v>
      </c>
      <c r="AF289" s="179" t="e">
        <f t="shared" ca="1" si="157"/>
        <v>#N/A</v>
      </c>
      <c r="AG289" s="179" t="e">
        <f t="shared" ref="AG289:AH308" ca="1" si="168">AF289</f>
        <v>#N/A</v>
      </c>
      <c r="AH289" s="179" t="e">
        <f t="shared" ca="1" si="168"/>
        <v>#N/A</v>
      </c>
    </row>
    <row r="290" spans="1:34" ht="15.75" customHeight="1">
      <c r="A290" s="449" t="s">
        <v>37</v>
      </c>
      <c r="B290" s="449" t="s">
        <v>1984</v>
      </c>
      <c r="C290" s="449" t="s">
        <v>1672</v>
      </c>
      <c r="D290" s="193"/>
      <c r="E290" s="193"/>
      <c r="F290" s="193"/>
      <c r="T290" s="179" t="e">
        <f t="shared" ca="1" si="158"/>
        <v>#N/A</v>
      </c>
      <c r="U290" s="179" t="e">
        <f t="shared" ca="1" si="164"/>
        <v>#N/A</v>
      </c>
      <c r="V290" s="179" t="e">
        <f t="shared" ca="1" si="164"/>
        <v>#N/A</v>
      </c>
      <c r="W290" s="179" t="e">
        <f t="shared" ca="1" si="154"/>
        <v>#N/A</v>
      </c>
      <c r="X290" s="179" t="e">
        <f t="shared" ca="1" si="165"/>
        <v>#N/A</v>
      </c>
      <c r="Y290" s="179" t="e">
        <f t="shared" ca="1" si="165"/>
        <v>#N/A</v>
      </c>
      <c r="Z290" s="179" t="e">
        <f t="shared" ca="1" si="155"/>
        <v>#N/A</v>
      </c>
      <c r="AA290" s="179" t="e">
        <f t="shared" ca="1" si="166"/>
        <v>#N/A</v>
      </c>
      <c r="AB290" s="179" t="e">
        <f t="shared" ca="1" si="166"/>
        <v>#N/A</v>
      </c>
      <c r="AC290" s="179" t="e">
        <f t="shared" ca="1" si="156"/>
        <v>#N/A</v>
      </c>
      <c r="AD290" s="179" t="e">
        <f t="shared" ca="1" si="167"/>
        <v>#N/A</v>
      </c>
      <c r="AE290" s="179" t="e">
        <f t="shared" ca="1" si="167"/>
        <v>#N/A</v>
      </c>
      <c r="AF290" s="179" t="e">
        <f t="shared" ca="1" si="157"/>
        <v>#N/A</v>
      </c>
      <c r="AG290" s="179" t="e">
        <f t="shared" ca="1" si="168"/>
        <v>#N/A</v>
      </c>
      <c r="AH290" s="179" t="e">
        <f t="shared" ca="1" si="168"/>
        <v>#N/A</v>
      </c>
    </row>
    <row r="291" spans="1:34" ht="15.75" customHeight="1">
      <c r="A291" s="449" t="s">
        <v>39</v>
      </c>
      <c r="B291" s="449" t="s">
        <v>527</v>
      </c>
      <c r="C291" s="449" t="s">
        <v>679</v>
      </c>
      <c r="D291" s="193"/>
      <c r="E291" s="193"/>
      <c r="F291" s="193"/>
      <c r="T291" s="179" t="e">
        <f t="shared" ca="1" si="158"/>
        <v>#N/A</v>
      </c>
      <c r="U291" s="179" t="e">
        <f t="shared" ca="1" si="164"/>
        <v>#N/A</v>
      </c>
      <c r="V291" s="179" t="e">
        <f t="shared" ca="1" si="164"/>
        <v>#N/A</v>
      </c>
      <c r="W291" s="179" t="e">
        <f t="shared" ca="1" si="154"/>
        <v>#N/A</v>
      </c>
      <c r="X291" s="179" t="e">
        <f t="shared" ca="1" si="165"/>
        <v>#N/A</v>
      </c>
      <c r="Y291" s="179" t="e">
        <f t="shared" ca="1" si="165"/>
        <v>#N/A</v>
      </c>
      <c r="Z291" s="179" t="e">
        <f t="shared" ca="1" si="155"/>
        <v>#N/A</v>
      </c>
      <c r="AA291" s="179" t="e">
        <f t="shared" ca="1" si="166"/>
        <v>#N/A</v>
      </c>
      <c r="AB291" s="179" t="e">
        <f t="shared" ca="1" si="166"/>
        <v>#N/A</v>
      </c>
      <c r="AC291" s="179" t="e">
        <f t="shared" ca="1" si="156"/>
        <v>#N/A</v>
      </c>
      <c r="AD291" s="179" t="e">
        <f t="shared" ca="1" si="167"/>
        <v>#N/A</v>
      </c>
      <c r="AE291" s="179" t="e">
        <f t="shared" ca="1" si="167"/>
        <v>#N/A</v>
      </c>
      <c r="AF291" s="179" t="e">
        <f t="shared" ca="1" si="157"/>
        <v>#N/A</v>
      </c>
      <c r="AG291" s="179" t="e">
        <f t="shared" ca="1" si="168"/>
        <v>#N/A</v>
      </c>
      <c r="AH291" s="179" t="e">
        <f t="shared" ca="1" si="168"/>
        <v>#N/A</v>
      </c>
    </row>
    <row r="292" spans="1:34" ht="15.75" customHeight="1">
      <c r="A292" s="449" t="s">
        <v>39</v>
      </c>
      <c r="B292" s="449" t="s">
        <v>1857</v>
      </c>
      <c r="C292" s="449" t="s">
        <v>1477</v>
      </c>
      <c r="D292" s="193"/>
      <c r="E292" s="193"/>
      <c r="F292" s="193"/>
      <c r="T292" s="179" t="e">
        <f t="shared" ca="1" si="158"/>
        <v>#N/A</v>
      </c>
      <c r="U292" s="179" t="e">
        <f t="shared" ca="1" si="164"/>
        <v>#N/A</v>
      </c>
      <c r="V292" s="179" t="e">
        <f t="shared" ca="1" si="164"/>
        <v>#N/A</v>
      </c>
      <c r="W292" s="179" t="e">
        <f t="shared" ca="1" si="154"/>
        <v>#N/A</v>
      </c>
      <c r="X292" s="179" t="e">
        <f t="shared" ca="1" si="165"/>
        <v>#N/A</v>
      </c>
      <c r="Y292" s="179" t="e">
        <f t="shared" ca="1" si="165"/>
        <v>#N/A</v>
      </c>
      <c r="Z292" s="179" t="e">
        <f t="shared" ca="1" si="155"/>
        <v>#N/A</v>
      </c>
      <c r="AA292" s="179" t="e">
        <f t="shared" ca="1" si="166"/>
        <v>#N/A</v>
      </c>
      <c r="AB292" s="179" t="e">
        <f t="shared" ca="1" si="166"/>
        <v>#N/A</v>
      </c>
      <c r="AC292" s="179" t="e">
        <f t="shared" ca="1" si="156"/>
        <v>#N/A</v>
      </c>
      <c r="AD292" s="179" t="e">
        <f t="shared" ca="1" si="167"/>
        <v>#N/A</v>
      </c>
      <c r="AE292" s="179" t="e">
        <f t="shared" ca="1" si="167"/>
        <v>#N/A</v>
      </c>
      <c r="AF292" s="179" t="e">
        <f t="shared" ca="1" si="157"/>
        <v>#N/A</v>
      </c>
      <c r="AG292" s="179" t="e">
        <f t="shared" ca="1" si="168"/>
        <v>#N/A</v>
      </c>
      <c r="AH292" s="179" t="e">
        <f t="shared" ca="1" si="168"/>
        <v>#N/A</v>
      </c>
    </row>
    <row r="293" spans="1:34" ht="15.75" customHeight="1">
      <c r="A293" s="449" t="s">
        <v>43</v>
      </c>
      <c r="B293" s="449" t="s">
        <v>1986</v>
      </c>
      <c r="C293" s="449" t="s">
        <v>1674</v>
      </c>
      <c r="D293" s="193"/>
      <c r="E293" s="193"/>
      <c r="F293" s="193"/>
      <c r="T293" s="179" t="e">
        <f t="shared" ca="1" si="158"/>
        <v>#N/A</v>
      </c>
      <c r="U293" s="179" t="e">
        <f t="shared" ca="1" si="164"/>
        <v>#N/A</v>
      </c>
      <c r="V293" s="179" t="e">
        <f t="shared" ca="1" si="164"/>
        <v>#N/A</v>
      </c>
      <c r="W293" s="179" t="e">
        <f t="shared" ca="1" si="154"/>
        <v>#N/A</v>
      </c>
      <c r="X293" s="179" t="e">
        <f t="shared" ca="1" si="165"/>
        <v>#N/A</v>
      </c>
      <c r="Y293" s="179" t="e">
        <f t="shared" ca="1" si="165"/>
        <v>#N/A</v>
      </c>
      <c r="Z293" s="179" t="e">
        <f t="shared" ca="1" si="155"/>
        <v>#N/A</v>
      </c>
      <c r="AA293" s="179" t="e">
        <f t="shared" ca="1" si="166"/>
        <v>#N/A</v>
      </c>
      <c r="AB293" s="179" t="e">
        <f t="shared" ca="1" si="166"/>
        <v>#N/A</v>
      </c>
      <c r="AC293" s="179" t="e">
        <f t="shared" ca="1" si="156"/>
        <v>#N/A</v>
      </c>
      <c r="AD293" s="179" t="e">
        <f t="shared" ca="1" si="167"/>
        <v>#N/A</v>
      </c>
      <c r="AE293" s="179" t="e">
        <f t="shared" ca="1" si="167"/>
        <v>#N/A</v>
      </c>
      <c r="AF293" s="179" t="e">
        <f t="shared" ca="1" si="157"/>
        <v>#N/A</v>
      </c>
      <c r="AG293" s="179" t="e">
        <f t="shared" ca="1" si="168"/>
        <v>#N/A</v>
      </c>
      <c r="AH293" s="179" t="e">
        <f t="shared" ca="1" si="168"/>
        <v>#N/A</v>
      </c>
    </row>
    <row r="294" spans="1:34" ht="15.75" customHeight="1">
      <c r="A294" s="449" t="s">
        <v>37</v>
      </c>
      <c r="B294" s="449" t="s">
        <v>1694</v>
      </c>
      <c r="C294" s="449" t="s">
        <v>1672</v>
      </c>
      <c r="D294" s="193"/>
      <c r="E294" s="193"/>
      <c r="F294" s="193"/>
      <c r="T294" s="179" t="e">
        <f t="shared" ca="1" si="158"/>
        <v>#N/A</v>
      </c>
      <c r="U294" s="179" t="e">
        <f t="shared" ca="1" si="164"/>
        <v>#N/A</v>
      </c>
      <c r="V294" s="179" t="e">
        <f t="shared" ca="1" si="164"/>
        <v>#N/A</v>
      </c>
      <c r="W294" s="179" t="e">
        <f t="shared" ca="1" si="154"/>
        <v>#N/A</v>
      </c>
      <c r="X294" s="179" t="e">
        <f t="shared" ca="1" si="165"/>
        <v>#N/A</v>
      </c>
      <c r="Y294" s="179" t="e">
        <f t="shared" ca="1" si="165"/>
        <v>#N/A</v>
      </c>
      <c r="Z294" s="179" t="e">
        <f t="shared" ca="1" si="155"/>
        <v>#N/A</v>
      </c>
      <c r="AA294" s="179" t="e">
        <f t="shared" ca="1" si="166"/>
        <v>#N/A</v>
      </c>
      <c r="AB294" s="179" t="e">
        <f t="shared" ca="1" si="166"/>
        <v>#N/A</v>
      </c>
      <c r="AC294" s="179" t="e">
        <f t="shared" ca="1" si="156"/>
        <v>#N/A</v>
      </c>
      <c r="AD294" s="179" t="e">
        <f t="shared" ca="1" si="167"/>
        <v>#N/A</v>
      </c>
      <c r="AE294" s="179" t="e">
        <f t="shared" ca="1" si="167"/>
        <v>#N/A</v>
      </c>
      <c r="AF294" s="179" t="e">
        <f t="shared" ca="1" si="157"/>
        <v>#N/A</v>
      </c>
      <c r="AG294" s="179" t="e">
        <f t="shared" ca="1" si="168"/>
        <v>#N/A</v>
      </c>
      <c r="AH294" s="179" t="e">
        <f t="shared" ca="1" si="168"/>
        <v>#N/A</v>
      </c>
    </row>
    <row r="295" spans="1:34" ht="15.75" customHeight="1">
      <c r="A295" s="449" t="s">
        <v>37</v>
      </c>
      <c r="B295" s="449" t="s">
        <v>528</v>
      </c>
      <c r="C295" s="449" t="s">
        <v>685</v>
      </c>
      <c r="D295" s="193"/>
      <c r="E295" s="193"/>
      <c r="F295" s="193"/>
      <c r="T295" s="179" t="e">
        <f t="shared" ca="1" si="158"/>
        <v>#N/A</v>
      </c>
      <c r="U295" s="179" t="e">
        <f t="shared" ca="1" si="164"/>
        <v>#N/A</v>
      </c>
      <c r="V295" s="179" t="e">
        <f t="shared" ca="1" si="164"/>
        <v>#N/A</v>
      </c>
      <c r="W295" s="179" t="e">
        <f t="shared" ca="1" si="154"/>
        <v>#N/A</v>
      </c>
      <c r="X295" s="179" t="e">
        <f t="shared" ca="1" si="165"/>
        <v>#N/A</v>
      </c>
      <c r="Y295" s="179" t="e">
        <f t="shared" ca="1" si="165"/>
        <v>#N/A</v>
      </c>
      <c r="Z295" s="179" t="e">
        <f t="shared" ca="1" si="155"/>
        <v>#N/A</v>
      </c>
      <c r="AA295" s="179" t="e">
        <f t="shared" ca="1" si="166"/>
        <v>#N/A</v>
      </c>
      <c r="AB295" s="179" t="e">
        <f t="shared" ca="1" si="166"/>
        <v>#N/A</v>
      </c>
      <c r="AC295" s="179" t="e">
        <f t="shared" ca="1" si="156"/>
        <v>#N/A</v>
      </c>
      <c r="AD295" s="179" t="e">
        <f t="shared" ca="1" si="167"/>
        <v>#N/A</v>
      </c>
      <c r="AE295" s="179" t="e">
        <f t="shared" ca="1" si="167"/>
        <v>#N/A</v>
      </c>
      <c r="AF295" s="179" t="e">
        <f t="shared" ca="1" si="157"/>
        <v>#N/A</v>
      </c>
      <c r="AG295" s="179" t="e">
        <f t="shared" ca="1" si="168"/>
        <v>#N/A</v>
      </c>
      <c r="AH295" s="179" t="e">
        <f t="shared" ca="1" si="168"/>
        <v>#N/A</v>
      </c>
    </row>
    <row r="296" spans="1:34" ht="15.75" customHeight="1">
      <c r="A296" s="449" t="s">
        <v>37</v>
      </c>
      <c r="B296" s="449" t="s">
        <v>529</v>
      </c>
      <c r="C296" s="449" t="s">
        <v>676</v>
      </c>
      <c r="D296" s="193"/>
      <c r="E296" s="193"/>
      <c r="F296" s="193"/>
      <c r="T296" s="179" t="e">
        <f t="shared" ca="1" si="158"/>
        <v>#N/A</v>
      </c>
      <c r="U296" s="179" t="e">
        <f t="shared" ca="1" si="164"/>
        <v>#N/A</v>
      </c>
      <c r="V296" s="179" t="e">
        <f t="shared" ca="1" si="164"/>
        <v>#N/A</v>
      </c>
      <c r="W296" s="179" t="e">
        <f t="shared" ca="1" si="154"/>
        <v>#N/A</v>
      </c>
      <c r="X296" s="179" t="e">
        <f t="shared" ca="1" si="165"/>
        <v>#N/A</v>
      </c>
      <c r="Y296" s="179" t="e">
        <f t="shared" ca="1" si="165"/>
        <v>#N/A</v>
      </c>
      <c r="Z296" s="179" t="e">
        <f t="shared" ca="1" si="155"/>
        <v>#N/A</v>
      </c>
      <c r="AA296" s="179" t="e">
        <f t="shared" ca="1" si="166"/>
        <v>#N/A</v>
      </c>
      <c r="AB296" s="179" t="e">
        <f t="shared" ca="1" si="166"/>
        <v>#N/A</v>
      </c>
      <c r="AC296" s="179" t="e">
        <f t="shared" ca="1" si="156"/>
        <v>#N/A</v>
      </c>
      <c r="AD296" s="179" t="e">
        <f t="shared" ca="1" si="167"/>
        <v>#N/A</v>
      </c>
      <c r="AE296" s="179" t="e">
        <f t="shared" ca="1" si="167"/>
        <v>#N/A</v>
      </c>
      <c r="AF296" s="179" t="e">
        <f t="shared" ca="1" si="157"/>
        <v>#N/A</v>
      </c>
      <c r="AG296" s="179" t="e">
        <f t="shared" ca="1" si="168"/>
        <v>#N/A</v>
      </c>
      <c r="AH296" s="179" t="e">
        <f t="shared" ca="1" si="168"/>
        <v>#N/A</v>
      </c>
    </row>
    <row r="297" spans="1:34" ht="15.75" customHeight="1">
      <c r="A297" s="449" t="s">
        <v>39</v>
      </c>
      <c r="B297" s="449" t="s">
        <v>530</v>
      </c>
      <c r="C297" s="449" t="s">
        <v>688</v>
      </c>
      <c r="D297" s="193"/>
      <c r="E297" s="193"/>
      <c r="F297" s="193"/>
      <c r="T297" s="179" t="e">
        <f t="shared" ca="1" si="158"/>
        <v>#N/A</v>
      </c>
      <c r="U297" s="179" t="e">
        <f t="shared" ca="1" si="164"/>
        <v>#N/A</v>
      </c>
      <c r="V297" s="179" t="e">
        <f t="shared" ca="1" si="164"/>
        <v>#N/A</v>
      </c>
      <c r="W297" s="179" t="e">
        <f t="shared" ca="1" si="154"/>
        <v>#N/A</v>
      </c>
      <c r="X297" s="179" t="e">
        <f t="shared" ca="1" si="165"/>
        <v>#N/A</v>
      </c>
      <c r="Y297" s="179" t="e">
        <f t="shared" ca="1" si="165"/>
        <v>#N/A</v>
      </c>
      <c r="Z297" s="179" t="e">
        <f t="shared" ca="1" si="155"/>
        <v>#N/A</v>
      </c>
      <c r="AA297" s="179" t="e">
        <f t="shared" ca="1" si="166"/>
        <v>#N/A</v>
      </c>
      <c r="AB297" s="179" t="e">
        <f t="shared" ca="1" si="166"/>
        <v>#N/A</v>
      </c>
      <c r="AC297" s="179" t="e">
        <f t="shared" ca="1" si="156"/>
        <v>#N/A</v>
      </c>
      <c r="AD297" s="179" t="e">
        <f t="shared" ca="1" si="167"/>
        <v>#N/A</v>
      </c>
      <c r="AE297" s="179" t="e">
        <f t="shared" ca="1" si="167"/>
        <v>#N/A</v>
      </c>
      <c r="AF297" s="179" t="e">
        <f t="shared" ca="1" si="157"/>
        <v>#N/A</v>
      </c>
      <c r="AG297" s="179" t="e">
        <f t="shared" ca="1" si="168"/>
        <v>#N/A</v>
      </c>
      <c r="AH297" s="179" t="e">
        <f t="shared" ca="1" si="168"/>
        <v>#N/A</v>
      </c>
    </row>
    <row r="298" spans="1:34" ht="15.75" customHeight="1">
      <c r="A298" s="449" t="s">
        <v>37</v>
      </c>
      <c r="B298" s="449" t="s">
        <v>531</v>
      </c>
      <c r="C298" s="449" t="s">
        <v>685</v>
      </c>
      <c r="D298" s="193"/>
      <c r="E298" s="193"/>
      <c r="F298" s="193"/>
      <c r="T298" s="179" t="e">
        <f t="shared" ca="1" si="158"/>
        <v>#N/A</v>
      </c>
      <c r="U298" s="179" t="e">
        <f t="shared" ca="1" si="164"/>
        <v>#N/A</v>
      </c>
      <c r="V298" s="179" t="e">
        <f t="shared" ca="1" si="164"/>
        <v>#N/A</v>
      </c>
      <c r="W298" s="179" t="e">
        <f t="shared" ca="1" si="154"/>
        <v>#N/A</v>
      </c>
      <c r="X298" s="179" t="e">
        <f t="shared" ca="1" si="165"/>
        <v>#N/A</v>
      </c>
      <c r="Y298" s="179" t="e">
        <f t="shared" ca="1" si="165"/>
        <v>#N/A</v>
      </c>
      <c r="Z298" s="179" t="e">
        <f t="shared" ca="1" si="155"/>
        <v>#N/A</v>
      </c>
      <c r="AA298" s="179" t="e">
        <f t="shared" ca="1" si="166"/>
        <v>#N/A</v>
      </c>
      <c r="AB298" s="179" t="e">
        <f t="shared" ca="1" si="166"/>
        <v>#N/A</v>
      </c>
      <c r="AC298" s="179" t="e">
        <f t="shared" ca="1" si="156"/>
        <v>#N/A</v>
      </c>
      <c r="AD298" s="179" t="e">
        <f t="shared" ca="1" si="167"/>
        <v>#N/A</v>
      </c>
      <c r="AE298" s="179" t="e">
        <f t="shared" ca="1" si="167"/>
        <v>#N/A</v>
      </c>
      <c r="AF298" s="179" t="e">
        <f t="shared" ca="1" si="157"/>
        <v>#N/A</v>
      </c>
      <c r="AG298" s="179" t="e">
        <f t="shared" ca="1" si="168"/>
        <v>#N/A</v>
      </c>
      <c r="AH298" s="179" t="e">
        <f t="shared" ca="1" si="168"/>
        <v>#N/A</v>
      </c>
    </row>
    <row r="299" spans="1:34" ht="15.75" customHeight="1">
      <c r="A299" s="449" t="s">
        <v>39</v>
      </c>
      <c r="B299" s="449" t="s">
        <v>532</v>
      </c>
      <c r="C299" s="449" t="s">
        <v>687</v>
      </c>
      <c r="D299" s="193"/>
      <c r="E299" s="193"/>
      <c r="F299" s="193"/>
      <c r="T299" s="179" t="e">
        <f t="shared" ca="1" si="158"/>
        <v>#N/A</v>
      </c>
      <c r="U299" s="179" t="e">
        <f t="shared" ca="1" si="164"/>
        <v>#N/A</v>
      </c>
      <c r="V299" s="179" t="e">
        <f t="shared" ca="1" si="164"/>
        <v>#N/A</v>
      </c>
      <c r="W299" s="179" t="e">
        <f t="shared" ca="1" si="154"/>
        <v>#N/A</v>
      </c>
      <c r="X299" s="179" t="e">
        <f t="shared" ca="1" si="165"/>
        <v>#N/A</v>
      </c>
      <c r="Y299" s="179" t="e">
        <f t="shared" ca="1" si="165"/>
        <v>#N/A</v>
      </c>
      <c r="Z299" s="179" t="e">
        <f t="shared" ca="1" si="155"/>
        <v>#N/A</v>
      </c>
      <c r="AA299" s="179" t="e">
        <f t="shared" ca="1" si="166"/>
        <v>#N/A</v>
      </c>
      <c r="AB299" s="179" t="e">
        <f t="shared" ca="1" si="166"/>
        <v>#N/A</v>
      </c>
      <c r="AC299" s="179" t="e">
        <f t="shared" ca="1" si="156"/>
        <v>#N/A</v>
      </c>
      <c r="AD299" s="179" t="e">
        <f t="shared" ca="1" si="167"/>
        <v>#N/A</v>
      </c>
      <c r="AE299" s="179" t="e">
        <f t="shared" ca="1" si="167"/>
        <v>#N/A</v>
      </c>
      <c r="AF299" s="179" t="e">
        <f t="shared" ca="1" si="157"/>
        <v>#N/A</v>
      </c>
      <c r="AG299" s="179" t="e">
        <f t="shared" ca="1" si="168"/>
        <v>#N/A</v>
      </c>
      <c r="AH299" s="179" t="e">
        <f t="shared" ca="1" si="168"/>
        <v>#N/A</v>
      </c>
    </row>
    <row r="300" spans="1:34" ht="15.75" customHeight="1">
      <c r="A300" s="449" t="s">
        <v>43</v>
      </c>
      <c r="B300" s="449" t="s">
        <v>1989</v>
      </c>
      <c r="C300" s="449" t="s">
        <v>692</v>
      </c>
      <c r="D300" s="193"/>
      <c r="E300" s="193"/>
      <c r="F300" s="193"/>
      <c r="T300" s="179" t="e">
        <f t="shared" ca="1" si="158"/>
        <v>#N/A</v>
      </c>
      <c r="U300" s="179" t="e">
        <f t="shared" ca="1" si="164"/>
        <v>#N/A</v>
      </c>
      <c r="V300" s="179" t="e">
        <f t="shared" ca="1" si="164"/>
        <v>#N/A</v>
      </c>
      <c r="W300" s="179" t="e">
        <f t="shared" ca="1" si="154"/>
        <v>#N/A</v>
      </c>
      <c r="X300" s="179" t="e">
        <f t="shared" ca="1" si="165"/>
        <v>#N/A</v>
      </c>
      <c r="Y300" s="179" t="e">
        <f t="shared" ca="1" si="165"/>
        <v>#N/A</v>
      </c>
      <c r="Z300" s="179" t="e">
        <f t="shared" ca="1" si="155"/>
        <v>#N/A</v>
      </c>
      <c r="AA300" s="179" t="e">
        <f t="shared" ca="1" si="166"/>
        <v>#N/A</v>
      </c>
      <c r="AB300" s="179" t="e">
        <f t="shared" ca="1" si="166"/>
        <v>#N/A</v>
      </c>
      <c r="AC300" s="179" t="e">
        <f t="shared" ca="1" si="156"/>
        <v>#N/A</v>
      </c>
      <c r="AD300" s="179" t="e">
        <f t="shared" ca="1" si="167"/>
        <v>#N/A</v>
      </c>
      <c r="AE300" s="179" t="e">
        <f t="shared" ca="1" si="167"/>
        <v>#N/A</v>
      </c>
      <c r="AF300" s="179" t="e">
        <f t="shared" ca="1" si="157"/>
        <v>#N/A</v>
      </c>
      <c r="AG300" s="179" t="e">
        <f t="shared" ca="1" si="168"/>
        <v>#N/A</v>
      </c>
      <c r="AH300" s="179" t="e">
        <f t="shared" ca="1" si="168"/>
        <v>#N/A</v>
      </c>
    </row>
    <row r="301" spans="1:34" ht="15.75" customHeight="1">
      <c r="A301" s="449" t="s">
        <v>35</v>
      </c>
      <c r="B301" s="449" t="s">
        <v>370</v>
      </c>
      <c r="C301" s="449" t="s">
        <v>695</v>
      </c>
      <c r="D301" s="193"/>
      <c r="E301" s="193"/>
      <c r="F301" s="193"/>
      <c r="T301" s="179" t="e">
        <f t="shared" ca="1" si="158"/>
        <v>#N/A</v>
      </c>
      <c r="U301" s="179" t="e">
        <f t="shared" ca="1" si="164"/>
        <v>#N/A</v>
      </c>
      <c r="V301" s="179" t="e">
        <f t="shared" ca="1" si="164"/>
        <v>#N/A</v>
      </c>
      <c r="W301" s="179" t="e">
        <f t="shared" ca="1" si="154"/>
        <v>#N/A</v>
      </c>
      <c r="X301" s="179" t="e">
        <f t="shared" ca="1" si="165"/>
        <v>#N/A</v>
      </c>
      <c r="Y301" s="179" t="e">
        <f t="shared" ca="1" si="165"/>
        <v>#N/A</v>
      </c>
      <c r="Z301" s="179" t="e">
        <f t="shared" ca="1" si="155"/>
        <v>#N/A</v>
      </c>
      <c r="AA301" s="179" t="e">
        <f t="shared" ca="1" si="166"/>
        <v>#N/A</v>
      </c>
      <c r="AB301" s="179" t="e">
        <f t="shared" ca="1" si="166"/>
        <v>#N/A</v>
      </c>
      <c r="AC301" s="179" t="e">
        <f t="shared" ca="1" si="156"/>
        <v>#N/A</v>
      </c>
      <c r="AD301" s="179" t="e">
        <f t="shared" ca="1" si="167"/>
        <v>#N/A</v>
      </c>
      <c r="AE301" s="179" t="e">
        <f t="shared" ca="1" si="167"/>
        <v>#N/A</v>
      </c>
      <c r="AF301" s="179" t="e">
        <f t="shared" ca="1" si="157"/>
        <v>#N/A</v>
      </c>
      <c r="AG301" s="179" t="e">
        <f t="shared" ca="1" si="168"/>
        <v>#N/A</v>
      </c>
      <c r="AH301" s="179" t="e">
        <f t="shared" ca="1" si="168"/>
        <v>#N/A</v>
      </c>
    </row>
    <row r="302" spans="1:34" ht="15.75" customHeight="1">
      <c r="A302" s="449" t="s">
        <v>39</v>
      </c>
      <c r="B302" s="449" t="s">
        <v>1307</v>
      </c>
      <c r="C302" s="449" t="s">
        <v>678</v>
      </c>
      <c r="D302" s="193"/>
      <c r="E302" s="193"/>
      <c r="F302" s="193"/>
      <c r="T302" s="179" t="e">
        <f t="shared" ca="1" si="158"/>
        <v>#N/A</v>
      </c>
      <c r="U302" s="179" t="e">
        <f t="shared" ca="1" si="164"/>
        <v>#N/A</v>
      </c>
      <c r="V302" s="179" t="e">
        <f t="shared" ca="1" si="164"/>
        <v>#N/A</v>
      </c>
      <c r="W302" s="179" t="e">
        <f t="shared" ca="1" si="154"/>
        <v>#N/A</v>
      </c>
      <c r="X302" s="179" t="e">
        <f t="shared" ca="1" si="165"/>
        <v>#N/A</v>
      </c>
      <c r="Y302" s="179" t="e">
        <f t="shared" ca="1" si="165"/>
        <v>#N/A</v>
      </c>
      <c r="Z302" s="179" t="e">
        <f t="shared" ca="1" si="155"/>
        <v>#N/A</v>
      </c>
      <c r="AA302" s="179" t="e">
        <f t="shared" ca="1" si="166"/>
        <v>#N/A</v>
      </c>
      <c r="AB302" s="179" t="e">
        <f t="shared" ca="1" si="166"/>
        <v>#N/A</v>
      </c>
      <c r="AC302" s="179" t="e">
        <f t="shared" ca="1" si="156"/>
        <v>#N/A</v>
      </c>
      <c r="AD302" s="179" t="e">
        <f t="shared" ca="1" si="167"/>
        <v>#N/A</v>
      </c>
      <c r="AE302" s="179" t="e">
        <f t="shared" ca="1" si="167"/>
        <v>#N/A</v>
      </c>
      <c r="AF302" s="179" t="e">
        <f t="shared" ca="1" si="157"/>
        <v>#N/A</v>
      </c>
      <c r="AG302" s="179" t="e">
        <f t="shared" ca="1" si="168"/>
        <v>#N/A</v>
      </c>
      <c r="AH302" s="179" t="e">
        <f t="shared" ca="1" si="168"/>
        <v>#N/A</v>
      </c>
    </row>
    <row r="303" spans="1:34" ht="15.75" customHeight="1">
      <c r="A303" s="449" t="s">
        <v>43</v>
      </c>
      <c r="B303" s="449" t="s">
        <v>1287</v>
      </c>
      <c r="C303" s="449" t="s">
        <v>1672</v>
      </c>
      <c r="D303" s="193"/>
      <c r="E303" s="193"/>
      <c r="F303" s="193"/>
      <c r="T303" s="179" t="e">
        <f t="shared" ca="1" si="158"/>
        <v>#N/A</v>
      </c>
      <c r="U303" s="179" t="e">
        <f t="shared" ca="1" si="164"/>
        <v>#N/A</v>
      </c>
      <c r="V303" s="179" t="e">
        <f t="shared" ca="1" si="164"/>
        <v>#N/A</v>
      </c>
      <c r="W303" s="179" t="e">
        <f t="shared" ca="1" si="154"/>
        <v>#N/A</v>
      </c>
      <c r="X303" s="179" t="e">
        <f t="shared" ca="1" si="165"/>
        <v>#N/A</v>
      </c>
      <c r="Y303" s="179" t="e">
        <f t="shared" ca="1" si="165"/>
        <v>#N/A</v>
      </c>
      <c r="Z303" s="179" t="e">
        <f t="shared" ca="1" si="155"/>
        <v>#N/A</v>
      </c>
      <c r="AA303" s="179" t="e">
        <f t="shared" ca="1" si="166"/>
        <v>#N/A</v>
      </c>
      <c r="AB303" s="179" t="e">
        <f t="shared" ca="1" si="166"/>
        <v>#N/A</v>
      </c>
      <c r="AC303" s="179" t="e">
        <f t="shared" ca="1" si="156"/>
        <v>#N/A</v>
      </c>
      <c r="AD303" s="179" t="e">
        <f t="shared" ca="1" si="167"/>
        <v>#N/A</v>
      </c>
      <c r="AE303" s="179" t="e">
        <f t="shared" ca="1" si="167"/>
        <v>#N/A</v>
      </c>
      <c r="AF303" s="179" t="e">
        <f t="shared" ca="1" si="157"/>
        <v>#N/A</v>
      </c>
      <c r="AG303" s="179" t="e">
        <f t="shared" ca="1" si="168"/>
        <v>#N/A</v>
      </c>
      <c r="AH303" s="179" t="e">
        <f t="shared" ca="1" si="168"/>
        <v>#N/A</v>
      </c>
    </row>
    <row r="304" spans="1:34" ht="15.75" customHeight="1">
      <c r="A304" s="449" t="s">
        <v>39</v>
      </c>
      <c r="B304" s="449" t="s">
        <v>1740</v>
      </c>
      <c r="C304" s="449" t="s">
        <v>682</v>
      </c>
      <c r="D304" s="193"/>
      <c r="E304" s="193"/>
      <c r="F304" s="193"/>
      <c r="T304" s="179" t="e">
        <f t="shared" ca="1" si="158"/>
        <v>#N/A</v>
      </c>
      <c r="U304" s="179" t="e">
        <f t="shared" ca="1" si="164"/>
        <v>#N/A</v>
      </c>
      <c r="V304" s="179" t="e">
        <f t="shared" ca="1" si="164"/>
        <v>#N/A</v>
      </c>
      <c r="W304" s="179" t="e">
        <f t="shared" ca="1" si="154"/>
        <v>#N/A</v>
      </c>
      <c r="X304" s="179" t="e">
        <f t="shared" ca="1" si="165"/>
        <v>#N/A</v>
      </c>
      <c r="Y304" s="179" t="e">
        <f t="shared" ca="1" si="165"/>
        <v>#N/A</v>
      </c>
      <c r="Z304" s="179" t="e">
        <f t="shared" ca="1" si="155"/>
        <v>#N/A</v>
      </c>
      <c r="AA304" s="179" t="e">
        <f t="shared" ca="1" si="166"/>
        <v>#N/A</v>
      </c>
      <c r="AB304" s="179" t="e">
        <f t="shared" ca="1" si="166"/>
        <v>#N/A</v>
      </c>
      <c r="AC304" s="179" t="e">
        <f t="shared" ca="1" si="156"/>
        <v>#N/A</v>
      </c>
      <c r="AD304" s="179" t="e">
        <f t="shared" ca="1" si="167"/>
        <v>#N/A</v>
      </c>
      <c r="AE304" s="179" t="e">
        <f t="shared" ca="1" si="167"/>
        <v>#N/A</v>
      </c>
      <c r="AF304" s="179" t="e">
        <f t="shared" ca="1" si="157"/>
        <v>#N/A</v>
      </c>
      <c r="AG304" s="179" t="e">
        <f t="shared" ca="1" si="168"/>
        <v>#N/A</v>
      </c>
      <c r="AH304" s="179" t="e">
        <f t="shared" ca="1" si="168"/>
        <v>#N/A</v>
      </c>
    </row>
    <row r="305" spans="1:34" ht="15.75" customHeight="1">
      <c r="A305" s="449" t="s">
        <v>37</v>
      </c>
      <c r="B305" s="449" t="s">
        <v>1696</v>
      </c>
      <c r="C305" s="449" t="s">
        <v>1672</v>
      </c>
      <c r="D305" s="193"/>
      <c r="E305" s="193"/>
      <c r="F305" s="193"/>
      <c r="T305" s="179" t="e">
        <f t="shared" ca="1" si="158"/>
        <v>#N/A</v>
      </c>
      <c r="U305" s="179" t="e">
        <f t="shared" ca="1" si="164"/>
        <v>#N/A</v>
      </c>
      <c r="V305" s="179" t="e">
        <f t="shared" ca="1" si="164"/>
        <v>#N/A</v>
      </c>
      <c r="W305" s="179" t="e">
        <f t="shared" ca="1" si="154"/>
        <v>#N/A</v>
      </c>
      <c r="X305" s="179" t="e">
        <f t="shared" ca="1" si="165"/>
        <v>#N/A</v>
      </c>
      <c r="Y305" s="179" t="e">
        <f t="shared" ca="1" si="165"/>
        <v>#N/A</v>
      </c>
      <c r="Z305" s="179" t="e">
        <f t="shared" ca="1" si="155"/>
        <v>#N/A</v>
      </c>
      <c r="AA305" s="179" t="e">
        <f t="shared" ca="1" si="166"/>
        <v>#N/A</v>
      </c>
      <c r="AB305" s="179" t="e">
        <f t="shared" ca="1" si="166"/>
        <v>#N/A</v>
      </c>
      <c r="AC305" s="179" t="e">
        <f t="shared" ca="1" si="156"/>
        <v>#N/A</v>
      </c>
      <c r="AD305" s="179" t="e">
        <f t="shared" ca="1" si="167"/>
        <v>#N/A</v>
      </c>
      <c r="AE305" s="179" t="e">
        <f t="shared" ca="1" si="167"/>
        <v>#N/A</v>
      </c>
      <c r="AF305" s="179" t="e">
        <f t="shared" ca="1" si="157"/>
        <v>#N/A</v>
      </c>
      <c r="AG305" s="179" t="e">
        <f t="shared" ca="1" si="168"/>
        <v>#N/A</v>
      </c>
      <c r="AH305" s="179" t="e">
        <f t="shared" ca="1" si="168"/>
        <v>#N/A</v>
      </c>
    </row>
    <row r="306" spans="1:34" ht="15.75" customHeight="1">
      <c r="A306" s="449" t="s">
        <v>39</v>
      </c>
      <c r="B306" s="449" t="s">
        <v>1340</v>
      </c>
      <c r="C306" s="449" t="s">
        <v>682</v>
      </c>
      <c r="D306" s="193"/>
      <c r="E306" s="193"/>
      <c r="F306" s="193"/>
      <c r="T306" s="179" t="e">
        <f t="shared" ca="1" si="158"/>
        <v>#N/A</v>
      </c>
      <c r="U306" s="179" t="e">
        <f t="shared" ca="1" si="164"/>
        <v>#N/A</v>
      </c>
      <c r="V306" s="179" t="e">
        <f t="shared" ca="1" si="164"/>
        <v>#N/A</v>
      </c>
      <c r="W306" s="179" t="e">
        <f t="shared" ca="1" si="154"/>
        <v>#N/A</v>
      </c>
      <c r="X306" s="179" t="e">
        <f t="shared" ca="1" si="165"/>
        <v>#N/A</v>
      </c>
      <c r="Y306" s="179" t="e">
        <f t="shared" ca="1" si="165"/>
        <v>#N/A</v>
      </c>
      <c r="Z306" s="179" t="e">
        <f t="shared" ca="1" si="155"/>
        <v>#N/A</v>
      </c>
      <c r="AA306" s="179" t="e">
        <f t="shared" ca="1" si="166"/>
        <v>#N/A</v>
      </c>
      <c r="AB306" s="179" t="e">
        <f t="shared" ca="1" si="166"/>
        <v>#N/A</v>
      </c>
      <c r="AC306" s="179" t="e">
        <f t="shared" ca="1" si="156"/>
        <v>#N/A</v>
      </c>
      <c r="AD306" s="179" t="e">
        <f t="shared" ca="1" si="167"/>
        <v>#N/A</v>
      </c>
      <c r="AE306" s="179" t="e">
        <f t="shared" ca="1" si="167"/>
        <v>#N/A</v>
      </c>
      <c r="AF306" s="179" t="e">
        <f t="shared" ca="1" si="157"/>
        <v>#N/A</v>
      </c>
      <c r="AG306" s="179" t="e">
        <f t="shared" ca="1" si="168"/>
        <v>#N/A</v>
      </c>
      <c r="AH306" s="179" t="e">
        <f t="shared" ca="1" si="168"/>
        <v>#N/A</v>
      </c>
    </row>
    <row r="307" spans="1:34" ht="15.75" customHeight="1">
      <c r="A307" s="449" t="s">
        <v>37</v>
      </c>
      <c r="B307" s="449" t="s">
        <v>533</v>
      </c>
      <c r="C307" s="449" t="s">
        <v>682</v>
      </c>
      <c r="D307" s="193"/>
      <c r="E307" s="193"/>
      <c r="F307" s="193"/>
      <c r="T307" s="179" t="e">
        <f t="shared" ca="1" si="158"/>
        <v>#N/A</v>
      </c>
      <c r="U307" s="179" t="e">
        <f t="shared" ca="1" si="164"/>
        <v>#N/A</v>
      </c>
      <c r="V307" s="179" t="e">
        <f t="shared" ca="1" si="164"/>
        <v>#N/A</v>
      </c>
      <c r="W307" s="179" t="e">
        <f t="shared" ca="1" si="154"/>
        <v>#N/A</v>
      </c>
      <c r="X307" s="179" t="e">
        <f t="shared" ca="1" si="165"/>
        <v>#N/A</v>
      </c>
      <c r="Y307" s="179" t="e">
        <f t="shared" ca="1" si="165"/>
        <v>#N/A</v>
      </c>
      <c r="Z307" s="179" t="e">
        <f t="shared" ca="1" si="155"/>
        <v>#N/A</v>
      </c>
      <c r="AA307" s="179" t="e">
        <f t="shared" ca="1" si="166"/>
        <v>#N/A</v>
      </c>
      <c r="AB307" s="179" t="e">
        <f t="shared" ca="1" si="166"/>
        <v>#N/A</v>
      </c>
      <c r="AC307" s="179" t="e">
        <f t="shared" ca="1" si="156"/>
        <v>#N/A</v>
      </c>
      <c r="AD307" s="179" t="e">
        <f t="shared" ca="1" si="167"/>
        <v>#N/A</v>
      </c>
      <c r="AE307" s="179" t="e">
        <f t="shared" ca="1" si="167"/>
        <v>#N/A</v>
      </c>
      <c r="AF307" s="179" t="e">
        <f t="shared" ca="1" si="157"/>
        <v>#N/A</v>
      </c>
      <c r="AG307" s="179" t="e">
        <f t="shared" ca="1" si="168"/>
        <v>#N/A</v>
      </c>
      <c r="AH307" s="179" t="e">
        <f t="shared" ca="1" si="168"/>
        <v>#N/A</v>
      </c>
    </row>
    <row r="308" spans="1:34" ht="15.75" customHeight="1">
      <c r="A308" s="449" t="s">
        <v>39</v>
      </c>
      <c r="B308" s="449" t="s">
        <v>538</v>
      </c>
      <c r="C308" s="449" t="s">
        <v>682</v>
      </c>
      <c r="D308" s="193"/>
      <c r="E308" s="193"/>
      <c r="F308" s="193"/>
      <c r="T308" s="179" t="e">
        <f t="shared" ca="1" si="158"/>
        <v>#N/A</v>
      </c>
      <c r="U308" s="179" t="e">
        <f t="shared" ca="1" si="164"/>
        <v>#N/A</v>
      </c>
      <c r="V308" s="179" t="e">
        <f t="shared" ca="1" si="164"/>
        <v>#N/A</v>
      </c>
      <c r="W308" s="179" t="e">
        <f t="shared" ca="1" si="154"/>
        <v>#N/A</v>
      </c>
      <c r="X308" s="179" t="e">
        <f t="shared" ca="1" si="165"/>
        <v>#N/A</v>
      </c>
      <c r="Y308" s="179" t="e">
        <f t="shared" ca="1" si="165"/>
        <v>#N/A</v>
      </c>
      <c r="Z308" s="179" t="e">
        <f t="shared" ca="1" si="155"/>
        <v>#N/A</v>
      </c>
      <c r="AA308" s="179" t="e">
        <f t="shared" ca="1" si="166"/>
        <v>#N/A</v>
      </c>
      <c r="AB308" s="179" t="e">
        <f t="shared" ca="1" si="166"/>
        <v>#N/A</v>
      </c>
      <c r="AC308" s="179" t="e">
        <f t="shared" ca="1" si="156"/>
        <v>#N/A</v>
      </c>
      <c r="AD308" s="179" t="e">
        <f t="shared" ca="1" si="167"/>
        <v>#N/A</v>
      </c>
      <c r="AE308" s="179" t="e">
        <f t="shared" ca="1" si="167"/>
        <v>#N/A</v>
      </c>
      <c r="AF308" s="179" t="e">
        <f t="shared" ca="1" si="157"/>
        <v>#N/A</v>
      </c>
      <c r="AG308" s="179" t="e">
        <f t="shared" ca="1" si="168"/>
        <v>#N/A</v>
      </c>
      <c r="AH308" s="179" t="e">
        <f t="shared" ca="1" si="168"/>
        <v>#N/A</v>
      </c>
    </row>
    <row r="309" spans="1:34" ht="15.75" customHeight="1">
      <c r="A309" s="449" t="s">
        <v>37</v>
      </c>
      <c r="B309" s="449" t="s">
        <v>1709</v>
      </c>
      <c r="C309" s="449" t="s">
        <v>687</v>
      </c>
      <c r="D309" s="193"/>
      <c r="E309" s="193"/>
      <c r="F309" s="193"/>
      <c r="T309" s="179" t="e">
        <f t="shared" ca="1" si="158"/>
        <v>#N/A</v>
      </c>
      <c r="U309" s="179" t="e">
        <f t="shared" ref="U309:V328" ca="1" si="169">T309</f>
        <v>#N/A</v>
      </c>
      <c r="V309" s="179" t="e">
        <f t="shared" ca="1" si="169"/>
        <v>#N/A</v>
      </c>
      <c r="W309" s="179" t="e">
        <f t="shared" ca="1" si="154"/>
        <v>#N/A</v>
      </c>
      <c r="X309" s="179" t="e">
        <f t="shared" ref="X309:Y328" ca="1" si="170">W309</f>
        <v>#N/A</v>
      </c>
      <c r="Y309" s="179" t="e">
        <f t="shared" ca="1" si="170"/>
        <v>#N/A</v>
      </c>
      <c r="Z309" s="179" t="e">
        <f t="shared" ca="1" si="155"/>
        <v>#N/A</v>
      </c>
      <c r="AA309" s="179" t="e">
        <f t="shared" ref="AA309:AB328" ca="1" si="171">Z309</f>
        <v>#N/A</v>
      </c>
      <c r="AB309" s="179" t="e">
        <f t="shared" ca="1" si="171"/>
        <v>#N/A</v>
      </c>
      <c r="AC309" s="179" t="e">
        <f t="shared" ca="1" si="156"/>
        <v>#N/A</v>
      </c>
      <c r="AD309" s="179" t="e">
        <f t="shared" ref="AD309:AE328" ca="1" si="172">AC309</f>
        <v>#N/A</v>
      </c>
      <c r="AE309" s="179" t="e">
        <f t="shared" ca="1" si="172"/>
        <v>#N/A</v>
      </c>
      <c r="AF309" s="179" t="e">
        <f t="shared" ca="1" si="157"/>
        <v>#N/A</v>
      </c>
      <c r="AG309" s="179" t="e">
        <f t="shared" ref="AG309:AH328" ca="1" si="173">AF309</f>
        <v>#N/A</v>
      </c>
      <c r="AH309" s="179" t="e">
        <f t="shared" ca="1" si="173"/>
        <v>#N/A</v>
      </c>
    </row>
    <row r="310" spans="1:34" ht="15.75" customHeight="1">
      <c r="A310" s="449" t="s">
        <v>37</v>
      </c>
      <c r="B310" s="449" t="s">
        <v>534</v>
      </c>
      <c r="C310" s="449" t="s">
        <v>681</v>
      </c>
      <c r="D310" s="193"/>
      <c r="E310" s="193"/>
      <c r="F310" s="193"/>
      <c r="T310" s="179" t="e">
        <f t="shared" ca="1" si="158"/>
        <v>#N/A</v>
      </c>
      <c r="U310" s="179" t="e">
        <f t="shared" ca="1" si="169"/>
        <v>#N/A</v>
      </c>
      <c r="V310" s="179" t="e">
        <f t="shared" ca="1" si="169"/>
        <v>#N/A</v>
      </c>
      <c r="W310" s="179" t="e">
        <f t="shared" ca="1" si="154"/>
        <v>#N/A</v>
      </c>
      <c r="X310" s="179" t="e">
        <f t="shared" ca="1" si="170"/>
        <v>#N/A</v>
      </c>
      <c r="Y310" s="179" t="e">
        <f t="shared" ca="1" si="170"/>
        <v>#N/A</v>
      </c>
      <c r="Z310" s="179" t="e">
        <f t="shared" ca="1" si="155"/>
        <v>#N/A</v>
      </c>
      <c r="AA310" s="179" t="e">
        <f t="shared" ca="1" si="171"/>
        <v>#N/A</v>
      </c>
      <c r="AB310" s="179" t="e">
        <f t="shared" ca="1" si="171"/>
        <v>#N/A</v>
      </c>
      <c r="AC310" s="179" t="e">
        <f t="shared" ca="1" si="156"/>
        <v>#N/A</v>
      </c>
      <c r="AD310" s="179" t="e">
        <f t="shared" ca="1" si="172"/>
        <v>#N/A</v>
      </c>
      <c r="AE310" s="179" t="e">
        <f t="shared" ca="1" si="172"/>
        <v>#N/A</v>
      </c>
      <c r="AF310" s="179" t="e">
        <f t="shared" ca="1" si="157"/>
        <v>#N/A</v>
      </c>
      <c r="AG310" s="179" t="e">
        <f t="shared" ca="1" si="173"/>
        <v>#N/A</v>
      </c>
      <c r="AH310" s="179" t="e">
        <f t="shared" ca="1" si="173"/>
        <v>#N/A</v>
      </c>
    </row>
    <row r="311" spans="1:34" ht="15.75" customHeight="1">
      <c r="A311" s="449" t="s">
        <v>39</v>
      </c>
      <c r="B311" s="449" t="s">
        <v>540</v>
      </c>
      <c r="C311" s="449" t="s">
        <v>685</v>
      </c>
      <c r="D311" s="193"/>
      <c r="E311" s="193"/>
      <c r="F311" s="193"/>
      <c r="T311" s="179" t="e">
        <f t="shared" ca="1" si="158"/>
        <v>#N/A</v>
      </c>
      <c r="U311" s="179" t="e">
        <f t="shared" ca="1" si="169"/>
        <v>#N/A</v>
      </c>
      <c r="V311" s="179" t="e">
        <f t="shared" ca="1" si="169"/>
        <v>#N/A</v>
      </c>
      <c r="W311" s="179" t="e">
        <f t="shared" ca="1" si="154"/>
        <v>#N/A</v>
      </c>
      <c r="X311" s="179" t="e">
        <f t="shared" ca="1" si="170"/>
        <v>#N/A</v>
      </c>
      <c r="Y311" s="179" t="e">
        <f t="shared" ca="1" si="170"/>
        <v>#N/A</v>
      </c>
      <c r="Z311" s="179" t="e">
        <f t="shared" ca="1" si="155"/>
        <v>#N/A</v>
      </c>
      <c r="AA311" s="179" t="e">
        <f t="shared" ca="1" si="171"/>
        <v>#N/A</v>
      </c>
      <c r="AB311" s="179" t="e">
        <f t="shared" ca="1" si="171"/>
        <v>#N/A</v>
      </c>
      <c r="AC311" s="179" t="e">
        <f t="shared" ca="1" si="156"/>
        <v>#N/A</v>
      </c>
      <c r="AD311" s="179" t="e">
        <f t="shared" ca="1" si="172"/>
        <v>#N/A</v>
      </c>
      <c r="AE311" s="179" t="e">
        <f t="shared" ca="1" si="172"/>
        <v>#N/A</v>
      </c>
      <c r="AF311" s="179" t="e">
        <f t="shared" ca="1" si="157"/>
        <v>#N/A</v>
      </c>
      <c r="AG311" s="179" t="e">
        <f t="shared" ca="1" si="173"/>
        <v>#N/A</v>
      </c>
      <c r="AH311" s="179" t="e">
        <f t="shared" ca="1" si="173"/>
        <v>#N/A</v>
      </c>
    </row>
    <row r="312" spans="1:34" ht="15.75" customHeight="1">
      <c r="A312" s="449" t="s">
        <v>37</v>
      </c>
      <c r="B312" s="449" t="s">
        <v>535</v>
      </c>
      <c r="C312" s="449" t="s">
        <v>691</v>
      </c>
      <c r="D312" s="193"/>
      <c r="E312" s="193"/>
      <c r="F312" s="193"/>
      <c r="T312" s="179" t="e">
        <f t="shared" ca="1" si="158"/>
        <v>#N/A</v>
      </c>
      <c r="U312" s="179" t="e">
        <f t="shared" ca="1" si="169"/>
        <v>#N/A</v>
      </c>
      <c r="V312" s="179" t="e">
        <f t="shared" ca="1" si="169"/>
        <v>#N/A</v>
      </c>
      <c r="W312" s="179" t="e">
        <f t="shared" ca="1" si="154"/>
        <v>#N/A</v>
      </c>
      <c r="X312" s="179" t="e">
        <f t="shared" ca="1" si="170"/>
        <v>#N/A</v>
      </c>
      <c r="Y312" s="179" t="e">
        <f t="shared" ca="1" si="170"/>
        <v>#N/A</v>
      </c>
      <c r="Z312" s="179" t="e">
        <f t="shared" ca="1" si="155"/>
        <v>#N/A</v>
      </c>
      <c r="AA312" s="179" t="e">
        <f t="shared" ca="1" si="171"/>
        <v>#N/A</v>
      </c>
      <c r="AB312" s="179" t="e">
        <f t="shared" ca="1" si="171"/>
        <v>#N/A</v>
      </c>
      <c r="AC312" s="179" t="e">
        <f t="shared" ca="1" si="156"/>
        <v>#N/A</v>
      </c>
      <c r="AD312" s="179" t="e">
        <f t="shared" ca="1" si="172"/>
        <v>#N/A</v>
      </c>
      <c r="AE312" s="179" t="e">
        <f t="shared" ca="1" si="172"/>
        <v>#N/A</v>
      </c>
      <c r="AF312" s="179" t="e">
        <f t="shared" ca="1" si="157"/>
        <v>#N/A</v>
      </c>
      <c r="AG312" s="179" t="e">
        <f t="shared" ca="1" si="173"/>
        <v>#N/A</v>
      </c>
      <c r="AH312" s="179" t="e">
        <f t="shared" ca="1" si="173"/>
        <v>#N/A</v>
      </c>
    </row>
    <row r="313" spans="1:34" ht="15.75" customHeight="1">
      <c r="A313" s="449" t="s">
        <v>37</v>
      </c>
      <c r="B313" s="449" t="s">
        <v>537</v>
      </c>
      <c r="C313" s="449" t="s">
        <v>681</v>
      </c>
      <c r="D313" s="193"/>
      <c r="E313" s="193"/>
      <c r="F313" s="193"/>
      <c r="T313" s="179" t="e">
        <f t="shared" ca="1" si="158"/>
        <v>#N/A</v>
      </c>
      <c r="U313" s="179" t="e">
        <f t="shared" ca="1" si="169"/>
        <v>#N/A</v>
      </c>
      <c r="V313" s="179" t="e">
        <f t="shared" ca="1" si="169"/>
        <v>#N/A</v>
      </c>
      <c r="W313" s="179" t="e">
        <f t="shared" ca="1" si="154"/>
        <v>#N/A</v>
      </c>
      <c r="X313" s="179" t="e">
        <f t="shared" ca="1" si="170"/>
        <v>#N/A</v>
      </c>
      <c r="Y313" s="179" t="e">
        <f t="shared" ca="1" si="170"/>
        <v>#N/A</v>
      </c>
      <c r="Z313" s="179" t="e">
        <f t="shared" ca="1" si="155"/>
        <v>#N/A</v>
      </c>
      <c r="AA313" s="179" t="e">
        <f t="shared" ca="1" si="171"/>
        <v>#N/A</v>
      </c>
      <c r="AB313" s="179" t="e">
        <f t="shared" ca="1" si="171"/>
        <v>#N/A</v>
      </c>
      <c r="AC313" s="179" t="e">
        <f t="shared" ca="1" si="156"/>
        <v>#N/A</v>
      </c>
      <c r="AD313" s="179" t="e">
        <f t="shared" ca="1" si="172"/>
        <v>#N/A</v>
      </c>
      <c r="AE313" s="179" t="e">
        <f t="shared" ca="1" si="172"/>
        <v>#N/A</v>
      </c>
      <c r="AF313" s="179" t="e">
        <f t="shared" ca="1" si="157"/>
        <v>#N/A</v>
      </c>
      <c r="AG313" s="179" t="e">
        <f t="shared" ca="1" si="173"/>
        <v>#N/A</v>
      </c>
      <c r="AH313" s="179" t="e">
        <f t="shared" ca="1" si="173"/>
        <v>#N/A</v>
      </c>
    </row>
    <row r="314" spans="1:34" ht="15.75" customHeight="1">
      <c r="A314" s="449" t="s">
        <v>39</v>
      </c>
      <c r="B314" s="449" t="s">
        <v>1851</v>
      </c>
      <c r="C314" s="449" t="s">
        <v>684</v>
      </c>
      <c r="D314" s="193"/>
      <c r="E314" s="193"/>
      <c r="F314" s="193"/>
      <c r="T314" s="179" t="e">
        <f t="shared" ca="1" si="158"/>
        <v>#N/A</v>
      </c>
      <c r="U314" s="179" t="e">
        <f t="shared" ca="1" si="169"/>
        <v>#N/A</v>
      </c>
      <c r="V314" s="179" t="e">
        <f t="shared" ca="1" si="169"/>
        <v>#N/A</v>
      </c>
      <c r="W314" s="179" t="e">
        <f t="shared" ca="1" si="154"/>
        <v>#N/A</v>
      </c>
      <c r="X314" s="179" t="e">
        <f t="shared" ca="1" si="170"/>
        <v>#N/A</v>
      </c>
      <c r="Y314" s="179" t="e">
        <f t="shared" ca="1" si="170"/>
        <v>#N/A</v>
      </c>
      <c r="Z314" s="179" t="e">
        <f t="shared" ca="1" si="155"/>
        <v>#N/A</v>
      </c>
      <c r="AA314" s="179" t="e">
        <f t="shared" ca="1" si="171"/>
        <v>#N/A</v>
      </c>
      <c r="AB314" s="179" t="e">
        <f t="shared" ca="1" si="171"/>
        <v>#N/A</v>
      </c>
      <c r="AC314" s="179" t="e">
        <f t="shared" ca="1" si="156"/>
        <v>#N/A</v>
      </c>
      <c r="AD314" s="179" t="e">
        <f t="shared" ca="1" si="172"/>
        <v>#N/A</v>
      </c>
      <c r="AE314" s="179" t="e">
        <f t="shared" ca="1" si="172"/>
        <v>#N/A</v>
      </c>
      <c r="AF314" s="179" t="e">
        <f t="shared" ca="1" si="157"/>
        <v>#N/A</v>
      </c>
      <c r="AG314" s="179" t="e">
        <f t="shared" ca="1" si="173"/>
        <v>#N/A</v>
      </c>
      <c r="AH314" s="179" t="e">
        <f t="shared" ca="1" si="173"/>
        <v>#N/A</v>
      </c>
    </row>
    <row r="315" spans="1:34" ht="15.75" customHeight="1">
      <c r="A315" s="449" t="s">
        <v>37</v>
      </c>
      <c r="B315" s="449" t="s">
        <v>1933</v>
      </c>
      <c r="C315" s="449" t="s">
        <v>686</v>
      </c>
      <c r="D315" s="193"/>
      <c r="E315" s="193"/>
      <c r="F315" s="193"/>
      <c r="T315" s="179" t="e">
        <f t="shared" ca="1" si="158"/>
        <v>#N/A</v>
      </c>
      <c r="U315" s="179" t="e">
        <f t="shared" ca="1" si="169"/>
        <v>#N/A</v>
      </c>
      <c r="V315" s="179" t="e">
        <f t="shared" ca="1" si="169"/>
        <v>#N/A</v>
      </c>
      <c r="W315" s="179" t="e">
        <f t="shared" ca="1" si="154"/>
        <v>#N/A</v>
      </c>
      <c r="X315" s="179" t="e">
        <f t="shared" ca="1" si="170"/>
        <v>#N/A</v>
      </c>
      <c r="Y315" s="179" t="e">
        <f t="shared" ca="1" si="170"/>
        <v>#N/A</v>
      </c>
      <c r="Z315" s="179" t="e">
        <f t="shared" ca="1" si="155"/>
        <v>#N/A</v>
      </c>
      <c r="AA315" s="179" t="e">
        <f t="shared" ca="1" si="171"/>
        <v>#N/A</v>
      </c>
      <c r="AB315" s="179" t="e">
        <f t="shared" ca="1" si="171"/>
        <v>#N/A</v>
      </c>
      <c r="AC315" s="179" t="e">
        <f t="shared" ca="1" si="156"/>
        <v>#N/A</v>
      </c>
      <c r="AD315" s="179" t="e">
        <f t="shared" ca="1" si="172"/>
        <v>#N/A</v>
      </c>
      <c r="AE315" s="179" t="e">
        <f t="shared" ca="1" si="172"/>
        <v>#N/A</v>
      </c>
      <c r="AF315" s="179" t="e">
        <f t="shared" ca="1" si="157"/>
        <v>#N/A</v>
      </c>
      <c r="AG315" s="179" t="e">
        <f t="shared" ca="1" si="173"/>
        <v>#N/A</v>
      </c>
      <c r="AH315" s="179" t="e">
        <f t="shared" ca="1" si="173"/>
        <v>#N/A</v>
      </c>
    </row>
    <row r="316" spans="1:34" ht="15.75" customHeight="1">
      <c r="A316" s="449" t="s">
        <v>39</v>
      </c>
      <c r="B316" s="449" t="s">
        <v>541</v>
      </c>
      <c r="C316" s="449" t="s">
        <v>701</v>
      </c>
      <c r="D316" s="193"/>
      <c r="E316" s="193"/>
      <c r="F316" s="193"/>
      <c r="T316" s="179" t="e">
        <f t="shared" ca="1" si="158"/>
        <v>#N/A</v>
      </c>
      <c r="U316" s="179" t="e">
        <f t="shared" ca="1" si="169"/>
        <v>#N/A</v>
      </c>
      <c r="V316" s="179" t="e">
        <f t="shared" ca="1" si="169"/>
        <v>#N/A</v>
      </c>
      <c r="W316" s="179" t="e">
        <f t="shared" ca="1" si="154"/>
        <v>#N/A</v>
      </c>
      <c r="X316" s="179" t="e">
        <f t="shared" ca="1" si="170"/>
        <v>#N/A</v>
      </c>
      <c r="Y316" s="179" t="e">
        <f t="shared" ca="1" si="170"/>
        <v>#N/A</v>
      </c>
      <c r="Z316" s="179" t="e">
        <f t="shared" ca="1" si="155"/>
        <v>#N/A</v>
      </c>
      <c r="AA316" s="179" t="e">
        <f t="shared" ca="1" si="171"/>
        <v>#N/A</v>
      </c>
      <c r="AB316" s="179" t="e">
        <f t="shared" ca="1" si="171"/>
        <v>#N/A</v>
      </c>
      <c r="AC316" s="179" t="e">
        <f t="shared" ca="1" si="156"/>
        <v>#N/A</v>
      </c>
      <c r="AD316" s="179" t="e">
        <f t="shared" ca="1" si="172"/>
        <v>#N/A</v>
      </c>
      <c r="AE316" s="179" t="e">
        <f t="shared" ca="1" si="172"/>
        <v>#N/A</v>
      </c>
      <c r="AF316" s="179" t="e">
        <f t="shared" ca="1" si="157"/>
        <v>#N/A</v>
      </c>
      <c r="AG316" s="179" t="e">
        <f t="shared" ca="1" si="173"/>
        <v>#N/A</v>
      </c>
      <c r="AH316" s="179" t="e">
        <f t="shared" ca="1" si="173"/>
        <v>#N/A</v>
      </c>
    </row>
    <row r="317" spans="1:34" ht="15.75" customHeight="1">
      <c r="A317" s="449" t="s">
        <v>43</v>
      </c>
      <c r="B317" s="449" t="s">
        <v>433</v>
      </c>
      <c r="C317" s="449" t="s">
        <v>676</v>
      </c>
      <c r="D317" s="193"/>
      <c r="E317" s="193"/>
      <c r="F317" s="193"/>
      <c r="T317" s="179" t="e">
        <f t="shared" ca="1" si="158"/>
        <v>#N/A</v>
      </c>
      <c r="U317" s="179" t="e">
        <f t="shared" ca="1" si="169"/>
        <v>#N/A</v>
      </c>
      <c r="V317" s="179" t="e">
        <f t="shared" ca="1" si="169"/>
        <v>#N/A</v>
      </c>
      <c r="W317" s="179" t="e">
        <f t="shared" ca="1" si="154"/>
        <v>#N/A</v>
      </c>
      <c r="X317" s="179" t="e">
        <f t="shared" ca="1" si="170"/>
        <v>#N/A</v>
      </c>
      <c r="Y317" s="179" t="e">
        <f t="shared" ca="1" si="170"/>
        <v>#N/A</v>
      </c>
      <c r="Z317" s="179" t="e">
        <f t="shared" ca="1" si="155"/>
        <v>#N/A</v>
      </c>
      <c r="AA317" s="179" t="e">
        <f t="shared" ca="1" si="171"/>
        <v>#N/A</v>
      </c>
      <c r="AB317" s="179" t="e">
        <f t="shared" ca="1" si="171"/>
        <v>#N/A</v>
      </c>
      <c r="AC317" s="179" t="e">
        <f t="shared" ca="1" si="156"/>
        <v>#N/A</v>
      </c>
      <c r="AD317" s="179" t="e">
        <f t="shared" ca="1" si="172"/>
        <v>#N/A</v>
      </c>
      <c r="AE317" s="179" t="e">
        <f t="shared" ca="1" si="172"/>
        <v>#N/A</v>
      </c>
      <c r="AF317" s="179" t="e">
        <f t="shared" ca="1" si="157"/>
        <v>#N/A</v>
      </c>
      <c r="AG317" s="179" t="e">
        <f t="shared" ca="1" si="173"/>
        <v>#N/A</v>
      </c>
      <c r="AH317" s="179" t="e">
        <f t="shared" ca="1" si="173"/>
        <v>#N/A</v>
      </c>
    </row>
    <row r="318" spans="1:34" ht="15.75" customHeight="1">
      <c r="A318" s="449" t="s">
        <v>37</v>
      </c>
      <c r="B318" s="449" t="s">
        <v>539</v>
      </c>
      <c r="C318" s="449" t="s">
        <v>695</v>
      </c>
      <c r="D318" s="193"/>
      <c r="E318" s="193"/>
      <c r="F318" s="193"/>
      <c r="T318" s="179" t="e">
        <f t="shared" ca="1" si="158"/>
        <v>#N/A</v>
      </c>
      <c r="U318" s="179" t="e">
        <f t="shared" ca="1" si="169"/>
        <v>#N/A</v>
      </c>
      <c r="V318" s="179" t="e">
        <f t="shared" ca="1" si="169"/>
        <v>#N/A</v>
      </c>
      <c r="W318" s="179" t="e">
        <f t="shared" ca="1" si="154"/>
        <v>#N/A</v>
      </c>
      <c r="X318" s="179" t="e">
        <f t="shared" ca="1" si="170"/>
        <v>#N/A</v>
      </c>
      <c r="Y318" s="179" t="e">
        <f t="shared" ca="1" si="170"/>
        <v>#N/A</v>
      </c>
      <c r="Z318" s="179" t="e">
        <f t="shared" ca="1" si="155"/>
        <v>#N/A</v>
      </c>
      <c r="AA318" s="179" t="e">
        <f t="shared" ca="1" si="171"/>
        <v>#N/A</v>
      </c>
      <c r="AB318" s="179" t="e">
        <f t="shared" ca="1" si="171"/>
        <v>#N/A</v>
      </c>
      <c r="AC318" s="179" t="e">
        <f t="shared" ca="1" si="156"/>
        <v>#N/A</v>
      </c>
      <c r="AD318" s="179" t="e">
        <f t="shared" ca="1" si="172"/>
        <v>#N/A</v>
      </c>
      <c r="AE318" s="179" t="e">
        <f t="shared" ca="1" si="172"/>
        <v>#N/A</v>
      </c>
      <c r="AF318" s="179" t="e">
        <f t="shared" ca="1" si="157"/>
        <v>#N/A</v>
      </c>
      <c r="AG318" s="179" t="e">
        <f t="shared" ca="1" si="173"/>
        <v>#N/A</v>
      </c>
      <c r="AH318" s="179" t="e">
        <f t="shared" ca="1" si="173"/>
        <v>#N/A</v>
      </c>
    </row>
    <row r="319" spans="1:34" ht="15.75" customHeight="1">
      <c r="A319" s="449" t="s">
        <v>35</v>
      </c>
      <c r="B319" s="449" t="s">
        <v>1814</v>
      </c>
      <c r="C319" s="449" t="s">
        <v>1477</v>
      </c>
      <c r="D319" s="193"/>
      <c r="E319" s="193"/>
      <c r="F319" s="193"/>
      <c r="T319" s="179" t="e">
        <f t="shared" ca="1" si="158"/>
        <v>#N/A</v>
      </c>
      <c r="U319" s="179" t="e">
        <f t="shared" ca="1" si="169"/>
        <v>#N/A</v>
      </c>
      <c r="V319" s="179" t="e">
        <f t="shared" ca="1" si="169"/>
        <v>#N/A</v>
      </c>
      <c r="W319" s="179" t="e">
        <f t="shared" ca="1" si="154"/>
        <v>#N/A</v>
      </c>
      <c r="X319" s="179" t="e">
        <f t="shared" ca="1" si="170"/>
        <v>#N/A</v>
      </c>
      <c r="Y319" s="179" t="e">
        <f t="shared" ca="1" si="170"/>
        <v>#N/A</v>
      </c>
      <c r="Z319" s="179" t="e">
        <f t="shared" ca="1" si="155"/>
        <v>#N/A</v>
      </c>
      <c r="AA319" s="179" t="e">
        <f t="shared" ca="1" si="171"/>
        <v>#N/A</v>
      </c>
      <c r="AB319" s="179" t="e">
        <f t="shared" ca="1" si="171"/>
        <v>#N/A</v>
      </c>
      <c r="AC319" s="179" t="e">
        <f t="shared" ca="1" si="156"/>
        <v>#N/A</v>
      </c>
      <c r="AD319" s="179" t="e">
        <f t="shared" ca="1" si="172"/>
        <v>#N/A</v>
      </c>
      <c r="AE319" s="179" t="e">
        <f t="shared" ca="1" si="172"/>
        <v>#N/A</v>
      </c>
      <c r="AF319" s="179" t="e">
        <f t="shared" ca="1" si="157"/>
        <v>#N/A</v>
      </c>
      <c r="AG319" s="179" t="e">
        <f t="shared" ca="1" si="173"/>
        <v>#N/A</v>
      </c>
      <c r="AH319" s="179" t="e">
        <f t="shared" ca="1" si="173"/>
        <v>#N/A</v>
      </c>
    </row>
    <row r="320" spans="1:34" ht="15.75" customHeight="1">
      <c r="A320" s="449" t="s">
        <v>35</v>
      </c>
      <c r="B320" s="449" t="s">
        <v>373</v>
      </c>
      <c r="C320" s="449" t="s">
        <v>682</v>
      </c>
      <c r="D320" s="193"/>
      <c r="E320" s="193"/>
      <c r="F320" s="193"/>
      <c r="T320" s="179" t="e">
        <f t="shared" ca="1" si="158"/>
        <v>#N/A</v>
      </c>
      <c r="U320" s="179" t="e">
        <f t="shared" ca="1" si="169"/>
        <v>#N/A</v>
      </c>
      <c r="V320" s="179" t="e">
        <f t="shared" ca="1" si="169"/>
        <v>#N/A</v>
      </c>
      <c r="W320" s="179" t="e">
        <f t="shared" ca="1" si="154"/>
        <v>#N/A</v>
      </c>
      <c r="X320" s="179" t="e">
        <f t="shared" ca="1" si="170"/>
        <v>#N/A</v>
      </c>
      <c r="Y320" s="179" t="e">
        <f t="shared" ca="1" si="170"/>
        <v>#N/A</v>
      </c>
      <c r="Z320" s="179" t="e">
        <f t="shared" ca="1" si="155"/>
        <v>#N/A</v>
      </c>
      <c r="AA320" s="179" t="e">
        <f t="shared" ca="1" si="171"/>
        <v>#N/A</v>
      </c>
      <c r="AB320" s="179" t="e">
        <f t="shared" ca="1" si="171"/>
        <v>#N/A</v>
      </c>
      <c r="AC320" s="179" t="e">
        <f t="shared" ca="1" si="156"/>
        <v>#N/A</v>
      </c>
      <c r="AD320" s="179" t="e">
        <f t="shared" ca="1" si="172"/>
        <v>#N/A</v>
      </c>
      <c r="AE320" s="179" t="e">
        <f t="shared" ca="1" si="172"/>
        <v>#N/A</v>
      </c>
      <c r="AF320" s="179" t="e">
        <f t="shared" ca="1" si="157"/>
        <v>#N/A</v>
      </c>
      <c r="AG320" s="179" t="e">
        <f t="shared" ca="1" si="173"/>
        <v>#N/A</v>
      </c>
      <c r="AH320" s="179" t="e">
        <f t="shared" ca="1" si="173"/>
        <v>#N/A</v>
      </c>
    </row>
    <row r="321" spans="1:34" ht="15.75" customHeight="1">
      <c r="A321" s="449" t="s">
        <v>39</v>
      </c>
      <c r="B321" s="449" t="s">
        <v>543</v>
      </c>
      <c r="C321" s="449" t="s">
        <v>676</v>
      </c>
      <c r="D321" s="193"/>
      <c r="E321" s="193"/>
      <c r="F321" s="193"/>
      <c r="T321" s="179" t="e">
        <f t="shared" ca="1" si="158"/>
        <v>#N/A</v>
      </c>
      <c r="U321" s="179" t="e">
        <f t="shared" ca="1" si="169"/>
        <v>#N/A</v>
      </c>
      <c r="V321" s="179" t="e">
        <f t="shared" ca="1" si="169"/>
        <v>#N/A</v>
      </c>
      <c r="W321" s="179" t="e">
        <f t="shared" ca="1" si="154"/>
        <v>#N/A</v>
      </c>
      <c r="X321" s="179" t="e">
        <f t="shared" ca="1" si="170"/>
        <v>#N/A</v>
      </c>
      <c r="Y321" s="179" t="e">
        <f t="shared" ca="1" si="170"/>
        <v>#N/A</v>
      </c>
      <c r="Z321" s="179" t="e">
        <f t="shared" ca="1" si="155"/>
        <v>#N/A</v>
      </c>
      <c r="AA321" s="179" t="e">
        <f t="shared" ca="1" si="171"/>
        <v>#N/A</v>
      </c>
      <c r="AB321" s="179" t="e">
        <f t="shared" ca="1" si="171"/>
        <v>#N/A</v>
      </c>
      <c r="AC321" s="179" t="e">
        <f t="shared" ca="1" si="156"/>
        <v>#N/A</v>
      </c>
      <c r="AD321" s="179" t="e">
        <f t="shared" ca="1" si="172"/>
        <v>#N/A</v>
      </c>
      <c r="AE321" s="179" t="e">
        <f t="shared" ca="1" si="172"/>
        <v>#N/A</v>
      </c>
      <c r="AF321" s="179" t="e">
        <f t="shared" ca="1" si="157"/>
        <v>#N/A</v>
      </c>
      <c r="AG321" s="179" t="e">
        <f t="shared" ca="1" si="173"/>
        <v>#N/A</v>
      </c>
      <c r="AH321" s="179" t="e">
        <f t="shared" ca="1" si="173"/>
        <v>#N/A</v>
      </c>
    </row>
    <row r="322" spans="1:34" ht="15.75" customHeight="1">
      <c r="A322" s="449" t="s">
        <v>37</v>
      </c>
      <c r="B322" s="449" t="s">
        <v>542</v>
      </c>
      <c r="C322" s="449" t="s">
        <v>681</v>
      </c>
      <c r="D322" s="193"/>
      <c r="E322" s="193"/>
      <c r="F322" s="193"/>
      <c r="T322" s="179" t="e">
        <f t="shared" ca="1" si="158"/>
        <v>#N/A</v>
      </c>
      <c r="U322" s="179" t="e">
        <f t="shared" ca="1" si="169"/>
        <v>#N/A</v>
      </c>
      <c r="V322" s="179" t="e">
        <f t="shared" ca="1" si="169"/>
        <v>#N/A</v>
      </c>
      <c r="W322" s="179" t="e">
        <f t="shared" ca="1" si="154"/>
        <v>#N/A</v>
      </c>
      <c r="X322" s="179" t="e">
        <f t="shared" ca="1" si="170"/>
        <v>#N/A</v>
      </c>
      <c r="Y322" s="179" t="e">
        <f t="shared" ca="1" si="170"/>
        <v>#N/A</v>
      </c>
      <c r="Z322" s="179" t="e">
        <f t="shared" ca="1" si="155"/>
        <v>#N/A</v>
      </c>
      <c r="AA322" s="179" t="e">
        <f t="shared" ca="1" si="171"/>
        <v>#N/A</v>
      </c>
      <c r="AB322" s="179" t="e">
        <f t="shared" ca="1" si="171"/>
        <v>#N/A</v>
      </c>
      <c r="AC322" s="179" t="e">
        <f t="shared" ca="1" si="156"/>
        <v>#N/A</v>
      </c>
      <c r="AD322" s="179" t="e">
        <f t="shared" ca="1" si="172"/>
        <v>#N/A</v>
      </c>
      <c r="AE322" s="179" t="e">
        <f t="shared" ca="1" si="172"/>
        <v>#N/A</v>
      </c>
      <c r="AF322" s="179" t="e">
        <f t="shared" ca="1" si="157"/>
        <v>#N/A</v>
      </c>
      <c r="AG322" s="179" t="e">
        <f t="shared" ca="1" si="173"/>
        <v>#N/A</v>
      </c>
      <c r="AH322" s="179" t="e">
        <f t="shared" ca="1" si="173"/>
        <v>#N/A</v>
      </c>
    </row>
    <row r="323" spans="1:34" ht="15.75" customHeight="1">
      <c r="A323" s="449" t="s">
        <v>35</v>
      </c>
      <c r="B323" s="449" t="s">
        <v>375</v>
      </c>
      <c r="C323" s="449" t="s">
        <v>685</v>
      </c>
      <c r="D323" s="193"/>
      <c r="E323" s="193"/>
      <c r="F323" s="193"/>
      <c r="T323" s="179" t="e">
        <f t="shared" ca="1" si="158"/>
        <v>#N/A</v>
      </c>
      <c r="U323" s="179" t="e">
        <f t="shared" ca="1" si="169"/>
        <v>#N/A</v>
      </c>
      <c r="V323" s="179" t="e">
        <f t="shared" ca="1" si="169"/>
        <v>#N/A</v>
      </c>
      <c r="W323" s="179" t="e">
        <f t="shared" ca="1" si="154"/>
        <v>#N/A</v>
      </c>
      <c r="X323" s="179" t="e">
        <f t="shared" ca="1" si="170"/>
        <v>#N/A</v>
      </c>
      <c r="Y323" s="179" t="e">
        <f t="shared" ca="1" si="170"/>
        <v>#N/A</v>
      </c>
      <c r="Z323" s="179" t="e">
        <f t="shared" ca="1" si="155"/>
        <v>#N/A</v>
      </c>
      <c r="AA323" s="179" t="e">
        <f t="shared" ca="1" si="171"/>
        <v>#N/A</v>
      </c>
      <c r="AB323" s="179" t="e">
        <f t="shared" ca="1" si="171"/>
        <v>#N/A</v>
      </c>
      <c r="AC323" s="179" t="e">
        <f t="shared" ca="1" si="156"/>
        <v>#N/A</v>
      </c>
      <c r="AD323" s="179" t="e">
        <f t="shared" ca="1" si="172"/>
        <v>#N/A</v>
      </c>
      <c r="AE323" s="179" t="e">
        <f t="shared" ca="1" si="172"/>
        <v>#N/A</v>
      </c>
      <c r="AF323" s="179" t="e">
        <f t="shared" ca="1" si="157"/>
        <v>#N/A</v>
      </c>
      <c r="AG323" s="179" t="e">
        <f t="shared" ca="1" si="173"/>
        <v>#N/A</v>
      </c>
      <c r="AH323" s="179" t="e">
        <f t="shared" ca="1" si="173"/>
        <v>#N/A</v>
      </c>
    </row>
    <row r="324" spans="1:34" ht="15.75" customHeight="1">
      <c r="A324" s="449" t="s">
        <v>37</v>
      </c>
      <c r="B324" s="449" t="s">
        <v>544</v>
      </c>
      <c r="C324" s="449" t="s">
        <v>701</v>
      </c>
      <c r="D324" s="193"/>
      <c r="E324" s="193"/>
      <c r="F324" s="193"/>
      <c r="T324" s="179" t="e">
        <f t="shared" ca="1" si="158"/>
        <v>#N/A</v>
      </c>
      <c r="U324" s="179" t="e">
        <f t="shared" ca="1" si="169"/>
        <v>#N/A</v>
      </c>
      <c r="V324" s="179" t="e">
        <f t="shared" ca="1" si="169"/>
        <v>#N/A</v>
      </c>
      <c r="W324" s="179" t="e">
        <f t="shared" ca="1" si="154"/>
        <v>#N/A</v>
      </c>
      <c r="X324" s="179" t="e">
        <f t="shared" ca="1" si="170"/>
        <v>#N/A</v>
      </c>
      <c r="Y324" s="179" t="e">
        <f t="shared" ca="1" si="170"/>
        <v>#N/A</v>
      </c>
      <c r="Z324" s="179" t="e">
        <f t="shared" ca="1" si="155"/>
        <v>#N/A</v>
      </c>
      <c r="AA324" s="179" t="e">
        <f t="shared" ca="1" si="171"/>
        <v>#N/A</v>
      </c>
      <c r="AB324" s="179" t="e">
        <f t="shared" ca="1" si="171"/>
        <v>#N/A</v>
      </c>
      <c r="AC324" s="179" t="e">
        <f t="shared" ca="1" si="156"/>
        <v>#N/A</v>
      </c>
      <c r="AD324" s="179" t="e">
        <f t="shared" ca="1" si="172"/>
        <v>#N/A</v>
      </c>
      <c r="AE324" s="179" t="e">
        <f t="shared" ca="1" si="172"/>
        <v>#N/A</v>
      </c>
      <c r="AF324" s="179" t="e">
        <f t="shared" ca="1" si="157"/>
        <v>#N/A</v>
      </c>
      <c r="AG324" s="179" t="e">
        <f t="shared" ca="1" si="173"/>
        <v>#N/A</v>
      </c>
      <c r="AH324" s="179" t="e">
        <f t="shared" ca="1" si="173"/>
        <v>#N/A</v>
      </c>
    </row>
    <row r="325" spans="1:34" ht="15.75" customHeight="1">
      <c r="A325" s="449" t="s">
        <v>37</v>
      </c>
      <c r="B325" s="449" t="s">
        <v>1704</v>
      </c>
      <c r="C325" s="449" t="s">
        <v>682</v>
      </c>
      <c r="D325" s="193"/>
      <c r="E325" s="193"/>
      <c r="F325" s="193"/>
      <c r="T325" s="179" t="e">
        <f t="shared" ca="1" si="158"/>
        <v>#N/A</v>
      </c>
      <c r="U325" s="179" t="e">
        <f t="shared" ca="1" si="169"/>
        <v>#N/A</v>
      </c>
      <c r="V325" s="179" t="e">
        <f t="shared" ca="1" si="169"/>
        <v>#N/A</v>
      </c>
      <c r="W325" s="179" t="e">
        <f t="shared" ca="1" si="154"/>
        <v>#N/A</v>
      </c>
      <c r="X325" s="179" t="e">
        <f t="shared" ca="1" si="170"/>
        <v>#N/A</v>
      </c>
      <c r="Y325" s="179" t="e">
        <f t="shared" ca="1" si="170"/>
        <v>#N/A</v>
      </c>
      <c r="Z325" s="179" t="e">
        <f t="shared" ca="1" si="155"/>
        <v>#N/A</v>
      </c>
      <c r="AA325" s="179" t="e">
        <f t="shared" ca="1" si="171"/>
        <v>#N/A</v>
      </c>
      <c r="AB325" s="179" t="e">
        <f t="shared" ca="1" si="171"/>
        <v>#N/A</v>
      </c>
      <c r="AC325" s="179" t="e">
        <f t="shared" ca="1" si="156"/>
        <v>#N/A</v>
      </c>
      <c r="AD325" s="179" t="e">
        <f t="shared" ca="1" si="172"/>
        <v>#N/A</v>
      </c>
      <c r="AE325" s="179" t="e">
        <f t="shared" ca="1" si="172"/>
        <v>#N/A</v>
      </c>
      <c r="AF325" s="179" t="e">
        <f t="shared" ca="1" si="157"/>
        <v>#N/A</v>
      </c>
      <c r="AG325" s="179" t="e">
        <f t="shared" ca="1" si="173"/>
        <v>#N/A</v>
      </c>
      <c r="AH325" s="179" t="e">
        <f t="shared" ca="1" si="173"/>
        <v>#N/A</v>
      </c>
    </row>
    <row r="326" spans="1:34" ht="15.75" customHeight="1">
      <c r="A326" s="449" t="s">
        <v>37</v>
      </c>
      <c r="B326" s="449" t="s">
        <v>1302</v>
      </c>
      <c r="C326" s="449" t="s">
        <v>686</v>
      </c>
      <c r="D326" s="193"/>
      <c r="E326" s="193"/>
      <c r="F326" s="193"/>
      <c r="T326" s="179" t="e">
        <f t="shared" ca="1" si="158"/>
        <v>#N/A</v>
      </c>
      <c r="U326" s="179" t="e">
        <f t="shared" ca="1" si="169"/>
        <v>#N/A</v>
      </c>
      <c r="V326" s="179" t="e">
        <f t="shared" ca="1" si="169"/>
        <v>#N/A</v>
      </c>
      <c r="W326" s="179" t="e">
        <f t="shared" ca="1" si="154"/>
        <v>#N/A</v>
      </c>
      <c r="X326" s="179" t="e">
        <f t="shared" ca="1" si="170"/>
        <v>#N/A</v>
      </c>
      <c r="Y326" s="179" t="e">
        <f t="shared" ca="1" si="170"/>
        <v>#N/A</v>
      </c>
      <c r="Z326" s="179" t="e">
        <f t="shared" ca="1" si="155"/>
        <v>#N/A</v>
      </c>
      <c r="AA326" s="179" t="e">
        <f t="shared" ca="1" si="171"/>
        <v>#N/A</v>
      </c>
      <c r="AB326" s="179" t="e">
        <f t="shared" ca="1" si="171"/>
        <v>#N/A</v>
      </c>
      <c r="AC326" s="179" t="e">
        <f t="shared" ca="1" si="156"/>
        <v>#N/A</v>
      </c>
      <c r="AD326" s="179" t="e">
        <f t="shared" ca="1" si="172"/>
        <v>#N/A</v>
      </c>
      <c r="AE326" s="179" t="e">
        <f t="shared" ca="1" si="172"/>
        <v>#N/A</v>
      </c>
      <c r="AF326" s="179" t="e">
        <f t="shared" ca="1" si="157"/>
        <v>#N/A</v>
      </c>
      <c r="AG326" s="179" t="e">
        <f t="shared" ca="1" si="173"/>
        <v>#N/A</v>
      </c>
      <c r="AH326" s="179" t="e">
        <f t="shared" ca="1" si="173"/>
        <v>#N/A</v>
      </c>
    </row>
    <row r="327" spans="1:34" ht="15.75" customHeight="1">
      <c r="A327" s="449" t="s">
        <v>37</v>
      </c>
      <c r="B327" s="449" t="s">
        <v>546</v>
      </c>
      <c r="C327" s="449" t="s">
        <v>691</v>
      </c>
      <c r="D327" s="193"/>
      <c r="E327" s="193"/>
      <c r="F327" s="193"/>
      <c r="T327" s="179" t="e">
        <f t="shared" ca="1" si="158"/>
        <v>#N/A</v>
      </c>
      <c r="U327" s="179" t="e">
        <f t="shared" ca="1" si="169"/>
        <v>#N/A</v>
      </c>
      <c r="V327" s="179" t="e">
        <f t="shared" ca="1" si="169"/>
        <v>#N/A</v>
      </c>
      <c r="W327" s="179" t="e">
        <f t="shared" ca="1" si="154"/>
        <v>#N/A</v>
      </c>
      <c r="X327" s="179" t="e">
        <f t="shared" ca="1" si="170"/>
        <v>#N/A</v>
      </c>
      <c r="Y327" s="179" t="e">
        <f t="shared" ca="1" si="170"/>
        <v>#N/A</v>
      </c>
      <c r="Z327" s="179" t="e">
        <f t="shared" ca="1" si="155"/>
        <v>#N/A</v>
      </c>
      <c r="AA327" s="179" t="e">
        <f t="shared" ca="1" si="171"/>
        <v>#N/A</v>
      </c>
      <c r="AB327" s="179" t="e">
        <f t="shared" ca="1" si="171"/>
        <v>#N/A</v>
      </c>
      <c r="AC327" s="179" t="e">
        <f t="shared" ca="1" si="156"/>
        <v>#N/A</v>
      </c>
      <c r="AD327" s="179" t="e">
        <f t="shared" ca="1" si="172"/>
        <v>#N/A</v>
      </c>
      <c r="AE327" s="179" t="e">
        <f t="shared" ca="1" si="172"/>
        <v>#N/A</v>
      </c>
      <c r="AF327" s="179" t="e">
        <f t="shared" ca="1" si="157"/>
        <v>#N/A</v>
      </c>
      <c r="AG327" s="179" t="e">
        <f t="shared" ca="1" si="173"/>
        <v>#N/A</v>
      </c>
      <c r="AH327" s="179" t="e">
        <f t="shared" ca="1" si="173"/>
        <v>#N/A</v>
      </c>
    </row>
    <row r="328" spans="1:34" ht="15.75" customHeight="1">
      <c r="A328" s="449" t="s">
        <v>43</v>
      </c>
      <c r="B328" s="449" t="s">
        <v>438</v>
      </c>
      <c r="C328" s="449" t="s">
        <v>684</v>
      </c>
      <c r="D328" s="193"/>
      <c r="E328" s="193"/>
      <c r="F328" s="193"/>
      <c r="T328" s="179" t="e">
        <f t="shared" ca="1" si="158"/>
        <v>#N/A</v>
      </c>
      <c r="U328" s="179" t="e">
        <f t="shared" ca="1" si="169"/>
        <v>#N/A</v>
      </c>
      <c r="V328" s="179" t="e">
        <f t="shared" ca="1" si="169"/>
        <v>#N/A</v>
      </c>
      <c r="W328" s="179" t="e">
        <f t="shared" ca="1" si="154"/>
        <v>#N/A</v>
      </c>
      <c r="X328" s="179" t="e">
        <f t="shared" ca="1" si="170"/>
        <v>#N/A</v>
      </c>
      <c r="Y328" s="179" t="e">
        <f t="shared" ca="1" si="170"/>
        <v>#N/A</v>
      </c>
      <c r="Z328" s="179" t="e">
        <f t="shared" ca="1" si="155"/>
        <v>#N/A</v>
      </c>
      <c r="AA328" s="179" t="e">
        <f t="shared" ca="1" si="171"/>
        <v>#N/A</v>
      </c>
      <c r="AB328" s="179" t="e">
        <f t="shared" ca="1" si="171"/>
        <v>#N/A</v>
      </c>
      <c r="AC328" s="179" t="e">
        <f t="shared" ca="1" si="156"/>
        <v>#N/A</v>
      </c>
      <c r="AD328" s="179" t="e">
        <f t="shared" ca="1" si="172"/>
        <v>#N/A</v>
      </c>
      <c r="AE328" s="179" t="e">
        <f t="shared" ca="1" si="172"/>
        <v>#N/A</v>
      </c>
      <c r="AF328" s="179" t="e">
        <f t="shared" ca="1" si="157"/>
        <v>#N/A</v>
      </c>
      <c r="AG328" s="179" t="e">
        <f t="shared" ca="1" si="173"/>
        <v>#N/A</v>
      </c>
      <c r="AH328" s="179" t="e">
        <f t="shared" ca="1" si="173"/>
        <v>#N/A</v>
      </c>
    </row>
    <row r="329" spans="1:34" ht="15.75" customHeight="1">
      <c r="A329" s="449" t="s">
        <v>43</v>
      </c>
      <c r="B329" s="449" t="s">
        <v>441</v>
      </c>
      <c r="C329" s="449" t="s">
        <v>685</v>
      </c>
      <c r="D329" s="193"/>
      <c r="E329" s="193"/>
      <c r="F329" s="193"/>
      <c r="T329" s="179" t="e">
        <f t="shared" ca="1" si="158"/>
        <v>#N/A</v>
      </c>
      <c r="U329" s="179" t="e">
        <f t="shared" ref="U329:V348" ca="1" si="174">T329</f>
        <v>#N/A</v>
      </c>
      <c r="V329" s="179" t="e">
        <f t="shared" ca="1" si="174"/>
        <v>#N/A</v>
      </c>
      <c r="W329" s="179" t="e">
        <f t="shared" ref="W329:W392" ca="1" si="175">W328+MATCH(W$7,INDIRECT("$A"&amp;W328+1&amp;":$A$1000"),0)</f>
        <v>#N/A</v>
      </c>
      <c r="X329" s="179" t="e">
        <f t="shared" ref="X329:Y348" ca="1" si="176">W329</f>
        <v>#N/A</v>
      </c>
      <c r="Y329" s="179" t="e">
        <f t="shared" ca="1" si="176"/>
        <v>#N/A</v>
      </c>
      <c r="Z329" s="179" t="e">
        <f t="shared" ref="Z329:Z392" ca="1" si="177">Z328+MATCH(Z$7,INDIRECT("$A"&amp;Z328+1&amp;":$A$1000"),0)</f>
        <v>#N/A</v>
      </c>
      <c r="AA329" s="179" t="e">
        <f t="shared" ref="AA329:AB348" ca="1" si="178">Z329</f>
        <v>#N/A</v>
      </c>
      <c r="AB329" s="179" t="e">
        <f t="shared" ca="1" si="178"/>
        <v>#N/A</v>
      </c>
      <c r="AC329" s="179" t="e">
        <f t="shared" ref="AC329:AC392" ca="1" si="179">AC328+MATCH(AC$7,INDIRECT("$A"&amp;AC328+1&amp;":$A$1000"),0)</f>
        <v>#N/A</v>
      </c>
      <c r="AD329" s="179" t="e">
        <f t="shared" ref="AD329:AE348" ca="1" si="180">AC329</f>
        <v>#N/A</v>
      </c>
      <c r="AE329" s="179" t="e">
        <f t="shared" ca="1" si="180"/>
        <v>#N/A</v>
      </c>
      <c r="AF329" s="179" t="e">
        <f t="shared" ref="AF329:AF392" ca="1" si="181">AF328+MATCH(AF$7,INDIRECT("$A"&amp;AF328+1&amp;":$A$1000"),0)</f>
        <v>#N/A</v>
      </c>
      <c r="AG329" s="179" t="e">
        <f t="shared" ref="AG329:AH348" ca="1" si="182">AF329</f>
        <v>#N/A</v>
      </c>
      <c r="AH329" s="179" t="e">
        <f t="shared" ca="1" si="182"/>
        <v>#N/A</v>
      </c>
    </row>
    <row r="330" spans="1:34" ht="15.75" customHeight="1">
      <c r="A330" s="449" t="s">
        <v>37</v>
      </c>
      <c r="B330" s="449" t="s">
        <v>547</v>
      </c>
      <c r="C330" s="449" t="s">
        <v>1477</v>
      </c>
      <c r="D330" s="193"/>
      <c r="E330" s="193"/>
      <c r="F330" s="193"/>
      <c r="T330" s="179" t="e">
        <f t="shared" ref="T330:T393" ca="1" si="183">T329+MATCH($T$7,INDIRECT("$A"&amp;T329+1&amp;":$A$1000"),0)</f>
        <v>#N/A</v>
      </c>
      <c r="U330" s="179" t="e">
        <f t="shared" ca="1" si="174"/>
        <v>#N/A</v>
      </c>
      <c r="V330" s="179" t="e">
        <f t="shared" ca="1" si="174"/>
        <v>#N/A</v>
      </c>
      <c r="W330" s="179" t="e">
        <f t="shared" ca="1" si="175"/>
        <v>#N/A</v>
      </c>
      <c r="X330" s="179" t="e">
        <f t="shared" ca="1" si="176"/>
        <v>#N/A</v>
      </c>
      <c r="Y330" s="179" t="e">
        <f t="shared" ca="1" si="176"/>
        <v>#N/A</v>
      </c>
      <c r="Z330" s="179" t="e">
        <f t="shared" ca="1" si="177"/>
        <v>#N/A</v>
      </c>
      <c r="AA330" s="179" t="e">
        <f t="shared" ca="1" si="178"/>
        <v>#N/A</v>
      </c>
      <c r="AB330" s="179" t="e">
        <f t="shared" ca="1" si="178"/>
        <v>#N/A</v>
      </c>
      <c r="AC330" s="179" t="e">
        <f t="shared" ca="1" si="179"/>
        <v>#N/A</v>
      </c>
      <c r="AD330" s="179" t="e">
        <f t="shared" ca="1" si="180"/>
        <v>#N/A</v>
      </c>
      <c r="AE330" s="179" t="e">
        <f t="shared" ca="1" si="180"/>
        <v>#N/A</v>
      </c>
      <c r="AF330" s="179" t="e">
        <f t="shared" ca="1" si="181"/>
        <v>#N/A</v>
      </c>
      <c r="AG330" s="179" t="e">
        <f t="shared" ca="1" si="182"/>
        <v>#N/A</v>
      </c>
      <c r="AH330" s="179" t="e">
        <f t="shared" ca="1" si="182"/>
        <v>#N/A</v>
      </c>
    </row>
    <row r="331" spans="1:34" ht="15.75" customHeight="1">
      <c r="A331" s="449" t="s">
        <v>39</v>
      </c>
      <c r="B331" s="449" t="s">
        <v>1938</v>
      </c>
      <c r="C331" s="449" t="s">
        <v>676</v>
      </c>
      <c r="D331" s="193"/>
      <c r="E331" s="193"/>
      <c r="F331" s="193"/>
      <c r="T331" s="179" t="e">
        <f t="shared" ca="1" si="183"/>
        <v>#N/A</v>
      </c>
      <c r="U331" s="179" t="e">
        <f t="shared" ca="1" si="174"/>
        <v>#N/A</v>
      </c>
      <c r="V331" s="179" t="e">
        <f t="shared" ca="1" si="174"/>
        <v>#N/A</v>
      </c>
      <c r="W331" s="179" t="e">
        <f t="shared" ca="1" si="175"/>
        <v>#N/A</v>
      </c>
      <c r="X331" s="179" t="e">
        <f t="shared" ca="1" si="176"/>
        <v>#N/A</v>
      </c>
      <c r="Y331" s="179" t="e">
        <f t="shared" ca="1" si="176"/>
        <v>#N/A</v>
      </c>
      <c r="Z331" s="179" t="e">
        <f t="shared" ca="1" si="177"/>
        <v>#N/A</v>
      </c>
      <c r="AA331" s="179" t="e">
        <f t="shared" ca="1" si="178"/>
        <v>#N/A</v>
      </c>
      <c r="AB331" s="179" t="e">
        <f t="shared" ca="1" si="178"/>
        <v>#N/A</v>
      </c>
      <c r="AC331" s="179" t="e">
        <f t="shared" ca="1" si="179"/>
        <v>#N/A</v>
      </c>
      <c r="AD331" s="179" t="e">
        <f t="shared" ca="1" si="180"/>
        <v>#N/A</v>
      </c>
      <c r="AE331" s="179" t="e">
        <f t="shared" ca="1" si="180"/>
        <v>#N/A</v>
      </c>
      <c r="AF331" s="179" t="e">
        <f t="shared" ca="1" si="181"/>
        <v>#N/A</v>
      </c>
      <c r="AG331" s="179" t="e">
        <f t="shared" ca="1" si="182"/>
        <v>#N/A</v>
      </c>
      <c r="AH331" s="179" t="e">
        <f t="shared" ca="1" si="182"/>
        <v>#N/A</v>
      </c>
    </row>
    <row r="332" spans="1:34" ht="15.75" customHeight="1">
      <c r="A332" s="449" t="s">
        <v>39</v>
      </c>
      <c r="B332" s="449" t="s">
        <v>1306</v>
      </c>
      <c r="C332" s="449" t="s">
        <v>678</v>
      </c>
      <c r="D332" s="193"/>
      <c r="E332" s="193"/>
      <c r="F332" s="193"/>
      <c r="T332" s="179" t="e">
        <f t="shared" ca="1" si="183"/>
        <v>#N/A</v>
      </c>
      <c r="U332" s="179" t="e">
        <f t="shared" ca="1" si="174"/>
        <v>#N/A</v>
      </c>
      <c r="V332" s="179" t="e">
        <f t="shared" ca="1" si="174"/>
        <v>#N/A</v>
      </c>
      <c r="W332" s="179" t="e">
        <f t="shared" ca="1" si="175"/>
        <v>#N/A</v>
      </c>
      <c r="X332" s="179" t="e">
        <f t="shared" ca="1" si="176"/>
        <v>#N/A</v>
      </c>
      <c r="Y332" s="179" t="e">
        <f t="shared" ca="1" si="176"/>
        <v>#N/A</v>
      </c>
      <c r="Z332" s="179" t="e">
        <f t="shared" ca="1" si="177"/>
        <v>#N/A</v>
      </c>
      <c r="AA332" s="179" t="e">
        <f t="shared" ca="1" si="178"/>
        <v>#N/A</v>
      </c>
      <c r="AB332" s="179" t="e">
        <f t="shared" ca="1" si="178"/>
        <v>#N/A</v>
      </c>
      <c r="AC332" s="179" t="e">
        <f t="shared" ca="1" si="179"/>
        <v>#N/A</v>
      </c>
      <c r="AD332" s="179" t="e">
        <f t="shared" ca="1" si="180"/>
        <v>#N/A</v>
      </c>
      <c r="AE332" s="179" t="e">
        <f t="shared" ca="1" si="180"/>
        <v>#N/A</v>
      </c>
      <c r="AF332" s="179" t="e">
        <f t="shared" ca="1" si="181"/>
        <v>#N/A</v>
      </c>
      <c r="AG332" s="179" t="e">
        <f t="shared" ca="1" si="182"/>
        <v>#N/A</v>
      </c>
      <c r="AH332" s="179" t="e">
        <f t="shared" ca="1" si="182"/>
        <v>#N/A</v>
      </c>
    </row>
    <row r="333" spans="1:34" ht="15.75" customHeight="1">
      <c r="A333" s="449" t="s">
        <v>43</v>
      </c>
      <c r="B333" s="449" t="s">
        <v>445</v>
      </c>
      <c r="C333" s="449" t="s">
        <v>684</v>
      </c>
      <c r="D333" s="193"/>
      <c r="E333" s="193"/>
      <c r="F333" s="193"/>
      <c r="T333" s="179" t="e">
        <f t="shared" ca="1" si="183"/>
        <v>#N/A</v>
      </c>
      <c r="U333" s="179" t="e">
        <f t="shared" ca="1" si="174"/>
        <v>#N/A</v>
      </c>
      <c r="V333" s="179" t="e">
        <f t="shared" ca="1" si="174"/>
        <v>#N/A</v>
      </c>
      <c r="W333" s="179" t="e">
        <f t="shared" ca="1" si="175"/>
        <v>#N/A</v>
      </c>
      <c r="X333" s="179" t="e">
        <f t="shared" ca="1" si="176"/>
        <v>#N/A</v>
      </c>
      <c r="Y333" s="179" t="e">
        <f t="shared" ca="1" si="176"/>
        <v>#N/A</v>
      </c>
      <c r="Z333" s="179" t="e">
        <f t="shared" ca="1" si="177"/>
        <v>#N/A</v>
      </c>
      <c r="AA333" s="179" t="e">
        <f t="shared" ca="1" si="178"/>
        <v>#N/A</v>
      </c>
      <c r="AB333" s="179" t="e">
        <f t="shared" ca="1" si="178"/>
        <v>#N/A</v>
      </c>
      <c r="AC333" s="179" t="e">
        <f t="shared" ca="1" si="179"/>
        <v>#N/A</v>
      </c>
      <c r="AD333" s="179" t="e">
        <f t="shared" ca="1" si="180"/>
        <v>#N/A</v>
      </c>
      <c r="AE333" s="179" t="e">
        <f t="shared" ca="1" si="180"/>
        <v>#N/A</v>
      </c>
      <c r="AF333" s="179" t="e">
        <f t="shared" ca="1" si="181"/>
        <v>#N/A</v>
      </c>
      <c r="AG333" s="179" t="e">
        <f t="shared" ca="1" si="182"/>
        <v>#N/A</v>
      </c>
      <c r="AH333" s="179" t="e">
        <f t="shared" ca="1" si="182"/>
        <v>#N/A</v>
      </c>
    </row>
    <row r="334" spans="1:34" ht="15.75" customHeight="1">
      <c r="A334" s="449" t="s">
        <v>39</v>
      </c>
      <c r="B334" s="449" t="s">
        <v>548</v>
      </c>
      <c r="C334" s="449" t="s">
        <v>685</v>
      </c>
      <c r="D334" s="193"/>
      <c r="E334" s="193"/>
      <c r="F334" s="193"/>
      <c r="T334" s="179" t="e">
        <f t="shared" ca="1" si="183"/>
        <v>#N/A</v>
      </c>
      <c r="U334" s="179" t="e">
        <f t="shared" ca="1" si="174"/>
        <v>#N/A</v>
      </c>
      <c r="V334" s="179" t="e">
        <f t="shared" ca="1" si="174"/>
        <v>#N/A</v>
      </c>
      <c r="W334" s="179" t="e">
        <f t="shared" ca="1" si="175"/>
        <v>#N/A</v>
      </c>
      <c r="X334" s="179" t="e">
        <f t="shared" ca="1" si="176"/>
        <v>#N/A</v>
      </c>
      <c r="Y334" s="179" t="e">
        <f t="shared" ca="1" si="176"/>
        <v>#N/A</v>
      </c>
      <c r="Z334" s="179" t="e">
        <f t="shared" ca="1" si="177"/>
        <v>#N/A</v>
      </c>
      <c r="AA334" s="179" t="e">
        <f t="shared" ca="1" si="178"/>
        <v>#N/A</v>
      </c>
      <c r="AB334" s="179" t="e">
        <f t="shared" ca="1" si="178"/>
        <v>#N/A</v>
      </c>
      <c r="AC334" s="179" t="e">
        <f t="shared" ca="1" si="179"/>
        <v>#N/A</v>
      </c>
      <c r="AD334" s="179" t="e">
        <f t="shared" ca="1" si="180"/>
        <v>#N/A</v>
      </c>
      <c r="AE334" s="179" t="e">
        <f t="shared" ca="1" si="180"/>
        <v>#N/A</v>
      </c>
      <c r="AF334" s="179" t="e">
        <f t="shared" ca="1" si="181"/>
        <v>#N/A</v>
      </c>
      <c r="AG334" s="179" t="e">
        <f t="shared" ca="1" si="182"/>
        <v>#N/A</v>
      </c>
      <c r="AH334" s="179" t="e">
        <f t="shared" ca="1" si="182"/>
        <v>#N/A</v>
      </c>
    </row>
    <row r="335" spans="1:34" ht="15.75" customHeight="1">
      <c r="A335" s="449" t="s">
        <v>37</v>
      </c>
      <c r="B335" s="449" t="s">
        <v>550</v>
      </c>
      <c r="C335" s="449" t="s">
        <v>691</v>
      </c>
      <c r="D335" s="193"/>
      <c r="E335" s="193"/>
      <c r="F335" s="193"/>
      <c r="T335" s="179" t="e">
        <f t="shared" ca="1" si="183"/>
        <v>#N/A</v>
      </c>
      <c r="U335" s="179" t="e">
        <f t="shared" ca="1" si="174"/>
        <v>#N/A</v>
      </c>
      <c r="V335" s="179" t="e">
        <f t="shared" ca="1" si="174"/>
        <v>#N/A</v>
      </c>
      <c r="W335" s="179" t="e">
        <f t="shared" ca="1" si="175"/>
        <v>#N/A</v>
      </c>
      <c r="X335" s="179" t="e">
        <f t="shared" ca="1" si="176"/>
        <v>#N/A</v>
      </c>
      <c r="Y335" s="179" t="e">
        <f t="shared" ca="1" si="176"/>
        <v>#N/A</v>
      </c>
      <c r="Z335" s="179" t="e">
        <f t="shared" ca="1" si="177"/>
        <v>#N/A</v>
      </c>
      <c r="AA335" s="179" t="e">
        <f t="shared" ca="1" si="178"/>
        <v>#N/A</v>
      </c>
      <c r="AB335" s="179" t="e">
        <f t="shared" ca="1" si="178"/>
        <v>#N/A</v>
      </c>
      <c r="AC335" s="179" t="e">
        <f t="shared" ca="1" si="179"/>
        <v>#N/A</v>
      </c>
      <c r="AD335" s="179" t="e">
        <f t="shared" ca="1" si="180"/>
        <v>#N/A</v>
      </c>
      <c r="AE335" s="179" t="e">
        <f t="shared" ca="1" si="180"/>
        <v>#N/A</v>
      </c>
      <c r="AF335" s="179" t="e">
        <f t="shared" ca="1" si="181"/>
        <v>#N/A</v>
      </c>
      <c r="AG335" s="179" t="e">
        <f t="shared" ca="1" si="182"/>
        <v>#N/A</v>
      </c>
      <c r="AH335" s="179" t="e">
        <f t="shared" ca="1" si="182"/>
        <v>#N/A</v>
      </c>
    </row>
    <row r="336" spans="1:34" ht="15.75" customHeight="1">
      <c r="A336" s="449" t="s">
        <v>43</v>
      </c>
      <c r="B336" s="449" t="s">
        <v>450</v>
      </c>
      <c r="C336" s="449" t="s">
        <v>680</v>
      </c>
      <c r="D336" s="193"/>
      <c r="E336" s="193"/>
      <c r="F336" s="193"/>
      <c r="T336" s="179" t="e">
        <f t="shared" ca="1" si="183"/>
        <v>#N/A</v>
      </c>
      <c r="U336" s="179" t="e">
        <f t="shared" ca="1" si="174"/>
        <v>#N/A</v>
      </c>
      <c r="V336" s="179" t="e">
        <f t="shared" ca="1" si="174"/>
        <v>#N/A</v>
      </c>
      <c r="W336" s="179" t="e">
        <f t="shared" ca="1" si="175"/>
        <v>#N/A</v>
      </c>
      <c r="X336" s="179" t="e">
        <f t="shared" ca="1" si="176"/>
        <v>#N/A</v>
      </c>
      <c r="Y336" s="179" t="e">
        <f t="shared" ca="1" si="176"/>
        <v>#N/A</v>
      </c>
      <c r="Z336" s="179" t="e">
        <f t="shared" ca="1" si="177"/>
        <v>#N/A</v>
      </c>
      <c r="AA336" s="179" t="e">
        <f t="shared" ca="1" si="178"/>
        <v>#N/A</v>
      </c>
      <c r="AB336" s="179" t="e">
        <f t="shared" ca="1" si="178"/>
        <v>#N/A</v>
      </c>
      <c r="AC336" s="179" t="e">
        <f t="shared" ca="1" si="179"/>
        <v>#N/A</v>
      </c>
      <c r="AD336" s="179" t="e">
        <f t="shared" ca="1" si="180"/>
        <v>#N/A</v>
      </c>
      <c r="AE336" s="179" t="e">
        <f t="shared" ca="1" si="180"/>
        <v>#N/A</v>
      </c>
      <c r="AF336" s="179" t="e">
        <f t="shared" ca="1" si="181"/>
        <v>#N/A</v>
      </c>
      <c r="AG336" s="179" t="e">
        <f t="shared" ca="1" si="182"/>
        <v>#N/A</v>
      </c>
      <c r="AH336" s="179" t="e">
        <f t="shared" ca="1" si="182"/>
        <v>#N/A</v>
      </c>
    </row>
    <row r="337" spans="1:34" ht="15.75" customHeight="1">
      <c r="A337" s="449" t="s">
        <v>39</v>
      </c>
      <c r="B337" s="449" t="s">
        <v>1761</v>
      </c>
      <c r="C337" s="449" t="s">
        <v>1672</v>
      </c>
      <c r="D337" s="193"/>
      <c r="E337" s="193"/>
      <c r="F337" s="193"/>
      <c r="T337" s="179" t="e">
        <f t="shared" ca="1" si="183"/>
        <v>#N/A</v>
      </c>
      <c r="U337" s="179" t="e">
        <f t="shared" ca="1" si="174"/>
        <v>#N/A</v>
      </c>
      <c r="V337" s="179" t="e">
        <f t="shared" ca="1" si="174"/>
        <v>#N/A</v>
      </c>
      <c r="W337" s="179" t="e">
        <f t="shared" ca="1" si="175"/>
        <v>#N/A</v>
      </c>
      <c r="X337" s="179" t="e">
        <f t="shared" ca="1" si="176"/>
        <v>#N/A</v>
      </c>
      <c r="Y337" s="179" t="e">
        <f t="shared" ca="1" si="176"/>
        <v>#N/A</v>
      </c>
      <c r="Z337" s="179" t="e">
        <f t="shared" ca="1" si="177"/>
        <v>#N/A</v>
      </c>
      <c r="AA337" s="179" t="e">
        <f t="shared" ca="1" si="178"/>
        <v>#N/A</v>
      </c>
      <c r="AB337" s="179" t="e">
        <f t="shared" ca="1" si="178"/>
        <v>#N/A</v>
      </c>
      <c r="AC337" s="179" t="e">
        <f t="shared" ca="1" si="179"/>
        <v>#N/A</v>
      </c>
      <c r="AD337" s="179" t="e">
        <f t="shared" ca="1" si="180"/>
        <v>#N/A</v>
      </c>
      <c r="AE337" s="179" t="e">
        <f t="shared" ca="1" si="180"/>
        <v>#N/A</v>
      </c>
      <c r="AF337" s="179" t="e">
        <f t="shared" ca="1" si="181"/>
        <v>#N/A</v>
      </c>
      <c r="AG337" s="179" t="e">
        <f t="shared" ca="1" si="182"/>
        <v>#N/A</v>
      </c>
      <c r="AH337" s="179" t="e">
        <f t="shared" ca="1" si="182"/>
        <v>#N/A</v>
      </c>
    </row>
    <row r="338" spans="1:34" ht="15.75" customHeight="1">
      <c r="A338" s="449" t="s">
        <v>43</v>
      </c>
      <c r="B338" s="449" t="s">
        <v>452</v>
      </c>
      <c r="C338" s="449" t="s">
        <v>700</v>
      </c>
      <c r="D338" s="193"/>
      <c r="E338" s="193"/>
      <c r="F338" s="193"/>
      <c r="T338" s="179" t="e">
        <f t="shared" ca="1" si="183"/>
        <v>#N/A</v>
      </c>
      <c r="U338" s="179" t="e">
        <f t="shared" ca="1" si="174"/>
        <v>#N/A</v>
      </c>
      <c r="V338" s="179" t="e">
        <f t="shared" ca="1" si="174"/>
        <v>#N/A</v>
      </c>
      <c r="W338" s="179" t="e">
        <f t="shared" ca="1" si="175"/>
        <v>#N/A</v>
      </c>
      <c r="X338" s="179" t="e">
        <f t="shared" ca="1" si="176"/>
        <v>#N/A</v>
      </c>
      <c r="Y338" s="179" t="e">
        <f t="shared" ca="1" si="176"/>
        <v>#N/A</v>
      </c>
      <c r="Z338" s="179" t="e">
        <f t="shared" ca="1" si="177"/>
        <v>#N/A</v>
      </c>
      <c r="AA338" s="179" t="e">
        <f t="shared" ca="1" si="178"/>
        <v>#N/A</v>
      </c>
      <c r="AB338" s="179" t="e">
        <f t="shared" ca="1" si="178"/>
        <v>#N/A</v>
      </c>
      <c r="AC338" s="179" t="e">
        <f t="shared" ca="1" si="179"/>
        <v>#N/A</v>
      </c>
      <c r="AD338" s="179" t="e">
        <f t="shared" ca="1" si="180"/>
        <v>#N/A</v>
      </c>
      <c r="AE338" s="179" t="e">
        <f t="shared" ca="1" si="180"/>
        <v>#N/A</v>
      </c>
      <c r="AF338" s="179" t="e">
        <f t="shared" ca="1" si="181"/>
        <v>#N/A</v>
      </c>
      <c r="AG338" s="179" t="e">
        <f t="shared" ca="1" si="182"/>
        <v>#N/A</v>
      </c>
      <c r="AH338" s="179" t="e">
        <f t="shared" ca="1" si="182"/>
        <v>#N/A</v>
      </c>
    </row>
    <row r="339" spans="1:34" ht="15.75" customHeight="1">
      <c r="A339" s="449" t="s">
        <v>39</v>
      </c>
      <c r="B339" s="449" t="s">
        <v>1759</v>
      </c>
      <c r="C339" s="449" t="s">
        <v>686</v>
      </c>
      <c r="D339" s="193"/>
      <c r="E339" s="193"/>
      <c r="F339" s="193"/>
      <c r="T339" s="179" t="e">
        <f t="shared" ca="1" si="183"/>
        <v>#N/A</v>
      </c>
      <c r="U339" s="179" t="e">
        <f t="shared" ca="1" si="174"/>
        <v>#N/A</v>
      </c>
      <c r="V339" s="179" t="e">
        <f t="shared" ca="1" si="174"/>
        <v>#N/A</v>
      </c>
      <c r="W339" s="179" t="e">
        <f t="shared" ca="1" si="175"/>
        <v>#N/A</v>
      </c>
      <c r="X339" s="179" t="e">
        <f t="shared" ca="1" si="176"/>
        <v>#N/A</v>
      </c>
      <c r="Y339" s="179" t="e">
        <f t="shared" ca="1" si="176"/>
        <v>#N/A</v>
      </c>
      <c r="Z339" s="179" t="e">
        <f t="shared" ca="1" si="177"/>
        <v>#N/A</v>
      </c>
      <c r="AA339" s="179" t="e">
        <f t="shared" ca="1" si="178"/>
        <v>#N/A</v>
      </c>
      <c r="AB339" s="179" t="e">
        <f t="shared" ca="1" si="178"/>
        <v>#N/A</v>
      </c>
      <c r="AC339" s="179" t="e">
        <f t="shared" ca="1" si="179"/>
        <v>#N/A</v>
      </c>
      <c r="AD339" s="179" t="e">
        <f t="shared" ca="1" si="180"/>
        <v>#N/A</v>
      </c>
      <c r="AE339" s="179" t="e">
        <f t="shared" ca="1" si="180"/>
        <v>#N/A</v>
      </c>
      <c r="AF339" s="179" t="e">
        <f t="shared" ca="1" si="181"/>
        <v>#N/A</v>
      </c>
      <c r="AG339" s="179" t="e">
        <f t="shared" ca="1" si="182"/>
        <v>#N/A</v>
      </c>
      <c r="AH339" s="179" t="e">
        <f t="shared" ca="1" si="182"/>
        <v>#N/A</v>
      </c>
    </row>
    <row r="340" spans="1:34" ht="15.75" customHeight="1">
      <c r="A340" s="449" t="s">
        <v>39</v>
      </c>
      <c r="B340" s="449" t="s">
        <v>1964</v>
      </c>
      <c r="C340" s="449" t="s">
        <v>1672</v>
      </c>
      <c r="D340" s="193"/>
      <c r="E340" s="193"/>
      <c r="F340" s="193"/>
      <c r="T340" s="179" t="e">
        <f t="shared" ca="1" si="183"/>
        <v>#N/A</v>
      </c>
      <c r="U340" s="179" t="e">
        <f t="shared" ca="1" si="174"/>
        <v>#N/A</v>
      </c>
      <c r="V340" s="179" t="e">
        <f t="shared" ca="1" si="174"/>
        <v>#N/A</v>
      </c>
      <c r="W340" s="179" t="e">
        <f t="shared" ca="1" si="175"/>
        <v>#N/A</v>
      </c>
      <c r="X340" s="179" t="e">
        <f t="shared" ca="1" si="176"/>
        <v>#N/A</v>
      </c>
      <c r="Y340" s="179" t="e">
        <f t="shared" ca="1" si="176"/>
        <v>#N/A</v>
      </c>
      <c r="Z340" s="179" t="e">
        <f t="shared" ca="1" si="177"/>
        <v>#N/A</v>
      </c>
      <c r="AA340" s="179" t="e">
        <f t="shared" ca="1" si="178"/>
        <v>#N/A</v>
      </c>
      <c r="AB340" s="179" t="e">
        <f t="shared" ca="1" si="178"/>
        <v>#N/A</v>
      </c>
      <c r="AC340" s="179" t="e">
        <f t="shared" ca="1" si="179"/>
        <v>#N/A</v>
      </c>
      <c r="AD340" s="179" t="e">
        <f t="shared" ca="1" si="180"/>
        <v>#N/A</v>
      </c>
      <c r="AE340" s="179" t="e">
        <f t="shared" ca="1" si="180"/>
        <v>#N/A</v>
      </c>
      <c r="AF340" s="179" t="e">
        <f t="shared" ca="1" si="181"/>
        <v>#N/A</v>
      </c>
      <c r="AG340" s="179" t="e">
        <f t="shared" ca="1" si="182"/>
        <v>#N/A</v>
      </c>
      <c r="AH340" s="179" t="e">
        <f t="shared" ca="1" si="182"/>
        <v>#N/A</v>
      </c>
    </row>
    <row r="341" spans="1:34" ht="15.75" customHeight="1">
      <c r="A341" s="449" t="s">
        <v>35</v>
      </c>
      <c r="B341" s="449" t="s">
        <v>1675</v>
      </c>
      <c r="C341" s="449" t="s">
        <v>1477</v>
      </c>
      <c r="D341" s="193"/>
      <c r="E341" s="193"/>
      <c r="F341" s="193"/>
      <c r="T341" s="179" t="e">
        <f t="shared" ca="1" si="183"/>
        <v>#N/A</v>
      </c>
      <c r="U341" s="179" t="e">
        <f t="shared" ca="1" si="174"/>
        <v>#N/A</v>
      </c>
      <c r="V341" s="179" t="e">
        <f t="shared" ca="1" si="174"/>
        <v>#N/A</v>
      </c>
      <c r="W341" s="179" t="e">
        <f t="shared" ca="1" si="175"/>
        <v>#N/A</v>
      </c>
      <c r="X341" s="179" t="e">
        <f t="shared" ca="1" si="176"/>
        <v>#N/A</v>
      </c>
      <c r="Y341" s="179" t="e">
        <f t="shared" ca="1" si="176"/>
        <v>#N/A</v>
      </c>
      <c r="Z341" s="179" t="e">
        <f t="shared" ca="1" si="177"/>
        <v>#N/A</v>
      </c>
      <c r="AA341" s="179" t="e">
        <f t="shared" ca="1" si="178"/>
        <v>#N/A</v>
      </c>
      <c r="AB341" s="179" t="e">
        <f t="shared" ca="1" si="178"/>
        <v>#N/A</v>
      </c>
      <c r="AC341" s="179" t="e">
        <f t="shared" ca="1" si="179"/>
        <v>#N/A</v>
      </c>
      <c r="AD341" s="179" t="e">
        <f t="shared" ca="1" si="180"/>
        <v>#N/A</v>
      </c>
      <c r="AE341" s="179" t="e">
        <f t="shared" ca="1" si="180"/>
        <v>#N/A</v>
      </c>
      <c r="AF341" s="179" t="e">
        <f t="shared" ca="1" si="181"/>
        <v>#N/A</v>
      </c>
      <c r="AG341" s="179" t="e">
        <f t="shared" ca="1" si="182"/>
        <v>#N/A</v>
      </c>
      <c r="AH341" s="179" t="e">
        <f t="shared" ca="1" si="182"/>
        <v>#N/A</v>
      </c>
    </row>
    <row r="342" spans="1:34" ht="15.75" customHeight="1">
      <c r="A342" s="449" t="s">
        <v>43</v>
      </c>
      <c r="B342" s="449" t="s">
        <v>552</v>
      </c>
      <c r="C342" s="449" t="s">
        <v>681</v>
      </c>
      <c r="D342" s="193"/>
      <c r="E342" s="193"/>
      <c r="F342" s="193"/>
      <c r="T342" s="179" t="e">
        <f t="shared" ca="1" si="183"/>
        <v>#N/A</v>
      </c>
      <c r="U342" s="179" t="e">
        <f t="shared" ca="1" si="174"/>
        <v>#N/A</v>
      </c>
      <c r="V342" s="179" t="e">
        <f t="shared" ca="1" si="174"/>
        <v>#N/A</v>
      </c>
      <c r="W342" s="179" t="e">
        <f t="shared" ca="1" si="175"/>
        <v>#N/A</v>
      </c>
      <c r="X342" s="179" t="e">
        <f t="shared" ca="1" si="176"/>
        <v>#N/A</v>
      </c>
      <c r="Y342" s="179" t="e">
        <f t="shared" ca="1" si="176"/>
        <v>#N/A</v>
      </c>
      <c r="Z342" s="179" t="e">
        <f t="shared" ca="1" si="177"/>
        <v>#N/A</v>
      </c>
      <c r="AA342" s="179" t="e">
        <f t="shared" ca="1" si="178"/>
        <v>#N/A</v>
      </c>
      <c r="AB342" s="179" t="e">
        <f t="shared" ca="1" si="178"/>
        <v>#N/A</v>
      </c>
      <c r="AC342" s="179" t="e">
        <f t="shared" ca="1" si="179"/>
        <v>#N/A</v>
      </c>
      <c r="AD342" s="179" t="e">
        <f t="shared" ca="1" si="180"/>
        <v>#N/A</v>
      </c>
      <c r="AE342" s="179" t="e">
        <f t="shared" ca="1" si="180"/>
        <v>#N/A</v>
      </c>
      <c r="AF342" s="179" t="e">
        <f t="shared" ca="1" si="181"/>
        <v>#N/A</v>
      </c>
      <c r="AG342" s="179" t="e">
        <f t="shared" ca="1" si="182"/>
        <v>#N/A</v>
      </c>
      <c r="AH342" s="179" t="e">
        <f t="shared" ca="1" si="182"/>
        <v>#N/A</v>
      </c>
    </row>
    <row r="343" spans="1:34" ht="15.75" customHeight="1">
      <c r="A343" s="449" t="s">
        <v>37</v>
      </c>
      <c r="B343" s="449" t="s">
        <v>1288</v>
      </c>
      <c r="C343" s="449" t="s">
        <v>700</v>
      </c>
      <c r="D343" s="193"/>
      <c r="E343" s="193"/>
      <c r="F343" s="193"/>
      <c r="T343" s="179" t="e">
        <f t="shared" ca="1" si="183"/>
        <v>#N/A</v>
      </c>
      <c r="U343" s="179" t="e">
        <f t="shared" ca="1" si="174"/>
        <v>#N/A</v>
      </c>
      <c r="V343" s="179" t="e">
        <f t="shared" ca="1" si="174"/>
        <v>#N/A</v>
      </c>
      <c r="W343" s="179" t="e">
        <f t="shared" ca="1" si="175"/>
        <v>#N/A</v>
      </c>
      <c r="X343" s="179" t="e">
        <f t="shared" ca="1" si="176"/>
        <v>#N/A</v>
      </c>
      <c r="Y343" s="179" t="e">
        <f t="shared" ca="1" si="176"/>
        <v>#N/A</v>
      </c>
      <c r="Z343" s="179" t="e">
        <f t="shared" ca="1" si="177"/>
        <v>#N/A</v>
      </c>
      <c r="AA343" s="179" t="e">
        <f t="shared" ca="1" si="178"/>
        <v>#N/A</v>
      </c>
      <c r="AB343" s="179" t="e">
        <f t="shared" ca="1" si="178"/>
        <v>#N/A</v>
      </c>
      <c r="AC343" s="179" t="e">
        <f t="shared" ca="1" si="179"/>
        <v>#N/A</v>
      </c>
      <c r="AD343" s="179" t="e">
        <f t="shared" ca="1" si="180"/>
        <v>#N/A</v>
      </c>
      <c r="AE343" s="179" t="e">
        <f t="shared" ca="1" si="180"/>
        <v>#N/A</v>
      </c>
      <c r="AF343" s="179" t="e">
        <f t="shared" ca="1" si="181"/>
        <v>#N/A</v>
      </c>
      <c r="AG343" s="179" t="e">
        <f t="shared" ca="1" si="182"/>
        <v>#N/A</v>
      </c>
      <c r="AH343" s="179" t="e">
        <f t="shared" ca="1" si="182"/>
        <v>#N/A</v>
      </c>
    </row>
    <row r="344" spans="1:34" ht="15.75" customHeight="1">
      <c r="A344" s="449" t="s">
        <v>37</v>
      </c>
      <c r="B344" s="449" t="s">
        <v>1941</v>
      </c>
      <c r="C344" s="449" t="s">
        <v>679</v>
      </c>
      <c r="D344" s="193"/>
      <c r="E344" s="193"/>
      <c r="F344" s="193"/>
      <c r="T344" s="179" t="e">
        <f t="shared" ca="1" si="183"/>
        <v>#N/A</v>
      </c>
      <c r="U344" s="179" t="e">
        <f t="shared" ca="1" si="174"/>
        <v>#N/A</v>
      </c>
      <c r="V344" s="179" t="e">
        <f t="shared" ca="1" si="174"/>
        <v>#N/A</v>
      </c>
      <c r="W344" s="179" t="e">
        <f t="shared" ca="1" si="175"/>
        <v>#N/A</v>
      </c>
      <c r="X344" s="179" t="e">
        <f t="shared" ca="1" si="176"/>
        <v>#N/A</v>
      </c>
      <c r="Y344" s="179" t="e">
        <f t="shared" ca="1" si="176"/>
        <v>#N/A</v>
      </c>
      <c r="Z344" s="179" t="e">
        <f t="shared" ca="1" si="177"/>
        <v>#N/A</v>
      </c>
      <c r="AA344" s="179" t="e">
        <f t="shared" ca="1" si="178"/>
        <v>#N/A</v>
      </c>
      <c r="AB344" s="179" t="e">
        <f t="shared" ca="1" si="178"/>
        <v>#N/A</v>
      </c>
      <c r="AC344" s="179" t="e">
        <f t="shared" ca="1" si="179"/>
        <v>#N/A</v>
      </c>
      <c r="AD344" s="179" t="e">
        <f t="shared" ca="1" si="180"/>
        <v>#N/A</v>
      </c>
      <c r="AE344" s="179" t="e">
        <f t="shared" ca="1" si="180"/>
        <v>#N/A</v>
      </c>
      <c r="AF344" s="179" t="e">
        <f t="shared" ca="1" si="181"/>
        <v>#N/A</v>
      </c>
      <c r="AG344" s="179" t="e">
        <f t="shared" ca="1" si="182"/>
        <v>#N/A</v>
      </c>
      <c r="AH344" s="179" t="e">
        <f t="shared" ca="1" si="182"/>
        <v>#N/A</v>
      </c>
    </row>
    <row r="345" spans="1:34" ht="15.75" customHeight="1">
      <c r="A345" s="449" t="s">
        <v>39</v>
      </c>
      <c r="B345" s="449" t="s">
        <v>1300</v>
      </c>
      <c r="C345" s="449" t="s">
        <v>679</v>
      </c>
      <c r="D345" s="193"/>
      <c r="E345" s="193"/>
      <c r="F345" s="193"/>
      <c r="T345" s="179" t="e">
        <f t="shared" ca="1" si="183"/>
        <v>#N/A</v>
      </c>
      <c r="U345" s="179" t="e">
        <f t="shared" ca="1" si="174"/>
        <v>#N/A</v>
      </c>
      <c r="V345" s="179" t="e">
        <f t="shared" ca="1" si="174"/>
        <v>#N/A</v>
      </c>
      <c r="W345" s="179" t="e">
        <f t="shared" ca="1" si="175"/>
        <v>#N/A</v>
      </c>
      <c r="X345" s="179" t="e">
        <f t="shared" ca="1" si="176"/>
        <v>#N/A</v>
      </c>
      <c r="Y345" s="179" t="e">
        <f t="shared" ca="1" si="176"/>
        <v>#N/A</v>
      </c>
      <c r="Z345" s="179" t="e">
        <f t="shared" ca="1" si="177"/>
        <v>#N/A</v>
      </c>
      <c r="AA345" s="179" t="e">
        <f t="shared" ca="1" si="178"/>
        <v>#N/A</v>
      </c>
      <c r="AB345" s="179" t="e">
        <f t="shared" ca="1" si="178"/>
        <v>#N/A</v>
      </c>
      <c r="AC345" s="179" t="e">
        <f t="shared" ca="1" si="179"/>
        <v>#N/A</v>
      </c>
      <c r="AD345" s="179" t="e">
        <f t="shared" ca="1" si="180"/>
        <v>#N/A</v>
      </c>
      <c r="AE345" s="179" t="e">
        <f t="shared" ca="1" si="180"/>
        <v>#N/A</v>
      </c>
      <c r="AF345" s="179" t="e">
        <f t="shared" ca="1" si="181"/>
        <v>#N/A</v>
      </c>
      <c r="AG345" s="179" t="e">
        <f t="shared" ca="1" si="182"/>
        <v>#N/A</v>
      </c>
      <c r="AH345" s="179" t="e">
        <f t="shared" ca="1" si="182"/>
        <v>#N/A</v>
      </c>
    </row>
    <row r="346" spans="1:34" ht="15.75" customHeight="1">
      <c r="A346" s="449" t="s">
        <v>37</v>
      </c>
      <c r="B346" s="449" t="s">
        <v>1992</v>
      </c>
      <c r="C346" s="449" t="s">
        <v>688</v>
      </c>
      <c r="D346" s="193"/>
      <c r="E346" s="193"/>
      <c r="F346" s="193"/>
      <c r="T346" s="179" t="e">
        <f t="shared" ca="1" si="183"/>
        <v>#N/A</v>
      </c>
      <c r="U346" s="179" t="e">
        <f t="shared" ca="1" si="174"/>
        <v>#N/A</v>
      </c>
      <c r="V346" s="179" t="e">
        <f t="shared" ca="1" si="174"/>
        <v>#N/A</v>
      </c>
      <c r="W346" s="179" t="e">
        <f t="shared" ca="1" si="175"/>
        <v>#N/A</v>
      </c>
      <c r="X346" s="179" t="e">
        <f t="shared" ca="1" si="176"/>
        <v>#N/A</v>
      </c>
      <c r="Y346" s="179" t="e">
        <f t="shared" ca="1" si="176"/>
        <v>#N/A</v>
      </c>
      <c r="Z346" s="179" t="e">
        <f t="shared" ca="1" si="177"/>
        <v>#N/A</v>
      </c>
      <c r="AA346" s="179" t="e">
        <f t="shared" ca="1" si="178"/>
        <v>#N/A</v>
      </c>
      <c r="AB346" s="179" t="e">
        <f t="shared" ca="1" si="178"/>
        <v>#N/A</v>
      </c>
      <c r="AC346" s="179" t="e">
        <f t="shared" ca="1" si="179"/>
        <v>#N/A</v>
      </c>
      <c r="AD346" s="179" t="e">
        <f t="shared" ca="1" si="180"/>
        <v>#N/A</v>
      </c>
      <c r="AE346" s="179" t="e">
        <f t="shared" ca="1" si="180"/>
        <v>#N/A</v>
      </c>
      <c r="AF346" s="179" t="e">
        <f t="shared" ca="1" si="181"/>
        <v>#N/A</v>
      </c>
      <c r="AG346" s="179" t="e">
        <f t="shared" ca="1" si="182"/>
        <v>#N/A</v>
      </c>
      <c r="AH346" s="179" t="e">
        <f t="shared" ca="1" si="182"/>
        <v>#N/A</v>
      </c>
    </row>
    <row r="347" spans="1:34" ht="15.75" customHeight="1">
      <c r="A347" s="449" t="s">
        <v>37</v>
      </c>
      <c r="B347" s="449" t="s">
        <v>1698</v>
      </c>
      <c r="C347" s="449" t="s">
        <v>692</v>
      </c>
      <c r="D347" s="193"/>
      <c r="E347" s="193"/>
      <c r="F347" s="193"/>
      <c r="T347" s="179" t="e">
        <f t="shared" ca="1" si="183"/>
        <v>#N/A</v>
      </c>
      <c r="U347" s="179" t="e">
        <f t="shared" ca="1" si="174"/>
        <v>#N/A</v>
      </c>
      <c r="V347" s="179" t="e">
        <f t="shared" ca="1" si="174"/>
        <v>#N/A</v>
      </c>
      <c r="W347" s="179" t="e">
        <f t="shared" ca="1" si="175"/>
        <v>#N/A</v>
      </c>
      <c r="X347" s="179" t="e">
        <f t="shared" ca="1" si="176"/>
        <v>#N/A</v>
      </c>
      <c r="Y347" s="179" t="e">
        <f t="shared" ca="1" si="176"/>
        <v>#N/A</v>
      </c>
      <c r="Z347" s="179" t="e">
        <f t="shared" ca="1" si="177"/>
        <v>#N/A</v>
      </c>
      <c r="AA347" s="179" t="e">
        <f t="shared" ca="1" si="178"/>
        <v>#N/A</v>
      </c>
      <c r="AB347" s="179" t="e">
        <f t="shared" ca="1" si="178"/>
        <v>#N/A</v>
      </c>
      <c r="AC347" s="179" t="e">
        <f t="shared" ca="1" si="179"/>
        <v>#N/A</v>
      </c>
      <c r="AD347" s="179" t="e">
        <f t="shared" ca="1" si="180"/>
        <v>#N/A</v>
      </c>
      <c r="AE347" s="179" t="e">
        <f t="shared" ca="1" si="180"/>
        <v>#N/A</v>
      </c>
      <c r="AF347" s="179" t="e">
        <f t="shared" ca="1" si="181"/>
        <v>#N/A</v>
      </c>
      <c r="AG347" s="179" t="e">
        <f t="shared" ca="1" si="182"/>
        <v>#N/A</v>
      </c>
      <c r="AH347" s="179" t="e">
        <f t="shared" ca="1" si="182"/>
        <v>#N/A</v>
      </c>
    </row>
    <row r="348" spans="1:34" ht="15.75" customHeight="1">
      <c r="A348" s="449" t="s">
        <v>43</v>
      </c>
      <c r="B348" s="449" t="s">
        <v>454</v>
      </c>
      <c r="C348" s="449" t="s">
        <v>681</v>
      </c>
      <c r="D348" s="193"/>
      <c r="E348" s="193"/>
      <c r="F348" s="193"/>
      <c r="T348" s="179" t="e">
        <f t="shared" ca="1" si="183"/>
        <v>#N/A</v>
      </c>
      <c r="U348" s="179" t="e">
        <f t="shared" ca="1" si="174"/>
        <v>#N/A</v>
      </c>
      <c r="V348" s="179" t="e">
        <f t="shared" ca="1" si="174"/>
        <v>#N/A</v>
      </c>
      <c r="W348" s="179" t="e">
        <f t="shared" ca="1" si="175"/>
        <v>#N/A</v>
      </c>
      <c r="X348" s="179" t="e">
        <f t="shared" ca="1" si="176"/>
        <v>#N/A</v>
      </c>
      <c r="Y348" s="179" t="e">
        <f t="shared" ca="1" si="176"/>
        <v>#N/A</v>
      </c>
      <c r="Z348" s="179" t="e">
        <f t="shared" ca="1" si="177"/>
        <v>#N/A</v>
      </c>
      <c r="AA348" s="179" t="e">
        <f t="shared" ca="1" si="178"/>
        <v>#N/A</v>
      </c>
      <c r="AB348" s="179" t="e">
        <f t="shared" ca="1" si="178"/>
        <v>#N/A</v>
      </c>
      <c r="AC348" s="179" t="e">
        <f t="shared" ca="1" si="179"/>
        <v>#N/A</v>
      </c>
      <c r="AD348" s="179" t="e">
        <f t="shared" ca="1" si="180"/>
        <v>#N/A</v>
      </c>
      <c r="AE348" s="179" t="e">
        <f t="shared" ca="1" si="180"/>
        <v>#N/A</v>
      </c>
      <c r="AF348" s="179" t="e">
        <f t="shared" ca="1" si="181"/>
        <v>#N/A</v>
      </c>
      <c r="AG348" s="179" t="e">
        <f t="shared" ca="1" si="182"/>
        <v>#N/A</v>
      </c>
      <c r="AH348" s="179" t="e">
        <f t="shared" ca="1" si="182"/>
        <v>#N/A</v>
      </c>
    </row>
    <row r="349" spans="1:34" ht="15.75" customHeight="1">
      <c r="A349" s="449" t="s">
        <v>39</v>
      </c>
      <c r="B349" s="449" t="s">
        <v>555</v>
      </c>
      <c r="C349" s="449" t="s">
        <v>682</v>
      </c>
      <c r="D349" s="193"/>
      <c r="E349" s="193"/>
      <c r="F349" s="193"/>
      <c r="T349" s="179" t="e">
        <f t="shared" ca="1" si="183"/>
        <v>#N/A</v>
      </c>
      <c r="U349" s="179" t="e">
        <f t="shared" ref="U349:V368" ca="1" si="184">T349</f>
        <v>#N/A</v>
      </c>
      <c r="V349" s="179" t="e">
        <f t="shared" ca="1" si="184"/>
        <v>#N/A</v>
      </c>
      <c r="W349" s="179" t="e">
        <f t="shared" ca="1" si="175"/>
        <v>#N/A</v>
      </c>
      <c r="X349" s="179" t="e">
        <f t="shared" ref="X349:Y368" ca="1" si="185">W349</f>
        <v>#N/A</v>
      </c>
      <c r="Y349" s="179" t="e">
        <f t="shared" ca="1" si="185"/>
        <v>#N/A</v>
      </c>
      <c r="Z349" s="179" t="e">
        <f t="shared" ca="1" si="177"/>
        <v>#N/A</v>
      </c>
      <c r="AA349" s="179" t="e">
        <f t="shared" ref="AA349:AB368" ca="1" si="186">Z349</f>
        <v>#N/A</v>
      </c>
      <c r="AB349" s="179" t="e">
        <f t="shared" ca="1" si="186"/>
        <v>#N/A</v>
      </c>
      <c r="AC349" s="179" t="e">
        <f t="shared" ca="1" si="179"/>
        <v>#N/A</v>
      </c>
      <c r="AD349" s="179" t="e">
        <f t="shared" ref="AD349:AE368" ca="1" si="187">AC349</f>
        <v>#N/A</v>
      </c>
      <c r="AE349" s="179" t="e">
        <f t="shared" ca="1" si="187"/>
        <v>#N/A</v>
      </c>
      <c r="AF349" s="179" t="e">
        <f t="shared" ca="1" si="181"/>
        <v>#N/A</v>
      </c>
      <c r="AG349" s="179" t="e">
        <f t="shared" ref="AG349:AH368" ca="1" si="188">AF349</f>
        <v>#N/A</v>
      </c>
      <c r="AH349" s="179" t="e">
        <f t="shared" ca="1" si="188"/>
        <v>#N/A</v>
      </c>
    </row>
    <row r="350" spans="1:34" ht="15.75" customHeight="1">
      <c r="A350" s="449" t="s">
        <v>35</v>
      </c>
      <c r="B350" s="449" t="s">
        <v>1868</v>
      </c>
      <c r="C350" s="449" t="s">
        <v>687</v>
      </c>
      <c r="D350" s="193"/>
      <c r="E350" s="193"/>
      <c r="F350" s="193"/>
      <c r="T350" s="179" t="e">
        <f t="shared" ca="1" si="183"/>
        <v>#N/A</v>
      </c>
      <c r="U350" s="179" t="e">
        <f t="shared" ca="1" si="184"/>
        <v>#N/A</v>
      </c>
      <c r="V350" s="179" t="e">
        <f t="shared" ca="1" si="184"/>
        <v>#N/A</v>
      </c>
      <c r="W350" s="179" t="e">
        <f t="shared" ca="1" si="175"/>
        <v>#N/A</v>
      </c>
      <c r="X350" s="179" t="e">
        <f t="shared" ca="1" si="185"/>
        <v>#N/A</v>
      </c>
      <c r="Y350" s="179" t="e">
        <f t="shared" ca="1" si="185"/>
        <v>#N/A</v>
      </c>
      <c r="Z350" s="179" t="e">
        <f t="shared" ca="1" si="177"/>
        <v>#N/A</v>
      </c>
      <c r="AA350" s="179" t="e">
        <f t="shared" ca="1" si="186"/>
        <v>#N/A</v>
      </c>
      <c r="AB350" s="179" t="e">
        <f t="shared" ca="1" si="186"/>
        <v>#N/A</v>
      </c>
      <c r="AC350" s="179" t="e">
        <f t="shared" ca="1" si="179"/>
        <v>#N/A</v>
      </c>
      <c r="AD350" s="179" t="e">
        <f t="shared" ca="1" si="187"/>
        <v>#N/A</v>
      </c>
      <c r="AE350" s="179" t="e">
        <f t="shared" ca="1" si="187"/>
        <v>#N/A</v>
      </c>
      <c r="AF350" s="179" t="e">
        <f t="shared" ca="1" si="181"/>
        <v>#N/A</v>
      </c>
      <c r="AG350" s="179" t="e">
        <f t="shared" ca="1" si="188"/>
        <v>#N/A</v>
      </c>
      <c r="AH350" s="179" t="e">
        <f t="shared" ca="1" si="188"/>
        <v>#N/A</v>
      </c>
    </row>
    <row r="351" spans="1:34" ht="15.75" customHeight="1">
      <c r="A351" s="449" t="s">
        <v>37</v>
      </c>
      <c r="B351" s="449" t="s">
        <v>551</v>
      </c>
      <c r="C351" s="449" t="s">
        <v>677</v>
      </c>
      <c r="D351" s="193"/>
      <c r="E351" s="193"/>
      <c r="F351" s="193"/>
      <c r="T351" s="179" t="e">
        <f t="shared" ca="1" si="183"/>
        <v>#N/A</v>
      </c>
      <c r="U351" s="179" t="e">
        <f t="shared" ca="1" si="184"/>
        <v>#N/A</v>
      </c>
      <c r="V351" s="179" t="e">
        <f t="shared" ca="1" si="184"/>
        <v>#N/A</v>
      </c>
      <c r="W351" s="179" t="e">
        <f t="shared" ca="1" si="175"/>
        <v>#N/A</v>
      </c>
      <c r="X351" s="179" t="e">
        <f t="shared" ca="1" si="185"/>
        <v>#N/A</v>
      </c>
      <c r="Y351" s="179" t="e">
        <f t="shared" ca="1" si="185"/>
        <v>#N/A</v>
      </c>
      <c r="Z351" s="179" t="e">
        <f t="shared" ca="1" si="177"/>
        <v>#N/A</v>
      </c>
      <c r="AA351" s="179" t="e">
        <f t="shared" ca="1" si="186"/>
        <v>#N/A</v>
      </c>
      <c r="AB351" s="179" t="e">
        <f t="shared" ca="1" si="186"/>
        <v>#N/A</v>
      </c>
      <c r="AC351" s="179" t="e">
        <f t="shared" ca="1" si="179"/>
        <v>#N/A</v>
      </c>
      <c r="AD351" s="179" t="e">
        <f t="shared" ca="1" si="187"/>
        <v>#N/A</v>
      </c>
      <c r="AE351" s="179" t="e">
        <f t="shared" ca="1" si="187"/>
        <v>#N/A</v>
      </c>
      <c r="AF351" s="179" t="e">
        <f t="shared" ca="1" si="181"/>
        <v>#N/A</v>
      </c>
      <c r="AG351" s="179" t="e">
        <f t="shared" ca="1" si="188"/>
        <v>#N/A</v>
      </c>
      <c r="AH351" s="179" t="e">
        <f t="shared" ca="1" si="188"/>
        <v>#N/A</v>
      </c>
    </row>
    <row r="352" spans="1:34" ht="15.75" customHeight="1">
      <c r="A352" s="449" t="s">
        <v>35</v>
      </c>
      <c r="B352" s="449" t="s">
        <v>379</v>
      </c>
      <c r="C352" s="449" t="s">
        <v>691</v>
      </c>
      <c r="D352" s="193"/>
      <c r="E352" s="193"/>
      <c r="F352" s="193"/>
      <c r="T352" s="179" t="e">
        <f t="shared" ca="1" si="183"/>
        <v>#N/A</v>
      </c>
      <c r="U352" s="179" t="e">
        <f t="shared" ca="1" si="184"/>
        <v>#N/A</v>
      </c>
      <c r="V352" s="179" t="e">
        <f t="shared" ca="1" si="184"/>
        <v>#N/A</v>
      </c>
      <c r="W352" s="179" t="e">
        <f t="shared" ca="1" si="175"/>
        <v>#N/A</v>
      </c>
      <c r="X352" s="179" t="e">
        <f t="shared" ca="1" si="185"/>
        <v>#N/A</v>
      </c>
      <c r="Y352" s="179" t="e">
        <f t="shared" ca="1" si="185"/>
        <v>#N/A</v>
      </c>
      <c r="Z352" s="179" t="e">
        <f t="shared" ca="1" si="177"/>
        <v>#N/A</v>
      </c>
      <c r="AA352" s="179" t="e">
        <f t="shared" ca="1" si="186"/>
        <v>#N/A</v>
      </c>
      <c r="AB352" s="179" t="e">
        <f t="shared" ca="1" si="186"/>
        <v>#N/A</v>
      </c>
      <c r="AC352" s="179" t="e">
        <f t="shared" ca="1" si="179"/>
        <v>#N/A</v>
      </c>
      <c r="AD352" s="179" t="e">
        <f t="shared" ca="1" si="187"/>
        <v>#N/A</v>
      </c>
      <c r="AE352" s="179" t="e">
        <f t="shared" ca="1" si="187"/>
        <v>#N/A</v>
      </c>
      <c r="AF352" s="179" t="e">
        <f t="shared" ca="1" si="181"/>
        <v>#N/A</v>
      </c>
      <c r="AG352" s="179" t="e">
        <f t="shared" ca="1" si="188"/>
        <v>#N/A</v>
      </c>
      <c r="AH352" s="179" t="e">
        <f t="shared" ca="1" si="188"/>
        <v>#N/A</v>
      </c>
    </row>
    <row r="353" spans="1:34" ht="15.75" customHeight="1">
      <c r="A353" s="449" t="s">
        <v>39</v>
      </c>
      <c r="B353" s="449" t="s">
        <v>556</v>
      </c>
      <c r="C353" s="449" t="s">
        <v>685</v>
      </c>
      <c r="T353" s="179" t="e">
        <f t="shared" ca="1" si="183"/>
        <v>#N/A</v>
      </c>
      <c r="U353" s="179" t="e">
        <f t="shared" ca="1" si="184"/>
        <v>#N/A</v>
      </c>
      <c r="V353" s="179" t="e">
        <f t="shared" ca="1" si="184"/>
        <v>#N/A</v>
      </c>
      <c r="W353" s="179" t="e">
        <f t="shared" ca="1" si="175"/>
        <v>#N/A</v>
      </c>
      <c r="X353" s="179" t="e">
        <f t="shared" ca="1" si="185"/>
        <v>#N/A</v>
      </c>
      <c r="Y353" s="179" t="e">
        <f t="shared" ca="1" si="185"/>
        <v>#N/A</v>
      </c>
      <c r="Z353" s="179" t="e">
        <f t="shared" ca="1" si="177"/>
        <v>#N/A</v>
      </c>
      <c r="AA353" s="179" t="e">
        <f t="shared" ca="1" si="186"/>
        <v>#N/A</v>
      </c>
      <c r="AB353" s="179" t="e">
        <f t="shared" ca="1" si="186"/>
        <v>#N/A</v>
      </c>
      <c r="AC353" s="179" t="e">
        <f t="shared" ca="1" si="179"/>
        <v>#N/A</v>
      </c>
      <c r="AD353" s="179" t="e">
        <f t="shared" ca="1" si="187"/>
        <v>#N/A</v>
      </c>
      <c r="AE353" s="179" t="e">
        <f t="shared" ca="1" si="187"/>
        <v>#N/A</v>
      </c>
      <c r="AF353" s="179" t="e">
        <f t="shared" ca="1" si="181"/>
        <v>#N/A</v>
      </c>
      <c r="AG353" s="179" t="e">
        <f t="shared" ca="1" si="188"/>
        <v>#N/A</v>
      </c>
      <c r="AH353" s="179" t="e">
        <f t="shared" ca="1" si="188"/>
        <v>#N/A</v>
      </c>
    </row>
    <row r="354" spans="1:34" ht="15.75" customHeight="1">
      <c r="A354" s="449" t="s">
        <v>37</v>
      </c>
      <c r="B354" s="449" t="s">
        <v>553</v>
      </c>
      <c r="C354" s="449" t="s">
        <v>687</v>
      </c>
      <c r="D354" s="193"/>
      <c r="E354" s="193"/>
      <c r="F354" s="193"/>
      <c r="T354" s="179" t="e">
        <f t="shared" ca="1" si="183"/>
        <v>#N/A</v>
      </c>
      <c r="U354" s="179" t="e">
        <f t="shared" ca="1" si="184"/>
        <v>#N/A</v>
      </c>
      <c r="V354" s="179" t="e">
        <f t="shared" ca="1" si="184"/>
        <v>#N/A</v>
      </c>
      <c r="W354" s="179" t="e">
        <f t="shared" ca="1" si="175"/>
        <v>#N/A</v>
      </c>
      <c r="X354" s="179" t="e">
        <f t="shared" ca="1" si="185"/>
        <v>#N/A</v>
      </c>
      <c r="Y354" s="179" t="e">
        <f t="shared" ca="1" si="185"/>
        <v>#N/A</v>
      </c>
      <c r="Z354" s="179" t="e">
        <f t="shared" ca="1" si="177"/>
        <v>#N/A</v>
      </c>
      <c r="AA354" s="179" t="e">
        <f t="shared" ca="1" si="186"/>
        <v>#N/A</v>
      </c>
      <c r="AB354" s="179" t="e">
        <f t="shared" ca="1" si="186"/>
        <v>#N/A</v>
      </c>
      <c r="AC354" s="179" t="e">
        <f t="shared" ca="1" si="179"/>
        <v>#N/A</v>
      </c>
      <c r="AD354" s="179" t="e">
        <f t="shared" ca="1" si="187"/>
        <v>#N/A</v>
      </c>
      <c r="AE354" s="179" t="e">
        <f t="shared" ca="1" si="187"/>
        <v>#N/A</v>
      </c>
      <c r="AF354" s="179" t="e">
        <f t="shared" ca="1" si="181"/>
        <v>#N/A</v>
      </c>
      <c r="AG354" s="179" t="e">
        <f t="shared" ca="1" si="188"/>
        <v>#N/A</v>
      </c>
      <c r="AH354" s="179" t="e">
        <f t="shared" ca="1" si="188"/>
        <v>#N/A</v>
      </c>
    </row>
    <row r="355" spans="1:34" ht="15.75" customHeight="1">
      <c r="A355" s="449" t="s">
        <v>39</v>
      </c>
      <c r="B355" s="449" t="s">
        <v>559</v>
      </c>
      <c r="C355" s="449" t="s">
        <v>678</v>
      </c>
      <c r="D355" s="193"/>
      <c r="E355" s="193"/>
      <c r="F355" s="193"/>
      <c r="T355" s="179" t="e">
        <f t="shared" ca="1" si="183"/>
        <v>#N/A</v>
      </c>
      <c r="U355" s="179" t="e">
        <f t="shared" ca="1" si="184"/>
        <v>#N/A</v>
      </c>
      <c r="V355" s="179" t="e">
        <f t="shared" ca="1" si="184"/>
        <v>#N/A</v>
      </c>
      <c r="W355" s="179" t="e">
        <f t="shared" ca="1" si="175"/>
        <v>#N/A</v>
      </c>
      <c r="X355" s="179" t="e">
        <f t="shared" ca="1" si="185"/>
        <v>#N/A</v>
      </c>
      <c r="Y355" s="179" t="e">
        <f t="shared" ca="1" si="185"/>
        <v>#N/A</v>
      </c>
      <c r="Z355" s="179" t="e">
        <f t="shared" ca="1" si="177"/>
        <v>#N/A</v>
      </c>
      <c r="AA355" s="179" t="e">
        <f t="shared" ca="1" si="186"/>
        <v>#N/A</v>
      </c>
      <c r="AB355" s="179" t="e">
        <f t="shared" ca="1" si="186"/>
        <v>#N/A</v>
      </c>
      <c r="AC355" s="179" t="e">
        <f t="shared" ca="1" si="179"/>
        <v>#N/A</v>
      </c>
      <c r="AD355" s="179" t="e">
        <f t="shared" ca="1" si="187"/>
        <v>#N/A</v>
      </c>
      <c r="AE355" s="179" t="e">
        <f t="shared" ca="1" si="187"/>
        <v>#N/A</v>
      </c>
      <c r="AF355" s="179" t="e">
        <f t="shared" ca="1" si="181"/>
        <v>#N/A</v>
      </c>
      <c r="AG355" s="179" t="e">
        <f t="shared" ca="1" si="188"/>
        <v>#N/A</v>
      </c>
      <c r="AH355" s="179" t="e">
        <f t="shared" ca="1" si="188"/>
        <v>#N/A</v>
      </c>
    </row>
    <row r="356" spans="1:34" ht="15.75" customHeight="1">
      <c r="A356" s="449" t="s">
        <v>39</v>
      </c>
      <c r="B356" s="449" t="s">
        <v>1741</v>
      </c>
      <c r="C356" s="449" t="s">
        <v>1477</v>
      </c>
      <c r="D356" s="193"/>
      <c r="E356" s="193"/>
      <c r="F356" s="193"/>
      <c r="T356" s="179" t="e">
        <f t="shared" ca="1" si="183"/>
        <v>#N/A</v>
      </c>
      <c r="U356" s="179" t="e">
        <f t="shared" ca="1" si="184"/>
        <v>#N/A</v>
      </c>
      <c r="V356" s="179" t="e">
        <f t="shared" ca="1" si="184"/>
        <v>#N/A</v>
      </c>
      <c r="W356" s="179" t="e">
        <f t="shared" ca="1" si="175"/>
        <v>#N/A</v>
      </c>
      <c r="X356" s="179" t="e">
        <f t="shared" ca="1" si="185"/>
        <v>#N/A</v>
      </c>
      <c r="Y356" s="179" t="e">
        <f t="shared" ca="1" si="185"/>
        <v>#N/A</v>
      </c>
      <c r="Z356" s="179" t="e">
        <f t="shared" ca="1" si="177"/>
        <v>#N/A</v>
      </c>
      <c r="AA356" s="179" t="e">
        <f t="shared" ca="1" si="186"/>
        <v>#N/A</v>
      </c>
      <c r="AB356" s="179" t="e">
        <f t="shared" ca="1" si="186"/>
        <v>#N/A</v>
      </c>
      <c r="AC356" s="179" t="e">
        <f t="shared" ca="1" si="179"/>
        <v>#N/A</v>
      </c>
      <c r="AD356" s="179" t="e">
        <f t="shared" ca="1" si="187"/>
        <v>#N/A</v>
      </c>
      <c r="AE356" s="179" t="e">
        <f t="shared" ca="1" si="187"/>
        <v>#N/A</v>
      </c>
      <c r="AF356" s="179" t="e">
        <f t="shared" ca="1" si="181"/>
        <v>#N/A</v>
      </c>
      <c r="AG356" s="179" t="e">
        <f t="shared" ca="1" si="188"/>
        <v>#N/A</v>
      </c>
      <c r="AH356" s="179" t="e">
        <f t="shared" ca="1" si="188"/>
        <v>#N/A</v>
      </c>
    </row>
    <row r="357" spans="1:34" ht="15.75" customHeight="1">
      <c r="A357" s="449" t="s">
        <v>37</v>
      </c>
      <c r="B357" s="449" t="s">
        <v>554</v>
      </c>
      <c r="C357" s="449" t="s">
        <v>687</v>
      </c>
      <c r="D357" s="193"/>
      <c r="E357" s="193"/>
      <c r="F357" s="193"/>
      <c r="T357" s="179" t="e">
        <f t="shared" ca="1" si="183"/>
        <v>#N/A</v>
      </c>
      <c r="U357" s="179" t="e">
        <f t="shared" ca="1" si="184"/>
        <v>#N/A</v>
      </c>
      <c r="V357" s="179" t="e">
        <f t="shared" ca="1" si="184"/>
        <v>#N/A</v>
      </c>
      <c r="W357" s="179" t="e">
        <f t="shared" ca="1" si="175"/>
        <v>#N/A</v>
      </c>
      <c r="X357" s="179" t="e">
        <f t="shared" ca="1" si="185"/>
        <v>#N/A</v>
      </c>
      <c r="Y357" s="179" t="e">
        <f t="shared" ca="1" si="185"/>
        <v>#N/A</v>
      </c>
      <c r="Z357" s="179" t="e">
        <f t="shared" ca="1" si="177"/>
        <v>#N/A</v>
      </c>
      <c r="AA357" s="179" t="e">
        <f t="shared" ca="1" si="186"/>
        <v>#N/A</v>
      </c>
      <c r="AB357" s="179" t="e">
        <f t="shared" ca="1" si="186"/>
        <v>#N/A</v>
      </c>
      <c r="AC357" s="179" t="e">
        <f t="shared" ca="1" si="179"/>
        <v>#N/A</v>
      </c>
      <c r="AD357" s="179" t="e">
        <f t="shared" ca="1" si="187"/>
        <v>#N/A</v>
      </c>
      <c r="AE357" s="179" t="e">
        <f t="shared" ca="1" si="187"/>
        <v>#N/A</v>
      </c>
      <c r="AF357" s="179" t="e">
        <f t="shared" ca="1" si="181"/>
        <v>#N/A</v>
      </c>
      <c r="AG357" s="179" t="e">
        <f t="shared" ca="1" si="188"/>
        <v>#N/A</v>
      </c>
      <c r="AH357" s="179" t="e">
        <f t="shared" ca="1" si="188"/>
        <v>#N/A</v>
      </c>
    </row>
    <row r="358" spans="1:34" ht="15.75" customHeight="1">
      <c r="A358" s="449" t="s">
        <v>39</v>
      </c>
      <c r="B358" s="449" t="s">
        <v>563</v>
      </c>
      <c r="C358" s="449" t="s">
        <v>682</v>
      </c>
      <c r="D358" s="193"/>
      <c r="E358" s="193"/>
      <c r="F358" s="193"/>
      <c r="T358" s="179" t="e">
        <f t="shared" ca="1" si="183"/>
        <v>#N/A</v>
      </c>
      <c r="U358" s="179" t="e">
        <f t="shared" ca="1" si="184"/>
        <v>#N/A</v>
      </c>
      <c r="V358" s="179" t="e">
        <f t="shared" ca="1" si="184"/>
        <v>#N/A</v>
      </c>
      <c r="W358" s="179" t="e">
        <f t="shared" ca="1" si="175"/>
        <v>#N/A</v>
      </c>
      <c r="X358" s="179" t="e">
        <f t="shared" ca="1" si="185"/>
        <v>#N/A</v>
      </c>
      <c r="Y358" s="179" t="e">
        <f t="shared" ca="1" si="185"/>
        <v>#N/A</v>
      </c>
      <c r="Z358" s="179" t="e">
        <f t="shared" ca="1" si="177"/>
        <v>#N/A</v>
      </c>
      <c r="AA358" s="179" t="e">
        <f t="shared" ca="1" si="186"/>
        <v>#N/A</v>
      </c>
      <c r="AB358" s="179" t="e">
        <f t="shared" ca="1" si="186"/>
        <v>#N/A</v>
      </c>
      <c r="AC358" s="179" t="e">
        <f t="shared" ca="1" si="179"/>
        <v>#N/A</v>
      </c>
      <c r="AD358" s="179" t="e">
        <f t="shared" ca="1" si="187"/>
        <v>#N/A</v>
      </c>
      <c r="AE358" s="179" t="e">
        <f t="shared" ca="1" si="187"/>
        <v>#N/A</v>
      </c>
      <c r="AF358" s="179" t="e">
        <f t="shared" ca="1" si="181"/>
        <v>#N/A</v>
      </c>
      <c r="AG358" s="179" t="e">
        <f t="shared" ca="1" si="188"/>
        <v>#N/A</v>
      </c>
      <c r="AH358" s="179" t="e">
        <f t="shared" ca="1" si="188"/>
        <v>#N/A</v>
      </c>
    </row>
    <row r="359" spans="1:34" ht="15.75" customHeight="1">
      <c r="A359" s="449" t="s">
        <v>37</v>
      </c>
      <c r="B359" s="449" t="s">
        <v>558</v>
      </c>
      <c r="C359" s="449" t="s">
        <v>688</v>
      </c>
      <c r="D359" s="193"/>
      <c r="E359" s="193"/>
      <c r="F359" s="193"/>
      <c r="T359" s="179" t="e">
        <f t="shared" ca="1" si="183"/>
        <v>#N/A</v>
      </c>
      <c r="U359" s="179" t="e">
        <f t="shared" ca="1" si="184"/>
        <v>#N/A</v>
      </c>
      <c r="V359" s="179" t="e">
        <f t="shared" ca="1" si="184"/>
        <v>#N/A</v>
      </c>
      <c r="W359" s="179" t="e">
        <f t="shared" ca="1" si="175"/>
        <v>#N/A</v>
      </c>
      <c r="X359" s="179" t="e">
        <f t="shared" ca="1" si="185"/>
        <v>#N/A</v>
      </c>
      <c r="Y359" s="179" t="e">
        <f t="shared" ca="1" si="185"/>
        <v>#N/A</v>
      </c>
      <c r="Z359" s="179" t="e">
        <f t="shared" ca="1" si="177"/>
        <v>#N/A</v>
      </c>
      <c r="AA359" s="179" t="e">
        <f t="shared" ca="1" si="186"/>
        <v>#N/A</v>
      </c>
      <c r="AB359" s="179" t="e">
        <f t="shared" ca="1" si="186"/>
        <v>#N/A</v>
      </c>
      <c r="AC359" s="179" t="e">
        <f t="shared" ca="1" si="179"/>
        <v>#N/A</v>
      </c>
      <c r="AD359" s="179" t="e">
        <f t="shared" ca="1" si="187"/>
        <v>#N/A</v>
      </c>
      <c r="AE359" s="179" t="e">
        <f t="shared" ca="1" si="187"/>
        <v>#N/A</v>
      </c>
      <c r="AF359" s="179" t="e">
        <f t="shared" ca="1" si="181"/>
        <v>#N/A</v>
      </c>
      <c r="AG359" s="179" t="e">
        <f t="shared" ca="1" si="188"/>
        <v>#N/A</v>
      </c>
      <c r="AH359" s="179" t="e">
        <f t="shared" ca="1" si="188"/>
        <v>#N/A</v>
      </c>
    </row>
    <row r="360" spans="1:34" ht="15.75" customHeight="1">
      <c r="A360" s="449" t="s">
        <v>37</v>
      </c>
      <c r="B360" s="449" t="s">
        <v>1701</v>
      </c>
      <c r="C360" s="449" t="s">
        <v>678</v>
      </c>
      <c r="D360" s="193"/>
      <c r="E360" s="193"/>
      <c r="F360" s="193"/>
      <c r="T360" s="179" t="e">
        <f t="shared" ca="1" si="183"/>
        <v>#N/A</v>
      </c>
      <c r="U360" s="179" t="e">
        <f t="shared" ca="1" si="184"/>
        <v>#N/A</v>
      </c>
      <c r="V360" s="179" t="e">
        <f t="shared" ca="1" si="184"/>
        <v>#N/A</v>
      </c>
      <c r="W360" s="179" t="e">
        <f t="shared" ca="1" si="175"/>
        <v>#N/A</v>
      </c>
      <c r="X360" s="179" t="e">
        <f t="shared" ca="1" si="185"/>
        <v>#N/A</v>
      </c>
      <c r="Y360" s="179" t="e">
        <f t="shared" ca="1" si="185"/>
        <v>#N/A</v>
      </c>
      <c r="Z360" s="179" t="e">
        <f t="shared" ca="1" si="177"/>
        <v>#N/A</v>
      </c>
      <c r="AA360" s="179" t="e">
        <f t="shared" ca="1" si="186"/>
        <v>#N/A</v>
      </c>
      <c r="AB360" s="179" t="e">
        <f t="shared" ca="1" si="186"/>
        <v>#N/A</v>
      </c>
      <c r="AC360" s="179" t="e">
        <f t="shared" ca="1" si="179"/>
        <v>#N/A</v>
      </c>
      <c r="AD360" s="179" t="e">
        <f t="shared" ca="1" si="187"/>
        <v>#N/A</v>
      </c>
      <c r="AE360" s="179" t="e">
        <f t="shared" ca="1" si="187"/>
        <v>#N/A</v>
      </c>
      <c r="AF360" s="179" t="e">
        <f t="shared" ca="1" si="181"/>
        <v>#N/A</v>
      </c>
      <c r="AG360" s="179" t="e">
        <f t="shared" ca="1" si="188"/>
        <v>#N/A</v>
      </c>
      <c r="AH360" s="179" t="e">
        <f t="shared" ca="1" si="188"/>
        <v>#N/A</v>
      </c>
    </row>
    <row r="361" spans="1:34" ht="15.75" customHeight="1">
      <c r="A361" s="449" t="s">
        <v>37</v>
      </c>
      <c r="B361" s="449" t="s">
        <v>560</v>
      </c>
      <c r="C361" s="449" t="s">
        <v>677</v>
      </c>
      <c r="D361" s="193"/>
      <c r="E361" s="193"/>
      <c r="F361" s="193"/>
      <c r="T361" s="179" t="e">
        <f t="shared" ca="1" si="183"/>
        <v>#N/A</v>
      </c>
      <c r="U361" s="179" t="e">
        <f t="shared" ca="1" si="184"/>
        <v>#N/A</v>
      </c>
      <c r="V361" s="179" t="e">
        <f t="shared" ca="1" si="184"/>
        <v>#N/A</v>
      </c>
      <c r="W361" s="179" t="e">
        <f t="shared" ca="1" si="175"/>
        <v>#N/A</v>
      </c>
      <c r="X361" s="179" t="e">
        <f t="shared" ca="1" si="185"/>
        <v>#N/A</v>
      </c>
      <c r="Y361" s="179" t="e">
        <f t="shared" ca="1" si="185"/>
        <v>#N/A</v>
      </c>
      <c r="Z361" s="179" t="e">
        <f t="shared" ca="1" si="177"/>
        <v>#N/A</v>
      </c>
      <c r="AA361" s="179" t="e">
        <f t="shared" ca="1" si="186"/>
        <v>#N/A</v>
      </c>
      <c r="AB361" s="179" t="e">
        <f t="shared" ca="1" si="186"/>
        <v>#N/A</v>
      </c>
      <c r="AC361" s="179" t="e">
        <f t="shared" ca="1" si="179"/>
        <v>#N/A</v>
      </c>
      <c r="AD361" s="179" t="e">
        <f t="shared" ca="1" si="187"/>
        <v>#N/A</v>
      </c>
      <c r="AE361" s="179" t="e">
        <f t="shared" ca="1" si="187"/>
        <v>#N/A</v>
      </c>
      <c r="AF361" s="179" t="e">
        <f t="shared" ca="1" si="181"/>
        <v>#N/A</v>
      </c>
      <c r="AG361" s="179" t="e">
        <f t="shared" ca="1" si="188"/>
        <v>#N/A</v>
      </c>
      <c r="AH361" s="179" t="e">
        <f t="shared" ca="1" si="188"/>
        <v>#N/A</v>
      </c>
    </row>
    <row r="362" spans="1:34" ht="15.75" customHeight="1">
      <c r="A362" s="449" t="s">
        <v>39</v>
      </c>
      <c r="B362" s="449" t="s">
        <v>565</v>
      </c>
      <c r="C362" s="449" t="s">
        <v>691</v>
      </c>
      <c r="D362" s="193"/>
      <c r="E362" s="193"/>
      <c r="F362" s="193"/>
      <c r="T362" s="179" t="e">
        <f t="shared" ca="1" si="183"/>
        <v>#N/A</v>
      </c>
      <c r="U362" s="179" t="e">
        <f t="shared" ca="1" si="184"/>
        <v>#N/A</v>
      </c>
      <c r="V362" s="179" t="e">
        <f t="shared" ca="1" si="184"/>
        <v>#N/A</v>
      </c>
      <c r="W362" s="179" t="e">
        <f t="shared" ca="1" si="175"/>
        <v>#N/A</v>
      </c>
      <c r="X362" s="179" t="e">
        <f t="shared" ca="1" si="185"/>
        <v>#N/A</v>
      </c>
      <c r="Y362" s="179" t="e">
        <f t="shared" ca="1" si="185"/>
        <v>#N/A</v>
      </c>
      <c r="Z362" s="179" t="e">
        <f t="shared" ca="1" si="177"/>
        <v>#N/A</v>
      </c>
      <c r="AA362" s="179" t="e">
        <f t="shared" ca="1" si="186"/>
        <v>#N/A</v>
      </c>
      <c r="AB362" s="179" t="e">
        <f t="shared" ca="1" si="186"/>
        <v>#N/A</v>
      </c>
      <c r="AC362" s="179" t="e">
        <f t="shared" ca="1" si="179"/>
        <v>#N/A</v>
      </c>
      <c r="AD362" s="179" t="e">
        <f t="shared" ca="1" si="187"/>
        <v>#N/A</v>
      </c>
      <c r="AE362" s="179" t="e">
        <f t="shared" ca="1" si="187"/>
        <v>#N/A</v>
      </c>
      <c r="AF362" s="179" t="e">
        <f t="shared" ca="1" si="181"/>
        <v>#N/A</v>
      </c>
      <c r="AG362" s="179" t="e">
        <f t="shared" ca="1" si="188"/>
        <v>#N/A</v>
      </c>
      <c r="AH362" s="179" t="e">
        <f t="shared" ca="1" si="188"/>
        <v>#N/A</v>
      </c>
    </row>
    <row r="363" spans="1:34" ht="15.75" customHeight="1">
      <c r="A363" s="449" t="s">
        <v>39</v>
      </c>
      <c r="B363" s="449" t="s">
        <v>567</v>
      </c>
      <c r="C363" s="449" t="s">
        <v>695</v>
      </c>
      <c r="D363" s="193"/>
      <c r="E363" s="193"/>
      <c r="F363" s="193"/>
      <c r="T363" s="179" t="e">
        <f t="shared" ca="1" si="183"/>
        <v>#N/A</v>
      </c>
      <c r="U363" s="179" t="e">
        <f t="shared" ca="1" si="184"/>
        <v>#N/A</v>
      </c>
      <c r="V363" s="179" t="e">
        <f t="shared" ca="1" si="184"/>
        <v>#N/A</v>
      </c>
      <c r="W363" s="179" t="e">
        <f t="shared" ca="1" si="175"/>
        <v>#N/A</v>
      </c>
      <c r="X363" s="179" t="e">
        <f t="shared" ca="1" si="185"/>
        <v>#N/A</v>
      </c>
      <c r="Y363" s="179" t="e">
        <f t="shared" ca="1" si="185"/>
        <v>#N/A</v>
      </c>
      <c r="Z363" s="179" t="e">
        <f t="shared" ca="1" si="177"/>
        <v>#N/A</v>
      </c>
      <c r="AA363" s="179" t="e">
        <f t="shared" ca="1" si="186"/>
        <v>#N/A</v>
      </c>
      <c r="AB363" s="179" t="e">
        <f t="shared" ca="1" si="186"/>
        <v>#N/A</v>
      </c>
      <c r="AC363" s="179" t="e">
        <f t="shared" ca="1" si="179"/>
        <v>#N/A</v>
      </c>
      <c r="AD363" s="179" t="e">
        <f t="shared" ca="1" si="187"/>
        <v>#N/A</v>
      </c>
      <c r="AE363" s="179" t="e">
        <f t="shared" ca="1" si="187"/>
        <v>#N/A</v>
      </c>
      <c r="AF363" s="179" t="e">
        <f t="shared" ca="1" si="181"/>
        <v>#N/A</v>
      </c>
      <c r="AG363" s="179" t="e">
        <f t="shared" ca="1" si="188"/>
        <v>#N/A</v>
      </c>
      <c r="AH363" s="179" t="e">
        <f t="shared" ca="1" si="188"/>
        <v>#N/A</v>
      </c>
    </row>
    <row r="364" spans="1:34" ht="15.75" customHeight="1">
      <c r="A364" s="449" t="s">
        <v>39</v>
      </c>
      <c r="B364" s="449" t="s">
        <v>458</v>
      </c>
      <c r="C364" s="449" t="s">
        <v>701</v>
      </c>
      <c r="D364" s="193"/>
      <c r="E364" s="193"/>
      <c r="F364" s="193"/>
      <c r="T364" s="179" t="e">
        <f t="shared" ca="1" si="183"/>
        <v>#N/A</v>
      </c>
      <c r="U364" s="179" t="e">
        <f t="shared" ca="1" si="184"/>
        <v>#N/A</v>
      </c>
      <c r="V364" s="179" t="e">
        <f t="shared" ca="1" si="184"/>
        <v>#N/A</v>
      </c>
      <c r="W364" s="179" t="e">
        <f t="shared" ca="1" si="175"/>
        <v>#N/A</v>
      </c>
      <c r="X364" s="179" t="e">
        <f t="shared" ca="1" si="185"/>
        <v>#N/A</v>
      </c>
      <c r="Y364" s="179" t="e">
        <f t="shared" ca="1" si="185"/>
        <v>#N/A</v>
      </c>
      <c r="Z364" s="179" t="e">
        <f t="shared" ca="1" si="177"/>
        <v>#N/A</v>
      </c>
      <c r="AA364" s="179" t="e">
        <f t="shared" ca="1" si="186"/>
        <v>#N/A</v>
      </c>
      <c r="AB364" s="179" t="e">
        <f t="shared" ca="1" si="186"/>
        <v>#N/A</v>
      </c>
      <c r="AC364" s="179" t="e">
        <f t="shared" ca="1" si="179"/>
        <v>#N/A</v>
      </c>
      <c r="AD364" s="179" t="e">
        <f t="shared" ca="1" si="187"/>
        <v>#N/A</v>
      </c>
      <c r="AE364" s="179" t="e">
        <f t="shared" ca="1" si="187"/>
        <v>#N/A</v>
      </c>
      <c r="AF364" s="179" t="e">
        <f t="shared" ca="1" si="181"/>
        <v>#N/A</v>
      </c>
      <c r="AG364" s="179" t="e">
        <f t="shared" ca="1" si="188"/>
        <v>#N/A</v>
      </c>
      <c r="AH364" s="179" t="e">
        <f t="shared" ca="1" si="188"/>
        <v>#N/A</v>
      </c>
    </row>
    <row r="365" spans="1:34" ht="15.75" customHeight="1">
      <c r="A365" s="449" t="s">
        <v>43</v>
      </c>
      <c r="B365" s="449" t="s">
        <v>1982</v>
      </c>
      <c r="C365" s="449" t="s">
        <v>682</v>
      </c>
      <c r="D365" s="193"/>
      <c r="E365" s="193"/>
      <c r="F365" s="193"/>
      <c r="T365" s="179" t="e">
        <f t="shared" ca="1" si="183"/>
        <v>#N/A</v>
      </c>
      <c r="U365" s="179" t="e">
        <f t="shared" ca="1" si="184"/>
        <v>#N/A</v>
      </c>
      <c r="V365" s="179" t="e">
        <f t="shared" ca="1" si="184"/>
        <v>#N/A</v>
      </c>
      <c r="W365" s="179" t="e">
        <f t="shared" ca="1" si="175"/>
        <v>#N/A</v>
      </c>
      <c r="X365" s="179" t="e">
        <f t="shared" ca="1" si="185"/>
        <v>#N/A</v>
      </c>
      <c r="Y365" s="179" t="e">
        <f t="shared" ca="1" si="185"/>
        <v>#N/A</v>
      </c>
      <c r="Z365" s="179" t="e">
        <f t="shared" ca="1" si="177"/>
        <v>#N/A</v>
      </c>
      <c r="AA365" s="179" t="e">
        <f t="shared" ca="1" si="186"/>
        <v>#N/A</v>
      </c>
      <c r="AB365" s="179" t="e">
        <f t="shared" ca="1" si="186"/>
        <v>#N/A</v>
      </c>
      <c r="AC365" s="179" t="e">
        <f t="shared" ca="1" si="179"/>
        <v>#N/A</v>
      </c>
      <c r="AD365" s="179" t="e">
        <f t="shared" ca="1" si="187"/>
        <v>#N/A</v>
      </c>
      <c r="AE365" s="179" t="e">
        <f t="shared" ca="1" si="187"/>
        <v>#N/A</v>
      </c>
      <c r="AF365" s="179" t="e">
        <f t="shared" ca="1" si="181"/>
        <v>#N/A</v>
      </c>
      <c r="AG365" s="179" t="e">
        <f t="shared" ca="1" si="188"/>
        <v>#N/A</v>
      </c>
      <c r="AH365" s="179" t="e">
        <f t="shared" ca="1" si="188"/>
        <v>#N/A</v>
      </c>
    </row>
    <row r="366" spans="1:34" ht="15.75" customHeight="1">
      <c r="A366" s="449" t="s">
        <v>43</v>
      </c>
      <c r="B366" s="449" t="s">
        <v>462</v>
      </c>
      <c r="C366" s="449" t="s">
        <v>687</v>
      </c>
      <c r="D366" s="193"/>
      <c r="E366" s="193"/>
      <c r="F366" s="193"/>
      <c r="T366" s="179" t="e">
        <f t="shared" ca="1" si="183"/>
        <v>#N/A</v>
      </c>
      <c r="U366" s="179" t="e">
        <f t="shared" ca="1" si="184"/>
        <v>#N/A</v>
      </c>
      <c r="V366" s="179" t="e">
        <f t="shared" ca="1" si="184"/>
        <v>#N/A</v>
      </c>
      <c r="W366" s="179" t="e">
        <f t="shared" ca="1" si="175"/>
        <v>#N/A</v>
      </c>
      <c r="X366" s="179" t="e">
        <f t="shared" ca="1" si="185"/>
        <v>#N/A</v>
      </c>
      <c r="Y366" s="179" t="e">
        <f t="shared" ca="1" si="185"/>
        <v>#N/A</v>
      </c>
      <c r="Z366" s="179" t="e">
        <f t="shared" ca="1" si="177"/>
        <v>#N/A</v>
      </c>
      <c r="AA366" s="179" t="e">
        <f t="shared" ca="1" si="186"/>
        <v>#N/A</v>
      </c>
      <c r="AB366" s="179" t="e">
        <f t="shared" ca="1" si="186"/>
        <v>#N/A</v>
      </c>
      <c r="AC366" s="179" t="e">
        <f t="shared" ca="1" si="179"/>
        <v>#N/A</v>
      </c>
      <c r="AD366" s="179" t="e">
        <f t="shared" ca="1" si="187"/>
        <v>#N/A</v>
      </c>
      <c r="AE366" s="179" t="e">
        <f t="shared" ca="1" si="187"/>
        <v>#N/A</v>
      </c>
      <c r="AF366" s="179" t="e">
        <f t="shared" ca="1" si="181"/>
        <v>#N/A</v>
      </c>
      <c r="AG366" s="179" t="e">
        <f t="shared" ca="1" si="188"/>
        <v>#N/A</v>
      </c>
      <c r="AH366" s="179" t="e">
        <f t="shared" ca="1" si="188"/>
        <v>#N/A</v>
      </c>
    </row>
    <row r="367" spans="1:34" ht="15.75" customHeight="1">
      <c r="A367" s="449" t="s">
        <v>35</v>
      </c>
      <c r="B367" s="449" t="s">
        <v>1679</v>
      </c>
      <c r="C367" s="449" t="s">
        <v>1674</v>
      </c>
      <c r="D367" s="193"/>
      <c r="E367" s="193"/>
      <c r="F367" s="193"/>
      <c r="T367" s="179" t="e">
        <f t="shared" ca="1" si="183"/>
        <v>#N/A</v>
      </c>
      <c r="U367" s="179" t="e">
        <f t="shared" ca="1" si="184"/>
        <v>#N/A</v>
      </c>
      <c r="V367" s="179" t="e">
        <f t="shared" ca="1" si="184"/>
        <v>#N/A</v>
      </c>
      <c r="W367" s="179" t="e">
        <f t="shared" ca="1" si="175"/>
        <v>#N/A</v>
      </c>
      <c r="X367" s="179" t="e">
        <f t="shared" ca="1" si="185"/>
        <v>#N/A</v>
      </c>
      <c r="Y367" s="179" t="e">
        <f t="shared" ca="1" si="185"/>
        <v>#N/A</v>
      </c>
      <c r="Z367" s="179" t="e">
        <f t="shared" ca="1" si="177"/>
        <v>#N/A</v>
      </c>
      <c r="AA367" s="179" t="e">
        <f t="shared" ca="1" si="186"/>
        <v>#N/A</v>
      </c>
      <c r="AB367" s="179" t="e">
        <f t="shared" ca="1" si="186"/>
        <v>#N/A</v>
      </c>
      <c r="AC367" s="179" t="e">
        <f t="shared" ca="1" si="179"/>
        <v>#N/A</v>
      </c>
      <c r="AD367" s="179" t="e">
        <f t="shared" ca="1" si="187"/>
        <v>#N/A</v>
      </c>
      <c r="AE367" s="179" t="e">
        <f t="shared" ca="1" si="187"/>
        <v>#N/A</v>
      </c>
      <c r="AF367" s="179" t="e">
        <f t="shared" ca="1" si="181"/>
        <v>#N/A</v>
      </c>
      <c r="AG367" s="179" t="e">
        <f t="shared" ca="1" si="188"/>
        <v>#N/A</v>
      </c>
      <c r="AH367" s="179" t="e">
        <f t="shared" ca="1" si="188"/>
        <v>#N/A</v>
      </c>
    </row>
    <row r="368" spans="1:34" ht="15.75" customHeight="1">
      <c r="A368" s="449" t="s">
        <v>37</v>
      </c>
      <c r="B368" s="449" t="s">
        <v>1922</v>
      </c>
      <c r="C368" s="449" t="s">
        <v>687</v>
      </c>
      <c r="D368" s="193"/>
      <c r="E368" s="193"/>
      <c r="F368" s="193"/>
      <c r="T368" s="179" t="e">
        <f t="shared" ca="1" si="183"/>
        <v>#N/A</v>
      </c>
      <c r="U368" s="179" t="e">
        <f t="shared" ca="1" si="184"/>
        <v>#N/A</v>
      </c>
      <c r="V368" s="179" t="e">
        <f t="shared" ca="1" si="184"/>
        <v>#N/A</v>
      </c>
      <c r="W368" s="179" t="e">
        <f t="shared" ca="1" si="175"/>
        <v>#N/A</v>
      </c>
      <c r="X368" s="179" t="e">
        <f t="shared" ca="1" si="185"/>
        <v>#N/A</v>
      </c>
      <c r="Y368" s="179" t="e">
        <f t="shared" ca="1" si="185"/>
        <v>#N/A</v>
      </c>
      <c r="Z368" s="179" t="e">
        <f t="shared" ca="1" si="177"/>
        <v>#N/A</v>
      </c>
      <c r="AA368" s="179" t="e">
        <f t="shared" ca="1" si="186"/>
        <v>#N/A</v>
      </c>
      <c r="AB368" s="179" t="e">
        <f t="shared" ca="1" si="186"/>
        <v>#N/A</v>
      </c>
      <c r="AC368" s="179" t="e">
        <f t="shared" ca="1" si="179"/>
        <v>#N/A</v>
      </c>
      <c r="AD368" s="179" t="e">
        <f t="shared" ca="1" si="187"/>
        <v>#N/A</v>
      </c>
      <c r="AE368" s="179" t="e">
        <f t="shared" ca="1" si="187"/>
        <v>#N/A</v>
      </c>
      <c r="AF368" s="179" t="e">
        <f t="shared" ca="1" si="181"/>
        <v>#N/A</v>
      </c>
      <c r="AG368" s="179" t="e">
        <f t="shared" ca="1" si="188"/>
        <v>#N/A</v>
      </c>
      <c r="AH368" s="179" t="e">
        <f t="shared" ca="1" si="188"/>
        <v>#N/A</v>
      </c>
    </row>
    <row r="369" spans="1:34" ht="15.75" customHeight="1">
      <c r="A369" s="449" t="s">
        <v>37</v>
      </c>
      <c r="B369" s="449" t="s">
        <v>1703</v>
      </c>
      <c r="C369" s="449" t="s">
        <v>684</v>
      </c>
      <c r="D369" s="193"/>
      <c r="E369" s="193"/>
      <c r="F369" s="193"/>
      <c r="T369" s="179" t="e">
        <f t="shared" ca="1" si="183"/>
        <v>#N/A</v>
      </c>
      <c r="U369" s="179" t="e">
        <f t="shared" ref="U369:V388" ca="1" si="189">T369</f>
        <v>#N/A</v>
      </c>
      <c r="V369" s="179" t="e">
        <f t="shared" ca="1" si="189"/>
        <v>#N/A</v>
      </c>
      <c r="W369" s="179" t="e">
        <f t="shared" ca="1" si="175"/>
        <v>#N/A</v>
      </c>
      <c r="X369" s="179" t="e">
        <f t="shared" ref="X369:Y388" ca="1" si="190">W369</f>
        <v>#N/A</v>
      </c>
      <c r="Y369" s="179" t="e">
        <f t="shared" ca="1" si="190"/>
        <v>#N/A</v>
      </c>
      <c r="Z369" s="179" t="e">
        <f t="shared" ca="1" si="177"/>
        <v>#N/A</v>
      </c>
      <c r="AA369" s="179" t="e">
        <f t="shared" ref="AA369:AB388" ca="1" si="191">Z369</f>
        <v>#N/A</v>
      </c>
      <c r="AB369" s="179" t="e">
        <f t="shared" ca="1" si="191"/>
        <v>#N/A</v>
      </c>
      <c r="AC369" s="179" t="e">
        <f t="shared" ca="1" si="179"/>
        <v>#N/A</v>
      </c>
      <c r="AD369" s="179" t="e">
        <f t="shared" ref="AD369:AE388" ca="1" si="192">AC369</f>
        <v>#N/A</v>
      </c>
      <c r="AE369" s="179" t="e">
        <f t="shared" ca="1" si="192"/>
        <v>#N/A</v>
      </c>
      <c r="AF369" s="179" t="e">
        <f t="shared" ca="1" si="181"/>
        <v>#N/A</v>
      </c>
      <c r="AG369" s="179" t="e">
        <f t="shared" ref="AG369:AH388" ca="1" si="193">AF369</f>
        <v>#N/A</v>
      </c>
      <c r="AH369" s="179" t="e">
        <f t="shared" ca="1" si="193"/>
        <v>#N/A</v>
      </c>
    </row>
    <row r="370" spans="1:34" ht="15.75" customHeight="1">
      <c r="A370" s="449" t="s">
        <v>39</v>
      </c>
      <c r="B370" s="449" t="s">
        <v>571</v>
      </c>
      <c r="C370" s="449" t="s">
        <v>687</v>
      </c>
      <c r="D370" s="193"/>
      <c r="E370" s="193"/>
      <c r="F370" s="193"/>
      <c r="T370" s="179" t="e">
        <f t="shared" ca="1" si="183"/>
        <v>#N/A</v>
      </c>
      <c r="U370" s="179" t="e">
        <f t="shared" ca="1" si="189"/>
        <v>#N/A</v>
      </c>
      <c r="V370" s="179" t="e">
        <f t="shared" ca="1" si="189"/>
        <v>#N/A</v>
      </c>
      <c r="W370" s="179" t="e">
        <f t="shared" ca="1" si="175"/>
        <v>#N/A</v>
      </c>
      <c r="X370" s="179" t="e">
        <f t="shared" ca="1" si="190"/>
        <v>#N/A</v>
      </c>
      <c r="Y370" s="179" t="e">
        <f t="shared" ca="1" si="190"/>
        <v>#N/A</v>
      </c>
      <c r="Z370" s="179" t="e">
        <f t="shared" ca="1" si="177"/>
        <v>#N/A</v>
      </c>
      <c r="AA370" s="179" t="e">
        <f t="shared" ca="1" si="191"/>
        <v>#N/A</v>
      </c>
      <c r="AB370" s="179" t="e">
        <f t="shared" ca="1" si="191"/>
        <v>#N/A</v>
      </c>
      <c r="AC370" s="179" t="e">
        <f t="shared" ca="1" si="179"/>
        <v>#N/A</v>
      </c>
      <c r="AD370" s="179" t="e">
        <f t="shared" ca="1" si="192"/>
        <v>#N/A</v>
      </c>
      <c r="AE370" s="179" t="e">
        <f t="shared" ca="1" si="192"/>
        <v>#N/A</v>
      </c>
      <c r="AF370" s="179" t="e">
        <f t="shared" ca="1" si="181"/>
        <v>#N/A</v>
      </c>
      <c r="AG370" s="179" t="e">
        <f t="shared" ca="1" si="193"/>
        <v>#N/A</v>
      </c>
      <c r="AH370" s="179" t="e">
        <f t="shared" ca="1" si="193"/>
        <v>#N/A</v>
      </c>
    </row>
    <row r="371" spans="1:34" ht="15.75" customHeight="1">
      <c r="A371" s="449" t="s">
        <v>37</v>
      </c>
      <c r="B371" s="449" t="s">
        <v>1283</v>
      </c>
      <c r="C371" s="449" t="s">
        <v>1477</v>
      </c>
      <c r="D371" s="193"/>
      <c r="E371" s="193"/>
      <c r="F371" s="193"/>
      <c r="T371" s="179" t="e">
        <f t="shared" ca="1" si="183"/>
        <v>#N/A</v>
      </c>
      <c r="U371" s="179" t="e">
        <f t="shared" ca="1" si="189"/>
        <v>#N/A</v>
      </c>
      <c r="V371" s="179" t="e">
        <f t="shared" ca="1" si="189"/>
        <v>#N/A</v>
      </c>
      <c r="W371" s="179" t="e">
        <f t="shared" ca="1" si="175"/>
        <v>#N/A</v>
      </c>
      <c r="X371" s="179" t="e">
        <f t="shared" ca="1" si="190"/>
        <v>#N/A</v>
      </c>
      <c r="Y371" s="179" t="e">
        <f t="shared" ca="1" si="190"/>
        <v>#N/A</v>
      </c>
      <c r="Z371" s="179" t="e">
        <f t="shared" ca="1" si="177"/>
        <v>#N/A</v>
      </c>
      <c r="AA371" s="179" t="e">
        <f t="shared" ca="1" si="191"/>
        <v>#N/A</v>
      </c>
      <c r="AB371" s="179" t="e">
        <f t="shared" ca="1" si="191"/>
        <v>#N/A</v>
      </c>
      <c r="AC371" s="179" t="e">
        <f t="shared" ca="1" si="179"/>
        <v>#N/A</v>
      </c>
      <c r="AD371" s="179" t="e">
        <f t="shared" ca="1" si="192"/>
        <v>#N/A</v>
      </c>
      <c r="AE371" s="179" t="e">
        <f t="shared" ca="1" si="192"/>
        <v>#N/A</v>
      </c>
      <c r="AF371" s="179" t="e">
        <f t="shared" ca="1" si="181"/>
        <v>#N/A</v>
      </c>
      <c r="AG371" s="179" t="e">
        <f t="shared" ca="1" si="193"/>
        <v>#N/A</v>
      </c>
      <c r="AH371" s="179" t="e">
        <f t="shared" ca="1" si="193"/>
        <v>#N/A</v>
      </c>
    </row>
    <row r="372" spans="1:34" ht="15.75" customHeight="1">
      <c r="A372" s="449" t="s">
        <v>43</v>
      </c>
      <c r="B372" s="449" t="s">
        <v>1802</v>
      </c>
      <c r="C372" s="449" t="s">
        <v>691</v>
      </c>
      <c r="D372" s="193"/>
      <c r="E372" s="193"/>
      <c r="F372" s="193"/>
      <c r="T372" s="179" t="e">
        <f t="shared" ca="1" si="183"/>
        <v>#N/A</v>
      </c>
      <c r="U372" s="179" t="e">
        <f t="shared" ca="1" si="189"/>
        <v>#N/A</v>
      </c>
      <c r="V372" s="179" t="e">
        <f t="shared" ca="1" si="189"/>
        <v>#N/A</v>
      </c>
      <c r="W372" s="179" t="e">
        <f t="shared" ca="1" si="175"/>
        <v>#N/A</v>
      </c>
      <c r="X372" s="179" t="e">
        <f t="shared" ca="1" si="190"/>
        <v>#N/A</v>
      </c>
      <c r="Y372" s="179" t="e">
        <f t="shared" ca="1" si="190"/>
        <v>#N/A</v>
      </c>
      <c r="Z372" s="179" t="e">
        <f t="shared" ca="1" si="177"/>
        <v>#N/A</v>
      </c>
      <c r="AA372" s="179" t="e">
        <f t="shared" ca="1" si="191"/>
        <v>#N/A</v>
      </c>
      <c r="AB372" s="179" t="e">
        <f t="shared" ca="1" si="191"/>
        <v>#N/A</v>
      </c>
      <c r="AC372" s="179" t="e">
        <f t="shared" ca="1" si="179"/>
        <v>#N/A</v>
      </c>
      <c r="AD372" s="179" t="e">
        <f t="shared" ca="1" si="192"/>
        <v>#N/A</v>
      </c>
      <c r="AE372" s="179" t="e">
        <f t="shared" ca="1" si="192"/>
        <v>#N/A</v>
      </c>
      <c r="AF372" s="179" t="e">
        <f t="shared" ca="1" si="181"/>
        <v>#N/A</v>
      </c>
      <c r="AG372" s="179" t="e">
        <f t="shared" ca="1" si="193"/>
        <v>#N/A</v>
      </c>
      <c r="AH372" s="179" t="e">
        <f t="shared" ca="1" si="193"/>
        <v>#N/A</v>
      </c>
    </row>
    <row r="373" spans="1:34" ht="15.75" customHeight="1">
      <c r="A373" s="449" t="s">
        <v>37</v>
      </c>
      <c r="B373" s="449" t="s">
        <v>1342</v>
      </c>
      <c r="C373" s="449" t="s">
        <v>692</v>
      </c>
      <c r="D373" s="193"/>
      <c r="E373" s="193"/>
      <c r="F373" s="193"/>
      <c r="T373" s="179" t="e">
        <f t="shared" ca="1" si="183"/>
        <v>#N/A</v>
      </c>
      <c r="U373" s="179" t="e">
        <f t="shared" ca="1" si="189"/>
        <v>#N/A</v>
      </c>
      <c r="V373" s="179" t="e">
        <f t="shared" ca="1" si="189"/>
        <v>#N/A</v>
      </c>
      <c r="W373" s="179" t="e">
        <f t="shared" ca="1" si="175"/>
        <v>#N/A</v>
      </c>
      <c r="X373" s="179" t="e">
        <f t="shared" ca="1" si="190"/>
        <v>#N/A</v>
      </c>
      <c r="Y373" s="179" t="e">
        <f t="shared" ca="1" si="190"/>
        <v>#N/A</v>
      </c>
      <c r="Z373" s="179" t="e">
        <f t="shared" ca="1" si="177"/>
        <v>#N/A</v>
      </c>
      <c r="AA373" s="179" t="e">
        <f t="shared" ca="1" si="191"/>
        <v>#N/A</v>
      </c>
      <c r="AB373" s="179" t="e">
        <f t="shared" ca="1" si="191"/>
        <v>#N/A</v>
      </c>
      <c r="AC373" s="179" t="e">
        <f t="shared" ca="1" si="179"/>
        <v>#N/A</v>
      </c>
      <c r="AD373" s="179" t="e">
        <f t="shared" ca="1" si="192"/>
        <v>#N/A</v>
      </c>
      <c r="AE373" s="179" t="e">
        <f t="shared" ca="1" si="192"/>
        <v>#N/A</v>
      </c>
      <c r="AF373" s="179" t="e">
        <f t="shared" ca="1" si="181"/>
        <v>#N/A</v>
      </c>
      <c r="AG373" s="179" t="e">
        <f t="shared" ca="1" si="193"/>
        <v>#N/A</v>
      </c>
      <c r="AH373" s="179" t="e">
        <f t="shared" ca="1" si="193"/>
        <v>#N/A</v>
      </c>
    </row>
    <row r="374" spans="1:34" ht="15.75" customHeight="1">
      <c r="A374" s="449" t="s">
        <v>39</v>
      </c>
      <c r="B374" s="449" t="s">
        <v>1753</v>
      </c>
      <c r="C374" s="449" t="s">
        <v>679</v>
      </c>
      <c r="D374" s="193"/>
      <c r="E374" s="193"/>
      <c r="F374" s="193"/>
      <c r="T374" s="179" t="e">
        <f t="shared" ca="1" si="183"/>
        <v>#N/A</v>
      </c>
      <c r="U374" s="179" t="e">
        <f t="shared" ca="1" si="189"/>
        <v>#N/A</v>
      </c>
      <c r="V374" s="179" t="e">
        <f t="shared" ca="1" si="189"/>
        <v>#N/A</v>
      </c>
      <c r="W374" s="179" t="e">
        <f t="shared" ca="1" si="175"/>
        <v>#N/A</v>
      </c>
      <c r="X374" s="179" t="e">
        <f t="shared" ca="1" si="190"/>
        <v>#N/A</v>
      </c>
      <c r="Y374" s="179" t="e">
        <f t="shared" ca="1" si="190"/>
        <v>#N/A</v>
      </c>
      <c r="Z374" s="179" t="e">
        <f t="shared" ca="1" si="177"/>
        <v>#N/A</v>
      </c>
      <c r="AA374" s="179" t="e">
        <f t="shared" ca="1" si="191"/>
        <v>#N/A</v>
      </c>
      <c r="AB374" s="179" t="e">
        <f t="shared" ca="1" si="191"/>
        <v>#N/A</v>
      </c>
      <c r="AC374" s="179" t="e">
        <f t="shared" ca="1" si="179"/>
        <v>#N/A</v>
      </c>
      <c r="AD374" s="179" t="e">
        <f t="shared" ca="1" si="192"/>
        <v>#N/A</v>
      </c>
      <c r="AE374" s="179" t="e">
        <f t="shared" ca="1" si="192"/>
        <v>#N/A</v>
      </c>
      <c r="AF374" s="179" t="e">
        <f t="shared" ca="1" si="181"/>
        <v>#N/A</v>
      </c>
      <c r="AG374" s="179" t="e">
        <f t="shared" ca="1" si="193"/>
        <v>#N/A</v>
      </c>
      <c r="AH374" s="179" t="e">
        <f t="shared" ca="1" si="193"/>
        <v>#N/A</v>
      </c>
    </row>
    <row r="375" spans="1:34" ht="15.75" customHeight="1">
      <c r="A375" s="449" t="s">
        <v>43</v>
      </c>
      <c r="B375" s="449" t="s">
        <v>1790</v>
      </c>
      <c r="C375" s="449" t="s">
        <v>686</v>
      </c>
      <c r="D375" s="193"/>
      <c r="E375" s="193"/>
      <c r="F375" s="193"/>
      <c r="T375" s="179" t="e">
        <f t="shared" ca="1" si="183"/>
        <v>#N/A</v>
      </c>
      <c r="U375" s="179" t="e">
        <f t="shared" ca="1" si="189"/>
        <v>#N/A</v>
      </c>
      <c r="V375" s="179" t="e">
        <f t="shared" ca="1" si="189"/>
        <v>#N/A</v>
      </c>
      <c r="W375" s="179" t="e">
        <f t="shared" ca="1" si="175"/>
        <v>#N/A</v>
      </c>
      <c r="X375" s="179" t="e">
        <f t="shared" ca="1" si="190"/>
        <v>#N/A</v>
      </c>
      <c r="Y375" s="179" t="e">
        <f t="shared" ca="1" si="190"/>
        <v>#N/A</v>
      </c>
      <c r="Z375" s="179" t="e">
        <f t="shared" ca="1" si="177"/>
        <v>#N/A</v>
      </c>
      <c r="AA375" s="179" t="e">
        <f t="shared" ca="1" si="191"/>
        <v>#N/A</v>
      </c>
      <c r="AB375" s="179" t="e">
        <f t="shared" ca="1" si="191"/>
        <v>#N/A</v>
      </c>
      <c r="AC375" s="179" t="e">
        <f t="shared" ca="1" si="179"/>
        <v>#N/A</v>
      </c>
      <c r="AD375" s="179" t="e">
        <f t="shared" ca="1" si="192"/>
        <v>#N/A</v>
      </c>
      <c r="AE375" s="179" t="e">
        <f t="shared" ca="1" si="192"/>
        <v>#N/A</v>
      </c>
      <c r="AF375" s="179" t="e">
        <f t="shared" ca="1" si="181"/>
        <v>#N/A</v>
      </c>
      <c r="AG375" s="179" t="e">
        <f t="shared" ca="1" si="193"/>
        <v>#N/A</v>
      </c>
      <c r="AH375" s="179" t="e">
        <f t="shared" ca="1" si="193"/>
        <v>#N/A</v>
      </c>
    </row>
    <row r="376" spans="1:34" ht="15.75" customHeight="1">
      <c r="A376" s="449" t="s">
        <v>43</v>
      </c>
      <c r="B376" s="449" t="s">
        <v>1792</v>
      </c>
      <c r="C376" s="449" t="s">
        <v>681</v>
      </c>
      <c r="D376" s="193"/>
      <c r="E376" s="193"/>
      <c r="F376" s="193"/>
      <c r="T376" s="179" t="e">
        <f t="shared" ca="1" si="183"/>
        <v>#N/A</v>
      </c>
      <c r="U376" s="179" t="e">
        <f t="shared" ca="1" si="189"/>
        <v>#N/A</v>
      </c>
      <c r="V376" s="179" t="e">
        <f t="shared" ca="1" si="189"/>
        <v>#N/A</v>
      </c>
      <c r="W376" s="179" t="e">
        <f t="shared" ca="1" si="175"/>
        <v>#N/A</v>
      </c>
      <c r="X376" s="179" t="e">
        <f t="shared" ca="1" si="190"/>
        <v>#N/A</v>
      </c>
      <c r="Y376" s="179" t="e">
        <f t="shared" ca="1" si="190"/>
        <v>#N/A</v>
      </c>
      <c r="Z376" s="179" t="e">
        <f t="shared" ca="1" si="177"/>
        <v>#N/A</v>
      </c>
      <c r="AA376" s="179" t="e">
        <f t="shared" ca="1" si="191"/>
        <v>#N/A</v>
      </c>
      <c r="AB376" s="179" t="e">
        <f t="shared" ca="1" si="191"/>
        <v>#N/A</v>
      </c>
      <c r="AC376" s="179" t="e">
        <f t="shared" ca="1" si="179"/>
        <v>#N/A</v>
      </c>
      <c r="AD376" s="179" t="e">
        <f t="shared" ca="1" si="192"/>
        <v>#N/A</v>
      </c>
      <c r="AE376" s="179" t="e">
        <f t="shared" ca="1" si="192"/>
        <v>#N/A</v>
      </c>
      <c r="AF376" s="179" t="e">
        <f t="shared" ca="1" si="181"/>
        <v>#N/A</v>
      </c>
      <c r="AG376" s="179" t="e">
        <f t="shared" ca="1" si="193"/>
        <v>#N/A</v>
      </c>
      <c r="AH376" s="179" t="e">
        <f t="shared" ca="1" si="193"/>
        <v>#N/A</v>
      </c>
    </row>
    <row r="377" spans="1:34" ht="15.75" customHeight="1">
      <c r="A377" s="449" t="s">
        <v>35</v>
      </c>
      <c r="B377" s="449" t="s">
        <v>385</v>
      </c>
      <c r="C377" s="449" t="s">
        <v>677</v>
      </c>
      <c r="D377" s="193"/>
      <c r="E377" s="193"/>
      <c r="F377" s="193"/>
      <c r="T377" s="179" t="e">
        <f t="shared" ca="1" si="183"/>
        <v>#N/A</v>
      </c>
      <c r="U377" s="179" t="e">
        <f t="shared" ca="1" si="189"/>
        <v>#N/A</v>
      </c>
      <c r="V377" s="179" t="e">
        <f t="shared" ca="1" si="189"/>
        <v>#N/A</v>
      </c>
      <c r="W377" s="179" t="e">
        <f t="shared" ca="1" si="175"/>
        <v>#N/A</v>
      </c>
      <c r="X377" s="179" t="e">
        <f t="shared" ca="1" si="190"/>
        <v>#N/A</v>
      </c>
      <c r="Y377" s="179" t="e">
        <f t="shared" ca="1" si="190"/>
        <v>#N/A</v>
      </c>
      <c r="Z377" s="179" t="e">
        <f t="shared" ca="1" si="177"/>
        <v>#N/A</v>
      </c>
      <c r="AA377" s="179" t="e">
        <f t="shared" ca="1" si="191"/>
        <v>#N/A</v>
      </c>
      <c r="AB377" s="179" t="e">
        <f t="shared" ca="1" si="191"/>
        <v>#N/A</v>
      </c>
      <c r="AC377" s="179" t="e">
        <f t="shared" ca="1" si="179"/>
        <v>#N/A</v>
      </c>
      <c r="AD377" s="179" t="e">
        <f t="shared" ca="1" si="192"/>
        <v>#N/A</v>
      </c>
      <c r="AE377" s="179" t="e">
        <f t="shared" ca="1" si="192"/>
        <v>#N/A</v>
      </c>
      <c r="AF377" s="179" t="e">
        <f t="shared" ca="1" si="181"/>
        <v>#N/A</v>
      </c>
      <c r="AG377" s="179" t="e">
        <f t="shared" ca="1" si="193"/>
        <v>#N/A</v>
      </c>
      <c r="AH377" s="179" t="e">
        <f t="shared" ca="1" si="193"/>
        <v>#N/A</v>
      </c>
    </row>
    <row r="378" spans="1:34" ht="15.75" customHeight="1">
      <c r="A378" s="449" t="s">
        <v>39</v>
      </c>
      <c r="B378" s="449" t="s">
        <v>575</v>
      </c>
      <c r="C378" s="449" t="s">
        <v>700</v>
      </c>
      <c r="D378" s="193"/>
      <c r="E378" s="193"/>
      <c r="F378" s="193"/>
      <c r="T378" s="179" t="e">
        <f t="shared" ca="1" si="183"/>
        <v>#N/A</v>
      </c>
      <c r="U378" s="179" t="e">
        <f t="shared" ca="1" si="189"/>
        <v>#N/A</v>
      </c>
      <c r="V378" s="179" t="e">
        <f t="shared" ca="1" si="189"/>
        <v>#N/A</v>
      </c>
      <c r="W378" s="179" t="e">
        <f t="shared" ca="1" si="175"/>
        <v>#N/A</v>
      </c>
      <c r="X378" s="179" t="e">
        <f t="shared" ca="1" si="190"/>
        <v>#N/A</v>
      </c>
      <c r="Y378" s="179" t="e">
        <f t="shared" ca="1" si="190"/>
        <v>#N/A</v>
      </c>
      <c r="Z378" s="179" t="e">
        <f t="shared" ca="1" si="177"/>
        <v>#N/A</v>
      </c>
      <c r="AA378" s="179" t="e">
        <f t="shared" ca="1" si="191"/>
        <v>#N/A</v>
      </c>
      <c r="AB378" s="179" t="e">
        <f t="shared" ca="1" si="191"/>
        <v>#N/A</v>
      </c>
      <c r="AC378" s="179" t="e">
        <f t="shared" ca="1" si="179"/>
        <v>#N/A</v>
      </c>
      <c r="AD378" s="179" t="e">
        <f t="shared" ca="1" si="192"/>
        <v>#N/A</v>
      </c>
      <c r="AE378" s="179" t="e">
        <f t="shared" ca="1" si="192"/>
        <v>#N/A</v>
      </c>
      <c r="AF378" s="179" t="e">
        <f t="shared" ca="1" si="181"/>
        <v>#N/A</v>
      </c>
      <c r="AG378" s="179" t="e">
        <f t="shared" ca="1" si="193"/>
        <v>#N/A</v>
      </c>
      <c r="AH378" s="179" t="e">
        <f t="shared" ca="1" si="193"/>
        <v>#N/A</v>
      </c>
    </row>
    <row r="379" spans="1:34" ht="15.75" customHeight="1">
      <c r="A379" s="449" t="s">
        <v>43</v>
      </c>
      <c r="B379" s="449" t="s">
        <v>466</v>
      </c>
      <c r="C379" s="449" t="s">
        <v>691</v>
      </c>
      <c r="D379" s="193"/>
      <c r="E379" s="193"/>
      <c r="F379" s="193"/>
      <c r="T379" s="179" t="e">
        <f t="shared" ca="1" si="183"/>
        <v>#N/A</v>
      </c>
      <c r="U379" s="179" t="e">
        <f t="shared" ca="1" si="189"/>
        <v>#N/A</v>
      </c>
      <c r="V379" s="179" t="e">
        <f t="shared" ca="1" si="189"/>
        <v>#N/A</v>
      </c>
      <c r="W379" s="179" t="e">
        <f t="shared" ca="1" si="175"/>
        <v>#N/A</v>
      </c>
      <c r="X379" s="179" t="e">
        <f t="shared" ca="1" si="190"/>
        <v>#N/A</v>
      </c>
      <c r="Y379" s="179" t="e">
        <f t="shared" ca="1" si="190"/>
        <v>#N/A</v>
      </c>
      <c r="Z379" s="179" t="e">
        <f t="shared" ca="1" si="177"/>
        <v>#N/A</v>
      </c>
      <c r="AA379" s="179" t="e">
        <f t="shared" ca="1" si="191"/>
        <v>#N/A</v>
      </c>
      <c r="AB379" s="179" t="e">
        <f t="shared" ca="1" si="191"/>
        <v>#N/A</v>
      </c>
      <c r="AC379" s="179" t="e">
        <f t="shared" ca="1" si="179"/>
        <v>#N/A</v>
      </c>
      <c r="AD379" s="179" t="e">
        <f t="shared" ca="1" si="192"/>
        <v>#N/A</v>
      </c>
      <c r="AE379" s="179" t="e">
        <f t="shared" ca="1" si="192"/>
        <v>#N/A</v>
      </c>
      <c r="AF379" s="179" t="e">
        <f t="shared" ca="1" si="181"/>
        <v>#N/A</v>
      </c>
      <c r="AG379" s="179" t="e">
        <f t="shared" ca="1" si="193"/>
        <v>#N/A</v>
      </c>
      <c r="AH379" s="179" t="e">
        <f t="shared" ca="1" si="193"/>
        <v>#N/A</v>
      </c>
    </row>
    <row r="380" spans="1:34" ht="15.75" customHeight="1">
      <c r="A380" s="449" t="s">
        <v>37</v>
      </c>
      <c r="B380" s="449" t="s">
        <v>562</v>
      </c>
      <c r="C380" s="449" t="s">
        <v>678</v>
      </c>
      <c r="D380" s="193"/>
      <c r="E380" s="193"/>
      <c r="F380" s="193"/>
      <c r="T380" s="179" t="e">
        <f t="shared" ca="1" si="183"/>
        <v>#N/A</v>
      </c>
      <c r="U380" s="179" t="e">
        <f t="shared" ca="1" si="189"/>
        <v>#N/A</v>
      </c>
      <c r="V380" s="179" t="e">
        <f t="shared" ca="1" si="189"/>
        <v>#N/A</v>
      </c>
      <c r="W380" s="179" t="e">
        <f t="shared" ca="1" si="175"/>
        <v>#N/A</v>
      </c>
      <c r="X380" s="179" t="e">
        <f t="shared" ca="1" si="190"/>
        <v>#N/A</v>
      </c>
      <c r="Y380" s="179" t="e">
        <f t="shared" ca="1" si="190"/>
        <v>#N/A</v>
      </c>
      <c r="Z380" s="179" t="e">
        <f t="shared" ca="1" si="177"/>
        <v>#N/A</v>
      </c>
      <c r="AA380" s="179" t="e">
        <f t="shared" ca="1" si="191"/>
        <v>#N/A</v>
      </c>
      <c r="AB380" s="179" t="e">
        <f t="shared" ca="1" si="191"/>
        <v>#N/A</v>
      </c>
      <c r="AC380" s="179" t="e">
        <f t="shared" ca="1" si="179"/>
        <v>#N/A</v>
      </c>
      <c r="AD380" s="179" t="e">
        <f t="shared" ca="1" si="192"/>
        <v>#N/A</v>
      </c>
      <c r="AE380" s="179" t="e">
        <f t="shared" ca="1" si="192"/>
        <v>#N/A</v>
      </c>
      <c r="AF380" s="179" t="e">
        <f t="shared" ca="1" si="181"/>
        <v>#N/A</v>
      </c>
      <c r="AG380" s="179" t="e">
        <f t="shared" ca="1" si="193"/>
        <v>#N/A</v>
      </c>
      <c r="AH380" s="179" t="e">
        <f t="shared" ca="1" si="193"/>
        <v>#N/A</v>
      </c>
    </row>
    <row r="381" spans="1:34" ht="15.75" customHeight="1">
      <c r="A381" s="449" t="s">
        <v>43</v>
      </c>
      <c r="B381" s="449" t="s">
        <v>469</v>
      </c>
      <c r="C381" s="449" t="s">
        <v>679</v>
      </c>
      <c r="D381" s="193"/>
      <c r="E381" s="193"/>
      <c r="F381" s="193"/>
      <c r="T381" s="179" t="e">
        <f t="shared" ca="1" si="183"/>
        <v>#N/A</v>
      </c>
      <c r="U381" s="179" t="e">
        <f t="shared" ca="1" si="189"/>
        <v>#N/A</v>
      </c>
      <c r="V381" s="179" t="e">
        <f t="shared" ca="1" si="189"/>
        <v>#N/A</v>
      </c>
      <c r="W381" s="179" t="e">
        <f t="shared" ca="1" si="175"/>
        <v>#N/A</v>
      </c>
      <c r="X381" s="179" t="e">
        <f t="shared" ca="1" si="190"/>
        <v>#N/A</v>
      </c>
      <c r="Y381" s="179" t="e">
        <f t="shared" ca="1" si="190"/>
        <v>#N/A</v>
      </c>
      <c r="Z381" s="179" t="e">
        <f t="shared" ca="1" si="177"/>
        <v>#N/A</v>
      </c>
      <c r="AA381" s="179" t="e">
        <f t="shared" ca="1" si="191"/>
        <v>#N/A</v>
      </c>
      <c r="AB381" s="179" t="e">
        <f t="shared" ca="1" si="191"/>
        <v>#N/A</v>
      </c>
      <c r="AC381" s="179" t="e">
        <f t="shared" ca="1" si="179"/>
        <v>#N/A</v>
      </c>
      <c r="AD381" s="179" t="e">
        <f t="shared" ca="1" si="192"/>
        <v>#N/A</v>
      </c>
      <c r="AE381" s="179" t="e">
        <f t="shared" ca="1" si="192"/>
        <v>#N/A</v>
      </c>
      <c r="AF381" s="179" t="e">
        <f t="shared" ca="1" si="181"/>
        <v>#N/A</v>
      </c>
      <c r="AG381" s="179" t="e">
        <f t="shared" ca="1" si="193"/>
        <v>#N/A</v>
      </c>
      <c r="AH381" s="179" t="e">
        <f t="shared" ca="1" si="193"/>
        <v>#N/A</v>
      </c>
    </row>
    <row r="382" spans="1:34" ht="15.75" customHeight="1">
      <c r="A382" s="449" t="s">
        <v>43</v>
      </c>
      <c r="B382" s="449" t="s">
        <v>1799</v>
      </c>
      <c r="C382" s="449" t="s">
        <v>682</v>
      </c>
      <c r="D382" s="193"/>
      <c r="E382" s="193"/>
      <c r="F382" s="193"/>
      <c r="T382" s="179" t="e">
        <f t="shared" ca="1" si="183"/>
        <v>#N/A</v>
      </c>
      <c r="U382" s="179" t="e">
        <f t="shared" ca="1" si="189"/>
        <v>#N/A</v>
      </c>
      <c r="V382" s="179" t="e">
        <f t="shared" ca="1" si="189"/>
        <v>#N/A</v>
      </c>
      <c r="W382" s="179" t="e">
        <f t="shared" ca="1" si="175"/>
        <v>#N/A</v>
      </c>
      <c r="X382" s="179" t="e">
        <f t="shared" ca="1" si="190"/>
        <v>#N/A</v>
      </c>
      <c r="Y382" s="179" t="e">
        <f t="shared" ca="1" si="190"/>
        <v>#N/A</v>
      </c>
      <c r="Z382" s="179" t="e">
        <f t="shared" ca="1" si="177"/>
        <v>#N/A</v>
      </c>
      <c r="AA382" s="179" t="e">
        <f t="shared" ca="1" si="191"/>
        <v>#N/A</v>
      </c>
      <c r="AB382" s="179" t="e">
        <f t="shared" ca="1" si="191"/>
        <v>#N/A</v>
      </c>
      <c r="AC382" s="179" t="e">
        <f t="shared" ca="1" si="179"/>
        <v>#N/A</v>
      </c>
      <c r="AD382" s="179" t="e">
        <f t="shared" ca="1" si="192"/>
        <v>#N/A</v>
      </c>
      <c r="AE382" s="179" t="e">
        <f t="shared" ca="1" si="192"/>
        <v>#N/A</v>
      </c>
      <c r="AF382" s="179" t="e">
        <f t="shared" ca="1" si="181"/>
        <v>#N/A</v>
      </c>
      <c r="AG382" s="179" t="e">
        <f t="shared" ca="1" si="193"/>
        <v>#N/A</v>
      </c>
      <c r="AH382" s="179" t="e">
        <f t="shared" ca="1" si="193"/>
        <v>#N/A</v>
      </c>
    </row>
    <row r="383" spans="1:34" ht="15.75" customHeight="1">
      <c r="A383" s="449" t="s">
        <v>37</v>
      </c>
      <c r="B383" s="449" t="s">
        <v>1707</v>
      </c>
      <c r="C383" s="449" t="s">
        <v>686</v>
      </c>
      <c r="D383" s="193"/>
      <c r="E383" s="193"/>
      <c r="F383" s="193"/>
      <c r="T383" s="179" t="e">
        <f t="shared" ca="1" si="183"/>
        <v>#N/A</v>
      </c>
      <c r="U383" s="179" t="e">
        <f t="shared" ca="1" si="189"/>
        <v>#N/A</v>
      </c>
      <c r="V383" s="179" t="e">
        <f t="shared" ca="1" si="189"/>
        <v>#N/A</v>
      </c>
      <c r="W383" s="179" t="e">
        <f t="shared" ca="1" si="175"/>
        <v>#N/A</v>
      </c>
      <c r="X383" s="179" t="e">
        <f t="shared" ca="1" si="190"/>
        <v>#N/A</v>
      </c>
      <c r="Y383" s="179" t="e">
        <f t="shared" ca="1" si="190"/>
        <v>#N/A</v>
      </c>
      <c r="Z383" s="179" t="e">
        <f t="shared" ca="1" si="177"/>
        <v>#N/A</v>
      </c>
      <c r="AA383" s="179" t="e">
        <f t="shared" ca="1" si="191"/>
        <v>#N/A</v>
      </c>
      <c r="AB383" s="179" t="e">
        <f t="shared" ca="1" si="191"/>
        <v>#N/A</v>
      </c>
      <c r="AC383" s="179" t="e">
        <f t="shared" ca="1" si="179"/>
        <v>#N/A</v>
      </c>
      <c r="AD383" s="179" t="e">
        <f t="shared" ca="1" si="192"/>
        <v>#N/A</v>
      </c>
      <c r="AE383" s="179" t="e">
        <f t="shared" ca="1" si="192"/>
        <v>#N/A</v>
      </c>
      <c r="AF383" s="179" t="e">
        <f t="shared" ca="1" si="181"/>
        <v>#N/A</v>
      </c>
      <c r="AG383" s="179" t="e">
        <f t="shared" ca="1" si="193"/>
        <v>#N/A</v>
      </c>
      <c r="AH383" s="179" t="e">
        <f t="shared" ca="1" si="193"/>
        <v>#N/A</v>
      </c>
    </row>
    <row r="384" spans="1:34" ht="15.75" customHeight="1">
      <c r="A384" s="449" t="s">
        <v>43</v>
      </c>
      <c r="B384" s="449" t="s">
        <v>470</v>
      </c>
      <c r="C384" s="449" t="s">
        <v>1477</v>
      </c>
      <c r="D384" s="193"/>
      <c r="E384" s="193"/>
      <c r="F384" s="193"/>
      <c r="T384" s="179" t="e">
        <f t="shared" ca="1" si="183"/>
        <v>#N/A</v>
      </c>
      <c r="U384" s="179" t="e">
        <f t="shared" ca="1" si="189"/>
        <v>#N/A</v>
      </c>
      <c r="V384" s="179" t="e">
        <f t="shared" ca="1" si="189"/>
        <v>#N/A</v>
      </c>
      <c r="W384" s="179" t="e">
        <f t="shared" ca="1" si="175"/>
        <v>#N/A</v>
      </c>
      <c r="X384" s="179" t="e">
        <f t="shared" ca="1" si="190"/>
        <v>#N/A</v>
      </c>
      <c r="Y384" s="179" t="e">
        <f t="shared" ca="1" si="190"/>
        <v>#N/A</v>
      </c>
      <c r="Z384" s="179" t="e">
        <f t="shared" ca="1" si="177"/>
        <v>#N/A</v>
      </c>
      <c r="AA384" s="179" t="e">
        <f t="shared" ca="1" si="191"/>
        <v>#N/A</v>
      </c>
      <c r="AB384" s="179" t="e">
        <f t="shared" ca="1" si="191"/>
        <v>#N/A</v>
      </c>
      <c r="AC384" s="179" t="e">
        <f t="shared" ca="1" si="179"/>
        <v>#N/A</v>
      </c>
      <c r="AD384" s="179" t="e">
        <f t="shared" ca="1" si="192"/>
        <v>#N/A</v>
      </c>
      <c r="AE384" s="179" t="e">
        <f t="shared" ca="1" si="192"/>
        <v>#N/A</v>
      </c>
      <c r="AF384" s="179" t="e">
        <f t="shared" ca="1" si="181"/>
        <v>#N/A</v>
      </c>
      <c r="AG384" s="179" t="e">
        <f t="shared" ca="1" si="193"/>
        <v>#N/A</v>
      </c>
      <c r="AH384" s="179" t="e">
        <f t="shared" ca="1" si="193"/>
        <v>#N/A</v>
      </c>
    </row>
    <row r="385" spans="1:34" ht="15.75" customHeight="1">
      <c r="A385" s="449" t="s">
        <v>43</v>
      </c>
      <c r="B385" s="449" t="s">
        <v>471</v>
      </c>
      <c r="C385" s="449" t="s">
        <v>679</v>
      </c>
      <c r="D385" s="193"/>
      <c r="E385" s="193"/>
      <c r="F385" s="193"/>
      <c r="T385" s="179" t="e">
        <f t="shared" ca="1" si="183"/>
        <v>#N/A</v>
      </c>
      <c r="U385" s="179" t="e">
        <f t="shared" ca="1" si="189"/>
        <v>#N/A</v>
      </c>
      <c r="V385" s="179" t="e">
        <f t="shared" ca="1" si="189"/>
        <v>#N/A</v>
      </c>
      <c r="W385" s="179" t="e">
        <f t="shared" ca="1" si="175"/>
        <v>#N/A</v>
      </c>
      <c r="X385" s="179" t="e">
        <f t="shared" ca="1" si="190"/>
        <v>#N/A</v>
      </c>
      <c r="Y385" s="179" t="e">
        <f t="shared" ca="1" si="190"/>
        <v>#N/A</v>
      </c>
      <c r="Z385" s="179" t="e">
        <f t="shared" ca="1" si="177"/>
        <v>#N/A</v>
      </c>
      <c r="AA385" s="179" t="e">
        <f t="shared" ca="1" si="191"/>
        <v>#N/A</v>
      </c>
      <c r="AB385" s="179" t="e">
        <f t="shared" ca="1" si="191"/>
        <v>#N/A</v>
      </c>
      <c r="AC385" s="179" t="e">
        <f t="shared" ca="1" si="179"/>
        <v>#N/A</v>
      </c>
      <c r="AD385" s="179" t="e">
        <f t="shared" ca="1" si="192"/>
        <v>#N/A</v>
      </c>
      <c r="AE385" s="179" t="e">
        <f t="shared" ca="1" si="192"/>
        <v>#N/A</v>
      </c>
      <c r="AF385" s="179" t="e">
        <f t="shared" ca="1" si="181"/>
        <v>#N/A</v>
      </c>
      <c r="AG385" s="179" t="e">
        <f t="shared" ca="1" si="193"/>
        <v>#N/A</v>
      </c>
      <c r="AH385" s="179" t="e">
        <f t="shared" ca="1" si="193"/>
        <v>#N/A</v>
      </c>
    </row>
    <row r="386" spans="1:34" ht="15.75" customHeight="1">
      <c r="A386" s="449" t="s">
        <v>43</v>
      </c>
      <c r="B386" s="449" t="s">
        <v>474</v>
      </c>
      <c r="C386" s="449" t="s">
        <v>1672</v>
      </c>
      <c r="D386" s="193"/>
      <c r="E386" s="193"/>
      <c r="F386" s="193"/>
      <c r="T386" s="179" t="e">
        <f t="shared" ca="1" si="183"/>
        <v>#N/A</v>
      </c>
      <c r="U386" s="179" t="e">
        <f t="shared" ca="1" si="189"/>
        <v>#N/A</v>
      </c>
      <c r="V386" s="179" t="e">
        <f t="shared" ca="1" si="189"/>
        <v>#N/A</v>
      </c>
      <c r="W386" s="179" t="e">
        <f t="shared" ca="1" si="175"/>
        <v>#N/A</v>
      </c>
      <c r="X386" s="179" t="e">
        <f t="shared" ca="1" si="190"/>
        <v>#N/A</v>
      </c>
      <c r="Y386" s="179" t="e">
        <f t="shared" ca="1" si="190"/>
        <v>#N/A</v>
      </c>
      <c r="Z386" s="179" t="e">
        <f t="shared" ca="1" si="177"/>
        <v>#N/A</v>
      </c>
      <c r="AA386" s="179" t="e">
        <f t="shared" ca="1" si="191"/>
        <v>#N/A</v>
      </c>
      <c r="AB386" s="179" t="e">
        <f t="shared" ca="1" si="191"/>
        <v>#N/A</v>
      </c>
      <c r="AC386" s="179" t="e">
        <f t="shared" ca="1" si="179"/>
        <v>#N/A</v>
      </c>
      <c r="AD386" s="179" t="e">
        <f t="shared" ca="1" si="192"/>
        <v>#N/A</v>
      </c>
      <c r="AE386" s="179" t="e">
        <f t="shared" ca="1" si="192"/>
        <v>#N/A</v>
      </c>
      <c r="AF386" s="179" t="e">
        <f t="shared" ca="1" si="181"/>
        <v>#N/A</v>
      </c>
      <c r="AG386" s="179" t="e">
        <f t="shared" ca="1" si="193"/>
        <v>#N/A</v>
      </c>
      <c r="AH386" s="179" t="e">
        <f t="shared" ca="1" si="193"/>
        <v>#N/A</v>
      </c>
    </row>
    <row r="387" spans="1:34" ht="15.75" customHeight="1">
      <c r="A387" s="449" t="s">
        <v>39</v>
      </c>
      <c r="B387" s="449" t="s">
        <v>578</v>
      </c>
      <c r="C387" s="449" t="s">
        <v>682</v>
      </c>
      <c r="D387" s="193"/>
      <c r="E387" s="193"/>
      <c r="F387" s="193"/>
      <c r="T387" s="179" t="e">
        <f t="shared" ca="1" si="183"/>
        <v>#N/A</v>
      </c>
      <c r="U387" s="179" t="e">
        <f t="shared" ca="1" si="189"/>
        <v>#N/A</v>
      </c>
      <c r="V387" s="179" t="e">
        <f t="shared" ca="1" si="189"/>
        <v>#N/A</v>
      </c>
      <c r="W387" s="179" t="e">
        <f t="shared" ca="1" si="175"/>
        <v>#N/A</v>
      </c>
      <c r="X387" s="179" t="e">
        <f t="shared" ca="1" si="190"/>
        <v>#N/A</v>
      </c>
      <c r="Y387" s="179" t="e">
        <f t="shared" ca="1" si="190"/>
        <v>#N/A</v>
      </c>
      <c r="Z387" s="179" t="e">
        <f t="shared" ca="1" si="177"/>
        <v>#N/A</v>
      </c>
      <c r="AA387" s="179" t="e">
        <f t="shared" ca="1" si="191"/>
        <v>#N/A</v>
      </c>
      <c r="AB387" s="179" t="e">
        <f t="shared" ca="1" si="191"/>
        <v>#N/A</v>
      </c>
      <c r="AC387" s="179" t="e">
        <f t="shared" ca="1" si="179"/>
        <v>#N/A</v>
      </c>
      <c r="AD387" s="179" t="e">
        <f t="shared" ca="1" si="192"/>
        <v>#N/A</v>
      </c>
      <c r="AE387" s="179" t="e">
        <f t="shared" ca="1" si="192"/>
        <v>#N/A</v>
      </c>
      <c r="AF387" s="179" t="e">
        <f t="shared" ca="1" si="181"/>
        <v>#N/A</v>
      </c>
      <c r="AG387" s="179" t="e">
        <f t="shared" ca="1" si="193"/>
        <v>#N/A</v>
      </c>
      <c r="AH387" s="179" t="e">
        <f t="shared" ca="1" si="193"/>
        <v>#N/A</v>
      </c>
    </row>
    <row r="388" spans="1:34" ht="15.75" customHeight="1">
      <c r="A388" s="449" t="s">
        <v>37</v>
      </c>
      <c r="B388" s="449" t="s">
        <v>564</v>
      </c>
      <c r="C388" s="449" t="s">
        <v>682</v>
      </c>
      <c r="D388" s="193"/>
      <c r="E388" s="193"/>
      <c r="F388" s="193"/>
      <c r="T388" s="179" t="e">
        <f t="shared" ca="1" si="183"/>
        <v>#N/A</v>
      </c>
      <c r="U388" s="179" t="e">
        <f t="shared" ca="1" si="189"/>
        <v>#N/A</v>
      </c>
      <c r="V388" s="179" t="e">
        <f t="shared" ca="1" si="189"/>
        <v>#N/A</v>
      </c>
      <c r="W388" s="179" t="e">
        <f t="shared" ca="1" si="175"/>
        <v>#N/A</v>
      </c>
      <c r="X388" s="179" t="e">
        <f t="shared" ca="1" si="190"/>
        <v>#N/A</v>
      </c>
      <c r="Y388" s="179" t="e">
        <f t="shared" ca="1" si="190"/>
        <v>#N/A</v>
      </c>
      <c r="Z388" s="179" t="e">
        <f t="shared" ca="1" si="177"/>
        <v>#N/A</v>
      </c>
      <c r="AA388" s="179" t="e">
        <f t="shared" ca="1" si="191"/>
        <v>#N/A</v>
      </c>
      <c r="AB388" s="179" t="e">
        <f t="shared" ca="1" si="191"/>
        <v>#N/A</v>
      </c>
      <c r="AC388" s="179" t="e">
        <f t="shared" ca="1" si="179"/>
        <v>#N/A</v>
      </c>
      <c r="AD388" s="179" t="e">
        <f t="shared" ca="1" si="192"/>
        <v>#N/A</v>
      </c>
      <c r="AE388" s="179" t="e">
        <f t="shared" ca="1" si="192"/>
        <v>#N/A</v>
      </c>
      <c r="AF388" s="179" t="e">
        <f t="shared" ca="1" si="181"/>
        <v>#N/A</v>
      </c>
      <c r="AG388" s="179" t="e">
        <f t="shared" ca="1" si="193"/>
        <v>#N/A</v>
      </c>
      <c r="AH388" s="179" t="e">
        <f t="shared" ca="1" si="193"/>
        <v>#N/A</v>
      </c>
    </row>
    <row r="389" spans="1:34" ht="15.75" customHeight="1">
      <c r="A389" s="449" t="s">
        <v>37</v>
      </c>
      <c r="B389" s="449" t="s">
        <v>566</v>
      </c>
      <c r="C389" s="449" t="s">
        <v>701</v>
      </c>
      <c r="D389" s="193"/>
      <c r="E389" s="193"/>
      <c r="F389" s="193"/>
      <c r="T389" s="179" t="e">
        <f t="shared" ca="1" si="183"/>
        <v>#N/A</v>
      </c>
      <c r="U389" s="179" t="e">
        <f t="shared" ref="U389:V408" ca="1" si="194">T389</f>
        <v>#N/A</v>
      </c>
      <c r="V389" s="179" t="e">
        <f t="shared" ca="1" si="194"/>
        <v>#N/A</v>
      </c>
      <c r="W389" s="179" t="e">
        <f t="shared" ca="1" si="175"/>
        <v>#N/A</v>
      </c>
      <c r="X389" s="179" t="e">
        <f t="shared" ref="X389:Y408" ca="1" si="195">W389</f>
        <v>#N/A</v>
      </c>
      <c r="Y389" s="179" t="e">
        <f t="shared" ca="1" si="195"/>
        <v>#N/A</v>
      </c>
      <c r="Z389" s="179" t="e">
        <f t="shared" ca="1" si="177"/>
        <v>#N/A</v>
      </c>
      <c r="AA389" s="179" t="e">
        <f t="shared" ref="AA389:AB408" ca="1" si="196">Z389</f>
        <v>#N/A</v>
      </c>
      <c r="AB389" s="179" t="e">
        <f t="shared" ca="1" si="196"/>
        <v>#N/A</v>
      </c>
      <c r="AC389" s="179" t="e">
        <f t="shared" ca="1" si="179"/>
        <v>#N/A</v>
      </c>
      <c r="AD389" s="179" t="e">
        <f t="shared" ref="AD389:AE408" ca="1" si="197">AC389</f>
        <v>#N/A</v>
      </c>
      <c r="AE389" s="179" t="e">
        <f t="shared" ca="1" si="197"/>
        <v>#N/A</v>
      </c>
      <c r="AF389" s="179" t="e">
        <f t="shared" ca="1" si="181"/>
        <v>#N/A</v>
      </c>
      <c r="AG389" s="179" t="e">
        <f t="shared" ref="AG389:AH408" ca="1" si="198">AF389</f>
        <v>#N/A</v>
      </c>
      <c r="AH389" s="179" t="e">
        <f t="shared" ca="1" si="198"/>
        <v>#N/A</v>
      </c>
    </row>
    <row r="390" spans="1:34" ht="15.75" customHeight="1">
      <c r="A390" s="449" t="s">
        <v>43</v>
      </c>
      <c r="B390" s="449" t="s">
        <v>477</v>
      </c>
      <c r="C390" s="449" t="s">
        <v>700</v>
      </c>
      <c r="D390" s="193"/>
      <c r="E390" s="193"/>
      <c r="F390" s="193"/>
      <c r="T390" s="179" t="e">
        <f t="shared" ca="1" si="183"/>
        <v>#N/A</v>
      </c>
      <c r="U390" s="179" t="e">
        <f t="shared" ca="1" si="194"/>
        <v>#N/A</v>
      </c>
      <c r="V390" s="179" t="e">
        <f t="shared" ca="1" si="194"/>
        <v>#N/A</v>
      </c>
      <c r="W390" s="179" t="e">
        <f t="shared" ca="1" si="175"/>
        <v>#N/A</v>
      </c>
      <c r="X390" s="179" t="e">
        <f t="shared" ca="1" si="195"/>
        <v>#N/A</v>
      </c>
      <c r="Y390" s="179" t="e">
        <f t="shared" ca="1" si="195"/>
        <v>#N/A</v>
      </c>
      <c r="Z390" s="179" t="e">
        <f t="shared" ca="1" si="177"/>
        <v>#N/A</v>
      </c>
      <c r="AA390" s="179" t="e">
        <f t="shared" ca="1" si="196"/>
        <v>#N/A</v>
      </c>
      <c r="AB390" s="179" t="e">
        <f t="shared" ca="1" si="196"/>
        <v>#N/A</v>
      </c>
      <c r="AC390" s="179" t="e">
        <f t="shared" ca="1" si="179"/>
        <v>#N/A</v>
      </c>
      <c r="AD390" s="179" t="e">
        <f t="shared" ca="1" si="197"/>
        <v>#N/A</v>
      </c>
      <c r="AE390" s="179" t="e">
        <f t="shared" ca="1" si="197"/>
        <v>#N/A</v>
      </c>
      <c r="AF390" s="179" t="e">
        <f t="shared" ca="1" si="181"/>
        <v>#N/A</v>
      </c>
      <c r="AG390" s="179" t="e">
        <f t="shared" ca="1" si="198"/>
        <v>#N/A</v>
      </c>
      <c r="AH390" s="179" t="e">
        <f t="shared" ca="1" si="198"/>
        <v>#N/A</v>
      </c>
    </row>
    <row r="391" spans="1:34" ht="15.75" customHeight="1">
      <c r="A391" s="449" t="s">
        <v>43</v>
      </c>
      <c r="B391" s="449" t="s">
        <v>1780</v>
      </c>
      <c r="C391" s="449" t="s">
        <v>1674</v>
      </c>
      <c r="D391" s="193"/>
      <c r="E391" s="193"/>
      <c r="F391" s="193"/>
      <c r="T391" s="179" t="e">
        <f t="shared" ca="1" si="183"/>
        <v>#N/A</v>
      </c>
      <c r="U391" s="179" t="e">
        <f t="shared" ca="1" si="194"/>
        <v>#N/A</v>
      </c>
      <c r="V391" s="179" t="e">
        <f t="shared" ca="1" si="194"/>
        <v>#N/A</v>
      </c>
      <c r="W391" s="179" t="e">
        <f t="shared" ca="1" si="175"/>
        <v>#N/A</v>
      </c>
      <c r="X391" s="179" t="e">
        <f t="shared" ca="1" si="195"/>
        <v>#N/A</v>
      </c>
      <c r="Y391" s="179" t="e">
        <f t="shared" ca="1" si="195"/>
        <v>#N/A</v>
      </c>
      <c r="Z391" s="179" t="e">
        <f t="shared" ca="1" si="177"/>
        <v>#N/A</v>
      </c>
      <c r="AA391" s="179" t="e">
        <f t="shared" ca="1" si="196"/>
        <v>#N/A</v>
      </c>
      <c r="AB391" s="179" t="e">
        <f t="shared" ca="1" si="196"/>
        <v>#N/A</v>
      </c>
      <c r="AC391" s="179" t="e">
        <f t="shared" ca="1" si="179"/>
        <v>#N/A</v>
      </c>
      <c r="AD391" s="179" t="e">
        <f t="shared" ca="1" si="197"/>
        <v>#N/A</v>
      </c>
      <c r="AE391" s="179" t="e">
        <f t="shared" ca="1" si="197"/>
        <v>#N/A</v>
      </c>
      <c r="AF391" s="179" t="e">
        <f t="shared" ca="1" si="181"/>
        <v>#N/A</v>
      </c>
      <c r="AG391" s="179" t="e">
        <f t="shared" ca="1" si="198"/>
        <v>#N/A</v>
      </c>
      <c r="AH391" s="179" t="e">
        <f t="shared" ca="1" si="198"/>
        <v>#N/A</v>
      </c>
    </row>
    <row r="392" spans="1:34" ht="15.75" customHeight="1">
      <c r="A392" s="449" t="s">
        <v>35</v>
      </c>
      <c r="B392" s="449" t="s">
        <v>387</v>
      </c>
      <c r="C392" s="449" t="s">
        <v>685</v>
      </c>
      <c r="D392" s="193"/>
      <c r="E392" s="193"/>
      <c r="F392" s="193"/>
      <c r="T392" s="179" t="e">
        <f t="shared" ca="1" si="183"/>
        <v>#N/A</v>
      </c>
      <c r="U392" s="179" t="e">
        <f t="shared" ca="1" si="194"/>
        <v>#N/A</v>
      </c>
      <c r="V392" s="179" t="e">
        <f t="shared" ca="1" si="194"/>
        <v>#N/A</v>
      </c>
      <c r="W392" s="179" t="e">
        <f t="shared" ca="1" si="175"/>
        <v>#N/A</v>
      </c>
      <c r="X392" s="179" t="e">
        <f t="shared" ca="1" si="195"/>
        <v>#N/A</v>
      </c>
      <c r="Y392" s="179" t="e">
        <f t="shared" ca="1" si="195"/>
        <v>#N/A</v>
      </c>
      <c r="Z392" s="179" t="e">
        <f t="shared" ca="1" si="177"/>
        <v>#N/A</v>
      </c>
      <c r="AA392" s="179" t="e">
        <f t="shared" ca="1" si="196"/>
        <v>#N/A</v>
      </c>
      <c r="AB392" s="179" t="e">
        <f t="shared" ca="1" si="196"/>
        <v>#N/A</v>
      </c>
      <c r="AC392" s="179" t="e">
        <f t="shared" ca="1" si="179"/>
        <v>#N/A</v>
      </c>
      <c r="AD392" s="179" t="e">
        <f t="shared" ca="1" si="197"/>
        <v>#N/A</v>
      </c>
      <c r="AE392" s="179" t="e">
        <f t="shared" ca="1" si="197"/>
        <v>#N/A</v>
      </c>
      <c r="AF392" s="179" t="e">
        <f t="shared" ca="1" si="181"/>
        <v>#N/A</v>
      </c>
      <c r="AG392" s="179" t="e">
        <f t="shared" ca="1" si="198"/>
        <v>#N/A</v>
      </c>
      <c r="AH392" s="179" t="e">
        <f t="shared" ca="1" si="198"/>
        <v>#N/A</v>
      </c>
    </row>
    <row r="393" spans="1:34" ht="15.75" customHeight="1">
      <c r="A393" s="449" t="s">
        <v>43</v>
      </c>
      <c r="B393" s="449" t="s">
        <v>1788</v>
      </c>
      <c r="C393" s="449" t="s">
        <v>679</v>
      </c>
      <c r="D393" s="193"/>
      <c r="E393" s="193"/>
      <c r="F393" s="193"/>
      <c r="T393" s="179" t="e">
        <f t="shared" ca="1" si="183"/>
        <v>#N/A</v>
      </c>
      <c r="U393" s="179" t="e">
        <f t="shared" ca="1" si="194"/>
        <v>#N/A</v>
      </c>
      <c r="V393" s="179" t="e">
        <f t="shared" ca="1" si="194"/>
        <v>#N/A</v>
      </c>
      <c r="W393" s="179" t="e">
        <f t="shared" ref="W393:W456" ca="1" si="199">W392+MATCH(W$7,INDIRECT("$A"&amp;W392+1&amp;":$A$1000"),0)</f>
        <v>#N/A</v>
      </c>
      <c r="X393" s="179" t="e">
        <f t="shared" ca="1" si="195"/>
        <v>#N/A</v>
      </c>
      <c r="Y393" s="179" t="e">
        <f t="shared" ca="1" si="195"/>
        <v>#N/A</v>
      </c>
      <c r="Z393" s="179" t="e">
        <f t="shared" ref="Z393:Z456" ca="1" si="200">Z392+MATCH(Z$7,INDIRECT("$A"&amp;Z392+1&amp;":$A$1000"),0)</f>
        <v>#N/A</v>
      </c>
      <c r="AA393" s="179" t="e">
        <f t="shared" ca="1" si="196"/>
        <v>#N/A</v>
      </c>
      <c r="AB393" s="179" t="e">
        <f t="shared" ca="1" si="196"/>
        <v>#N/A</v>
      </c>
      <c r="AC393" s="179" t="e">
        <f t="shared" ref="AC393:AC456" ca="1" si="201">AC392+MATCH(AC$7,INDIRECT("$A"&amp;AC392+1&amp;":$A$1000"),0)</f>
        <v>#N/A</v>
      </c>
      <c r="AD393" s="179" t="e">
        <f t="shared" ca="1" si="197"/>
        <v>#N/A</v>
      </c>
      <c r="AE393" s="179" t="e">
        <f t="shared" ca="1" si="197"/>
        <v>#N/A</v>
      </c>
      <c r="AF393" s="179" t="e">
        <f t="shared" ref="AF393:AF456" ca="1" si="202">AF392+MATCH(AF$7,INDIRECT("$A"&amp;AF392+1&amp;":$A$1000"),0)</f>
        <v>#N/A</v>
      </c>
      <c r="AG393" s="179" t="e">
        <f t="shared" ca="1" si="198"/>
        <v>#N/A</v>
      </c>
      <c r="AH393" s="179" t="e">
        <f t="shared" ca="1" si="198"/>
        <v>#N/A</v>
      </c>
    </row>
    <row r="394" spans="1:34" ht="15.75" customHeight="1">
      <c r="A394" s="449" t="s">
        <v>39</v>
      </c>
      <c r="B394" s="449" t="s">
        <v>579</v>
      </c>
      <c r="C394" s="449" t="s">
        <v>695</v>
      </c>
      <c r="D394" s="193"/>
      <c r="E394" s="193"/>
      <c r="F394" s="193"/>
      <c r="T394" s="179" t="e">
        <f t="shared" ref="T394:T457" ca="1" si="203">T393+MATCH($T$7,INDIRECT("$A"&amp;T393+1&amp;":$A$1000"),0)</f>
        <v>#N/A</v>
      </c>
      <c r="U394" s="179" t="e">
        <f t="shared" ca="1" si="194"/>
        <v>#N/A</v>
      </c>
      <c r="V394" s="179" t="e">
        <f t="shared" ca="1" si="194"/>
        <v>#N/A</v>
      </c>
      <c r="W394" s="179" t="e">
        <f t="shared" ca="1" si="199"/>
        <v>#N/A</v>
      </c>
      <c r="X394" s="179" t="e">
        <f t="shared" ca="1" si="195"/>
        <v>#N/A</v>
      </c>
      <c r="Y394" s="179" t="e">
        <f t="shared" ca="1" si="195"/>
        <v>#N/A</v>
      </c>
      <c r="Z394" s="179" t="e">
        <f t="shared" ca="1" si="200"/>
        <v>#N/A</v>
      </c>
      <c r="AA394" s="179" t="e">
        <f t="shared" ca="1" si="196"/>
        <v>#N/A</v>
      </c>
      <c r="AB394" s="179" t="e">
        <f t="shared" ca="1" si="196"/>
        <v>#N/A</v>
      </c>
      <c r="AC394" s="179" t="e">
        <f t="shared" ca="1" si="201"/>
        <v>#N/A</v>
      </c>
      <c r="AD394" s="179" t="e">
        <f t="shared" ca="1" si="197"/>
        <v>#N/A</v>
      </c>
      <c r="AE394" s="179" t="e">
        <f t="shared" ca="1" si="197"/>
        <v>#N/A</v>
      </c>
      <c r="AF394" s="179" t="e">
        <f t="shared" ca="1" si="202"/>
        <v>#N/A</v>
      </c>
      <c r="AG394" s="179" t="e">
        <f t="shared" ca="1" si="198"/>
        <v>#N/A</v>
      </c>
      <c r="AH394" s="179" t="e">
        <f t="shared" ca="1" si="198"/>
        <v>#N/A</v>
      </c>
    </row>
    <row r="395" spans="1:34" ht="15.75" customHeight="1">
      <c r="A395" s="449" t="s">
        <v>43</v>
      </c>
      <c r="B395" s="449" t="s">
        <v>480</v>
      </c>
      <c r="C395" s="449" t="s">
        <v>680</v>
      </c>
      <c r="D395" s="193"/>
      <c r="E395" s="193"/>
      <c r="F395" s="193"/>
      <c r="T395" s="179" t="e">
        <f t="shared" ca="1" si="203"/>
        <v>#N/A</v>
      </c>
      <c r="U395" s="179" t="e">
        <f t="shared" ca="1" si="194"/>
        <v>#N/A</v>
      </c>
      <c r="V395" s="179" t="e">
        <f t="shared" ca="1" si="194"/>
        <v>#N/A</v>
      </c>
      <c r="W395" s="179" t="e">
        <f t="shared" ca="1" si="199"/>
        <v>#N/A</v>
      </c>
      <c r="X395" s="179" t="e">
        <f t="shared" ca="1" si="195"/>
        <v>#N/A</v>
      </c>
      <c r="Y395" s="179" t="e">
        <f t="shared" ca="1" si="195"/>
        <v>#N/A</v>
      </c>
      <c r="Z395" s="179" t="e">
        <f t="shared" ca="1" si="200"/>
        <v>#N/A</v>
      </c>
      <c r="AA395" s="179" t="e">
        <f t="shared" ca="1" si="196"/>
        <v>#N/A</v>
      </c>
      <c r="AB395" s="179" t="e">
        <f t="shared" ca="1" si="196"/>
        <v>#N/A</v>
      </c>
      <c r="AC395" s="179" t="e">
        <f t="shared" ca="1" si="201"/>
        <v>#N/A</v>
      </c>
      <c r="AD395" s="179" t="e">
        <f t="shared" ca="1" si="197"/>
        <v>#N/A</v>
      </c>
      <c r="AE395" s="179" t="e">
        <f t="shared" ca="1" si="197"/>
        <v>#N/A</v>
      </c>
      <c r="AF395" s="179" t="e">
        <f t="shared" ca="1" si="202"/>
        <v>#N/A</v>
      </c>
      <c r="AG395" s="179" t="e">
        <f t="shared" ca="1" si="198"/>
        <v>#N/A</v>
      </c>
      <c r="AH395" s="179" t="e">
        <f t="shared" ca="1" si="198"/>
        <v>#N/A</v>
      </c>
    </row>
    <row r="396" spans="1:34" ht="15.75" customHeight="1">
      <c r="A396" s="449" t="s">
        <v>37</v>
      </c>
      <c r="B396" s="449" t="s">
        <v>568</v>
      </c>
      <c r="C396" s="449" t="s">
        <v>685</v>
      </c>
      <c r="D396" s="193"/>
      <c r="E396" s="193"/>
      <c r="F396" s="193"/>
      <c r="T396" s="179" t="e">
        <f t="shared" ca="1" si="203"/>
        <v>#N/A</v>
      </c>
      <c r="U396" s="179" t="e">
        <f t="shared" ca="1" si="194"/>
        <v>#N/A</v>
      </c>
      <c r="V396" s="179" t="e">
        <f t="shared" ca="1" si="194"/>
        <v>#N/A</v>
      </c>
      <c r="W396" s="179" t="e">
        <f t="shared" ca="1" si="199"/>
        <v>#N/A</v>
      </c>
      <c r="X396" s="179" t="e">
        <f t="shared" ca="1" si="195"/>
        <v>#N/A</v>
      </c>
      <c r="Y396" s="179" t="e">
        <f t="shared" ca="1" si="195"/>
        <v>#N/A</v>
      </c>
      <c r="Z396" s="179" t="e">
        <f t="shared" ca="1" si="200"/>
        <v>#N/A</v>
      </c>
      <c r="AA396" s="179" t="e">
        <f t="shared" ca="1" si="196"/>
        <v>#N/A</v>
      </c>
      <c r="AB396" s="179" t="e">
        <f t="shared" ca="1" si="196"/>
        <v>#N/A</v>
      </c>
      <c r="AC396" s="179" t="e">
        <f t="shared" ca="1" si="201"/>
        <v>#N/A</v>
      </c>
      <c r="AD396" s="179" t="e">
        <f t="shared" ca="1" si="197"/>
        <v>#N/A</v>
      </c>
      <c r="AE396" s="179" t="e">
        <f t="shared" ca="1" si="197"/>
        <v>#N/A</v>
      </c>
      <c r="AF396" s="179" t="e">
        <f t="shared" ca="1" si="202"/>
        <v>#N/A</v>
      </c>
      <c r="AG396" s="179" t="e">
        <f t="shared" ca="1" si="198"/>
        <v>#N/A</v>
      </c>
      <c r="AH396" s="179" t="e">
        <f t="shared" ca="1" si="198"/>
        <v>#N/A</v>
      </c>
    </row>
    <row r="397" spans="1:34" ht="15.75" customHeight="1">
      <c r="A397" s="449" t="s">
        <v>43</v>
      </c>
      <c r="B397" s="449" t="s">
        <v>484</v>
      </c>
      <c r="C397" s="449" t="s">
        <v>684</v>
      </c>
      <c r="D397" s="193"/>
      <c r="E397" s="193"/>
      <c r="F397" s="193"/>
      <c r="T397" s="179" t="e">
        <f t="shared" ca="1" si="203"/>
        <v>#N/A</v>
      </c>
      <c r="U397" s="179" t="e">
        <f t="shared" ca="1" si="194"/>
        <v>#N/A</v>
      </c>
      <c r="V397" s="179" t="e">
        <f t="shared" ca="1" si="194"/>
        <v>#N/A</v>
      </c>
      <c r="W397" s="179" t="e">
        <f t="shared" ca="1" si="199"/>
        <v>#N/A</v>
      </c>
      <c r="X397" s="179" t="e">
        <f t="shared" ca="1" si="195"/>
        <v>#N/A</v>
      </c>
      <c r="Y397" s="179" t="e">
        <f t="shared" ca="1" si="195"/>
        <v>#N/A</v>
      </c>
      <c r="Z397" s="179" t="e">
        <f t="shared" ca="1" si="200"/>
        <v>#N/A</v>
      </c>
      <c r="AA397" s="179" t="e">
        <f t="shared" ca="1" si="196"/>
        <v>#N/A</v>
      </c>
      <c r="AB397" s="179" t="e">
        <f t="shared" ca="1" si="196"/>
        <v>#N/A</v>
      </c>
      <c r="AC397" s="179" t="e">
        <f t="shared" ca="1" si="201"/>
        <v>#N/A</v>
      </c>
      <c r="AD397" s="179" t="e">
        <f t="shared" ca="1" si="197"/>
        <v>#N/A</v>
      </c>
      <c r="AE397" s="179" t="e">
        <f t="shared" ca="1" si="197"/>
        <v>#N/A</v>
      </c>
      <c r="AF397" s="179" t="e">
        <f t="shared" ca="1" si="202"/>
        <v>#N/A</v>
      </c>
      <c r="AG397" s="179" t="e">
        <f t="shared" ca="1" si="198"/>
        <v>#N/A</v>
      </c>
      <c r="AH397" s="179" t="e">
        <f t="shared" ca="1" si="198"/>
        <v>#N/A</v>
      </c>
    </row>
    <row r="398" spans="1:34" ht="15.75" customHeight="1">
      <c r="A398" s="449" t="s">
        <v>35</v>
      </c>
      <c r="B398" s="449" t="s">
        <v>392</v>
      </c>
      <c r="C398" s="449" t="s">
        <v>679</v>
      </c>
      <c r="D398" s="193"/>
      <c r="E398" s="193"/>
      <c r="F398" s="193"/>
      <c r="T398" s="179" t="e">
        <f t="shared" ca="1" si="203"/>
        <v>#N/A</v>
      </c>
      <c r="U398" s="179" t="e">
        <f t="shared" ca="1" si="194"/>
        <v>#N/A</v>
      </c>
      <c r="V398" s="179" t="e">
        <f t="shared" ca="1" si="194"/>
        <v>#N/A</v>
      </c>
      <c r="W398" s="179" t="e">
        <f t="shared" ca="1" si="199"/>
        <v>#N/A</v>
      </c>
      <c r="X398" s="179" t="e">
        <f t="shared" ca="1" si="195"/>
        <v>#N/A</v>
      </c>
      <c r="Y398" s="179" t="e">
        <f t="shared" ca="1" si="195"/>
        <v>#N/A</v>
      </c>
      <c r="Z398" s="179" t="e">
        <f t="shared" ca="1" si="200"/>
        <v>#N/A</v>
      </c>
      <c r="AA398" s="179" t="e">
        <f t="shared" ca="1" si="196"/>
        <v>#N/A</v>
      </c>
      <c r="AB398" s="179" t="e">
        <f t="shared" ca="1" si="196"/>
        <v>#N/A</v>
      </c>
      <c r="AC398" s="179" t="e">
        <f t="shared" ca="1" si="201"/>
        <v>#N/A</v>
      </c>
      <c r="AD398" s="179" t="e">
        <f t="shared" ca="1" si="197"/>
        <v>#N/A</v>
      </c>
      <c r="AE398" s="179" t="e">
        <f t="shared" ca="1" si="197"/>
        <v>#N/A</v>
      </c>
      <c r="AF398" s="179" t="e">
        <f t="shared" ca="1" si="202"/>
        <v>#N/A</v>
      </c>
      <c r="AG398" s="179" t="e">
        <f t="shared" ca="1" si="198"/>
        <v>#N/A</v>
      </c>
      <c r="AH398" s="179" t="e">
        <f t="shared" ca="1" si="198"/>
        <v>#N/A</v>
      </c>
    </row>
    <row r="399" spans="1:34" ht="15.75" customHeight="1">
      <c r="A399" s="449" t="s">
        <v>39</v>
      </c>
      <c r="B399" s="449" t="s">
        <v>580</v>
      </c>
      <c r="C399" s="449" t="s">
        <v>677</v>
      </c>
      <c r="D399" s="193"/>
      <c r="E399" s="193"/>
      <c r="F399" s="193"/>
      <c r="T399" s="179" t="e">
        <f t="shared" ca="1" si="203"/>
        <v>#N/A</v>
      </c>
      <c r="U399" s="179" t="e">
        <f t="shared" ca="1" si="194"/>
        <v>#N/A</v>
      </c>
      <c r="V399" s="179" t="e">
        <f t="shared" ca="1" si="194"/>
        <v>#N/A</v>
      </c>
      <c r="W399" s="179" t="e">
        <f t="shared" ca="1" si="199"/>
        <v>#N/A</v>
      </c>
      <c r="X399" s="179" t="e">
        <f t="shared" ca="1" si="195"/>
        <v>#N/A</v>
      </c>
      <c r="Y399" s="179" t="e">
        <f t="shared" ca="1" si="195"/>
        <v>#N/A</v>
      </c>
      <c r="Z399" s="179" t="e">
        <f t="shared" ca="1" si="200"/>
        <v>#N/A</v>
      </c>
      <c r="AA399" s="179" t="e">
        <f t="shared" ca="1" si="196"/>
        <v>#N/A</v>
      </c>
      <c r="AB399" s="179" t="e">
        <f t="shared" ca="1" si="196"/>
        <v>#N/A</v>
      </c>
      <c r="AC399" s="179" t="e">
        <f t="shared" ca="1" si="201"/>
        <v>#N/A</v>
      </c>
      <c r="AD399" s="179" t="e">
        <f t="shared" ca="1" si="197"/>
        <v>#N/A</v>
      </c>
      <c r="AE399" s="179" t="e">
        <f t="shared" ca="1" si="197"/>
        <v>#N/A</v>
      </c>
      <c r="AF399" s="179" t="e">
        <f t="shared" ca="1" si="202"/>
        <v>#N/A</v>
      </c>
      <c r="AG399" s="179" t="e">
        <f t="shared" ca="1" si="198"/>
        <v>#N/A</v>
      </c>
      <c r="AH399" s="179" t="e">
        <f t="shared" ca="1" si="198"/>
        <v>#N/A</v>
      </c>
    </row>
    <row r="400" spans="1:34" ht="15.75" customHeight="1">
      <c r="A400" s="449" t="s">
        <v>39</v>
      </c>
      <c r="B400" s="449" t="s">
        <v>581</v>
      </c>
      <c r="C400" s="449" t="s">
        <v>695</v>
      </c>
      <c r="D400" s="193"/>
      <c r="E400" s="193"/>
      <c r="F400" s="193"/>
      <c r="T400" s="179" t="e">
        <f t="shared" ca="1" si="203"/>
        <v>#N/A</v>
      </c>
      <c r="U400" s="179" t="e">
        <f t="shared" ca="1" si="194"/>
        <v>#N/A</v>
      </c>
      <c r="V400" s="179" t="e">
        <f t="shared" ca="1" si="194"/>
        <v>#N/A</v>
      </c>
      <c r="W400" s="179" t="e">
        <f t="shared" ca="1" si="199"/>
        <v>#N/A</v>
      </c>
      <c r="X400" s="179" t="e">
        <f t="shared" ca="1" si="195"/>
        <v>#N/A</v>
      </c>
      <c r="Y400" s="179" t="e">
        <f t="shared" ca="1" si="195"/>
        <v>#N/A</v>
      </c>
      <c r="Z400" s="179" t="e">
        <f t="shared" ca="1" si="200"/>
        <v>#N/A</v>
      </c>
      <c r="AA400" s="179" t="e">
        <f t="shared" ca="1" si="196"/>
        <v>#N/A</v>
      </c>
      <c r="AB400" s="179" t="e">
        <f t="shared" ca="1" si="196"/>
        <v>#N/A</v>
      </c>
      <c r="AC400" s="179" t="e">
        <f t="shared" ca="1" si="201"/>
        <v>#N/A</v>
      </c>
      <c r="AD400" s="179" t="e">
        <f t="shared" ca="1" si="197"/>
        <v>#N/A</v>
      </c>
      <c r="AE400" s="179" t="e">
        <f t="shared" ca="1" si="197"/>
        <v>#N/A</v>
      </c>
      <c r="AF400" s="179" t="e">
        <f t="shared" ca="1" si="202"/>
        <v>#N/A</v>
      </c>
      <c r="AG400" s="179" t="e">
        <f t="shared" ca="1" si="198"/>
        <v>#N/A</v>
      </c>
      <c r="AH400" s="179" t="e">
        <f t="shared" ca="1" si="198"/>
        <v>#N/A</v>
      </c>
    </row>
    <row r="401" spans="1:34" ht="15.75" customHeight="1">
      <c r="A401" s="449" t="s">
        <v>43</v>
      </c>
      <c r="B401" s="449" t="s">
        <v>486</v>
      </c>
      <c r="C401" s="449" t="s">
        <v>686</v>
      </c>
      <c r="D401" s="193"/>
      <c r="E401" s="193"/>
      <c r="F401" s="193"/>
      <c r="T401" s="179" t="e">
        <f t="shared" ca="1" si="203"/>
        <v>#N/A</v>
      </c>
      <c r="U401" s="179" t="e">
        <f t="shared" ca="1" si="194"/>
        <v>#N/A</v>
      </c>
      <c r="V401" s="179" t="e">
        <f t="shared" ca="1" si="194"/>
        <v>#N/A</v>
      </c>
      <c r="W401" s="179" t="e">
        <f t="shared" ca="1" si="199"/>
        <v>#N/A</v>
      </c>
      <c r="X401" s="179" t="e">
        <f t="shared" ca="1" si="195"/>
        <v>#N/A</v>
      </c>
      <c r="Y401" s="179" t="e">
        <f t="shared" ca="1" si="195"/>
        <v>#N/A</v>
      </c>
      <c r="Z401" s="179" t="e">
        <f t="shared" ca="1" si="200"/>
        <v>#N/A</v>
      </c>
      <c r="AA401" s="179" t="e">
        <f t="shared" ca="1" si="196"/>
        <v>#N/A</v>
      </c>
      <c r="AB401" s="179" t="e">
        <f t="shared" ca="1" si="196"/>
        <v>#N/A</v>
      </c>
      <c r="AC401" s="179" t="e">
        <f t="shared" ca="1" si="201"/>
        <v>#N/A</v>
      </c>
      <c r="AD401" s="179" t="e">
        <f t="shared" ca="1" si="197"/>
        <v>#N/A</v>
      </c>
      <c r="AE401" s="179" t="e">
        <f t="shared" ca="1" si="197"/>
        <v>#N/A</v>
      </c>
      <c r="AF401" s="179" t="e">
        <f t="shared" ca="1" si="202"/>
        <v>#N/A</v>
      </c>
      <c r="AG401" s="179" t="e">
        <f t="shared" ca="1" si="198"/>
        <v>#N/A</v>
      </c>
      <c r="AH401" s="179" t="e">
        <f t="shared" ca="1" si="198"/>
        <v>#N/A</v>
      </c>
    </row>
    <row r="402" spans="1:34" ht="15.75" customHeight="1">
      <c r="A402" s="449" t="s">
        <v>43</v>
      </c>
      <c r="B402" s="449" t="s">
        <v>1798</v>
      </c>
      <c r="C402" s="449" t="s">
        <v>691</v>
      </c>
      <c r="D402" s="193"/>
      <c r="E402" s="193"/>
      <c r="F402" s="193"/>
      <c r="T402" s="179" t="e">
        <f t="shared" ca="1" si="203"/>
        <v>#N/A</v>
      </c>
      <c r="U402" s="179" t="e">
        <f t="shared" ca="1" si="194"/>
        <v>#N/A</v>
      </c>
      <c r="V402" s="179" t="e">
        <f t="shared" ca="1" si="194"/>
        <v>#N/A</v>
      </c>
      <c r="W402" s="179" t="e">
        <f t="shared" ca="1" si="199"/>
        <v>#N/A</v>
      </c>
      <c r="X402" s="179" t="e">
        <f t="shared" ca="1" si="195"/>
        <v>#N/A</v>
      </c>
      <c r="Y402" s="179" t="e">
        <f t="shared" ca="1" si="195"/>
        <v>#N/A</v>
      </c>
      <c r="Z402" s="179" t="e">
        <f t="shared" ca="1" si="200"/>
        <v>#N/A</v>
      </c>
      <c r="AA402" s="179" t="e">
        <f t="shared" ca="1" si="196"/>
        <v>#N/A</v>
      </c>
      <c r="AB402" s="179" t="e">
        <f t="shared" ca="1" si="196"/>
        <v>#N/A</v>
      </c>
      <c r="AC402" s="179" t="e">
        <f t="shared" ca="1" si="201"/>
        <v>#N/A</v>
      </c>
      <c r="AD402" s="179" t="e">
        <f t="shared" ca="1" si="197"/>
        <v>#N/A</v>
      </c>
      <c r="AE402" s="179" t="e">
        <f t="shared" ca="1" si="197"/>
        <v>#N/A</v>
      </c>
      <c r="AF402" s="179" t="e">
        <f t="shared" ca="1" si="202"/>
        <v>#N/A</v>
      </c>
      <c r="AG402" s="179" t="e">
        <f t="shared" ca="1" si="198"/>
        <v>#N/A</v>
      </c>
      <c r="AH402" s="179" t="e">
        <f t="shared" ca="1" si="198"/>
        <v>#N/A</v>
      </c>
    </row>
    <row r="403" spans="1:34" ht="15.75" customHeight="1">
      <c r="A403" s="449" t="s">
        <v>37</v>
      </c>
      <c r="B403" s="449" t="s">
        <v>1939</v>
      </c>
      <c r="C403" s="449" t="s">
        <v>692</v>
      </c>
      <c r="D403" s="193"/>
      <c r="E403" s="193"/>
      <c r="F403" s="193"/>
      <c r="T403" s="179" t="e">
        <f t="shared" ca="1" si="203"/>
        <v>#N/A</v>
      </c>
      <c r="U403" s="179" t="e">
        <f t="shared" ca="1" si="194"/>
        <v>#N/A</v>
      </c>
      <c r="V403" s="179" t="e">
        <f t="shared" ca="1" si="194"/>
        <v>#N/A</v>
      </c>
      <c r="W403" s="179" t="e">
        <f t="shared" ca="1" si="199"/>
        <v>#N/A</v>
      </c>
      <c r="X403" s="179" t="e">
        <f t="shared" ca="1" si="195"/>
        <v>#N/A</v>
      </c>
      <c r="Y403" s="179" t="e">
        <f t="shared" ca="1" si="195"/>
        <v>#N/A</v>
      </c>
      <c r="Z403" s="179" t="e">
        <f t="shared" ca="1" si="200"/>
        <v>#N/A</v>
      </c>
      <c r="AA403" s="179" t="e">
        <f t="shared" ca="1" si="196"/>
        <v>#N/A</v>
      </c>
      <c r="AB403" s="179" t="e">
        <f t="shared" ca="1" si="196"/>
        <v>#N/A</v>
      </c>
      <c r="AC403" s="179" t="e">
        <f t="shared" ca="1" si="201"/>
        <v>#N/A</v>
      </c>
      <c r="AD403" s="179" t="e">
        <f t="shared" ca="1" si="197"/>
        <v>#N/A</v>
      </c>
      <c r="AE403" s="179" t="e">
        <f t="shared" ca="1" si="197"/>
        <v>#N/A</v>
      </c>
      <c r="AF403" s="179" t="e">
        <f t="shared" ca="1" si="202"/>
        <v>#N/A</v>
      </c>
      <c r="AG403" s="179" t="e">
        <f t="shared" ca="1" si="198"/>
        <v>#N/A</v>
      </c>
      <c r="AH403" s="179" t="e">
        <f t="shared" ca="1" si="198"/>
        <v>#N/A</v>
      </c>
    </row>
    <row r="404" spans="1:34" ht="15.75" customHeight="1">
      <c r="A404" s="449" t="s">
        <v>37</v>
      </c>
      <c r="B404" s="449" t="s">
        <v>1942</v>
      </c>
      <c r="C404" s="449" t="s">
        <v>684</v>
      </c>
      <c r="D404" s="193"/>
      <c r="E404" s="193"/>
      <c r="F404" s="193"/>
      <c r="T404" s="179" t="e">
        <f t="shared" ca="1" si="203"/>
        <v>#N/A</v>
      </c>
      <c r="U404" s="179" t="e">
        <f t="shared" ca="1" si="194"/>
        <v>#N/A</v>
      </c>
      <c r="V404" s="179" t="e">
        <f t="shared" ca="1" si="194"/>
        <v>#N/A</v>
      </c>
      <c r="W404" s="179" t="e">
        <f t="shared" ca="1" si="199"/>
        <v>#N/A</v>
      </c>
      <c r="X404" s="179" t="e">
        <f t="shared" ca="1" si="195"/>
        <v>#N/A</v>
      </c>
      <c r="Y404" s="179" t="e">
        <f t="shared" ca="1" si="195"/>
        <v>#N/A</v>
      </c>
      <c r="Z404" s="179" t="e">
        <f t="shared" ca="1" si="200"/>
        <v>#N/A</v>
      </c>
      <c r="AA404" s="179" t="e">
        <f t="shared" ca="1" si="196"/>
        <v>#N/A</v>
      </c>
      <c r="AB404" s="179" t="e">
        <f t="shared" ca="1" si="196"/>
        <v>#N/A</v>
      </c>
      <c r="AC404" s="179" t="e">
        <f t="shared" ca="1" si="201"/>
        <v>#N/A</v>
      </c>
      <c r="AD404" s="179" t="e">
        <f t="shared" ca="1" si="197"/>
        <v>#N/A</v>
      </c>
      <c r="AE404" s="179" t="e">
        <f t="shared" ca="1" si="197"/>
        <v>#N/A</v>
      </c>
      <c r="AF404" s="179" t="e">
        <f t="shared" ca="1" si="202"/>
        <v>#N/A</v>
      </c>
      <c r="AG404" s="179" t="e">
        <f t="shared" ca="1" si="198"/>
        <v>#N/A</v>
      </c>
      <c r="AH404" s="179" t="e">
        <f t="shared" ca="1" si="198"/>
        <v>#N/A</v>
      </c>
    </row>
    <row r="405" spans="1:34" ht="15.75" customHeight="1">
      <c r="A405" s="449" t="s">
        <v>43</v>
      </c>
      <c r="B405" s="449" t="s">
        <v>1285</v>
      </c>
      <c r="C405" s="449" t="s">
        <v>677</v>
      </c>
      <c r="D405" s="193"/>
      <c r="E405" s="193"/>
      <c r="F405" s="193"/>
      <c r="T405" s="179" t="e">
        <f t="shared" ca="1" si="203"/>
        <v>#N/A</v>
      </c>
      <c r="U405" s="179" t="e">
        <f t="shared" ca="1" si="194"/>
        <v>#N/A</v>
      </c>
      <c r="V405" s="179" t="e">
        <f t="shared" ca="1" si="194"/>
        <v>#N/A</v>
      </c>
      <c r="W405" s="179" t="e">
        <f t="shared" ca="1" si="199"/>
        <v>#N/A</v>
      </c>
      <c r="X405" s="179" t="e">
        <f t="shared" ca="1" si="195"/>
        <v>#N/A</v>
      </c>
      <c r="Y405" s="179" t="e">
        <f t="shared" ca="1" si="195"/>
        <v>#N/A</v>
      </c>
      <c r="Z405" s="179" t="e">
        <f t="shared" ca="1" si="200"/>
        <v>#N/A</v>
      </c>
      <c r="AA405" s="179" t="e">
        <f t="shared" ca="1" si="196"/>
        <v>#N/A</v>
      </c>
      <c r="AB405" s="179" t="e">
        <f t="shared" ca="1" si="196"/>
        <v>#N/A</v>
      </c>
      <c r="AC405" s="179" t="e">
        <f t="shared" ca="1" si="201"/>
        <v>#N/A</v>
      </c>
      <c r="AD405" s="179" t="e">
        <f t="shared" ca="1" si="197"/>
        <v>#N/A</v>
      </c>
      <c r="AE405" s="179" t="e">
        <f t="shared" ca="1" si="197"/>
        <v>#N/A</v>
      </c>
      <c r="AF405" s="179" t="e">
        <f t="shared" ca="1" si="202"/>
        <v>#N/A</v>
      </c>
      <c r="AG405" s="179" t="e">
        <f t="shared" ca="1" si="198"/>
        <v>#N/A</v>
      </c>
      <c r="AH405" s="179" t="e">
        <f t="shared" ca="1" si="198"/>
        <v>#N/A</v>
      </c>
    </row>
    <row r="406" spans="1:34" ht="15.75" customHeight="1">
      <c r="A406" s="449" t="s">
        <v>35</v>
      </c>
      <c r="B406" s="449" t="s">
        <v>1684</v>
      </c>
      <c r="C406" s="449" t="s">
        <v>676</v>
      </c>
      <c r="D406" s="193"/>
      <c r="E406" s="193"/>
      <c r="F406" s="193"/>
      <c r="T406" s="179" t="e">
        <f t="shared" ca="1" si="203"/>
        <v>#N/A</v>
      </c>
      <c r="U406" s="179" t="e">
        <f t="shared" ca="1" si="194"/>
        <v>#N/A</v>
      </c>
      <c r="V406" s="179" t="e">
        <f t="shared" ca="1" si="194"/>
        <v>#N/A</v>
      </c>
      <c r="W406" s="179" t="e">
        <f t="shared" ca="1" si="199"/>
        <v>#N/A</v>
      </c>
      <c r="X406" s="179" t="e">
        <f t="shared" ca="1" si="195"/>
        <v>#N/A</v>
      </c>
      <c r="Y406" s="179" t="e">
        <f t="shared" ca="1" si="195"/>
        <v>#N/A</v>
      </c>
      <c r="Z406" s="179" t="e">
        <f t="shared" ca="1" si="200"/>
        <v>#N/A</v>
      </c>
      <c r="AA406" s="179" t="e">
        <f t="shared" ca="1" si="196"/>
        <v>#N/A</v>
      </c>
      <c r="AB406" s="179" t="e">
        <f t="shared" ca="1" si="196"/>
        <v>#N/A</v>
      </c>
      <c r="AC406" s="179" t="e">
        <f t="shared" ca="1" si="201"/>
        <v>#N/A</v>
      </c>
      <c r="AD406" s="179" t="e">
        <f t="shared" ca="1" si="197"/>
        <v>#N/A</v>
      </c>
      <c r="AE406" s="179" t="e">
        <f t="shared" ca="1" si="197"/>
        <v>#N/A</v>
      </c>
      <c r="AF406" s="179" t="e">
        <f t="shared" ca="1" si="202"/>
        <v>#N/A</v>
      </c>
      <c r="AG406" s="179" t="e">
        <f t="shared" ca="1" si="198"/>
        <v>#N/A</v>
      </c>
      <c r="AH406" s="179" t="e">
        <f t="shared" ca="1" si="198"/>
        <v>#N/A</v>
      </c>
    </row>
    <row r="407" spans="1:34" ht="15.75" customHeight="1">
      <c r="A407" s="449" t="s">
        <v>37</v>
      </c>
      <c r="B407" s="449" t="s">
        <v>572</v>
      </c>
      <c r="C407" s="449" t="s">
        <v>700</v>
      </c>
      <c r="D407" s="193"/>
      <c r="E407" s="193"/>
      <c r="F407" s="193"/>
      <c r="T407" s="179" t="e">
        <f t="shared" ca="1" si="203"/>
        <v>#N/A</v>
      </c>
      <c r="U407" s="179" t="e">
        <f t="shared" ca="1" si="194"/>
        <v>#N/A</v>
      </c>
      <c r="V407" s="179" t="e">
        <f t="shared" ca="1" si="194"/>
        <v>#N/A</v>
      </c>
      <c r="W407" s="179" t="e">
        <f t="shared" ca="1" si="199"/>
        <v>#N/A</v>
      </c>
      <c r="X407" s="179" t="e">
        <f t="shared" ca="1" si="195"/>
        <v>#N/A</v>
      </c>
      <c r="Y407" s="179" t="e">
        <f t="shared" ca="1" si="195"/>
        <v>#N/A</v>
      </c>
      <c r="Z407" s="179" t="e">
        <f t="shared" ca="1" si="200"/>
        <v>#N/A</v>
      </c>
      <c r="AA407" s="179" t="e">
        <f t="shared" ca="1" si="196"/>
        <v>#N/A</v>
      </c>
      <c r="AB407" s="179" t="e">
        <f t="shared" ca="1" si="196"/>
        <v>#N/A</v>
      </c>
      <c r="AC407" s="179" t="e">
        <f t="shared" ca="1" si="201"/>
        <v>#N/A</v>
      </c>
      <c r="AD407" s="179" t="e">
        <f t="shared" ca="1" si="197"/>
        <v>#N/A</v>
      </c>
      <c r="AE407" s="179" t="e">
        <f t="shared" ca="1" si="197"/>
        <v>#N/A</v>
      </c>
      <c r="AF407" s="179" t="e">
        <f t="shared" ca="1" si="202"/>
        <v>#N/A</v>
      </c>
      <c r="AG407" s="179" t="e">
        <f t="shared" ca="1" si="198"/>
        <v>#N/A</v>
      </c>
      <c r="AH407" s="179" t="e">
        <f t="shared" ca="1" si="198"/>
        <v>#N/A</v>
      </c>
    </row>
    <row r="408" spans="1:34" ht="15.75" customHeight="1">
      <c r="A408" s="449" t="s">
        <v>35</v>
      </c>
      <c r="B408" s="449" t="s">
        <v>1683</v>
      </c>
      <c r="C408" s="449" t="s">
        <v>1672</v>
      </c>
      <c r="D408" s="193"/>
      <c r="E408" s="193"/>
      <c r="F408" s="193"/>
      <c r="T408" s="179" t="e">
        <f t="shared" ca="1" si="203"/>
        <v>#N/A</v>
      </c>
      <c r="U408" s="179" t="e">
        <f t="shared" ca="1" si="194"/>
        <v>#N/A</v>
      </c>
      <c r="V408" s="179" t="e">
        <f t="shared" ca="1" si="194"/>
        <v>#N/A</v>
      </c>
      <c r="W408" s="179" t="e">
        <f t="shared" ca="1" si="199"/>
        <v>#N/A</v>
      </c>
      <c r="X408" s="179" t="e">
        <f t="shared" ca="1" si="195"/>
        <v>#N/A</v>
      </c>
      <c r="Y408" s="179" t="e">
        <f t="shared" ca="1" si="195"/>
        <v>#N/A</v>
      </c>
      <c r="Z408" s="179" t="e">
        <f t="shared" ca="1" si="200"/>
        <v>#N/A</v>
      </c>
      <c r="AA408" s="179" t="e">
        <f t="shared" ca="1" si="196"/>
        <v>#N/A</v>
      </c>
      <c r="AB408" s="179" t="e">
        <f t="shared" ca="1" si="196"/>
        <v>#N/A</v>
      </c>
      <c r="AC408" s="179" t="e">
        <f t="shared" ca="1" si="201"/>
        <v>#N/A</v>
      </c>
      <c r="AD408" s="179" t="e">
        <f t="shared" ca="1" si="197"/>
        <v>#N/A</v>
      </c>
      <c r="AE408" s="179" t="e">
        <f t="shared" ca="1" si="197"/>
        <v>#N/A</v>
      </c>
      <c r="AF408" s="179" t="e">
        <f t="shared" ca="1" si="202"/>
        <v>#N/A</v>
      </c>
      <c r="AG408" s="179" t="e">
        <f t="shared" ca="1" si="198"/>
        <v>#N/A</v>
      </c>
      <c r="AH408" s="179" t="e">
        <f t="shared" ca="1" si="198"/>
        <v>#N/A</v>
      </c>
    </row>
    <row r="409" spans="1:34" ht="15.75" customHeight="1">
      <c r="A409" s="449" t="s">
        <v>43</v>
      </c>
      <c r="B409" s="449" t="s">
        <v>489</v>
      </c>
      <c r="C409" s="449" t="s">
        <v>676</v>
      </c>
      <c r="D409" s="193"/>
      <c r="E409" s="193"/>
      <c r="F409" s="193"/>
      <c r="T409" s="179" t="e">
        <f t="shared" ca="1" si="203"/>
        <v>#N/A</v>
      </c>
      <c r="U409" s="179" t="e">
        <f t="shared" ref="U409:V428" ca="1" si="204">T409</f>
        <v>#N/A</v>
      </c>
      <c r="V409" s="179" t="e">
        <f t="shared" ca="1" si="204"/>
        <v>#N/A</v>
      </c>
      <c r="W409" s="179" t="e">
        <f t="shared" ca="1" si="199"/>
        <v>#N/A</v>
      </c>
      <c r="X409" s="179" t="e">
        <f t="shared" ref="X409:Y428" ca="1" si="205">W409</f>
        <v>#N/A</v>
      </c>
      <c r="Y409" s="179" t="e">
        <f t="shared" ca="1" si="205"/>
        <v>#N/A</v>
      </c>
      <c r="Z409" s="179" t="e">
        <f t="shared" ca="1" si="200"/>
        <v>#N/A</v>
      </c>
      <c r="AA409" s="179" t="e">
        <f t="shared" ref="AA409:AB428" ca="1" si="206">Z409</f>
        <v>#N/A</v>
      </c>
      <c r="AB409" s="179" t="e">
        <f t="shared" ca="1" si="206"/>
        <v>#N/A</v>
      </c>
      <c r="AC409" s="179" t="e">
        <f t="shared" ca="1" si="201"/>
        <v>#N/A</v>
      </c>
      <c r="AD409" s="179" t="e">
        <f t="shared" ref="AD409:AE428" ca="1" si="207">AC409</f>
        <v>#N/A</v>
      </c>
      <c r="AE409" s="179" t="e">
        <f t="shared" ca="1" si="207"/>
        <v>#N/A</v>
      </c>
      <c r="AF409" s="179" t="e">
        <f t="shared" ca="1" si="202"/>
        <v>#N/A</v>
      </c>
      <c r="AG409" s="179" t="e">
        <f t="shared" ref="AG409:AH428" ca="1" si="208">AF409</f>
        <v>#N/A</v>
      </c>
      <c r="AH409" s="179" t="e">
        <f t="shared" ca="1" si="208"/>
        <v>#N/A</v>
      </c>
    </row>
    <row r="410" spans="1:34" ht="15.75" customHeight="1">
      <c r="A410" s="449" t="s">
        <v>39</v>
      </c>
      <c r="B410" s="449" t="s">
        <v>582</v>
      </c>
      <c r="C410" s="449" t="s">
        <v>676</v>
      </c>
      <c r="D410" s="193"/>
      <c r="E410" s="193"/>
      <c r="F410" s="193"/>
      <c r="T410" s="179" t="e">
        <f t="shared" ca="1" si="203"/>
        <v>#N/A</v>
      </c>
      <c r="U410" s="179" t="e">
        <f t="shared" ca="1" si="204"/>
        <v>#N/A</v>
      </c>
      <c r="V410" s="179" t="e">
        <f t="shared" ca="1" si="204"/>
        <v>#N/A</v>
      </c>
      <c r="W410" s="179" t="e">
        <f t="shared" ca="1" si="199"/>
        <v>#N/A</v>
      </c>
      <c r="X410" s="179" t="e">
        <f t="shared" ca="1" si="205"/>
        <v>#N/A</v>
      </c>
      <c r="Y410" s="179" t="e">
        <f t="shared" ca="1" si="205"/>
        <v>#N/A</v>
      </c>
      <c r="Z410" s="179" t="e">
        <f t="shared" ca="1" si="200"/>
        <v>#N/A</v>
      </c>
      <c r="AA410" s="179" t="e">
        <f t="shared" ca="1" si="206"/>
        <v>#N/A</v>
      </c>
      <c r="AB410" s="179" t="e">
        <f t="shared" ca="1" si="206"/>
        <v>#N/A</v>
      </c>
      <c r="AC410" s="179" t="e">
        <f t="shared" ca="1" si="201"/>
        <v>#N/A</v>
      </c>
      <c r="AD410" s="179" t="e">
        <f t="shared" ca="1" si="207"/>
        <v>#N/A</v>
      </c>
      <c r="AE410" s="179" t="e">
        <f t="shared" ca="1" si="207"/>
        <v>#N/A</v>
      </c>
      <c r="AF410" s="179" t="e">
        <f t="shared" ca="1" si="202"/>
        <v>#N/A</v>
      </c>
      <c r="AG410" s="179" t="e">
        <f t="shared" ca="1" si="208"/>
        <v>#N/A</v>
      </c>
      <c r="AH410" s="179" t="e">
        <f t="shared" ca="1" si="208"/>
        <v>#N/A</v>
      </c>
    </row>
    <row r="411" spans="1:34" ht="15.75" customHeight="1">
      <c r="A411" s="449" t="s">
        <v>39</v>
      </c>
      <c r="B411" s="449" t="s">
        <v>584</v>
      </c>
      <c r="C411" s="449" t="s">
        <v>691</v>
      </c>
      <c r="D411" s="193"/>
      <c r="E411" s="193"/>
      <c r="F411" s="193"/>
      <c r="T411" s="179" t="e">
        <f t="shared" ca="1" si="203"/>
        <v>#N/A</v>
      </c>
      <c r="U411" s="179" t="e">
        <f t="shared" ca="1" si="204"/>
        <v>#N/A</v>
      </c>
      <c r="V411" s="179" t="e">
        <f t="shared" ca="1" si="204"/>
        <v>#N/A</v>
      </c>
      <c r="W411" s="179" t="e">
        <f t="shared" ca="1" si="199"/>
        <v>#N/A</v>
      </c>
      <c r="X411" s="179" t="e">
        <f t="shared" ca="1" si="205"/>
        <v>#N/A</v>
      </c>
      <c r="Y411" s="179" t="e">
        <f t="shared" ca="1" si="205"/>
        <v>#N/A</v>
      </c>
      <c r="Z411" s="179" t="e">
        <f t="shared" ca="1" si="200"/>
        <v>#N/A</v>
      </c>
      <c r="AA411" s="179" t="e">
        <f t="shared" ca="1" si="206"/>
        <v>#N/A</v>
      </c>
      <c r="AB411" s="179" t="e">
        <f t="shared" ca="1" si="206"/>
        <v>#N/A</v>
      </c>
      <c r="AC411" s="179" t="e">
        <f t="shared" ca="1" si="201"/>
        <v>#N/A</v>
      </c>
      <c r="AD411" s="179" t="e">
        <f t="shared" ca="1" si="207"/>
        <v>#N/A</v>
      </c>
      <c r="AE411" s="179" t="e">
        <f t="shared" ca="1" si="207"/>
        <v>#N/A</v>
      </c>
      <c r="AF411" s="179" t="e">
        <f t="shared" ca="1" si="202"/>
        <v>#N/A</v>
      </c>
      <c r="AG411" s="179" t="e">
        <f t="shared" ca="1" si="208"/>
        <v>#N/A</v>
      </c>
      <c r="AH411" s="179" t="e">
        <f t="shared" ca="1" si="208"/>
        <v>#N/A</v>
      </c>
    </row>
    <row r="412" spans="1:34" ht="15.75" customHeight="1">
      <c r="A412" s="449" t="s">
        <v>43</v>
      </c>
      <c r="B412" s="449" t="s">
        <v>586</v>
      </c>
      <c r="C412" s="449" t="s">
        <v>685</v>
      </c>
      <c r="D412" s="193"/>
      <c r="E412" s="193"/>
      <c r="F412" s="193"/>
      <c r="T412" s="179" t="e">
        <f t="shared" ca="1" si="203"/>
        <v>#N/A</v>
      </c>
      <c r="U412" s="179" t="e">
        <f t="shared" ca="1" si="204"/>
        <v>#N/A</v>
      </c>
      <c r="V412" s="179" t="e">
        <f t="shared" ca="1" si="204"/>
        <v>#N/A</v>
      </c>
      <c r="W412" s="179" t="e">
        <f t="shared" ca="1" si="199"/>
        <v>#N/A</v>
      </c>
      <c r="X412" s="179" t="e">
        <f t="shared" ca="1" si="205"/>
        <v>#N/A</v>
      </c>
      <c r="Y412" s="179" t="e">
        <f t="shared" ca="1" si="205"/>
        <v>#N/A</v>
      </c>
      <c r="Z412" s="179" t="e">
        <f t="shared" ca="1" si="200"/>
        <v>#N/A</v>
      </c>
      <c r="AA412" s="179" t="e">
        <f t="shared" ca="1" si="206"/>
        <v>#N/A</v>
      </c>
      <c r="AB412" s="179" t="e">
        <f t="shared" ca="1" si="206"/>
        <v>#N/A</v>
      </c>
      <c r="AC412" s="179" t="e">
        <f t="shared" ca="1" si="201"/>
        <v>#N/A</v>
      </c>
      <c r="AD412" s="179" t="e">
        <f t="shared" ca="1" si="207"/>
        <v>#N/A</v>
      </c>
      <c r="AE412" s="179" t="e">
        <f t="shared" ca="1" si="207"/>
        <v>#N/A</v>
      </c>
      <c r="AF412" s="179" t="e">
        <f t="shared" ca="1" si="202"/>
        <v>#N/A</v>
      </c>
      <c r="AG412" s="179" t="e">
        <f t="shared" ca="1" si="208"/>
        <v>#N/A</v>
      </c>
      <c r="AH412" s="179" t="e">
        <f t="shared" ca="1" si="208"/>
        <v>#N/A</v>
      </c>
    </row>
    <row r="413" spans="1:34" ht="15.75" customHeight="1">
      <c r="A413" s="449" t="s">
        <v>35</v>
      </c>
      <c r="B413" s="449" t="s">
        <v>1691</v>
      </c>
      <c r="C413" s="449" t="s">
        <v>1477</v>
      </c>
      <c r="D413" s="193"/>
      <c r="E413" s="193"/>
      <c r="F413" s="193"/>
      <c r="T413" s="179" t="e">
        <f t="shared" ca="1" si="203"/>
        <v>#N/A</v>
      </c>
      <c r="U413" s="179" t="e">
        <f t="shared" ca="1" si="204"/>
        <v>#N/A</v>
      </c>
      <c r="V413" s="179" t="e">
        <f t="shared" ca="1" si="204"/>
        <v>#N/A</v>
      </c>
      <c r="W413" s="179" t="e">
        <f t="shared" ca="1" si="199"/>
        <v>#N/A</v>
      </c>
      <c r="X413" s="179" t="e">
        <f t="shared" ca="1" si="205"/>
        <v>#N/A</v>
      </c>
      <c r="Y413" s="179" t="e">
        <f t="shared" ca="1" si="205"/>
        <v>#N/A</v>
      </c>
      <c r="Z413" s="179" t="e">
        <f t="shared" ca="1" si="200"/>
        <v>#N/A</v>
      </c>
      <c r="AA413" s="179" t="e">
        <f t="shared" ca="1" si="206"/>
        <v>#N/A</v>
      </c>
      <c r="AB413" s="179" t="e">
        <f t="shared" ca="1" si="206"/>
        <v>#N/A</v>
      </c>
      <c r="AC413" s="179" t="e">
        <f t="shared" ca="1" si="201"/>
        <v>#N/A</v>
      </c>
      <c r="AD413" s="179" t="e">
        <f t="shared" ca="1" si="207"/>
        <v>#N/A</v>
      </c>
      <c r="AE413" s="179" t="e">
        <f t="shared" ca="1" si="207"/>
        <v>#N/A</v>
      </c>
      <c r="AF413" s="179" t="e">
        <f t="shared" ca="1" si="202"/>
        <v>#N/A</v>
      </c>
      <c r="AG413" s="179" t="e">
        <f t="shared" ca="1" si="208"/>
        <v>#N/A</v>
      </c>
      <c r="AH413" s="179" t="e">
        <f t="shared" ca="1" si="208"/>
        <v>#N/A</v>
      </c>
    </row>
    <row r="414" spans="1:34" ht="15.75" customHeight="1">
      <c r="A414" s="449" t="s">
        <v>39</v>
      </c>
      <c r="B414" s="449" t="s">
        <v>1330</v>
      </c>
      <c r="C414" s="449" t="s">
        <v>688</v>
      </c>
      <c r="D414" s="193"/>
      <c r="E414" s="193"/>
      <c r="F414" s="193"/>
      <c r="T414" s="179" t="e">
        <f t="shared" ca="1" si="203"/>
        <v>#N/A</v>
      </c>
      <c r="U414" s="179" t="e">
        <f t="shared" ca="1" si="204"/>
        <v>#N/A</v>
      </c>
      <c r="V414" s="179" t="e">
        <f t="shared" ca="1" si="204"/>
        <v>#N/A</v>
      </c>
      <c r="W414" s="179" t="e">
        <f t="shared" ca="1" si="199"/>
        <v>#N/A</v>
      </c>
      <c r="X414" s="179" t="e">
        <f t="shared" ca="1" si="205"/>
        <v>#N/A</v>
      </c>
      <c r="Y414" s="179" t="e">
        <f t="shared" ca="1" si="205"/>
        <v>#N/A</v>
      </c>
      <c r="Z414" s="179" t="e">
        <f t="shared" ca="1" si="200"/>
        <v>#N/A</v>
      </c>
      <c r="AA414" s="179" t="e">
        <f t="shared" ca="1" si="206"/>
        <v>#N/A</v>
      </c>
      <c r="AB414" s="179" t="e">
        <f t="shared" ca="1" si="206"/>
        <v>#N/A</v>
      </c>
      <c r="AC414" s="179" t="e">
        <f t="shared" ca="1" si="201"/>
        <v>#N/A</v>
      </c>
      <c r="AD414" s="179" t="e">
        <f t="shared" ca="1" si="207"/>
        <v>#N/A</v>
      </c>
      <c r="AE414" s="179" t="e">
        <f t="shared" ca="1" si="207"/>
        <v>#N/A</v>
      </c>
      <c r="AF414" s="179" t="e">
        <f t="shared" ca="1" si="202"/>
        <v>#N/A</v>
      </c>
      <c r="AG414" s="179" t="e">
        <f t="shared" ca="1" si="208"/>
        <v>#N/A</v>
      </c>
      <c r="AH414" s="179" t="e">
        <f t="shared" ca="1" si="208"/>
        <v>#N/A</v>
      </c>
    </row>
    <row r="415" spans="1:34" ht="15.75" customHeight="1">
      <c r="A415" s="449" t="s">
        <v>43</v>
      </c>
      <c r="B415" s="449" t="s">
        <v>491</v>
      </c>
      <c r="C415" s="449" t="s">
        <v>680</v>
      </c>
      <c r="D415" s="193"/>
      <c r="E415" s="193"/>
      <c r="F415" s="193"/>
      <c r="T415" s="179" t="e">
        <f t="shared" ca="1" si="203"/>
        <v>#N/A</v>
      </c>
      <c r="U415" s="179" t="e">
        <f t="shared" ca="1" si="204"/>
        <v>#N/A</v>
      </c>
      <c r="V415" s="179" t="e">
        <f t="shared" ca="1" si="204"/>
        <v>#N/A</v>
      </c>
      <c r="W415" s="179" t="e">
        <f t="shared" ca="1" si="199"/>
        <v>#N/A</v>
      </c>
      <c r="X415" s="179" t="e">
        <f t="shared" ca="1" si="205"/>
        <v>#N/A</v>
      </c>
      <c r="Y415" s="179" t="e">
        <f t="shared" ca="1" si="205"/>
        <v>#N/A</v>
      </c>
      <c r="Z415" s="179" t="e">
        <f t="shared" ca="1" si="200"/>
        <v>#N/A</v>
      </c>
      <c r="AA415" s="179" t="e">
        <f t="shared" ca="1" si="206"/>
        <v>#N/A</v>
      </c>
      <c r="AB415" s="179" t="e">
        <f t="shared" ca="1" si="206"/>
        <v>#N/A</v>
      </c>
      <c r="AC415" s="179" t="e">
        <f t="shared" ca="1" si="201"/>
        <v>#N/A</v>
      </c>
      <c r="AD415" s="179" t="e">
        <f t="shared" ca="1" si="207"/>
        <v>#N/A</v>
      </c>
      <c r="AE415" s="179" t="e">
        <f t="shared" ca="1" si="207"/>
        <v>#N/A</v>
      </c>
      <c r="AF415" s="179" t="e">
        <f t="shared" ca="1" si="202"/>
        <v>#N/A</v>
      </c>
      <c r="AG415" s="179" t="e">
        <f t="shared" ca="1" si="208"/>
        <v>#N/A</v>
      </c>
      <c r="AH415" s="179" t="e">
        <f t="shared" ca="1" si="208"/>
        <v>#N/A</v>
      </c>
    </row>
    <row r="416" spans="1:34" ht="15.75" customHeight="1">
      <c r="A416" s="449" t="s">
        <v>35</v>
      </c>
      <c r="B416" s="449" t="s">
        <v>402</v>
      </c>
      <c r="C416" s="449" t="s">
        <v>688</v>
      </c>
      <c r="D416" s="193"/>
      <c r="E416" s="193"/>
      <c r="F416" s="193"/>
      <c r="T416" s="179" t="e">
        <f t="shared" ca="1" si="203"/>
        <v>#N/A</v>
      </c>
      <c r="U416" s="179" t="e">
        <f t="shared" ca="1" si="204"/>
        <v>#N/A</v>
      </c>
      <c r="V416" s="179" t="e">
        <f t="shared" ca="1" si="204"/>
        <v>#N/A</v>
      </c>
      <c r="W416" s="179" t="e">
        <f t="shared" ca="1" si="199"/>
        <v>#N/A</v>
      </c>
      <c r="X416" s="179" t="e">
        <f t="shared" ca="1" si="205"/>
        <v>#N/A</v>
      </c>
      <c r="Y416" s="179" t="e">
        <f t="shared" ca="1" si="205"/>
        <v>#N/A</v>
      </c>
      <c r="Z416" s="179" t="e">
        <f t="shared" ca="1" si="200"/>
        <v>#N/A</v>
      </c>
      <c r="AA416" s="179" t="e">
        <f t="shared" ca="1" si="206"/>
        <v>#N/A</v>
      </c>
      <c r="AB416" s="179" t="e">
        <f t="shared" ca="1" si="206"/>
        <v>#N/A</v>
      </c>
      <c r="AC416" s="179" t="e">
        <f t="shared" ca="1" si="201"/>
        <v>#N/A</v>
      </c>
      <c r="AD416" s="179" t="e">
        <f t="shared" ca="1" si="207"/>
        <v>#N/A</v>
      </c>
      <c r="AE416" s="179" t="e">
        <f t="shared" ca="1" si="207"/>
        <v>#N/A</v>
      </c>
      <c r="AF416" s="179" t="e">
        <f t="shared" ca="1" si="202"/>
        <v>#N/A</v>
      </c>
      <c r="AG416" s="179" t="e">
        <f t="shared" ca="1" si="208"/>
        <v>#N/A</v>
      </c>
      <c r="AH416" s="179" t="e">
        <f t="shared" ca="1" si="208"/>
        <v>#N/A</v>
      </c>
    </row>
    <row r="417" spans="1:34" ht="15.75" customHeight="1">
      <c r="A417" s="449" t="s">
        <v>39</v>
      </c>
      <c r="B417" s="449" t="s">
        <v>587</v>
      </c>
      <c r="C417" s="449" t="s">
        <v>691</v>
      </c>
      <c r="D417" s="193"/>
      <c r="E417" s="193"/>
      <c r="F417" s="193"/>
      <c r="T417" s="179" t="e">
        <f t="shared" ca="1" si="203"/>
        <v>#N/A</v>
      </c>
      <c r="U417" s="179" t="e">
        <f t="shared" ca="1" si="204"/>
        <v>#N/A</v>
      </c>
      <c r="V417" s="179" t="e">
        <f t="shared" ca="1" si="204"/>
        <v>#N/A</v>
      </c>
      <c r="W417" s="179" t="e">
        <f t="shared" ca="1" si="199"/>
        <v>#N/A</v>
      </c>
      <c r="X417" s="179" t="e">
        <f t="shared" ca="1" si="205"/>
        <v>#N/A</v>
      </c>
      <c r="Y417" s="179" t="e">
        <f t="shared" ca="1" si="205"/>
        <v>#N/A</v>
      </c>
      <c r="Z417" s="179" t="e">
        <f t="shared" ca="1" si="200"/>
        <v>#N/A</v>
      </c>
      <c r="AA417" s="179" t="e">
        <f t="shared" ca="1" si="206"/>
        <v>#N/A</v>
      </c>
      <c r="AB417" s="179" t="e">
        <f t="shared" ca="1" si="206"/>
        <v>#N/A</v>
      </c>
      <c r="AC417" s="179" t="e">
        <f t="shared" ca="1" si="201"/>
        <v>#N/A</v>
      </c>
      <c r="AD417" s="179" t="e">
        <f t="shared" ca="1" si="207"/>
        <v>#N/A</v>
      </c>
      <c r="AE417" s="179" t="e">
        <f t="shared" ca="1" si="207"/>
        <v>#N/A</v>
      </c>
      <c r="AF417" s="179" t="e">
        <f t="shared" ca="1" si="202"/>
        <v>#N/A</v>
      </c>
      <c r="AG417" s="179" t="e">
        <f t="shared" ca="1" si="208"/>
        <v>#N/A</v>
      </c>
      <c r="AH417" s="179" t="e">
        <f t="shared" ca="1" si="208"/>
        <v>#N/A</v>
      </c>
    </row>
    <row r="418" spans="1:34" ht="15.75" customHeight="1">
      <c r="A418" s="449" t="s">
        <v>43</v>
      </c>
      <c r="B418" s="449" t="s">
        <v>1784</v>
      </c>
      <c r="C418" s="449" t="s">
        <v>1672</v>
      </c>
      <c r="D418" s="193"/>
      <c r="E418" s="193"/>
      <c r="F418" s="193"/>
      <c r="T418" s="179" t="e">
        <f t="shared" ca="1" si="203"/>
        <v>#N/A</v>
      </c>
      <c r="U418" s="179" t="e">
        <f t="shared" ca="1" si="204"/>
        <v>#N/A</v>
      </c>
      <c r="V418" s="179" t="e">
        <f t="shared" ca="1" si="204"/>
        <v>#N/A</v>
      </c>
      <c r="W418" s="179" t="e">
        <f t="shared" ca="1" si="199"/>
        <v>#N/A</v>
      </c>
      <c r="X418" s="179" t="e">
        <f t="shared" ca="1" si="205"/>
        <v>#N/A</v>
      </c>
      <c r="Y418" s="179" t="e">
        <f t="shared" ca="1" si="205"/>
        <v>#N/A</v>
      </c>
      <c r="Z418" s="179" t="e">
        <f t="shared" ca="1" si="200"/>
        <v>#N/A</v>
      </c>
      <c r="AA418" s="179" t="e">
        <f t="shared" ca="1" si="206"/>
        <v>#N/A</v>
      </c>
      <c r="AB418" s="179" t="e">
        <f t="shared" ca="1" si="206"/>
        <v>#N/A</v>
      </c>
      <c r="AC418" s="179" t="e">
        <f t="shared" ca="1" si="201"/>
        <v>#N/A</v>
      </c>
      <c r="AD418" s="179" t="e">
        <f t="shared" ca="1" si="207"/>
        <v>#N/A</v>
      </c>
      <c r="AE418" s="179" t="e">
        <f t="shared" ca="1" si="207"/>
        <v>#N/A</v>
      </c>
      <c r="AF418" s="179" t="e">
        <f t="shared" ca="1" si="202"/>
        <v>#N/A</v>
      </c>
      <c r="AG418" s="179" t="e">
        <f t="shared" ca="1" si="208"/>
        <v>#N/A</v>
      </c>
      <c r="AH418" s="179" t="e">
        <f t="shared" ca="1" si="208"/>
        <v>#N/A</v>
      </c>
    </row>
    <row r="419" spans="1:34" ht="15.75" customHeight="1">
      <c r="A419" s="449" t="s">
        <v>43</v>
      </c>
      <c r="B419" s="449" t="s">
        <v>494</v>
      </c>
      <c r="C419" s="449" t="s">
        <v>688</v>
      </c>
      <c r="D419" s="193"/>
      <c r="E419" s="193"/>
      <c r="F419" s="193"/>
      <c r="T419" s="179" t="e">
        <f t="shared" ca="1" si="203"/>
        <v>#N/A</v>
      </c>
      <c r="U419" s="179" t="e">
        <f t="shared" ca="1" si="204"/>
        <v>#N/A</v>
      </c>
      <c r="V419" s="179" t="e">
        <f t="shared" ca="1" si="204"/>
        <v>#N/A</v>
      </c>
      <c r="W419" s="179" t="e">
        <f t="shared" ca="1" si="199"/>
        <v>#N/A</v>
      </c>
      <c r="X419" s="179" t="e">
        <f t="shared" ca="1" si="205"/>
        <v>#N/A</v>
      </c>
      <c r="Y419" s="179" t="e">
        <f t="shared" ca="1" si="205"/>
        <v>#N/A</v>
      </c>
      <c r="Z419" s="179" t="e">
        <f t="shared" ca="1" si="200"/>
        <v>#N/A</v>
      </c>
      <c r="AA419" s="179" t="e">
        <f t="shared" ca="1" si="206"/>
        <v>#N/A</v>
      </c>
      <c r="AB419" s="179" t="e">
        <f t="shared" ca="1" si="206"/>
        <v>#N/A</v>
      </c>
      <c r="AC419" s="179" t="e">
        <f t="shared" ca="1" si="201"/>
        <v>#N/A</v>
      </c>
      <c r="AD419" s="179" t="e">
        <f t="shared" ca="1" si="207"/>
        <v>#N/A</v>
      </c>
      <c r="AE419" s="179" t="e">
        <f t="shared" ca="1" si="207"/>
        <v>#N/A</v>
      </c>
      <c r="AF419" s="179" t="e">
        <f t="shared" ca="1" si="202"/>
        <v>#N/A</v>
      </c>
      <c r="AG419" s="179" t="e">
        <f t="shared" ca="1" si="208"/>
        <v>#N/A</v>
      </c>
      <c r="AH419" s="179" t="e">
        <f t="shared" ca="1" si="208"/>
        <v>#N/A</v>
      </c>
    </row>
    <row r="420" spans="1:34" ht="15.75" customHeight="1">
      <c r="A420" s="449" t="s">
        <v>39</v>
      </c>
      <c r="B420" s="449" t="s">
        <v>590</v>
      </c>
      <c r="C420" s="449" t="s">
        <v>680</v>
      </c>
      <c r="D420" s="193"/>
      <c r="E420" s="193"/>
      <c r="F420" s="193"/>
      <c r="T420" s="179" t="e">
        <f t="shared" ca="1" si="203"/>
        <v>#N/A</v>
      </c>
      <c r="U420" s="179" t="e">
        <f t="shared" ca="1" si="204"/>
        <v>#N/A</v>
      </c>
      <c r="V420" s="179" t="e">
        <f t="shared" ca="1" si="204"/>
        <v>#N/A</v>
      </c>
      <c r="W420" s="179" t="e">
        <f t="shared" ca="1" si="199"/>
        <v>#N/A</v>
      </c>
      <c r="X420" s="179" t="e">
        <f t="shared" ca="1" si="205"/>
        <v>#N/A</v>
      </c>
      <c r="Y420" s="179" t="e">
        <f t="shared" ca="1" si="205"/>
        <v>#N/A</v>
      </c>
      <c r="Z420" s="179" t="e">
        <f t="shared" ca="1" si="200"/>
        <v>#N/A</v>
      </c>
      <c r="AA420" s="179" t="e">
        <f t="shared" ca="1" si="206"/>
        <v>#N/A</v>
      </c>
      <c r="AB420" s="179" t="e">
        <f t="shared" ca="1" si="206"/>
        <v>#N/A</v>
      </c>
      <c r="AC420" s="179" t="e">
        <f t="shared" ca="1" si="201"/>
        <v>#N/A</v>
      </c>
      <c r="AD420" s="179" t="e">
        <f t="shared" ca="1" si="207"/>
        <v>#N/A</v>
      </c>
      <c r="AE420" s="179" t="e">
        <f t="shared" ca="1" si="207"/>
        <v>#N/A</v>
      </c>
      <c r="AF420" s="179" t="e">
        <f t="shared" ca="1" si="202"/>
        <v>#N/A</v>
      </c>
      <c r="AG420" s="179" t="e">
        <f t="shared" ca="1" si="208"/>
        <v>#N/A</v>
      </c>
      <c r="AH420" s="179" t="e">
        <f t="shared" ca="1" si="208"/>
        <v>#N/A</v>
      </c>
    </row>
    <row r="421" spans="1:34" ht="15.75" customHeight="1">
      <c r="A421" s="449" t="s">
        <v>37</v>
      </c>
      <c r="B421" s="449" t="s">
        <v>574</v>
      </c>
      <c r="C421" s="449" t="s">
        <v>682</v>
      </c>
      <c r="D421" s="193"/>
      <c r="E421" s="193"/>
      <c r="F421" s="193"/>
      <c r="T421" s="179" t="e">
        <f t="shared" ca="1" si="203"/>
        <v>#N/A</v>
      </c>
      <c r="U421" s="179" t="e">
        <f t="shared" ca="1" si="204"/>
        <v>#N/A</v>
      </c>
      <c r="V421" s="179" t="e">
        <f t="shared" ca="1" si="204"/>
        <v>#N/A</v>
      </c>
      <c r="W421" s="179" t="e">
        <f t="shared" ca="1" si="199"/>
        <v>#N/A</v>
      </c>
      <c r="X421" s="179" t="e">
        <f t="shared" ca="1" si="205"/>
        <v>#N/A</v>
      </c>
      <c r="Y421" s="179" t="e">
        <f t="shared" ca="1" si="205"/>
        <v>#N/A</v>
      </c>
      <c r="Z421" s="179" t="e">
        <f t="shared" ca="1" si="200"/>
        <v>#N/A</v>
      </c>
      <c r="AA421" s="179" t="e">
        <f t="shared" ca="1" si="206"/>
        <v>#N/A</v>
      </c>
      <c r="AB421" s="179" t="e">
        <f t="shared" ca="1" si="206"/>
        <v>#N/A</v>
      </c>
      <c r="AC421" s="179" t="e">
        <f t="shared" ca="1" si="201"/>
        <v>#N/A</v>
      </c>
      <c r="AD421" s="179" t="e">
        <f t="shared" ca="1" si="207"/>
        <v>#N/A</v>
      </c>
      <c r="AE421" s="179" t="e">
        <f t="shared" ca="1" si="207"/>
        <v>#N/A</v>
      </c>
      <c r="AF421" s="179" t="e">
        <f t="shared" ca="1" si="202"/>
        <v>#N/A</v>
      </c>
      <c r="AG421" s="179" t="e">
        <f t="shared" ca="1" si="208"/>
        <v>#N/A</v>
      </c>
      <c r="AH421" s="179" t="e">
        <f t="shared" ca="1" si="208"/>
        <v>#N/A</v>
      </c>
    </row>
    <row r="422" spans="1:34" ht="15.75" customHeight="1">
      <c r="A422" s="449" t="s">
        <v>35</v>
      </c>
      <c r="B422" s="449" t="s">
        <v>409</v>
      </c>
      <c r="C422" s="449" t="s">
        <v>700</v>
      </c>
      <c r="D422" s="193"/>
      <c r="E422" s="193"/>
      <c r="F422" s="193"/>
      <c r="T422" s="179" t="e">
        <f t="shared" ca="1" si="203"/>
        <v>#N/A</v>
      </c>
      <c r="U422" s="179" t="e">
        <f t="shared" ca="1" si="204"/>
        <v>#N/A</v>
      </c>
      <c r="V422" s="179" t="e">
        <f t="shared" ca="1" si="204"/>
        <v>#N/A</v>
      </c>
      <c r="W422" s="179" t="e">
        <f t="shared" ca="1" si="199"/>
        <v>#N/A</v>
      </c>
      <c r="X422" s="179" t="e">
        <f t="shared" ca="1" si="205"/>
        <v>#N/A</v>
      </c>
      <c r="Y422" s="179" t="e">
        <f t="shared" ca="1" si="205"/>
        <v>#N/A</v>
      </c>
      <c r="Z422" s="179" t="e">
        <f t="shared" ca="1" si="200"/>
        <v>#N/A</v>
      </c>
      <c r="AA422" s="179" t="e">
        <f t="shared" ca="1" si="206"/>
        <v>#N/A</v>
      </c>
      <c r="AB422" s="179" t="e">
        <f t="shared" ca="1" si="206"/>
        <v>#N/A</v>
      </c>
      <c r="AC422" s="179" t="e">
        <f t="shared" ca="1" si="201"/>
        <v>#N/A</v>
      </c>
      <c r="AD422" s="179" t="e">
        <f t="shared" ca="1" si="207"/>
        <v>#N/A</v>
      </c>
      <c r="AE422" s="179" t="e">
        <f t="shared" ca="1" si="207"/>
        <v>#N/A</v>
      </c>
      <c r="AF422" s="179" t="e">
        <f t="shared" ca="1" si="202"/>
        <v>#N/A</v>
      </c>
      <c r="AG422" s="179" t="e">
        <f t="shared" ca="1" si="208"/>
        <v>#N/A</v>
      </c>
      <c r="AH422" s="179" t="e">
        <f t="shared" ca="1" si="208"/>
        <v>#N/A</v>
      </c>
    </row>
    <row r="423" spans="1:34" ht="15.75" customHeight="1">
      <c r="A423" s="449" t="s">
        <v>35</v>
      </c>
      <c r="B423" s="449" t="s">
        <v>412</v>
      </c>
      <c r="C423" s="449" t="s">
        <v>681</v>
      </c>
      <c r="D423" s="193"/>
      <c r="E423" s="193"/>
      <c r="F423" s="193"/>
      <c r="T423" s="179" t="e">
        <f t="shared" ca="1" si="203"/>
        <v>#N/A</v>
      </c>
      <c r="U423" s="179" t="e">
        <f t="shared" ca="1" si="204"/>
        <v>#N/A</v>
      </c>
      <c r="V423" s="179" t="e">
        <f t="shared" ca="1" si="204"/>
        <v>#N/A</v>
      </c>
      <c r="W423" s="179" t="e">
        <f t="shared" ca="1" si="199"/>
        <v>#N/A</v>
      </c>
      <c r="X423" s="179" t="e">
        <f t="shared" ca="1" si="205"/>
        <v>#N/A</v>
      </c>
      <c r="Y423" s="179" t="e">
        <f t="shared" ca="1" si="205"/>
        <v>#N/A</v>
      </c>
      <c r="Z423" s="179" t="e">
        <f t="shared" ca="1" si="200"/>
        <v>#N/A</v>
      </c>
      <c r="AA423" s="179" t="e">
        <f t="shared" ca="1" si="206"/>
        <v>#N/A</v>
      </c>
      <c r="AB423" s="179" t="e">
        <f t="shared" ca="1" si="206"/>
        <v>#N/A</v>
      </c>
      <c r="AC423" s="179" t="e">
        <f t="shared" ca="1" si="201"/>
        <v>#N/A</v>
      </c>
      <c r="AD423" s="179" t="e">
        <f t="shared" ca="1" si="207"/>
        <v>#N/A</v>
      </c>
      <c r="AE423" s="179" t="e">
        <f t="shared" ca="1" si="207"/>
        <v>#N/A</v>
      </c>
      <c r="AF423" s="179" t="e">
        <f t="shared" ca="1" si="202"/>
        <v>#N/A</v>
      </c>
      <c r="AG423" s="179" t="e">
        <f t="shared" ca="1" si="208"/>
        <v>#N/A</v>
      </c>
      <c r="AH423" s="179" t="e">
        <f t="shared" ca="1" si="208"/>
        <v>#N/A</v>
      </c>
    </row>
    <row r="424" spans="1:34" ht="15.75" customHeight="1">
      <c r="A424" s="449" t="s">
        <v>43</v>
      </c>
      <c r="B424" s="449" t="s">
        <v>1332</v>
      </c>
      <c r="C424" s="449" t="s">
        <v>685</v>
      </c>
      <c r="D424" s="193"/>
      <c r="E424" s="193"/>
      <c r="F424" s="193"/>
      <c r="T424" s="179" t="e">
        <f t="shared" ca="1" si="203"/>
        <v>#N/A</v>
      </c>
      <c r="U424" s="179" t="e">
        <f t="shared" ca="1" si="204"/>
        <v>#N/A</v>
      </c>
      <c r="V424" s="179" t="e">
        <f t="shared" ca="1" si="204"/>
        <v>#N/A</v>
      </c>
      <c r="W424" s="179" t="e">
        <f t="shared" ca="1" si="199"/>
        <v>#N/A</v>
      </c>
      <c r="X424" s="179" t="e">
        <f t="shared" ca="1" si="205"/>
        <v>#N/A</v>
      </c>
      <c r="Y424" s="179" t="e">
        <f t="shared" ca="1" si="205"/>
        <v>#N/A</v>
      </c>
      <c r="Z424" s="179" t="e">
        <f t="shared" ca="1" si="200"/>
        <v>#N/A</v>
      </c>
      <c r="AA424" s="179" t="e">
        <f t="shared" ca="1" si="206"/>
        <v>#N/A</v>
      </c>
      <c r="AB424" s="179" t="e">
        <f t="shared" ca="1" si="206"/>
        <v>#N/A</v>
      </c>
      <c r="AC424" s="179" t="e">
        <f t="shared" ca="1" si="201"/>
        <v>#N/A</v>
      </c>
      <c r="AD424" s="179" t="e">
        <f t="shared" ca="1" si="207"/>
        <v>#N/A</v>
      </c>
      <c r="AE424" s="179" t="e">
        <f t="shared" ca="1" si="207"/>
        <v>#N/A</v>
      </c>
      <c r="AF424" s="179" t="e">
        <f t="shared" ca="1" si="202"/>
        <v>#N/A</v>
      </c>
      <c r="AG424" s="179" t="e">
        <f t="shared" ca="1" si="208"/>
        <v>#N/A</v>
      </c>
      <c r="AH424" s="179" t="e">
        <f t="shared" ca="1" si="208"/>
        <v>#N/A</v>
      </c>
    </row>
    <row r="425" spans="1:34" ht="15.75" customHeight="1">
      <c r="A425" s="449" t="s">
        <v>39</v>
      </c>
      <c r="B425" s="449" t="s">
        <v>1923</v>
      </c>
      <c r="C425" s="449" t="s">
        <v>688</v>
      </c>
      <c r="D425" s="193"/>
      <c r="E425" s="193"/>
      <c r="F425" s="193"/>
      <c r="T425" s="179" t="e">
        <f t="shared" ca="1" si="203"/>
        <v>#N/A</v>
      </c>
      <c r="U425" s="179" t="e">
        <f t="shared" ca="1" si="204"/>
        <v>#N/A</v>
      </c>
      <c r="V425" s="179" t="e">
        <f t="shared" ca="1" si="204"/>
        <v>#N/A</v>
      </c>
      <c r="W425" s="179" t="e">
        <f t="shared" ca="1" si="199"/>
        <v>#N/A</v>
      </c>
      <c r="X425" s="179" t="e">
        <f t="shared" ca="1" si="205"/>
        <v>#N/A</v>
      </c>
      <c r="Y425" s="179" t="e">
        <f t="shared" ca="1" si="205"/>
        <v>#N/A</v>
      </c>
      <c r="Z425" s="179" t="e">
        <f t="shared" ca="1" si="200"/>
        <v>#N/A</v>
      </c>
      <c r="AA425" s="179" t="e">
        <f t="shared" ca="1" si="206"/>
        <v>#N/A</v>
      </c>
      <c r="AB425" s="179" t="e">
        <f t="shared" ca="1" si="206"/>
        <v>#N/A</v>
      </c>
      <c r="AC425" s="179" t="e">
        <f t="shared" ca="1" si="201"/>
        <v>#N/A</v>
      </c>
      <c r="AD425" s="179" t="e">
        <f t="shared" ca="1" si="207"/>
        <v>#N/A</v>
      </c>
      <c r="AE425" s="179" t="e">
        <f t="shared" ca="1" si="207"/>
        <v>#N/A</v>
      </c>
      <c r="AF425" s="179" t="e">
        <f t="shared" ca="1" si="202"/>
        <v>#N/A</v>
      </c>
      <c r="AG425" s="179" t="e">
        <f t="shared" ca="1" si="208"/>
        <v>#N/A</v>
      </c>
      <c r="AH425" s="179" t="e">
        <f t="shared" ca="1" si="208"/>
        <v>#N/A</v>
      </c>
    </row>
    <row r="426" spans="1:34" ht="15.75" customHeight="1">
      <c r="A426" s="449" t="s">
        <v>37</v>
      </c>
      <c r="B426" s="449" t="s">
        <v>576</v>
      </c>
      <c r="C426" s="449" t="s">
        <v>677</v>
      </c>
      <c r="T426" s="179" t="e">
        <f t="shared" ca="1" si="203"/>
        <v>#N/A</v>
      </c>
      <c r="U426" s="179" t="e">
        <f t="shared" ca="1" si="204"/>
        <v>#N/A</v>
      </c>
      <c r="V426" s="179" t="e">
        <f t="shared" ca="1" si="204"/>
        <v>#N/A</v>
      </c>
      <c r="W426" s="179" t="e">
        <f t="shared" ca="1" si="199"/>
        <v>#N/A</v>
      </c>
      <c r="X426" s="179" t="e">
        <f t="shared" ca="1" si="205"/>
        <v>#N/A</v>
      </c>
      <c r="Y426" s="179" t="e">
        <f t="shared" ca="1" si="205"/>
        <v>#N/A</v>
      </c>
      <c r="Z426" s="179" t="e">
        <f t="shared" ca="1" si="200"/>
        <v>#N/A</v>
      </c>
      <c r="AA426" s="179" t="e">
        <f t="shared" ca="1" si="206"/>
        <v>#N/A</v>
      </c>
      <c r="AB426" s="179" t="e">
        <f t="shared" ca="1" si="206"/>
        <v>#N/A</v>
      </c>
      <c r="AC426" s="179" t="e">
        <f t="shared" ca="1" si="201"/>
        <v>#N/A</v>
      </c>
      <c r="AD426" s="179" t="e">
        <f t="shared" ca="1" si="207"/>
        <v>#N/A</v>
      </c>
      <c r="AE426" s="179" t="e">
        <f t="shared" ca="1" si="207"/>
        <v>#N/A</v>
      </c>
      <c r="AF426" s="179" t="e">
        <f t="shared" ca="1" si="202"/>
        <v>#N/A</v>
      </c>
      <c r="AG426" s="179" t="e">
        <f t="shared" ca="1" si="208"/>
        <v>#N/A</v>
      </c>
      <c r="AH426" s="179" t="e">
        <f t="shared" ca="1" si="208"/>
        <v>#N/A</v>
      </c>
    </row>
    <row r="427" spans="1:34" ht="15.75" customHeight="1">
      <c r="A427" s="449" t="s">
        <v>37</v>
      </c>
      <c r="B427" s="449" t="s">
        <v>577</v>
      </c>
      <c r="C427" s="449" t="s">
        <v>688</v>
      </c>
      <c r="D427" s="193"/>
      <c r="E427" s="193"/>
      <c r="F427" s="193"/>
      <c r="T427" s="179" t="e">
        <f t="shared" ca="1" si="203"/>
        <v>#N/A</v>
      </c>
      <c r="U427" s="179" t="e">
        <f t="shared" ca="1" si="204"/>
        <v>#N/A</v>
      </c>
      <c r="V427" s="179" t="e">
        <f t="shared" ca="1" si="204"/>
        <v>#N/A</v>
      </c>
      <c r="W427" s="179" t="e">
        <f t="shared" ca="1" si="199"/>
        <v>#N/A</v>
      </c>
      <c r="X427" s="179" t="e">
        <f t="shared" ca="1" si="205"/>
        <v>#N/A</v>
      </c>
      <c r="Y427" s="179" t="e">
        <f t="shared" ca="1" si="205"/>
        <v>#N/A</v>
      </c>
      <c r="Z427" s="179" t="e">
        <f t="shared" ca="1" si="200"/>
        <v>#N/A</v>
      </c>
      <c r="AA427" s="179" t="e">
        <f t="shared" ca="1" si="206"/>
        <v>#N/A</v>
      </c>
      <c r="AB427" s="179" t="e">
        <f t="shared" ca="1" si="206"/>
        <v>#N/A</v>
      </c>
      <c r="AC427" s="179" t="e">
        <f t="shared" ca="1" si="201"/>
        <v>#N/A</v>
      </c>
      <c r="AD427" s="179" t="e">
        <f t="shared" ca="1" si="207"/>
        <v>#N/A</v>
      </c>
      <c r="AE427" s="179" t="e">
        <f t="shared" ca="1" si="207"/>
        <v>#N/A</v>
      </c>
      <c r="AF427" s="179" t="e">
        <f t="shared" ca="1" si="202"/>
        <v>#N/A</v>
      </c>
      <c r="AG427" s="179" t="e">
        <f t="shared" ca="1" si="208"/>
        <v>#N/A</v>
      </c>
      <c r="AH427" s="179" t="e">
        <f t="shared" ca="1" si="208"/>
        <v>#N/A</v>
      </c>
    </row>
    <row r="428" spans="1:34" ht="15.75" customHeight="1">
      <c r="A428" s="449" t="s">
        <v>35</v>
      </c>
      <c r="B428" s="449" t="s">
        <v>416</v>
      </c>
      <c r="C428" s="449" t="s">
        <v>681</v>
      </c>
      <c r="D428" s="193"/>
      <c r="E428" s="193"/>
      <c r="F428" s="193"/>
      <c r="T428" s="179" t="e">
        <f t="shared" ca="1" si="203"/>
        <v>#N/A</v>
      </c>
      <c r="U428" s="179" t="e">
        <f t="shared" ca="1" si="204"/>
        <v>#N/A</v>
      </c>
      <c r="V428" s="179" t="e">
        <f t="shared" ca="1" si="204"/>
        <v>#N/A</v>
      </c>
      <c r="W428" s="179" t="e">
        <f t="shared" ca="1" si="199"/>
        <v>#N/A</v>
      </c>
      <c r="X428" s="179" t="e">
        <f t="shared" ca="1" si="205"/>
        <v>#N/A</v>
      </c>
      <c r="Y428" s="179" t="e">
        <f t="shared" ca="1" si="205"/>
        <v>#N/A</v>
      </c>
      <c r="Z428" s="179" t="e">
        <f t="shared" ca="1" si="200"/>
        <v>#N/A</v>
      </c>
      <c r="AA428" s="179" t="e">
        <f t="shared" ca="1" si="206"/>
        <v>#N/A</v>
      </c>
      <c r="AB428" s="179" t="e">
        <f t="shared" ca="1" si="206"/>
        <v>#N/A</v>
      </c>
      <c r="AC428" s="179" t="e">
        <f t="shared" ca="1" si="201"/>
        <v>#N/A</v>
      </c>
      <c r="AD428" s="179" t="e">
        <f t="shared" ca="1" si="207"/>
        <v>#N/A</v>
      </c>
      <c r="AE428" s="179" t="e">
        <f t="shared" ca="1" si="207"/>
        <v>#N/A</v>
      </c>
      <c r="AF428" s="179" t="e">
        <f t="shared" ca="1" si="202"/>
        <v>#N/A</v>
      </c>
      <c r="AG428" s="179" t="e">
        <f t="shared" ca="1" si="208"/>
        <v>#N/A</v>
      </c>
      <c r="AH428" s="179" t="e">
        <f t="shared" ca="1" si="208"/>
        <v>#N/A</v>
      </c>
    </row>
    <row r="429" spans="1:34" ht="15.75" customHeight="1">
      <c r="A429" s="449" t="s">
        <v>43</v>
      </c>
      <c r="B429" s="449" t="s">
        <v>495</v>
      </c>
      <c r="C429" s="449" t="s">
        <v>679</v>
      </c>
      <c r="D429" s="193"/>
      <c r="E429" s="193"/>
      <c r="F429" s="193"/>
      <c r="T429" s="179" t="e">
        <f t="shared" ca="1" si="203"/>
        <v>#N/A</v>
      </c>
      <c r="U429" s="179" t="e">
        <f t="shared" ref="U429:V448" ca="1" si="209">T429</f>
        <v>#N/A</v>
      </c>
      <c r="V429" s="179" t="e">
        <f t="shared" ca="1" si="209"/>
        <v>#N/A</v>
      </c>
      <c r="W429" s="179" t="e">
        <f t="shared" ca="1" si="199"/>
        <v>#N/A</v>
      </c>
      <c r="X429" s="179" t="e">
        <f t="shared" ref="X429:Y448" ca="1" si="210">W429</f>
        <v>#N/A</v>
      </c>
      <c r="Y429" s="179" t="e">
        <f t="shared" ca="1" si="210"/>
        <v>#N/A</v>
      </c>
      <c r="Z429" s="179" t="e">
        <f t="shared" ca="1" si="200"/>
        <v>#N/A</v>
      </c>
      <c r="AA429" s="179" t="e">
        <f t="shared" ref="AA429:AB448" ca="1" si="211">Z429</f>
        <v>#N/A</v>
      </c>
      <c r="AB429" s="179" t="e">
        <f t="shared" ca="1" si="211"/>
        <v>#N/A</v>
      </c>
      <c r="AC429" s="179" t="e">
        <f t="shared" ca="1" si="201"/>
        <v>#N/A</v>
      </c>
      <c r="AD429" s="179" t="e">
        <f t="shared" ref="AD429:AE448" ca="1" si="212">AC429</f>
        <v>#N/A</v>
      </c>
      <c r="AE429" s="179" t="e">
        <f t="shared" ca="1" si="212"/>
        <v>#N/A</v>
      </c>
      <c r="AF429" s="179" t="e">
        <f t="shared" ca="1" si="202"/>
        <v>#N/A</v>
      </c>
      <c r="AG429" s="179" t="e">
        <f t="shared" ref="AG429:AH448" ca="1" si="213">AF429</f>
        <v>#N/A</v>
      </c>
      <c r="AH429" s="179" t="e">
        <f t="shared" ca="1" si="213"/>
        <v>#N/A</v>
      </c>
    </row>
    <row r="430" spans="1:34" ht="15.75" customHeight="1">
      <c r="A430" s="449" t="s">
        <v>39</v>
      </c>
      <c r="B430" s="449" t="s">
        <v>1856</v>
      </c>
      <c r="C430" s="449" t="s">
        <v>679</v>
      </c>
      <c r="D430" s="193"/>
      <c r="E430" s="193"/>
      <c r="F430" s="193"/>
      <c r="T430" s="179" t="e">
        <f t="shared" ca="1" si="203"/>
        <v>#N/A</v>
      </c>
      <c r="U430" s="179" t="e">
        <f t="shared" ca="1" si="209"/>
        <v>#N/A</v>
      </c>
      <c r="V430" s="179" t="e">
        <f t="shared" ca="1" si="209"/>
        <v>#N/A</v>
      </c>
      <c r="W430" s="179" t="e">
        <f t="shared" ca="1" si="199"/>
        <v>#N/A</v>
      </c>
      <c r="X430" s="179" t="e">
        <f t="shared" ca="1" si="210"/>
        <v>#N/A</v>
      </c>
      <c r="Y430" s="179" t="e">
        <f t="shared" ca="1" si="210"/>
        <v>#N/A</v>
      </c>
      <c r="Z430" s="179" t="e">
        <f t="shared" ca="1" si="200"/>
        <v>#N/A</v>
      </c>
      <c r="AA430" s="179" t="e">
        <f t="shared" ca="1" si="211"/>
        <v>#N/A</v>
      </c>
      <c r="AB430" s="179" t="e">
        <f t="shared" ca="1" si="211"/>
        <v>#N/A</v>
      </c>
      <c r="AC430" s="179" t="e">
        <f t="shared" ca="1" si="201"/>
        <v>#N/A</v>
      </c>
      <c r="AD430" s="179" t="e">
        <f t="shared" ca="1" si="212"/>
        <v>#N/A</v>
      </c>
      <c r="AE430" s="179" t="e">
        <f t="shared" ca="1" si="212"/>
        <v>#N/A</v>
      </c>
      <c r="AF430" s="179" t="e">
        <f t="shared" ca="1" si="202"/>
        <v>#N/A</v>
      </c>
      <c r="AG430" s="179" t="e">
        <f t="shared" ca="1" si="213"/>
        <v>#N/A</v>
      </c>
      <c r="AH430" s="179" t="e">
        <f t="shared" ca="1" si="213"/>
        <v>#N/A</v>
      </c>
    </row>
    <row r="431" spans="1:34" ht="15.75" customHeight="1">
      <c r="A431" s="449" t="s">
        <v>39</v>
      </c>
      <c r="B431" s="449" t="s">
        <v>593</v>
      </c>
      <c r="C431" s="449" t="s">
        <v>680</v>
      </c>
      <c r="D431" s="193"/>
      <c r="E431" s="193"/>
      <c r="F431" s="193"/>
      <c r="T431" s="179" t="e">
        <f t="shared" ca="1" si="203"/>
        <v>#N/A</v>
      </c>
      <c r="U431" s="179" t="e">
        <f t="shared" ca="1" si="209"/>
        <v>#N/A</v>
      </c>
      <c r="V431" s="179" t="e">
        <f t="shared" ca="1" si="209"/>
        <v>#N/A</v>
      </c>
      <c r="W431" s="179" t="e">
        <f t="shared" ca="1" si="199"/>
        <v>#N/A</v>
      </c>
      <c r="X431" s="179" t="e">
        <f t="shared" ca="1" si="210"/>
        <v>#N/A</v>
      </c>
      <c r="Y431" s="179" t="e">
        <f t="shared" ca="1" si="210"/>
        <v>#N/A</v>
      </c>
      <c r="Z431" s="179" t="e">
        <f t="shared" ca="1" si="200"/>
        <v>#N/A</v>
      </c>
      <c r="AA431" s="179" t="e">
        <f t="shared" ca="1" si="211"/>
        <v>#N/A</v>
      </c>
      <c r="AB431" s="179" t="e">
        <f t="shared" ca="1" si="211"/>
        <v>#N/A</v>
      </c>
      <c r="AC431" s="179" t="e">
        <f t="shared" ca="1" si="201"/>
        <v>#N/A</v>
      </c>
      <c r="AD431" s="179" t="e">
        <f t="shared" ca="1" si="212"/>
        <v>#N/A</v>
      </c>
      <c r="AE431" s="179" t="e">
        <f t="shared" ca="1" si="212"/>
        <v>#N/A</v>
      </c>
      <c r="AF431" s="179" t="e">
        <f t="shared" ca="1" si="202"/>
        <v>#N/A</v>
      </c>
      <c r="AG431" s="179" t="e">
        <f t="shared" ca="1" si="213"/>
        <v>#N/A</v>
      </c>
      <c r="AH431" s="179" t="e">
        <f t="shared" ca="1" si="213"/>
        <v>#N/A</v>
      </c>
    </row>
    <row r="432" spans="1:34" ht="15.75" customHeight="1">
      <c r="A432" s="449" t="s">
        <v>39</v>
      </c>
      <c r="B432" s="449" t="s">
        <v>595</v>
      </c>
      <c r="C432" s="449" t="s">
        <v>687</v>
      </c>
      <c r="D432" s="193"/>
      <c r="E432" s="193"/>
      <c r="F432" s="193"/>
      <c r="T432" s="179" t="e">
        <f t="shared" ca="1" si="203"/>
        <v>#N/A</v>
      </c>
      <c r="U432" s="179" t="e">
        <f t="shared" ca="1" si="209"/>
        <v>#N/A</v>
      </c>
      <c r="V432" s="179" t="e">
        <f t="shared" ca="1" si="209"/>
        <v>#N/A</v>
      </c>
      <c r="W432" s="179" t="e">
        <f t="shared" ca="1" si="199"/>
        <v>#N/A</v>
      </c>
      <c r="X432" s="179" t="e">
        <f t="shared" ca="1" si="210"/>
        <v>#N/A</v>
      </c>
      <c r="Y432" s="179" t="e">
        <f t="shared" ca="1" si="210"/>
        <v>#N/A</v>
      </c>
      <c r="Z432" s="179" t="e">
        <f t="shared" ca="1" si="200"/>
        <v>#N/A</v>
      </c>
      <c r="AA432" s="179" t="e">
        <f t="shared" ca="1" si="211"/>
        <v>#N/A</v>
      </c>
      <c r="AB432" s="179" t="e">
        <f t="shared" ca="1" si="211"/>
        <v>#N/A</v>
      </c>
      <c r="AC432" s="179" t="e">
        <f t="shared" ca="1" si="201"/>
        <v>#N/A</v>
      </c>
      <c r="AD432" s="179" t="e">
        <f t="shared" ca="1" si="212"/>
        <v>#N/A</v>
      </c>
      <c r="AE432" s="179" t="e">
        <f t="shared" ca="1" si="212"/>
        <v>#N/A</v>
      </c>
      <c r="AF432" s="179" t="e">
        <f t="shared" ca="1" si="202"/>
        <v>#N/A</v>
      </c>
      <c r="AG432" s="179" t="e">
        <f t="shared" ca="1" si="213"/>
        <v>#N/A</v>
      </c>
      <c r="AH432" s="179" t="e">
        <f t="shared" ca="1" si="213"/>
        <v>#N/A</v>
      </c>
    </row>
    <row r="433" spans="1:34" ht="15.75" customHeight="1">
      <c r="A433" s="449" t="s">
        <v>39</v>
      </c>
      <c r="B433" s="449" t="s">
        <v>596</v>
      </c>
      <c r="C433" s="449" t="s">
        <v>1477</v>
      </c>
      <c r="D433" s="193"/>
      <c r="E433" s="193"/>
      <c r="F433" s="193"/>
      <c r="T433" s="179" t="e">
        <f t="shared" ca="1" si="203"/>
        <v>#N/A</v>
      </c>
      <c r="U433" s="179" t="e">
        <f t="shared" ca="1" si="209"/>
        <v>#N/A</v>
      </c>
      <c r="V433" s="179" t="e">
        <f t="shared" ca="1" si="209"/>
        <v>#N/A</v>
      </c>
      <c r="W433" s="179" t="e">
        <f t="shared" ca="1" si="199"/>
        <v>#N/A</v>
      </c>
      <c r="X433" s="179" t="e">
        <f t="shared" ca="1" si="210"/>
        <v>#N/A</v>
      </c>
      <c r="Y433" s="179" t="e">
        <f t="shared" ca="1" si="210"/>
        <v>#N/A</v>
      </c>
      <c r="Z433" s="179" t="e">
        <f t="shared" ca="1" si="200"/>
        <v>#N/A</v>
      </c>
      <c r="AA433" s="179" t="e">
        <f t="shared" ca="1" si="211"/>
        <v>#N/A</v>
      </c>
      <c r="AB433" s="179" t="e">
        <f t="shared" ca="1" si="211"/>
        <v>#N/A</v>
      </c>
      <c r="AC433" s="179" t="e">
        <f t="shared" ca="1" si="201"/>
        <v>#N/A</v>
      </c>
      <c r="AD433" s="179" t="e">
        <f t="shared" ca="1" si="212"/>
        <v>#N/A</v>
      </c>
      <c r="AE433" s="179" t="e">
        <f t="shared" ca="1" si="212"/>
        <v>#N/A</v>
      </c>
      <c r="AF433" s="179" t="e">
        <f t="shared" ca="1" si="202"/>
        <v>#N/A</v>
      </c>
      <c r="AG433" s="179" t="e">
        <f t="shared" ca="1" si="213"/>
        <v>#N/A</v>
      </c>
      <c r="AH433" s="179" t="e">
        <f t="shared" ca="1" si="213"/>
        <v>#N/A</v>
      </c>
    </row>
    <row r="434" spans="1:34" ht="15.75" customHeight="1">
      <c r="A434" s="449" t="s">
        <v>37</v>
      </c>
      <c r="B434" s="449" t="s">
        <v>1861</v>
      </c>
      <c r="C434" s="449" t="s">
        <v>678</v>
      </c>
      <c r="D434" s="193"/>
      <c r="E434" s="193"/>
      <c r="F434" s="193"/>
      <c r="T434" s="179" t="e">
        <f t="shared" ca="1" si="203"/>
        <v>#N/A</v>
      </c>
      <c r="U434" s="179" t="e">
        <f t="shared" ca="1" si="209"/>
        <v>#N/A</v>
      </c>
      <c r="V434" s="179" t="e">
        <f t="shared" ca="1" si="209"/>
        <v>#N/A</v>
      </c>
      <c r="W434" s="179" t="e">
        <f t="shared" ca="1" si="199"/>
        <v>#N/A</v>
      </c>
      <c r="X434" s="179" t="e">
        <f t="shared" ca="1" si="210"/>
        <v>#N/A</v>
      </c>
      <c r="Y434" s="179" t="e">
        <f t="shared" ca="1" si="210"/>
        <v>#N/A</v>
      </c>
      <c r="Z434" s="179" t="e">
        <f t="shared" ca="1" si="200"/>
        <v>#N/A</v>
      </c>
      <c r="AA434" s="179" t="e">
        <f t="shared" ca="1" si="211"/>
        <v>#N/A</v>
      </c>
      <c r="AB434" s="179" t="e">
        <f t="shared" ca="1" si="211"/>
        <v>#N/A</v>
      </c>
      <c r="AC434" s="179" t="e">
        <f t="shared" ca="1" si="201"/>
        <v>#N/A</v>
      </c>
      <c r="AD434" s="179" t="e">
        <f t="shared" ca="1" si="212"/>
        <v>#N/A</v>
      </c>
      <c r="AE434" s="179" t="e">
        <f t="shared" ca="1" si="212"/>
        <v>#N/A</v>
      </c>
      <c r="AF434" s="179" t="e">
        <f t="shared" ca="1" si="202"/>
        <v>#N/A</v>
      </c>
      <c r="AG434" s="179" t="e">
        <f t="shared" ca="1" si="213"/>
        <v>#N/A</v>
      </c>
      <c r="AH434" s="179" t="e">
        <f t="shared" ca="1" si="213"/>
        <v>#N/A</v>
      </c>
    </row>
    <row r="435" spans="1:34" ht="15.75" customHeight="1">
      <c r="A435" s="449" t="s">
        <v>39</v>
      </c>
      <c r="B435" s="449" t="s">
        <v>1932</v>
      </c>
      <c r="C435" s="449" t="s">
        <v>679</v>
      </c>
      <c r="D435" s="193"/>
      <c r="E435" s="193"/>
      <c r="F435" s="193"/>
      <c r="T435" s="179" t="e">
        <f t="shared" ca="1" si="203"/>
        <v>#N/A</v>
      </c>
      <c r="U435" s="179" t="e">
        <f t="shared" ca="1" si="209"/>
        <v>#N/A</v>
      </c>
      <c r="V435" s="179" t="e">
        <f t="shared" ca="1" si="209"/>
        <v>#N/A</v>
      </c>
      <c r="W435" s="179" t="e">
        <f t="shared" ca="1" si="199"/>
        <v>#N/A</v>
      </c>
      <c r="X435" s="179" t="e">
        <f t="shared" ca="1" si="210"/>
        <v>#N/A</v>
      </c>
      <c r="Y435" s="179" t="e">
        <f t="shared" ca="1" si="210"/>
        <v>#N/A</v>
      </c>
      <c r="Z435" s="179" t="e">
        <f t="shared" ca="1" si="200"/>
        <v>#N/A</v>
      </c>
      <c r="AA435" s="179" t="e">
        <f t="shared" ca="1" si="211"/>
        <v>#N/A</v>
      </c>
      <c r="AB435" s="179" t="e">
        <f t="shared" ca="1" si="211"/>
        <v>#N/A</v>
      </c>
      <c r="AC435" s="179" t="e">
        <f t="shared" ca="1" si="201"/>
        <v>#N/A</v>
      </c>
      <c r="AD435" s="179" t="e">
        <f t="shared" ca="1" si="212"/>
        <v>#N/A</v>
      </c>
      <c r="AE435" s="179" t="e">
        <f t="shared" ca="1" si="212"/>
        <v>#N/A</v>
      </c>
      <c r="AF435" s="179" t="e">
        <f t="shared" ca="1" si="202"/>
        <v>#N/A</v>
      </c>
      <c r="AG435" s="179" t="e">
        <f t="shared" ca="1" si="213"/>
        <v>#N/A</v>
      </c>
      <c r="AH435" s="179" t="e">
        <f t="shared" ca="1" si="213"/>
        <v>#N/A</v>
      </c>
    </row>
    <row r="436" spans="1:34" ht="15.75" customHeight="1">
      <c r="A436" s="449" t="s">
        <v>39</v>
      </c>
      <c r="B436" s="449" t="s">
        <v>1331</v>
      </c>
      <c r="C436" s="449" t="s">
        <v>681</v>
      </c>
      <c r="D436" s="193"/>
      <c r="E436" s="193"/>
      <c r="F436" s="193"/>
      <c r="T436" s="179" t="e">
        <f t="shared" ca="1" si="203"/>
        <v>#N/A</v>
      </c>
      <c r="U436" s="179" t="e">
        <f t="shared" ca="1" si="209"/>
        <v>#N/A</v>
      </c>
      <c r="V436" s="179" t="e">
        <f t="shared" ca="1" si="209"/>
        <v>#N/A</v>
      </c>
      <c r="W436" s="179" t="e">
        <f t="shared" ca="1" si="199"/>
        <v>#N/A</v>
      </c>
      <c r="X436" s="179" t="e">
        <f t="shared" ca="1" si="210"/>
        <v>#N/A</v>
      </c>
      <c r="Y436" s="179" t="e">
        <f t="shared" ca="1" si="210"/>
        <v>#N/A</v>
      </c>
      <c r="Z436" s="179" t="e">
        <f t="shared" ca="1" si="200"/>
        <v>#N/A</v>
      </c>
      <c r="AA436" s="179" t="e">
        <f t="shared" ca="1" si="211"/>
        <v>#N/A</v>
      </c>
      <c r="AB436" s="179" t="e">
        <f t="shared" ca="1" si="211"/>
        <v>#N/A</v>
      </c>
      <c r="AC436" s="179" t="e">
        <f t="shared" ca="1" si="201"/>
        <v>#N/A</v>
      </c>
      <c r="AD436" s="179" t="e">
        <f t="shared" ca="1" si="212"/>
        <v>#N/A</v>
      </c>
      <c r="AE436" s="179" t="e">
        <f t="shared" ca="1" si="212"/>
        <v>#N/A</v>
      </c>
      <c r="AF436" s="179" t="e">
        <f t="shared" ca="1" si="202"/>
        <v>#N/A</v>
      </c>
      <c r="AG436" s="179" t="e">
        <f t="shared" ca="1" si="213"/>
        <v>#N/A</v>
      </c>
      <c r="AH436" s="179" t="e">
        <f t="shared" ca="1" si="213"/>
        <v>#N/A</v>
      </c>
    </row>
    <row r="437" spans="1:34" ht="15.75" customHeight="1">
      <c r="A437" s="449" t="s">
        <v>37</v>
      </c>
      <c r="B437" s="449" t="s">
        <v>1960</v>
      </c>
      <c r="C437" s="449" t="s">
        <v>685</v>
      </c>
      <c r="D437" s="193"/>
      <c r="E437" s="193"/>
      <c r="F437" s="193"/>
      <c r="T437" s="179" t="e">
        <f t="shared" ca="1" si="203"/>
        <v>#N/A</v>
      </c>
      <c r="U437" s="179" t="e">
        <f t="shared" ca="1" si="209"/>
        <v>#N/A</v>
      </c>
      <c r="V437" s="179" t="e">
        <f t="shared" ca="1" si="209"/>
        <v>#N/A</v>
      </c>
      <c r="W437" s="179" t="e">
        <f t="shared" ca="1" si="199"/>
        <v>#N/A</v>
      </c>
      <c r="X437" s="179" t="e">
        <f t="shared" ca="1" si="210"/>
        <v>#N/A</v>
      </c>
      <c r="Y437" s="179" t="e">
        <f t="shared" ca="1" si="210"/>
        <v>#N/A</v>
      </c>
      <c r="Z437" s="179" t="e">
        <f t="shared" ca="1" si="200"/>
        <v>#N/A</v>
      </c>
      <c r="AA437" s="179" t="e">
        <f t="shared" ca="1" si="211"/>
        <v>#N/A</v>
      </c>
      <c r="AB437" s="179" t="e">
        <f t="shared" ca="1" si="211"/>
        <v>#N/A</v>
      </c>
      <c r="AC437" s="179" t="e">
        <f t="shared" ca="1" si="201"/>
        <v>#N/A</v>
      </c>
      <c r="AD437" s="179" t="e">
        <f t="shared" ca="1" si="212"/>
        <v>#N/A</v>
      </c>
      <c r="AE437" s="179" t="e">
        <f t="shared" ca="1" si="212"/>
        <v>#N/A</v>
      </c>
      <c r="AF437" s="179" t="e">
        <f t="shared" ca="1" si="202"/>
        <v>#N/A</v>
      </c>
      <c r="AG437" s="179" t="e">
        <f t="shared" ca="1" si="213"/>
        <v>#N/A</v>
      </c>
      <c r="AH437" s="179" t="e">
        <f t="shared" ca="1" si="213"/>
        <v>#N/A</v>
      </c>
    </row>
    <row r="438" spans="1:34" ht="15.75" customHeight="1">
      <c r="A438" s="449" t="s">
        <v>39</v>
      </c>
      <c r="B438" s="449" t="s">
        <v>923</v>
      </c>
      <c r="C438" s="449" t="s">
        <v>701</v>
      </c>
      <c r="D438" s="193"/>
      <c r="E438" s="193"/>
      <c r="F438" s="193"/>
      <c r="T438" s="179" t="e">
        <f t="shared" ca="1" si="203"/>
        <v>#N/A</v>
      </c>
      <c r="U438" s="179" t="e">
        <f t="shared" ca="1" si="209"/>
        <v>#N/A</v>
      </c>
      <c r="V438" s="179" t="e">
        <f t="shared" ca="1" si="209"/>
        <v>#N/A</v>
      </c>
      <c r="W438" s="179" t="e">
        <f t="shared" ca="1" si="199"/>
        <v>#N/A</v>
      </c>
      <c r="X438" s="179" t="e">
        <f t="shared" ca="1" si="210"/>
        <v>#N/A</v>
      </c>
      <c r="Y438" s="179" t="e">
        <f t="shared" ca="1" si="210"/>
        <v>#N/A</v>
      </c>
      <c r="Z438" s="179" t="e">
        <f t="shared" ca="1" si="200"/>
        <v>#N/A</v>
      </c>
      <c r="AA438" s="179" t="e">
        <f t="shared" ca="1" si="211"/>
        <v>#N/A</v>
      </c>
      <c r="AB438" s="179" t="e">
        <f t="shared" ca="1" si="211"/>
        <v>#N/A</v>
      </c>
      <c r="AC438" s="179" t="e">
        <f t="shared" ca="1" si="201"/>
        <v>#N/A</v>
      </c>
      <c r="AD438" s="179" t="e">
        <f t="shared" ca="1" si="212"/>
        <v>#N/A</v>
      </c>
      <c r="AE438" s="179" t="e">
        <f t="shared" ca="1" si="212"/>
        <v>#N/A</v>
      </c>
      <c r="AF438" s="179" t="e">
        <f t="shared" ca="1" si="202"/>
        <v>#N/A</v>
      </c>
      <c r="AG438" s="179" t="e">
        <f t="shared" ca="1" si="213"/>
        <v>#N/A</v>
      </c>
      <c r="AH438" s="179" t="e">
        <f t="shared" ca="1" si="213"/>
        <v>#N/A</v>
      </c>
    </row>
    <row r="439" spans="1:34" ht="15.75" customHeight="1">
      <c r="A439" s="449" t="s">
        <v>37</v>
      </c>
      <c r="B439" s="449" t="s">
        <v>1722</v>
      </c>
      <c r="C439" s="449" t="s">
        <v>700</v>
      </c>
      <c r="D439" s="193"/>
      <c r="E439" s="193"/>
      <c r="F439" s="193"/>
      <c r="T439" s="179" t="e">
        <f t="shared" ca="1" si="203"/>
        <v>#N/A</v>
      </c>
      <c r="U439" s="179" t="e">
        <f t="shared" ca="1" si="209"/>
        <v>#N/A</v>
      </c>
      <c r="V439" s="179" t="e">
        <f t="shared" ca="1" si="209"/>
        <v>#N/A</v>
      </c>
      <c r="W439" s="179" t="e">
        <f t="shared" ca="1" si="199"/>
        <v>#N/A</v>
      </c>
      <c r="X439" s="179" t="e">
        <f t="shared" ca="1" si="210"/>
        <v>#N/A</v>
      </c>
      <c r="Y439" s="179" t="e">
        <f t="shared" ca="1" si="210"/>
        <v>#N/A</v>
      </c>
      <c r="Z439" s="179" t="e">
        <f t="shared" ca="1" si="200"/>
        <v>#N/A</v>
      </c>
      <c r="AA439" s="179" t="e">
        <f t="shared" ca="1" si="211"/>
        <v>#N/A</v>
      </c>
      <c r="AB439" s="179" t="e">
        <f t="shared" ca="1" si="211"/>
        <v>#N/A</v>
      </c>
      <c r="AC439" s="179" t="e">
        <f t="shared" ca="1" si="201"/>
        <v>#N/A</v>
      </c>
      <c r="AD439" s="179" t="e">
        <f t="shared" ca="1" si="212"/>
        <v>#N/A</v>
      </c>
      <c r="AE439" s="179" t="e">
        <f t="shared" ca="1" si="212"/>
        <v>#N/A</v>
      </c>
      <c r="AF439" s="179" t="e">
        <f t="shared" ca="1" si="202"/>
        <v>#N/A</v>
      </c>
      <c r="AG439" s="179" t="e">
        <f t="shared" ca="1" si="213"/>
        <v>#N/A</v>
      </c>
      <c r="AH439" s="179" t="e">
        <f t="shared" ca="1" si="213"/>
        <v>#N/A</v>
      </c>
    </row>
    <row r="440" spans="1:34" ht="15.75" customHeight="1">
      <c r="A440" s="449" t="s">
        <v>37</v>
      </c>
      <c r="B440" s="449" t="s">
        <v>1297</v>
      </c>
      <c r="C440" s="449" t="s">
        <v>678</v>
      </c>
      <c r="D440" s="193"/>
      <c r="E440" s="193"/>
      <c r="F440" s="193"/>
      <c r="T440" s="179" t="e">
        <f t="shared" ca="1" si="203"/>
        <v>#N/A</v>
      </c>
      <c r="U440" s="179" t="e">
        <f t="shared" ca="1" si="209"/>
        <v>#N/A</v>
      </c>
      <c r="V440" s="179" t="e">
        <f t="shared" ca="1" si="209"/>
        <v>#N/A</v>
      </c>
      <c r="W440" s="179" t="e">
        <f t="shared" ca="1" si="199"/>
        <v>#N/A</v>
      </c>
      <c r="X440" s="179" t="e">
        <f t="shared" ca="1" si="210"/>
        <v>#N/A</v>
      </c>
      <c r="Y440" s="179" t="e">
        <f t="shared" ca="1" si="210"/>
        <v>#N/A</v>
      </c>
      <c r="Z440" s="179" t="e">
        <f t="shared" ca="1" si="200"/>
        <v>#N/A</v>
      </c>
      <c r="AA440" s="179" t="e">
        <f t="shared" ca="1" si="211"/>
        <v>#N/A</v>
      </c>
      <c r="AB440" s="179" t="e">
        <f t="shared" ca="1" si="211"/>
        <v>#N/A</v>
      </c>
      <c r="AC440" s="179" t="e">
        <f t="shared" ca="1" si="201"/>
        <v>#N/A</v>
      </c>
      <c r="AD440" s="179" t="e">
        <f t="shared" ca="1" si="212"/>
        <v>#N/A</v>
      </c>
      <c r="AE440" s="179" t="e">
        <f t="shared" ca="1" si="212"/>
        <v>#N/A</v>
      </c>
      <c r="AF440" s="179" t="e">
        <f t="shared" ca="1" si="202"/>
        <v>#N/A</v>
      </c>
      <c r="AG440" s="179" t="e">
        <f t="shared" ca="1" si="213"/>
        <v>#N/A</v>
      </c>
      <c r="AH440" s="179" t="e">
        <f t="shared" ca="1" si="213"/>
        <v>#N/A</v>
      </c>
    </row>
    <row r="441" spans="1:34" ht="15.75" customHeight="1">
      <c r="A441" s="449" t="s">
        <v>39</v>
      </c>
      <c r="B441" s="449" t="s">
        <v>1991</v>
      </c>
      <c r="C441" s="449" t="s">
        <v>701</v>
      </c>
      <c r="D441" s="193"/>
      <c r="E441" s="193"/>
      <c r="F441" s="193"/>
      <c r="T441" s="179" t="e">
        <f t="shared" ca="1" si="203"/>
        <v>#N/A</v>
      </c>
      <c r="U441" s="179" t="e">
        <f t="shared" ca="1" si="209"/>
        <v>#N/A</v>
      </c>
      <c r="V441" s="179" t="e">
        <f t="shared" ca="1" si="209"/>
        <v>#N/A</v>
      </c>
      <c r="W441" s="179" t="e">
        <f t="shared" ca="1" si="199"/>
        <v>#N/A</v>
      </c>
      <c r="X441" s="179" t="e">
        <f t="shared" ca="1" si="210"/>
        <v>#N/A</v>
      </c>
      <c r="Y441" s="179" t="e">
        <f t="shared" ca="1" si="210"/>
        <v>#N/A</v>
      </c>
      <c r="Z441" s="179" t="e">
        <f t="shared" ca="1" si="200"/>
        <v>#N/A</v>
      </c>
      <c r="AA441" s="179" t="e">
        <f t="shared" ca="1" si="211"/>
        <v>#N/A</v>
      </c>
      <c r="AB441" s="179" t="e">
        <f t="shared" ca="1" si="211"/>
        <v>#N/A</v>
      </c>
      <c r="AC441" s="179" t="e">
        <f t="shared" ca="1" si="201"/>
        <v>#N/A</v>
      </c>
      <c r="AD441" s="179" t="e">
        <f t="shared" ca="1" si="212"/>
        <v>#N/A</v>
      </c>
      <c r="AE441" s="179" t="e">
        <f t="shared" ca="1" si="212"/>
        <v>#N/A</v>
      </c>
      <c r="AF441" s="179" t="e">
        <f t="shared" ca="1" si="202"/>
        <v>#N/A</v>
      </c>
      <c r="AG441" s="179" t="e">
        <f t="shared" ca="1" si="213"/>
        <v>#N/A</v>
      </c>
      <c r="AH441" s="179" t="e">
        <f t="shared" ca="1" si="213"/>
        <v>#N/A</v>
      </c>
    </row>
    <row r="442" spans="1:34" ht="15.75" customHeight="1">
      <c r="A442" s="449" t="s">
        <v>37</v>
      </c>
      <c r="B442" s="449" t="s">
        <v>1693</v>
      </c>
      <c r="C442" s="449" t="s">
        <v>1674</v>
      </c>
      <c r="D442" s="193"/>
      <c r="E442" s="193"/>
      <c r="F442" s="193"/>
      <c r="T442" s="179" t="e">
        <f t="shared" ca="1" si="203"/>
        <v>#N/A</v>
      </c>
      <c r="U442" s="179" t="e">
        <f t="shared" ca="1" si="209"/>
        <v>#N/A</v>
      </c>
      <c r="V442" s="179" t="e">
        <f t="shared" ca="1" si="209"/>
        <v>#N/A</v>
      </c>
      <c r="W442" s="179" t="e">
        <f t="shared" ca="1" si="199"/>
        <v>#N/A</v>
      </c>
      <c r="X442" s="179" t="e">
        <f t="shared" ca="1" si="210"/>
        <v>#N/A</v>
      </c>
      <c r="Y442" s="179" t="e">
        <f t="shared" ca="1" si="210"/>
        <v>#N/A</v>
      </c>
      <c r="Z442" s="179" t="e">
        <f t="shared" ca="1" si="200"/>
        <v>#N/A</v>
      </c>
      <c r="AA442" s="179" t="e">
        <f t="shared" ca="1" si="211"/>
        <v>#N/A</v>
      </c>
      <c r="AB442" s="179" t="e">
        <f t="shared" ca="1" si="211"/>
        <v>#N/A</v>
      </c>
      <c r="AC442" s="179" t="e">
        <f t="shared" ca="1" si="201"/>
        <v>#N/A</v>
      </c>
      <c r="AD442" s="179" t="e">
        <f t="shared" ca="1" si="212"/>
        <v>#N/A</v>
      </c>
      <c r="AE442" s="179" t="e">
        <f t="shared" ca="1" si="212"/>
        <v>#N/A</v>
      </c>
      <c r="AF442" s="179" t="e">
        <f t="shared" ca="1" si="202"/>
        <v>#N/A</v>
      </c>
      <c r="AG442" s="179" t="e">
        <f t="shared" ca="1" si="213"/>
        <v>#N/A</v>
      </c>
      <c r="AH442" s="179" t="e">
        <f t="shared" ca="1" si="213"/>
        <v>#N/A</v>
      </c>
    </row>
    <row r="443" spans="1:34" ht="15.75" customHeight="1">
      <c r="A443" s="449" t="s">
        <v>37</v>
      </c>
      <c r="B443" s="449" t="s">
        <v>583</v>
      </c>
      <c r="C443" s="449" t="s">
        <v>679</v>
      </c>
      <c r="D443" s="193"/>
      <c r="E443" s="193"/>
      <c r="F443" s="193"/>
      <c r="T443" s="179" t="e">
        <f t="shared" ca="1" si="203"/>
        <v>#N/A</v>
      </c>
      <c r="U443" s="179" t="e">
        <f t="shared" ca="1" si="209"/>
        <v>#N/A</v>
      </c>
      <c r="V443" s="179" t="e">
        <f t="shared" ca="1" si="209"/>
        <v>#N/A</v>
      </c>
      <c r="W443" s="179" t="e">
        <f t="shared" ca="1" si="199"/>
        <v>#N/A</v>
      </c>
      <c r="X443" s="179" t="e">
        <f t="shared" ca="1" si="210"/>
        <v>#N/A</v>
      </c>
      <c r="Y443" s="179" t="e">
        <f t="shared" ca="1" si="210"/>
        <v>#N/A</v>
      </c>
      <c r="Z443" s="179" t="e">
        <f t="shared" ca="1" si="200"/>
        <v>#N/A</v>
      </c>
      <c r="AA443" s="179" t="e">
        <f t="shared" ca="1" si="211"/>
        <v>#N/A</v>
      </c>
      <c r="AB443" s="179" t="e">
        <f t="shared" ca="1" si="211"/>
        <v>#N/A</v>
      </c>
      <c r="AC443" s="179" t="e">
        <f t="shared" ca="1" si="201"/>
        <v>#N/A</v>
      </c>
      <c r="AD443" s="179" t="e">
        <f t="shared" ca="1" si="212"/>
        <v>#N/A</v>
      </c>
      <c r="AE443" s="179" t="e">
        <f t="shared" ca="1" si="212"/>
        <v>#N/A</v>
      </c>
      <c r="AF443" s="179" t="e">
        <f t="shared" ca="1" si="202"/>
        <v>#N/A</v>
      </c>
      <c r="AG443" s="179" t="e">
        <f t="shared" ca="1" si="213"/>
        <v>#N/A</v>
      </c>
      <c r="AH443" s="179" t="e">
        <f t="shared" ca="1" si="213"/>
        <v>#N/A</v>
      </c>
    </row>
    <row r="444" spans="1:34" ht="15.75" customHeight="1">
      <c r="A444" s="449" t="s">
        <v>37</v>
      </c>
      <c r="B444" s="449" t="s">
        <v>585</v>
      </c>
      <c r="C444" s="449" t="s">
        <v>679</v>
      </c>
      <c r="D444" s="193"/>
      <c r="E444" s="193"/>
      <c r="F444" s="193"/>
      <c r="T444" s="179" t="e">
        <f t="shared" ca="1" si="203"/>
        <v>#N/A</v>
      </c>
      <c r="U444" s="179" t="e">
        <f t="shared" ca="1" si="209"/>
        <v>#N/A</v>
      </c>
      <c r="V444" s="179" t="e">
        <f t="shared" ca="1" si="209"/>
        <v>#N/A</v>
      </c>
      <c r="W444" s="179" t="e">
        <f t="shared" ca="1" si="199"/>
        <v>#N/A</v>
      </c>
      <c r="X444" s="179" t="e">
        <f t="shared" ca="1" si="210"/>
        <v>#N/A</v>
      </c>
      <c r="Y444" s="179" t="e">
        <f t="shared" ca="1" si="210"/>
        <v>#N/A</v>
      </c>
      <c r="Z444" s="179" t="e">
        <f t="shared" ca="1" si="200"/>
        <v>#N/A</v>
      </c>
      <c r="AA444" s="179" t="e">
        <f t="shared" ca="1" si="211"/>
        <v>#N/A</v>
      </c>
      <c r="AB444" s="179" t="e">
        <f t="shared" ca="1" si="211"/>
        <v>#N/A</v>
      </c>
      <c r="AC444" s="179" t="e">
        <f t="shared" ca="1" si="201"/>
        <v>#N/A</v>
      </c>
      <c r="AD444" s="179" t="e">
        <f t="shared" ca="1" si="212"/>
        <v>#N/A</v>
      </c>
      <c r="AE444" s="179" t="e">
        <f t="shared" ca="1" si="212"/>
        <v>#N/A</v>
      </c>
      <c r="AF444" s="179" t="e">
        <f t="shared" ca="1" si="202"/>
        <v>#N/A</v>
      </c>
      <c r="AG444" s="179" t="e">
        <f t="shared" ca="1" si="213"/>
        <v>#N/A</v>
      </c>
      <c r="AH444" s="179" t="e">
        <f t="shared" ca="1" si="213"/>
        <v>#N/A</v>
      </c>
    </row>
    <row r="445" spans="1:34" ht="15.75" customHeight="1">
      <c r="A445" s="449" t="s">
        <v>35</v>
      </c>
      <c r="B445" s="449" t="s">
        <v>1935</v>
      </c>
      <c r="C445" s="449" t="s">
        <v>686</v>
      </c>
      <c r="D445" s="193"/>
      <c r="E445" s="193"/>
      <c r="F445" s="193"/>
      <c r="T445" s="179" t="e">
        <f t="shared" ca="1" si="203"/>
        <v>#N/A</v>
      </c>
      <c r="U445" s="179" t="e">
        <f t="shared" ca="1" si="209"/>
        <v>#N/A</v>
      </c>
      <c r="V445" s="179" t="e">
        <f t="shared" ca="1" si="209"/>
        <v>#N/A</v>
      </c>
      <c r="W445" s="179" t="e">
        <f t="shared" ca="1" si="199"/>
        <v>#N/A</v>
      </c>
      <c r="X445" s="179" t="e">
        <f t="shared" ca="1" si="210"/>
        <v>#N/A</v>
      </c>
      <c r="Y445" s="179" t="e">
        <f t="shared" ca="1" si="210"/>
        <v>#N/A</v>
      </c>
      <c r="Z445" s="179" t="e">
        <f t="shared" ca="1" si="200"/>
        <v>#N/A</v>
      </c>
      <c r="AA445" s="179" t="e">
        <f t="shared" ca="1" si="211"/>
        <v>#N/A</v>
      </c>
      <c r="AB445" s="179" t="e">
        <f t="shared" ca="1" si="211"/>
        <v>#N/A</v>
      </c>
      <c r="AC445" s="179" t="e">
        <f t="shared" ca="1" si="201"/>
        <v>#N/A</v>
      </c>
      <c r="AD445" s="179" t="e">
        <f t="shared" ca="1" si="212"/>
        <v>#N/A</v>
      </c>
      <c r="AE445" s="179" t="e">
        <f t="shared" ca="1" si="212"/>
        <v>#N/A</v>
      </c>
      <c r="AF445" s="179" t="e">
        <f t="shared" ca="1" si="202"/>
        <v>#N/A</v>
      </c>
      <c r="AG445" s="179" t="e">
        <f t="shared" ca="1" si="213"/>
        <v>#N/A</v>
      </c>
      <c r="AH445" s="179" t="e">
        <f t="shared" ca="1" si="213"/>
        <v>#N/A</v>
      </c>
    </row>
    <row r="446" spans="1:34" ht="15.75" customHeight="1">
      <c r="A446" s="449" t="s">
        <v>37</v>
      </c>
      <c r="B446" s="449" t="s">
        <v>588</v>
      </c>
      <c r="C446" s="449" t="s">
        <v>676</v>
      </c>
      <c r="D446" s="193"/>
      <c r="E446" s="193"/>
      <c r="F446" s="193"/>
      <c r="T446" s="179" t="e">
        <f t="shared" ca="1" si="203"/>
        <v>#N/A</v>
      </c>
      <c r="U446" s="179" t="e">
        <f t="shared" ca="1" si="209"/>
        <v>#N/A</v>
      </c>
      <c r="V446" s="179" t="e">
        <f t="shared" ca="1" si="209"/>
        <v>#N/A</v>
      </c>
      <c r="W446" s="179" t="e">
        <f t="shared" ca="1" si="199"/>
        <v>#N/A</v>
      </c>
      <c r="X446" s="179" t="e">
        <f t="shared" ca="1" si="210"/>
        <v>#N/A</v>
      </c>
      <c r="Y446" s="179" t="e">
        <f t="shared" ca="1" si="210"/>
        <v>#N/A</v>
      </c>
      <c r="Z446" s="179" t="e">
        <f t="shared" ca="1" si="200"/>
        <v>#N/A</v>
      </c>
      <c r="AA446" s="179" t="e">
        <f t="shared" ca="1" si="211"/>
        <v>#N/A</v>
      </c>
      <c r="AB446" s="179" t="e">
        <f t="shared" ca="1" si="211"/>
        <v>#N/A</v>
      </c>
      <c r="AC446" s="179" t="e">
        <f t="shared" ca="1" si="201"/>
        <v>#N/A</v>
      </c>
      <c r="AD446" s="179" t="e">
        <f t="shared" ca="1" si="212"/>
        <v>#N/A</v>
      </c>
      <c r="AE446" s="179" t="e">
        <f t="shared" ca="1" si="212"/>
        <v>#N/A</v>
      </c>
      <c r="AF446" s="179" t="e">
        <f t="shared" ca="1" si="202"/>
        <v>#N/A</v>
      </c>
      <c r="AG446" s="179" t="e">
        <f t="shared" ca="1" si="213"/>
        <v>#N/A</v>
      </c>
      <c r="AH446" s="179" t="e">
        <f t="shared" ca="1" si="213"/>
        <v>#N/A</v>
      </c>
    </row>
    <row r="447" spans="1:34" ht="15.75" customHeight="1">
      <c r="A447" s="449" t="s">
        <v>43</v>
      </c>
      <c r="B447" s="449" t="s">
        <v>499</v>
      </c>
      <c r="C447" s="449" t="s">
        <v>687</v>
      </c>
      <c r="D447" s="193"/>
      <c r="E447" s="193"/>
      <c r="F447" s="193"/>
      <c r="T447" s="179" t="e">
        <f t="shared" ca="1" si="203"/>
        <v>#N/A</v>
      </c>
      <c r="U447" s="179" t="e">
        <f t="shared" ca="1" si="209"/>
        <v>#N/A</v>
      </c>
      <c r="V447" s="179" t="e">
        <f t="shared" ca="1" si="209"/>
        <v>#N/A</v>
      </c>
      <c r="W447" s="179" t="e">
        <f t="shared" ca="1" si="199"/>
        <v>#N/A</v>
      </c>
      <c r="X447" s="179" t="e">
        <f t="shared" ca="1" si="210"/>
        <v>#N/A</v>
      </c>
      <c r="Y447" s="179" t="e">
        <f t="shared" ca="1" si="210"/>
        <v>#N/A</v>
      </c>
      <c r="Z447" s="179" t="e">
        <f t="shared" ca="1" si="200"/>
        <v>#N/A</v>
      </c>
      <c r="AA447" s="179" t="e">
        <f t="shared" ca="1" si="211"/>
        <v>#N/A</v>
      </c>
      <c r="AB447" s="179" t="e">
        <f t="shared" ca="1" si="211"/>
        <v>#N/A</v>
      </c>
      <c r="AC447" s="179" t="e">
        <f t="shared" ca="1" si="201"/>
        <v>#N/A</v>
      </c>
      <c r="AD447" s="179" t="e">
        <f t="shared" ca="1" si="212"/>
        <v>#N/A</v>
      </c>
      <c r="AE447" s="179" t="e">
        <f t="shared" ca="1" si="212"/>
        <v>#N/A</v>
      </c>
      <c r="AF447" s="179" t="e">
        <f t="shared" ca="1" si="202"/>
        <v>#N/A</v>
      </c>
      <c r="AG447" s="179" t="e">
        <f t="shared" ca="1" si="213"/>
        <v>#N/A</v>
      </c>
      <c r="AH447" s="179" t="e">
        <f t="shared" ca="1" si="213"/>
        <v>#N/A</v>
      </c>
    </row>
    <row r="448" spans="1:34" ht="15.75" customHeight="1">
      <c r="A448" s="449" t="s">
        <v>37</v>
      </c>
      <c r="B448" s="449" t="s">
        <v>597</v>
      </c>
      <c r="C448" s="449" t="s">
        <v>688</v>
      </c>
      <c r="D448" s="193"/>
      <c r="E448" s="193"/>
      <c r="F448" s="193"/>
      <c r="T448" s="179" t="e">
        <f t="shared" ca="1" si="203"/>
        <v>#N/A</v>
      </c>
      <c r="U448" s="179" t="e">
        <f t="shared" ca="1" si="209"/>
        <v>#N/A</v>
      </c>
      <c r="V448" s="179" t="e">
        <f t="shared" ca="1" si="209"/>
        <v>#N/A</v>
      </c>
      <c r="W448" s="179" t="e">
        <f t="shared" ca="1" si="199"/>
        <v>#N/A</v>
      </c>
      <c r="X448" s="179" t="e">
        <f t="shared" ca="1" si="210"/>
        <v>#N/A</v>
      </c>
      <c r="Y448" s="179" t="e">
        <f t="shared" ca="1" si="210"/>
        <v>#N/A</v>
      </c>
      <c r="Z448" s="179" t="e">
        <f t="shared" ca="1" si="200"/>
        <v>#N/A</v>
      </c>
      <c r="AA448" s="179" t="e">
        <f t="shared" ca="1" si="211"/>
        <v>#N/A</v>
      </c>
      <c r="AB448" s="179" t="e">
        <f t="shared" ca="1" si="211"/>
        <v>#N/A</v>
      </c>
      <c r="AC448" s="179" t="e">
        <f t="shared" ca="1" si="201"/>
        <v>#N/A</v>
      </c>
      <c r="AD448" s="179" t="e">
        <f t="shared" ca="1" si="212"/>
        <v>#N/A</v>
      </c>
      <c r="AE448" s="179" t="e">
        <f t="shared" ca="1" si="212"/>
        <v>#N/A</v>
      </c>
      <c r="AF448" s="179" t="e">
        <f t="shared" ca="1" si="202"/>
        <v>#N/A</v>
      </c>
      <c r="AG448" s="179" t="e">
        <f t="shared" ca="1" si="213"/>
        <v>#N/A</v>
      </c>
      <c r="AH448" s="179" t="e">
        <f t="shared" ca="1" si="213"/>
        <v>#N/A</v>
      </c>
    </row>
    <row r="449" spans="1:34" ht="15.75" customHeight="1">
      <c r="A449" s="449" t="s">
        <v>37</v>
      </c>
      <c r="B449" s="449" t="s">
        <v>589</v>
      </c>
      <c r="C449" s="449" t="s">
        <v>1477</v>
      </c>
      <c r="D449" s="193"/>
      <c r="E449" s="193"/>
      <c r="F449" s="193"/>
      <c r="T449" s="179" t="e">
        <f t="shared" ca="1" si="203"/>
        <v>#N/A</v>
      </c>
      <c r="U449" s="179" t="e">
        <f t="shared" ref="U449:V468" ca="1" si="214">T449</f>
        <v>#N/A</v>
      </c>
      <c r="V449" s="179" t="e">
        <f t="shared" ca="1" si="214"/>
        <v>#N/A</v>
      </c>
      <c r="W449" s="179" t="e">
        <f t="shared" ca="1" si="199"/>
        <v>#N/A</v>
      </c>
      <c r="X449" s="179" t="e">
        <f t="shared" ref="X449:Y468" ca="1" si="215">W449</f>
        <v>#N/A</v>
      </c>
      <c r="Y449" s="179" t="e">
        <f t="shared" ca="1" si="215"/>
        <v>#N/A</v>
      </c>
      <c r="Z449" s="179" t="e">
        <f t="shared" ca="1" si="200"/>
        <v>#N/A</v>
      </c>
      <c r="AA449" s="179" t="e">
        <f t="shared" ref="AA449:AB468" ca="1" si="216">Z449</f>
        <v>#N/A</v>
      </c>
      <c r="AB449" s="179" t="e">
        <f t="shared" ca="1" si="216"/>
        <v>#N/A</v>
      </c>
      <c r="AC449" s="179" t="e">
        <f t="shared" ca="1" si="201"/>
        <v>#N/A</v>
      </c>
      <c r="AD449" s="179" t="e">
        <f t="shared" ref="AD449:AE468" ca="1" si="217">AC449</f>
        <v>#N/A</v>
      </c>
      <c r="AE449" s="179" t="e">
        <f t="shared" ca="1" si="217"/>
        <v>#N/A</v>
      </c>
      <c r="AF449" s="179" t="e">
        <f t="shared" ca="1" si="202"/>
        <v>#N/A</v>
      </c>
      <c r="AG449" s="179" t="e">
        <f t="shared" ref="AG449:AH468" ca="1" si="218">AF449</f>
        <v>#N/A</v>
      </c>
      <c r="AH449" s="179" t="e">
        <f t="shared" ca="1" si="218"/>
        <v>#N/A</v>
      </c>
    </row>
    <row r="450" spans="1:34" ht="15.75" customHeight="1">
      <c r="A450" s="449" t="s">
        <v>43</v>
      </c>
      <c r="B450" s="449" t="s">
        <v>1944</v>
      </c>
      <c r="C450" s="449" t="s">
        <v>679</v>
      </c>
      <c r="D450" s="193"/>
      <c r="E450" s="193"/>
      <c r="F450" s="193"/>
      <c r="T450" s="179" t="e">
        <f t="shared" ca="1" si="203"/>
        <v>#N/A</v>
      </c>
      <c r="U450" s="179" t="e">
        <f t="shared" ca="1" si="214"/>
        <v>#N/A</v>
      </c>
      <c r="V450" s="179" t="e">
        <f t="shared" ca="1" si="214"/>
        <v>#N/A</v>
      </c>
      <c r="W450" s="179" t="e">
        <f t="shared" ca="1" si="199"/>
        <v>#N/A</v>
      </c>
      <c r="X450" s="179" t="e">
        <f t="shared" ca="1" si="215"/>
        <v>#N/A</v>
      </c>
      <c r="Y450" s="179" t="e">
        <f t="shared" ca="1" si="215"/>
        <v>#N/A</v>
      </c>
      <c r="Z450" s="179" t="e">
        <f t="shared" ca="1" si="200"/>
        <v>#N/A</v>
      </c>
      <c r="AA450" s="179" t="e">
        <f t="shared" ca="1" si="216"/>
        <v>#N/A</v>
      </c>
      <c r="AB450" s="179" t="e">
        <f t="shared" ca="1" si="216"/>
        <v>#N/A</v>
      </c>
      <c r="AC450" s="179" t="e">
        <f t="shared" ca="1" si="201"/>
        <v>#N/A</v>
      </c>
      <c r="AD450" s="179" t="e">
        <f t="shared" ca="1" si="217"/>
        <v>#N/A</v>
      </c>
      <c r="AE450" s="179" t="e">
        <f t="shared" ca="1" si="217"/>
        <v>#N/A</v>
      </c>
      <c r="AF450" s="179" t="e">
        <f t="shared" ca="1" si="202"/>
        <v>#N/A</v>
      </c>
      <c r="AG450" s="179" t="e">
        <f t="shared" ca="1" si="218"/>
        <v>#N/A</v>
      </c>
      <c r="AH450" s="179" t="e">
        <f t="shared" ca="1" si="218"/>
        <v>#N/A</v>
      </c>
    </row>
    <row r="451" spans="1:34" ht="15.75" customHeight="1">
      <c r="A451" s="449" t="s">
        <v>37</v>
      </c>
      <c r="B451" s="449" t="s">
        <v>591</v>
      </c>
      <c r="C451" s="449" t="s">
        <v>684</v>
      </c>
      <c r="D451" s="193"/>
      <c r="E451" s="193"/>
      <c r="F451" s="193"/>
      <c r="T451" s="179" t="e">
        <f t="shared" ca="1" si="203"/>
        <v>#N/A</v>
      </c>
      <c r="U451" s="179" t="e">
        <f t="shared" ca="1" si="214"/>
        <v>#N/A</v>
      </c>
      <c r="V451" s="179" t="e">
        <f t="shared" ca="1" si="214"/>
        <v>#N/A</v>
      </c>
      <c r="W451" s="179" t="e">
        <f t="shared" ca="1" si="199"/>
        <v>#N/A</v>
      </c>
      <c r="X451" s="179" t="e">
        <f t="shared" ca="1" si="215"/>
        <v>#N/A</v>
      </c>
      <c r="Y451" s="179" t="e">
        <f t="shared" ca="1" si="215"/>
        <v>#N/A</v>
      </c>
      <c r="Z451" s="179" t="e">
        <f t="shared" ca="1" si="200"/>
        <v>#N/A</v>
      </c>
      <c r="AA451" s="179" t="e">
        <f t="shared" ca="1" si="216"/>
        <v>#N/A</v>
      </c>
      <c r="AB451" s="179" t="e">
        <f t="shared" ca="1" si="216"/>
        <v>#N/A</v>
      </c>
      <c r="AC451" s="179" t="e">
        <f t="shared" ca="1" si="201"/>
        <v>#N/A</v>
      </c>
      <c r="AD451" s="179" t="e">
        <f t="shared" ca="1" si="217"/>
        <v>#N/A</v>
      </c>
      <c r="AE451" s="179" t="e">
        <f t="shared" ca="1" si="217"/>
        <v>#N/A</v>
      </c>
      <c r="AF451" s="179" t="e">
        <f t="shared" ca="1" si="202"/>
        <v>#N/A</v>
      </c>
      <c r="AG451" s="179" t="e">
        <f t="shared" ca="1" si="218"/>
        <v>#N/A</v>
      </c>
      <c r="AH451" s="179" t="e">
        <f t="shared" ca="1" si="218"/>
        <v>#N/A</v>
      </c>
    </row>
    <row r="452" spans="1:34" ht="15.75" customHeight="1">
      <c r="A452" s="449" t="s">
        <v>37</v>
      </c>
      <c r="B452" s="449" t="s">
        <v>592</v>
      </c>
      <c r="C452" s="449" t="s">
        <v>701</v>
      </c>
      <c r="D452" s="193"/>
      <c r="E452" s="193"/>
      <c r="F452" s="193"/>
      <c r="T452" s="179" t="e">
        <f t="shared" ca="1" si="203"/>
        <v>#N/A</v>
      </c>
      <c r="U452" s="179" t="e">
        <f t="shared" ca="1" si="214"/>
        <v>#N/A</v>
      </c>
      <c r="V452" s="179" t="e">
        <f t="shared" ca="1" si="214"/>
        <v>#N/A</v>
      </c>
      <c r="W452" s="179" t="e">
        <f t="shared" ca="1" si="199"/>
        <v>#N/A</v>
      </c>
      <c r="X452" s="179" t="e">
        <f t="shared" ca="1" si="215"/>
        <v>#N/A</v>
      </c>
      <c r="Y452" s="179" t="e">
        <f t="shared" ca="1" si="215"/>
        <v>#N/A</v>
      </c>
      <c r="Z452" s="179" t="e">
        <f t="shared" ca="1" si="200"/>
        <v>#N/A</v>
      </c>
      <c r="AA452" s="179" t="e">
        <f t="shared" ca="1" si="216"/>
        <v>#N/A</v>
      </c>
      <c r="AB452" s="179" t="e">
        <f t="shared" ca="1" si="216"/>
        <v>#N/A</v>
      </c>
      <c r="AC452" s="179" t="e">
        <f t="shared" ca="1" si="201"/>
        <v>#N/A</v>
      </c>
      <c r="AD452" s="179" t="e">
        <f t="shared" ca="1" si="217"/>
        <v>#N/A</v>
      </c>
      <c r="AE452" s="179" t="e">
        <f t="shared" ca="1" si="217"/>
        <v>#N/A</v>
      </c>
      <c r="AF452" s="179" t="e">
        <f t="shared" ca="1" si="202"/>
        <v>#N/A</v>
      </c>
      <c r="AG452" s="179" t="e">
        <f t="shared" ca="1" si="218"/>
        <v>#N/A</v>
      </c>
      <c r="AH452" s="179" t="e">
        <f t="shared" ca="1" si="218"/>
        <v>#N/A</v>
      </c>
    </row>
    <row r="453" spans="1:34" ht="15.75" customHeight="1">
      <c r="A453" s="449" t="s">
        <v>39</v>
      </c>
      <c r="B453" s="449" t="s">
        <v>1280</v>
      </c>
      <c r="C453" s="449" t="s">
        <v>692</v>
      </c>
      <c r="D453" s="193"/>
      <c r="E453" s="193"/>
      <c r="F453" s="193"/>
      <c r="T453" s="179" t="e">
        <f t="shared" ca="1" si="203"/>
        <v>#N/A</v>
      </c>
      <c r="U453" s="179" t="e">
        <f t="shared" ca="1" si="214"/>
        <v>#N/A</v>
      </c>
      <c r="V453" s="179" t="e">
        <f t="shared" ca="1" si="214"/>
        <v>#N/A</v>
      </c>
      <c r="W453" s="179" t="e">
        <f t="shared" ca="1" si="199"/>
        <v>#N/A</v>
      </c>
      <c r="X453" s="179" t="e">
        <f t="shared" ca="1" si="215"/>
        <v>#N/A</v>
      </c>
      <c r="Y453" s="179" t="e">
        <f t="shared" ca="1" si="215"/>
        <v>#N/A</v>
      </c>
      <c r="Z453" s="179" t="e">
        <f t="shared" ca="1" si="200"/>
        <v>#N/A</v>
      </c>
      <c r="AA453" s="179" t="e">
        <f t="shared" ca="1" si="216"/>
        <v>#N/A</v>
      </c>
      <c r="AB453" s="179" t="e">
        <f t="shared" ca="1" si="216"/>
        <v>#N/A</v>
      </c>
      <c r="AC453" s="179" t="e">
        <f t="shared" ca="1" si="201"/>
        <v>#N/A</v>
      </c>
      <c r="AD453" s="179" t="e">
        <f t="shared" ca="1" si="217"/>
        <v>#N/A</v>
      </c>
      <c r="AE453" s="179" t="e">
        <f t="shared" ca="1" si="217"/>
        <v>#N/A</v>
      </c>
      <c r="AF453" s="179" t="e">
        <f t="shared" ca="1" si="202"/>
        <v>#N/A</v>
      </c>
      <c r="AG453" s="179" t="e">
        <f t="shared" ca="1" si="218"/>
        <v>#N/A</v>
      </c>
      <c r="AH453" s="179" t="e">
        <f t="shared" ca="1" si="218"/>
        <v>#N/A</v>
      </c>
    </row>
    <row r="454" spans="1:34" ht="15.75" customHeight="1">
      <c r="A454" s="449" t="s">
        <v>37</v>
      </c>
      <c r="B454" s="449" t="s">
        <v>594</v>
      </c>
      <c r="C454" s="449" t="s">
        <v>677</v>
      </c>
      <c r="T454" s="179" t="e">
        <f t="shared" ca="1" si="203"/>
        <v>#N/A</v>
      </c>
      <c r="U454" s="179" t="e">
        <f t="shared" ca="1" si="214"/>
        <v>#N/A</v>
      </c>
      <c r="V454" s="179" t="e">
        <f t="shared" ca="1" si="214"/>
        <v>#N/A</v>
      </c>
      <c r="W454" s="179" t="e">
        <f t="shared" ca="1" si="199"/>
        <v>#N/A</v>
      </c>
      <c r="X454" s="179" t="e">
        <f t="shared" ca="1" si="215"/>
        <v>#N/A</v>
      </c>
      <c r="Y454" s="179" t="e">
        <f t="shared" ca="1" si="215"/>
        <v>#N/A</v>
      </c>
      <c r="Z454" s="179" t="e">
        <f t="shared" ca="1" si="200"/>
        <v>#N/A</v>
      </c>
      <c r="AA454" s="179" t="e">
        <f t="shared" ca="1" si="216"/>
        <v>#N/A</v>
      </c>
      <c r="AB454" s="179" t="e">
        <f t="shared" ca="1" si="216"/>
        <v>#N/A</v>
      </c>
      <c r="AC454" s="179" t="e">
        <f t="shared" ca="1" si="201"/>
        <v>#N/A</v>
      </c>
      <c r="AD454" s="179" t="e">
        <f t="shared" ca="1" si="217"/>
        <v>#N/A</v>
      </c>
      <c r="AE454" s="179" t="e">
        <f t="shared" ca="1" si="217"/>
        <v>#N/A</v>
      </c>
      <c r="AF454" s="179" t="e">
        <f t="shared" ca="1" si="202"/>
        <v>#N/A</v>
      </c>
      <c r="AG454" s="179" t="e">
        <f t="shared" ca="1" si="218"/>
        <v>#N/A</v>
      </c>
      <c r="AH454" s="179" t="e">
        <f t="shared" ca="1" si="218"/>
        <v>#N/A</v>
      </c>
    </row>
    <row r="455" spans="1:34" ht="15.75" customHeight="1">
      <c r="A455" s="449" t="s">
        <v>35</v>
      </c>
      <c r="B455" s="449" t="s">
        <v>1682</v>
      </c>
      <c r="C455" s="449" t="s">
        <v>691</v>
      </c>
      <c r="D455" s="193"/>
      <c r="E455" s="193"/>
      <c r="F455" s="193"/>
      <c r="T455" s="179" t="e">
        <f t="shared" ca="1" si="203"/>
        <v>#N/A</v>
      </c>
      <c r="U455" s="179" t="e">
        <f t="shared" ca="1" si="214"/>
        <v>#N/A</v>
      </c>
      <c r="V455" s="179" t="e">
        <f t="shared" ca="1" si="214"/>
        <v>#N/A</v>
      </c>
      <c r="W455" s="179" t="e">
        <f t="shared" ca="1" si="199"/>
        <v>#N/A</v>
      </c>
      <c r="X455" s="179" t="e">
        <f t="shared" ca="1" si="215"/>
        <v>#N/A</v>
      </c>
      <c r="Y455" s="179" t="e">
        <f t="shared" ca="1" si="215"/>
        <v>#N/A</v>
      </c>
      <c r="Z455" s="179" t="e">
        <f t="shared" ca="1" si="200"/>
        <v>#N/A</v>
      </c>
      <c r="AA455" s="179" t="e">
        <f t="shared" ca="1" si="216"/>
        <v>#N/A</v>
      </c>
      <c r="AB455" s="179" t="e">
        <f t="shared" ca="1" si="216"/>
        <v>#N/A</v>
      </c>
      <c r="AC455" s="179" t="e">
        <f t="shared" ca="1" si="201"/>
        <v>#N/A</v>
      </c>
      <c r="AD455" s="179" t="e">
        <f t="shared" ca="1" si="217"/>
        <v>#N/A</v>
      </c>
      <c r="AE455" s="179" t="e">
        <f t="shared" ca="1" si="217"/>
        <v>#N/A</v>
      </c>
      <c r="AF455" s="179" t="e">
        <f t="shared" ca="1" si="202"/>
        <v>#N/A</v>
      </c>
      <c r="AG455" s="179" t="e">
        <f t="shared" ca="1" si="218"/>
        <v>#N/A</v>
      </c>
      <c r="AH455" s="179" t="e">
        <f t="shared" ca="1" si="218"/>
        <v>#N/A</v>
      </c>
    </row>
    <row r="456" spans="1:34" ht="15.75" customHeight="1">
      <c r="A456" s="449" t="s">
        <v>39</v>
      </c>
      <c r="B456" s="449" t="s">
        <v>600</v>
      </c>
      <c r="C456" s="449" t="s">
        <v>692</v>
      </c>
      <c r="D456" s="193"/>
      <c r="E456" s="193"/>
      <c r="F456" s="193"/>
      <c r="T456" s="179" t="e">
        <f t="shared" ca="1" si="203"/>
        <v>#N/A</v>
      </c>
      <c r="U456" s="179" t="e">
        <f t="shared" ca="1" si="214"/>
        <v>#N/A</v>
      </c>
      <c r="V456" s="179" t="e">
        <f t="shared" ca="1" si="214"/>
        <v>#N/A</v>
      </c>
      <c r="W456" s="179" t="e">
        <f t="shared" ca="1" si="199"/>
        <v>#N/A</v>
      </c>
      <c r="X456" s="179" t="e">
        <f t="shared" ca="1" si="215"/>
        <v>#N/A</v>
      </c>
      <c r="Y456" s="179" t="e">
        <f t="shared" ca="1" si="215"/>
        <v>#N/A</v>
      </c>
      <c r="Z456" s="179" t="e">
        <f t="shared" ca="1" si="200"/>
        <v>#N/A</v>
      </c>
      <c r="AA456" s="179" t="e">
        <f t="shared" ca="1" si="216"/>
        <v>#N/A</v>
      </c>
      <c r="AB456" s="179" t="e">
        <f t="shared" ca="1" si="216"/>
        <v>#N/A</v>
      </c>
      <c r="AC456" s="179" t="e">
        <f t="shared" ca="1" si="201"/>
        <v>#N/A</v>
      </c>
      <c r="AD456" s="179" t="e">
        <f t="shared" ca="1" si="217"/>
        <v>#N/A</v>
      </c>
      <c r="AE456" s="179" t="e">
        <f t="shared" ca="1" si="217"/>
        <v>#N/A</v>
      </c>
      <c r="AF456" s="179" t="e">
        <f t="shared" ca="1" si="202"/>
        <v>#N/A</v>
      </c>
      <c r="AG456" s="179" t="e">
        <f t="shared" ca="1" si="218"/>
        <v>#N/A</v>
      </c>
      <c r="AH456" s="179" t="e">
        <f t="shared" ca="1" si="218"/>
        <v>#N/A</v>
      </c>
    </row>
    <row r="457" spans="1:34" ht="15.75" customHeight="1">
      <c r="A457" s="449" t="s">
        <v>35</v>
      </c>
      <c r="B457" s="449" t="s">
        <v>921</v>
      </c>
      <c r="C457" s="449" t="s">
        <v>685</v>
      </c>
      <c r="D457" s="193"/>
      <c r="E457" s="193"/>
      <c r="F457" s="193"/>
      <c r="T457" s="179" t="e">
        <f t="shared" ca="1" si="203"/>
        <v>#N/A</v>
      </c>
      <c r="U457" s="179" t="e">
        <f t="shared" ca="1" si="214"/>
        <v>#N/A</v>
      </c>
      <c r="V457" s="179" t="e">
        <f t="shared" ca="1" si="214"/>
        <v>#N/A</v>
      </c>
      <c r="W457" s="179" t="e">
        <f t="shared" ref="W457:W520" ca="1" si="219">W456+MATCH(W$7,INDIRECT("$A"&amp;W456+1&amp;":$A$1000"),0)</f>
        <v>#N/A</v>
      </c>
      <c r="X457" s="179" t="e">
        <f t="shared" ca="1" si="215"/>
        <v>#N/A</v>
      </c>
      <c r="Y457" s="179" t="e">
        <f t="shared" ca="1" si="215"/>
        <v>#N/A</v>
      </c>
      <c r="Z457" s="179" t="e">
        <f t="shared" ref="Z457:Z520" ca="1" si="220">Z456+MATCH(Z$7,INDIRECT("$A"&amp;Z456+1&amp;":$A$1000"),0)</f>
        <v>#N/A</v>
      </c>
      <c r="AA457" s="179" t="e">
        <f t="shared" ca="1" si="216"/>
        <v>#N/A</v>
      </c>
      <c r="AB457" s="179" t="e">
        <f t="shared" ca="1" si="216"/>
        <v>#N/A</v>
      </c>
      <c r="AC457" s="179" t="e">
        <f t="shared" ref="AC457:AC520" ca="1" si="221">AC456+MATCH(AC$7,INDIRECT("$A"&amp;AC456+1&amp;":$A$1000"),0)</f>
        <v>#N/A</v>
      </c>
      <c r="AD457" s="179" t="e">
        <f t="shared" ca="1" si="217"/>
        <v>#N/A</v>
      </c>
      <c r="AE457" s="179" t="e">
        <f t="shared" ca="1" si="217"/>
        <v>#N/A</v>
      </c>
      <c r="AF457" s="179" t="e">
        <f t="shared" ref="AF457:AF520" ca="1" si="222">AF456+MATCH(AF$7,INDIRECT("$A"&amp;AF456+1&amp;":$A$1000"),0)</f>
        <v>#N/A</v>
      </c>
      <c r="AG457" s="179" t="e">
        <f t="shared" ca="1" si="218"/>
        <v>#N/A</v>
      </c>
      <c r="AH457" s="179" t="e">
        <f t="shared" ca="1" si="218"/>
        <v>#N/A</v>
      </c>
    </row>
    <row r="458" spans="1:34" ht="15.75" customHeight="1">
      <c r="A458" s="449" t="s">
        <v>43</v>
      </c>
      <c r="B458" s="449" t="s">
        <v>507</v>
      </c>
      <c r="C458" s="449" t="s">
        <v>700</v>
      </c>
      <c r="D458" s="193"/>
      <c r="E458" s="193"/>
      <c r="F458" s="193"/>
      <c r="T458" s="179" t="e">
        <f t="shared" ref="T458:T521" ca="1" si="223">T457+MATCH($T$7,INDIRECT("$A"&amp;T457+1&amp;":$A$1000"),0)</f>
        <v>#N/A</v>
      </c>
      <c r="U458" s="179" t="e">
        <f t="shared" ca="1" si="214"/>
        <v>#N/A</v>
      </c>
      <c r="V458" s="179" t="e">
        <f t="shared" ca="1" si="214"/>
        <v>#N/A</v>
      </c>
      <c r="W458" s="179" t="e">
        <f t="shared" ca="1" si="219"/>
        <v>#N/A</v>
      </c>
      <c r="X458" s="179" t="e">
        <f t="shared" ca="1" si="215"/>
        <v>#N/A</v>
      </c>
      <c r="Y458" s="179" t="e">
        <f t="shared" ca="1" si="215"/>
        <v>#N/A</v>
      </c>
      <c r="Z458" s="179" t="e">
        <f t="shared" ca="1" si="220"/>
        <v>#N/A</v>
      </c>
      <c r="AA458" s="179" t="e">
        <f t="shared" ca="1" si="216"/>
        <v>#N/A</v>
      </c>
      <c r="AB458" s="179" t="e">
        <f t="shared" ca="1" si="216"/>
        <v>#N/A</v>
      </c>
      <c r="AC458" s="179" t="e">
        <f t="shared" ca="1" si="221"/>
        <v>#N/A</v>
      </c>
      <c r="AD458" s="179" t="e">
        <f t="shared" ca="1" si="217"/>
        <v>#N/A</v>
      </c>
      <c r="AE458" s="179" t="e">
        <f t="shared" ca="1" si="217"/>
        <v>#N/A</v>
      </c>
      <c r="AF458" s="179" t="e">
        <f t="shared" ca="1" si="222"/>
        <v>#N/A</v>
      </c>
      <c r="AG458" s="179" t="e">
        <f t="shared" ca="1" si="218"/>
        <v>#N/A</v>
      </c>
      <c r="AH458" s="179" t="e">
        <f t="shared" ca="1" si="218"/>
        <v>#N/A</v>
      </c>
    </row>
    <row r="459" spans="1:34" ht="15.75" customHeight="1">
      <c r="A459" s="449" t="s">
        <v>43</v>
      </c>
      <c r="B459" s="449" t="s">
        <v>1807</v>
      </c>
      <c r="C459" s="449" t="s">
        <v>685</v>
      </c>
      <c r="D459" s="193"/>
      <c r="E459" s="193"/>
      <c r="F459" s="193"/>
      <c r="T459" s="179" t="e">
        <f t="shared" ca="1" si="223"/>
        <v>#N/A</v>
      </c>
      <c r="U459" s="179" t="e">
        <f t="shared" ca="1" si="214"/>
        <v>#N/A</v>
      </c>
      <c r="V459" s="179" t="e">
        <f t="shared" ca="1" si="214"/>
        <v>#N/A</v>
      </c>
      <c r="W459" s="179" t="e">
        <f t="shared" ca="1" si="219"/>
        <v>#N/A</v>
      </c>
      <c r="X459" s="179" t="e">
        <f t="shared" ca="1" si="215"/>
        <v>#N/A</v>
      </c>
      <c r="Y459" s="179" t="e">
        <f t="shared" ca="1" si="215"/>
        <v>#N/A</v>
      </c>
      <c r="Z459" s="179" t="e">
        <f t="shared" ca="1" si="220"/>
        <v>#N/A</v>
      </c>
      <c r="AA459" s="179" t="e">
        <f t="shared" ca="1" si="216"/>
        <v>#N/A</v>
      </c>
      <c r="AB459" s="179" t="e">
        <f t="shared" ca="1" si="216"/>
        <v>#N/A</v>
      </c>
      <c r="AC459" s="179" t="e">
        <f t="shared" ca="1" si="221"/>
        <v>#N/A</v>
      </c>
      <c r="AD459" s="179" t="e">
        <f t="shared" ca="1" si="217"/>
        <v>#N/A</v>
      </c>
      <c r="AE459" s="179" t="e">
        <f t="shared" ca="1" si="217"/>
        <v>#N/A</v>
      </c>
      <c r="AF459" s="179" t="e">
        <f t="shared" ca="1" si="222"/>
        <v>#N/A</v>
      </c>
      <c r="AG459" s="179" t="e">
        <f t="shared" ca="1" si="218"/>
        <v>#N/A</v>
      </c>
      <c r="AH459" s="179" t="e">
        <f t="shared" ca="1" si="218"/>
        <v>#N/A</v>
      </c>
    </row>
    <row r="460" spans="1:34" ht="15.75" customHeight="1">
      <c r="A460" s="449" t="s">
        <v>39</v>
      </c>
      <c r="B460" s="449" t="s">
        <v>1748</v>
      </c>
      <c r="C460" s="449" t="s">
        <v>1477</v>
      </c>
      <c r="D460" s="193"/>
      <c r="E460" s="193"/>
      <c r="F460" s="193"/>
      <c r="T460" s="179" t="e">
        <f t="shared" ca="1" si="223"/>
        <v>#N/A</v>
      </c>
      <c r="U460" s="179" t="e">
        <f t="shared" ca="1" si="214"/>
        <v>#N/A</v>
      </c>
      <c r="V460" s="179" t="e">
        <f t="shared" ca="1" si="214"/>
        <v>#N/A</v>
      </c>
      <c r="W460" s="179" t="e">
        <f t="shared" ca="1" si="219"/>
        <v>#N/A</v>
      </c>
      <c r="X460" s="179" t="e">
        <f t="shared" ca="1" si="215"/>
        <v>#N/A</v>
      </c>
      <c r="Y460" s="179" t="e">
        <f t="shared" ca="1" si="215"/>
        <v>#N/A</v>
      </c>
      <c r="Z460" s="179" t="e">
        <f t="shared" ca="1" si="220"/>
        <v>#N/A</v>
      </c>
      <c r="AA460" s="179" t="e">
        <f t="shared" ca="1" si="216"/>
        <v>#N/A</v>
      </c>
      <c r="AB460" s="179" t="e">
        <f t="shared" ca="1" si="216"/>
        <v>#N/A</v>
      </c>
      <c r="AC460" s="179" t="e">
        <f t="shared" ca="1" si="221"/>
        <v>#N/A</v>
      </c>
      <c r="AD460" s="179" t="e">
        <f t="shared" ca="1" si="217"/>
        <v>#N/A</v>
      </c>
      <c r="AE460" s="179" t="e">
        <f t="shared" ca="1" si="217"/>
        <v>#N/A</v>
      </c>
      <c r="AF460" s="179" t="e">
        <f t="shared" ca="1" si="222"/>
        <v>#N/A</v>
      </c>
      <c r="AG460" s="179" t="e">
        <f t="shared" ca="1" si="218"/>
        <v>#N/A</v>
      </c>
      <c r="AH460" s="179" t="e">
        <f t="shared" ca="1" si="218"/>
        <v>#N/A</v>
      </c>
    </row>
    <row r="461" spans="1:34" ht="15.75" customHeight="1">
      <c r="A461" s="449" t="s">
        <v>39</v>
      </c>
      <c r="B461" s="449" t="s">
        <v>1776</v>
      </c>
      <c r="C461" s="449" t="s">
        <v>1477</v>
      </c>
      <c r="T461" s="179" t="e">
        <f t="shared" ca="1" si="223"/>
        <v>#N/A</v>
      </c>
      <c r="U461" s="179" t="e">
        <f t="shared" ca="1" si="214"/>
        <v>#N/A</v>
      </c>
      <c r="V461" s="179" t="e">
        <f t="shared" ca="1" si="214"/>
        <v>#N/A</v>
      </c>
      <c r="W461" s="179" t="e">
        <f t="shared" ca="1" si="219"/>
        <v>#N/A</v>
      </c>
      <c r="X461" s="179" t="e">
        <f t="shared" ca="1" si="215"/>
        <v>#N/A</v>
      </c>
      <c r="Y461" s="179" t="e">
        <f t="shared" ca="1" si="215"/>
        <v>#N/A</v>
      </c>
      <c r="Z461" s="179" t="e">
        <f t="shared" ca="1" si="220"/>
        <v>#N/A</v>
      </c>
      <c r="AA461" s="179" t="e">
        <f t="shared" ca="1" si="216"/>
        <v>#N/A</v>
      </c>
      <c r="AB461" s="179" t="e">
        <f t="shared" ca="1" si="216"/>
        <v>#N/A</v>
      </c>
      <c r="AC461" s="179" t="e">
        <f t="shared" ca="1" si="221"/>
        <v>#N/A</v>
      </c>
      <c r="AD461" s="179" t="e">
        <f t="shared" ca="1" si="217"/>
        <v>#N/A</v>
      </c>
      <c r="AE461" s="179" t="e">
        <f t="shared" ca="1" si="217"/>
        <v>#N/A</v>
      </c>
      <c r="AF461" s="179" t="e">
        <f t="shared" ca="1" si="222"/>
        <v>#N/A</v>
      </c>
      <c r="AG461" s="179" t="e">
        <f t="shared" ca="1" si="218"/>
        <v>#N/A</v>
      </c>
      <c r="AH461" s="179" t="e">
        <f t="shared" ca="1" si="218"/>
        <v>#N/A</v>
      </c>
    </row>
    <row r="462" spans="1:34" ht="15.75" customHeight="1">
      <c r="A462" s="449" t="s">
        <v>43</v>
      </c>
      <c r="B462" s="449" t="s">
        <v>509</v>
      </c>
      <c r="C462" s="449" t="s">
        <v>695</v>
      </c>
      <c r="D462" s="193"/>
      <c r="E462" s="193"/>
      <c r="F462" s="193"/>
      <c r="T462" s="179" t="e">
        <f t="shared" ca="1" si="223"/>
        <v>#N/A</v>
      </c>
      <c r="U462" s="179" t="e">
        <f t="shared" ca="1" si="214"/>
        <v>#N/A</v>
      </c>
      <c r="V462" s="179" t="e">
        <f t="shared" ca="1" si="214"/>
        <v>#N/A</v>
      </c>
      <c r="W462" s="179" t="e">
        <f t="shared" ca="1" si="219"/>
        <v>#N/A</v>
      </c>
      <c r="X462" s="179" t="e">
        <f t="shared" ca="1" si="215"/>
        <v>#N/A</v>
      </c>
      <c r="Y462" s="179" t="e">
        <f t="shared" ca="1" si="215"/>
        <v>#N/A</v>
      </c>
      <c r="Z462" s="179" t="e">
        <f t="shared" ca="1" si="220"/>
        <v>#N/A</v>
      </c>
      <c r="AA462" s="179" t="e">
        <f t="shared" ca="1" si="216"/>
        <v>#N/A</v>
      </c>
      <c r="AB462" s="179" t="e">
        <f t="shared" ca="1" si="216"/>
        <v>#N/A</v>
      </c>
      <c r="AC462" s="179" t="e">
        <f t="shared" ca="1" si="221"/>
        <v>#N/A</v>
      </c>
      <c r="AD462" s="179" t="e">
        <f t="shared" ca="1" si="217"/>
        <v>#N/A</v>
      </c>
      <c r="AE462" s="179" t="e">
        <f t="shared" ca="1" si="217"/>
        <v>#N/A</v>
      </c>
      <c r="AF462" s="179" t="e">
        <f t="shared" ca="1" si="222"/>
        <v>#N/A</v>
      </c>
      <c r="AG462" s="179" t="e">
        <f t="shared" ca="1" si="218"/>
        <v>#N/A</v>
      </c>
      <c r="AH462" s="179" t="e">
        <f t="shared" ca="1" si="218"/>
        <v>#N/A</v>
      </c>
    </row>
    <row r="463" spans="1:34" ht="15.75" customHeight="1">
      <c r="A463" s="449" t="s">
        <v>35</v>
      </c>
      <c r="B463" s="449" t="s">
        <v>420</v>
      </c>
      <c r="C463" s="449" t="s">
        <v>684</v>
      </c>
      <c r="D463" s="193"/>
      <c r="E463" s="193"/>
      <c r="F463" s="193"/>
      <c r="T463" s="179" t="e">
        <f t="shared" ca="1" si="223"/>
        <v>#N/A</v>
      </c>
      <c r="U463" s="179" t="e">
        <f t="shared" ca="1" si="214"/>
        <v>#N/A</v>
      </c>
      <c r="V463" s="179" t="e">
        <f t="shared" ca="1" si="214"/>
        <v>#N/A</v>
      </c>
      <c r="W463" s="179" t="e">
        <f t="shared" ca="1" si="219"/>
        <v>#N/A</v>
      </c>
      <c r="X463" s="179" t="e">
        <f t="shared" ca="1" si="215"/>
        <v>#N/A</v>
      </c>
      <c r="Y463" s="179" t="e">
        <f t="shared" ca="1" si="215"/>
        <v>#N/A</v>
      </c>
      <c r="Z463" s="179" t="e">
        <f t="shared" ca="1" si="220"/>
        <v>#N/A</v>
      </c>
      <c r="AA463" s="179" t="e">
        <f t="shared" ca="1" si="216"/>
        <v>#N/A</v>
      </c>
      <c r="AB463" s="179" t="e">
        <f t="shared" ca="1" si="216"/>
        <v>#N/A</v>
      </c>
      <c r="AC463" s="179" t="e">
        <f t="shared" ca="1" si="221"/>
        <v>#N/A</v>
      </c>
      <c r="AD463" s="179" t="e">
        <f t="shared" ca="1" si="217"/>
        <v>#N/A</v>
      </c>
      <c r="AE463" s="179" t="e">
        <f t="shared" ca="1" si="217"/>
        <v>#N/A</v>
      </c>
      <c r="AF463" s="179" t="e">
        <f t="shared" ca="1" si="222"/>
        <v>#N/A</v>
      </c>
      <c r="AG463" s="179" t="e">
        <f t="shared" ca="1" si="218"/>
        <v>#N/A</v>
      </c>
      <c r="AH463" s="179" t="e">
        <f t="shared" ca="1" si="218"/>
        <v>#N/A</v>
      </c>
    </row>
    <row r="464" spans="1:34" ht="15.75" customHeight="1">
      <c r="A464" s="449" t="s">
        <v>35</v>
      </c>
      <c r="B464" s="449" t="s">
        <v>423</v>
      </c>
      <c r="C464" s="449" t="s">
        <v>680</v>
      </c>
      <c r="D464" s="193"/>
      <c r="E464" s="193"/>
      <c r="F464" s="193"/>
      <c r="T464" s="179" t="e">
        <f t="shared" ca="1" si="223"/>
        <v>#N/A</v>
      </c>
      <c r="U464" s="179" t="e">
        <f t="shared" ca="1" si="214"/>
        <v>#N/A</v>
      </c>
      <c r="V464" s="179" t="e">
        <f t="shared" ca="1" si="214"/>
        <v>#N/A</v>
      </c>
      <c r="W464" s="179" t="e">
        <f t="shared" ca="1" si="219"/>
        <v>#N/A</v>
      </c>
      <c r="X464" s="179" t="e">
        <f t="shared" ca="1" si="215"/>
        <v>#N/A</v>
      </c>
      <c r="Y464" s="179" t="e">
        <f t="shared" ca="1" si="215"/>
        <v>#N/A</v>
      </c>
      <c r="Z464" s="179" t="e">
        <f t="shared" ca="1" si="220"/>
        <v>#N/A</v>
      </c>
      <c r="AA464" s="179" t="e">
        <f t="shared" ca="1" si="216"/>
        <v>#N/A</v>
      </c>
      <c r="AB464" s="179" t="e">
        <f t="shared" ca="1" si="216"/>
        <v>#N/A</v>
      </c>
      <c r="AC464" s="179" t="e">
        <f t="shared" ca="1" si="221"/>
        <v>#N/A</v>
      </c>
      <c r="AD464" s="179" t="e">
        <f t="shared" ca="1" si="217"/>
        <v>#N/A</v>
      </c>
      <c r="AE464" s="179" t="e">
        <f t="shared" ca="1" si="217"/>
        <v>#N/A</v>
      </c>
      <c r="AF464" s="179" t="e">
        <f t="shared" ca="1" si="222"/>
        <v>#N/A</v>
      </c>
      <c r="AG464" s="179" t="e">
        <f t="shared" ca="1" si="218"/>
        <v>#N/A</v>
      </c>
      <c r="AH464" s="179" t="e">
        <f t="shared" ca="1" si="218"/>
        <v>#N/A</v>
      </c>
    </row>
    <row r="465" spans="1:34" ht="15.75" customHeight="1">
      <c r="A465" s="449" t="s">
        <v>39</v>
      </c>
      <c r="B465" s="449" t="s">
        <v>603</v>
      </c>
      <c r="C465" s="449" t="s">
        <v>685</v>
      </c>
      <c r="D465" s="193"/>
      <c r="E465" s="193"/>
      <c r="F465" s="193"/>
      <c r="T465" s="179" t="e">
        <f t="shared" ca="1" si="223"/>
        <v>#N/A</v>
      </c>
      <c r="U465" s="179" t="e">
        <f t="shared" ca="1" si="214"/>
        <v>#N/A</v>
      </c>
      <c r="V465" s="179" t="e">
        <f t="shared" ca="1" si="214"/>
        <v>#N/A</v>
      </c>
      <c r="W465" s="179" t="e">
        <f t="shared" ca="1" si="219"/>
        <v>#N/A</v>
      </c>
      <c r="X465" s="179" t="e">
        <f t="shared" ca="1" si="215"/>
        <v>#N/A</v>
      </c>
      <c r="Y465" s="179" t="e">
        <f t="shared" ca="1" si="215"/>
        <v>#N/A</v>
      </c>
      <c r="Z465" s="179" t="e">
        <f t="shared" ca="1" si="220"/>
        <v>#N/A</v>
      </c>
      <c r="AA465" s="179" t="e">
        <f t="shared" ca="1" si="216"/>
        <v>#N/A</v>
      </c>
      <c r="AB465" s="179" t="e">
        <f t="shared" ca="1" si="216"/>
        <v>#N/A</v>
      </c>
      <c r="AC465" s="179" t="e">
        <f t="shared" ca="1" si="221"/>
        <v>#N/A</v>
      </c>
      <c r="AD465" s="179" t="e">
        <f t="shared" ca="1" si="217"/>
        <v>#N/A</v>
      </c>
      <c r="AE465" s="179" t="e">
        <f t="shared" ca="1" si="217"/>
        <v>#N/A</v>
      </c>
      <c r="AF465" s="179" t="e">
        <f t="shared" ca="1" si="222"/>
        <v>#N/A</v>
      </c>
      <c r="AG465" s="179" t="e">
        <f t="shared" ca="1" si="218"/>
        <v>#N/A</v>
      </c>
      <c r="AH465" s="179" t="e">
        <f t="shared" ca="1" si="218"/>
        <v>#N/A</v>
      </c>
    </row>
    <row r="466" spans="1:34" ht="15.75" customHeight="1">
      <c r="A466" s="449" t="s">
        <v>35</v>
      </c>
      <c r="B466" s="449" t="s">
        <v>426</v>
      </c>
      <c r="C466" s="449" t="s">
        <v>681</v>
      </c>
      <c r="D466" s="193"/>
      <c r="E466" s="193"/>
      <c r="F466" s="193"/>
      <c r="T466" s="179" t="e">
        <f t="shared" ca="1" si="223"/>
        <v>#N/A</v>
      </c>
      <c r="U466" s="179" t="e">
        <f t="shared" ca="1" si="214"/>
        <v>#N/A</v>
      </c>
      <c r="V466" s="179" t="e">
        <f t="shared" ca="1" si="214"/>
        <v>#N/A</v>
      </c>
      <c r="W466" s="179" t="e">
        <f t="shared" ca="1" si="219"/>
        <v>#N/A</v>
      </c>
      <c r="X466" s="179" t="e">
        <f t="shared" ca="1" si="215"/>
        <v>#N/A</v>
      </c>
      <c r="Y466" s="179" t="e">
        <f t="shared" ca="1" si="215"/>
        <v>#N/A</v>
      </c>
      <c r="Z466" s="179" t="e">
        <f t="shared" ca="1" si="220"/>
        <v>#N/A</v>
      </c>
      <c r="AA466" s="179" t="e">
        <f t="shared" ca="1" si="216"/>
        <v>#N/A</v>
      </c>
      <c r="AB466" s="179" t="e">
        <f t="shared" ca="1" si="216"/>
        <v>#N/A</v>
      </c>
      <c r="AC466" s="179" t="e">
        <f t="shared" ca="1" si="221"/>
        <v>#N/A</v>
      </c>
      <c r="AD466" s="179" t="e">
        <f t="shared" ca="1" si="217"/>
        <v>#N/A</v>
      </c>
      <c r="AE466" s="179" t="e">
        <f t="shared" ca="1" si="217"/>
        <v>#N/A</v>
      </c>
      <c r="AF466" s="179" t="e">
        <f t="shared" ca="1" si="222"/>
        <v>#N/A</v>
      </c>
      <c r="AG466" s="179" t="e">
        <f t="shared" ca="1" si="218"/>
        <v>#N/A</v>
      </c>
      <c r="AH466" s="179" t="e">
        <f t="shared" ca="1" si="218"/>
        <v>#N/A</v>
      </c>
    </row>
    <row r="467" spans="1:34" ht="15.75" customHeight="1">
      <c r="A467" s="449" t="s">
        <v>37</v>
      </c>
      <c r="B467" s="449" t="s">
        <v>598</v>
      </c>
      <c r="C467" s="449" t="s">
        <v>688</v>
      </c>
      <c r="D467" s="193"/>
      <c r="E467" s="193"/>
      <c r="F467" s="193"/>
      <c r="T467" s="179" t="e">
        <f t="shared" ca="1" si="223"/>
        <v>#N/A</v>
      </c>
      <c r="U467" s="179" t="e">
        <f t="shared" ca="1" si="214"/>
        <v>#N/A</v>
      </c>
      <c r="V467" s="179" t="e">
        <f t="shared" ca="1" si="214"/>
        <v>#N/A</v>
      </c>
      <c r="W467" s="179" t="e">
        <f t="shared" ca="1" si="219"/>
        <v>#N/A</v>
      </c>
      <c r="X467" s="179" t="e">
        <f t="shared" ca="1" si="215"/>
        <v>#N/A</v>
      </c>
      <c r="Y467" s="179" t="e">
        <f t="shared" ca="1" si="215"/>
        <v>#N/A</v>
      </c>
      <c r="Z467" s="179" t="e">
        <f t="shared" ca="1" si="220"/>
        <v>#N/A</v>
      </c>
      <c r="AA467" s="179" t="e">
        <f t="shared" ca="1" si="216"/>
        <v>#N/A</v>
      </c>
      <c r="AB467" s="179" t="e">
        <f t="shared" ca="1" si="216"/>
        <v>#N/A</v>
      </c>
      <c r="AC467" s="179" t="e">
        <f t="shared" ca="1" si="221"/>
        <v>#N/A</v>
      </c>
      <c r="AD467" s="179" t="e">
        <f t="shared" ca="1" si="217"/>
        <v>#N/A</v>
      </c>
      <c r="AE467" s="179" t="e">
        <f t="shared" ca="1" si="217"/>
        <v>#N/A</v>
      </c>
      <c r="AF467" s="179" t="e">
        <f t="shared" ca="1" si="222"/>
        <v>#N/A</v>
      </c>
      <c r="AG467" s="179" t="e">
        <f t="shared" ca="1" si="218"/>
        <v>#N/A</v>
      </c>
      <c r="AH467" s="179" t="e">
        <f t="shared" ca="1" si="218"/>
        <v>#N/A</v>
      </c>
    </row>
    <row r="468" spans="1:34" ht="15.75" customHeight="1">
      <c r="A468" s="449" t="s">
        <v>35</v>
      </c>
      <c r="B468" s="449" t="s">
        <v>1681</v>
      </c>
      <c r="C468" s="449" t="s">
        <v>1674</v>
      </c>
      <c r="D468" s="193"/>
      <c r="E468" s="193"/>
      <c r="F468" s="193"/>
      <c r="T468" s="179" t="e">
        <f t="shared" ca="1" si="223"/>
        <v>#N/A</v>
      </c>
      <c r="U468" s="179" t="e">
        <f t="shared" ca="1" si="214"/>
        <v>#N/A</v>
      </c>
      <c r="V468" s="179" t="e">
        <f t="shared" ca="1" si="214"/>
        <v>#N/A</v>
      </c>
      <c r="W468" s="179" t="e">
        <f t="shared" ca="1" si="219"/>
        <v>#N/A</v>
      </c>
      <c r="X468" s="179" t="e">
        <f t="shared" ca="1" si="215"/>
        <v>#N/A</v>
      </c>
      <c r="Y468" s="179" t="e">
        <f t="shared" ca="1" si="215"/>
        <v>#N/A</v>
      </c>
      <c r="Z468" s="179" t="e">
        <f t="shared" ca="1" si="220"/>
        <v>#N/A</v>
      </c>
      <c r="AA468" s="179" t="e">
        <f t="shared" ca="1" si="216"/>
        <v>#N/A</v>
      </c>
      <c r="AB468" s="179" t="e">
        <f t="shared" ca="1" si="216"/>
        <v>#N/A</v>
      </c>
      <c r="AC468" s="179" t="e">
        <f t="shared" ca="1" si="221"/>
        <v>#N/A</v>
      </c>
      <c r="AD468" s="179" t="e">
        <f t="shared" ca="1" si="217"/>
        <v>#N/A</v>
      </c>
      <c r="AE468" s="179" t="e">
        <f t="shared" ca="1" si="217"/>
        <v>#N/A</v>
      </c>
      <c r="AF468" s="179" t="e">
        <f t="shared" ca="1" si="222"/>
        <v>#N/A</v>
      </c>
      <c r="AG468" s="179" t="e">
        <f t="shared" ca="1" si="218"/>
        <v>#N/A</v>
      </c>
      <c r="AH468" s="179" t="e">
        <f t="shared" ca="1" si="218"/>
        <v>#N/A</v>
      </c>
    </row>
    <row r="469" spans="1:34" ht="15.75" customHeight="1">
      <c r="A469" s="449" t="s">
        <v>43</v>
      </c>
      <c r="B469" s="449" t="s">
        <v>1291</v>
      </c>
      <c r="C469" s="449" t="s">
        <v>692</v>
      </c>
      <c r="D469" s="193"/>
      <c r="E469" s="193"/>
      <c r="F469" s="193"/>
      <c r="T469" s="179" t="e">
        <f t="shared" ca="1" si="223"/>
        <v>#N/A</v>
      </c>
      <c r="U469" s="179" t="e">
        <f t="shared" ref="U469:V488" ca="1" si="224">T469</f>
        <v>#N/A</v>
      </c>
      <c r="V469" s="179" t="e">
        <f t="shared" ca="1" si="224"/>
        <v>#N/A</v>
      </c>
      <c r="W469" s="179" t="e">
        <f t="shared" ca="1" si="219"/>
        <v>#N/A</v>
      </c>
      <c r="X469" s="179" t="e">
        <f t="shared" ref="X469:Y488" ca="1" si="225">W469</f>
        <v>#N/A</v>
      </c>
      <c r="Y469" s="179" t="e">
        <f t="shared" ca="1" si="225"/>
        <v>#N/A</v>
      </c>
      <c r="Z469" s="179" t="e">
        <f t="shared" ca="1" si="220"/>
        <v>#N/A</v>
      </c>
      <c r="AA469" s="179" t="e">
        <f t="shared" ref="AA469:AB488" ca="1" si="226">Z469</f>
        <v>#N/A</v>
      </c>
      <c r="AB469" s="179" t="e">
        <f t="shared" ca="1" si="226"/>
        <v>#N/A</v>
      </c>
      <c r="AC469" s="179" t="e">
        <f t="shared" ca="1" si="221"/>
        <v>#N/A</v>
      </c>
      <c r="AD469" s="179" t="e">
        <f t="shared" ref="AD469:AE488" ca="1" si="227">AC469</f>
        <v>#N/A</v>
      </c>
      <c r="AE469" s="179" t="e">
        <f t="shared" ca="1" si="227"/>
        <v>#N/A</v>
      </c>
      <c r="AF469" s="179" t="e">
        <f t="shared" ca="1" si="222"/>
        <v>#N/A</v>
      </c>
      <c r="AG469" s="179" t="e">
        <f t="shared" ref="AG469:AH488" ca="1" si="228">AF469</f>
        <v>#N/A</v>
      </c>
      <c r="AH469" s="179" t="e">
        <f t="shared" ca="1" si="228"/>
        <v>#N/A</v>
      </c>
    </row>
    <row r="470" spans="1:34" ht="15.75" customHeight="1">
      <c r="A470" s="449" t="s">
        <v>37</v>
      </c>
      <c r="B470" s="449" t="s">
        <v>1990</v>
      </c>
      <c r="C470" s="449" t="s">
        <v>701</v>
      </c>
      <c r="D470" s="193"/>
      <c r="E470" s="193"/>
      <c r="F470" s="193"/>
      <c r="T470" s="179" t="e">
        <f t="shared" ca="1" si="223"/>
        <v>#N/A</v>
      </c>
      <c r="U470" s="179" t="e">
        <f t="shared" ca="1" si="224"/>
        <v>#N/A</v>
      </c>
      <c r="V470" s="179" t="e">
        <f t="shared" ca="1" si="224"/>
        <v>#N/A</v>
      </c>
      <c r="W470" s="179" t="e">
        <f t="shared" ca="1" si="219"/>
        <v>#N/A</v>
      </c>
      <c r="X470" s="179" t="e">
        <f t="shared" ca="1" si="225"/>
        <v>#N/A</v>
      </c>
      <c r="Y470" s="179" t="e">
        <f t="shared" ca="1" si="225"/>
        <v>#N/A</v>
      </c>
      <c r="Z470" s="179" t="e">
        <f t="shared" ca="1" si="220"/>
        <v>#N/A</v>
      </c>
      <c r="AA470" s="179" t="e">
        <f t="shared" ca="1" si="226"/>
        <v>#N/A</v>
      </c>
      <c r="AB470" s="179" t="e">
        <f t="shared" ca="1" si="226"/>
        <v>#N/A</v>
      </c>
      <c r="AC470" s="179" t="e">
        <f t="shared" ca="1" si="221"/>
        <v>#N/A</v>
      </c>
      <c r="AD470" s="179" t="e">
        <f t="shared" ca="1" si="227"/>
        <v>#N/A</v>
      </c>
      <c r="AE470" s="179" t="e">
        <f t="shared" ca="1" si="227"/>
        <v>#N/A</v>
      </c>
      <c r="AF470" s="179" t="e">
        <f t="shared" ca="1" si="222"/>
        <v>#N/A</v>
      </c>
      <c r="AG470" s="179" t="e">
        <f t="shared" ca="1" si="228"/>
        <v>#N/A</v>
      </c>
      <c r="AH470" s="179" t="e">
        <f t="shared" ca="1" si="228"/>
        <v>#N/A</v>
      </c>
    </row>
    <row r="471" spans="1:34" ht="15.75" customHeight="1">
      <c r="A471" s="449" t="s">
        <v>43</v>
      </c>
      <c r="B471" s="449" t="s">
        <v>511</v>
      </c>
      <c r="C471" s="449" t="s">
        <v>701</v>
      </c>
      <c r="D471" s="193"/>
      <c r="E471" s="193"/>
      <c r="F471" s="193"/>
      <c r="T471" s="179" t="e">
        <f t="shared" ca="1" si="223"/>
        <v>#N/A</v>
      </c>
      <c r="U471" s="179" t="e">
        <f t="shared" ca="1" si="224"/>
        <v>#N/A</v>
      </c>
      <c r="V471" s="179" t="e">
        <f t="shared" ca="1" si="224"/>
        <v>#N/A</v>
      </c>
      <c r="W471" s="179" t="e">
        <f t="shared" ca="1" si="219"/>
        <v>#N/A</v>
      </c>
      <c r="X471" s="179" t="e">
        <f t="shared" ca="1" si="225"/>
        <v>#N/A</v>
      </c>
      <c r="Y471" s="179" t="e">
        <f t="shared" ca="1" si="225"/>
        <v>#N/A</v>
      </c>
      <c r="Z471" s="179" t="e">
        <f t="shared" ca="1" si="220"/>
        <v>#N/A</v>
      </c>
      <c r="AA471" s="179" t="e">
        <f t="shared" ca="1" si="226"/>
        <v>#N/A</v>
      </c>
      <c r="AB471" s="179" t="e">
        <f t="shared" ca="1" si="226"/>
        <v>#N/A</v>
      </c>
      <c r="AC471" s="179" t="e">
        <f t="shared" ca="1" si="221"/>
        <v>#N/A</v>
      </c>
      <c r="AD471" s="179" t="e">
        <f t="shared" ca="1" si="227"/>
        <v>#N/A</v>
      </c>
      <c r="AE471" s="179" t="e">
        <f t="shared" ca="1" si="227"/>
        <v>#N/A</v>
      </c>
      <c r="AF471" s="179" t="e">
        <f t="shared" ca="1" si="222"/>
        <v>#N/A</v>
      </c>
      <c r="AG471" s="179" t="e">
        <f t="shared" ca="1" si="228"/>
        <v>#N/A</v>
      </c>
      <c r="AH471" s="179" t="e">
        <f t="shared" ca="1" si="228"/>
        <v>#N/A</v>
      </c>
    </row>
    <row r="472" spans="1:34" ht="15.75" customHeight="1">
      <c r="A472" s="449" t="s">
        <v>35</v>
      </c>
      <c r="B472" s="449" t="s">
        <v>1676</v>
      </c>
      <c r="C472" s="449" t="s">
        <v>687</v>
      </c>
      <c r="D472" s="193"/>
      <c r="E472" s="193"/>
      <c r="F472" s="193"/>
      <c r="T472" s="179" t="e">
        <f t="shared" ca="1" si="223"/>
        <v>#N/A</v>
      </c>
      <c r="U472" s="179" t="e">
        <f t="shared" ca="1" si="224"/>
        <v>#N/A</v>
      </c>
      <c r="V472" s="179" t="e">
        <f t="shared" ca="1" si="224"/>
        <v>#N/A</v>
      </c>
      <c r="W472" s="179" t="e">
        <f t="shared" ca="1" si="219"/>
        <v>#N/A</v>
      </c>
      <c r="X472" s="179" t="e">
        <f t="shared" ca="1" si="225"/>
        <v>#N/A</v>
      </c>
      <c r="Y472" s="179" t="e">
        <f t="shared" ca="1" si="225"/>
        <v>#N/A</v>
      </c>
      <c r="Z472" s="179" t="e">
        <f t="shared" ca="1" si="220"/>
        <v>#N/A</v>
      </c>
      <c r="AA472" s="179" t="e">
        <f t="shared" ca="1" si="226"/>
        <v>#N/A</v>
      </c>
      <c r="AB472" s="179" t="e">
        <f t="shared" ca="1" si="226"/>
        <v>#N/A</v>
      </c>
      <c r="AC472" s="179" t="e">
        <f t="shared" ca="1" si="221"/>
        <v>#N/A</v>
      </c>
      <c r="AD472" s="179" t="e">
        <f t="shared" ca="1" si="227"/>
        <v>#N/A</v>
      </c>
      <c r="AE472" s="179" t="e">
        <f t="shared" ca="1" si="227"/>
        <v>#N/A</v>
      </c>
      <c r="AF472" s="179" t="e">
        <f t="shared" ca="1" si="222"/>
        <v>#N/A</v>
      </c>
      <c r="AG472" s="179" t="e">
        <f t="shared" ca="1" si="228"/>
        <v>#N/A</v>
      </c>
      <c r="AH472" s="179" t="e">
        <f t="shared" ca="1" si="228"/>
        <v>#N/A</v>
      </c>
    </row>
    <row r="473" spans="1:34" ht="15.75" customHeight="1">
      <c r="A473" s="449" t="s">
        <v>35</v>
      </c>
      <c r="B473" s="449" t="s">
        <v>428</v>
      </c>
      <c r="C473" s="449" t="s">
        <v>695</v>
      </c>
      <c r="D473" s="193"/>
      <c r="E473" s="193"/>
      <c r="F473" s="193"/>
      <c r="T473" s="179" t="e">
        <f t="shared" ca="1" si="223"/>
        <v>#N/A</v>
      </c>
      <c r="U473" s="179" t="e">
        <f t="shared" ca="1" si="224"/>
        <v>#N/A</v>
      </c>
      <c r="V473" s="179" t="e">
        <f t="shared" ca="1" si="224"/>
        <v>#N/A</v>
      </c>
      <c r="W473" s="179" t="e">
        <f t="shared" ca="1" si="219"/>
        <v>#N/A</v>
      </c>
      <c r="X473" s="179" t="e">
        <f t="shared" ca="1" si="225"/>
        <v>#N/A</v>
      </c>
      <c r="Y473" s="179" t="e">
        <f t="shared" ca="1" si="225"/>
        <v>#N/A</v>
      </c>
      <c r="Z473" s="179" t="e">
        <f t="shared" ca="1" si="220"/>
        <v>#N/A</v>
      </c>
      <c r="AA473" s="179" t="e">
        <f t="shared" ca="1" si="226"/>
        <v>#N/A</v>
      </c>
      <c r="AB473" s="179" t="e">
        <f t="shared" ca="1" si="226"/>
        <v>#N/A</v>
      </c>
      <c r="AC473" s="179" t="e">
        <f t="shared" ca="1" si="221"/>
        <v>#N/A</v>
      </c>
      <c r="AD473" s="179" t="e">
        <f t="shared" ca="1" si="227"/>
        <v>#N/A</v>
      </c>
      <c r="AE473" s="179" t="e">
        <f t="shared" ca="1" si="227"/>
        <v>#N/A</v>
      </c>
      <c r="AF473" s="179" t="e">
        <f t="shared" ca="1" si="222"/>
        <v>#N/A</v>
      </c>
      <c r="AG473" s="179" t="e">
        <f t="shared" ca="1" si="228"/>
        <v>#N/A</v>
      </c>
      <c r="AH473" s="179" t="e">
        <f t="shared" ca="1" si="228"/>
        <v>#N/A</v>
      </c>
    </row>
    <row r="474" spans="1:34" ht="15.75" customHeight="1">
      <c r="A474" s="449" t="s">
        <v>37</v>
      </c>
      <c r="B474" s="449" t="s">
        <v>599</v>
      </c>
      <c r="C474" s="449" t="s">
        <v>677</v>
      </c>
      <c r="D474" s="193"/>
      <c r="E474" s="193"/>
      <c r="F474" s="193"/>
      <c r="T474" s="179" t="e">
        <f t="shared" ca="1" si="223"/>
        <v>#N/A</v>
      </c>
      <c r="U474" s="179" t="e">
        <f t="shared" ca="1" si="224"/>
        <v>#N/A</v>
      </c>
      <c r="V474" s="179" t="e">
        <f t="shared" ca="1" si="224"/>
        <v>#N/A</v>
      </c>
      <c r="W474" s="179" t="e">
        <f t="shared" ca="1" si="219"/>
        <v>#N/A</v>
      </c>
      <c r="X474" s="179" t="e">
        <f t="shared" ca="1" si="225"/>
        <v>#N/A</v>
      </c>
      <c r="Y474" s="179" t="e">
        <f t="shared" ca="1" si="225"/>
        <v>#N/A</v>
      </c>
      <c r="Z474" s="179" t="e">
        <f t="shared" ca="1" si="220"/>
        <v>#N/A</v>
      </c>
      <c r="AA474" s="179" t="e">
        <f t="shared" ca="1" si="226"/>
        <v>#N/A</v>
      </c>
      <c r="AB474" s="179" t="e">
        <f t="shared" ca="1" si="226"/>
        <v>#N/A</v>
      </c>
      <c r="AC474" s="179" t="e">
        <f t="shared" ca="1" si="221"/>
        <v>#N/A</v>
      </c>
      <c r="AD474" s="179" t="e">
        <f t="shared" ca="1" si="227"/>
        <v>#N/A</v>
      </c>
      <c r="AE474" s="179" t="e">
        <f t="shared" ca="1" si="227"/>
        <v>#N/A</v>
      </c>
      <c r="AF474" s="179" t="e">
        <f t="shared" ca="1" si="222"/>
        <v>#N/A</v>
      </c>
      <c r="AG474" s="179" t="e">
        <f t="shared" ca="1" si="228"/>
        <v>#N/A</v>
      </c>
      <c r="AH474" s="179" t="e">
        <f t="shared" ca="1" si="228"/>
        <v>#N/A</v>
      </c>
    </row>
    <row r="475" spans="1:34" ht="15.75" customHeight="1">
      <c r="A475" s="449" t="s">
        <v>35</v>
      </c>
      <c r="B475" s="449" t="s">
        <v>431</v>
      </c>
      <c r="C475" s="449" t="s">
        <v>680</v>
      </c>
      <c r="D475" s="193"/>
      <c r="E475" s="193"/>
      <c r="F475" s="193"/>
      <c r="T475" s="179" t="e">
        <f t="shared" ca="1" si="223"/>
        <v>#N/A</v>
      </c>
      <c r="U475" s="179" t="e">
        <f t="shared" ca="1" si="224"/>
        <v>#N/A</v>
      </c>
      <c r="V475" s="179" t="e">
        <f t="shared" ca="1" si="224"/>
        <v>#N/A</v>
      </c>
      <c r="W475" s="179" t="e">
        <f t="shared" ca="1" si="219"/>
        <v>#N/A</v>
      </c>
      <c r="X475" s="179" t="e">
        <f t="shared" ca="1" si="225"/>
        <v>#N/A</v>
      </c>
      <c r="Y475" s="179" t="e">
        <f t="shared" ca="1" si="225"/>
        <v>#N/A</v>
      </c>
      <c r="Z475" s="179" t="e">
        <f t="shared" ca="1" si="220"/>
        <v>#N/A</v>
      </c>
      <c r="AA475" s="179" t="e">
        <f t="shared" ca="1" si="226"/>
        <v>#N/A</v>
      </c>
      <c r="AB475" s="179" t="e">
        <f t="shared" ca="1" si="226"/>
        <v>#N/A</v>
      </c>
      <c r="AC475" s="179" t="e">
        <f t="shared" ca="1" si="221"/>
        <v>#N/A</v>
      </c>
      <c r="AD475" s="179" t="e">
        <f t="shared" ca="1" si="227"/>
        <v>#N/A</v>
      </c>
      <c r="AE475" s="179" t="e">
        <f t="shared" ca="1" si="227"/>
        <v>#N/A</v>
      </c>
      <c r="AF475" s="179" t="e">
        <f t="shared" ca="1" si="222"/>
        <v>#N/A</v>
      </c>
      <c r="AG475" s="179" t="e">
        <f t="shared" ca="1" si="228"/>
        <v>#N/A</v>
      </c>
      <c r="AH475" s="179" t="e">
        <f t="shared" ca="1" si="228"/>
        <v>#N/A</v>
      </c>
    </row>
    <row r="476" spans="1:34" ht="15.75" customHeight="1">
      <c r="A476" s="449" t="s">
        <v>37</v>
      </c>
      <c r="B476" s="449" t="s">
        <v>1718</v>
      </c>
      <c r="C476" s="449" t="s">
        <v>1674</v>
      </c>
      <c r="D476" s="193"/>
      <c r="E476" s="193"/>
      <c r="F476" s="193"/>
      <c r="T476" s="179" t="e">
        <f t="shared" ca="1" si="223"/>
        <v>#N/A</v>
      </c>
      <c r="U476" s="179" t="e">
        <f t="shared" ca="1" si="224"/>
        <v>#N/A</v>
      </c>
      <c r="V476" s="179" t="e">
        <f t="shared" ca="1" si="224"/>
        <v>#N/A</v>
      </c>
      <c r="W476" s="179" t="e">
        <f t="shared" ca="1" si="219"/>
        <v>#N/A</v>
      </c>
      <c r="X476" s="179" t="e">
        <f t="shared" ca="1" si="225"/>
        <v>#N/A</v>
      </c>
      <c r="Y476" s="179" t="e">
        <f t="shared" ca="1" si="225"/>
        <v>#N/A</v>
      </c>
      <c r="Z476" s="179" t="e">
        <f t="shared" ca="1" si="220"/>
        <v>#N/A</v>
      </c>
      <c r="AA476" s="179" t="e">
        <f t="shared" ca="1" si="226"/>
        <v>#N/A</v>
      </c>
      <c r="AB476" s="179" t="e">
        <f t="shared" ca="1" si="226"/>
        <v>#N/A</v>
      </c>
      <c r="AC476" s="179" t="e">
        <f t="shared" ca="1" si="221"/>
        <v>#N/A</v>
      </c>
      <c r="AD476" s="179" t="e">
        <f t="shared" ca="1" si="227"/>
        <v>#N/A</v>
      </c>
      <c r="AE476" s="179" t="e">
        <f t="shared" ca="1" si="227"/>
        <v>#N/A</v>
      </c>
      <c r="AF476" s="179" t="e">
        <f t="shared" ca="1" si="222"/>
        <v>#N/A</v>
      </c>
      <c r="AG476" s="179" t="e">
        <f t="shared" ca="1" si="228"/>
        <v>#N/A</v>
      </c>
      <c r="AH476" s="179" t="e">
        <f t="shared" ca="1" si="228"/>
        <v>#N/A</v>
      </c>
    </row>
    <row r="477" spans="1:34" ht="15.75" customHeight="1">
      <c r="A477" s="449" t="s">
        <v>39</v>
      </c>
      <c r="B477" s="449" t="s">
        <v>604</v>
      </c>
      <c r="C477" s="449" t="s">
        <v>686</v>
      </c>
      <c r="D477" s="193"/>
      <c r="E477" s="193"/>
      <c r="F477" s="193"/>
      <c r="T477" s="179" t="e">
        <f t="shared" ca="1" si="223"/>
        <v>#N/A</v>
      </c>
      <c r="U477" s="179" t="e">
        <f t="shared" ca="1" si="224"/>
        <v>#N/A</v>
      </c>
      <c r="V477" s="179" t="e">
        <f t="shared" ca="1" si="224"/>
        <v>#N/A</v>
      </c>
      <c r="W477" s="179" t="e">
        <f t="shared" ca="1" si="219"/>
        <v>#N/A</v>
      </c>
      <c r="X477" s="179" t="e">
        <f t="shared" ca="1" si="225"/>
        <v>#N/A</v>
      </c>
      <c r="Y477" s="179" t="e">
        <f t="shared" ca="1" si="225"/>
        <v>#N/A</v>
      </c>
      <c r="Z477" s="179" t="e">
        <f t="shared" ca="1" si="220"/>
        <v>#N/A</v>
      </c>
      <c r="AA477" s="179" t="e">
        <f t="shared" ca="1" si="226"/>
        <v>#N/A</v>
      </c>
      <c r="AB477" s="179" t="e">
        <f t="shared" ca="1" si="226"/>
        <v>#N/A</v>
      </c>
      <c r="AC477" s="179" t="e">
        <f t="shared" ca="1" si="221"/>
        <v>#N/A</v>
      </c>
      <c r="AD477" s="179" t="e">
        <f t="shared" ca="1" si="227"/>
        <v>#N/A</v>
      </c>
      <c r="AE477" s="179" t="e">
        <f t="shared" ca="1" si="227"/>
        <v>#N/A</v>
      </c>
      <c r="AF477" s="179" t="e">
        <f t="shared" ca="1" si="222"/>
        <v>#N/A</v>
      </c>
      <c r="AG477" s="179" t="e">
        <f t="shared" ca="1" si="228"/>
        <v>#N/A</v>
      </c>
      <c r="AH477" s="179" t="e">
        <f t="shared" ca="1" si="228"/>
        <v>#N/A</v>
      </c>
    </row>
    <row r="478" spans="1:34" ht="15.75" customHeight="1">
      <c r="A478" s="449" t="s">
        <v>37</v>
      </c>
      <c r="B478" s="449" t="s">
        <v>601</v>
      </c>
      <c r="C478" s="449" t="s">
        <v>679</v>
      </c>
      <c r="D478" s="193"/>
      <c r="E478" s="193"/>
      <c r="F478" s="193"/>
      <c r="T478" s="179" t="e">
        <f t="shared" ca="1" si="223"/>
        <v>#N/A</v>
      </c>
      <c r="U478" s="179" t="e">
        <f t="shared" ca="1" si="224"/>
        <v>#N/A</v>
      </c>
      <c r="V478" s="179" t="e">
        <f t="shared" ca="1" si="224"/>
        <v>#N/A</v>
      </c>
      <c r="W478" s="179" t="e">
        <f t="shared" ca="1" si="219"/>
        <v>#N/A</v>
      </c>
      <c r="X478" s="179" t="e">
        <f t="shared" ca="1" si="225"/>
        <v>#N/A</v>
      </c>
      <c r="Y478" s="179" t="e">
        <f t="shared" ca="1" si="225"/>
        <v>#N/A</v>
      </c>
      <c r="Z478" s="179" t="e">
        <f t="shared" ca="1" si="220"/>
        <v>#N/A</v>
      </c>
      <c r="AA478" s="179" t="e">
        <f t="shared" ca="1" si="226"/>
        <v>#N/A</v>
      </c>
      <c r="AB478" s="179" t="e">
        <f t="shared" ca="1" si="226"/>
        <v>#N/A</v>
      </c>
      <c r="AC478" s="179" t="e">
        <f t="shared" ca="1" si="221"/>
        <v>#N/A</v>
      </c>
      <c r="AD478" s="179" t="e">
        <f t="shared" ca="1" si="227"/>
        <v>#N/A</v>
      </c>
      <c r="AE478" s="179" t="e">
        <f t="shared" ca="1" si="227"/>
        <v>#N/A</v>
      </c>
      <c r="AF478" s="179" t="e">
        <f t="shared" ca="1" si="222"/>
        <v>#N/A</v>
      </c>
      <c r="AG478" s="179" t="e">
        <f t="shared" ca="1" si="228"/>
        <v>#N/A</v>
      </c>
      <c r="AH478" s="179" t="e">
        <f t="shared" ca="1" si="228"/>
        <v>#N/A</v>
      </c>
    </row>
    <row r="479" spans="1:34" ht="15.75" customHeight="1">
      <c r="A479" s="449" t="s">
        <v>35</v>
      </c>
      <c r="B479" s="449" t="s">
        <v>432</v>
      </c>
      <c r="C479" s="449" t="s">
        <v>692</v>
      </c>
      <c r="D479" s="193"/>
      <c r="E479" s="193"/>
      <c r="F479" s="193"/>
      <c r="T479" s="179" t="e">
        <f t="shared" ca="1" si="223"/>
        <v>#N/A</v>
      </c>
      <c r="U479" s="179" t="e">
        <f t="shared" ca="1" si="224"/>
        <v>#N/A</v>
      </c>
      <c r="V479" s="179" t="e">
        <f t="shared" ca="1" si="224"/>
        <v>#N/A</v>
      </c>
      <c r="W479" s="179" t="e">
        <f t="shared" ca="1" si="219"/>
        <v>#N/A</v>
      </c>
      <c r="X479" s="179" t="e">
        <f t="shared" ca="1" si="225"/>
        <v>#N/A</v>
      </c>
      <c r="Y479" s="179" t="e">
        <f t="shared" ca="1" si="225"/>
        <v>#N/A</v>
      </c>
      <c r="Z479" s="179" t="e">
        <f t="shared" ca="1" si="220"/>
        <v>#N/A</v>
      </c>
      <c r="AA479" s="179" t="e">
        <f t="shared" ca="1" si="226"/>
        <v>#N/A</v>
      </c>
      <c r="AB479" s="179" t="e">
        <f t="shared" ca="1" si="226"/>
        <v>#N/A</v>
      </c>
      <c r="AC479" s="179" t="e">
        <f t="shared" ca="1" si="221"/>
        <v>#N/A</v>
      </c>
      <c r="AD479" s="179" t="e">
        <f t="shared" ca="1" si="227"/>
        <v>#N/A</v>
      </c>
      <c r="AE479" s="179" t="e">
        <f t="shared" ca="1" si="227"/>
        <v>#N/A</v>
      </c>
      <c r="AF479" s="179" t="e">
        <f t="shared" ca="1" si="222"/>
        <v>#N/A</v>
      </c>
      <c r="AG479" s="179" t="e">
        <f t="shared" ca="1" si="228"/>
        <v>#N/A</v>
      </c>
      <c r="AH479" s="179" t="e">
        <f t="shared" ca="1" si="228"/>
        <v>#N/A</v>
      </c>
    </row>
    <row r="480" spans="1:34" ht="15.75" customHeight="1">
      <c r="A480" s="449" t="s">
        <v>43</v>
      </c>
      <c r="B480" s="449" t="s">
        <v>1985</v>
      </c>
      <c r="C480" s="449" t="s">
        <v>680</v>
      </c>
      <c r="D480" s="193"/>
      <c r="E480" s="193"/>
      <c r="F480" s="193"/>
      <c r="T480" s="179" t="e">
        <f t="shared" ca="1" si="223"/>
        <v>#N/A</v>
      </c>
      <c r="U480" s="179" t="e">
        <f t="shared" ca="1" si="224"/>
        <v>#N/A</v>
      </c>
      <c r="V480" s="179" t="e">
        <f t="shared" ca="1" si="224"/>
        <v>#N/A</v>
      </c>
      <c r="W480" s="179" t="e">
        <f t="shared" ca="1" si="219"/>
        <v>#N/A</v>
      </c>
      <c r="X480" s="179" t="e">
        <f t="shared" ca="1" si="225"/>
        <v>#N/A</v>
      </c>
      <c r="Y480" s="179" t="e">
        <f t="shared" ca="1" si="225"/>
        <v>#N/A</v>
      </c>
      <c r="Z480" s="179" t="e">
        <f t="shared" ca="1" si="220"/>
        <v>#N/A</v>
      </c>
      <c r="AA480" s="179" t="e">
        <f t="shared" ca="1" si="226"/>
        <v>#N/A</v>
      </c>
      <c r="AB480" s="179" t="e">
        <f t="shared" ca="1" si="226"/>
        <v>#N/A</v>
      </c>
      <c r="AC480" s="179" t="e">
        <f t="shared" ca="1" si="221"/>
        <v>#N/A</v>
      </c>
      <c r="AD480" s="179" t="e">
        <f t="shared" ca="1" si="227"/>
        <v>#N/A</v>
      </c>
      <c r="AE480" s="179" t="e">
        <f t="shared" ca="1" si="227"/>
        <v>#N/A</v>
      </c>
      <c r="AF480" s="179" t="e">
        <f t="shared" ca="1" si="222"/>
        <v>#N/A</v>
      </c>
      <c r="AG480" s="179" t="e">
        <f t="shared" ca="1" si="228"/>
        <v>#N/A</v>
      </c>
      <c r="AH480" s="179" t="e">
        <f t="shared" ca="1" si="228"/>
        <v>#N/A</v>
      </c>
    </row>
    <row r="481" spans="1:34" ht="15.75" customHeight="1">
      <c r="A481" s="449" t="s">
        <v>39</v>
      </c>
      <c r="B481" s="449" t="s">
        <v>605</v>
      </c>
      <c r="C481" s="449" t="s">
        <v>701</v>
      </c>
      <c r="D481" s="193"/>
      <c r="E481" s="193"/>
      <c r="F481" s="193"/>
      <c r="T481" s="179" t="e">
        <f t="shared" ca="1" si="223"/>
        <v>#N/A</v>
      </c>
      <c r="U481" s="179" t="e">
        <f t="shared" ca="1" si="224"/>
        <v>#N/A</v>
      </c>
      <c r="V481" s="179" t="e">
        <f t="shared" ca="1" si="224"/>
        <v>#N/A</v>
      </c>
      <c r="W481" s="179" t="e">
        <f t="shared" ca="1" si="219"/>
        <v>#N/A</v>
      </c>
      <c r="X481" s="179" t="e">
        <f t="shared" ca="1" si="225"/>
        <v>#N/A</v>
      </c>
      <c r="Y481" s="179" t="e">
        <f t="shared" ca="1" si="225"/>
        <v>#N/A</v>
      </c>
      <c r="Z481" s="179" t="e">
        <f t="shared" ca="1" si="220"/>
        <v>#N/A</v>
      </c>
      <c r="AA481" s="179" t="e">
        <f t="shared" ca="1" si="226"/>
        <v>#N/A</v>
      </c>
      <c r="AB481" s="179" t="e">
        <f t="shared" ca="1" si="226"/>
        <v>#N/A</v>
      </c>
      <c r="AC481" s="179" t="e">
        <f t="shared" ca="1" si="221"/>
        <v>#N/A</v>
      </c>
      <c r="AD481" s="179" t="e">
        <f t="shared" ca="1" si="227"/>
        <v>#N/A</v>
      </c>
      <c r="AE481" s="179" t="e">
        <f t="shared" ca="1" si="227"/>
        <v>#N/A</v>
      </c>
      <c r="AF481" s="179" t="e">
        <f t="shared" ca="1" si="222"/>
        <v>#N/A</v>
      </c>
      <c r="AG481" s="179" t="e">
        <f t="shared" ca="1" si="228"/>
        <v>#N/A</v>
      </c>
      <c r="AH481" s="179" t="e">
        <f t="shared" ca="1" si="228"/>
        <v>#N/A</v>
      </c>
    </row>
    <row r="482" spans="1:34" ht="15.75" customHeight="1">
      <c r="A482" s="449" t="s">
        <v>35</v>
      </c>
      <c r="B482" s="449" t="s">
        <v>434</v>
      </c>
      <c r="C482" s="449" t="s">
        <v>678</v>
      </c>
      <c r="D482" s="193"/>
      <c r="E482" s="193"/>
      <c r="F482" s="193"/>
      <c r="T482" s="179" t="e">
        <f t="shared" ca="1" si="223"/>
        <v>#N/A</v>
      </c>
      <c r="U482" s="179" t="e">
        <f t="shared" ca="1" si="224"/>
        <v>#N/A</v>
      </c>
      <c r="V482" s="179" t="e">
        <f t="shared" ca="1" si="224"/>
        <v>#N/A</v>
      </c>
      <c r="W482" s="179" t="e">
        <f t="shared" ca="1" si="219"/>
        <v>#N/A</v>
      </c>
      <c r="X482" s="179" t="e">
        <f t="shared" ca="1" si="225"/>
        <v>#N/A</v>
      </c>
      <c r="Y482" s="179" t="e">
        <f t="shared" ca="1" si="225"/>
        <v>#N/A</v>
      </c>
      <c r="Z482" s="179" t="e">
        <f t="shared" ca="1" si="220"/>
        <v>#N/A</v>
      </c>
      <c r="AA482" s="179" t="e">
        <f t="shared" ca="1" si="226"/>
        <v>#N/A</v>
      </c>
      <c r="AB482" s="179" t="e">
        <f t="shared" ca="1" si="226"/>
        <v>#N/A</v>
      </c>
      <c r="AC482" s="179" t="e">
        <f t="shared" ca="1" si="221"/>
        <v>#N/A</v>
      </c>
      <c r="AD482" s="179" t="e">
        <f t="shared" ca="1" si="227"/>
        <v>#N/A</v>
      </c>
      <c r="AE482" s="179" t="e">
        <f t="shared" ca="1" si="227"/>
        <v>#N/A</v>
      </c>
      <c r="AF482" s="179" t="e">
        <f t="shared" ca="1" si="222"/>
        <v>#N/A</v>
      </c>
      <c r="AG482" s="179" t="e">
        <f t="shared" ca="1" si="228"/>
        <v>#N/A</v>
      </c>
      <c r="AH482" s="179" t="e">
        <f t="shared" ca="1" si="228"/>
        <v>#N/A</v>
      </c>
    </row>
    <row r="483" spans="1:34" ht="15.75" customHeight="1">
      <c r="A483" s="449" t="s">
        <v>35</v>
      </c>
      <c r="B483" s="449" t="s">
        <v>1444</v>
      </c>
      <c r="C483" s="449" t="s">
        <v>682</v>
      </c>
      <c r="D483" s="193"/>
      <c r="E483" s="193"/>
      <c r="F483" s="193"/>
      <c r="T483" s="179" t="e">
        <f t="shared" ca="1" si="223"/>
        <v>#N/A</v>
      </c>
      <c r="U483" s="179" t="e">
        <f t="shared" ca="1" si="224"/>
        <v>#N/A</v>
      </c>
      <c r="V483" s="179" t="e">
        <f t="shared" ca="1" si="224"/>
        <v>#N/A</v>
      </c>
      <c r="W483" s="179" t="e">
        <f t="shared" ca="1" si="219"/>
        <v>#N/A</v>
      </c>
      <c r="X483" s="179" t="e">
        <f t="shared" ca="1" si="225"/>
        <v>#N/A</v>
      </c>
      <c r="Y483" s="179" t="e">
        <f t="shared" ca="1" si="225"/>
        <v>#N/A</v>
      </c>
      <c r="Z483" s="179" t="e">
        <f t="shared" ca="1" si="220"/>
        <v>#N/A</v>
      </c>
      <c r="AA483" s="179" t="e">
        <f t="shared" ca="1" si="226"/>
        <v>#N/A</v>
      </c>
      <c r="AB483" s="179" t="e">
        <f t="shared" ca="1" si="226"/>
        <v>#N/A</v>
      </c>
      <c r="AC483" s="179" t="e">
        <f t="shared" ca="1" si="221"/>
        <v>#N/A</v>
      </c>
      <c r="AD483" s="179" t="e">
        <f t="shared" ca="1" si="227"/>
        <v>#N/A</v>
      </c>
      <c r="AE483" s="179" t="e">
        <f t="shared" ca="1" si="227"/>
        <v>#N/A</v>
      </c>
      <c r="AF483" s="179" t="e">
        <f t="shared" ca="1" si="222"/>
        <v>#N/A</v>
      </c>
      <c r="AG483" s="179" t="e">
        <f t="shared" ca="1" si="228"/>
        <v>#N/A</v>
      </c>
      <c r="AH483" s="179" t="e">
        <f t="shared" ca="1" si="228"/>
        <v>#N/A</v>
      </c>
    </row>
    <row r="484" spans="1:34" ht="15.75" customHeight="1">
      <c r="A484" s="449" t="s">
        <v>37</v>
      </c>
      <c r="B484" s="449" t="s">
        <v>602</v>
      </c>
      <c r="C484" s="449" t="s">
        <v>688</v>
      </c>
      <c r="D484" s="193"/>
      <c r="E484" s="193"/>
      <c r="F484" s="193"/>
      <c r="T484" s="179" t="e">
        <f t="shared" ca="1" si="223"/>
        <v>#N/A</v>
      </c>
      <c r="U484" s="179" t="e">
        <f t="shared" ca="1" si="224"/>
        <v>#N/A</v>
      </c>
      <c r="V484" s="179" t="e">
        <f t="shared" ca="1" si="224"/>
        <v>#N/A</v>
      </c>
      <c r="W484" s="179" t="e">
        <f t="shared" ca="1" si="219"/>
        <v>#N/A</v>
      </c>
      <c r="X484" s="179" t="e">
        <f t="shared" ca="1" si="225"/>
        <v>#N/A</v>
      </c>
      <c r="Y484" s="179" t="e">
        <f t="shared" ca="1" si="225"/>
        <v>#N/A</v>
      </c>
      <c r="Z484" s="179" t="e">
        <f t="shared" ca="1" si="220"/>
        <v>#N/A</v>
      </c>
      <c r="AA484" s="179" t="e">
        <f t="shared" ca="1" si="226"/>
        <v>#N/A</v>
      </c>
      <c r="AB484" s="179" t="e">
        <f t="shared" ca="1" si="226"/>
        <v>#N/A</v>
      </c>
      <c r="AC484" s="179" t="e">
        <f t="shared" ca="1" si="221"/>
        <v>#N/A</v>
      </c>
      <c r="AD484" s="179" t="e">
        <f t="shared" ca="1" si="227"/>
        <v>#N/A</v>
      </c>
      <c r="AE484" s="179" t="e">
        <f t="shared" ca="1" si="227"/>
        <v>#N/A</v>
      </c>
      <c r="AF484" s="179" t="e">
        <f t="shared" ca="1" si="222"/>
        <v>#N/A</v>
      </c>
      <c r="AG484" s="179" t="e">
        <f t="shared" ca="1" si="228"/>
        <v>#N/A</v>
      </c>
      <c r="AH484" s="179" t="e">
        <f t="shared" ca="1" si="228"/>
        <v>#N/A</v>
      </c>
    </row>
    <row r="485" spans="1:34" ht="15.75" customHeight="1">
      <c r="A485" s="449" t="s">
        <v>39</v>
      </c>
      <c r="B485" s="449" t="s">
        <v>606</v>
      </c>
      <c r="C485" s="449" t="s">
        <v>695</v>
      </c>
      <c r="D485" s="193"/>
      <c r="E485" s="193"/>
      <c r="F485" s="193"/>
      <c r="T485" s="179" t="e">
        <f t="shared" ca="1" si="223"/>
        <v>#N/A</v>
      </c>
      <c r="U485" s="179" t="e">
        <f t="shared" ca="1" si="224"/>
        <v>#N/A</v>
      </c>
      <c r="V485" s="179" t="e">
        <f t="shared" ca="1" si="224"/>
        <v>#N/A</v>
      </c>
      <c r="W485" s="179" t="e">
        <f t="shared" ca="1" si="219"/>
        <v>#N/A</v>
      </c>
      <c r="X485" s="179" t="e">
        <f t="shared" ca="1" si="225"/>
        <v>#N/A</v>
      </c>
      <c r="Y485" s="179" t="e">
        <f t="shared" ca="1" si="225"/>
        <v>#N/A</v>
      </c>
      <c r="Z485" s="179" t="e">
        <f t="shared" ca="1" si="220"/>
        <v>#N/A</v>
      </c>
      <c r="AA485" s="179" t="e">
        <f t="shared" ca="1" si="226"/>
        <v>#N/A</v>
      </c>
      <c r="AB485" s="179" t="e">
        <f t="shared" ca="1" si="226"/>
        <v>#N/A</v>
      </c>
      <c r="AC485" s="179" t="e">
        <f t="shared" ca="1" si="221"/>
        <v>#N/A</v>
      </c>
      <c r="AD485" s="179" t="e">
        <f t="shared" ca="1" si="227"/>
        <v>#N/A</v>
      </c>
      <c r="AE485" s="179" t="e">
        <f t="shared" ca="1" si="227"/>
        <v>#N/A</v>
      </c>
      <c r="AF485" s="179" t="e">
        <f t="shared" ca="1" si="222"/>
        <v>#N/A</v>
      </c>
      <c r="AG485" s="179" t="e">
        <f t="shared" ca="1" si="228"/>
        <v>#N/A</v>
      </c>
      <c r="AH485" s="179" t="e">
        <f t="shared" ca="1" si="228"/>
        <v>#N/A</v>
      </c>
    </row>
    <row r="486" spans="1:34" ht="15.75" customHeight="1">
      <c r="A486" s="449" t="s">
        <v>37</v>
      </c>
      <c r="B486" s="449" t="s">
        <v>1957</v>
      </c>
      <c r="C486" s="449" t="s">
        <v>684</v>
      </c>
      <c r="D486" s="193"/>
      <c r="E486" s="193"/>
      <c r="F486" s="193"/>
      <c r="T486" s="179" t="e">
        <f t="shared" ca="1" si="223"/>
        <v>#N/A</v>
      </c>
      <c r="U486" s="179" t="e">
        <f t="shared" ca="1" si="224"/>
        <v>#N/A</v>
      </c>
      <c r="V486" s="179" t="e">
        <f t="shared" ca="1" si="224"/>
        <v>#N/A</v>
      </c>
      <c r="W486" s="179" t="e">
        <f t="shared" ca="1" si="219"/>
        <v>#N/A</v>
      </c>
      <c r="X486" s="179" t="e">
        <f t="shared" ca="1" si="225"/>
        <v>#N/A</v>
      </c>
      <c r="Y486" s="179" t="e">
        <f t="shared" ca="1" si="225"/>
        <v>#N/A</v>
      </c>
      <c r="Z486" s="179" t="e">
        <f t="shared" ca="1" si="220"/>
        <v>#N/A</v>
      </c>
      <c r="AA486" s="179" t="e">
        <f t="shared" ca="1" si="226"/>
        <v>#N/A</v>
      </c>
      <c r="AB486" s="179" t="e">
        <f t="shared" ca="1" si="226"/>
        <v>#N/A</v>
      </c>
      <c r="AC486" s="179" t="e">
        <f t="shared" ca="1" si="221"/>
        <v>#N/A</v>
      </c>
      <c r="AD486" s="179" t="e">
        <f t="shared" ca="1" si="227"/>
        <v>#N/A</v>
      </c>
      <c r="AE486" s="179" t="e">
        <f t="shared" ca="1" si="227"/>
        <v>#N/A</v>
      </c>
      <c r="AF486" s="179" t="e">
        <f t="shared" ca="1" si="222"/>
        <v>#N/A</v>
      </c>
      <c r="AG486" s="179" t="e">
        <f t="shared" ca="1" si="228"/>
        <v>#N/A</v>
      </c>
      <c r="AH486" s="179" t="e">
        <f t="shared" ca="1" si="228"/>
        <v>#N/A</v>
      </c>
    </row>
    <row r="487" spans="1:34" ht="15.75" customHeight="1">
      <c r="A487" s="449" t="s">
        <v>39</v>
      </c>
      <c r="B487" s="449" t="s">
        <v>608</v>
      </c>
      <c r="C487" s="449" t="s">
        <v>676</v>
      </c>
      <c r="D487" s="193"/>
      <c r="E487" s="193"/>
      <c r="F487" s="193"/>
      <c r="T487" s="179" t="e">
        <f t="shared" ca="1" si="223"/>
        <v>#N/A</v>
      </c>
      <c r="U487" s="179" t="e">
        <f t="shared" ca="1" si="224"/>
        <v>#N/A</v>
      </c>
      <c r="V487" s="179" t="e">
        <f t="shared" ca="1" si="224"/>
        <v>#N/A</v>
      </c>
      <c r="W487" s="179" t="e">
        <f t="shared" ca="1" si="219"/>
        <v>#N/A</v>
      </c>
      <c r="X487" s="179" t="e">
        <f t="shared" ca="1" si="225"/>
        <v>#N/A</v>
      </c>
      <c r="Y487" s="179" t="e">
        <f t="shared" ca="1" si="225"/>
        <v>#N/A</v>
      </c>
      <c r="Z487" s="179" t="e">
        <f t="shared" ca="1" si="220"/>
        <v>#N/A</v>
      </c>
      <c r="AA487" s="179" t="e">
        <f t="shared" ca="1" si="226"/>
        <v>#N/A</v>
      </c>
      <c r="AB487" s="179" t="e">
        <f t="shared" ca="1" si="226"/>
        <v>#N/A</v>
      </c>
      <c r="AC487" s="179" t="e">
        <f t="shared" ca="1" si="221"/>
        <v>#N/A</v>
      </c>
      <c r="AD487" s="179" t="e">
        <f t="shared" ca="1" si="227"/>
        <v>#N/A</v>
      </c>
      <c r="AE487" s="179" t="e">
        <f t="shared" ca="1" si="227"/>
        <v>#N/A</v>
      </c>
      <c r="AF487" s="179" t="e">
        <f t="shared" ca="1" si="222"/>
        <v>#N/A</v>
      </c>
      <c r="AG487" s="179" t="e">
        <f t="shared" ca="1" si="228"/>
        <v>#N/A</v>
      </c>
      <c r="AH487" s="179" t="e">
        <f t="shared" ca="1" si="228"/>
        <v>#N/A</v>
      </c>
    </row>
    <row r="488" spans="1:34" ht="15.75" customHeight="1">
      <c r="A488" s="449" t="s">
        <v>39</v>
      </c>
      <c r="B488" s="449" t="s">
        <v>1771</v>
      </c>
      <c r="C488" s="449" t="s">
        <v>701</v>
      </c>
      <c r="D488" s="193"/>
      <c r="E488" s="193"/>
      <c r="F488" s="193"/>
      <c r="T488" s="179" t="e">
        <f t="shared" ca="1" si="223"/>
        <v>#N/A</v>
      </c>
      <c r="U488" s="179" t="e">
        <f t="shared" ca="1" si="224"/>
        <v>#N/A</v>
      </c>
      <c r="V488" s="179" t="e">
        <f t="shared" ca="1" si="224"/>
        <v>#N/A</v>
      </c>
      <c r="W488" s="179" t="e">
        <f t="shared" ca="1" si="219"/>
        <v>#N/A</v>
      </c>
      <c r="X488" s="179" t="e">
        <f t="shared" ca="1" si="225"/>
        <v>#N/A</v>
      </c>
      <c r="Y488" s="179" t="e">
        <f t="shared" ca="1" si="225"/>
        <v>#N/A</v>
      </c>
      <c r="Z488" s="179" t="e">
        <f t="shared" ca="1" si="220"/>
        <v>#N/A</v>
      </c>
      <c r="AA488" s="179" t="e">
        <f t="shared" ca="1" si="226"/>
        <v>#N/A</v>
      </c>
      <c r="AB488" s="179" t="e">
        <f t="shared" ca="1" si="226"/>
        <v>#N/A</v>
      </c>
      <c r="AC488" s="179" t="e">
        <f t="shared" ca="1" si="221"/>
        <v>#N/A</v>
      </c>
      <c r="AD488" s="179" t="e">
        <f t="shared" ca="1" si="227"/>
        <v>#N/A</v>
      </c>
      <c r="AE488" s="179" t="e">
        <f t="shared" ca="1" si="227"/>
        <v>#N/A</v>
      </c>
      <c r="AF488" s="179" t="e">
        <f t="shared" ca="1" si="222"/>
        <v>#N/A</v>
      </c>
      <c r="AG488" s="179" t="e">
        <f t="shared" ca="1" si="228"/>
        <v>#N/A</v>
      </c>
      <c r="AH488" s="179" t="e">
        <f t="shared" ca="1" si="228"/>
        <v>#N/A</v>
      </c>
    </row>
    <row r="489" spans="1:34" ht="15.75" customHeight="1">
      <c r="A489" s="449" t="s">
        <v>43</v>
      </c>
      <c r="B489" s="449" t="s">
        <v>610</v>
      </c>
      <c r="C489" s="449" t="s">
        <v>678</v>
      </c>
      <c r="D489" s="193"/>
      <c r="E489" s="193"/>
      <c r="F489" s="193"/>
      <c r="T489" s="179" t="e">
        <f t="shared" ca="1" si="223"/>
        <v>#N/A</v>
      </c>
      <c r="U489" s="179" t="e">
        <f t="shared" ref="U489:V508" ca="1" si="229">T489</f>
        <v>#N/A</v>
      </c>
      <c r="V489" s="179" t="e">
        <f t="shared" ca="1" si="229"/>
        <v>#N/A</v>
      </c>
      <c r="W489" s="179" t="e">
        <f t="shared" ca="1" si="219"/>
        <v>#N/A</v>
      </c>
      <c r="X489" s="179" t="e">
        <f t="shared" ref="X489:Y508" ca="1" si="230">W489</f>
        <v>#N/A</v>
      </c>
      <c r="Y489" s="179" t="e">
        <f t="shared" ca="1" si="230"/>
        <v>#N/A</v>
      </c>
      <c r="Z489" s="179" t="e">
        <f t="shared" ca="1" si="220"/>
        <v>#N/A</v>
      </c>
      <c r="AA489" s="179" t="e">
        <f t="shared" ref="AA489:AB508" ca="1" si="231">Z489</f>
        <v>#N/A</v>
      </c>
      <c r="AB489" s="179" t="e">
        <f t="shared" ca="1" si="231"/>
        <v>#N/A</v>
      </c>
      <c r="AC489" s="179" t="e">
        <f t="shared" ca="1" si="221"/>
        <v>#N/A</v>
      </c>
      <c r="AD489" s="179" t="e">
        <f t="shared" ref="AD489:AE508" ca="1" si="232">AC489</f>
        <v>#N/A</v>
      </c>
      <c r="AE489" s="179" t="e">
        <f t="shared" ca="1" si="232"/>
        <v>#N/A</v>
      </c>
      <c r="AF489" s="179" t="e">
        <f t="shared" ca="1" si="222"/>
        <v>#N/A</v>
      </c>
      <c r="AG489" s="179" t="e">
        <f t="shared" ref="AG489:AH508" ca="1" si="233">AF489</f>
        <v>#N/A</v>
      </c>
      <c r="AH489" s="179" t="e">
        <f t="shared" ca="1" si="233"/>
        <v>#N/A</v>
      </c>
    </row>
    <row r="490" spans="1:34" ht="15.75" customHeight="1">
      <c r="A490" s="449" t="s">
        <v>35</v>
      </c>
      <c r="B490" s="449" t="s">
        <v>886</v>
      </c>
      <c r="C490" s="449" t="s">
        <v>676</v>
      </c>
      <c r="D490" s="193"/>
      <c r="E490" s="193"/>
      <c r="F490" s="193"/>
      <c r="T490" s="179" t="e">
        <f t="shared" ca="1" si="223"/>
        <v>#N/A</v>
      </c>
      <c r="U490" s="179" t="e">
        <f t="shared" ca="1" si="229"/>
        <v>#N/A</v>
      </c>
      <c r="V490" s="179" t="e">
        <f t="shared" ca="1" si="229"/>
        <v>#N/A</v>
      </c>
      <c r="W490" s="179" t="e">
        <f t="shared" ca="1" si="219"/>
        <v>#N/A</v>
      </c>
      <c r="X490" s="179" t="e">
        <f t="shared" ca="1" si="230"/>
        <v>#N/A</v>
      </c>
      <c r="Y490" s="179" t="e">
        <f t="shared" ca="1" si="230"/>
        <v>#N/A</v>
      </c>
      <c r="Z490" s="179" t="e">
        <f t="shared" ca="1" si="220"/>
        <v>#N/A</v>
      </c>
      <c r="AA490" s="179" t="e">
        <f t="shared" ca="1" si="231"/>
        <v>#N/A</v>
      </c>
      <c r="AB490" s="179" t="e">
        <f t="shared" ca="1" si="231"/>
        <v>#N/A</v>
      </c>
      <c r="AC490" s="179" t="e">
        <f t="shared" ca="1" si="221"/>
        <v>#N/A</v>
      </c>
      <c r="AD490" s="179" t="e">
        <f t="shared" ca="1" si="232"/>
        <v>#N/A</v>
      </c>
      <c r="AE490" s="179" t="e">
        <f t="shared" ca="1" si="232"/>
        <v>#N/A</v>
      </c>
      <c r="AF490" s="179" t="e">
        <f t="shared" ca="1" si="222"/>
        <v>#N/A</v>
      </c>
      <c r="AG490" s="179" t="e">
        <f t="shared" ca="1" si="233"/>
        <v>#N/A</v>
      </c>
      <c r="AH490" s="179" t="e">
        <f t="shared" ca="1" si="233"/>
        <v>#N/A</v>
      </c>
    </row>
    <row r="491" spans="1:34" ht="15.75" customHeight="1">
      <c r="A491" s="449" t="s">
        <v>43</v>
      </c>
      <c r="B491" s="449" t="s">
        <v>1754</v>
      </c>
      <c r="C491" s="449" t="s">
        <v>679</v>
      </c>
      <c r="D491" s="193"/>
      <c r="E491" s="193"/>
      <c r="F491" s="193"/>
      <c r="T491" s="179" t="e">
        <f t="shared" ca="1" si="223"/>
        <v>#N/A</v>
      </c>
      <c r="U491" s="179" t="e">
        <f t="shared" ca="1" si="229"/>
        <v>#N/A</v>
      </c>
      <c r="V491" s="179" t="e">
        <f t="shared" ca="1" si="229"/>
        <v>#N/A</v>
      </c>
      <c r="W491" s="179" t="e">
        <f t="shared" ca="1" si="219"/>
        <v>#N/A</v>
      </c>
      <c r="X491" s="179" t="e">
        <f t="shared" ca="1" si="230"/>
        <v>#N/A</v>
      </c>
      <c r="Y491" s="179" t="e">
        <f t="shared" ca="1" si="230"/>
        <v>#N/A</v>
      </c>
      <c r="Z491" s="179" t="e">
        <f t="shared" ca="1" si="220"/>
        <v>#N/A</v>
      </c>
      <c r="AA491" s="179" t="e">
        <f t="shared" ca="1" si="231"/>
        <v>#N/A</v>
      </c>
      <c r="AB491" s="179" t="e">
        <f t="shared" ca="1" si="231"/>
        <v>#N/A</v>
      </c>
      <c r="AC491" s="179" t="e">
        <f t="shared" ca="1" si="221"/>
        <v>#N/A</v>
      </c>
      <c r="AD491" s="179" t="e">
        <f t="shared" ca="1" si="232"/>
        <v>#N/A</v>
      </c>
      <c r="AE491" s="179" t="e">
        <f t="shared" ca="1" si="232"/>
        <v>#N/A</v>
      </c>
      <c r="AF491" s="179" t="e">
        <f t="shared" ca="1" si="222"/>
        <v>#N/A</v>
      </c>
      <c r="AG491" s="179" t="e">
        <f t="shared" ca="1" si="233"/>
        <v>#N/A</v>
      </c>
      <c r="AH491" s="179" t="e">
        <f t="shared" ca="1" si="233"/>
        <v>#N/A</v>
      </c>
    </row>
    <row r="492" spans="1:34" ht="15.75" customHeight="1">
      <c r="A492" s="449" t="s">
        <v>39</v>
      </c>
      <c r="B492" s="449" t="s">
        <v>613</v>
      </c>
      <c r="C492" s="449" t="s">
        <v>691</v>
      </c>
      <c r="D492" s="193"/>
      <c r="E492" s="193"/>
      <c r="F492" s="193"/>
      <c r="T492" s="179" t="e">
        <f t="shared" ca="1" si="223"/>
        <v>#N/A</v>
      </c>
      <c r="U492" s="179" t="e">
        <f t="shared" ca="1" si="229"/>
        <v>#N/A</v>
      </c>
      <c r="V492" s="179" t="e">
        <f t="shared" ca="1" si="229"/>
        <v>#N/A</v>
      </c>
      <c r="W492" s="179" t="e">
        <f t="shared" ca="1" si="219"/>
        <v>#N/A</v>
      </c>
      <c r="X492" s="179" t="e">
        <f t="shared" ca="1" si="230"/>
        <v>#N/A</v>
      </c>
      <c r="Y492" s="179" t="e">
        <f t="shared" ca="1" si="230"/>
        <v>#N/A</v>
      </c>
      <c r="Z492" s="179" t="e">
        <f t="shared" ca="1" si="220"/>
        <v>#N/A</v>
      </c>
      <c r="AA492" s="179" t="e">
        <f t="shared" ca="1" si="231"/>
        <v>#N/A</v>
      </c>
      <c r="AB492" s="179" t="e">
        <f t="shared" ca="1" si="231"/>
        <v>#N/A</v>
      </c>
      <c r="AC492" s="179" t="e">
        <f t="shared" ca="1" si="221"/>
        <v>#N/A</v>
      </c>
      <c r="AD492" s="179" t="e">
        <f t="shared" ca="1" si="232"/>
        <v>#N/A</v>
      </c>
      <c r="AE492" s="179" t="e">
        <f t="shared" ca="1" si="232"/>
        <v>#N/A</v>
      </c>
      <c r="AF492" s="179" t="e">
        <f t="shared" ca="1" si="222"/>
        <v>#N/A</v>
      </c>
      <c r="AG492" s="179" t="e">
        <f t="shared" ca="1" si="233"/>
        <v>#N/A</v>
      </c>
      <c r="AH492" s="179" t="e">
        <f t="shared" ca="1" si="233"/>
        <v>#N/A</v>
      </c>
    </row>
    <row r="493" spans="1:34" ht="15.75" customHeight="1">
      <c r="A493" s="449" t="s">
        <v>43</v>
      </c>
      <c r="B493" s="449" t="s">
        <v>514</v>
      </c>
      <c r="C493" s="449" t="s">
        <v>692</v>
      </c>
      <c r="D493" s="193"/>
      <c r="E493" s="193"/>
      <c r="F493" s="193"/>
      <c r="T493" s="179" t="e">
        <f t="shared" ca="1" si="223"/>
        <v>#N/A</v>
      </c>
      <c r="U493" s="179" t="e">
        <f t="shared" ca="1" si="229"/>
        <v>#N/A</v>
      </c>
      <c r="V493" s="179" t="e">
        <f t="shared" ca="1" si="229"/>
        <v>#N/A</v>
      </c>
      <c r="W493" s="179" t="e">
        <f t="shared" ca="1" si="219"/>
        <v>#N/A</v>
      </c>
      <c r="X493" s="179" t="e">
        <f t="shared" ca="1" si="230"/>
        <v>#N/A</v>
      </c>
      <c r="Y493" s="179" t="e">
        <f t="shared" ca="1" si="230"/>
        <v>#N/A</v>
      </c>
      <c r="Z493" s="179" t="e">
        <f t="shared" ca="1" si="220"/>
        <v>#N/A</v>
      </c>
      <c r="AA493" s="179" t="e">
        <f t="shared" ca="1" si="231"/>
        <v>#N/A</v>
      </c>
      <c r="AB493" s="179" t="e">
        <f t="shared" ca="1" si="231"/>
        <v>#N/A</v>
      </c>
      <c r="AC493" s="179" t="e">
        <f t="shared" ca="1" si="221"/>
        <v>#N/A</v>
      </c>
      <c r="AD493" s="179" t="e">
        <f t="shared" ca="1" si="232"/>
        <v>#N/A</v>
      </c>
      <c r="AE493" s="179" t="e">
        <f t="shared" ca="1" si="232"/>
        <v>#N/A</v>
      </c>
      <c r="AF493" s="179" t="e">
        <f t="shared" ca="1" si="222"/>
        <v>#N/A</v>
      </c>
      <c r="AG493" s="179" t="e">
        <f t="shared" ca="1" si="233"/>
        <v>#N/A</v>
      </c>
      <c r="AH493" s="179" t="e">
        <f t="shared" ca="1" si="233"/>
        <v>#N/A</v>
      </c>
    </row>
    <row r="494" spans="1:34" ht="15.75" customHeight="1">
      <c r="A494" s="449" t="s">
        <v>37</v>
      </c>
      <c r="B494" s="449" t="s">
        <v>607</v>
      </c>
      <c r="C494" s="449" t="s">
        <v>686</v>
      </c>
      <c r="D494" s="193"/>
      <c r="E494" s="193"/>
      <c r="F494" s="193"/>
      <c r="T494" s="179" t="e">
        <f t="shared" ca="1" si="223"/>
        <v>#N/A</v>
      </c>
      <c r="U494" s="179" t="e">
        <f t="shared" ca="1" si="229"/>
        <v>#N/A</v>
      </c>
      <c r="V494" s="179" t="e">
        <f t="shared" ca="1" si="229"/>
        <v>#N/A</v>
      </c>
      <c r="W494" s="179" t="e">
        <f t="shared" ca="1" si="219"/>
        <v>#N/A</v>
      </c>
      <c r="X494" s="179" t="e">
        <f t="shared" ca="1" si="230"/>
        <v>#N/A</v>
      </c>
      <c r="Y494" s="179" t="e">
        <f t="shared" ca="1" si="230"/>
        <v>#N/A</v>
      </c>
      <c r="Z494" s="179" t="e">
        <f t="shared" ca="1" si="220"/>
        <v>#N/A</v>
      </c>
      <c r="AA494" s="179" t="e">
        <f t="shared" ca="1" si="231"/>
        <v>#N/A</v>
      </c>
      <c r="AB494" s="179" t="e">
        <f t="shared" ca="1" si="231"/>
        <v>#N/A</v>
      </c>
      <c r="AC494" s="179" t="e">
        <f t="shared" ca="1" si="221"/>
        <v>#N/A</v>
      </c>
      <c r="AD494" s="179" t="e">
        <f t="shared" ca="1" si="232"/>
        <v>#N/A</v>
      </c>
      <c r="AE494" s="179" t="e">
        <f t="shared" ca="1" si="232"/>
        <v>#N/A</v>
      </c>
      <c r="AF494" s="179" t="e">
        <f t="shared" ca="1" si="222"/>
        <v>#N/A</v>
      </c>
      <c r="AG494" s="179" t="e">
        <f t="shared" ca="1" si="233"/>
        <v>#N/A</v>
      </c>
      <c r="AH494" s="179" t="e">
        <f t="shared" ca="1" si="233"/>
        <v>#N/A</v>
      </c>
    </row>
    <row r="495" spans="1:34" ht="15.75" customHeight="1">
      <c r="A495" s="449" t="s">
        <v>37</v>
      </c>
      <c r="B495" s="449" t="s">
        <v>1828</v>
      </c>
      <c r="C495" s="449" t="s">
        <v>688</v>
      </c>
      <c r="D495" s="193"/>
      <c r="E495" s="193"/>
      <c r="F495" s="193"/>
      <c r="T495" s="179" t="e">
        <f t="shared" ca="1" si="223"/>
        <v>#N/A</v>
      </c>
      <c r="U495" s="179" t="e">
        <f t="shared" ca="1" si="229"/>
        <v>#N/A</v>
      </c>
      <c r="V495" s="179" t="e">
        <f t="shared" ca="1" si="229"/>
        <v>#N/A</v>
      </c>
      <c r="W495" s="179" t="e">
        <f t="shared" ca="1" si="219"/>
        <v>#N/A</v>
      </c>
      <c r="X495" s="179" t="e">
        <f t="shared" ca="1" si="230"/>
        <v>#N/A</v>
      </c>
      <c r="Y495" s="179" t="e">
        <f t="shared" ca="1" si="230"/>
        <v>#N/A</v>
      </c>
      <c r="Z495" s="179" t="e">
        <f t="shared" ca="1" si="220"/>
        <v>#N/A</v>
      </c>
      <c r="AA495" s="179" t="e">
        <f t="shared" ca="1" si="231"/>
        <v>#N/A</v>
      </c>
      <c r="AB495" s="179" t="e">
        <f t="shared" ca="1" si="231"/>
        <v>#N/A</v>
      </c>
      <c r="AC495" s="179" t="e">
        <f t="shared" ca="1" si="221"/>
        <v>#N/A</v>
      </c>
      <c r="AD495" s="179" t="e">
        <f t="shared" ca="1" si="232"/>
        <v>#N/A</v>
      </c>
      <c r="AE495" s="179" t="e">
        <f t="shared" ca="1" si="232"/>
        <v>#N/A</v>
      </c>
      <c r="AF495" s="179" t="e">
        <f t="shared" ca="1" si="222"/>
        <v>#N/A</v>
      </c>
      <c r="AG495" s="179" t="e">
        <f t="shared" ca="1" si="233"/>
        <v>#N/A</v>
      </c>
      <c r="AH495" s="179" t="e">
        <f t="shared" ca="1" si="233"/>
        <v>#N/A</v>
      </c>
    </row>
    <row r="496" spans="1:34" ht="15.75" customHeight="1">
      <c r="A496" s="449" t="s">
        <v>37</v>
      </c>
      <c r="B496" s="449" t="s">
        <v>609</v>
      </c>
      <c r="C496" s="449" t="s">
        <v>680</v>
      </c>
      <c r="D496" s="193"/>
      <c r="E496" s="193"/>
      <c r="F496" s="193"/>
      <c r="T496" s="179" t="e">
        <f t="shared" ca="1" si="223"/>
        <v>#N/A</v>
      </c>
      <c r="U496" s="179" t="e">
        <f t="shared" ca="1" si="229"/>
        <v>#N/A</v>
      </c>
      <c r="V496" s="179" t="e">
        <f t="shared" ca="1" si="229"/>
        <v>#N/A</v>
      </c>
      <c r="W496" s="179" t="e">
        <f t="shared" ca="1" si="219"/>
        <v>#N/A</v>
      </c>
      <c r="X496" s="179" t="e">
        <f t="shared" ca="1" si="230"/>
        <v>#N/A</v>
      </c>
      <c r="Y496" s="179" t="e">
        <f t="shared" ca="1" si="230"/>
        <v>#N/A</v>
      </c>
      <c r="Z496" s="179" t="e">
        <f t="shared" ca="1" si="220"/>
        <v>#N/A</v>
      </c>
      <c r="AA496" s="179" t="e">
        <f t="shared" ca="1" si="231"/>
        <v>#N/A</v>
      </c>
      <c r="AB496" s="179" t="e">
        <f t="shared" ca="1" si="231"/>
        <v>#N/A</v>
      </c>
      <c r="AC496" s="179" t="e">
        <f t="shared" ca="1" si="221"/>
        <v>#N/A</v>
      </c>
      <c r="AD496" s="179" t="e">
        <f t="shared" ca="1" si="232"/>
        <v>#N/A</v>
      </c>
      <c r="AE496" s="179" t="e">
        <f t="shared" ca="1" si="232"/>
        <v>#N/A</v>
      </c>
      <c r="AF496" s="179" t="e">
        <f t="shared" ca="1" si="222"/>
        <v>#N/A</v>
      </c>
      <c r="AG496" s="179" t="e">
        <f t="shared" ca="1" si="233"/>
        <v>#N/A</v>
      </c>
      <c r="AH496" s="179" t="e">
        <f t="shared" ca="1" si="233"/>
        <v>#N/A</v>
      </c>
    </row>
    <row r="497" spans="1:34" ht="15.75" customHeight="1">
      <c r="A497" s="449" t="s">
        <v>37</v>
      </c>
      <c r="B497" s="449" t="s">
        <v>611</v>
      </c>
      <c r="C497" s="449" t="s">
        <v>681</v>
      </c>
      <c r="D497" s="193"/>
      <c r="E497" s="193"/>
      <c r="F497" s="193"/>
      <c r="T497" s="179" t="e">
        <f t="shared" ca="1" si="223"/>
        <v>#N/A</v>
      </c>
      <c r="U497" s="179" t="e">
        <f t="shared" ca="1" si="229"/>
        <v>#N/A</v>
      </c>
      <c r="V497" s="179" t="e">
        <f t="shared" ca="1" si="229"/>
        <v>#N/A</v>
      </c>
      <c r="W497" s="179" t="e">
        <f t="shared" ca="1" si="219"/>
        <v>#N/A</v>
      </c>
      <c r="X497" s="179" t="e">
        <f t="shared" ca="1" si="230"/>
        <v>#N/A</v>
      </c>
      <c r="Y497" s="179" t="e">
        <f t="shared" ca="1" si="230"/>
        <v>#N/A</v>
      </c>
      <c r="Z497" s="179" t="e">
        <f t="shared" ca="1" si="220"/>
        <v>#N/A</v>
      </c>
      <c r="AA497" s="179" t="e">
        <f t="shared" ca="1" si="231"/>
        <v>#N/A</v>
      </c>
      <c r="AB497" s="179" t="e">
        <f t="shared" ca="1" si="231"/>
        <v>#N/A</v>
      </c>
      <c r="AC497" s="179" t="e">
        <f t="shared" ca="1" si="221"/>
        <v>#N/A</v>
      </c>
      <c r="AD497" s="179" t="e">
        <f t="shared" ca="1" si="232"/>
        <v>#N/A</v>
      </c>
      <c r="AE497" s="179" t="e">
        <f t="shared" ca="1" si="232"/>
        <v>#N/A</v>
      </c>
      <c r="AF497" s="179" t="e">
        <f t="shared" ca="1" si="222"/>
        <v>#N/A</v>
      </c>
      <c r="AG497" s="179" t="e">
        <f t="shared" ca="1" si="233"/>
        <v>#N/A</v>
      </c>
      <c r="AH497" s="179" t="e">
        <f t="shared" ca="1" si="233"/>
        <v>#N/A</v>
      </c>
    </row>
    <row r="498" spans="1:34" ht="15.75" customHeight="1">
      <c r="A498" s="449" t="s">
        <v>43</v>
      </c>
      <c r="B498" s="449" t="s">
        <v>614</v>
      </c>
      <c r="C498" s="449" t="s">
        <v>701</v>
      </c>
      <c r="D498" s="193"/>
      <c r="E498" s="193"/>
      <c r="F498" s="193"/>
      <c r="T498" s="179" t="e">
        <f t="shared" ca="1" si="223"/>
        <v>#N/A</v>
      </c>
      <c r="U498" s="179" t="e">
        <f t="shared" ca="1" si="229"/>
        <v>#N/A</v>
      </c>
      <c r="V498" s="179" t="e">
        <f t="shared" ca="1" si="229"/>
        <v>#N/A</v>
      </c>
      <c r="W498" s="179" t="e">
        <f t="shared" ca="1" si="219"/>
        <v>#N/A</v>
      </c>
      <c r="X498" s="179" t="e">
        <f t="shared" ca="1" si="230"/>
        <v>#N/A</v>
      </c>
      <c r="Y498" s="179" t="e">
        <f t="shared" ca="1" si="230"/>
        <v>#N/A</v>
      </c>
      <c r="Z498" s="179" t="e">
        <f t="shared" ca="1" si="220"/>
        <v>#N/A</v>
      </c>
      <c r="AA498" s="179" t="e">
        <f t="shared" ca="1" si="231"/>
        <v>#N/A</v>
      </c>
      <c r="AB498" s="179" t="e">
        <f t="shared" ca="1" si="231"/>
        <v>#N/A</v>
      </c>
      <c r="AC498" s="179" t="e">
        <f t="shared" ca="1" si="221"/>
        <v>#N/A</v>
      </c>
      <c r="AD498" s="179" t="e">
        <f t="shared" ca="1" si="232"/>
        <v>#N/A</v>
      </c>
      <c r="AE498" s="179" t="e">
        <f t="shared" ca="1" si="232"/>
        <v>#N/A</v>
      </c>
      <c r="AF498" s="179" t="e">
        <f t="shared" ca="1" si="222"/>
        <v>#N/A</v>
      </c>
      <c r="AG498" s="179" t="e">
        <f t="shared" ca="1" si="233"/>
        <v>#N/A</v>
      </c>
      <c r="AH498" s="179" t="e">
        <f t="shared" ca="1" si="233"/>
        <v>#N/A</v>
      </c>
    </row>
    <row r="499" spans="1:34" ht="15.75" customHeight="1">
      <c r="A499" s="449" t="s">
        <v>37</v>
      </c>
      <c r="B499" s="449" t="s">
        <v>612</v>
      </c>
      <c r="C499" s="449" t="s">
        <v>691</v>
      </c>
      <c r="D499" s="193"/>
      <c r="E499" s="193"/>
      <c r="F499" s="193"/>
      <c r="T499" s="179" t="e">
        <f t="shared" ca="1" si="223"/>
        <v>#N/A</v>
      </c>
      <c r="U499" s="179" t="e">
        <f t="shared" ca="1" si="229"/>
        <v>#N/A</v>
      </c>
      <c r="V499" s="179" t="e">
        <f t="shared" ca="1" si="229"/>
        <v>#N/A</v>
      </c>
      <c r="W499" s="179" t="e">
        <f t="shared" ca="1" si="219"/>
        <v>#N/A</v>
      </c>
      <c r="X499" s="179" t="e">
        <f t="shared" ca="1" si="230"/>
        <v>#N/A</v>
      </c>
      <c r="Y499" s="179" t="e">
        <f t="shared" ca="1" si="230"/>
        <v>#N/A</v>
      </c>
      <c r="Z499" s="179" t="e">
        <f t="shared" ca="1" si="220"/>
        <v>#N/A</v>
      </c>
      <c r="AA499" s="179" t="e">
        <f t="shared" ca="1" si="231"/>
        <v>#N/A</v>
      </c>
      <c r="AB499" s="179" t="e">
        <f t="shared" ca="1" si="231"/>
        <v>#N/A</v>
      </c>
      <c r="AC499" s="179" t="e">
        <f t="shared" ca="1" si="221"/>
        <v>#N/A</v>
      </c>
      <c r="AD499" s="179" t="e">
        <f t="shared" ca="1" si="232"/>
        <v>#N/A</v>
      </c>
      <c r="AE499" s="179" t="e">
        <f t="shared" ca="1" si="232"/>
        <v>#N/A</v>
      </c>
      <c r="AF499" s="179" t="e">
        <f t="shared" ca="1" si="222"/>
        <v>#N/A</v>
      </c>
      <c r="AG499" s="179" t="e">
        <f t="shared" ca="1" si="233"/>
        <v>#N/A</v>
      </c>
      <c r="AH499" s="179" t="e">
        <f t="shared" ca="1" si="233"/>
        <v>#N/A</v>
      </c>
    </row>
    <row r="500" spans="1:34" ht="15.75" customHeight="1">
      <c r="A500" s="449" t="s">
        <v>39</v>
      </c>
      <c r="B500" s="449" t="s">
        <v>616</v>
      </c>
      <c r="C500" s="449" t="s">
        <v>688</v>
      </c>
      <c r="D500" s="193"/>
      <c r="E500" s="193"/>
      <c r="F500" s="193"/>
      <c r="T500" s="179" t="e">
        <f t="shared" ca="1" si="223"/>
        <v>#N/A</v>
      </c>
      <c r="U500" s="179" t="e">
        <f t="shared" ca="1" si="229"/>
        <v>#N/A</v>
      </c>
      <c r="V500" s="179" t="e">
        <f t="shared" ca="1" si="229"/>
        <v>#N/A</v>
      </c>
      <c r="W500" s="179" t="e">
        <f t="shared" ca="1" si="219"/>
        <v>#N/A</v>
      </c>
      <c r="X500" s="179" t="e">
        <f t="shared" ca="1" si="230"/>
        <v>#N/A</v>
      </c>
      <c r="Y500" s="179" t="e">
        <f t="shared" ca="1" si="230"/>
        <v>#N/A</v>
      </c>
      <c r="Z500" s="179" t="e">
        <f t="shared" ca="1" si="220"/>
        <v>#N/A</v>
      </c>
      <c r="AA500" s="179" t="e">
        <f t="shared" ca="1" si="231"/>
        <v>#N/A</v>
      </c>
      <c r="AB500" s="179" t="e">
        <f t="shared" ca="1" si="231"/>
        <v>#N/A</v>
      </c>
      <c r="AC500" s="179" t="e">
        <f t="shared" ca="1" si="221"/>
        <v>#N/A</v>
      </c>
      <c r="AD500" s="179" t="e">
        <f t="shared" ca="1" si="232"/>
        <v>#N/A</v>
      </c>
      <c r="AE500" s="179" t="e">
        <f t="shared" ca="1" si="232"/>
        <v>#N/A</v>
      </c>
      <c r="AF500" s="179" t="e">
        <f t="shared" ca="1" si="222"/>
        <v>#N/A</v>
      </c>
      <c r="AG500" s="179" t="e">
        <f t="shared" ca="1" si="233"/>
        <v>#N/A</v>
      </c>
      <c r="AH500" s="179" t="e">
        <f t="shared" ca="1" si="233"/>
        <v>#N/A</v>
      </c>
    </row>
    <row r="501" spans="1:34" ht="15.75" customHeight="1">
      <c r="A501" s="449" t="s">
        <v>35</v>
      </c>
      <c r="B501" s="449" t="s">
        <v>439</v>
      </c>
      <c r="C501" s="449" t="s">
        <v>688</v>
      </c>
      <c r="D501" s="193"/>
      <c r="E501" s="193"/>
      <c r="F501" s="193"/>
      <c r="T501" s="179" t="e">
        <f t="shared" ca="1" si="223"/>
        <v>#N/A</v>
      </c>
      <c r="U501" s="179" t="e">
        <f t="shared" ca="1" si="229"/>
        <v>#N/A</v>
      </c>
      <c r="V501" s="179" t="e">
        <f t="shared" ca="1" si="229"/>
        <v>#N/A</v>
      </c>
      <c r="W501" s="179" t="e">
        <f t="shared" ca="1" si="219"/>
        <v>#N/A</v>
      </c>
      <c r="X501" s="179" t="e">
        <f t="shared" ca="1" si="230"/>
        <v>#N/A</v>
      </c>
      <c r="Y501" s="179" t="e">
        <f t="shared" ca="1" si="230"/>
        <v>#N/A</v>
      </c>
      <c r="Z501" s="179" t="e">
        <f t="shared" ca="1" si="220"/>
        <v>#N/A</v>
      </c>
      <c r="AA501" s="179" t="e">
        <f t="shared" ca="1" si="231"/>
        <v>#N/A</v>
      </c>
      <c r="AB501" s="179" t="e">
        <f t="shared" ca="1" si="231"/>
        <v>#N/A</v>
      </c>
      <c r="AC501" s="179" t="e">
        <f t="shared" ca="1" si="221"/>
        <v>#N/A</v>
      </c>
      <c r="AD501" s="179" t="e">
        <f t="shared" ca="1" si="232"/>
        <v>#N/A</v>
      </c>
      <c r="AE501" s="179" t="e">
        <f t="shared" ca="1" si="232"/>
        <v>#N/A</v>
      </c>
      <c r="AF501" s="179" t="e">
        <f t="shared" ca="1" si="222"/>
        <v>#N/A</v>
      </c>
      <c r="AG501" s="179" t="e">
        <f t="shared" ca="1" si="233"/>
        <v>#N/A</v>
      </c>
      <c r="AH501" s="179" t="e">
        <f t="shared" ca="1" si="233"/>
        <v>#N/A</v>
      </c>
    </row>
    <row r="502" spans="1:34" ht="15.75" customHeight="1">
      <c r="A502" s="449" t="s">
        <v>43</v>
      </c>
      <c r="B502" s="449" t="s">
        <v>520</v>
      </c>
      <c r="C502" s="449" t="s">
        <v>701</v>
      </c>
      <c r="D502" s="193"/>
      <c r="E502" s="193"/>
      <c r="F502" s="193"/>
      <c r="T502" s="179" t="e">
        <f t="shared" ca="1" si="223"/>
        <v>#N/A</v>
      </c>
      <c r="U502" s="179" t="e">
        <f t="shared" ca="1" si="229"/>
        <v>#N/A</v>
      </c>
      <c r="V502" s="179" t="e">
        <f t="shared" ca="1" si="229"/>
        <v>#N/A</v>
      </c>
      <c r="W502" s="179" t="e">
        <f t="shared" ca="1" si="219"/>
        <v>#N/A</v>
      </c>
      <c r="X502" s="179" t="e">
        <f t="shared" ca="1" si="230"/>
        <v>#N/A</v>
      </c>
      <c r="Y502" s="179" t="e">
        <f t="shared" ca="1" si="230"/>
        <v>#N/A</v>
      </c>
      <c r="Z502" s="179" t="e">
        <f t="shared" ca="1" si="220"/>
        <v>#N/A</v>
      </c>
      <c r="AA502" s="179" t="e">
        <f t="shared" ca="1" si="231"/>
        <v>#N/A</v>
      </c>
      <c r="AB502" s="179" t="e">
        <f t="shared" ca="1" si="231"/>
        <v>#N/A</v>
      </c>
      <c r="AC502" s="179" t="e">
        <f t="shared" ca="1" si="221"/>
        <v>#N/A</v>
      </c>
      <c r="AD502" s="179" t="e">
        <f t="shared" ca="1" si="232"/>
        <v>#N/A</v>
      </c>
      <c r="AE502" s="179" t="e">
        <f t="shared" ca="1" si="232"/>
        <v>#N/A</v>
      </c>
      <c r="AF502" s="179" t="e">
        <f t="shared" ca="1" si="222"/>
        <v>#N/A</v>
      </c>
      <c r="AG502" s="179" t="e">
        <f t="shared" ca="1" si="233"/>
        <v>#N/A</v>
      </c>
      <c r="AH502" s="179" t="e">
        <f t="shared" ca="1" si="233"/>
        <v>#N/A</v>
      </c>
    </row>
    <row r="503" spans="1:34" ht="15.75" customHeight="1">
      <c r="A503" s="449" t="s">
        <v>43</v>
      </c>
      <c r="B503" s="449" t="s">
        <v>1847</v>
      </c>
      <c r="C503" s="449" t="s">
        <v>701</v>
      </c>
      <c r="D503" s="193"/>
      <c r="E503" s="193"/>
      <c r="F503" s="193"/>
      <c r="T503" s="179" t="e">
        <f t="shared" ca="1" si="223"/>
        <v>#N/A</v>
      </c>
      <c r="U503" s="179" t="e">
        <f t="shared" ca="1" si="229"/>
        <v>#N/A</v>
      </c>
      <c r="V503" s="179" t="e">
        <f t="shared" ca="1" si="229"/>
        <v>#N/A</v>
      </c>
      <c r="W503" s="179" t="e">
        <f t="shared" ca="1" si="219"/>
        <v>#N/A</v>
      </c>
      <c r="X503" s="179" t="e">
        <f t="shared" ca="1" si="230"/>
        <v>#N/A</v>
      </c>
      <c r="Y503" s="179" t="e">
        <f t="shared" ca="1" si="230"/>
        <v>#N/A</v>
      </c>
      <c r="Z503" s="179" t="e">
        <f t="shared" ca="1" si="220"/>
        <v>#N/A</v>
      </c>
      <c r="AA503" s="179" t="e">
        <f t="shared" ca="1" si="231"/>
        <v>#N/A</v>
      </c>
      <c r="AB503" s="179" t="e">
        <f t="shared" ca="1" si="231"/>
        <v>#N/A</v>
      </c>
      <c r="AC503" s="179" t="e">
        <f t="shared" ca="1" si="221"/>
        <v>#N/A</v>
      </c>
      <c r="AD503" s="179" t="e">
        <f t="shared" ca="1" si="232"/>
        <v>#N/A</v>
      </c>
      <c r="AE503" s="179" t="e">
        <f t="shared" ca="1" si="232"/>
        <v>#N/A</v>
      </c>
      <c r="AF503" s="179" t="e">
        <f t="shared" ca="1" si="222"/>
        <v>#N/A</v>
      </c>
      <c r="AG503" s="179" t="e">
        <f t="shared" ca="1" si="233"/>
        <v>#N/A</v>
      </c>
      <c r="AH503" s="179" t="e">
        <f t="shared" ca="1" si="233"/>
        <v>#N/A</v>
      </c>
    </row>
    <row r="504" spans="1:34" ht="15.75" customHeight="1">
      <c r="A504" s="449" t="s">
        <v>39</v>
      </c>
      <c r="B504" s="449" t="s">
        <v>1744</v>
      </c>
      <c r="C504" s="449" t="s">
        <v>695</v>
      </c>
      <c r="D504" s="193"/>
      <c r="E504" s="193"/>
      <c r="F504" s="193"/>
      <c r="T504" s="179" t="e">
        <f t="shared" ca="1" si="223"/>
        <v>#N/A</v>
      </c>
      <c r="U504" s="179" t="e">
        <f t="shared" ca="1" si="229"/>
        <v>#N/A</v>
      </c>
      <c r="V504" s="179" t="e">
        <f t="shared" ca="1" si="229"/>
        <v>#N/A</v>
      </c>
      <c r="W504" s="179" t="e">
        <f t="shared" ca="1" si="219"/>
        <v>#N/A</v>
      </c>
      <c r="X504" s="179" t="e">
        <f t="shared" ca="1" si="230"/>
        <v>#N/A</v>
      </c>
      <c r="Y504" s="179" t="e">
        <f t="shared" ca="1" si="230"/>
        <v>#N/A</v>
      </c>
      <c r="Z504" s="179" t="e">
        <f t="shared" ca="1" si="220"/>
        <v>#N/A</v>
      </c>
      <c r="AA504" s="179" t="e">
        <f t="shared" ca="1" si="231"/>
        <v>#N/A</v>
      </c>
      <c r="AB504" s="179" t="e">
        <f t="shared" ca="1" si="231"/>
        <v>#N/A</v>
      </c>
      <c r="AC504" s="179" t="e">
        <f t="shared" ca="1" si="221"/>
        <v>#N/A</v>
      </c>
      <c r="AD504" s="179" t="e">
        <f t="shared" ca="1" si="232"/>
        <v>#N/A</v>
      </c>
      <c r="AE504" s="179" t="e">
        <f t="shared" ca="1" si="232"/>
        <v>#N/A</v>
      </c>
      <c r="AF504" s="179" t="e">
        <f t="shared" ca="1" si="222"/>
        <v>#N/A</v>
      </c>
      <c r="AG504" s="179" t="e">
        <f t="shared" ca="1" si="233"/>
        <v>#N/A</v>
      </c>
      <c r="AH504" s="179" t="e">
        <f t="shared" ca="1" si="233"/>
        <v>#N/A</v>
      </c>
    </row>
    <row r="505" spans="1:34" ht="15.75" customHeight="1">
      <c r="A505" s="449" t="s">
        <v>37</v>
      </c>
      <c r="B505" s="449" t="s">
        <v>1731</v>
      </c>
      <c r="C505" s="449" t="s">
        <v>1477</v>
      </c>
      <c r="D505" s="193"/>
      <c r="E505" s="193"/>
      <c r="F505" s="193"/>
      <c r="T505" s="179" t="e">
        <f t="shared" ca="1" si="223"/>
        <v>#N/A</v>
      </c>
      <c r="U505" s="179" t="e">
        <f t="shared" ca="1" si="229"/>
        <v>#N/A</v>
      </c>
      <c r="V505" s="179" t="e">
        <f t="shared" ca="1" si="229"/>
        <v>#N/A</v>
      </c>
      <c r="W505" s="179" t="e">
        <f t="shared" ca="1" si="219"/>
        <v>#N/A</v>
      </c>
      <c r="X505" s="179" t="e">
        <f t="shared" ca="1" si="230"/>
        <v>#N/A</v>
      </c>
      <c r="Y505" s="179" t="e">
        <f t="shared" ca="1" si="230"/>
        <v>#N/A</v>
      </c>
      <c r="Z505" s="179" t="e">
        <f t="shared" ca="1" si="220"/>
        <v>#N/A</v>
      </c>
      <c r="AA505" s="179" t="e">
        <f t="shared" ca="1" si="231"/>
        <v>#N/A</v>
      </c>
      <c r="AB505" s="179" t="e">
        <f t="shared" ca="1" si="231"/>
        <v>#N/A</v>
      </c>
      <c r="AC505" s="179" t="e">
        <f t="shared" ca="1" si="221"/>
        <v>#N/A</v>
      </c>
      <c r="AD505" s="179" t="e">
        <f t="shared" ca="1" si="232"/>
        <v>#N/A</v>
      </c>
      <c r="AE505" s="179" t="e">
        <f t="shared" ca="1" si="232"/>
        <v>#N/A</v>
      </c>
      <c r="AF505" s="179" t="e">
        <f t="shared" ca="1" si="222"/>
        <v>#N/A</v>
      </c>
      <c r="AG505" s="179" t="e">
        <f t="shared" ca="1" si="233"/>
        <v>#N/A</v>
      </c>
      <c r="AH505" s="179" t="e">
        <f t="shared" ca="1" si="233"/>
        <v>#N/A</v>
      </c>
    </row>
    <row r="506" spans="1:34" ht="15.75" customHeight="1">
      <c r="A506" s="449" t="s">
        <v>39</v>
      </c>
      <c r="B506" s="449" t="s">
        <v>619</v>
      </c>
      <c r="C506" s="449" t="s">
        <v>687</v>
      </c>
      <c r="D506" s="193"/>
      <c r="E506" s="193"/>
      <c r="F506" s="193"/>
      <c r="T506" s="179" t="e">
        <f t="shared" ca="1" si="223"/>
        <v>#N/A</v>
      </c>
      <c r="U506" s="179" t="e">
        <f t="shared" ca="1" si="229"/>
        <v>#N/A</v>
      </c>
      <c r="V506" s="179" t="e">
        <f t="shared" ca="1" si="229"/>
        <v>#N/A</v>
      </c>
      <c r="W506" s="179" t="e">
        <f t="shared" ca="1" si="219"/>
        <v>#N/A</v>
      </c>
      <c r="X506" s="179" t="e">
        <f t="shared" ca="1" si="230"/>
        <v>#N/A</v>
      </c>
      <c r="Y506" s="179" t="e">
        <f t="shared" ca="1" si="230"/>
        <v>#N/A</v>
      </c>
      <c r="Z506" s="179" t="e">
        <f t="shared" ca="1" si="220"/>
        <v>#N/A</v>
      </c>
      <c r="AA506" s="179" t="e">
        <f t="shared" ca="1" si="231"/>
        <v>#N/A</v>
      </c>
      <c r="AB506" s="179" t="e">
        <f t="shared" ca="1" si="231"/>
        <v>#N/A</v>
      </c>
      <c r="AC506" s="179" t="e">
        <f t="shared" ca="1" si="221"/>
        <v>#N/A</v>
      </c>
      <c r="AD506" s="179" t="e">
        <f t="shared" ca="1" si="232"/>
        <v>#N/A</v>
      </c>
      <c r="AE506" s="179" t="e">
        <f t="shared" ca="1" si="232"/>
        <v>#N/A</v>
      </c>
      <c r="AF506" s="179" t="e">
        <f t="shared" ca="1" si="222"/>
        <v>#N/A</v>
      </c>
      <c r="AG506" s="179" t="e">
        <f t="shared" ca="1" si="233"/>
        <v>#N/A</v>
      </c>
      <c r="AH506" s="179" t="e">
        <f t="shared" ca="1" si="233"/>
        <v>#N/A</v>
      </c>
    </row>
    <row r="507" spans="1:34" ht="15.75" customHeight="1">
      <c r="A507" s="449" t="s">
        <v>1943</v>
      </c>
      <c r="B507" s="449" t="s">
        <v>1805</v>
      </c>
      <c r="C507" s="449" t="s">
        <v>691</v>
      </c>
      <c r="D507" s="193"/>
      <c r="E507" s="193"/>
      <c r="F507" s="193"/>
      <c r="T507" s="179" t="e">
        <f t="shared" ca="1" si="223"/>
        <v>#N/A</v>
      </c>
      <c r="U507" s="179" t="e">
        <f t="shared" ca="1" si="229"/>
        <v>#N/A</v>
      </c>
      <c r="V507" s="179" t="e">
        <f t="shared" ca="1" si="229"/>
        <v>#N/A</v>
      </c>
      <c r="W507" s="179" t="e">
        <f t="shared" ca="1" si="219"/>
        <v>#N/A</v>
      </c>
      <c r="X507" s="179" t="e">
        <f t="shared" ca="1" si="230"/>
        <v>#N/A</v>
      </c>
      <c r="Y507" s="179" t="e">
        <f t="shared" ca="1" si="230"/>
        <v>#N/A</v>
      </c>
      <c r="Z507" s="179" t="e">
        <f t="shared" ca="1" si="220"/>
        <v>#N/A</v>
      </c>
      <c r="AA507" s="179" t="e">
        <f t="shared" ca="1" si="231"/>
        <v>#N/A</v>
      </c>
      <c r="AB507" s="179" t="e">
        <f t="shared" ca="1" si="231"/>
        <v>#N/A</v>
      </c>
      <c r="AC507" s="179" t="e">
        <f t="shared" ca="1" si="221"/>
        <v>#N/A</v>
      </c>
      <c r="AD507" s="179" t="e">
        <f t="shared" ca="1" si="232"/>
        <v>#N/A</v>
      </c>
      <c r="AE507" s="179" t="e">
        <f t="shared" ca="1" si="232"/>
        <v>#N/A</v>
      </c>
      <c r="AF507" s="179" t="e">
        <f t="shared" ca="1" si="222"/>
        <v>#N/A</v>
      </c>
      <c r="AG507" s="179" t="e">
        <f t="shared" ca="1" si="233"/>
        <v>#N/A</v>
      </c>
      <c r="AH507" s="179" t="e">
        <f t="shared" ca="1" si="233"/>
        <v>#N/A</v>
      </c>
    </row>
    <row r="508" spans="1:34" ht="15.75" customHeight="1">
      <c r="A508" s="449" t="s">
        <v>39</v>
      </c>
      <c r="B508" s="449" t="s">
        <v>1757</v>
      </c>
      <c r="C508" s="449" t="s">
        <v>1674</v>
      </c>
      <c r="D508" s="193"/>
      <c r="E508" s="193"/>
      <c r="F508" s="193"/>
      <c r="T508" s="179" t="e">
        <f t="shared" ca="1" si="223"/>
        <v>#N/A</v>
      </c>
      <c r="U508" s="179" t="e">
        <f t="shared" ca="1" si="229"/>
        <v>#N/A</v>
      </c>
      <c r="V508" s="179" t="e">
        <f t="shared" ca="1" si="229"/>
        <v>#N/A</v>
      </c>
      <c r="W508" s="179" t="e">
        <f t="shared" ca="1" si="219"/>
        <v>#N/A</v>
      </c>
      <c r="X508" s="179" t="e">
        <f t="shared" ca="1" si="230"/>
        <v>#N/A</v>
      </c>
      <c r="Y508" s="179" t="e">
        <f t="shared" ca="1" si="230"/>
        <v>#N/A</v>
      </c>
      <c r="Z508" s="179" t="e">
        <f t="shared" ca="1" si="220"/>
        <v>#N/A</v>
      </c>
      <c r="AA508" s="179" t="e">
        <f t="shared" ca="1" si="231"/>
        <v>#N/A</v>
      </c>
      <c r="AB508" s="179" t="e">
        <f t="shared" ca="1" si="231"/>
        <v>#N/A</v>
      </c>
      <c r="AC508" s="179" t="e">
        <f t="shared" ca="1" si="221"/>
        <v>#N/A</v>
      </c>
      <c r="AD508" s="179" t="e">
        <f t="shared" ca="1" si="232"/>
        <v>#N/A</v>
      </c>
      <c r="AE508" s="179" t="e">
        <f t="shared" ca="1" si="232"/>
        <v>#N/A</v>
      </c>
      <c r="AF508" s="179" t="e">
        <f t="shared" ca="1" si="222"/>
        <v>#N/A</v>
      </c>
      <c r="AG508" s="179" t="e">
        <f t="shared" ca="1" si="233"/>
        <v>#N/A</v>
      </c>
      <c r="AH508" s="179" t="e">
        <f t="shared" ca="1" si="233"/>
        <v>#N/A</v>
      </c>
    </row>
    <row r="509" spans="1:34" ht="15.75" customHeight="1">
      <c r="A509" s="449" t="s">
        <v>37</v>
      </c>
      <c r="B509" s="449" t="s">
        <v>1962</v>
      </c>
      <c r="C509" s="449" t="s">
        <v>700</v>
      </c>
      <c r="D509" s="193"/>
      <c r="E509" s="193"/>
      <c r="F509" s="193"/>
      <c r="T509" s="179" t="e">
        <f t="shared" ca="1" si="223"/>
        <v>#N/A</v>
      </c>
      <c r="U509" s="179" t="e">
        <f t="shared" ref="U509:V528" ca="1" si="234">T509</f>
        <v>#N/A</v>
      </c>
      <c r="V509" s="179" t="e">
        <f t="shared" ca="1" si="234"/>
        <v>#N/A</v>
      </c>
      <c r="W509" s="179" t="e">
        <f t="shared" ca="1" si="219"/>
        <v>#N/A</v>
      </c>
      <c r="X509" s="179" t="e">
        <f t="shared" ref="X509:Y528" ca="1" si="235">W509</f>
        <v>#N/A</v>
      </c>
      <c r="Y509" s="179" t="e">
        <f t="shared" ca="1" si="235"/>
        <v>#N/A</v>
      </c>
      <c r="Z509" s="179" t="e">
        <f t="shared" ca="1" si="220"/>
        <v>#N/A</v>
      </c>
      <c r="AA509" s="179" t="e">
        <f t="shared" ref="AA509:AB528" ca="1" si="236">Z509</f>
        <v>#N/A</v>
      </c>
      <c r="AB509" s="179" t="e">
        <f t="shared" ca="1" si="236"/>
        <v>#N/A</v>
      </c>
      <c r="AC509" s="179" t="e">
        <f t="shared" ca="1" si="221"/>
        <v>#N/A</v>
      </c>
      <c r="AD509" s="179" t="e">
        <f t="shared" ref="AD509:AE528" ca="1" si="237">AC509</f>
        <v>#N/A</v>
      </c>
      <c r="AE509" s="179" t="e">
        <f t="shared" ca="1" si="237"/>
        <v>#N/A</v>
      </c>
      <c r="AF509" s="179" t="e">
        <f t="shared" ca="1" si="222"/>
        <v>#N/A</v>
      </c>
      <c r="AG509" s="179" t="e">
        <f t="shared" ref="AG509:AH528" ca="1" si="238">AF509</f>
        <v>#N/A</v>
      </c>
      <c r="AH509" s="179" t="e">
        <f t="shared" ca="1" si="238"/>
        <v>#N/A</v>
      </c>
    </row>
    <row r="510" spans="1:34" ht="15.75" customHeight="1">
      <c r="A510" s="449" t="s">
        <v>37</v>
      </c>
      <c r="B510" s="449" t="s">
        <v>1830</v>
      </c>
      <c r="C510" s="449" t="s">
        <v>677</v>
      </c>
      <c r="D510" s="193"/>
      <c r="E510" s="193"/>
      <c r="F510" s="193"/>
      <c r="T510" s="179" t="e">
        <f t="shared" ca="1" si="223"/>
        <v>#N/A</v>
      </c>
      <c r="U510" s="179" t="e">
        <f t="shared" ca="1" si="234"/>
        <v>#N/A</v>
      </c>
      <c r="V510" s="179" t="e">
        <f t="shared" ca="1" si="234"/>
        <v>#N/A</v>
      </c>
      <c r="W510" s="179" t="e">
        <f t="shared" ca="1" si="219"/>
        <v>#N/A</v>
      </c>
      <c r="X510" s="179" t="e">
        <f t="shared" ca="1" si="235"/>
        <v>#N/A</v>
      </c>
      <c r="Y510" s="179" t="e">
        <f t="shared" ca="1" si="235"/>
        <v>#N/A</v>
      </c>
      <c r="Z510" s="179" t="e">
        <f t="shared" ca="1" si="220"/>
        <v>#N/A</v>
      </c>
      <c r="AA510" s="179" t="e">
        <f t="shared" ca="1" si="236"/>
        <v>#N/A</v>
      </c>
      <c r="AB510" s="179" t="e">
        <f t="shared" ca="1" si="236"/>
        <v>#N/A</v>
      </c>
      <c r="AC510" s="179" t="e">
        <f t="shared" ca="1" si="221"/>
        <v>#N/A</v>
      </c>
      <c r="AD510" s="179" t="e">
        <f t="shared" ca="1" si="237"/>
        <v>#N/A</v>
      </c>
      <c r="AE510" s="179" t="e">
        <f t="shared" ca="1" si="237"/>
        <v>#N/A</v>
      </c>
      <c r="AF510" s="179" t="e">
        <f t="shared" ca="1" si="222"/>
        <v>#N/A</v>
      </c>
      <c r="AG510" s="179" t="e">
        <f t="shared" ca="1" si="238"/>
        <v>#N/A</v>
      </c>
      <c r="AH510" s="179" t="e">
        <f t="shared" ca="1" si="238"/>
        <v>#N/A</v>
      </c>
    </row>
    <row r="511" spans="1:34" ht="15.75" customHeight="1">
      <c r="A511" s="449" t="s">
        <v>35</v>
      </c>
      <c r="B511" s="449" t="s">
        <v>442</v>
      </c>
      <c r="C511" s="449" t="s">
        <v>682</v>
      </c>
      <c r="D511" s="193"/>
      <c r="E511" s="193"/>
      <c r="F511" s="193"/>
      <c r="T511" s="179" t="e">
        <f t="shared" ca="1" si="223"/>
        <v>#N/A</v>
      </c>
      <c r="U511" s="179" t="e">
        <f t="shared" ca="1" si="234"/>
        <v>#N/A</v>
      </c>
      <c r="V511" s="179" t="e">
        <f t="shared" ca="1" si="234"/>
        <v>#N/A</v>
      </c>
      <c r="W511" s="179" t="e">
        <f t="shared" ca="1" si="219"/>
        <v>#N/A</v>
      </c>
      <c r="X511" s="179" t="e">
        <f t="shared" ca="1" si="235"/>
        <v>#N/A</v>
      </c>
      <c r="Y511" s="179" t="e">
        <f t="shared" ca="1" si="235"/>
        <v>#N/A</v>
      </c>
      <c r="Z511" s="179" t="e">
        <f t="shared" ca="1" si="220"/>
        <v>#N/A</v>
      </c>
      <c r="AA511" s="179" t="e">
        <f t="shared" ca="1" si="236"/>
        <v>#N/A</v>
      </c>
      <c r="AB511" s="179" t="e">
        <f t="shared" ca="1" si="236"/>
        <v>#N/A</v>
      </c>
      <c r="AC511" s="179" t="e">
        <f t="shared" ca="1" si="221"/>
        <v>#N/A</v>
      </c>
      <c r="AD511" s="179" t="e">
        <f t="shared" ca="1" si="237"/>
        <v>#N/A</v>
      </c>
      <c r="AE511" s="179" t="e">
        <f t="shared" ca="1" si="237"/>
        <v>#N/A</v>
      </c>
      <c r="AF511" s="179" t="e">
        <f t="shared" ca="1" si="222"/>
        <v>#N/A</v>
      </c>
      <c r="AG511" s="179" t="e">
        <f t="shared" ca="1" si="238"/>
        <v>#N/A</v>
      </c>
      <c r="AH511" s="179" t="e">
        <f t="shared" ca="1" si="238"/>
        <v>#N/A</v>
      </c>
    </row>
    <row r="512" spans="1:34" ht="15.75" customHeight="1">
      <c r="A512" s="449" t="s">
        <v>39</v>
      </c>
      <c r="B512" s="449" t="s">
        <v>620</v>
      </c>
      <c r="C512" s="449" t="s">
        <v>677</v>
      </c>
      <c r="D512" s="193"/>
      <c r="E512" s="193"/>
      <c r="F512" s="193"/>
      <c r="T512" s="179" t="e">
        <f t="shared" ca="1" si="223"/>
        <v>#N/A</v>
      </c>
      <c r="U512" s="179" t="e">
        <f t="shared" ca="1" si="234"/>
        <v>#N/A</v>
      </c>
      <c r="V512" s="179" t="e">
        <f t="shared" ca="1" si="234"/>
        <v>#N/A</v>
      </c>
      <c r="W512" s="179" t="e">
        <f t="shared" ca="1" si="219"/>
        <v>#N/A</v>
      </c>
      <c r="X512" s="179" t="e">
        <f t="shared" ca="1" si="235"/>
        <v>#N/A</v>
      </c>
      <c r="Y512" s="179" t="e">
        <f t="shared" ca="1" si="235"/>
        <v>#N/A</v>
      </c>
      <c r="Z512" s="179" t="e">
        <f t="shared" ca="1" si="220"/>
        <v>#N/A</v>
      </c>
      <c r="AA512" s="179" t="e">
        <f t="shared" ca="1" si="236"/>
        <v>#N/A</v>
      </c>
      <c r="AB512" s="179" t="e">
        <f t="shared" ca="1" si="236"/>
        <v>#N/A</v>
      </c>
      <c r="AC512" s="179" t="e">
        <f t="shared" ca="1" si="221"/>
        <v>#N/A</v>
      </c>
      <c r="AD512" s="179" t="e">
        <f t="shared" ca="1" si="237"/>
        <v>#N/A</v>
      </c>
      <c r="AE512" s="179" t="e">
        <f t="shared" ca="1" si="237"/>
        <v>#N/A</v>
      </c>
      <c r="AF512" s="179" t="e">
        <f t="shared" ca="1" si="222"/>
        <v>#N/A</v>
      </c>
      <c r="AG512" s="179" t="e">
        <f t="shared" ca="1" si="238"/>
        <v>#N/A</v>
      </c>
      <c r="AH512" s="179" t="e">
        <f t="shared" ca="1" si="238"/>
        <v>#N/A</v>
      </c>
    </row>
    <row r="513" spans="1:34" ht="15.75" customHeight="1">
      <c r="A513" s="449" t="s">
        <v>37</v>
      </c>
      <c r="B513" s="449" t="s">
        <v>1705</v>
      </c>
      <c r="C513" s="449" t="s">
        <v>1672</v>
      </c>
      <c r="D513" s="193"/>
      <c r="E513" s="193"/>
      <c r="F513" s="193"/>
      <c r="T513" s="179" t="e">
        <f t="shared" ca="1" si="223"/>
        <v>#N/A</v>
      </c>
      <c r="U513" s="179" t="e">
        <f t="shared" ca="1" si="234"/>
        <v>#N/A</v>
      </c>
      <c r="V513" s="179" t="e">
        <f t="shared" ca="1" si="234"/>
        <v>#N/A</v>
      </c>
      <c r="W513" s="179" t="e">
        <f t="shared" ca="1" si="219"/>
        <v>#N/A</v>
      </c>
      <c r="X513" s="179" t="e">
        <f t="shared" ca="1" si="235"/>
        <v>#N/A</v>
      </c>
      <c r="Y513" s="179" t="e">
        <f t="shared" ca="1" si="235"/>
        <v>#N/A</v>
      </c>
      <c r="Z513" s="179" t="e">
        <f t="shared" ca="1" si="220"/>
        <v>#N/A</v>
      </c>
      <c r="AA513" s="179" t="e">
        <f t="shared" ca="1" si="236"/>
        <v>#N/A</v>
      </c>
      <c r="AB513" s="179" t="e">
        <f t="shared" ca="1" si="236"/>
        <v>#N/A</v>
      </c>
      <c r="AC513" s="179" t="e">
        <f t="shared" ca="1" si="221"/>
        <v>#N/A</v>
      </c>
      <c r="AD513" s="179" t="e">
        <f t="shared" ca="1" si="237"/>
        <v>#N/A</v>
      </c>
      <c r="AE513" s="179" t="e">
        <f t="shared" ca="1" si="237"/>
        <v>#N/A</v>
      </c>
      <c r="AF513" s="179" t="e">
        <f t="shared" ca="1" si="222"/>
        <v>#N/A</v>
      </c>
      <c r="AG513" s="179" t="e">
        <f t="shared" ca="1" si="238"/>
        <v>#N/A</v>
      </c>
      <c r="AH513" s="179" t="e">
        <f t="shared" ca="1" si="238"/>
        <v>#N/A</v>
      </c>
    </row>
    <row r="514" spans="1:34" ht="15.75" customHeight="1">
      <c r="A514" s="449" t="s">
        <v>43</v>
      </c>
      <c r="B514" s="449" t="s">
        <v>1793</v>
      </c>
      <c r="C514" s="449" t="s">
        <v>1674</v>
      </c>
      <c r="D514" s="193"/>
      <c r="E514" s="193"/>
      <c r="F514" s="193"/>
      <c r="T514" s="179" t="e">
        <f t="shared" ca="1" si="223"/>
        <v>#N/A</v>
      </c>
      <c r="U514" s="179" t="e">
        <f t="shared" ca="1" si="234"/>
        <v>#N/A</v>
      </c>
      <c r="V514" s="179" t="e">
        <f t="shared" ca="1" si="234"/>
        <v>#N/A</v>
      </c>
      <c r="W514" s="179" t="e">
        <f t="shared" ca="1" si="219"/>
        <v>#N/A</v>
      </c>
      <c r="X514" s="179" t="e">
        <f t="shared" ca="1" si="235"/>
        <v>#N/A</v>
      </c>
      <c r="Y514" s="179" t="e">
        <f t="shared" ca="1" si="235"/>
        <v>#N/A</v>
      </c>
      <c r="Z514" s="179" t="e">
        <f t="shared" ca="1" si="220"/>
        <v>#N/A</v>
      </c>
      <c r="AA514" s="179" t="e">
        <f t="shared" ca="1" si="236"/>
        <v>#N/A</v>
      </c>
      <c r="AB514" s="179" t="e">
        <f t="shared" ca="1" si="236"/>
        <v>#N/A</v>
      </c>
      <c r="AC514" s="179" t="e">
        <f t="shared" ca="1" si="221"/>
        <v>#N/A</v>
      </c>
      <c r="AD514" s="179" t="e">
        <f t="shared" ca="1" si="237"/>
        <v>#N/A</v>
      </c>
      <c r="AE514" s="179" t="e">
        <f t="shared" ca="1" si="237"/>
        <v>#N/A</v>
      </c>
      <c r="AF514" s="179" t="e">
        <f t="shared" ca="1" si="222"/>
        <v>#N/A</v>
      </c>
      <c r="AG514" s="179" t="e">
        <f t="shared" ca="1" si="238"/>
        <v>#N/A</v>
      </c>
      <c r="AH514" s="179" t="e">
        <f t="shared" ca="1" si="238"/>
        <v>#N/A</v>
      </c>
    </row>
    <row r="515" spans="1:34" ht="15.75" customHeight="1">
      <c r="A515" s="449" t="s">
        <v>43</v>
      </c>
      <c r="B515" s="449" t="s">
        <v>621</v>
      </c>
      <c r="C515" s="449" t="s">
        <v>691</v>
      </c>
      <c r="D515" s="193"/>
      <c r="E515" s="193"/>
      <c r="F515" s="193"/>
      <c r="T515" s="179" t="e">
        <f t="shared" ca="1" si="223"/>
        <v>#N/A</v>
      </c>
      <c r="U515" s="179" t="e">
        <f t="shared" ca="1" si="234"/>
        <v>#N/A</v>
      </c>
      <c r="V515" s="179" t="e">
        <f t="shared" ca="1" si="234"/>
        <v>#N/A</v>
      </c>
      <c r="W515" s="179" t="e">
        <f t="shared" ca="1" si="219"/>
        <v>#N/A</v>
      </c>
      <c r="X515" s="179" t="e">
        <f t="shared" ca="1" si="235"/>
        <v>#N/A</v>
      </c>
      <c r="Y515" s="179" t="e">
        <f t="shared" ca="1" si="235"/>
        <v>#N/A</v>
      </c>
      <c r="Z515" s="179" t="e">
        <f t="shared" ca="1" si="220"/>
        <v>#N/A</v>
      </c>
      <c r="AA515" s="179" t="e">
        <f t="shared" ca="1" si="236"/>
        <v>#N/A</v>
      </c>
      <c r="AB515" s="179" t="e">
        <f t="shared" ca="1" si="236"/>
        <v>#N/A</v>
      </c>
      <c r="AC515" s="179" t="e">
        <f t="shared" ca="1" si="221"/>
        <v>#N/A</v>
      </c>
      <c r="AD515" s="179" t="e">
        <f t="shared" ca="1" si="237"/>
        <v>#N/A</v>
      </c>
      <c r="AE515" s="179" t="e">
        <f t="shared" ca="1" si="237"/>
        <v>#N/A</v>
      </c>
      <c r="AF515" s="179" t="e">
        <f t="shared" ca="1" si="222"/>
        <v>#N/A</v>
      </c>
      <c r="AG515" s="179" t="e">
        <f t="shared" ca="1" si="238"/>
        <v>#N/A</v>
      </c>
      <c r="AH515" s="179" t="e">
        <f t="shared" ca="1" si="238"/>
        <v>#N/A</v>
      </c>
    </row>
    <row r="516" spans="1:34" ht="15.75" customHeight="1">
      <c r="A516" s="449" t="s">
        <v>39</v>
      </c>
      <c r="B516" s="449" t="s">
        <v>1737</v>
      </c>
      <c r="C516" s="449" t="s">
        <v>692</v>
      </c>
      <c r="D516" s="193"/>
      <c r="E516" s="193"/>
      <c r="F516" s="193"/>
      <c r="T516" s="179" t="e">
        <f t="shared" ca="1" si="223"/>
        <v>#N/A</v>
      </c>
      <c r="U516" s="179" t="e">
        <f t="shared" ca="1" si="234"/>
        <v>#N/A</v>
      </c>
      <c r="V516" s="179" t="e">
        <f t="shared" ca="1" si="234"/>
        <v>#N/A</v>
      </c>
      <c r="W516" s="179" t="e">
        <f t="shared" ca="1" si="219"/>
        <v>#N/A</v>
      </c>
      <c r="X516" s="179" t="e">
        <f t="shared" ca="1" si="235"/>
        <v>#N/A</v>
      </c>
      <c r="Y516" s="179" t="e">
        <f t="shared" ca="1" si="235"/>
        <v>#N/A</v>
      </c>
      <c r="Z516" s="179" t="e">
        <f t="shared" ca="1" si="220"/>
        <v>#N/A</v>
      </c>
      <c r="AA516" s="179" t="e">
        <f t="shared" ca="1" si="236"/>
        <v>#N/A</v>
      </c>
      <c r="AB516" s="179" t="e">
        <f t="shared" ca="1" si="236"/>
        <v>#N/A</v>
      </c>
      <c r="AC516" s="179" t="e">
        <f t="shared" ca="1" si="221"/>
        <v>#N/A</v>
      </c>
      <c r="AD516" s="179" t="e">
        <f t="shared" ca="1" si="237"/>
        <v>#N/A</v>
      </c>
      <c r="AE516" s="179" t="e">
        <f t="shared" ca="1" si="237"/>
        <v>#N/A</v>
      </c>
      <c r="AF516" s="179" t="e">
        <f t="shared" ca="1" si="222"/>
        <v>#N/A</v>
      </c>
      <c r="AG516" s="179" t="e">
        <f t="shared" ca="1" si="238"/>
        <v>#N/A</v>
      </c>
      <c r="AH516" s="179" t="e">
        <f t="shared" ca="1" si="238"/>
        <v>#N/A</v>
      </c>
    </row>
    <row r="517" spans="1:34" ht="15.75" customHeight="1">
      <c r="A517" s="449" t="s">
        <v>39</v>
      </c>
      <c r="B517" s="449" t="s">
        <v>622</v>
      </c>
      <c r="C517" s="449" t="s">
        <v>688</v>
      </c>
      <c r="D517" s="193"/>
      <c r="E517" s="193"/>
      <c r="F517" s="193"/>
      <c r="T517" s="179" t="e">
        <f t="shared" ca="1" si="223"/>
        <v>#N/A</v>
      </c>
      <c r="U517" s="179" t="e">
        <f t="shared" ca="1" si="234"/>
        <v>#N/A</v>
      </c>
      <c r="V517" s="179" t="e">
        <f t="shared" ca="1" si="234"/>
        <v>#N/A</v>
      </c>
      <c r="W517" s="179" t="e">
        <f t="shared" ca="1" si="219"/>
        <v>#N/A</v>
      </c>
      <c r="X517" s="179" t="e">
        <f t="shared" ca="1" si="235"/>
        <v>#N/A</v>
      </c>
      <c r="Y517" s="179" t="e">
        <f t="shared" ca="1" si="235"/>
        <v>#N/A</v>
      </c>
      <c r="Z517" s="179" t="e">
        <f t="shared" ca="1" si="220"/>
        <v>#N/A</v>
      </c>
      <c r="AA517" s="179" t="e">
        <f t="shared" ca="1" si="236"/>
        <v>#N/A</v>
      </c>
      <c r="AB517" s="179" t="e">
        <f t="shared" ca="1" si="236"/>
        <v>#N/A</v>
      </c>
      <c r="AC517" s="179" t="e">
        <f t="shared" ca="1" si="221"/>
        <v>#N/A</v>
      </c>
      <c r="AD517" s="179" t="e">
        <f t="shared" ca="1" si="237"/>
        <v>#N/A</v>
      </c>
      <c r="AE517" s="179" t="e">
        <f t="shared" ca="1" si="237"/>
        <v>#N/A</v>
      </c>
      <c r="AF517" s="179" t="e">
        <f t="shared" ca="1" si="222"/>
        <v>#N/A</v>
      </c>
      <c r="AG517" s="179" t="e">
        <f t="shared" ca="1" si="238"/>
        <v>#N/A</v>
      </c>
      <c r="AH517" s="179" t="e">
        <f t="shared" ca="1" si="238"/>
        <v>#N/A</v>
      </c>
    </row>
    <row r="518" spans="1:34" ht="15.75" customHeight="1">
      <c r="A518" s="449" t="s">
        <v>37</v>
      </c>
      <c r="B518" s="449" t="s">
        <v>1721</v>
      </c>
      <c r="C518" s="449" t="s">
        <v>1477</v>
      </c>
      <c r="D518" s="193"/>
      <c r="E518" s="193"/>
      <c r="F518" s="193"/>
      <c r="T518" s="179" t="e">
        <f t="shared" ca="1" si="223"/>
        <v>#N/A</v>
      </c>
      <c r="U518" s="179" t="e">
        <f t="shared" ca="1" si="234"/>
        <v>#N/A</v>
      </c>
      <c r="V518" s="179" t="e">
        <f t="shared" ca="1" si="234"/>
        <v>#N/A</v>
      </c>
      <c r="W518" s="179" t="e">
        <f t="shared" ca="1" si="219"/>
        <v>#N/A</v>
      </c>
      <c r="X518" s="179" t="e">
        <f t="shared" ca="1" si="235"/>
        <v>#N/A</v>
      </c>
      <c r="Y518" s="179" t="e">
        <f t="shared" ca="1" si="235"/>
        <v>#N/A</v>
      </c>
      <c r="Z518" s="179" t="e">
        <f t="shared" ca="1" si="220"/>
        <v>#N/A</v>
      </c>
      <c r="AA518" s="179" t="e">
        <f t="shared" ca="1" si="236"/>
        <v>#N/A</v>
      </c>
      <c r="AB518" s="179" t="e">
        <f t="shared" ca="1" si="236"/>
        <v>#N/A</v>
      </c>
      <c r="AC518" s="179" t="e">
        <f t="shared" ca="1" si="221"/>
        <v>#N/A</v>
      </c>
      <c r="AD518" s="179" t="e">
        <f t="shared" ca="1" si="237"/>
        <v>#N/A</v>
      </c>
      <c r="AE518" s="179" t="e">
        <f t="shared" ca="1" si="237"/>
        <v>#N/A</v>
      </c>
      <c r="AF518" s="179" t="e">
        <f t="shared" ca="1" si="222"/>
        <v>#N/A</v>
      </c>
      <c r="AG518" s="179" t="e">
        <f t="shared" ca="1" si="238"/>
        <v>#N/A</v>
      </c>
      <c r="AH518" s="179" t="e">
        <f t="shared" ca="1" si="238"/>
        <v>#N/A</v>
      </c>
    </row>
    <row r="519" spans="1:34" ht="15.75" customHeight="1">
      <c r="A519" s="449" t="s">
        <v>43</v>
      </c>
      <c r="B519" s="449" t="s">
        <v>1789</v>
      </c>
      <c r="C519" s="449" t="s">
        <v>686</v>
      </c>
      <c r="D519" s="193"/>
      <c r="E519" s="193"/>
      <c r="F519" s="193"/>
      <c r="T519" s="179" t="e">
        <f t="shared" ca="1" si="223"/>
        <v>#N/A</v>
      </c>
      <c r="U519" s="179" t="e">
        <f t="shared" ca="1" si="234"/>
        <v>#N/A</v>
      </c>
      <c r="V519" s="179" t="e">
        <f t="shared" ca="1" si="234"/>
        <v>#N/A</v>
      </c>
      <c r="W519" s="179" t="e">
        <f t="shared" ca="1" si="219"/>
        <v>#N/A</v>
      </c>
      <c r="X519" s="179" t="e">
        <f t="shared" ca="1" si="235"/>
        <v>#N/A</v>
      </c>
      <c r="Y519" s="179" t="e">
        <f t="shared" ca="1" si="235"/>
        <v>#N/A</v>
      </c>
      <c r="Z519" s="179" t="e">
        <f t="shared" ca="1" si="220"/>
        <v>#N/A</v>
      </c>
      <c r="AA519" s="179" t="e">
        <f t="shared" ca="1" si="236"/>
        <v>#N/A</v>
      </c>
      <c r="AB519" s="179" t="e">
        <f t="shared" ca="1" si="236"/>
        <v>#N/A</v>
      </c>
      <c r="AC519" s="179" t="e">
        <f t="shared" ca="1" si="221"/>
        <v>#N/A</v>
      </c>
      <c r="AD519" s="179" t="e">
        <f t="shared" ca="1" si="237"/>
        <v>#N/A</v>
      </c>
      <c r="AE519" s="179" t="e">
        <f t="shared" ca="1" si="237"/>
        <v>#N/A</v>
      </c>
      <c r="AF519" s="179" t="e">
        <f t="shared" ca="1" si="222"/>
        <v>#N/A</v>
      </c>
      <c r="AG519" s="179" t="e">
        <f t="shared" ca="1" si="238"/>
        <v>#N/A</v>
      </c>
      <c r="AH519" s="179" t="e">
        <f t="shared" ca="1" si="238"/>
        <v>#N/A</v>
      </c>
    </row>
    <row r="520" spans="1:34" ht="15.75" customHeight="1">
      <c r="A520" s="449" t="s">
        <v>39</v>
      </c>
      <c r="B520" s="449" t="s">
        <v>1743</v>
      </c>
      <c r="C520" s="449" t="s">
        <v>1672</v>
      </c>
      <c r="D520" s="193"/>
      <c r="E520" s="193"/>
      <c r="F520" s="193"/>
      <c r="T520" s="179" t="e">
        <f t="shared" ca="1" si="223"/>
        <v>#N/A</v>
      </c>
      <c r="U520" s="179" t="e">
        <f t="shared" ca="1" si="234"/>
        <v>#N/A</v>
      </c>
      <c r="V520" s="179" t="e">
        <f t="shared" ca="1" si="234"/>
        <v>#N/A</v>
      </c>
      <c r="W520" s="179" t="e">
        <f t="shared" ca="1" si="219"/>
        <v>#N/A</v>
      </c>
      <c r="X520" s="179" t="e">
        <f t="shared" ca="1" si="235"/>
        <v>#N/A</v>
      </c>
      <c r="Y520" s="179" t="e">
        <f t="shared" ca="1" si="235"/>
        <v>#N/A</v>
      </c>
      <c r="Z520" s="179" t="e">
        <f t="shared" ca="1" si="220"/>
        <v>#N/A</v>
      </c>
      <c r="AA520" s="179" t="e">
        <f t="shared" ca="1" si="236"/>
        <v>#N/A</v>
      </c>
      <c r="AB520" s="179" t="e">
        <f t="shared" ca="1" si="236"/>
        <v>#N/A</v>
      </c>
      <c r="AC520" s="179" t="e">
        <f t="shared" ca="1" si="221"/>
        <v>#N/A</v>
      </c>
      <c r="AD520" s="179" t="e">
        <f t="shared" ca="1" si="237"/>
        <v>#N/A</v>
      </c>
      <c r="AE520" s="179" t="e">
        <f t="shared" ca="1" si="237"/>
        <v>#N/A</v>
      </c>
      <c r="AF520" s="179" t="e">
        <f t="shared" ca="1" si="222"/>
        <v>#N/A</v>
      </c>
      <c r="AG520" s="179" t="e">
        <f t="shared" ca="1" si="238"/>
        <v>#N/A</v>
      </c>
      <c r="AH520" s="179" t="e">
        <f t="shared" ca="1" si="238"/>
        <v>#N/A</v>
      </c>
    </row>
    <row r="521" spans="1:34" ht="15.75" customHeight="1">
      <c r="A521" s="449" t="s">
        <v>35</v>
      </c>
      <c r="B521" s="449" t="s">
        <v>1689</v>
      </c>
      <c r="C521" s="449" t="s">
        <v>701</v>
      </c>
      <c r="D521" s="193"/>
      <c r="E521" s="193"/>
      <c r="F521" s="193"/>
      <c r="T521" s="179" t="e">
        <f t="shared" ca="1" si="223"/>
        <v>#N/A</v>
      </c>
      <c r="U521" s="179" t="e">
        <f t="shared" ca="1" si="234"/>
        <v>#N/A</v>
      </c>
      <c r="V521" s="179" t="e">
        <f t="shared" ca="1" si="234"/>
        <v>#N/A</v>
      </c>
      <c r="W521" s="179" t="e">
        <f t="shared" ref="W521:W573" ca="1" si="239">W520+MATCH(W$7,INDIRECT("$A"&amp;W520+1&amp;":$A$1000"),0)</f>
        <v>#N/A</v>
      </c>
      <c r="X521" s="179" t="e">
        <f t="shared" ca="1" si="235"/>
        <v>#N/A</v>
      </c>
      <c r="Y521" s="179" t="e">
        <f t="shared" ca="1" si="235"/>
        <v>#N/A</v>
      </c>
      <c r="Z521" s="179" t="e">
        <f t="shared" ref="Z521:Z573" ca="1" si="240">Z520+MATCH(Z$7,INDIRECT("$A"&amp;Z520+1&amp;":$A$1000"),0)</f>
        <v>#N/A</v>
      </c>
      <c r="AA521" s="179" t="e">
        <f t="shared" ca="1" si="236"/>
        <v>#N/A</v>
      </c>
      <c r="AB521" s="179" t="e">
        <f t="shared" ca="1" si="236"/>
        <v>#N/A</v>
      </c>
      <c r="AC521" s="179" t="e">
        <f t="shared" ref="AC521:AC573" ca="1" si="241">AC520+MATCH(AC$7,INDIRECT("$A"&amp;AC520+1&amp;":$A$1000"),0)</f>
        <v>#N/A</v>
      </c>
      <c r="AD521" s="179" t="e">
        <f t="shared" ca="1" si="237"/>
        <v>#N/A</v>
      </c>
      <c r="AE521" s="179" t="e">
        <f t="shared" ca="1" si="237"/>
        <v>#N/A</v>
      </c>
      <c r="AF521" s="179" t="e">
        <f t="shared" ref="AF521:AF573" ca="1" si="242">AF520+MATCH(AF$7,INDIRECT("$A"&amp;AF520+1&amp;":$A$1000"),0)</f>
        <v>#N/A</v>
      </c>
      <c r="AG521" s="179" t="e">
        <f t="shared" ca="1" si="238"/>
        <v>#N/A</v>
      </c>
      <c r="AH521" s="179" t="e">
        <f t="shared" ca="1" si="238"/>
        <v>#N/A</v>
      </c>
    </row>
    <row r="522" spans="1:34" ht="15.75" customHeight="1">
      <c r="A522" s="449" t="s">
        <v>39</v>
      </c>
      <c r="B522" s="449" t="s">
        <v>1993</v>
      </c>
      <c r="C522" s="449" t="s">
        <v>1477</v>
      </c>
      <c r="D522" s="193"/>
      <c r="E522" s="193"/>
      <c r="F522" s="193"/>
      <c r="T522" s="179" t="e">
        <f t="shared" ref="T522:T573" ca="1" si="243">T521+MATCH($T$7,INDIRECT("$A"&amp;T521+1&amp;":$A$1000"),0)</f>
        <v>#N/A</v>
      </c>
      <c r="U522" s="179" t="e">
        <f t="shared" ca="1" si="234"/>
        <v>#N/A</v>
      </c>
      <c r="V522" s="179" t="e">
        <f t="shared" ca="1" si="234"/>
        <v>#N/A</v>
      </c>
      <c r="W522" s="179" t="e">
        <f t="shared" ca="1" si="239"/>
        <v>#N/A</v>
      </c>
      <c r="X522" s="179" t="e">
        <f t="shared" ca="1" si="235"/>
        <v>#N/A</v>
      </c>
      <c r="Y522" s="179" t="e">
        <f t="shared" ca="1" si="235"/>
        <v>#N/A</v>
      </c>
      <c r="Z522" s="179" t="e">
        <f t="shared" ca="1" si="240"/>
        <v>#N/A</v>
      </c>
      <c r="AA522" s="179" t="e">
        <f t="shared" ca="1" si="236"/>
        <v>#N/A</v>
      </c>
      <c r="AB522" s="179" t="e">
        <f t="shared" ca="1" si="236"/>
        <v>#N/A</v>
      </c>
      <c r="AC522" s="179" t="e">
        <f t="shared" ca="1" si="241"/>
        <v>#N/A</v>
      </c>
      <c r="AD522" s="179" t="e">
        <f t="shared" ca="1" si="237"/>
        <v>#N/A</v>
      </c>
      <c r="AE522" s="179" t="e">
        <f t="shared" ca="1" si="237"/>
        <v>#N/A</v>
      </c>
      <c r="AF522" s="179" t="e">
        <f t="shared" ca="1" si="242"/>
        <v>#N/A</v>
      </c>
      <c r="AG522" s="179" t="e">
        <f t="shared" ca="1" si="238"/>
        <v>#N/A</v>
      </c>
      <c r="AH522" s="179" t="e">
        <f t="shared" ca="1" si="238"/>
        <v>#N/A</v>
      </c>
    </row>
    <row r="523" spans="1:34" ht="15.75" customHeight="1">
      <c r="A523" s="449" t="s">
        <v>37</v>
      </c>
      <c r="B523" s="449" t="s">
        <v>1850</v>
      </c>
      <c r="C523" s="449" t="s">
        <v>692</v>
      </c>
      <c r="D523" s="193"/>
      <c r="E523" s="193"/>
      <c r="F523" s="193"/>
      <c r="T523" s="179" t="e">
        <f t="shared" ca="1" si="243"/>
        <v>#N/A</v>
      </c>
      <c r="U523" s="179" t="e">
        <f t="shared" ca="1" si="234"/>
        <v>#N/A</v>
      </c>
      <c r="V523" s="179" t="e">
        <f t="shared" ca="1" si="234"/>
        <v>#N/A</v>
      </c>
      <c r="W523" s="179" t="e">
        <f t="shared" ca="1" si="239"/>
        <v>#N/A</v>
      </c>
      <c r="X523" s="179" t="e">
        <f t="shared" ca="1" si="235"/>
        <v>#N/A</v>
      </c>
      <c r="Y523" s="179" t="e">
        <f t="shared" ca="1" si="235"/>
        <v>#N/A</v>
      </c>
      <c r="Z523" s="179" t="e">
        <f t="shared" ca="1" si="240"/>
        <v>#N/A</v>
      </c>
      <c r="AA523" s="179" t="e">
        <f t="shared" ca="1" si="236"/>
        <v>#N/A</v>
      </c>
      <c r="AB523" s="179" t="e">
        <f t="shared" ca="1" si="236"/>
        <v>#N/A</v>
      </c>
      <c r="AC523" s="179" t="e">
        <f t="shared" ca="1" si="241"/>
        <v>#N/A</v>
      </c>
      <c r="AD523" s="179" t="e">
        <f t="shared" ca="1" si="237"/>
        <v>#N/A</v>
      </c>
      <c r="AE523" s="179" t="e">
        <f t="shared" ca="1" si="237"/>
        <v>#N/A</v>
      </c>
      <c r="AF523" s="179" t="e">
        <f t="shared" ca="1" si="242"/>
        <v>#N/A</v>
      </c>
      <c r="AG523" s="179" t="e">
        <f t="shared" ca="1" si="238"/>
        <v>#N/A</v>
      </c>
      <c r="AH523" s="179" t="e">
        <f t="shared" ca="1" si="238"/>
        <v>#N/A</v>
      </c>
    </row>
    <row r="524" spans="1:34" ht="15.75" customHeight="1">
      <c r="A524" s="449" t="s">
        <v>39</v>
      </c>
      <c r="B524" s="449" t="s">
        <v>1344</v>
      </c>
      <c r="C524" s="449" t="s">
        <v>1477</v>
      </c>
      <c r="D524" s="193"/>
      <c r="E524" s="193"/>
      <c r="F524" s="193"/>
      <c r="T524" s="179" t="e">
        <f t="shared" ca="1" si="243"/>
        <v>#N/A</v>
      </c>
      <c r="U524" s="179" t="e">
        <f t="shared" ca="1" si="234"/>
        <v>#N/A</v>
      </c>
      <c r="V524" s="179" t="e">
        <f t="shared" ca="1" si="234"/>
        <v>#N/A</v>
      </c>
      <c r="W524" s="179" t="e">
        <f t="shared" ca="1" si="239"/>
        <v>#N/A</v>
      </c>
      <c r="X524" s="179" t="e">
        <f t="shared" ca="1" si="235"/>
        <v>#N/A</v>
      </c>
      <c r="Y524" s="179" t="e">
        <f t="shared" ca="1" si="235"/>
        <v>#N/A</v>
      </c>
      <c r="Z524" s="179" t="e">
        <f t="shared" ca="1" si="240"/>
        <v>#N/A</v>
      </c>
      <c r="AA524" s="179" t="e">
        <f t="shared" ca="1" si="236"/>
        <v>#N/A</v>
      </c>
      <c r="AB524" s="179" t="e">
        <f t="shared" ca="1" si="236"/>
        <v>#N/A</v>
      </c>
      <c r="AC524" s="179" t="e">
        <f t="shared" ca="1" si="241"/>
        <v>#N/A</v>
      </c>
      <c r="AD524" s="179" t="e">
        <f t="shared" ca="1" si="237"/>
        <v>#N/A</v>
      </c>
      <c r="AE524" s="179" t="e">
        <f t="shared" ca="1" si="237"/>
        <v>#N/A</v>
      </c>
      <c r="AF524" s="179" t="e">
        <f t="shared" ca="1" si="242"/>
        <v>#N/A</v>
      </c>
      <c r="AG524" s="179" t="e">
        <f t="shared" ca="1" si="238"/>
        <v>#N/A</v>
      </c>
      <c r="AH524" s="179" t="e">
        <f t="shared" ca="1" si="238"/>
        <v>#N/A</v>
      </c>
    </row>
    <row r="525" spans="1:34" ht="15.75" customHeight="1">
      <c r="A525" s="449" t="s">
        <v>35</v>
      </c>
      <c r="B525" s="449" t="s">
        <v>446</v>
      </c>
      <c r="C525" s="449" t="s">
        <v>688</v>
      </c>
      <c r="D525" s="193"/>
      <c r="E525" s="193"/>
      <c r="F525" s="193"/>
      <c r="T525" s="179" t="e">
        <f t="shared" ca="1" si="243"/>
        <v>#N/A</v>
      </c>
      <c r="U525" s="179" t="e">
        <f t="shared" ca="1" si="234"/>
        <v>#N/A</v>
      </c>
      <c r="V525" s="179" t="e">
        <f t="shared" ca="1" si="234"/>
        <v>#N/A</v>
      </c>
      <c r="W525" s="179" t="e">
        <f t="shared" ca="1" si="239"/>
        <v>#N/A</v>
      </c>
      <c r="X525" s="179" t="e">
        <f t="shared" ca="1" si="235"/>
        <v>#N/A</v>
      </c>
      <c r="Y525" s="179" t="e">
        <f t="shared" ca="1" si="235"/>
        <v>#N/A</v>
      </c>
      <c r="Z525" s="179" t="e">
        <f t="shared" ca="1" si="240"/>
        <v>#N/A</v>
      </c>
      <c r="AA525" s="179" t="e">
        <f t="shared" ca="1" si="236"/>
        <v>#N/A</v>
      </c>
      <c r="AB525" s="179" t="e">
        <f t="shared" ca="1" si="236"/>
        <v>#N/A</v>
      </c>
      <c r="AC525" s="179" t="e">
        <f t="shared" ca="1" si="241"/>
        <v>#N/A</v>
      </c>
      <c r="AD525" s="179" t="e">
        <f t="shared" ca="1" si="237"/>
        <v>#N/A</v>
      </c>
      <c r="AE525" s="179" t="e">
        <f t="shared" ca="1" si="237"/>
        <v>#N/A</v>
      </c>
      <c r="AF525" s="179" t="e">
        <f t="shared" ca="1" si="242"/>
        <v>#N/A</v>
      </c>
      <c r="AG525" s="179" t="e">
        <f t="shared" ca="1" si="238"/>
        <v>#N/A</v>
      </c>
      <c r="AH525" s="179" t="e">
        <f t="shared" ca="1" si="238"/>
        <v>#N/A</v>
      </c>
    </row>
    <row r="526" spans="1:34" ht="15.75" customHeight="1">
      <c r="A526" s="449" t="s">
        <v>37</v>
      </c>
      <c r="B526" s="449" t="s">
        <v>617</v>
      </c>
      <c r="C526" s="449" t="s">
        <v>682</v>
      </c>
      <c r="D526" s="193"/>
      <c r="E526" s="193"/>
      <c r="F526" s="193"/>
      <c r="T526" s="179" t="e">
        <f t="shared" ca="1" si="243"/>
        <v>#N/A</v>
      </c>
      <c r="U526" s="179" t="e">
        <f t="shared" ca="1" si="234"/>
        <v>#N/A</v>
      </c>
      <c r="V526" s="179" t="e">
        <f t="shared" ca="1" si="234"/>
        <v>#N/A</v>
      </c>
      <c r="W526" s="179" t="e">
        <f t="shared" ca="1" si="239"/>
        <v>#N/A</v>
      </c>
      <c r="X526" s="179" t="e">
        <f t="shared" ca="1" si="235"/>
        <v>#N/A</v>
      </c>
      <c r="Y526" s="179" t="e">
        <f t="shared" ca="1" si="235"/>
        <v>#N/A</v>
      </c>
      <c r="Z526" s="179" t="e">
        <f t="shared" ca="1" si="240"/>
        <v>#N/A</v>
      </c>
      <c r="AA526" s="179" t="e">
        <f t="shared" ca="1" si="236"/>
        <v>#N/A</v>
      </c>
      <c r="AB526" s="179" t="e">
        <f t="shared" ca="1" si="236"/>
        <v>#N/A</v>
      </c>
      <c r="AC526" s="179" t="e">
        <f t="shared" ca="1" si="241"/>
        <v>#N/A</v>
      </c>
      <c r="AD526" s="179" t="e">
        <f t="shared" ca="1" si="237"/>
        <v>#N/A</v>
      </c>
      <c r="AE526" s="179" t="e">
        <f t="shared" ca="1" si="237"/>
        <v>#N/A</v>
      </c>
      <c r="AF526" s="179" t="e">
        <f t="shared" ca="1" si="242"/>
        <v>#N/A</v>
      </c>
      <c r="AG526" s="179" t="e">
        <f t="shared" ca="1" si="238"/>
        <v>#N/A</v>
      </c>
      <c r="AH526" s="179" t="e">
        <f t="shared" ca="1" si="238"/>
        <v>#N/A</v>
      </c>
    </row>
    <row r="527" spans="1:34" ht="15.75" customHeight="1">
      <c r="A527" s="449" t="s">
        <v>37</v>
      </c>
      <c r="B527" s="449" t="s">
        <v>618</v>
      </c>
      <c r="C527" s="449" t="s">
        <v>684</v>
      </c>
      <c r="D527" s="193"/>
      <c r="E527" s="193"/>
      <c r="F527" s="193"/>
      <c r="T527" s="179" t="e">
        <f t="shared" ca="1" si="243"/>
        <v>#N/A</v>
      </c>
      <c r="U527" s="179" t="e">
        <f t="shared" ca="1" si="234"/>
        <v>#N/A</v>
      </c>
      <c r="V527" s="179" t="e">
        <f t="shared" ca="1" si="234"/>
        <v>#N/A</v>
      </c>
      <c r="W527" s="179" t="e">
        <f t="shared" ca="1" si="239"/>
        <v>#N/A</v>
      </c>
      <c r="X527" s="179" t="e">
        <f t="shared" ca="1" si="235"/>
        <v>#N/A</v>
      </c>
      <c r="Y527" s="179" t="e">
        <f t="shared" ca="1" si="235"/>
        <v>#N/A</v>
      </c>
      <c r="Z527" s="179" t="e">
        <f t="shared" ca="1" si="240"/>
        <v>#N/A</v>
      </c>
      <c r="AA527" s="179" t="e">
        <f t="shared" ca="1" si="236"/>
        <v>#N/A</v>
      </c>
      <c r="AB527" s="179" t="e">
        <f t="shared" ca="1" si="236"/>
        <v>#N/A</v>
      </c>
      <c r="AC527" s="179" t="e">
        <f t="shared" ca="1" si="241"/>
        <v>#N/A</v>
      </c>
      <c r="AD527" s="179" t="e">
        <f t="shared" ca="1" si="237"/>
        <v>#N/A</v>
      </c>
      <c r="AE527" s="179" t="e">
        <f t="shared" ca="1" si="237"/>
        <v>#N/A</v>
      </c>
      <c r="AF527" s="179" t="e">
        <f t="shared" ca="1" si="242"/>
        <v>#N/A</v>
      </c>
      <c r="AG527" s="179" t="e">
        <f t="shared" ca="1" si="238"/>
        <v>#N/A</v>
      </c>
      <c r="AH527" s="179" t="e">
        <f t="shared" ca="1" si="238"/>
        <v>#N/A</v>
      </c>
    </row>
    <row r="528" spans="1:34" ht="15.75" customHeight="1">
      <c r="A528" s="449" t="s">
        <v>39</v>
      </c>
      <c r="B528" s="449" t="s">
        <v>1758</v>
      </c>
      <c r="C528" s="449" t="s">
        <v>1674</v>
      </c>
      <c r="D528" s="193"/>
      <c r="E528" s="193"/>
      <c r="F528" s="193"/>
      <c r="T528" s="179" t="e">
        <f t="shared" ca="1" si="243"/>
        <v>#N/A</v>
      </c>
      <c r="U528" s="179" t="e">
        <f t="shared" ca="1" si="234"/>
        <v>#N/A</v>
      </c>
      <c r="V528" s="179" t="e">
        <f t="shared" ca="1" si="234"/>
        <v>#N/A</v>
      </c>
      <c r="W528" s="179" t="e">
        <f t="shared" ca="1" si="239"/>
        <v>#N/A</v>
      </c>
      <c r="X528" s="179" t="e">
        <f t="shared" ca="1" si="235"/>
        <v>#N/A</v>
      </c>
      <c r="Y528" s="179" t="e">
        <f t="shared" ca="1" si="235"/>
        <v>#N/A</v>
      </c>
      <c r="Z528" s="179" t="e">
        <f t="shared" ca="1" si="240"/>
        <v>#N/A</v>
      </c>
      <c r="AA528" s="179" t="e">
        <f t="shared" ca="1" si="236"/>
        <v>#N/A</v>
      </c>
      <c r="AB528" s="179" t="e">
        <f t="shared" ca="1" si="236"/>
        <v>#N/A</v>
      </c>
      <c r="AC528" s="179" t="e">
        <f t="shared" ca="1" si="241"/>
        <v>#N/A</v>
      </c>
      <c r="AD528" s="179" t="e">
        <f t="shared" ca="1" si="237"/>
        <v>#N/A</v>
      </c>
      <c r="AE528" s="179" t="e">
        <f t="shared" ca="1" si="237"/>
        <v>#N/A</v>
      </c>
      <c r="AF528" s="179" t="e">
        <f t="shared" ca="1" si="242"/>
        <v>#N/A</v>
      </c>
      <c r="AG528" s="179" t="e">
        <f t="shared" ca="1" si="238"/>
        <v>#N/A</v>
      </c>
      <c r="AH528" s="179" t="e">
        <f t="shared" ca="1" si="238"/>
        <v>#N/A</v>
      </c>
    </row>
    <row r="529" spans="1:34" ht="15.75" customHeight="1">
      <c r="A529" s="449" t="s">
        <v>39</v>
      </c>
      <c r="B529" s="449" t="s">
        <v>1958</v>
      </c>
      <c r="C529" s="449" t="s">
        <v>678</v>
      </c>
      <c r="D529" s="193"/>
      <c r="E529" s="193"/>
      <c r="F529" s="193"/>
      <c r="T529" s="179" t="e">
        <f t="shared" ca="1" si="243"/>
        <v>#N/A</v>
      </c>
      <c r="U529" s="179" t="e">
        <f t="shared" ref="U529:V548" ca="1" si="244">T529</f>
        <v>#N/A</v>
      </c>
      <c r="V529" s="179" t="e">
        <f t="shared" ca="1" si="244"/>
        <v>#N/A</v>
      </c>
      <c r="W529" s="179" t="e">
        <f t="shared" ca="1" si="239"/>
        <v>#N/A</v>
      </c>
      <c r="X529" s="179" t="e">
        <f t="shared" ref="X529:Y548" ca="1" si="245">W529</f>
        <v>#N/A</v>
      </c>
      <c r="Y529" s="179" t="e">
        <f t="shared" ca="1" si="245"/>
        <v>#N/A</v>
      </c>
      <c r="Z529" s="179" t="e">
        <f t="shared" ca="1" si="240"/>
        <v>#N/A</v>
      </c>
      <c r="AA529" s="179" t="e">
        <f t="shared" ref="AA529:AB548" ca="1" si="246">Z529</f>
        <v>#N/A</v>
      </c>
      <c r="AB529" s="179" t="e">
        <f t="shared" ca="1" si="246"/>
        <v>#N/A</v>
      </c>
      <c r="AC529" s="179" t="e">
        <f t="shared" ca="1" si="241"/>
        <v>#N/A</v>
      </c>
      <c r="AD529" s="179" t="e">
        <f t="shared" ref="AD529:AE548" ca="1" si="247">AC529</f>
        <v>#N/A</v>
      </c>
      <c r="AE529" s="179" t="e">
        <f t="shared" ca="1" si="247"/>
        <v>#N/A</v>
      </c>
      <c r="AF529" s="179" t="e">
        <f t="shared" ca="1" si="242"/>
        <v>#N/A</v>
      </c>
      <c r="AG529" s="179" t="e">
        <f t="shared" ref="AG529:AH548" ca="1" si="248">AF529</f>
        <v>#N/A</v>
      </c>
      <c r="AH529" s="179" t="e">
        <f t="shared" ca="1" si="248"/>
        <v>#N/A</v>
      </c>
    </row>
    <row r="530" spans="1:34" ht="15.75" customHeight="1">
      <c r="A530" s="449" t="s">
        <v>37</v>
      </c>
      <c r="B530" s="449" t="s">
        <v>623</v>
      </c>
      <c r="C530" s="449" t="s">
        <v>678</v>
      </c>
      <c r="D530" s="193"/>
      <c r="E530" s="193"/>
      <c r="F530" s="193"/>
      <c r="T530" s="179" t="e">
        <f t="shared" ca="1" si="243"/>
        <v>#N/A</v>
      </c>
      <c r="U530" s="179" t="e">
        <f t="shared" ca="1" si="244"/>
        <v>#N/A</v>
      </c>
      <c r="V530" s="179" t="e">
        <f t="shared" ca="1" si="244"/>
        <v>#N/A</v>
      </c>
      <c r="W530" s="179" t="e">
        <f t="shared" ca="1" si="239"/>
        <v>#N/A</v>
      </c>
      <c r="X530" s="179" t="e">
        <f t="shared" ca="1" si="245"/>
        <v>#N/A</v>
      </c>
      <c r="Y530" s="179" t="e">
        <f t="shared" ca="1" si="245"/>
        <v>#N/A</v>
      </c>
      <c r="Z530" s="179" t="e">
        <f t="shared" ca="1" si="240"/>
        <v>#N/A</v>
      </c>
      <c r="AA530" s="179" t="e">
        <f t="shared" ca="1" si="246"/>
        <v>#N/A</v>
      </c>
      <c r="AB530" s="179" t="e">
        <f t="shared" ca="1" si="246"/>
        <v>#N/A</v>
      </c>
      <c r="AC530" s="179" t="e">
        <f t="shared" ca="1" si="241"/>
        <v>#N/A</v>
      </c>
      <c r="AD530" s="179" t="e">
        <f t="shared" ca="1" si="247"/>
        <v>#N/A</v>
      </c>
      <c r="AE530" s="179" t="e">
        <f t="shared" ca="1" si="247"/>
        <v>#N/A</v>
      </c>
      <c r="AF530" s="179" t="e">
        <f t="shared" ca="1" si="242"/>
        <v>#N/A</v>
      </c>
      <c r="AG530" s="179" t="e">
        <f t="shared" ca="1" si="248"/>
        <v>#N/A</v>
      </c>
      <c r="AH530" s="179" t="e">
        <f t="shared" ca="1" si="248"/>
        <v>#N/A</v>
      </c>
    </row>
    <row r="531" spans="1:34" ht="15.75" customHeight="1">
      <c r="A531" s="449" t="s">
        <v>43</v>
      </c>
      <c r="B531" s="449" t="s">
        <v>522</v>
      </c>
      <c r="C531" s="449" t="s">
        <v>688</v>
      </c>
      <c r="D531" s="193"/>
      <c r="E531" s="193"/>
      <c r="F531" s="193"/>
      <c r="T531" s="179" t="e">
        <f t="shared" ca="1" si="243"/>
        <v>#N/A</v>
      </c>
      <c r="U531" s="179" t="e">
        <f t="shared" ca="1" si="244"/>
        <v>#N/A</v>
      </c>
      <c r="V531" s="179" t="e">
        <f t="shared" ca="1" si="244"/>
        <v>#N/A</v>
      </c>
      <c r="W531" s="179" t="e">
        <f t="shared" ca="1" si="239"/>
        <v>#N/A</v>
      </c>
      <c r="X531" s="179" t="e">
        <f t="shared" ca="1" si="245"/>
        <v>#N/A</v>
      </c>
      <c r="Y531" s="179" t="e">
        <f t="shared" ca="1" si="245"/>
        <v>#N/A</v>
      </c>
      <c r="Z531" s="179" t="e">
        <f t="shared" ca="1" si="240"/>
        <v>#N/A</v>
      </c>
      <c r="AA531" s="179" t="e">
        <f t="shared" ca="1" si="246"/>
        <v>#N/A</v>
      </c>
      <c r="AB531" s="179" t="e">
        <f t="shared" ca="1" si="246"/>
        <v>#N/A</v>
      </c>
      <c r="AC531" s="179" t="e">
        <f t="shared" ca="1" si="241"/>
        <v>#N/A</v>
      </c>
      <c r="AD531" s="179" t="e">
        <f t="shared" ca="1" si="247"/>
        <v>#N/A</v>
      </c>
      <c r="AE531" s="179" t="e">
        <f t="shared" ca="1" si="247"/>
        <v>#N/A</v>
      </c>
      <c r="AF531" s="179" t="e">
        <f t="shared" ca="1" si="242"/>
        <v>#N/A</v>
      </c>
      <c r="AG531" s="179" t="e">
        <f t="shared" ca="1" si="248"/>
        <v>#N/A</v>
      </c>
      <c r="AH531" s="179" t="e">
        <f t="shared" ca="1" si="248"/>
        <v>#N/A</v>
      </c>
    </row>
    <row r="532" spans="1:34" ht="15.75" customHeight="1">
      <c r="A532" s="449" t="s">
        <v>39</v>
      </c>
      <c r="B532" s="449" t="s">
        <v>1747</v>
      </c>
      <c r="C532" s="449" t="s">
        <v>692</v>
      </c>
      <c r="D532" s="193"/>
      <c r="E532" s="193"/>
      <c r="F532" s="193"/>
      <c r="T532" s="179" t="e">
        <f t="shared" ca="1" si="243"/>
        <v>#N/A</v>
      </c>
      <c r="U532" s="179" t="e">
        <f t="shared" ca="1" si="244"/>
        <v>#N/A</v>
      </c>
      <c r="V532" s="179" t="e">
        <f t="shared" ca="1" si="244"/>
        <v>#N/A</v>
      </c>
      <c r="W532" s="179" t="e">
        <f t="shared" ca="1" si="239"/>
        <v>#N/A</v>
      </c>
      <c r="X532" s="179" t="e">
        <f t="shared" ca="1" si="245"/>
        <v>#N/A</v>
      </c>
      <c r="Y532" s="179" t="e">
        <f t="shared" ca="1" si="245"/>
        <v>#N/A</v>
      </c>
      <c r="Z532" s="179" t="e">
        <f t="shared" ca="1" si="240"/>
        <v>#N/A</v>
      </c>
      <c r="AA532" s="179" t="e">
        <f t="shared" ca="1" si="246"/>
        <v>#N/A</v>
      </c>
      <c r="AB532" s="179" t="e">
        <f t="shared" ca="1" si="246"/>
        <v>#N/A</v>
      </c>
      <c r="AC532" s="179" t="e">
        <f t="shared" ca="1" si="241"/>
        <v>#N/A</v>
      </c>
      <c r="AD532" s="179" t="e">
        <f t="shared" ca="1" si="247"/>
        <v>#N/A</v>
      </c>
      <c r="AE532" s="179" t="e">
        <f t="shared" ca="1" si="247"/>
        <v>#N/A</v>
      </c>
      <c r="AF532" s="179" t="e">
        <f t="shared" ca="1" si="242"/>
        <v>#N/A</v>
      </c>
      <c r="AG532" s="179" t="e">
        <f t="shared" ca="1" si="248"/>
        <v>#N/A</v>
      </c>
      <c r="AH532" s="179" t="e">
        <f t="shared" ca="1" si="248"/>
        <v>#N/A</v>
      </c>
    </row>
    <row r="533" spans="1:34" ht="15.75" customHeight="1">
      <c r="A533" s="449" t="s">
        <v>39</v>
      </c>
      <c r="B533" s="449" t="s">
        <v>624</v>
      </c>
      <c r="C533" s="449" t="s">
        <v>681</v>
      </c>
      <c r="D533" s="193"/>
      <c r="E533" s="193"/>
      <c r="F533" s="193"/>
      <c r="T533" s="179" t="e">
        <f t="shared" ca="1" si="243"/>
        <v>#N/A</v>
      </c>
      <c r="U533" s="179" t="e">
        <f t="shared" ca="1" si="244"/>
        <v>#N/A</v>
      </c>
      <c r="V533" s="179" t="e">
        <f t="shared" ca="1" si="244"/>
        <v>#N/A</v>
      </c>
      <c r="W533" s="179" t="e">
        <f t="shared" ca="1" si="239"/>
        <v>#N/A</v>
      </c>
      <c r="X533" s="179" t="e">
        <f t="shared" ca="1" si="245"/>
        <v>#N/A</v>
      </c>
      <c r="Y533" s="179" t="e">
        <f t="shared" ca="1" si="245"/>
        <v>#N/A</v>
      </c>
      <c r="Z533" s="179" t="e">
        <f t="shared" ca="1" si="240"/>
        <v>#N/A</v>
      </c>
      <c r="AA533" s="179" t="e">
        <f t="shared" ca="1" si="246"/>
        <v>#N/A</v>
      </c>
      <c r="AB533" s="179" t="e">
        <f t="shared" ca="1" si="246"/>
        <v>#N/A</v>
      </c>
      <c r="AC533" s="179" t="e">
        <f t="shared" ca="1" si="241"/>
        <v>#N/A</v>
      </c>
      <c r="AD533" s="179" t="e">
        <f t="shared" ca="1" si="247"/>
        <v>#N/A</v>
      </c>
      <c r="AE533" s="179" t="e">
        <f t="shared" ca="1" si="247"/>
        <v>#N/A</v>
      </c>
      <c r="AF533" s="179" t="e">
        <f t="shared" ca="1" si="242"/>
        <v>#N/A</v>
      </c>
      <c r="AG533" s="179" t="e">
        <f t="shared" ca="1" si="248"/>
        <v>#N/A</v>
      </c>
      <c r="AH533" s="179" t="e">
        <f t="shared" ca="1" si="248"/>
        <v>#N/A</v>
      </c>
    </row>
    <row r="534" spans="1:34" ht="15.75" customHeight="1">
      <c r="A534" s="449" t="s">
        <v>35</v>
      </c>
      <c r="B534" s="449" t="s">
        <v>448</v>
      </c>
      <c r="C534" s="449" t="s">
        <v>679</v>
      </c>
      <c r="D534" s="193"/>
      <c r="E534" s="193"/>
      <c r="F534" s="193"/>
      <c r="T534" s="179" t="e">
        <f t="shared" ca="1" si="243"/>
        <v>#N/A</v>
      </c>
      <c r="U534" s="179" t="e">
        <f t="shared" ca="1" si="244"/>
        <v>#N/A</v>
      </c>
      <c r="V534" s="179" t="e">
        <f t="shared" ca="1" si="244"/>
        <v>#N/A</v>
      </c>
      <c r="W534" s="179" t="e">
        <f t="shared" ca="1" si="239"/>
        <v>#N/A</v>
      </c>
      <c r="X534" s="179" t="e">
        <f t="shared" ca="1" si="245"/>
        <v>#N/A</v>
      </c>
      <c r="Y534" s="179" t="e">
        <f t="shared" ca="1" si="245"/>
        <v>#N/A</v>
      </c>
      <c r="Z534" s="179" t="e">
        <f t="shared" ca="1" si="240"/>
        <v>#N/A</v>
      </c>
      <c r="AA534" s="179" t="e">
        <f t="shared" ca="1" si="246"/>
        <v>#N/A</v>
      </c>
      <c r="AB534" s="179" t="e">
        <f t="shared" ca="1" si="246"/>
        <v>#N/A</v>
      </c>
      <c r="AC534" s="179" t="e">
        <f t="shared" ca="1" si="241"/>
        <v>#N/A</v>
      </c>
      <c r="AD534" s="179" t="e">
        <f t="shared" ca="1" si="247"/>
        <v>#N/A</v>
      </c>
      <c r="AE534" s="179" t="e">
        <f t="shared" ca="1" si="247"/>
        <v>#N/A</v>
      </c>
      <c r="AF534" s="179" t="e">
        <f t="shared" ca="1" si="242"/>
        <v>#N/A</v>
      </c>
      <c r="AG534" s="179" t="e">
        <f t="shared" ca="1" si="248"/>
        <v>#N/A</v>
      </c>
      <c r="AH534" s="179" t="e">
        <f t="shared" ca="1" si="248"/>
        <v>#N/A</v>
      </c>
    </row>
    <row r="535" spans="1:34" ht="15.75" customHeight="1">
      <c r="A535" s="449" t="s">
        <v>39</v>
      </c>
      <c r="B535" s="449" t="s">
        <v>1859</v>
      </c>
      <c r="C535" s="449" t="s">
        <v>1674</v>
      </c>
      <c r="D535" s="193"/>
      <c r="E535" s="193"/>
      <c r="F535" s="193"/>
      <c r="T535" s="179" t="e">
        <f t="shared" ca="1" si="243"/>
        <v>#N/A</v>
      </c>
      <c r="U535" s="179" t="e">
        <f t="shared" ca="1" si="244"/>
        <v>#N/A</v>
      </c>
      <c r="V535" s="179" t="e">
        <f t="shared" ca="1" si="244"/>
        <v>#N/A</v>
      </c>
      <c r="W535" s="179" t="e">
        <f t="shared" ca="1" si="239"/>
        <v>#N/A</v>
      </c>
      <c r="X535" s="179" t="e">
        <f t="shared" ca="1" si="245"/>
        <v>#N/A</v>
      </c>
      <c r="Y535" s="179" t="e">
        <f t="shared" ca="1" si="245"/>
        <v>#N/A</v>
      </c>
      <c r="Z535" s="179" t="e">
        <f t="shared" ca="1" si="240"/>
        <v>#N/A</v>
      </c>
      <c r="AA535" s="179" t="e">
        <f t="shared" ca="1" si="246"/>
        <v>#N/A</v>
      </c>
      <c r="AB535" s="179" t="e">
        <f t="shared" ca="1" si="246"/>
        <v>#N/A</v>
      </c>
      <c r="AC535" s="179" t="e">
        <f t="shared" ca="1" si="241"/>
        <v>#N/A</v>
      </c>
      <c r="AD535" s="179" t="e">
        <f t="shared" ca="1" si="247"/>
        <v>#N/A</v>
      </c>
      <c r="AE535" s="179" t="e">
        <f t="shared" ca="1" si="247"/>
        <v>#N/A</v>
      </c>
      <c r="AF535" s="179" t="e">
        <f t="shared" ca="1" si="242"/>
        <v>#N/A</v>
      </c>
      <c r="AG535" s="179" t="e">
        <f t="shared" ca="1" si="248"/>
        <v>#N/A</v>
      </c>
      <c r="AH535" s="179" t="e">
        <f t="shared" ca="1" si="248"/>
        <v>#N/A</v>
      </c>
    </row>
    <row r="536" spans="1:34" ht="15.75" customHeight="1">
      <c r="A536" s="449" t="s">
        <v>39</v>
      </c>
      <c r="B536" s="449" t="s">
        <v>1860</v>
      </c>
      <c r="C536" s="449" t="s">
        <v>1674</v>
      </c>
      <c r="D536" s="193"/>
      <c r="E536" s="193"/>
      <c r="F536" s="193"/>
      <c r="T536" s="179" t="e">
        <f t="shared" ca="1" si="243"/>
        <v>#N/A</v>
      </c>
      <c r="U536" s="179" t="e">
        <f t="shared" ca="1" si="244"/>
        <v>#N/A</v>
      </c>
      <c r="V536" s="179" t="e">
        <f t="shared" ca="1" si="244"/>
        <v>#N/A</v>
      </c>
      <c r="W536" s="179" t="e">
        <f t="shared" ca="1" si="239"/>
        <v>#N/A</v>
      </c>
      <c r="X536" s="179" t="e">
        <f t="shared" ca="1" si="245"/>
        <v>#N/A</v>
      </c>
      <c r="Y536" s="179" t="e">
        <f t="shared" ca="1" si="245"/>
        <v>#N/A</v>
      </c>
      <c r="Z536" s="179" t="e">
        <f t="shared" ca="1" si="240"/>
        <v>#N/A</v>
      </c>
      <c r="AA536" s="179" t="e">
        <f t="shared" ca="1" si="246"/>
        <v>#N/A</v>
      </c>
      <c r="AB536" s="179" t="e">
        <f t="shared" ca="1" si="246"/>
        <v>#N/A</v>
      </c>
      <c r="AC536" s="179" t="e">
        <f t="shared" ca="1" si="241"/>
        <v>#N/A</v>
      </c>
      <c r="AD536" s="179" t="e">
        <f t="shared" ca="1" si="247"/>
        <v>#N/A</v>
      </c>
      <c r="AE536" s="179" t="e">
        <f t="shared" ca="1" si="247"/>
        <v>#N/A</v>
      </c>
      <c r="AF536" s="179" t="e">
        <f t="shared" ca="1" si="242"/>
        <v>#N/A</v>
      </c>
      <c r="AG536" s="179" t="e">
        <f t="shared" ca="1" si="248"/>
        <v>#N/A</v>
      </c>
      <c r="AH536" s="179" t="e">
        <f t="shared" ca="1" si="248"/>
        <v>#N/A</v>
      </c>
    </row>
    <row r="537" spans="1:34" ht="15.75" customHeight="1">
      <c r="A537" s="449" t="s">
        <v>37</v>
      </c>
      <c r="B537" s="449" t="s">
        <v>626</v>
      </c>
      <c r="C537" s="449" t="s">
        <v>679</v>
      </c>
      <c r="D537" s="193"/>
      <c r="E537" s="193"/>
      <c r="F537" s="193"/>
      <c r="T537" s="179" t="e">
        <f t="shared" ca="1" si="243"/>
        <v>#N/A</v>
      </c>
      <c r="U537" s="179" t="e">
        <f t="shared" ca="1" si="244"/>
        <v>#N/A</v>
      </c>
      <c r="V537" s="179" t="e">
        <f t="shared" ca="1" si="244"/>
        <v>#N/A</v>
      </c>
      <c r="W537" s="179" t="e">
        <f t="shared" ca="1" si="239"/>
        <v>#N/A</v>
      </c>
      <c r="X537" s="179" t="e">
        <f t="shared" ca="1" si="245"/>
        <v>#N/A</v>
      </c>
      <c r="Y537" s="179" t="e">
        <f t="shared" ca="1" si="245"/>
        <v>#N/A</v>
      </c>
      <c r="Z537" s="179" t="e">
        <f t="shared" ca="1" si="240"/>
        <v>#N/A</v>
      </c>
      <c r="AA537" s="179" t="e">
        <f t="shared" ca="1" si="246"/>
        <v>#N/A</v>
      </c>
      <c r="AB537" s="179" t="e">
        <f t="shared" ca="1" si="246"/>
        <v>#N/A</v>
      </c>
      <c r="AC537" s="179" t="e">
        <f t="shared" ca="1" si="241"/>
        <v>#N/A</v>
      </c>
      <c r="AD537" s="179" t="e">
        <f t="shared" ca="1" si="247"/>
        <v>#N/A</v>
      </c>
      <c r="AE537" s="179" t="e">
        <f t="shared" ca="1" si="247"/>
        <v>#N/A</v>
      </c>
      <c r="AF537" s="179" t="e">
        <f t="shared" ca="1" si="242"/>
        <v>#N/A</v>
      </c>
      <c r="AG537" s="179" t="e">
        <f t="shared" ca="1" si="248"/>
        <v>#N/A</v>
      </c>
      <c r="AH537" s="179" t="e">
        <f t="shared" ca="1" si="248"/>
        <v>#N/A</v>
      </c>
    </row>
    <row r="538" spans="1:34" ht="15.75" customHeight="1">
      <c r="A538" s="179"/>
      <c r="B538" s="179"/>
      <c r="C538" s="179"/>
      <c r="D538" s="193"/>
      <c r="E538" s="193"/>
      <c r="F538" s="193"/>
      <c r="T538" s="179" t="e">
        <f t="shared" ca="1" si="243"/>
        <v>#N/A</v>
      </c>
      <c r="U538" s="179" t="e">
        <f t="shared" ca="1" si="244"/>
        <v>#N/A</v>
      </c>
      <c r="V538" s="179" t="e">
        <f t="shared" ca="1" si="244"/>
        <v>#N/A</v>
      </c>
      <c r="W538" s="179" t="e">
        <f t="shared" ca="1" si="239"/>
        <v>#N/A</v>
      </c>
      <c r="X538" s="179" t="e">
        <f t="shared" ca="1" si="245"/>
        <v>#N/A</v>
      </c>
      <c r="Y538" s="179" t="e">
        <f t="shared" ca="1" si="245"/>
        <v>#N/A</v>
      </c>
      <c r="Z538" s="179" t="e">
        <f t="shared" ca="1" si="240"/>
        <v>#N/A</v>
      </c>
      <c r="AA538" s="179" t="e">
        <f t="shared" ca="1" si="246"/>
        <v>#N/A</v>
      </c>
      <c r="AB538" s="179" t="e">
        <f t="shared" ca="1" si="246"/>
        <v>#N/A</v>
      </c>
      <c r="AC538" s="179" t="e">
        <f t="shared" ca="1" si="241"/>
        <v>#N/A</v>
      </c>
      <c r="AD538" s="179" t="e">
        <f t="shared" ca="1" si="247"/>
        <v>#N/A</v>
      </c>
      <c r="AE538" s="179" t="e">
        <f t="shared" ca="1" si="247"/>
        <v>#N/A</v>
      </c>
      <c r="AF538" s="179" t="e">
        <f t="shared" ca="1" si="242"/>
        <v>#N/A</v>
      </c>
      <c r="AG538" s="179" t="e">
        <f t="shared" ca="1" si="248"/>
        <v>#N/A</v>
      </c>
      <c r="AH538" s="179" t="e">
        <f t="shared" ca="1" si="248"/>
        <v>#N/A</v>
      </c>
    </row>
    <row r="539" spans="1:34" ht="15.75" customHeight="1">
      <c r="A539" s="179"/>
      <c r="B539" s="179"/>
      <c r="C539" s="179"/>
      <c r="D539" s="193"/>
      <c r="E539" s="193"/>
      <c r="F539" s="193"/>
      <c r="T539" s="179" t="e">
        <f t="shared" ca="1" si="243"/>
        <v>#N/A</v>
      </c>
      <c r="U539" s="179" t="e">
        <f t="shared" ca="1" si="244"/>
        <v>#N/A</v>
      </c>
      <c r="V539" s="179" t="e">
        <f t="shared" ca="1" si="244"/>
        <v>#N/A</v>
      </c>
      <c r="W539" s="179" t="e">
        <f t="shared" ca="1" si="239"/>
        <v>#N/A</v>
      </c>
      <c r="X539" s="179" t="e">
        <f t="shared" ca="1" si="245"/>
        <v>#N/A</v>
      </c>
      <c r="Y539" s="179" t="e">
        <f t="shared" ca="1" si="245"/>
        <v>#N/A</v>
      </c>
      <c r="Z539" s="179" t="e">
        <f t="shared" ca="1" si="240"/>
        <v>#N/A</v>
      </c>
      <c r="AA539" s="179" t="e">
        <f t="shared" ca="1" si="246"/>
        <v>#N/A</v>
      </c>
      <c r="AB539" s="179" t="e">
        <f t="shared" ca="1" si="246"/>
        <v>#N/A</v>
      </c>
      <c r="AC539" s="179" t="e">
        <f t="shared" ca="1" si="241"/>
        <v>#N/A</v>
      </c>
      <c r="AD539" s="179" t="e">
        <f t="shared" ca="1" si="247"/>
        <v>#N/A</v>
      </c>
      <c r="AE539" s="179" t="e">
        <f t="shared" ca="1" si="247"/>
        <v>#N/A</v>
      </c>
      <c r="AF539" s="179" t="e">
        <f t="shared" ca="1" si="242"/>
        <v>#N/A</v>
      </c>
      <c r="AG539" s="179" t="e">
        <f t="shared" ca="1" si="248"/>
        <v>#N/A</v>
      </c>
      <c r="AH539" s="179" t="e">
        <f t="shared" ca="1" si="248"/>
        <v>#N/A</v>
      </c>
    </row>
    <row r="540" spans="1:34" ht="15.75" customHeight="1">
      <c r="A540" s="179"/>
      <c r="B540" s="179"/>
      <c r="C540" s="179"/>
      <c r="D540" s="193"/>
      <c r="E540" s="193"/>
      <c r="F540" s="193"/>
      <c r="T540" s="179" t="e">
        <f t="shared" ca="1" si="243"/>
        <v>#N/A</v>
      </c>
      <c r="U540" s="179" t="e">
        <f t="shared" ca="1" si="244"/>
        <v>#N/A</v>
      </c>
      <c r="V540" s="179" t="e">
        <f t="shared" ca="1" si="244"/>
        <v>#N/A</v>
      </c>
      <c r="W540" s="179" t="e">
        <f t="shared" ca="1" si="239"/>
        <v>#N/A</v>
      </c>
      <c r="X540" s="179" t="e">
        <f t="shared" ca="1" si="245"/>
        <v>#N/A</v>
      </c>
      <c r="Y540" s="179" t="e">
        <f t="shared" ca="1" si="245"/>
        <v>#N/A</v>
      </c>
      <c r="Z540" s="179" t="e">
        <f t="shared" ca="1" si="240"/>
        <v>#N/A</v>
      </c>
      <c r="AA540" s="179" t="e">
        <f t="shared" ca="1" si="246"/>
        <v>#N/A</v>
      </c>
      <c r="AB540" s="179" t="e">
        <f t="shared" ca="1" si="246"/>
        <v>#N/A</v>
      </c>
      <c r="AC540" s="179" t="e">
        <f t="shared" ca="1" si="241"/>
        <v>#N/A</v>
      </c>
      <c r="AD540" s="179" t="e">
        <f t="shared" ca="1" si="247"/>
        <v>#N/A</v>
      </c>
      <c r="AE540" s="179" t="e">
        <f t="shared" ca="1" si="247"/>
        <v>#N/A</v>
      </c>
      <c r="AF540" s="179" t="e">
        <f t="shared" ca="1" si="242"/>
        <v>#N/A</v>
      </c>
      <c r="AG540" s="179" t="e">
        <f t="shared" ca="1" si="248"/>
        <v>#N/A</v>
      </c>
      <c r="AH540" s="179" t="e">
        <f t="shared" ca="1" si="248"/>
        <v>#N/A</v>
      </c>
    </row>
    <row r="541" spans="1:34" ht="15.75" customHeight="1">
      <c r="A541" s="179"/>
      <c r="B541" s="179"/>
      <c r="C541" s="179"/>
      <c r="D541" s="193"/>
      <c r="E541" s="193"/>
      <c r="F541" s="193"/>
      <c r="T541" s="179" t="e">
        <f t="shared" ca="1" si="243"/>
        <v>#N/A</v>
      </c>
      <c r="U541" s="179" t="e">
        <f t="shared" ca="1" si="244"/>
        <v>#N/A</v>
      </c>
      <c r="V541" s="179" t="e">
        <f t="shared" ca="1" si="244"/>
        <v>#N/A</v>
      </c>
      <c r="W541" s="179" t="e">
        <f t="shared" ca="1" si="239"/>
        <v>#N/A</v>
      </c>
      <c r="X541" s="179" t="e">
        <f t="shared" ca="1" si="245"/>
        <v>#N/A</v>
      </c>
      <c r="Y541" s="179" t="e">
        <f t="shared" ca="1" si="245"/>
        <v>#N/A</v>
      </c>
      <c r="Z541" s="179" t="e">
        <f t="shared" ca="1" si="240"/>
        <v>#N/A</v>
      </c>
      <c r="AA541" s="179" t="e">
        <f t="shared" ca="1" si="246"/>
        <v>#N/A</v>
      </c>
      <c r="AB541" s="179" t="e">
        <f t="shared" ca="1" si="246"/>
        <v>#N/A</v>
      </c>
      <c r="AC541" s="179" t="e">
        <f t="shared" ca="1" si="241"/>
        <v>#N/A</v>
      </c>
      <c r="AD541" s="179" t="e">
        <f t="shared" ca="1" si="247"/>
        <v>#N/A</v>
      </c>
      <c r="AE541" s="179" t="e">
        <f t="shared" ca="1" si="247"/>
        <v>#N/A</v>
      </c>
      <c r="AF541" s="179" t="e">
        <f t="shared" ca="1" si="242"/>
        <v>#N/A</v>
      </c>
      <c r="AG541" s="179" t="e">
        <f t="shared" ca="1" si="248"/>
        <v>#N/A</v>
      </c>
      <c r="AH541" s="179" t="e">
        <f t="shared" ca="1" si="248"/>
        <v>#N/A</v>
      </c>
    </row>
    <row r="542" spans="1:34" ht="15.75" customHeight="1">
      <c r="A542" s="179"/>
      <c r="B542" s="179"/>
      <c r="C542" s="179"/>
      <c r="D542" s="193"/>
      <c r="E542" s="193"/>
      <c r="F542" s="193"/>
      <c r="T542" s="179" t="e">
        <f t="shared" ca="1" si="243"/>
        <v>#N/A</v>
      </c>
      <c r="U542" s="179" t="e">
        <f t="shared" ca="1" si="244"/>
        <v>#N/A</v>
      </c>
      <c r="V542" s="179" t="e">
        <f t="shared" ca="1" si="244"/>
        <v>#N/A</v>
      </c>
      <c r="W542" s="179" t="e">
        <f t="shared" ca="1" si="239"/>
        <v>#N/A</v>
      </c>
      <c r="X542" s="179" t="e">
        <f t="shared" ca="1" si="245"/>
        <v>#N/A</v>
      </c>
      <c r="Y542" s="179" t="e">
        <f t="shared" ca="1" si="245"/>
        <v>#N/A</v>
      </c>
      <c r="Z542" s="179" t="e">
        <f t="shared" ca="1" si="240"/>
        <v>#N/A</v>
      </c>
      <c r="AA542" s="179" t="e">
        <f t="shared" ca="1" si="246"/>
        <v>#N/A</v>
      </c>
      <c r="AB542" s="179" t="e">
        <f t="shared" ca="1" si="246"/>
        <v>#N/A</v>
      </c>
      <c r="AC542" s="179" t="e">
        <f t="shared" ca="1" si="241"/>
        <v>#N/A</v>
      </c>
      <c r="AD542" s="179" t="e">
        <f t="shared" ca="1" si="247"/>
        <v>#N/A</v>
      </c>
      <c r="AE542" s="179" t="e">
        <f t="shared" ca="1" si="247"/>
        <v>#N/A</v>
      </c>
      <c r="AF542" s="179" t="e">
        <f t="shared" ca="1" si="242"/>
        <v>#N/A</v>
      </c>
      <c r="AG542" s="179" t="e">
        <f t="shared" ca="1" si="248"/>
        <v>#N/A</v>
      </c>
      <c r="AH542" s="179" t="e">
        <f t="shared" ca="1" si="248"/>
        <v>#N/A</v>
      </c>
    </row>
    <row r="543" spans="1:34" ht="15.75" customHeight="1">
      <c r="A543" s="179"/>
      <c r="B543" s="179"/>
      <c r="C543" s="179"/>
      <c r="D543" s="193"/>
      <c r="E543" s="193"/>
      <c r="F543" s="193"/>
      <c r="T543" s="179" t="e">
        <f t="shared" ca="1" si="243"/>
        <v>#N/A</v>
      </c>
      <c r="U543" s="179" t="e">
        <f t="shared" ca="1" si="244"/>
        <v>#N/A</v>
      </c>
      <c r="V543" s="179" t="e">
        <f t="shared" ca="1" si="244"/>
        <v>#N/A</v>
      </c>
      <c r="W543" s="179" t="e">
        <f t="shared" ca="1" si="239"/>
        <v>#N/A</v>
      </c>
      <c r="X543" s="179" t="e">
        <f t="shared" ca="1" si="245"/>
        <v>#N/A</v>
      </c>
      <c r="Y543" s="179" t="e">
        <f t="shared" ca="1" si="245"/>
        <v>#N/A</v>
      </c>
      <c r="Z543" s="179" t="e">
        <f t="shared" ca="1" si="240"/>
        <v>#N/A</v>
      </c>
      <c r="AA543" s="179" t="e">
        <f t="shared" ca="1" si="246"/>
        <v>#N/A</v>
      </c>
      <c r="AB543" s="179" t="e">
        <f t="shared" ca="1" si="246"/>
        <v>#N/A</v>
      </c>
      <c r="AC543" s="179" t="e">
        <f t="shared" ca="1" si="241"/>
        <v>#N/A</v>
      </c>
      <c r="AD543" s="179" t="e">
        <f t="shared" ca="1" si="247"/>
        <v>#N/A</v>
      </c>
      <c r="AE543" s="179" t="e">
        <f t="shared" ca="1" si="247"/>
        <v>#N/A</v>
      </c>
      <c r="AF543" s="179" t="e">
        <f t="shared" ca="1" si="242"/>
        <v>#N/A</v>
      </c>
      <c r="AG543" s="179" t="e">
        <f t="shared" ca="1" si="248"/>
        <v>#N/A</v>
      </c>
      <c r="AH543" s="179" t="e">
        <f t="shared" ca="1" si="248"/>
        <v>#N/A</v>
      </c>
    </row>
    <row r="544" spans="1:34" ht="15.75" customHeight="1">
      <c r="A544" s="179"/>
      <c r="B544" s="179"/>
      <c r="C544" s="179"/>
      <c r="D544" s="193"/>
      <c r="E544" s="193"/>
      <c r="F544" s="193"/>
      <c r="T544" s="179" t="e">
        <f t="shared" ca="1" si="243"/>
        <v>#N/A</v>
      </c>
      <c r="U544" s="179" t="e">
        <f t="shared" ca="1" si="244"/>
        <v>#N/A</v>
      </c>
      <c r="V544" s="179" t="e">
        <f t="shared" ca="1" si="244"/>
        <v>#N/A</v>
      </c>
      <c r="W544" s="179" t="e">
        <f t="shared" ca="1" si="239"/>
        <v>#N/A</v>
      </c>
      <c r="X544" s="179" t="e">
        <f t="shared" ca="1" si="245"/>
        <v>#N/A</v>
      </c>
      <c r="Y544" s="179" t="e">
        <f t="shared" ca="1" si="245"/>
        <v>#N/A</v>
      </c>
      <c r="Z544" s="179" t="e">
        <f t="shared" ca="1" si="240"/>
        <v>#N/A</v>
      </c>
      <c r="AA544" s="179" t="e">
        <f t="shared" ca="1" si="246"/>
        <v>#N/A</v>
      </c>
      <c r="AB544" s="179" t="e">
        <f t="shared" ca="1" si="246"/>
        <v>#N/A</v>
      </c>
      <c r="AC544" s="179" t="e">
        <f t="shared" ca="1" si="241"/>
        <v>#N/A</v>
      </c>
      <c r="AD544" s="179" t="e">
        <f t="shared" ca="1" si="247"/>
        <v>#N/A</v>
      </c>
      <c r="AE544" s="179" t="e">
        <f t="shared" ca="1" si="247"/>
        <v>#N/A</v>
      </c>
      <c r="AF544" s="179" t="e">
        <f t="shared" ca="1" si="242"/>
        <v>#N/A</v>
      </c>
      <c r="AG544" s="179" t="e">
        <f t="shared" ca="1" si="248"/>
        <v>#N/A</v>
      </c>
      <c r="AH544" s="179" t="e">
        <f t="shared" ca="1" si="248"/>
        <v>#N/A</v>
      </c>
    </row>
    <row r="545" spans="1:34" ht="15.75" customHeight="1">
      <c r="A545" s="179"/>
      <c r="B545" s="179"/>
      <c r="C545" s="179"/>
      <c r="D545" s="193"/>
      <c r="E545" s="193"/>
      <c r="F545" s="193"/>
      <c r="T545" s="179" t="e">
        <f t="shared" ca="1" si="243"/>
        <v>#N/A</v>
      </c>
      <c r="U545" s="179" t="e">
        <f t="shared" ca="1" si="244"/>
        <v>#N/A</v>
      </c>
      <c r="V545" s="179" t="e">
        <f t="shared" ca="1" si="244"/>
        <v>#N/A</v>
      </c>
      <c r="W545" s="179" t="e">
        <f t="shared" ca="1" si="239"/>
        <v>#N/A</v>
      </c>
      <c r="X545" s="179" t="e">
        <f t="shared" ca="1" si="245"/>
        <v>#N/A</v>
      </c>
      <c r="Y545" s="179" t="e">
        <f t="shared" ca="1" si="245"/>
        <v>#N/A</v>
      </c>
      <c r="Z545" s="179" t="e">
        <f t="shared" ca="1" si="240"/>
        <v>#N/A</v>
      </c>
      <c r="AA545" s="179" t="e">
        <f t="shared" ca="1" si="246"/>
        <v>#N/A</v>
      </c>
      <c r="AB545" s="179" t="e">
        <f t="shared" ca="1" si="246"/>
        <v>#N/A</v>
      </c>
      <c r="AC545" s="179" t="e">
        <f t="shared" ca="1" si="241"/>
        <v>#N/A</v>
      </c>
      <c r="AD545" s="179" t="e">
        <f t="shared" ca="1" si="247"/>
        <v>#N/A</v>
      </c>
      <c r="AE545" s="179" t="e">
        <f t="shared" ca="1" si="247"/>
        <v>#N/A</v>
      </c>
      <c r="AF545" s="179" t="e">
        <f t="shared" ca="1" si="242"/>
        <v>#N/A</v>
      </c>
      <c r="AG545" s="179" t="e">
        <f t="shared" ca="1" si="248"/>
        <v>#N/A</v>
      </c>
      <c r="AH545" s="179" t="e">
        <f t="shared" ca="1" si="248"/>
        <v>#N/A</v>
      </c>
    </row>
    <row r="546" spans="1:34" ht="15.75" customHeight="1">
      <c r="A546" s="179"/>
      <c r="B546" s="179"/>
      <c r="C546" s="179"/>
      <c r="D546" s="193"/>
      <c r="E546" s="193"/>
      <c r="F546" s="193"/>
      <c r="T546" s="179" t="e">
        <f t="shared" ca="1" si="243"/>
        <v>#N/A</v>
      </c>
      <c r="U546" s="179" t="e">
        <f t="shared" ca="1" si="244"/>
        <v>#N/A</v>
      </c>
      <c r="V546" s="179" t="e">
        <f t="shared" ca="1" si="244"/>
        <v>#N/A</v>
      </c>
      <c r="W546" s="179" t="e">
        <f t="shared" ca="1" si="239"/>
        <v>#N/A</v>
      </c>
      <c r="X546" s="179" t="e">
        <f t="shared" ca="1" si="245"/>
        <v>#N/A</v>
      </c>
      <c r="Y546" s="179" t="e">
        <f t="shared" ca="1" si="245"/>
        <v>#N/A</v>
      </c>
      <c r="Z546" s="179" t="e">
        <f t="shared" ca="1" si="240"/>
        <v>#N/A</v>
      </c>
      <c r="AA546" s="179" t="e">
        <f t="shared" ca="1" si="246"/>
        <v>#N/A</v>
      </c>
      <c r="AB546" s="179" t="e">
        <f t="shared" ca="1" si="246"/>
        <v>#N/A</v>
      </c>
      <c r="AC546" s="179" t="e">
        <f t="shared" ca="1" si="241"/>
        <v>#N/A</v>
      </c>
      <c r="AD546" s="179" t="e">
        <f t="shared" ca="1" si="247"/>
        <v>#N/A</v>
      </c>
      <c r="AE546" s="179" t="e">
        <f t="shared" ca="1" si="247"/>
        <v>#N/A</v>
      </c>
      <c r="AF546" s="179" t="e">
        <f t="shared" ca="1" si="242"/>
        <v>#N/A</v>
      </c>
      <c r="AG546" s="179" t="e">
        <f t="shared" ca="1" si="248"/>
        <v>#N/A</v>
      </c>
      <c r="AH546" s="179" t="e">
        <f t="shared" ca="1" si="248"/>
        <v>#N/A</v>
      </c>
    </row>
    <row r="547" spans="1:34" ht="15.75" customHeight="1">
      <c r="A547" s="179"/>
      <c r="B547" s="179"/>
      <c r="C547" s="179"/>
      <c r="D547" s="193"/>
      <c r="E547" s="193"/>
      <c r="F547" s="193"/>
      <c r="T547" s="179" t="e">
        <f t="shared" ca="1" si="243"/>
        <v>#N/A</v>
      </c>
      <c r="U547" s="179" t="e">
        <f t="shared" ca="1" si="244"/>
        <v>#N/A</v>
      </c>
      <c r="V547" s="179" t="e">
        <f t="shared" ca="1" si="244"/>
        <v>#N/A</v>
      </c>
      <c r="W547" s="179" t="e">
        <f t="shared" ca="1" si="239"/>
        <v>#N/A</v>
      </c>
      <c r="X547" s="179" t="e">
        <f t="shared" ca="1" si="245"/>
        <v>#N/A</v>
      </c>
      <c r="Y547" s="179" t="e">
        <f t="shared" ca="1" si="245"/>
        <v>#N/A</v>
      </c>
      <c r="Z547" s="179" t="e">
        <f t="shared" ca="1" si="240"/>
        <v>#N/A</v>
      </c>
      <c r="AA547" s="179" t="e">
        <f t="shared" ca="1" si="246"/>
        <v>#N/A</v>
      </c>
      <c r="AB547" s="179" t="e">
        <f t="shared" ca="1" si="246"/>
        <v>#N/A</v>
      </c>
      <c r="AC547" s="179" t="e">
        <f t="shared" ca="1" si="241"/>
        <v>#N/A</v>
      </c>
      <c r="AD547" s="179" t="e">
        <f t="shared" ca="1" si="247"/>
        <v>#N/A</v>
      </c>
      <c r="AE547" s="179" t="e">
        <f t="shared" ca="1" si="247"/>
        <v>#N/A</v>
      </c>
      <c r="AF547" s="179" t="e">
        <f t="shared" ca="1" si="242"/>
        <v>#N/A</v>
      </c>
      <c r="AG547" s="179" t="e">
        <f t="shared" ca="1" si="248"/>
        <v>#N/A</v>
      </c>
      <c r="AH547" s="179" t="e">
        <f t="shared" ca="1" si="248"/>
        <v>#N/A</v>
      </c>
    </row>
    <row r="548" spans="1:34" ht="15.75" customHeight="1">
      <c r="A548" s="179"/>
      <c r="B548" s="179"/>
      <c r="C548" s="179"/>
      <c r="D548" s="193"/>
      <c r="E548" s="193"/>
      <c r="F548" s="193"/>
      <c r="T548" s="179" t="e">
        <f t="shared" ca="1" si="243"/>
        <v>#N/A</v>
      </c>
      <c r="U548" s="179" t="e">
        <f t="shared" ca="1" si="244"/>
        <v>#N/A</v>
      </c>
      <c r="V548" s="179" t="e">
        <f t="shared" ca="1" si="244"/>
        <v>#N/A</v>
      </c>
      <c r="W548" s="179" t="e">
        <f t="shared" ca="1" si="239"/>
        <v>#N/A</v>
      </c>
      <c r="X548" s="179" t="e">
        <f t="shared" ca="1" si="245"/>
        <v>#N/A</v>
      </c>
      <c r="Y548" s="179" t="e">
        <f t="shared" ca="1" si="245"/>
        <v>#N/A</v>
      </c>
      <c r="Z548" s="179" t="e">
        <f t="shared" ca="1" si="240"/>
        <v>#N/A</v>
      </c>
      <c r="AA548" s="179" t="e">
        <f t="shared" ca="1" si="246"/>
        <v>#N/A</v>
      </c>
      <c r="AB548" s="179" t="e">
        <f t="shared" ca="1" si="246"/>
        <v>#N/A</v>
      </c>
      <c r="AC548" s="179" t="e">
        <f t="shared" ca="1" si="241"/>
        <v>#N/A</v>
      </c>
      <c r="AD548" s="179" t="e">
        <f t="shared" ca="1" si="247"/>
        <v>#N/A</v>
      </c>
      <c r="AE548" s="179" t="e">
        <f t="shared" ca="1" si="247"/>
        <v>#N/A</v>
      </c>
      <c r="AF548" s="179" t="e">
        <f t="shared" ca="1" si="242"/>
        <v>#N/A</v>
      </c>
      <c r="AG548" s="179" t="e">
        <f t="shared" ca="1" si="248"/>
        <v>#N/A</v>
      </c>
      <c r="AH548" s="179" t="e">
        <f t="shared" ca="1" si="248"/>
        <v>#N/A</v>
      </c>
    </row>
    <row r="549" spans="1:34" ht="15.75" customHeight="1">
      <c r="A549" s="423"/>
      <c r="B549" s="423"/>
      <c r="C549" s="423"/>
      <c r="D549" s="193"/>
      <c r="E549" s="193"/>
      <c r="F549" s="193"/>
      <c r="T549" s="179" t="e">
        <f t="shared" ca="1" si="243"/>
        <v>#N/A</v>
      </c>
      <c r="U549" s="179" t="e">
        <f t="shared" ref="U549:V568" ca="1" si="249">T549</f>
        <v>#N/A</v>
      </c>
      <c r="V549" s="179" t="e">
        <f t="shared" ca="1" si="249"/>
        <v>#N/A</v>
      </c>
      <c r="W549" s="179" t="e">
        <f t="shared" ca="1" si="239"/>
        <v>#N/A</v>
      </c>
      <c r="X549" s="179" t="e">
        <f t="shared" ref="X549:Y568" ca="1" si="250">W549</f>
        <v>#N/A</v>
      </c>
      <c r="Y549" s="179" t="e">
        <f t="shared" ca="1" si="250"/>
        <v>#N/A</v>
      </c>
      <c r="Z549" s="179" t="e">
        <f t="shared" ca="1" si="240"/>
        <v>#N/A</v>
      </c>
      <c r="AA549" s="179" t="e">
        <f t="shared" ref="AA549:AB568" ca="1" si="251">Z549</f>
        <v>#N/A</v>
      </c>
      <c r="AB549" s="179" t="e">
        <f t="shared" ca="1" si="251"/>
        <v>#N/A</v>
      </c>
      <c r="AC549" s="179" t="e">
        <f t="shared" ca="1" si="241"/>
        <v>#N/A</v>
      </c>
      <c r="AD549" s="179" t="e">
        <f t="shared" ref="AD549:AE568" ca="1" si="252">AC549</f>
        <v>#N/A</v>
      </c>
      <c r="AE549" s="179" t="e">
        <f t="shared" ca="1" si="252"/>
        <v>#N/A</v>
      </c>
      <c r="AF549" s="179" t="e">
        <f t="shared" ca="1" si="242"/>
        <v>#N/A</v>
      </c>
      <c r="AG549" s="179" t="e">
        <f t="shared" ref="AG549:AH568" ca="1" si="253">AF549</f>
        <v>#N/A</v>
      </c>
      <c r="AH549" s="179" t="e">
        <f t="shared" ca="1" si="253"/>
        <v>#N/A</v>
      </c>
    </row>
    <row r="550" spans="1:34" ht="15.75" customHeight="1">
      <c r="A550" s="423"/>
      <c r="B550" s="423"/>
      <c r="C550" s="423"/>
      <c r="D550" s="193"/>
      <c r="E550" s="193"/>
      <c r="F550" s="193"/>
      <c r="T550" s="179" t="e">
        <f t="shared" ca="1" si="243"/>
        <v>#N/A</v>
      </c>
      <c r="U550" s="179" t="e">
        <f t="shared" ca="1" si="249"/>
        <v>#N/A</v>
      </c>
      <c r="V550" s="179" t="e">
        <f t="shared" ca="1" si="249"/>
        <v>#N/A</v>
      </c>
      <c r="W550" s="179" t="e">
        <f t="shared" ca="1" si="239"/>
        <v>#N/A</v>
      </c>
      <c r="X550" s="179" t="e">
        <f t="shared" ca="1" si="250"/>
        <v>#N/A</v>
      </c>
      <c r="Y550" s="179" t="e">
        <f t="shared" ca="1" si="250"/>
        <v>#N/A</v>
      </c>
      <c r="Z550" s="179" t="e">
        <f t="shared" ca="1" si="240"/>
        <v>#N/A</v>
      </c>
      <c r="AA550" s="179" t="e">
        <f t="shared" ca="1" si="251"/>
        <v>#N/A</v>
      </c>
      <c r="AB550" s="179" t="e">
        <f t="shared" ca="1" si="251"/>
        <v>#N/A</v>
      </c>
      <c r="AC550" s="179" t="e">
        <f t="shared" ca="1" si="241"/>
        <v>#N/A</v>
      </c>
      <c r="AD550" s="179" t="e">
        <f t="shared" ca="1" si="252"/>
        <v>#N/A</v>
      </c>
      <c r="AE550" s="179" t="e">
        <f t="shared" ca="1" si="252"/>
        <v>#N/A</v>
      </c>
      <c r="AF550" s="179" t="e">
        <f t="shared" ca="1" si="242"/>
        <v>#N/A</v>
      </c>
      <c r="AG550" s="179" t="e">
        <f t="shared" ca="1" si="253"/>
        <v>#N/A</v>
      </c>
      <c r="AH550" s="179" t="e">
        <f t="shared" ca="1" si="253"/>
        <v>#N/A</v>
      </c>
    </row>
    <row r="551" spans="1:34" ht="15.75" customHeight="1">
      <c r="A551" s="423"/>
      <c r="B551" s="423"/>
      <c r="C551" s="423"/>
      <c r="D551" s="193"/>
      <c r="E551" s="193"/>
      <c r="F551" s="193"/>
      <c r="T551" s="179" t="e">
        <f t="shared" ca="1" si="243"/>
        <v>#N/A</v>
      </c>
      <c r="U551" s="179" t="e">
        <f t="shared" ca="1" si="249"/>
        <v>#N/A</v>
      </c>
      <c r="V551" s="179" t="e">
        <f t="shared" ca="1" si="249"/>
        <v>#N/A</v>
      </c>
      <c r="W551" s="179" t="e">
        <f t="shared" ca="1" si="239"/>
        <v>#N/A</v>
      </c>
      <c r="X551" s="179" t="e">
        <f t="shared" ca="1" si="250"/>
        <v>#N/A</v>
      </c>
      <c r="Y551" s="179" t="e">
        <f t="shared" ca="1" si="250"/>
        <v>#N/A</v>
      </c>
      <c r="Z551" s="179" t="e">
        <f t="shared" ca="1" si="240"/>
        <v>#N/A</v>
      </c>
      <c r="AA551" s="179" t="e">
        <f t="shared" ca="1" si="251"/>
        <v>#N/A</v>
      </c>
      <c r="AB551" s="179" t="e">
        <f t="shared" ca="1" si="251"/>
        <v>#N/A</v>
      </c>
      <c r="AC551" s="179" t="e">
        <f t="shared" ca="1" si="241"/>
        <v>#N/A</v>
      </c>
      <c r="AD551" s="179" t="e">
        <f t="shared" ca="1" si="252"/>
        <v>#N/A</v>
      </c>
      <c r="AE551" s="179" t="e">
        <f t="shared" ca="1" si="252"/>
        <v>#N/A</v>
      </c>
      <c r="AF551" s="179" t="e">
        <f t="shared" ca="1" si="242"/>
        <v>#N/A</v>
      </c>
      <c r="AG551" s="179" t="e">
        <f t="shared" ca="1" si="253"/>
        <v>#N/A</v>
      </c>
      <c r="AH551" s="179" t="e">
        <f t="shared" ca="1" si="253"/>
        <v>#N/A</v>
      </c>
    </row>
    <row r="552" spans="1:34" ht="15.75" customHeight="1">
      <c r="A552" s="423"/>
      <c r="B552" s="423"/>
      <c r="C552" s="423"/>
      <c r="D552" s="193"/>
      <c r="E552" s="193"/>
      <c r="F552" s="193"/>
      <c r="T552" s="179" t="e">
        <f t="shared" ca="1" si="243"/>
        <v>#N/A</v>
      </c>
      <c r="U552" s="179" t="e">
        <f t="shared" ca="1" si="249"/>
        <v>#N/A</v>
      </c>
      <c r="V552" s="179" t="e">
        <f t="shared" ca="1" si="249"/>
        <v>#N/A</v>
      </c>
      <c r="W552" s="179" t="e">
        <f t="shared" ca="1" si="239"/>
        <v>#N/A</v>
      </c>
      <c r="X552" s="179" t="e">
        <f t="shared" ca="1" si="250"/>
        <v>#N/A</v>
      </c>
      <c r="Y552" s="179" t="e">
        <f t="shared" ca="1" si="250"/>
        <v>#N/A</v>
      </c>
      <c r="Z552" s="179" t="e">
        <f t="shared" ca="1" si="240"/>
        <v>#N/A</v>
      </c>
      <c r="AA552" s="179" t="e">
        <f t="shared" ca="1" si="251"/>
        <v>#N/A</v>
      </c>
      <c r="AB552" s="179" t="e">
        <f t="shared" ca="1" si="251"/>
        <v>#N/A</v>
      </c>
      <c r="AC552" s="179" t="e">
        <f t="shared" ca="1" si="241"/>
        <v>#N/A</v>
      </c>
      <c r="AD552" s="179" t="e">
        <f t="shared" ca="1" si="252"/>
        <v>#N/A</v>
      </c>
      <c r="AE552" s="179" t="e">
        <f t="shared" ca="1" si="252"/>
        <v>#N/A</v>
      </c>
      <c r="AF552" s="179" t="e">
        <f t="shared" ca="1" si="242"/>
        <v>#N/A</v>
      </c>
      <c r="AG552" s="179" t="e">
        <f t="shared" ca="1" si="253"/>
        <v>#N/A</v>
      </c>
      <c r="AH552" s="179" t="e">
        <f t="shared" ca="1" si="253"/>
        <v>#N/A</v>
      </c>
    </row>
    <row r="553" spans="1:34" ht="15.75" customHeight="1">
      <c r="A553" s="423"/>
      <c r="B553" s="423"/>
      <c r="C553" s="423"/>
      <c r="D553" s="193"/>
      <c r="E553" s="193"/>
      <c r="F553" s="193"/>
      <c r="T553" s="179" t="e">
        <f t="shared" ca="1" si="243"/>
        <v>#N/A</v>
      </c>
      <c r="U553" s="179" t="e">
        <f t="shared" ca="1" si="249"/>
        <v>#N/A</v>
      </c>
      <c r="V553" s="179" t="e">
        <f t="shared" ca="1" si="249"/>
        <v>#N/A</v>
      </c>
      <c r="W553" s="179" t="e">
        <f t="shared" ca="1" si="239"/>
        <v>#N/A</v>
      </c>
      <c r="X553" s="179" t="e">
        <f t="shared" ca="1" si="250"/>
        <v>#N/A</v>
      </c>
      <c r="Y553" s="179" t="e">
        <f t="shared" ca="1" si="250"/>
        <v>#N/A</v>
      </c>
      <c r="Z553" s="179" t="e">
        <f t="shared" ca="1" si="240"/>
        <v>#N/A</v>
      </c>
      <c r="AA553" s="179" t="e">
        <f t="shared" ca="1" si="251"/>
        <v>#N/A</v>
      </c>
      <c r="AB553" s="179" t="e">
        <f t="shared" ca="1" si="251"/>
        <v>#N/A</v>
      </c>
      <c r="AC553" s="179" t="e">
        <f t="shared" ca="1" si="241"/>
        <v>#N/A</v>
      </c>
      <c r="AD553" s="179" t="e">
        <f t="shared" ca="1" si="252"/>
        <v>#N/A</v>
      </c>
      <c r="AE553" s="179" t="e">
        <f t="shared" ca="1" si="252"/>
        <v>#N/A</v>
      </c>
      <c r="AF553" s="179" t="e">
        <f t="shared" ca="1" si="242"/>
        <v>#N/A</v>
      </c>
      <c r="AG553" s="179" t="e">
        <f t="shared" ca="1" si="253"/>
        <v>#N/A</v>
      </c>
      <c r="AH553" s="179" t="e">
        <f t="shared" ca="1" si="253"/>
        <v>#N/A</v>
      </c>
    </row>
    <row r="554" spans="1:34" ht="15.75" customHeight="1">
      <c r="A554" s="423"/>
      <c r="B554" s="423"/>
      <c r="C554" s="423"/>
      <c r="D554" s="193"/>
      <c r="E554" s="193"/>
      <c r="F554" s="193"/>
      <c r="T554" s="179" t="e">
        <f t="shared" ca="1" si="243"/>
        <v>#N/A</v>
      </c>
      <c r="U554" s="179" t="e">
        <f t="shared" ca="1" si="249"/>
        <v>#N/A</v>
      </c>
      <c r="V554" s="179" t="e">
        <f t="shared" ca="1" si="249"/>
        <v>#N/A</v>
      </c>
      <c r="W554" s="179" t="e">
        <f t="shared" ca="1" si="239"/>
        <v>#N/A</v>
      </c>
      <c r="X554" s="179" t="e">
        <f t="shared" ca="1" si="250"/>
        <v>#N/A</v>
      </c>
      <c r="Y554" s="179" t="e">
        <f t="shared" ca="1" si="250"/>
        <v>#N/A</v>
      </c>
      <c r="Z554" s="179" t="e">
        <f t="shared" ca="1" si="240"/>
        <v>#N/A</v>
      </c>
      <c r="AA554" s="179" t="e">
        <f t="shared" ca="1" si="251"/>
        <v>#N/A</v>
      </c>
      <c r="AB554" s="179" t="e">
        <f t="shared" ca="1" si="251"/>
        <v>#N/A</v>
      </c>
      <c r="AC554" s="179" t="e">
        <f t="shared" ca="1" si="241"/>
        <v>#N/A</v>
      </c>
      <c r="AD554" s="179" t="e">
        <f t="shared" ca="1" si="252"/>
        <v>#N/A</v>
      </c>
      <c r="AE554" s="179" t="e">
        <f t="shared" ca="1" si="252"/>
        <v>#N/A</v>
      </c>
      <c r="AF554" s="179" t="e">
        <f t="shared" ca="1" si="242"/>
        <v>#N/A</v>
      </c>
      <c r="AG554" s="179" t="e">
        <f t="shared" ca="1" si="253"/>
        <v>#N/A</v>
      </c>
      <c r="AH554" s="179" t="e">
        <f t="shared" ca="1" si="253"/>
        <v>#N/A</v>
      </c>
    </row>
    <row r="555" spans="1:34" ht="15.75" customHeight="1">
      <c r="A555" s="423"/>
      <c r="B555" s="423"/>
      <c r="C555" s="423"/>
      <c r="D555" s="193"/>
      <c r="E555" s="193"/>
      <c r="F555" s="193"/>
      <c r="T555" s="179" t="e">
        <f t="shared" ca="1" si="243"/>
        <v>#N/A</v>
      </c>
      <c r="U555" s="179" t="e">
        <f t="shared" ca="1" si="249"/>
        <v>#N/A</v>
      </c>
      <c r="V555" s="179" t="e">
        <f t="shared" ca="1" si="249"/>
        <v>#N/A</v>
      </c>
      <c r="W555" s="179" t="e">
        <f t="shared" ca="1" si="239"/>
        <v>#N/A</v>
      </c>
      <c r="X555" s="179" t="e">
        <f t="shared" ca="1" si="250"/>
        <v>#N/A</v>
      </c>
      <c r="Y555" s="179" t="e">
        <f t="shared" ca="1" si="250"/>
        <v>#N/A</v>
      </c>
      <c r="Z555" s="179" t="e">
        <f t="shared" ca="1" si="240"/>
        <v>#N/A</v>
      </c>
      <c r="AA555" s="179" t="e">
        <f t="shared" ca="1" si="251"/>
        <v>#N/A</v>
      </c>
      <c r="AB555" s="179" t="e">
        <f t="shared" ca="1" si="251"/>
        <v>#N/A</v>
      </c>
      <c r="AC555" s="179" t="e">
        <f t="shared" ca="1" si="241"/>
        <v>#N/A</v>
      </c>
      <c r="AD555" s="179" t="e">
        <f t="shared" ca="1" si="252"/>
        <v>#N/A</v>
      </c>
      <c r="AE555" s="179" t="e">
        <f t="shared" ca="1" si="252"/>
        <v>#N/A</v>
      </c>
      <c r="AF555" s="179" t="e">
        <f t="shared" ca="1" si="242"/>
        <v>#N/A</v>
      </c>
      <c r="AG555" s="179" t="e">
        <f t="shared" ca="1" si="253"/>
        <v>#N/A</v>
      </c>
      <c r="AH555" s="179" t="e">
        <f t="shared" ca="1" si="253"/>
        <v>#N/A</v>
      </c>
    </row>
    <row r="556" spans="1:34" ht="15.75" customHeight="1">
      <c r="A556" s="423"/>
      <c r="B556" s="423"/>
      <c r="C556" s="423"/>
      <c r="D556" s="193"/>
      <c r="E556" s="193"/>
      <c r="F556" s="193"/>
      <c r="T556" s="179" t="e">
        <f t="shared" ca="1" si="243"/>
        <v>#N/A</v>
      </c>
      <c r="U556" s="179" t="e">
        <f t="shared" ca="1" si="249"/>
        <v>#N/A</v>
      </c>
      <c r="V556" s="179" t="e">
        <f t="shared" ca="1" si="249"/>
        <v>#N/A</v>
      </c>
      <c r="W556" s="179" t="e">
        <f t="shared" ca="1" si="239"/>
        <v>#N/A</v>
      </c>
      <c r="X556" s="179" t="e">
        <f t="shared" ca="1" si="250"/>
        <v>#N/A</v>
      </c>
      <c r="Y556" s="179" t="e">
        <f t="shared" ca="1" si="250"/>
        <v>#N/A</v>
      </c>
      <c r="Z556" s="179" t="e">
        <f t="shared" ca="1" si="240"/>
        <v>#N/A</v>
      </c>
      <c r="AA556" s="179" t="e">
        <f t="shared" ca="1" si="251"/>
        <v>#N/A</v>
      </c>
      <c r="AB556" s="179" t="e">
        <f t="shared" ca="1" si="251"/>
        <v>#N/A</v>
      </c>
      <c r="AC556" s="179" t="e">
        <f t="shared" ca="1" si="241"/>
        <v>#N/A</v>
      </c>
      <c r="AD556" s="179" t="e">
        <f t="shared" ca="1" si="252"/>
        <v>#N/A</v>
      </c>
      <c r="AE556" s="179" t="e">
        <f t="shared" ca="1" si="252"/>
        <v>#N/A</v>
      </c>
      <c r="AF556" s="179" t="e">
        <f t="shared" ca="1" si="242"/>
        <v>#N/A</v>
      </c>
      <c r="AG556" s="179" t="e">
        <f t="shared" ca="1" si="253"/>
        <v>#N/A</v>
      </c>
      <c r="AH556" s="179" t="e">
        <f t="shared" ca="1" si="253"/>
        <v>#N/A</v>
      </c>
    </row>
    <row r="557" spans="1:34" ht="15.75" customHeight="1">
      <c r="A557" s="423"/>
      <c r="B557" s="423"/>
      <c r="C557" s="423"/>
      <c r="D557" s="193"/>
      <c r="E557" s="193"/>
      <c r="F557" s="193"/>
      <c r="T557" s="179" t="e">
        <f t="shared" ca="1" si="243"/>
        <v>#N/A</v>
      </c>
      <c r="U557" s="179" t="e">
        <f t="shared" ca="1" si="249"/>
        <v>#N/A</v>
      </c>
      <c r="V557" s="179" t="e">
        <f t="shared" ca="1" si="249"/>
        <v>#N/A</v>
      </c>
      <c r="W557" s="179" t="e">
        <f t="shared" ca="1" si="239"/>
        <v>#N/A</v>
      </c>
      <c r="X557" s="179" t="e">
        <f t="shared" ca="1" si="250"/>
        <v>#N/A</v>
      </c>
      <c r="Y557" s="179" t="e">
        <f t="shared" ca="1" si="250"/>
        <v>#N/A</v>
      </c>
      <c r="Z557" s="179" t="e">
        <f t="shared" ca="1" si="240"/>
        <v>#N/A</v>
      </c>
      <c r="AA557" s="179" t="e">
        <f t="shared" ca="1" si="251"/>
        <v>#N/A</v>
      </c>
      <c r="AB557" s="179" t="e">
        <f t="shared" ca="1" si="251"/>
        <v>#N/A</v>
      </c>
      <c r="AC557" s="179" t="e">
        <f t="shared" ca="1" si="241"/>
        <v>#N/A</v>
      </c>
      <c r="AD557" s="179" t="e">
        <f t="shared" ca="1" si="252"/>
        <v>#N/A</v>
      </c>
      <c r="AE557" s="179" t="e">
        <f t="shared" ca="1" si="252"/>
        <v>#N/A</v>
      </c>
      <c r="AF557" s="179" t="e">
        <f t="shared" ca="1" si="242"/>
        <v>#N/A</v>
      </c>
      <c r="AG557" s="179" t="e">
        <f t="shared" ca="1" si="253"/>
        <v>#N/A</v>
      </c>
      <c r="AH557" s="179" t="e">
        <f t="shared" ca="1" si="253"/>
        <v>#N/A</v>
      </c>
    </row>
    <row r="558" spans="1:34" ht="15.75" customHeight="1">
      <c r="A558" s="423"/>
      <c r="B558" s="423"/>
      <c r="C558" s="423"/>
      <c r="D558" s="193"/>
      <c r="E558" s="193"/>
      <c r="F558" s="193"/>
      <c r="T558" s="179" t="e">
        <f t="shared" ca="1" si="243"/>
        <v>#N/A</v>
      </c>
      <c r="U558" s="179" t="e">
        <f t="shared" ca="1" si="249"/>
        <v>#N/A</v>
      </c>
      <c r="V558" s="179" t="e">
        <f t="shared" ca="1" si="249"/>
        <v>#N/A</v>
      </c>
      <c r="W558" s="179" t="e">
        <f t="shared" ca="1" si="239"/>
        <v>#N/A</v>
      </c>
      <c r="X558" s="179" t="e">
        <f t="shared" ca="1" si="250"/>
        <v>#N/A</v>
      </c>
      <c r="Y558" s="179" t="e">
        <f t="shared" ca="1" si="250"/>
        <v>#N/A</v>
      </c>
      <c r="Z558" s="179" t="e">
        <f t="shared" ca="1" si="240"/>
        <v>#N/A</v>
      </c>
      <c r="AA558" s="179" t="e">
        <f t="shared" ca="1" si="251"/>
        <v>#N/A</v>
      </c>
      <c r="AB558" s="179" t="e">
        <f t="shared" ca="1" si="251"/>
        <v>#N/A</v>
      </c>
      <c r="AC558" s="179" t="e">
        <f t="shared" ca="1" si="241"/>
        <v>#N/A</v>
      </c>
      <c r="AD558" s="179" t="e">
        <f t="shared" ca="1" si="252"/>
        <v>#N/A</v>
      </c>
      <c r="AE558" s="179" t="e">
        <f t="shared" ca="1" si="252"/>
        <v>#N/A</v>
      </c>
      <c r="AF558" s="179" t="e">
        <f t="shared" ca="1" si="242"/>
        <v>#N/A</v>
      </c>
      <c r="AG558" s="179" t="e">
        <f t="shared" ca="1" si="253"/>
        <v>#N/A</v>
      </c>
      <c r="AH558" s="179" t="e">
        <f t="shared" ca="1" si="253"/>
        <v>#N/A</v>
      </c>
    </row>
    <row r="559" spans="1:34" ht="15.75" customHeight="1">
      <c r="A559" s="423"/>
      <c r="B559" s="423"/>
      <c r="C559" s="423"/>
      <c r="D559" s="193"/>
      <c r="E559" s="193"/>
      <c r="F559" s="193"/>
      <c r="T559" s="179" t="e">
        <f t="shared" ca="1" si="243"/>
        <v>#N/A</v>
      </c>
      <c r="U559" s="179" t="e">
        <f t="shared" ca="1" si="249"/>
        <v>#N/A</v>
      </c>
      <c r="V559" s="179" t="e">
        <f t="shared" ca="1" si="249"/>
        <v>#N/A</v>
      </c>
      <c r="W559" s="179" t="e">
        <f t="shared" ca="1" si="239"/>
        <v>#N/A</v>
      </c>
      <c r="X559" s="179" t="e">
        <f t="shared" ca="1" si="250"/>
        <v>#N/A</v>
      </c>
      <c r="Y559" s="179" t="e">
        <f t="shared" ca="1" si="250"/>
        <v>#N/A</v>
      </c>
      <c r="Z559" s="179" t="e">
        <f t="shared" ca="1" si="240"/>
        <v>#N/A</v>
      </c>
      <c r="AA559" s="179" t="e">
        <f t="shared" ca="1" si="251"/>
        <v>#N/A</v>
      </c>
      <c r="AB559" s="179" t="e">
        <f t="shared" ca="1" si="251"/>
        <v>#N/A</v>
      </c>
      <c r="AC559" s="179" t="e">
        <f t="shared" ca="1" si="241"/>
        <v>#N/A</v>
      </c>
      <c r="AD559" s="179" t="e">
        <f t="shared" ca="1" si="252"/>
        <v>#N/A</v>
      </c>
      <c r="AE559" s="179" t="e">
        <f t="shared" ca="1" si="252"/>
        <v>#N/A</v>
      </c>
      <c r="AF559" s="179" t="e">
        <f t="shared" ca="1" si="242"/>
        <v>#N/A</v>
      </c>
      <c r="AG559" s="179" t="e">
        <f t="shared" ca="1" si="253"/>
        <v>#N/A</v>
      </c>
      <c r="AH559" s="179" t="e">
        <f t="shared" ca="1" si="253"/>
        <v>#N/A</v>
      </c>
    </row>
    <row r="560" spans="1:34" ht="15">
      <c r="A560" s="423"/>
      <c r="B560" s="423"/>
      <c r="C560" s="423"/>
      <c r="D560" s="193"/>
      <c r="E560" s="193"/>
      <c r="F560" s="193"/>
      <c r="T560" s="179" t="e">
        <f t="shared" ca="1" si="243"/>
        <v>#N/A</v>
      </c>
      <c r="U560" s="179" t="e">
        <f t="shared" ca="1" si="249"/>
        <v>#N/A</v>
      </c>
      <c r="V560" s="179" t="e">
        <f t="shared" ca="1" si="249"/>
        <v>#N/A</v>
      </c>
      <c r="W560" s="179" t="e">
        <f t="shared" ca="1" si="239"/>
        <v>#N/A</v>
      </c>
      <c r="X560" s="179" t="e">
        <f t="shared" ca="1" si="250"/>
        <v>#N/A</v>
      </c>
      <c r="Y560" s="179" t="e">
        <f t="shared" ca="1" si="250"/>
        <v>#N/A</v>
      </c>
      <c r="Z560" s="179" t="e">
        <f t="shared" ca="1" si="240"/>
        <v>#N/A</v>
      </c>
      <c r="AA560" s="179" t="e">
        <f t="shared" ca="1" si="251"/>
        <v>#N/A</v>
      </c>
      <c r="AB560" s="179" t="e">
        <f t="shared" ca="1" si="251"/>
        <v>#N/A</v>
      </c>
      <c r="AC560" s="179" t="e">
        <f t="shared" ca="1" si="241"/>
        <v>#N/A</v>
      </c>
      <c r="AD560" s="179" t="e">
        <f t="shared" ca="1" si="252"/>
        <v>#N/A</v>
      </c>
      <c r="AE560" s="179" t="e">
        <f t="shared" ca="1" si="252"/>
        <v>#N/A</v>
      </c>
      <c r="AF560" s="179" t="e">
        <f t="shared" ca="1" si="242"/>
        <v>#N/A</v>
      </c>
      <c r="AG560" s="179" t="e">
        <f t="shared" ca="1" si="253"/>
        <v>#N/A</v>
      </c>
      <c r="AH560" s="179" t="e">
        <f t="shared" ca="1" si="253"/>
        <v>#N/A</v>
      </c>
    </row>
    <row r="561" spans="1:34" ht="15">
      <c r="A561" s="423"/>
      <c r="B561" s="423"/>
      <c r="C561" s="423"/>
      <c r="D561" s="193"/>
      <c r="E561" s="193"/>
      <c r="F561" s="193"/>
      <c r="T561" s="179" t="e">
        <f t="shared" ca="1" si="243"/>
        <v>#N/A</v>
      </c>
      <c r="U561" s="179" t="e">
        <f t="shared" ca="1" si="249"/>
        <v>#N/A</v>
      </c>
      <c r="V561" s="179" t="e">
        <f t="shared" ca="1" si="249"/>
        <v>#N/A</v>
      </c>
      <c r="W561" s="179" t="e">
        <f t="shared" ca="1" si="239"/>
        <v>#N/A</v>
      </c>
      <c r="X561" s="179" t="e">
        <f t="shared" ca="1" si="250"/>
        <v>#N/A</v>
      </c>
      <c r="Y561" s="179" t="e">
        <f t="shared" ca="1" si="250"/>
        <v>#N/A</v>
      </c>
      <c r="Z561" s="179" t="e">
        <f t="shared" ca="1" si="240"/>
        <v>#N/A</v>
      </c>
      <c r="AA561" s="179" t="e">
        <f t="shared" ca="1" si="251"/>
        <v>#N/A</v>
      </c>
      <c r="AB561" s="179" t="e">
        <f t="shared" ca="1" si="251"/>
        <v>#N/A</v>
      </c>
      <c r="AC561" s="179" t="e">
        <f t="shared" ca="1" si="241"/>
        <v>#N/A</v>
      </c>
      <c r="AD561" s="179" t="e">
        <f t="shared" ca="1" si="252"/>
        <v>#N/A</v>
      </c>
      <c r="AE561" s="179" t="e">
        <f t="shared" ca="1" si="252"/>
        <v>#N/A</v>
      </c>
      <c r="AF561" s="179" t="e">
        <f t="shared" ca="1" si="242"/>
        <v>#N/A</v>
      </c>
      <c r="AG561" s="179" t="e">
        <f t="shared" ca="1" si="253"/>
        <v>#N/A</v>
      </c>
      <c r="AH561" s="179" t="e">
        <f t="shared" ca="1" si="253"/>
        <v>#N/A</v>
      </c>
    </row>
    <row r="562" spans="1:34" ht="15">
      <c r="A562" s="423"/>
      <c r="B562" s="423"/>
      <c r="C562" s="423"/>
      <c r="D562" s="193"/>
      <c r="E562" s="193"/>
      <c r="F562" s="193"/>
      <c r="T562" s="179" t="e">
        <f t="shared" ca="1" si="243"/>
        <v>#N/A</v>
      </c>
      <c r="U562" s="179" t="e">
        <f t="shared" ca="1" si="249"/>
        <v>#N/A</v>
      </c>
      <c r="V562" s="179" t="e">
        <f t="shared" ca="1" si="249"/>
        <v>#N/A</v>
      </c>
      <c r="W562" s="179" t="e">
        <f t="shared" ca="1" si="239"/>
        <v>#N/A</v>
      </c>
      <c r="X562" s="179" t="e">
        <f t="shared" ca="1" si="250"/>
        <v>#N/A</v>
      </c>
      <c r="Y562" s="179" t="e">
        <f t="shared" ca="1" si="250"/>
        <v>#N/A</v>
      </c>
      <c r="Z562" s="179" t="e">
        <f t="shared" ca="1" si="240"/>
        <v>#N/A</v>
      </c>
      <c r="AA562" s="179" t="e">
        <f t="shared" ca="1" si="251"/>
        <v>#N/A</v>
      </c>
      <c r="AB562" s="179" t="e">
        <f t="shared" ca="1" si="251"/>
        <v>#N/A</v>
      </c>
      <c r="AC562" s="179" t="e">
        <f t="shared" ca="1" si="241"/>
        <v>#N/A</v>
      </c>
      <c r="AD562" s="179" t="e">
        <f t="shared" ca="1" si="252"/>
        <v>#N/A</v>
      </c>
      <c r="AE562" s="179" t="e">
        <f t="shared" ca="1" si="252"/>
        <v>#N/A</v>
      </c>
      <c r="AF562" s="179" t="e">
        <f t="shared" ca="1" si="242"/>
        <v>#N/A</v>
      </c>
      <c r="AG562" s="179" t="e">
        <f t="shared" ca="1" si="253"/>
        <v>#N/A</v>
      </c>
      <c r="AH562" s="179" t="e">
        <f t="shared" ca="1" si="253"/>
        <v>#N/A</v>
      </c>
    </row>
    <row r="563" spans="1:34" ht="15">
      <c r="A563" s="423"/>
      <c r="B563" s="423"/>
      <c r="C563" s="423"/>
      <c r="D563" s="193"/>
      <c r="E563" s="193"/>
      <c r="F563" s="193"/>
      <c r="T563" s="179" t="e">
        <f t="shared" ca="1" si="243"/>
        <v>#N/A</v>
      </c>
      <c r="U563" s="179" t="e">
        <f t="shared" ca="1" si="249"/>
        <v>#N/A</v>
      </c>
      <c r="V563" s="179" t="e">
        <f t="shared" ca="1" si="249"/>
        <v>#N/A</v>
      </c>
      <c r="W563" s="179" t="e">
        <f t="shared" ca="1" si="239"/>
        <v>#N/A</v>
      </c>
      <c r="X563" s="179" t="e">
        <f t="shared" ca="1" si="250"/>
        <v>#N/A</v>
      </c>
      <c r="Y563" s="179" t="e">
        <f t="shared" ca="1" si="250"/>
        <v>#N/A</v>
      </c>
      <c r="Z563" s="179" t="e">
        <f t="shared" ca="1" si="240"/>
        <v>#N/A</v>
      </c>
      <c r="AA563" s="179" t="e">
        <f t="shared" ca="1" si="251"/>
        <v>#N/A</v>
      </c>
      <c r="AB563" s="179" t="e">
        <f t="shared" ca="1" si="251"/>
        <v>#N/A</v>
      </c>
      <c r="AC563" s="179" t="e">
        <f t="shared" ca="1" si="241"/>
        <v>#N/A</v>
      </c>
      <c r="AD563" s="179" t="e">
        <f t="shared" ca="1" si="252"/>
        <v>#N/A</v>
      </c>
      <c r="AE563" s="179" t="e">
        <f t="shared" ca="1" si="252"/>
        <v>#N/A</v>
      </c>
      <c r="AF563" s="179" t="e">
        <f t="shared" ca="1" si="242"/>
        <v>#N/A</v>
      </c>
      <c r="AG563" s="179" t="e">
        <f t="shared" ca="1" si="253"/>
        <v>#N/A</v>
      </c>
      <c r="AH563" s="179" t="e">
        <f t="shared" ca="1" si="253"/>
        <v>#N/A</v>
      </c>
    </row>
    <row r="564" spans="1:34" ht="15">
      <c r="A564" s="423"/>
      <c r="B564" s="423"/>
      <c r="C564" s="423"/>
      <c r="D564" s="193"/>
      <c r="E564" s="193"/>
      <c r="F564" s="193"/>
      <c r="T564" s="179" t="e">
        <f t="shared" ca="1" si="243"/>
        <v>#N/A</v>
      </c>
      <c r="U564" s="179" t="e">
        <f t="shared" ca="1" si="249"/>
        <v>#N/A</v>
      </c>
      <c r="V564" s="179" t="e">
        <f t="shared" ca="1" si="249"/>
        <v>#N/A</v>
      </c>
      <c r="W564" s="179" t="e">
        <f t="shared" ca="1" si="239"/>
        <v>#N/A</v>
      </c>
      <c r="X564" s="179" t="e">
        <f t="shared" ca="1" si="250"/>
        <v>#N/A</v>
      </c>
      <c r="Y564" s="179" t="e">
        <f t="shared" ca="1" si="250"/>
        <v>#N/A</v>
      </c>
      <c r="Z564" s="179" t="e">
        <f t="shared" ca="1" si="240"/>
        <v>#N/A</v>
      </c>
      <c r="AA564" s="179" t="e">
        <f t="shared" ca="1" si="251"/>
        <v>#N/A</v>
      </c>
      <c r="AB564" s="179" t="e">
        <f t="shared" ca="1" si="251"/>
        <v>#N/A</v>
      </c>
      <c r="AC564" s="179" t="e">
        <f t="shared" ca="1" si="241"/>
        <v>#N/A</v>
      </c>
      <c r="AD564" s="179" t="e">
        <f t="shared" ca="1" si="252"/>
        <v>#N/A</v>
      </c>
      <c r="AE564" s="179" t="e">
        <f t="shared" ca="1" si="252"/>
        <v>#N/A</v>
      </c>
      <c r="AF564" s="179" t="e">
        <f t="shared" ca="1" si="242"/>
        <v>#N/A</v>
      </c>
      <c r="AG564" s="179" t="e">
        <f t="shared" ca="1" si="253"/>
        <v>#N/A</v>
      </c>
      <c r="AH564" s="179" t="e">
        <f t="shared" ca="1" si="253"/>
        <v>#N/A</v>
      </c>
    </row>
    <row r="565" spans="1:34" ht="15">
      <c r="A565" s="423"/>
      <c r="B565" s="423"/>
      <c r="C565" s="423"/>
      <c r="D565" s="193"/>
      <c r="E565" s="193"/>
      <c r="F565" s="193"/>
      <c r="T565" s="179" t="e">
        <f t="shared" ca="1" si="243"/>
        <v>#N/A</v>
      </c>
      <c r="U565" s="179" t="e">
        <f t="shared" ca="1" si="249"/>
        <v>#N/A</v>
      </c>
      <c r="V565" s="179" t="e">
        <f t="shared" ca="1" si="249"/>
        <v>#N/A</v>
      </c>
      <c r="W565" s="179" t="e">
        <f t="shared" ca="1" si="239"/>
        <v>#N/A</v>
      </c>
      <c r="X565" s="179" t="e">
        <f t="shared" ca="1" si="250"/>
        <v>#N/A</v>
      </c>
      <c r="Y565" s="179" t="e">
        <f t="shared" ca="1" si="250"/>
        <v>#N/A</v>
      </c>
      <c r="Z565" s="179" t="e">
        <f t="shared" ca="1" si="240"/>
        <v>#N/A</v>
      </c>
      <c r="AA565" s="179" t="e">
        <f t="shared" ca="1" si="251"/>
        <v>#N/A</v>
      </c>
      <c r="AB565" s="179" t="e">
        <f t="shared" ca="1" si="251"/>
        <v>#N/A</v>
      </c>
      <c r="AC565" s="179" t="e">
        <f t="shared" ca="1" si="241"/>
        <v>#N/A</v>
      </c>
      <c r="AD565" s="179" t="e">
        <f t="shared" ca="1" si="252"/>
        <v>#N/A</v>
      </c>
      <c r="AE565" s="179" t="e">
        <f t="shared" ca="1" si="252"/>
        <v>#N/A</v>
      </c>
      <c r="AF565" s="179" t="e">
        <f t="shared" ca="1" si="242"/>
        <v>#N/A</v>
      </c>
      <c r="AG565" s="179" t="e">
        <f t="shared" ca="1" si="253"/>
        <v>#N/A</v>
      </c>
      <c r="AH565" s="179" t="e">
        <f t="shared" ca="1" si="253"/>
        <v>#N/A</v>
      </c>
    </row>
    <row r="566" spans="1:34" ht="15">
      <c r="A566" s="423"/>
      <c r="B566" s="423"/>
      <c r="C566" s="423"/>
      <c r="D566" s="193"/>
      <c r="E566" s="193"/>
      <c r="F566" s="193"/>
      <c r="T566" s="179" t="e">
        <f t="shared" ca="1" si="243"/>
        <v>#N/A</v>
      </c>
      <c r="U566" s="179" t="e">
        <f t="shared" ca="1" si="249"/>
        <v>#N/A</v>
      </c>
      <c r="V566" s="179" t="e">
        <f t="shared" ca="1" si="249"/>
        <v>#N/A</v>
      </c>
      <c r="W566" s="179" t="e">
        <f t="shared" ca="1" si="239"/>
        <v>#N/A</v>
      </c>
      <c r="X566" s="179" t="e">
        <f t="shared" ca="1" si="250"/>
        <v>#N/A</v>
      </c>
      <c r="Y566" s="179" t="e">
        <f t="shared" ca="1" si="250"/>
        <v>#N/A</v>
      </c>
      <c r="Z566" s="179" t="e">
        <f t="shared" ca="1" si="240"/>
        <v>#N/A</v>
      </c>
      <c r="AA566" s="179" t="e">
        <f t="shared" ca="1" si="251"/>
        <v>#N/A</v>
      </c>
      <c r="AB566" s="179" t="e">
        <f t="shared" ca="1" si="251"/>
        <v>#N/A</v>
      </c>
      <c r="AC566" s="179" t="e">
        <f t="shared" ca="1" si="241"/>
        <v>#N/A</v>
      </c>
      <c r="AD566" s="179" t="e">
        <f t="shared" ca="1" si="252"/>
        <v>#N/A</v>
      </c>
      <c r="AE566" s="179" t="e">
        <f t="shared" ca="1" si="252"/>
        <v>#N/A</v>
      </c>
      <c r="AF566" s="179" t="e">
        <f t="shared" ca="1" si="242"/>
        <v>#N/A</v>
      </c>
      <c r="AG566" s="179" t="e">
        <f t="shared" ca="1" si="253"/>
        <v>#N/A</v>
      </c>
      <c r="AH566" s="179" t="e">
        <f t="shared" ca="1" si="253"/>
        <v>#N/A</v>
      </c>
    </row>
    <row r="567" spans="1:34" ht="15">
      <c r="A567" s="423"/>
      <c r="B567" s="423"/>
      <c r="C567" s="423"/>
      <c r="D567" s="193"/>
      <c r="E567" s="193"/>
      <c r="F567" s="193"/>
      <c r="T567" s="179" t="e">
        <f t="shared" ca="1" si="243"/>
        <v>#N/A</v>
      </c>
      <c r="U567" s="179" t="e">
        <f t="shared" ca="1" si="249"/>
        <v>#N/A</v>
      </c>
      <c r="V567" s="179" t="e">
        <f t="shared" ca="1" si="249"/>
        <v>#N/A</v>
      </c>
      <c r="W567" s="179" t="e">
        <f t="shared" ca="1" si="239"/>
        <v>#N/A</v>
      </c>
      <c r="X567" s="179" t="e">
        <f t="shared" ca="1" si="250"/>
        <v>#N/A</v>
      </c>
      <c r="Y567" s="179" t="e">
        <f t="shared" ca="1" si="250"/>
        <v>#N/A</v>
      </c>
      <c r="Z567" s="179" t="e">
        <f t="shared" ca="1" si="240"/>
        <v>#N/A</v>
      </c>
      <c r="AA567" s="179" t="e">
        <f t="shared" ca="1" si="251"/>
        <v>#N/A</v>
      </c>
      <c r="AB567" s="179" t="e">
        <f t="shared" ca="1" si="251"/>
        <v>#N/A</v>
      </c>
      <c r="AC567" s="179" t="e">
        <f t="shared" ca="1" si="241"/>
        <v>#N/A</v>
      </c>
      <c r="AD567" s="179" t="e">
        <f t="shared" ca="1" si="252"/>
        <v>#N/A</v>
      </c>
      <c r="AE567" s="179" t="e">
        <f t="shared" ca="1" si="252"/>
        <v>#N/A</v>
      </c>
      <c r="AF567" s="179" t="e">
        <f t="shared" ca="1" si="242"/>
        <v>#N/A</v>
      </c>
      <c r="AG567" s="179" t="e">
        <f t="shared" ca="1" si="253"/>
        <v>#N/A</v>
      </c>
      <c r="AH567" s="179" t="e">
        <f t="shared" ca="1" si="253"/>
        <v>#N/A</v>
      </c>
    </row>
    <row r="568" spans="1:34" ht="12.75" customHeight="1">
      <c r="A568" s="423"/>
      <c r="B568" s="423"/>
      <c r="C568" s="423"/>
      <c r="D568" s="193"/>
      <c r="E568" s="193"/>
      <c r="F568" s="193"/>
      <c r="T568" s="179" t="e">
        <f t="shared" ca="1" si="243"/>
        <v>#N/A</v>
      </c>
      <c r="U568" s="179" t="e">
        <f t="shared" ca="1" si="249"/>
        <v>#N/A</v>
      </c>
      <c r="V568" s="179" t="e">
        <f t="shared" ca="1" si="249"/>
        <v>#N/A</v>
      </c>
      <c r="W568" s="179" t="e">
        <f t="shared" ca="1" si="239"/>
        <v>#N/A</v>
      </c>
      <c r="X568" s="179" t="e">
        <f t="shared" ca="1" si="250"/>
        <v>#N/A</v>
      </c>
      <c r="Y568" s="179" t="e">
        <f t="shared" ca="1" si="250"/>
        <v>#N/A</v>
      </c>
      <c r="Z568" s="179" t="e">
        <f t="shared" ca="1" si="240"/>
        <v>#N/A</v>
      </c>
      <c r="AA568" s="179" t="e">
        <f t="shared" ca="1" si="251"/>
        <v>#N/A</v>
      </c>
      <c r="AB568" s="179" t="e">
        <f t="shared" ca="1" si="251"/>
        <v>#N/A</v>
      </c>
      <c r="AC568" s="179" t="e">
        <f t="shared" ca="1" si="241"/>
        <v>#N/A</v>
      </c>
      <c r="AD568" s="179" t="e">
        <f t="shared" ca="1" si="252"/>
        <v>#N/A</v>
      </c>
      <c r="AE568" s="179" t="e">
        <f t="shared" ca="1" si="252"/>
        <v>#N/A</v>
      </c>
      <c r="AF568" s="179" t="e">
        <f t="shared" ca="1" si="242"/>
        <v>#N/A</v>
      </c>
      <c r="AG568" s="179" t="e">
        <f t="shared" ca="1" si="253"/>
        <v>#N/A</v>
      </c>
      <c r="AH568" s="179" t="e">
        <f t="shared" ca="1" si="253"/>
        <v>#N/A</v>
      </c>
    </row>
    <row r="569" spans="1:34" ht="12.75" customHeight="1">
      <c r="A569" s="423"/>
      <c r="B569" s="423"/>
      <c r="C569" s="423"/>
      <c r="D569" s="193"/>
      <c r="E569" s="193"/>
      <c r="F569" s="193"/>
      <c r="T569" s="179" t="e">
        <f t="shared" ca="1" si="243"/>
        <v>#N/A</v>
      </c>
      <c r="U569" s="179" t="e">
        <f t="shared" ref="U569:V573" ca="1" si="254">T569</f>
        <v>#N/A</v>
      </c>
      <c r="V569" s="179" t="e">
        <f t="shared" ca="1" si="254"/>
        <v>#N/A</v>
      </c>
      <c r="W569" s="179" t="e">
        <f t="shared" ca="1" si="239"/>
        <v>#N/A</v>
      </c>
      <c r="X569" s="179" t="e">
        <f t="shared" ref="X569:Y573" ca="1" si="255">W569</f>
        <v>#N/A</v>
      </c>
      <c r="Y569" s="179" t="e">
        <f t="shared" ca="1" si="255"/>
        <v>#N/A</v>
      </c>
      <c r="Z569" s="179" t="e">
        <f t="shared" ca="1" si="240"/>
        <v>#N/A</v>
      </c>
      <c r="AA569" s="179" t="e">
        <f t="shared" ref="AA569:AB573" ca="1" si="256">Z569</f>
        <v>#N/A</v>
      </c>
      <c r="AB569" s="179" t="e">
        <f t="shared" ca="1" si="256"/>
        <v>#N/A</v>
      </c>
      <c r="AC569" s="179" t="e">
        <f t="shared" ca="1" si="241"/>
        <v>#N/A</v>
      </c>
      <c r="AD569" s="179" t="e">
        <f t="shared" ref="AD569:AE573" ca="1" si="257">AC569</f>
        <v>#N/A</v>
      </c>
      <c r="AE569" s="179" t="e">
        <f t="shared" ca="1" si="257"/>
        <v>#N/A</v>
      </c>
      <c r="AF569" s="179" t="e">
        <f t="shared" ca="1" si="242"/>
        <v>#N/A</v>
      </c>
      <c r="AG569" s="179" t="e">
        <f t="shared" ref="AG569:AH573" ca="1" si="258">AF569</f>
        <v>#N/A</v>
      </c>
      <c r="AH569" s="179" t="e">
        <f t="shared" ca="1" si="258"/>
        <v>#N/A</v>
      </c>
    </row>
    <row r="570" spans="1:34" ht="12.75" customHeight="1">
      <c r="A570" s="423"/>
      <c r="B570" s="423"/>
      <c r="C570" s="423"/>
      <c r="D570" s="193"/>
      <c r="E570" s="193"/>
      <c r="F570" s="193"/>
      <c r="T570" s="179" t="e">
        <f t="shared" ca="1" si="243"/>
        <v>#N/A</v>
      </c>
      <c r="U570" s="179" t="e">
        <f t="shared" ca="1" si="254"/>
        <v>#N/A</v>
      </c>
      <c r="V570" s="179" t="e">
        <f t="shared" ca="1" si="254"/>
        <v>#N/A</v>
      </c>
      <c r="W570" s="179" t="e">
        <f t="shared" ca="1" si="239"/>
        <v>#N/A</v>
      </c>
      <c r="X570" s="179" t="e">
        <f t="shared" ca="1" si="255"/>
        <v>#N/A</v>
      </c>
      <c r="Y570" s="179" t="e">
        <f t="shared" ca="1" si="255"/>
        <v>#N/A</v>
      </c>
      <c r="Z570" s="179" t="e">
        <f t="shared" ca="1" si="240"/>
        <v>#N/A</v>
      </c>
      <c r="AA570" s="179" t="e">
        <f t="shared" ca="1" si="256"/>
        <v>#N/A</v>
      </c>
      <c r="AB570" s="179" t="e">
        <f t="shared" ca="1" si="256"/>
        <v>#N/A</v>
      </c>
      <c r="AC570" s="179" t="e">
        <f t="shared" ca="1" si="241"/>
        <v>#N/A</v>
      </c>
      <c r="AD570" s="179" t="e">
        <f t="shared" ca="1" si="257"/>
        <v>#N/A</v>
      </c>
      <c r="AE570" s="179" t="e">
        <f t="shared" ca="1" si="257"/>
        <v>#N/A</v>
      </c>
      <c r="AF570" s="179" t="e">
        <f t="shared" ca="1" si="242"/>
        <v>#N/A</v>
      </c>
      <c r="AG570" s="179" t="e">
        <f t="shared" ca="1" si="258"/>
        <v>#N/A</v>
      </c>
      <c r="AH570" s="179" t="e">
        <f t="shared" ca="1" si="258"/>
        <v>#N/A</v>
      </c>
    </row>
    <row r="571" spans="1:34" ht="12.75" customHeight="1">
      <c r="A571" s="423"/>
      <c r="B571" s="423"/>
      <c r="C571" s="423"/>
      <c r="D571" s="193"/>
      <c r="E571" s="193"/>
      <c r="F571" s="193"/>
      <c r="T571" s="179" t="e">
        <f t="shared" ca="1" si="243"/>
        <v>#N/A</v>
      </c>
      <c r="U571" s="179" t="e">
        <f t="shared" ca="1" si="254"/>
        <v>#N/A</v>
      </c>
      <c r="V571" s="179" t="e">
        <f t="shared" ca="1" si="254"/>
        <v>#N/A</v>
      </c>
      <c r="W571" s="179" t="e">
        <f t="shared" ca="1" si="239"/>
        <v>#N/A</v>
      </c>
      <c r="X571" s="179" t="e">
        <f t="shared" ca="1" si="255"/>
        <v>#N/A</v>
      </c>
      <c r="Y571" s="179" t="e">
        <f t="shared" ca="1" si="255"/>
        <v>#N/A</v>
      </c>
      <c r="Z571" s="179" t="e">
        <f t="shared" ca="1" si="240"/>
        <v>#N/A</v>
      </c>
      <c r="AA571" s="179" t="e">
        <f t="shared" ca="1" si="256"/>
        <v>#N/A</v>
      </c>
      <c r="AB571" s="179" t="e">
        <f t="shared" ca="1" si="256"/>
        <v>#N/A</v>
      </c>
      <c r="AC571" s="179" t="e">
        <f t="shared" ca="1" si="241"/>
        <v>#N/A</v>
      </c>
      <c r="AD571" s="179" t="e">
        <f t="shared" ca="1" si="257"/>
        <v>#N/A</v>
      </c>
      <c r="AE571" s="179" t="e">
        <f t="shared" ca="1" si="257"/>
        <v>#N/A</v>
      </c>
      <c r="AF571" s="179" t="e">
        <f t="shared" ca="1" si="242"/>
        <v>#N/A</v>
      </c>
      <c r="AG571" s="179" t="e">
        <f t="shared" ca="1" si="258"/>
        <v>#N/A</v>
      </c>
      <c r="AH571" s="179" t="e">
        <f t="shared" ca="1" si="258"/>
        <v>#N/A</v>
      </c>
    </row>
    <row r="572" spans="1:34" ht="14.25" customHeight="1">
      <c r="A572" s="423"/>
      <c r="B572" s="423"/>
      <c r="C572" s="423"/>
      <c r="D572" s="193"/>
      <c r="E572" s="193"/>
      <c r="F572" s="193"/>
      <c r="T572" s="179" t="e">
        <f t="shared" ca="1" si="243"/>
        <v>#N/A</v>
      </c>
      <c r="U572" s="179" t="e">
        <f t="shared" ca="1" si="254"/>
        <v>#N/A</v>
      </c>
      <c r="V572" s="179" t="e">
        <f t="shared" ca="1" si="254"/>
        <v>#N/A</v>
      </c>
      <c r="W572" s="179" t="e">
        <f t="shared" ca="1" si="239"/>
        <v>#N/A</v>
      </c>
      <c r="X572" s="179" t="e">
        <f t="shared" ca="1" si="255"/>
        <v>#N/A</v>
      </c>
      <c r="Y572" s="179" t="e">
        <f t="shared" ca="1" si="255"/>
        <v>#N/A</v>
      </c>
      <c r="Z572" s="179" t="e">
        <f t="shared" ca="1" si="240"/>
        <v>#N/A</v>
      </c>
      <c r="AA572" s="179" t="e">
        <f t="shared" ca="1" si="256"/>
        <v>#N/A</v>
      </c>
      <c r="AB572" s="179" t="e">
        <f t="shared" ca="1" si="256"/>
        <v>#N/A</v>
      </c>
      <c r="AC572" s="179" t="e">
        <f t="shared" ca="1" si="241"/>
        <v>#N/A</v>
      </c>
      <c r="AD572" s="179" t="e">
        <f t="shared" ca="1" si="257"/>
        <v>#N/A</v>
      </c>
      <c r="AE572" s="179" t="e">
        <f t="shared" ca="1" si="257"/>
        <v>#N/A</v>
      </c>
      <c r="AF572" s="179" t="e">
        <f t="shared" ca="1" si="242"/>
        <v>#N/A</v>
      </c>
      <c r="AG572" s="179" t="e">
        <f t="shared" ca="1" si="258"/>
        <v>#N/A</v>
      </c>
      <c r="AH572" s="179" t="e">
        <f t="shared" ca="1" si="258"/>
        <v>#N/A</v>
      </c>
    </row>
    <row r="573" spans="1:34" ht="15">
      <c r="A573" s="423"/>
      <c r="B573" s="423"/>
      <c r="C573" s="423"/>
      <c r="D573" s="193"/>
      <c r="E573" s="193"/>
      <c r="F573" s="193"/>
      <c r="T573" s="179" t="e">
        <f t="shared" ca="1" si="243"/>
        <v>#N/A</v>
      </c>
      <c r="U573" s="179" t="e">
        <f t="shared" ca="1" si="254"/>
        <v>#N/A</v>
      </c>
      <c r="V573" s="179" t="e">
        <f t="shared" ca="1" si="254"/>
        <v>#N/A</v>
      </c>
      <c r="W573" s="179" t="e">
        <f t="shared" ca="1" si="239"/>
        <v>#N/A</v>
      </c>
      <c r="X573" s="179" t="e">
        <f t="shared" ca="1" si="255"/>
        <v>#N/A</v>
      </c>
      <c r="Y573" s="179" t="e">
        <f t="shared" ca="1" si="255"/>
        <v>#N/A</v>
      </c>
      <c r="Z573" s="179" t="e">
        <f t="shared" ca="1" si="240"/>
        <v>#N/A</v>
      </c>
      <c r="AA573" s="179" t="e">
        <f t="shared" ca="1" si="256"/>
        <v>#N/A</v>
      </c>
      <c r="AB573" s="179" t="e">
        <f t="shared" ca="1" si="256"/>
        <v>#N/A</v>
      </c>
      <c r="AC573" s="179" t="e">
        <f t="shared" ca="1" si="241"/>
        <v>#N/A</v>
      </c>
      <c r="AD573" s="179" t="e">
        <f t="shared" ca="1" si="257"/>
        <v>#N/A</v>
      </c>
      <c r="AE573" s="179" t="e">
        <f t="shared" ca="1" si="257"/>
        <v>#N/A</v>
      </c>
      <c r="AF573" s="179" t="e">
        <f t="shared" ca="1" si="242"/>
        <v>#N/A</v>
      </c>
      <c r="AG573" s="179" t="e">
        <f t="shared" ca="1" si="258"/>
        <v>#N/A</v>
      </c>
      <c r="AH573" s="179" t="e">
        <f t="shared" ca="1" si="258"/>
        <v>#N/A</v>
      </c>
    </row>
    <row r="574" spans="1:34">
      <c r="A574" s="423"/>
      <c r="B574" s="423"/>
      <c r="C574" s="423"/>
    </row>
    <row r="575" spans="1:34">
      <c r="A575" s="423"/>
      <c r="B575" s="423"/>
      <c r="C575" s="423"/>
    </row>
    <row r="576" spans="1:34">
      <c r="A576" s="423"/>
      <c r="B576" s="423"/>
      <c r="C576" s="423"/>
    </row>
    <row r="577" spans="1:3">
      <c r="A577" s="423"/>
      <c r="B577" s="423"/>
      <c r="C577" s="423"/>
    </row>
    <row r="578" spans="1:3">
      <c r="A578" s="423"/>
      <c r="B578" s="423"/>
      <c r="C578" s="423"/>
    </row>
    <row r="579" spans="1:3">
      <c r="A579" s="423"/>
      <c r="B579" s="423"/>
      <c r="C579" s="423"/>
    </row>
    <row r="580" spans="1:3">
      <c r="A580" s="423"/>
      <c r="B580" s="423"/>
      <c r="C580" s="423"/>
    </row>
  </sheetData>
  <sheetProtection selectLockedCells="1" selectUnlockedCells="1"/>
  <mergeCells count="8">
    <mergeCell ref="A7:C7"/>
    <mergeCell ref="A1:R3"/>
    <mergeCell ref="A5:R5"/>
    <mergeCell ref="M7:O7"/>
    <mergeCell ref="P7:R7"/>
    <mergeCell ref="D7:F7"/>
    <mergeCell ref="G7:I7"/>
    <mergeCell ref="J7:L7"/>
  </mergeCells>
  <conditionalFormatting sqref="D9:F228">
    <cfRule type="expression" dxfId="56" priority="2" stopIfTrue="1">
      <formula>VLOOKUP($E9,TabAlgTutti,1,FALSE)=$E9</formula>
    </cfRule>
  </conditionalFormatting>
  <conditionalFormatting sqref="M9:O228">
    <cfRule type="expression" dxfId="55" priority="4" stopIfTrue="1">
      <formula>VLOOKUP($N9,TabAlgTutti,1,FALSE)=$N9</formula>
    </cfRule>
  </conditionalFormatting>
  <conditionalFormatting sqref="J9:L228">
    <cfRule type="expression" dxfId="54" priority="5" stopIfTrue="1">
      <formula>VLOOKUP($K9,TabAlgTutti,1,FALSE)=$K9</formula>
    </cfRule>
  </conditionalFormatting>
  <conditionalFormatting sqref="G9:I228">
    <cfRule type="expression" dxfId="53" priority="6" stopIfTrue="1">
      <formula>VLOOKUP($H9,TabAlgTutti,1,FALSE)=$H9</formula>
    </cfRule>
  </conditionalFormatting>
  <conditionalFormatting sqref="P9:R228">
    <cfRule type="expression" dxfId="52" priority="1" stopIfTrue="1">
      <formula>VLOOKUP($Q9,TabAlgTutti,1,FALSE)=$Q9</formula>
    </cfRule>
  </conditionalFormatting>
  <pageMargins left="0.7" right="0.7" top="0.75" bottom="0.75" header="0.51180555555555551" footer="0.51180555555555551"/>
  <pageSetup paperSize="9" firstPageNumber="0" orientation="portrait" horizontalDpi="300" verticalDpi="300" r:id="rId1"/>
  <headerFooter alignWithMargins="0"/>
  <tableParts count="6">
    <tablePart r:id="rId2"/>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3">
    <tabColor rgb="FFFFCC99"/>
  </sheetPr>
  <dimension ref="A1:C560"/>
  <sheetViews>
    <sheetView topLeftCell="A28" workbookViewId="0">
      <selection activeCell="B22" sqref="B22"/>
    </sheetView>
  </sheetViews>
  <sheetFormatPr defaultRowHeight="12.75"/>
  <cols>
    <col min="1" max="1" width="7" bestFit="1" customWidth="1"/>
    <col min="2" max="2" width="26.140625" customWidth="1"/>
    <col min="3" max="3" width="12.140625" customWidth="1"/>
  </cols>
  <sheetData>
    <row r="1" spans="1:3" ht="15.75">
      <c r="A1" s="578" t="s">
        <v>1321</v>
      </c>
      <c r="B1" s="579"/>
      <c r="C1" s="580"/>
    </row>
    <row r="2" spans="1:3" ht="15">
      <c r="A2" s="223" t="s">
        <v>638</v>
      </c>
      <c r="B2" s="223" t="s">
        <v>920</v>
      </c>
      <c r="C2" s="223" t="s">
        <v>637</v>
      </c>
    </row>
    <row r="3" spans="1:3" ht="15">
      <c r="A3" s="447" t="s">
        <v>43</v>
      </c>
      <c r="B3" s="447" t="s">
        <v>393</v>
      </c>
      <c r="C3" s="447" t="s">
        <v>676</v>
      </c>
    </row>
    <row r="4" spans="1:3" ht="15">
      <c r="A4" s="447" t="s">
        <v>43</v>
      </c>
      <c r="B4" s="447" t="s">
        <v>396</v>
      </c>
      <c r="C4" s="447" t="s">
        <v>677</v>
      </c>
    </row>
    <row r="5" spans="1:3" ht="15">
      <c r="A5" s="447" t="s">
        <v>43</v>
      </c>
      <c r="B5" s="447" t="s">
        <v>310</v>
      </c>
      <c r="C5" s="447" t="s">
        <v>687</v>
      </c>
    </row>
    <row r="6" spans="1:3" ht="15">
      <c r="A6" s="447" t="s">
        <v>43</v>
      </c>
      <c r="B6" s="447" t="s">
        <v>552</v>
      </c>
      <c r="C6" s="447" t="s">
        <v>681</v>
      </c>
    </row>
    <row r="7" spans="1:3" ht="15.75" customHeight="1">
      <c r="A7" s="447" t="s">
        <v>43</v>
      </c>
      <c r="B7" s="447" t="s">
        <v>358</v>
      </c>
      <c r="C7" s="447" t="s">
        <v>695</v>
      </c>
    </row>
    <row r="8" spans="1:3" ht="15.75" customHeight="1">
      <c r="A8" s="447" t="s">
        <v>43</v>
      </c>
      <c r="B8" s="447" t="s">
        <v>355</v>
      </c>
      <c r="C8" s="447" t="s">
        <v>676</v>
      </c>
    </row>
    <row r="9" spans="1:3" ht="15.75" customHeight="1">
      <c r="A9" s="447" t="s">
        <v>43</v>
      </c>
      <c r="B9" s="447" t="s">
        <v>408</v>
      </c>
      <c r="C9" s="447" t="s">
        <v>681</v>
      </c>
    </row>
    <row r="10" spans="1:3" ht="15.75" customHeight="1">
      <c r="A10" s="447" t="s">
        <v>43</v>
      </c>
      <c r="B10" s="447" t="s">
        <v>401</v>
      </c>
      <c r="C10" s="447" t="s">
        <v>682</v>
      </c>
    </row>
    <row r="11" spans="1:3" ht="15.75" customHeight="1">
      <c r="A11" s="447" t="s">
        <v>39</v>
      </c>
      <c r="B11" s="447" t="s">
        <v>567</v>
      </c>
      <c r="C11" s="447" t="s">
        <v>695</v>
      </c>
    </row>
    <row r="12" spans="1:3" ht="15.75" customHeight="1">
      <c r="A12" s="447" t="s">
        <v>43</v>
      </c>
      <c r="B12" s="447" t="s">
        <v>328</v>
      </c>
      <c r="C12" s="447" t="s">
        <v>681</v>
      </c>
    </row>
    <row r="13" spans="1:3" ht="15.75" customHeight="1">
      <c r="A13" s="447" t="s">
        <v>39</v>
      </c>
      <c r="B13" s="447" t="s">
        <v>483</v>
      </c>
      <c r="C13" s="447" t="s">
        <v>681</v>
      </c>
    </row>
    <row r="14" spans="1:3" ht="15.75" customHeight="1">
      <c r="A14" s="447" t="s">
        <v>43</v>
      </c>
      <c r="B14" s="447" t="s">
        <v>418</v>
      </c>
      <c r="C14" s="447" t="s">
        <v>678</v>
      </c>
    </row>
    <row r="15" spans="1:3" ht="15.75" customHeight="1">
      <c r="A15" s="447" t="s">
        <v>43</v>
      </c>
      <c r="B15" s="447" t="s">
        <v>476</v>
      </c>
      <c r="C15" s="447" t="s">
        <v>686</v>
      </c>
    </row>
    <row r="16" spans="1:3" ht="15.75" customHeight="1">
      <c r="A16" s="447" t="s">
        <v>39</v>
      </c>
      <c r="B16" s="447" t="s">
        <v>580</v>
      </c>
      <c r="C16" s="447" t="s">
        <v>677</v>
      </c>
    </row>
    <row r="17" spans="1:3" ht="15.75" customHeight="1">
      <c r="A17" s="447" t="s">
        <v>43</v>
      </c>
      <c r="B17" s="447" t="s">
        <v>319</v>
      </c>
      <c r="C17" s="447" t="s">
        <v>1477</v>
      </c>
    </row>
    <row r="18" spans="1:3" ht="15.75" customHeight="1">
      <c r="A18" s="447" t="s">
        <v>39</v>
      </c>
      <c r="B18" s="447" t="s">
        <v>610</v>
      </c>
      <c r="C18" s="447" t="s">
        <v>678</v>
      </c>
    </row>
    <row r="19" spans="1:3" ht="15.75" customHeight="1">
      <c r="A19" s="447" t="s">
        <v>43</v>
      </c>
      <c r="B19" s="447" t="s">
        <v>494</v>
      </c>
      <c r="C19" s="447" t="s">
        <v>688</v>
      </c>
    </row>
    <row r="20" spans="1:3" ht="15.75" customHeight="1">
      <c r="A20" s="447" t="s">
        <v>39</v>
      </c>
      <c r="B20" s="447" t="s">
        <v>340</v>
      </c>
      <c r="C20" s="447" t="s">
        <v>676</v>
      </c>
    </row>
    <row r="21" spans="1:3" ht="15.75" customHeight="1">
      <c r="A21" s="447" t="s">
        <v>43</v>
      </c>
      <c r="B21" s="447" t="s">
        <v>369</v>
      </c>
      <c r="C21" s="447" t="s">
        <v>685</v>
      </c>
    </row>
    <row r="22" spans="1:3" ht="15.75" customHeight="1">
      <c r="A22" s="447" t="s">
        <v>35</v>
      </c>
      <c r="B22" s="447" t="s">
        <v>316</v>
      </c>
      <c r="C22" s="447" t="s">
        <v>676</v>
      </c>
    </row>
    <row r="23" spans="1:3" ht="15.75" customHeight="1">
      <c r="A23" s="447" t="s">
        <v>39</v>
      </c>
      <c r="B23" s="447" t="s">
        <v>624</v>
      </c>
      <c r="C23" s="447" t="s">
        <v>681</v>
      </c>
    </row>
    <row r="24" spans="1:3" ht="15.75" customHeight="1">
      <c r="A24" s="447" t="s">
        <v>43</v>
      </c>
      <c r="B24" s="447" t="s">
        <v>1780</v>
      </c>
      <c r="C24" s="447" t="s">
        <v>1674</v>
      </c>
    </row>
    <row r="25" spans="1:3" ht="15.75" customHeight="1">
      <c r="A25" s="447" t="s">
        <v>43</v>
      </c>
      <c r="B25" s="447" t="s">
        <v>514</v>
      </c>
      <c r="C25" s="447" t="s">
        <v>692</v>
      </c>
    </row>
    <row r="26" spans="1:3" ht="15.75" customHeight="1">
      <c r="A26" s="447" t="s">
        <v>43</v>
      </c>
      <c r="B26" s="447" t="s">
        <v>532</v>
      </c>
      <c r="C26" s="447" t="s">
        <v>687</v>
      </c>
    </row>
    <row r="27" spans="1:3" ht="15.75" customHeight="1">
      <c r="A27" s="447" t="s">
        <v>43</v>
      </c>
      <c r="B27" s="447" t="s">
        <v>509</v>
      </c>
      <c r="C27" s="447" t="s">
        <v>695</v>
      </c>
    </row>
    <row r="28" spans="1:3" ht="15.75" customHeight="1">
      <c r="A28" s="447" t="s">
        <v>43</v>
      </c>
      <c r="B28" s="447" t="s">
        <v>433</v>
      </c>
      <c r="C28" s="447" t="s">
        <v>676</v>
      </c>
    </row>
    <row r="29" spans="1:3" ht="15.75" customHeight="1">
      <c r="A29" s="447" t="s">
        <v>39</v>
      </c>
      <c r="B29" s="447" t="s">
        <v>1734</v>
      </c>
      <c r="C29" s="447" t="s">
        <v>676</v>
      </c>
    </row>
    <row r="30" spans="1:3" ht="15.75" customHeight="1">
      <c r="A30" s="447" t="s">
        <v>39</v>
      </c>
      <c r="B30" s="447" t="s">
        <v>582</v>
      </c>
      <c r="C30" s="447" t="s">
        <v>676</v>
      </c>
    </row>
    <row r="31" spans="1:3" ht="15.75" customHeight="1">
      <c r="A31" s="447" t="s">
        <v>39</v>
      </c>
      <c r="B31" s="447" t="s">
        <v>456</v>
      </c>
      <c r="C31" s="447" t="s">
        <v>682</v>
      </c>
    </row>
    <row r="32" spans="1:3" ht="15.75" customHeight="1">
      <c r="A32" s="447" t="s">
        <v>43</v>
      </c>
      <c r="B32" s="447" t="s">
        <v>315</v>
      </c>
      <c r="C32" s="447" t="s">
        <v>685</v>
      </c>
    </row>
    <row r="33" spans="1:3" ht="15.75" customHeight="1">
      <c r="A33" s="447" t="s">
        <v>43</v>
      </c>
      <c r="B33" s="447" t="s">
        <v>454</v>
      </c>
      <c r="C33" s="447" t="s">
        <v>681</v>
      </c>
    </row>
    <row r="34" spans="1:3" ht="15.75" customHeight="1">
      <c r="A34" s="447" t="s">
        <v>35</v>
      </c>
      <c r="B34" s="447" t="s">
        <v>1294</v>
      </c>
      <c r="C34" s="447" t="s">
        <v>678</v>
      </c>
    </row>
    <row r="35" spans="1:3" ht="15.75" customHeight="1">
      <c r="A35" s="447" t="s">
        <v>39</v>
      </c>
      <c r="B35" s="447" t="s">
        <v>621</v>
      </c>
      <c r="C35" s="447" t="s">
        <v>691</v>
      </c>
    </row>
    <row r="36" spans="1:3" ht="15.75" customHeight="1">
      <c r="A36" s="447" t="s">
        <v>39</v>
      </c>
      <c r="B36" s="447" t="s">
        <v>506</v>
      </c>
      <c r="C36" s="447" t="s">
        <v>700</v>
      </c>
    </row>
    <row r="37" spans="1:3" ht="15.75" customHeight="1">
      <c r="A37" s="447" t="s">
        <v>39</v>
      </c>
      <c r="B37" s="447" t="s">
        <v>1938</v>
      </c>
      <c r="C37" s="447" t="s">
        <v>676</v>
      </c>
    </row>
    <row r="38" spans="1:3" ht="15.75" customHeight="1">
      <c r="A38" s="447" t="s">
        <v>43</v>
      </c>
      <c r="B38" s="447" t="s">
        <v>1982</v>
      </c>
      <c r="C38" s="447" t="s">
        <v>682</v>
      </c>
    </row>
    <row r="39" spans="1:3" ht="15.75" customHeight="1">
      <c r="A39" s="447" t="s">
        <v>43</v>
      </c>
      <c r="B39" s="447" t="s">
        <v>493</v>
      </c>
      <c r="C39" s="447" t="s">
        <v>687</v>
      </c>
    </row>
    <row r="40" spans="1:3" ht="15.75" customHeight="1">
      <c r="A40" s="447" t="s">
        <v>43</v>
      </c>
      <c r="B40" s="447" t="s">
        <v>1778</v>
      </c>
      <c r="C40" s="447" t="s">
        <v>678</v>
      </c>
    </row>
    <row r="41" spans="1:3" ht="15.75" customHeight="1">
      <c r="A41" s="447" t="s">
        <v>43</v>
      </c>
      <c r="B41" s="447" t="s">
        <v>425</v>
      </c>
      <c r="C41" s="447" t="s">
        <v>679</v>
      </c>
    </row>
    <row r="42" spans="1:3" ht="15.75" customHeight="1">
      <c r="A42" s="447" t="s">
        <v>43</v>
      </c>
      <c r="B42" s="447" t="s">
        <v>1291</v>
      </c>
      <c r="C42" s="447" t="s">
        <v>692</v>
      </c>
    </row>
    <row r="43" spans="1:3" ht="15.75" customHeight="1">
      <c r="A43" s="447" t="s">
        <v>43</v>
      </c>
      <c r="B43" s="447" t="s">
        <v>405</v>
      </c>
      <c r="C43" s="447" t="s">
        <v>680</v>
      </c>
    </row>
    <row r="44" spans="1:3" ht="15.75" customHeight="1">
      <c r="A44" s="447" t="s">
        <v>43</v>
      </c>
      <c r="B44" s="447" t="s">
        <v>344</v>
      </c>
      <c r="C44" s="447" t="s">
        <v>691</v>
      </c>
    </row>
    <row r="45" spans="1:3" ht="15.75" customHeight="1">
      <c r="A45" s="447" t="s">
        <v>35</v>
      </c>
      <c r="B45" s="447" t="s">
        <v>416</v>
      </c>
      <c r="C45" s="447" t="s">
        <v>681</v>
      </c>
    </row>
    <row r="46" spans="1:3" ht="15.75" customHeight="1">
      <c r="A46" s="447" t="s">
        <v>39</v>
      </c>
      <c r="B46" s="447" t="s">
        <v>378</v>
      </c>
      <c r="C46" s="447" t="s">
        <v>677</v>
      </c>
    </row>
    <row r="47" spans="1:3" ht="15.75" customHeight="1">
      <c r="A47" s="447" t="s">
        <v>39</v>
      </c>
      <c r="B47" s="447" t="s">
        <v>555</v>
      </c>
      <c r="C47" s="447" t="s">
        <v>682</v>
      </c>
    </row>
    <row r="48" spans="1:3" ht="15.75" customHeight="1">
      <c r="A48" s="447" t="s">
        <v>39</v>
      </c>
      <c r="B48" s="447" t="s">
        <v>357</v>
      </c>
      <c r="C48" s="447" t="s">
        <v>678</v>
      </c>
    </row>
    <row r="49" spans="1:3" ht="15.75" customHeight="1">
      <c r="A49" s="447" t="s">
        <v>39</v>
      </c>
      <c r="B49" s="447" t="s">
        <v>1735</v>
      </c>
      <c r="C49" s="447" t="s">
        <v>678</v>
      </c>
    </row>
    <row r="50" spans="1:3" ht="15.75" customHeight="1">
      <c r="A50" s="447" t="s">
        <v>39</v>
      </c>
      <c r="B50" s="447" t="s">
        <v>581</v>
      </c>
      <c r="C50" s="447" t="s">
        <v>695</v>
      </c>
    </row>
    <row r="51" spans="1:3" ht="15.75" customHeight="1">
      <c r="A51" s="447" t="s">
        <v>39</v>
      </c>
      <c r="B51" s="447" t="s">
        <v>1923</v>
      </c>
      <c r="C51" s="447" t="s">
        <v>688</v>
      </c>
    </row>
    <row r="52" spans="1:3" ht="15.75" customHeight="1">
      <c r="A52" s="447" t="s">
        <v>43</v>
      </c>
      <c r="B52" s="447" t="s">
        <v>341</v>
      </c>
      <c r="C52" s="447" t="s">
        <v>695</v>
      </c>
    </row>
    <row r="53" spans="1:3" ht="15.75" customHeight="1">
      <c r="A53" s="447" t="s">
        <v>43</v>
      </c>
      <c r="B53" s="447" t="s">
        <v>365</v>
      </c>
      <c r="C53" s="447" t="s">
        <v>695</v>
      </c>
    </row>
    <row r="54" spans="1:3" ht="15.75" customHeight="1">
      <c r="A54" s="447" t="s">
        <v>43</v>
      </c>
      <c r="B54" s="447" t="s">
        <v>522</v>
      </c>
      <c r="C54" s="447" t="s">
        <v>688</v>
      </c>
    </row>
    <row r="55" spans="1:3" ht="15.75" customHeight="1">
      <c r="A55" s="447" t="s">
        <v>35</v>
      </c>
      <c r="B55" s="447" t="s">
        <v>356</v>
      </c>
      <c r="C55" s="447" t="s">
        <v>677</v>
      </c>
    </row>
    <row r="56" spans="1:3" ht="15.75" customHeight="1">
      <c r="A56" s="447" t="s">
        <v>37</v>
      </c>
      <c r="B56" s="447" t="s">
        <v>1861</v>
      </c>
      <c r="C56" s="447" t="s">
        <v>678</v>
      </c>
    </row>
    <row r="57" spans="1:3" ht="15.75" customHeight="1">
      <c r="A57" s="447" t="s">
        <v>37</v>
      </c>
      <c r="B57" s="447" t="s">
        <v>312</v>
      </c>
      <c r="C57" s="447" t="s">
        <v>676</v>
      </c>
    </row>
    <row r="58" spans="1:3" ht="15.75" customHeight="1">
      <c r="A58" s="447" t="s">
        <v>37</v>
      </c>
      <c r="B58" s="447" t="s">
        <v>390</v>
      </c>
      <c r="C58" s="447" t="s">
        <v>686</v>
      </c>
    </row>
    <row r="59" spans="1:3" ht="15.75" customHeight="1">
      <c r="A59" s="447" t="s">
        <v>39</v>
      </c>
      <c r="B59" s="447" t="s">
        <v>354</v>
      </c>
      <c r="C59" s="447" t="s">
        <v>680</v>
      </c>
    </row>
    <row r="60" spans="1:3" ht="15.75" customHeight="1">
      <c r="A60" s="447" t="s">
        <v>39</v>
      </c>
      <c r="B60" s="447" t="s">
        <v>513</v>
      </c>
      <c r="C60" s="447" t="s">
        <v>676</v>
      </c>
    </row>
    <row r="61" spans="1:3" ht="15.75" customHeight="1">
      <c r="A61" s="447" t="s">
        <v>43</v>
      </c>
      <c r="B61" s="447" t="s">
        <v>1810</v>
      </c>
      <c r="C61" s="447" t="s">
        <v>684</v>
      </c>
    </row>
    <row r="62" spans="1:3" ht="15.75" customHeight="1">
      <c r="A62" s="447" t="s">
        <v>43</v>
      </c>
      <c r="B62" s="447" t="s">
        <v>331</v>
      </c>
      <c r="C62" s="447" t="s">
        <v>688</v>
      </c>
    </row>
    <row r="63" spans="1:3" ht="15.75" customHeight="1">
      <c r="A63" s="447" t="s">
        <v>43</v>
      </c>
      <c r="B63" s="447" t="s">
        <v>486</v>
      </c>
      <c r="C63" s="447" t="s">
        <v>686</v>
      </c>
    </row>
    <row r="64" spans="1:3" ht="15.75" customHeight="1">
      <c r="A64" s="447" t="s">
        <v>35</v>
      </c>
      <c r="B64" s="447" t="s">
        <v>1444</v>
      </c>
      <c r="C64" s="447" t="s">
        <v>682</v>
      </c>
    </row>
    <row r="65" spans="1:3" ht="15.75" customHeight="1">
      <c r="A65" s="447" t="s">
        <v>35</v>
      </c>
      <c r="B65" s="447" t="s">
        <v>300</v>
      </c>
      <c r="C65" s="447" t="s">
        <v>695</v>
      </c>
    </row>
    <row r="66" spans="1:3" ht="15.75" customHeight="1">
      <c r="A66" s="447" t="s">
        <v>37</v>
      </c>
      <c r="B66" s="447" t="s">
        <v>301</v>
      </c>
      <c r="C66" s="447" t="s">
        <v>685</v>
      </c>
    </row>
    <row r="67" spans="1:3" ht="15.75" customHeight="1">
      <c r="A67" s="447" t="s">
        <v>37</v>
      </c>
      <c r="B67" s="447" t="s">
        <v>1692</v>
      </c>
      <c r="C67" s="447" t="s">
        <v>695</v>
      </c>
    </row>
    <row r="68" spans="1:3" ht="15.75" customHeight="1">
      <c r="A68" s="447" t="s">
        <v>37</v>
      </c>
      <c r="B68" s="447" t="s">
        <v>523</v>
      </c>
      <c r="C68" s="447" t="s">
        <v>681</v>
      </c>
    </row>
    <row r="69" spans="1:3" ht="15.75" customHeight="1">
      <c r="A69" s="447" t="s">
        <v>37</v>
      </c>
      <c r="B69" s="447" t="s">
        <v>371</v>
      </c>
      <c r="C69" s="447" t="s">
        <v>678</v>
      </c>
    </row>
    <row r="70" spans="1:3" ht="15.75" customHeight="1">
      <c r="A70" s="447" t="s">
        <v>37</v>
      </c>
      <c r="B70" s="447" t="s">
        <v>429</v>
      </c>
      <c r="C70" s="447" t="s">
        <v>678</v>
      </c>
    </row>
    <row r="71" spans="1:3" ht="15.75" customHeight="1">
      <c r="A71" s="447" t="s">
        <v>37</v>
      </c>
      <c r="B71" s="447" t="s">
        <v>455</v>
      </c>
      <c r="C71" s="447" t="s">
        <v>682</v>
      </c>
    </row>
    <row r="72" spans="1:3" ht="15.75" customHeight="1">
      <c r="A72" s="447" t="s">
        <v>37</v>
      </c>
      <c r="B72" s="447" t="s">
        <v>417</v>
      </c>
      <c r="C72" s="447" t="s">
        <v>676</v>
      </c>
    </row>
    <row r="73" spans="1:3" ht="15.75" customHeight="1">
      <c r="A73" s="447" t="s">
        <v>39</v>
      </c>
      <c r="B73" s="447" t="s">
        <v>335</v>
      </c>
      <c r="C73" s="447" t="s">
        <v>692</v>
      </c>
    </row>
    <row r="74" spans="1:3" ht="15.75" customHeight="1">
      <c r="A74" s="447" t="s">
        <v>39</v>
      </c>
      <c r="B74" s="447" t="s">
        <v>1339</v>
      </c>
      <c r="C74" s="447" t="s">
        <v>676</v>
      </c>
    </row>
    <row r="75" spans="1:3" ht="15.75" customHeight="1">
      <c r="A75" s="447" t="s">
        <v>39</v>
      </c>
      <c r="B75" s="447" t="s">
        <v>1303</v>
      </c>
      <c r="C75" s="447" t="s">
        <v>678</v>
      </c>
    </row>
    <row r="76" spans="1:3" ht="15.75" customHeight="1">
      <c r="A76" s="447" t="s">
        <v>39</v>
      </c>
      <c r="B76" s="447" t="s">
        <v>606</v>
      </c>
      <c r="C76" s="447" t="s">
        <v>695</v>
      </c>
    </row>
    <row r="77" spans="1:3" ht="15.75" customHeight="1">
      <c r="A77" s="447" t="s">
        <v>43</v>
      </c>
      <c r="B77" s="447" t="s">
        <v>1785</v>
      </c>
      <c r="C77" s="447" t="s">
        <v>1674</v>
      </c>
    </row>
    <row r="78" spans="1:3" ht="15.75" customHeight="1">
      <c r="A78" s="447" t="s">
        <v>43</v>
      </c>
      <c r="B78" s="447" t="s">
        <v>586</v>
      </c>
      <c r="C78" s="447" t="s">
        <v>685</v>
      </c>
    </row>
    <row r="79" spans="1:3" ht="15.75" customHeight="1">
      <c r="A79" s="447" t="s">
        <v>39</v>
      </c>
      <c r="B79" s="447" t="s">
        <v>398</v>
      </c>
      <c r="C79" s="447" t="s">
        <v>686</v>
      </c>
    </row>
    <row r="80" spans="1:3" ht="15.75" customHeight="1">
      <c r="A80" s="447" t="s">
        <v>39</v>
      </c>
      <c r="B80" s="447" t="s">
        <v>1299</v>
      </c>
      <c r="C80" s="447" t="s">
        <v>691</v>
      </c>
    </row>
    <row r="81" spans="1:3" ht="15.75" customHeight="1">
      <c r="A81" s="447" t="s">
        <v>39</v>
      </c>
      <c r="B81" s="447" t="s">
        <v>389</v>
      </c>
      <c r="C81" s="447" t="s">
        <v>680</v>
      </c>
    </row>
    <row r="82" spans="1:3" ht="15.75" customHeight="1">
      <c r="A82" s="447" t="s">
        <v>39</v>
      </c>
      <c r="B82" s="447" t="s">
        <v>620</v>
      </c>
      <c r="C82" s="447" t="s">
        <v>677</v>
      </c>
    </row>
    <row r="83" spans="1:3" ht="15.75" customHeight="1">
      <c r="A83" s="447" t="s">
        <v>39</v>
      </c>
      <c r="B83" s="447" t="s">
        <v>538</v>
      </c>
      <c r="C83" s="447" t="s">
        <v>682</v>
      </c>
    </row>
    <row r="84" spans="1:3" ht="15.75" customHeight="1">
      <c r="A84" s="447" t="s">
        <v>39</v>
      </c>
      <c r="B84" s="447" t="s">
        <v>578</v>
      </c>
      <c r="C84" s="447" t="s">
        <v>682</v>
      </c>
    </row>
    <row r="85" spans="1:3" ht="15.75" customHeight="1">
      <c r="A85" s="447" t="s">
        <v>39</v>
      </c>
      <c r="B85" s="447" t="s">
        <v>421</v>
      </c>
      <c r="C85" s="447" t="s">
        <v>684</v>
      </c>
    </row>
    <row r="86" spans="1:3" ht="15.75" customHeight="1">
      <c r="A86" s="447" t="s">
        <v>39</v>
      </c>
      <c r="B86" s="447" t="s">
        <v>459</v>
      </c>
      <c r="C86" s="447" t="s">
        <v>684</v>
      </c>
    </row>
    <row r="87" spans="1:3" ht="15.75" customHeight="1">
      <c r="A87" s="447" t="s">
        <v>39</v>
      </c>
      <c r="B87" s="447" t="s">
        <v>1925</v>
      </c>
      <c r="C87" s="447" t="s">
        <v>692</v>
      </c>
    </row>
    <row r="88" spans="1:3" ht="15.75" customHeight="1">
      <c r="A88" s="447" t="s">
        <v>43</v>
      </c>
      <c r="B88" s="447" t="s">
        <v>1980</v>
      </c>
      <c r="C88" s="447" t="s">
        <v>1672</v>
      </c>
    </row>
    <row r="89" spans="1:3" ht="15.75" customHeight="1">
      <c r="A89" s="447" t="s">
        <v>43</v>
      </c>
      <c r="B89" s="447" t="s">
        <v>1779</v>
      </c>
      <c r="C89" s="447" t="s">
        <v>684</v>
      </c>
    </row>
    <row r="90" spans="1:3" ht="15.75" customHeight="1">
      <c r="A90" s="447" t="s">
        <v>43</v>
      </c>
      <c r="B90" s="447" t="s">
        <v>470</v>
      </c>
      <c r="C90" s="447" t="s">
        <v>1477</v>
      </c>
    </row>
    <row r="91" spans="1:3" ht="15.75" customHeight="1">
      <c r="A91" s="447" t="s">
        <v>43</v>
      </c>
      <c r="B91" s="447" t="s">
        <v>303</v>
      </c>
      <c r="C91" s="447" t="s">
        <v>692</v>
      </c>
    </row>
    <row r="92" spans="1:3" ht="15.75" customHeight="1">
      <c r="A92" s="447" t="s">
        <v>43</v>
      </c>
      <c r="B92" s="447" t="s">
        <v>372</v>
      </c>
      <c r="C92" s="447" t="s">
        <v>700</v>
      </c>
    </row>
    <row r="93" spans="1:3" ht="15.75" customHeight="1">
      <c r="A93" s="447" t="s">
        <v>43</v>
      </c>
      <c r="B93" s="447" t="s">
        <v>507</v>
      </c>
      <c r="C93" s="447" t="s">
        <v>700</v>
      </c>
    </row>
    <row r="94" spans="1:3" ht="15.75" customHeight="1">
      <c r="A94" s="447" t="s">
        <v>37</v>
      </c>
      <c r="B94" s="447" t="s">
        <v>539</v>
      </c>
      <c r="C94" s="447" t="s">
        <v>695</v>
      </c>
    </row>
    <row r="95" spans="1:3" ht="15.75" customHeight="1">
      <c r="A95" s="447" t="s">
        <v>37</v>
      </c>
      <c r="B95" s="447" t="s">
        <v>500</v>
      </c>
      <c r="C95" s="447" t="s">
        <v>681</v>
      </c>
    </row>
    <row r="96" spans="1:3" ht="15.75" customHeight="1">
      <c r="A96" s="447" t="s">
        <v>37</v>
      </c>
      <c r="B96" s="447" t="s">
        <v>1701</v>
      </c>
      <c r="C96" s="447" t="s">
        <v>678</v>
      </c>
    </row>
    <row r="97" spans="1:3" ht="15.75" customHeight="1">
      <c r="A97" s="447" t="s">
        <v>37</v>
      </c>
      <c r="B97" s="447" t="s">
        <v>551</v>
      </c>
      <c r="C97" s="447" t="s">
        <v>677</v>
      </c>
    </row>
    <row r="98" spans="1:3" ht="15.75" customHeight="1">
      <c r="A98" s="447" t="s">
        <v>39</v>
      </c>
      <c r="B98" s="447" t="s">
        <v>1736</v>
      </c>
      <c r="C98" s="447" t="s">
        <v>1672</v>
      </c>
    </row>
    <row r="99" spans="1:3" ht="15.75" customHeight="1">
      <c r="A99" s="447" t="s">
        <v>39</v>
      </c>
      <c r="B99" s="447" t="s">
        <v>600</v>
      </c>
      <c r="C99" s="447" t="s">
        <v>692</v>
      </c>
    </row>
    <row r="100" spans="1:3" ht="15.75" customHeight="1">
      <c r="A100" s="447" t="s">
        <v>39</v>
      </c>
      <c r="B100" s="447" t="s">
        <v>361</v>
      </c>
      <c r="C100" s="447" t="s">
        <v>677</v>
      </c>
    </row>
    <row r="101" spans="1:3" ht="15.75" customHeight="1">
      <c r="A101" s="447" t="s">
        <v>39</v>
      </c>
      <c r="B101" s="447" t="s">
        <v>463</v>
      </c>
      <c r="C101" s="447" t="s">
        <v>677</v>
      </c>
    </row>
    <row r="102" spans="1:3" ht="15.75" customHeight="1">
      <c r="A102" s="447" t="s">
        <v>39</v>
      </c>
      <c r="B102" s="447" t="s">
        <v>1329</v>
      </c>
      <c r="C102" s="447" t="s">
        <v>677</v>
      </c>
    </row>
    <row r="103" spans="1:3" ht="15.75" customHeight="1">
      <c r="A103" s="447" t="s">
        <v>39</v>
      </c>
      <c r="B103" s="447" t="s">
        <v>346</v>
      </c>
      <c r="C103" s="447" t="s">
        <v>678</v>
      </c>
    </row>
    <row r="104" spans="1:3" ht="15.75" customHeight="1">
      <c r="A104" s="447" t="s">
        <v>39</v>
      </c>
      <c r="B104" s="447" t="s">
        <v>333</v>
      </c>
      <c r="C104" s="447" t="s">
        <v>687</v>
      </c>
    </row>
    <row r="105" spans="1:3" ht="15.75" customHeight="1">
      <c r="A105" s="447" t="s">
        <v>39</v>
      </c>
      <c r="B105" s="447" t="s">
        <v>504</v>
      </c>
      <c r="C105" s="447" t="s">
        <v>684</v>
      </c>
    </row>
    <row r="106" spans="1:3" ht="15.75" customHeight="1">
      <c r="A106" s="447" t="s">
        <v>43</v>
      </c>
      <c r="B106" s="447" t="s">
        <v>1796</v>
      </c>
      <c r="C106" s="447" t="s">
        <v>682</v>
      </c>
    </row>
    <row r="107" spans="1:3" ht="15.75" customHeight="1">
      <c r="A107" s="447" t="s">
        <v>43</v>
      </c>
      <c r="B107" s="447" t="s">
        <v>1777</v>
      </c>
      <c r="C107" s="447" t="s">
        <v>1477</v>
      </c>
    </row>
    <row r="108" spans="1:3" ht="15.75" customHeight="1">
      <c r="A108" s="447" t="s">
        <v>43</v>
      </c>
      <c r="B108" s="447" t="s">
        <v>1792</v>
      </c>
      <c r="C108" s="447" t="s">
        <v>681</v>
      </c>
    </row>
    <row r="109" spans="1:3" ht="15.75" customHeight="1">
      <c r="A109" s="447" t="s">
        <v>43</v>
      </c>
      <c r="B109" s="447" t="s">
        <v>477</v>
      </c>
      <c r="C109" s="447" t="s">
        <v>700</v>
      </c>
    </row>
    <row r="110" spans="1:3" ht="15.75" customHeight="1">
      <c r="A110" s="447" t="s">
        <v>43</v>
      </c>
      <c r="B110" s="447" t="s">
        <v>362</v>
      </c>
      <c r="C110" s="447" t="s">
        <v>677</v>
      </c>
    </row>
    <row r="111" spans="1:3" ht="15.75" customHeight="1">
      <c r="A111" s="447" t="s">
        <v>43</v>
      </c>
      <c r="B111" s="447" t="s">
        <v>324</v>
      </c>
      <c r="C111" s="447" t="s">
        <v>701</v>
      </c>
    </row>
    <row r="112" spans="1:3" ht="15.75" customHeight="1">
      <c r="A112" s="447" t="s">
        <v>35</v>
      </c>
      <c r="B112" s="447" t="s">
        <v>311</v>
      </c>
      <c r="C112" s="447" t="s">
        <v>686</v>
      </c>
    </row>
    <row r="113" spans="1:3" ht="15.75" customHeight="1">
      <c r="A113" s="447" t="s">
        <v>35</v>
      </c>
      <c r="B113" s="447" t="s">
        <v>1676</v>
      </c>
      <c r="C113" s="447" t="s">
        <v>687</v>
      </c>
    </row>
    <row r="114" spans="1:3" ht="15.75" customHeight="1">
      <c r="A114" s="447" t="s">
        <v>37</v>
      </c>
      <c r="B114" s="447" t="s">
        <v>1955</v>
      </c>
      <c r="C114" s="447" t="s">
        <v>677</v>
      </c>
    </row>
    <row r="115" spans="1:3" ht="15.75" customHeight="1">
      <c r="A115" s="447" t="s">
        <v>37</v>
      </c>
      <c r="B115" s="447" t="s">
        <v>1981</v>
      </c>
      <c r="C115" s="447" t="s">
        <v>676</v>
      </c>
    </row>
    <row r="116" spans="1:3" ht="15.75" customHeight="1">
      <c r="A116" s="447" t="s">
        <v>37</v>
      </c>
      <c r="B116" s="447" t="s">
        <v>380</v>
      </c>
      <c r="C116" s="447" t="s">
        <v>695</v>
      </c>
    </row>
    <row r="117" spans="1:3" ht="15.75" customHeight="1">
      <c r="A117" s="447" t="s">
        <v>37</v>
      </c>
      <c r="B117" s="447" t="s">
        <v>360</v>
      </c>
      <c r="C117" s="447" t="s">
        <v>676</v>
      </c>
    </row>
    <row r="118" spans="1:3" ht="15.75" customHeight="1">
      <c r="A118" s="447" t="s">
        <v>37</v>
      </c>
      <c r="B118" s="447" t="s">
        <v>1302</v>
      </c>
      <c r="C118" s="447" t="s">
        <v>686</v>
      </c>
    </row>
    <row r="119" spans="1:3" ht="15.75" customHeight="1">
      <c r="A119" s="447" t="s">
        <v>39</v>
      </c>
      <c r="B119" s="447" t="s">
        <v>407</v>
      </c>
      <c r="C119" s="447" t="s">
        <v>686</v>
      </c>
    </row>
    <row r="120" spans="1:3" ht="15.75" customHeight="1">
      <c r="A120" s="447" t="s">
        <v>39</v>
      </c>
      <c r="B120" s="447" t="s">
        <v>613</v>
      </c>
      <c r="C120" s="447" t="s">
        <v>691</v>
      </c>
    </row>
    <row r="121" spans="1:3" ht="15.75" customHeight="1">
      <c r="A121" s="447" t="s">
        <v>39</v>
      </c>
      <c r="B121" s="447" t="s">
        <v>497</v>
      </c>
      <c r="C121" s="447" t="s">
        <v>700</v>
      </c>
    </row>
    <row r="122" spans="1:3" ht="15.75" customHeight="1">
      <c r="A122" s="447" t="s">
        <v>39</v>
      </c>
      <c r="B122" s="447" t="s">
        <v>1737</v>
      </c>
      <c r="C122" s="447" t="s">
        <v>692</v>
      </c>
    </row>
    <row r="123" spans="1:3" ht="15.75" customHeight="1">
      <c r="A123" s="447" t="s">
        <v>39</v>
      </c>
      <c r="B123" s="447" t="s">
        <v>1740</v>
      </c>
      <c r="C123" s="447" t="s">
        <v>682</v>
      </c>
    </row>
    <row r="124" spans="1:3" ht="15.75" customHeight="1">
      <c r="A124" s="447" t="s">
        <v>39</v>
      </c>
      <c r="B124" s="447" t="s">
        <v>302</v>
      </c>
      <c r="C124" s="447" t="s">
        <v>681</v>
      </c>
    </row>
    <row r="125" spans="1:3" ht="15.75" customHeight="1">
      <c r="A125" s="447" t="s">
        <v>39</v>
      </c>
      <c r="B125" s="447" t="s">
        <v>485</v>
      </c>
      <c r="C125" s="447" t="s">
        <v>695</v>
      </c>
    </row>
    <row r="126" spans="1:3" ht="15.75" customHeight="1">
      <c r="A126" s="447" t="s">
        <v>39</v>
      </c>
      <c r="B126" s="447" t="s">
        <v>579</v>
      </c>
      <c r="C126" s="447" t="s">
        <v>695</v>
      </c>
    </row>
    <row r="127" spans="1:3" ht="15.75" customHeight="1">
      <c r="A127" s="447" t="s">
        <v>39</v>
      </c>
      <c r="B127" s="447" t="s">
        <v>1843</v>
      </c>
      <c r="C127" s="447" t="s">
        <v>679</v>
      </c>
    </row>
    <row r="128" spans="1:3" ht="15.75" customHeight="1">
      <c r="A128" s="447" t="s">
        <v>43</v>
      </c>
      <c r="B128" s="447" t="s">
        <v>484</v>
      </c>
      <c r="C128" s="447" t="s">
        <v>684</v>
      </c>
    </row>
    <row r="129" spans="1:3" ht="15.75" customHeight="1">
      <c r="A129" s="447" t="s">
        <v>43</v>
      </c>
      <c r="B129" s="447" t="s">
        <v>462</v>
      </c>
      <c r="C129" s="447" t="s">
        <v>687</v>
      </c>
    </row>
    <row r="130" spans="1:3" ht="15.75" customHeight="1">
      <c r="A130" s="447" t="s">
        <v>43</v>
      </c>
      <c r="B130" s="447" t="s">
        <v>520</v>
      </c>
      <c r="C130" s="447" t="s">
        <v>701</v>
      </c>
    </row>
    <row r="131" spans="1:3" ht="15.75" customHeight="1">
      <c r="A131" s="447" t="s">
        <v>43</v>
      </c>
      <c r="B131" s="447" t="s">
        <v>491</v>
      </c>
      <c r="C131" s="447" t="s">
        <v>680</v>
      </c>
    </row>
    <row r="132" spans="1:3" ht="15.75" customHeight="1">
      <c r="A132" s="447" t="s">
        <v>43</v>
      </c>
      <c r="B132" s="447" t="s">
        <v>1781</v>
      </c>
      <c r="C132" s="447" t="s">
        <v>686</v>
      </c>
    </row>
    <row r="133" spans="1:3" ht="15.75" customHeight="1">
      <c r="A133" s="447" t="s">
        <v>35</v>
      </c>
      <c r="B133" s="447" t="s">
        <v>379</v>
      </c>
      <c r="C133" s="447" t="s">
        <v>691</v>
      </c>
    </row>
    <row r="134" spans="1:3" ht="15.75" customHeight="1">
      <c r="A134" s="447" t="s">
        <v>35</v>
      </c>
      <c r="B134" s="447" t="s">
        <v>432</v>
      </c>
      <c r="C134" s="447" t="s">
        <v>692</v>
      </c>
    </row>
    <row r="135" spans="1:3" ht="15.75" customHeight="1">
      <c r="A135" s="447" t="s">
        <v>35</v>
      </c>
      <c r="B135" s="447" t="s">
        <v>446</v>
      </c>
      <c r="C135" s="447" t="s">
        <v>688</v>
      </c>
    </row>
    <row r="136" spans="1:3" ht="15.75" customHeight="1">
      <c r="A136" s="447" t="s">
        <v>35</v>
      </c>
      <c r="B136" s="447" t="s">
        <v>325</v>
      </c>
      <c r="C136" s="447" t="s">
        <v>685</v>
      </c>
    </row>
    <row r="137" spans="1:3" ht="15.75" customHeight="1">
      <c r="A137" s="447" t="s">
        <v>37</v>
      </c>
      <c r="B137" s="447" t="s">
        <v>1922</v>
      </c>
      <c r="C137" s="447" t="s">
        <v>687</v>
      </c>
    </row>
    <row r="138" spans="1:3" ht="15.75" customHeight="1">
      <c r="A138" s="447" t="s">
        <v>37</v>
      </c>
      <c r="B138" s="447" t="s">
        <v>1921</v>
      </c>
      <c r="C138" s="447" t="s">
        <v>677</v>
      </c>
    </row>
    <row r="139" spans="1:3" ht="15.75" customHeight="1">
      <c r="A139" s="447" t="s">
        <v>37</v>
      </c>
      <c r="B139" s="447" t="s">
        <v>1693</v>
      </c>
      <c r="C139" s="447" t="s">
        <v>1674</v>
      </c>
    </row>
    <row r="140" spans="1:3" ht="15.75" customHeight="1">
      <c r="A140" s="447" t="s">
        <v>37</v>
      </c>
      <c r="B140" s="447" t="s">
        <v>922</v>
      </c>
      <c r="C140" s="447" t="s">
        <v>695</v>
      </c>
    </row>
    <row r="141" spans="1:3" ht="15.75" customHeight="1">
      <c r="A141" s="447" t="s">
        <v>37</v>
      </c>
      <c r="B141" s="447" t="s">
        <v>308</v>
      </c>
      <c r="C141" s="447" t="s">
        <v>681</v>
      </c>
    </row>
    <row r="142" spans="1:3" ht="15.75" customHeight="1">
      <c r="A142" s="447" t="s">
        <v>37</v>
      </c>
      <c r="B142" s="447" t="s">
        <v>1297</v>
      </c>
      <c r="C142" s="447" t="s">
        <v>678</v>
      </c>
    </row>
    <row r="143" spans="1:3" ht="15.75" customHeight="1">
      <c r="A143" s="447" t="s">
        <v>37</v>
      </c>
      <c r="B143" s="447" t="s">
        <v>529</v>
      </c>
      <c r="C143" s="447" t="s">
        <v>676</v>
      </c>
    </row>
    <row r="144" spans="1:3" ht="15.75" customHeight="1">
      <c r="A144" s="447" t="s">
        <v>37</v>
      </c>
      <c r="B144" s="447" t="s">
        <v>588</v>
      </c>
      <c r="C144" s="447" t="s">
        <v>676</v>
      </c>
    </row>
    <row r="145" spans="1:3" ht="15.75" customHeight="1">
      <c r="A145" s="447" t="s">
        <v>37</v>
      </c>
      <c r="B145" s="447" t="s">
        <v>599</v>
      </c>
      <c r="C145" s="447" t="s">
        <v>677</v>
      </c>
    </row>
    <row r="146" spans="1:3" ht="15.75" customHeight="1">
      <c r="A146" s="447" t="s">
        <v>37</v>
      </c>
      <c r="B146" s="447" t="s">
        <v>336</v>
      </c>
      <c r="C146" s="447" t="s">
        <v>692</v>
      </c>
    </row>
    <row r="147" spans="1:3" ht="15.75" customHeight="1">
      <c r="A147" s="447" t="s">
        <v>39</v>
      </c>
      <c r="B147" s="447" t="s">
        <v>461</v>
      </c>
      <c r="C147" s="447" t="s">
        <v>686</v>
      </c>
    </row>
    <row r="148" spans="1:3" ht="15.75" customHeight="1">
      <c r="A148" s="447" t="s">
        <v>39</v>
      </c>
      <c r="B148" s="447" t="s">
        <v>525</v>
      </c>
      <c r="C148" s="447" t="s">
        <v>686</v>
      </c>
    </row>
    <row r="149" spans="1:3" ht="15.75" customHeight="1">
      <c r="A149" s="447" t="s">
        <v>39</v>
      </c>
      <c r="B149" s="447" t="s">
        <v>343</v>
      </c>
      <c r="C149" s="447" t="s">
        <v>679</v>
      </c>
    </row>
    <row r="150" spans="1:3" ht="15.75" customHeight="1">
      <c r="A150" s="447" t="s">
        <v>39</v>
      </c>
      <c r="B150" s="447" t="s">
        <v>543</v>
      </c>
      <c r="C150" s="447" t="s">
        <v>676</v>
      </c>
    </row>
    <row r="151" spans="1:3" ht="15.75" customHeight="1">
      <c r="A151" s="447" t="s">
        <v>39</v>
      </c>
      <c r="B151" s="447" t="s">
        <v>424</v>
      </c>
      <c r="C151" s="447" t="s">
        <v>695</v>
      </c>
    </row>
    <row r="152" spans="1:3" ht="15.75" customHeight="1">
      <c r="A152" s="447" t="s">
        <v>39</v>
      </c>
      <c r="B152" s="447" t="s">
        <v>1744</v>
      </c>
      <c r="C152" s="447" t="s">
        <v>695</v>
      </c>
    </row>
    <row r="153" spans="1:3" ht="15.75" customHeight="1">
      <c r="A153" s="447" t="s">
        <v>39</v>
      </c>
      <c r="B153" s="447" t="s">
        <v>1330</v>
      </c>
      <c r="C153" s="447" t="s">
        <v>688</v>
      </c>
    </row>
    <row r="154" spans="1:3" ht="15.75" customHeight="1">
      <c r="A154" s="447" t="s">
        <v>39</v>
      </c>
      <c r="B154" s="447" t="s">
        <v>1857</v>
      </c>
      <c r="C154" s="447" t="s">
        <v>1477</v>
      </c>
    </row>
    <row r="155" spans="1:3" ht="15.75" customHeight="1">
      <c r="A155" s="447" t="s">
        <v>39</v>
      </c>
      <c r="B155" s="447" t="s">
        <v>337</v>
      </c>
      <c r="C155" s="447" t="s">
        <v>692</v>
      </c>
    </row>
    <row r="156" spans="1:3" ht="15.75" customHeight="1">
      <c r="A156" s="447" t="s">
        <v>39</v>
      </c>
      <c r="B156" s="447" t="s">
        <v>1738</v>
      </c>
      <c r="C156" s="447" t="s">
        <v>687</v>
      </c>
    </row>
    <row r="157" spans="1:3" ht="15.75" customHeight="1">
      <c r="A157" s="447" t="s">
        <v>39</v>
      </c>
      <c r="B157" s="447" t="s">
        <v>1924</v>
      </c>
      <c r="C157" s="447" t="s">
        <v>686</v>
      </c>
    </row>
    <row r="158" spans="1:3" ht="15.75" customHeight="1">
      <c r="A158" s="447" t="s">
        <v>43</v>
      </c>
      <c r="B158" s="447" t="s">
        <v>466</v>
      </c>
      <c r="C158" s="447" t="s">
        <v>691</v>
      </c>
    </row>
    <row r="159" spans="1:3" ht="15.75" customHeight="1">
      <c r="A159" s="447" t="s">
        <v>43</v>
      </c>
      <c r="B159" s="447" t="s">
        <v>441</v>
      </c>
      <c r="C159" s="447" t="s">
        <v>685</v>
      </c>
    </row>
    <row r="160" spans="1:3" ht="15.75" customHeight="1">
      <c r="A160" s="447" t="s">
        <v>35</v>
      </c>
      <c r="B160" s="447" t="s">
        <v>431</v>
      </c>
      <c r="C160" s="447" t="s">
        <v>680</v>
      </c>
    </row>
    <row r="161" spans="1:3" ht="15.75" customHeight="1">
      <c r="A161" s="447" t="s">
        <v>35</v>
      </c>
      <c r="B161" s="447" t="s">
        <v>392</v>
      </c>
      <c r="C161" s="447" t="s">
        <v>679</v>
      </c>
    </row>
    <row r="162" spans="1:3" ht="15.75" customHeight="1">
      <c r="A162" s="447" t="s">
        <v>37</v>
      </c>
      <c r="B162" s="447" t="s">
        <v>1939</v>
      </c>
      <c r="C162" s="447" t="s">
        <v>692</v>
      </c>
    </row>
    <row r="163" spans="1:3" ht="15.75" customHeight="1">
      <c r="A163" s="447" t="s">
        <v>37</v>
      </c>
      <c r="B163" s="447" t="s">
        <v>1703</v>
      </c>
      <c r="C163" s="447" t="s">
        <v>684</v>
      </c>
    </row>
    <row r="164" spans="1:3" ht="15.75" customHeight="1">
      <c r="A164" s="447" t="s">
        <v>37</v>
      </c>
      <c r="B164" s="447" t="s">
        <v>591</v>
      </c>
      <c r="C164" s="447" t="s">
        <v>684</v>
      </c>
    </row>
    <row r="165" spans="1:3" ht="15.75" customHeight="1">
      <c r="A165" s="447" t="s">
        <v>37</v>
      </c>
      <c r="B165" s="447" t="s">
        <v>598</v>
      </c>
      <c r="C165" s="447" t="s">
        <v>688</v>
      </c>
    </row>
    <row r="166" spans="1:3" ht="15.75" customHeight="1">
      <c r="A166" s="447" t="s">
        <v>37</v>
      </c>
      <c r="B166" s="447" t="s">
        <v>1700</v>
      </c>
      <c r="C166" s="447" t="s">
        <v>695</v>
      </c>
    </row>
    <row r="167" spans="1:3" ht="15.75" customHeight="1">
      <c r="A167" s="447" t="s">
        <v>37</v>
      </c>
      <c r="B167" s="447" t="s">
        <v>1695</v>
      </c>
      <c r="C167" s="447" t="s">
        <v>692</v>
      </c>
    </row>
    <row r="168" spans="1:3" ht="15.75" customHeight="1">
      <c r="A168" s="447" t="s">
        <v>37</v>
      </c>
      <c r="B168" s="447" t="s">
        <v>490</v>
      </c>
      <c r="C168" s="447" t="s">
        <v>680</v>
      </c>
    </row>
    <row r="169" spans="1:3" ht="15.75" customHeight="1">
      <c r="A169" s="447" t="s">
        <v>39</v>
      </c>
      <c r="B169" s="447" t="s">
        <v>414</v>
      </c>
      <c r="C169" s="447" t="s">
        <v>1672</v>
      </c>
    </row>
    <row r="170" spans="1:3" ht="15.75" customHeight="1">
      <c r="A170" s="447" t="s">
        <v>39</v>
      </c>
      <c r="B170" s="447" t="s">
        <v>313</v>
      </c>
      <c r="C170" s="447" t="s">
        <v>692</v>
      </c>
    </row>
    <row r="171" spans="1:3" ht="15.75" customHeight="1">
      <c r="A171" s="447" t="s">
        <v>39</v>
      </c>
      <c r="B171" s="447" t="s">
        <v>526</v>
      </c>
      <c r="C171" s="447" t="s">
        <v>679</v>
      </c>
    </row>
    <row r="172" spans="1:3" ht="15.75" customHeight="1">
      <c r="A172" s="447" t="s">
        <v>39</v>
      </c>
      <c r="B172" s="447" t="s">
        <v>527</v>
      </c>
      <c r="C172" s="447" t="s">
        <v>679</v>
      </c>
    </row>
    <row r="173" spans="1:3" ht="15.75" customHeight="1">
      <c r="A173" s="447" t="s">
        <v>39</v>
      </c>
      <c r="B173" s="447" t="s">
        <v>367</v>
      </c>
      <c r="C173" s="447" t="s">
        <v>677</v>
      </c>
    </row>
    <row r="174" spans="1:3" ht="15.75" customHeight="1">
      <c r="A174" s="447" t="s">
        <v>39</v>
      </c>
      <c r="B174" s="447" t="s">
        <v>437</v>
      </c>
      <c r="C174" s="447" t="s">
        <v>681</v>
      </c>
    </row>
    <row r="175" spans="1:3" ht="15.75" customHeight="1">
      <c r="A175" s="447" t="s">
        <v>39</v>
      </c>
      <c r="B175" s="447" t="s">
        <v>1296</v>
      </c>
      <c r="C175" s="447" t="s">
        <v>688</v>
      </c>
    </row>
    <row r="176" spans="1:3" ht="15.75" customHeight="1">
      <c r="A176" s="447" t="s">
        <v>39</v>
      </c>
      <c r="B176" s="447" t="s">
        <v>616</v>
      </c>
      <c r="C176" s="447" t="s">
        <v>688</v>
      </c>
    </row>
    <row r="177" spans="1:3" ht="15.75" customHeight="1">
      <c r="A177" s="447" t="s">
        <v>39</v>
      </c>
      <c r="B177" s="447" t="s">
        <v>556</v>
      </c>
      <c r="C177" s="447" t="s">
        <v>685</v>
      </c>
    </row>
    <row r="178" spans="1:3" ht="15.75" customHeight="1">
      <c r="A178" s="447" t="s">
        <v>39</v>
      </c>
      <c r="B178" s="447" t="s">
        <v>1739</v>
      </c>
      <c r="C178" s="447" t="s">
        <v>1674</v>
      </c>
    </row>
    <row r="179" spans="1:3" ht="15.75" customHeight="1">
      <c r="A179" s="447" t="s">
        <v>39</v>
      </c>
      <c r="B179" s="447" t="s">
        <v>1937</v>
      </c>
      <c r="C179" s="447" t="s">
        <v>692</v>
      </c>
    </row>
    <row r="180" spans="1:3" ht="15.75" customHeight="1">
      <c r="A180" s="447" t="s">
        <v>43</v>
      </c>
      <c r="B180" s="447" t="s">
        <v>1983</v>
      </c>
      <c r="C180" s="447" t="s">
        <v>677</v>
      </c>
    </row>
    <row r="181" spans="1:3" ht="15.75" customHeight="1">
      <c r="A181" s="447" t="s">
        <v>43</v>
      </c>
      <c r="B181" s="447" t="s">
        <v>1292</v>
      </c>
      <c r="C181" s="447" t="s">
        <v>687</v>
      </c>
    </row>
    <row r="182" spans="1:3" ht="15.75" customHeight="1">
      <c r="A182" s="447" t="s">
        <v>43</v>
      </c>
      <c r="B182" s="447" t="s">
        <v>1332</v>
      </c>
      <c r="C182" s="447" t="s">
        <v>685</v>
      </c>
    </row>
    <row r="183" spans="1:3" ht="15.75" customHeight="1">
      <c r="A183" s="447" t="s">
        <v>43</v>
      </c>
      <c r="B183" s="447" t="s">
        <v>1783</v>
      </c>
      <c r="C183" s="447" t="s">
        <v>678</v>
      </c>
    </row>
    <row r="184" spans="1:3" ht="15.75" customHeight="1">
      <c r="A184" s="447" t="s">
        <v>43</v>
      </c>
      <c r="B184" s="447" t="s">
        <v>471</v>
      </c>
      <c r="C184" s="447" t="s">
        <v>679</v>
      </c>
    </row>
    <row r="185" spans="1:3" ht="15.75" customHeight="1">
      <c r="A185" s="447" t="s">
        <v>43</v>
      </c>
      <c r="B185" s="447" t="s">
        <v>480</v>
      </c>
      <c r="C185" s="447" t="s">
        <v>680</v>
      </c>
    </row>
    <row r="186" spans="1:3" ht="15.75" customHeight="1">
      <c r="A186" s="447" t="s">
        <v>43</v>
      </c>
      <c r="B186" s="447" t="s">
        <v>1853</v>
      </c>
      <c r="C186" s="447" t="s">
        <v>1672</v>
      </c>
    </row>
    <row r="187" spans="1:3" ht="15.75" customHeight="1">
      <c r="A187" s="447" t="s">
        <v>35</v>
      </c>
      <c r="B187" s="447" t="s">
        <v>1678</v>
      </c>
      <c r="C187" s="447" t="s">
        <v>1672</v>
      </c>
    </row>
    <row r="188" spans="1:3" ht="15.75" customHeight="1">
      <c r="A188" s="447" t="s">
        <v>35</v>
      </c>
      <c r="B188" s="447" t="s">
        <v>1677</v>
      </c>
      <c r="C188" s="447" t="s">
        <v>700</v>
      </c>
    </row>
    <row r="189" spans="1:3" ht="15.75" customHeight="1">
      <c r="A189" s="447" t="s">
        <v>35</v>
      </c>
      <c r="B189" s="447" t="s">
        <v>329</v>
      </c>
      <c r="C189" s="447" t="s">
        <v>701</v>
      </c>
    </row>
    <row r="190" spans="1:3" ht="15.75" customHeight="1">
      <c r="A190" s="447" t="s">
        <v>35</v>
      </c>
      <c r="B190" s="447" t="s">
        <v>420</v>
      </c>
      <c r="C190" s="447" t="s">
        <v>684</v>
      </c>
    </row>
    <row r="191" spans="1:3" ht="15.75" customHeight="1">
      <c r="A191" s="447" t="s">
        <v>37</v>
      </c>
      <c r="B191" s="447" t="s">
        <v>1962</v>
      </c>
      <c r="C191" s="447" t="s">
        <v>700</v>
      </c>
    </row>
    <row r="192" spans="1:3" ht="15.75" customHeight="1">
      <c r="A192" s="447" t="s">
        <v>37</v>
      </c>
      <c r="B192" s="447" t="s">
        <v>1708</v>
      </c>
      <c r="C192" s="447" t="s">
        <v>1674</v>
      </c>
    </row>
    <row r="193" spans="1:3" ht="15.75" customHeight="1">
      <c r="A193" s="447" t="s">
        <v>37</v>
      </c>
      <c r="B193" s="447" t="s">
        <v>449</v>
      </c>
      <c r="C193" s="447" t="s">
        <v>684</v>
      </c>
    </row>
    <row r="194" spans="1:3" ht="15.75" customHeight="1">
      <c r="A194" s="447" t="s">
        <v>37</v>
      </c>
      <c r="B194" s="447" t="s">
        <v>618</v>
      </c>
      <c r="C194" s="447" t="s">
        <v>684</v>
      </c>
    </row>
    <row r="195" spans="1:3" ht="15.75" customHeight="1">
      <c r="A195" s="447" t="s">
        <v>37</v>
      </c>
      <c r="B195" s="447" t="s">
        <v>345</v>
      </c>
      <c r="C195" s="447" t="s">
        <v>687</v>
      </c>
    </row>
    <row r="196" spans="1:3" ht="15.75" customHeight="1">
      <c r="A196" s="447" t="s">
        <v>37</v>
      </c>
      <c r="B196" s="447" t="s">
        <v>1709</v>
      </c>
      <c r="C196" s="447" t="s">
        <v>687</v>
      </c>
    </row>
    <row r="197" spans="1:3" ht="15.75" customHeight="1">
      <c r="A197" s="447" t="s">
        <v>37</v>
      </c>
      <c r="B197" s="447" t="s">
        <v>568</v>
      </c>
      <c r="C197" s="447" t="s">
        <v>685</v>
      </c>
    </row>
    <row r="198" spans="1:3" ht="15.75" customHeight="1">
      <c r="A198" s="447" t="s">
        <v>37</v>
      </c>
      <c r="B198" s="447" t="s">
        <v>558</v>
      </c>
      <c r="C198" s="447" t="s">
        <v>688</v>
      </c>
    </row>
    <row r="199" spans="1:3" ht="15.75" customHeight="1">
      <c r="A199" s="447" t="s">
        <v>37</v>
      </c>
      <c r="B199" s="447" t="s">
        <v>1862</v>
      </c>
      <c r="C199" s="447" t="s">
        <v>695</v>
      </c>
    </row>
    <row r="200" spans="1:3" ht="15.75" customHeight="1">
      <c r="A200" s="447" t="s">
        <v>37</v>
      </c>
      <c r="B200" s="447" t="s">
        <v>515</v>
      </c>
      <c r="C200" s="447" t="s">
        <v>681</v>
      </c>
    </row>
    <row r="201" spans="1:3" ht="15.75" customHeight="1">
      <c r="A201" s="447" t="s">
        <v>37</v>
      </c>
      <c r="B201" s="447" t="s">
        <v>353</v>
      </c>
      <c r="C201" s="447" t="s">
        <v>682</v>
      </c>
    </row>
    <row r="202" spans="1:3" ht="15.75" customHeight="1">
      <c r="A202" s="447" t="s">
        <v>37</v>
      </c>
      <c r="B202" s="447" t="s">
        <v>574</v>
      </c>
      <c r="C202" s="447" t="s">
        <v>682</v>
      </c>
    </row>
    <row r="203" spans="1:3" ht="15.75" customHeight="1">
      <c r="A203" s="447" t="s">
        <v>37</v>
      </c>
      <c r="B203" s="447" t="s">
        <v>349</v>
      </c>
      <c r="C203" s="447" t="s">
        <v>676</v>
      </c>
    </row>
    <row r="204" spans="1:3" ht="15.75" customHeight="1">
      <c r="A204" s="447" t="s">
        <v>37</v>
      </c>
      <c r="B204" s="447" t="s">
        <v>443</v>
      </c>
      <c r="C204" s="447" t="s">
        <v>677</v>
      </c>
    </row>
    <row r="205" spans="1:3" ht="15.75" customHeight="1">
      <c r="A205" s="447" t="s">
        <v>37</v>
      </c>
      <c r="B205" s="447" t="s">
        <v>1850</v>
      </c>
      <c r="C205" s="447" t="s">
        <v>692</v>
      </c>
    </row>
    <row r="206" spans="1:3" ht="15.75" customHeight="1">
      <c r="A206" s="447" t="s">
        <v>37</v>
      </c>
      <c r="B206" s="447" t="s">
        <v>317</v>
      </c>
      <c r="C206" s="447" t="s">
        <v>700</v>
      </c>
    </row>
    <row r="207" spans="1:3" ht="15.75" customHeight="1">
      <c r="A207" s="447" t="s">
        <v>37</v>
      </c>
      <c r="B207" s="447" t="s">
        <v>546</v>
      </c>
      <c r="C207" s="447" t="s">
        <v>691</v>
      </c>
    </row>
    <row r="208" spans="1:3" ht="15.75" customHeight="1">
      <c r="A208" s="447" t="s">
        <v>37</v>
      </c>
      <c r="B208" s="447" t="s">
        <v>1696</v>
      </c>
      <c r="C208" s="447" t="s">
        <v>1672</v>
      </c>
    </row>
    <row r="209" spans="1:3" ht="15.75" customHeight="1">
      <c r="A209" s="447" t="s">
        <v>37</v>
      </c>
      <c r="B209" s="447" t="s">
        <v>1697</v>
      </c>
      <c r="C209" s="447" t="s">
        <v>686</v>
      </c>
    </row>
    <row r="210" spans="1:3" ht="15.75" customHeight="1">
      <c r="A210" s="447" t="s">
        <v>37</v>
      </c>
      <c r="B210" s="447" t="s">
        <v>607</v>
      </c>
      <c r="C210" s="447" t="s">
        <v>686</v>
      </c>
    </row>
    <row r="211" spans="1:3" ht="15.75" customHeight="1">
      <c r="A211" s="447" t="s">
        <v>39</v>
      </c>
      <c r="B211" s="447" t="s">
        <v>604</v>
      </c>
      <c r="C211" s="447" t="s">
        <v>686</v>
      </c>
    </row>
    <row r="212" spans="1:3" ht="15.75" customHeight="1">
      <c r="A212" s="447" t="s">
        <v>39</v>
      </c>
      <c r="B212" s="447" t="s">
        <v>444</v>
      </c>
      <c r="C212" s="447" t="s">
        <v>691</v>
      </c>
    </row>
    <row r="213" spans="1:3" ht="15.75" customHeight="1">
      <c r="A213" s="447" t="s">
        <v>39</v>
      </c>
      <c r="B213" s="447" t="s">
        <v>519</v>
      </c>
      <c r="C213" s="447" t="s">
        <v>691</v>
      </c>
    </row>
    <row r="214" spans="1:3" ht="15.75" customHeight="1">
      <c r="A214" s="447" t="s">
        <v>39</v>
      </c>
      <c r="B214" s="447" t="s">
        <v>584</v>
      </c>
      <c r="C214" s="447" t="s">
        <v>691</v>
      </c>
    </row>
    <row r="215" spans="1:3" ht="15.75" customHeight="1">
      <c r="A215" s="447" t="s">
        <v>39</v>
      </c>
      <c r="B215" s="447" t="s">
        <v>395</v>
      </c>
      <c r="C215" s="447" t="s">
        <v>700</v>
      </c>
    </row>
    <row r="216" spans="1:3" ht="15.75" customHeight="1">
      <c r="A216" s="447" t="s">
        <v>39</v>
      </c>
      <c r="B216" s="447" t="s">
        <v>487</v>
      </c>
      <c r="C216" s="447" t="s">
        <v>680</v>
      </c>
    </row>
    <row r="217" spans="1:3" ht="15.75" customHeight="1">
      <c r="A217" s="447" t="s">
        <v>39</v>
      </c>
      <c r="B217" s="447" t="s">
        <v>458</v>
      </c>
      <c r="C217" s="447" t="s">
        <v>701</v>
      </c>
    </row>
    <row r="218" spans="1:3" ht="15.75" customHeight="1">
      <c r="A218" s="447" t="s">
        <v>39</v>
      </c>
      <c r="B218" s="447" t="s">
        <v>923</v>
      </c>
      <c r="C218" s="447" t="s">
        <v>701</v>
      </c>
    </row>
    <row r="219" spans="1:3" ht="15.75" customHeight="1">
      <c r="A219" s="447" t="s">
        <v>39</v>
      </c>
      <c r="B219" s="447" t="s">
        <v>1300</v>
      </c>
      <c r="C219" s="447" t="s">
        <v>679</v>
      </c>
    </row>
    <row r="220" spans="1:3" ht="15.75" customHeight="1">
      <c r="A220" s="447" t="s">
        <v>39</v>
      </c>
      <c r="B220" s="447" t="s">
        <v>595</v>
      </c>
      <c r="C220" s="447" t="s">
        <v>687</v>
      </c>
    </row>
    <row r="221" spans="1:3" ht="15.75" customHeight="1">
      <c r="A221" s="447" t="s">
        <v>39</v>
      </c>
      <c r="B221" s="447" t="s">
        <v>1331</v>
      </c>
      <c r="C221" s="447" t="s">
        <v>681</v>
      </c>
    </row>
    <row r="222" spans="1:3" ht="15.75" customHeight="1">
      <c r="A222" s="447" t="s">
        <v>39</v>
      </c>
      <c r="B222" s="447" t="s">
        <v>1304</v>
      </c>
      <c r="C222" s="447" t="s">
        <v>688</v>
      </c>
    </row>
    <row r="223" spans="1:3" ht="15.75" customHeight="1">
      <c r="A223" s="447" t="s">
        <v>39</v>
      </c>
      <c r="B223" s="447" t="s">
        <v>530</v>
      </c>
      <c r="C223" s="447" t="s">
        <v>688</v>
      </c>
    </row>
    <row r="224" spans="1:3" ht="15.75" customHeight="1">
      <c r="A224" s="447" t="s">
        <v>39</v>
      </c>
      <c r="B224" s="447" t="s">
        <v>447</v>
      </c>
      <c r="C224" s="447" t="s">
        <v>685</v>
      </c>
    </row>
    <row r="225" spans="1:3" ht="15.75" customHeight="1">
      <c r="A225" s="447" t="s">
        <v>39</v>
      </c>
      <c r="B225" s="447" t="s">
        <v>540</v>
      </c>
      <c r="C225" s="447" t="s">
        <v>685</v>
      </c>
    </row>
    <row r="226" spans="1:3" ht="15.75" customHeight="1">
      <c r="A226" s="447" t="s">
        <v>39</v>
      </c>
      <c r="B226" s="447" t="s">
        <v>603</v>
      </c>
      <c r="C226" s="447" t="s">
        <v>685</v>
      </c>
    </row>
    <row r="227" spans="1:3" ht="15.75" customHeight="1">
      <c r="A227" s="447" t="s">
        <v>39</v>
      </c>
      <c r="B227" s="447" t="s">
        <v>1741</v>
      </c>
      <c r="C227" s="447" t="s">
        <v>1477</v>
      </c>
    </row>
    <row r="228" spans="1:3" ht="15.75" customHeight="1">
      <c r="A228" s="447" t="s">
        <v>39</v>
      </c>
      <c r="B228" s="447" t="s">
        <v>596</v>
      </c>
      <c r="C228" s="447" t="s">
        <v>1477</v>
      </c>
    </row>
    <row r="229" spans="1:3" ht="15.75" customHeight="1">
      <c r="A229" s="447" t="s">
        <v>39</v>
      </c>
      <c r="B229" s="447" t="s">
        <v>1344</v>
      </c>
      <c r="C229" s="447" t="s">
        <v>1477</v>
      </c>
    </row>
    <row r="230" spans="1:3" ht="15.75" customHeight="1">
      <c r="A230" s="447" t="s">
        <v>39</v>
      </c>
      <c r="B230" s="447" t="s">
        <v>482</v>
      </c>
      <c r="C230" s="447" t="s">
        <v>684</v>
      </c>
    </row>
    <row r="231" spans="1:3" ht="15.75" customHeight="1">
      <c r="A231" s="447" t="s">
        <v>43</v>
      </c>
      <c r="B231" s="447" t="s">
        <v>1793</v>
      </c>
      <c r="C231" s="447" t="s">
        <v>1674</v>
      </c>
    </row>
    <row r="232" spans="1:3" ht="15.75" customHeight="1">
      <c r="A232" s="447" t="s">
        <v>43</v>
      </c>
      <c r="B232" s="447" t="s">
        <v>1341</v>
      </c>
      <c r="C232" s="447" t="s">
        <v>1672</v>
      </c>
    </row>
    <row r="233" spans="1:3" ht="15.75" customHeight="1">
      <c r="A233" s="447" t="s">
        <v>43</v>
      </c>
      <c r="B233" s="447" t="s">
        <v>489</v>
      </c>
      <c r="C233" s="447" t="s">
        <v>676</v>
      </c>
    </row>
    <row r="234" spans="1:3" ht="15.75" customHeight="1">
      <c r="A234" s="447" t="s">
        <v>43</v>
      </c>
      <c r="B234" s="447" t="s">
        <v>1784</v>
      </c>
      <c r="C234" s="447" t="s">
        <v>1672</v>
      </c>
    </row>
    <row r="235" spans="1:3" ht="15.75" customHeight="1">
      <c r="A235" s="447" t="s">
        <v>35</v>
      </c>
      <c r="B235" s="447" t="s">
        <v>373</v>
      </c>
      <c r="C235" s="447" t="s">
        <v>682</v>
      </c>
    </row>
    <row r="236" spans="1:3" ht="15.75" customHeight="1">
      <c r="A236" s="447" t="s">
        <v>35</v>
      </c>
      <c r="B236" s="447" t="s">
        <v>1675</v>
      </c>
      <c r="C236" s="447" t="s">
        <v>1477</v>
      </c>
    </row>
    <row r="237" spans="1:3" ht="15.75" customHeight="1">
      <c r="A237" s="447" t="s">
        <v>35</v>
      </c>
      <c r="B237" s="447" t="s">
        <v>1679</v>
      </c>
      <c r="C237" s="447" t="s">
        <v>1674</v>
      </c>
    </row>
    <row r="238" spans="1:3" ht="15.75" customHeight="1">
      <c r="A238" s="447" t="s">
        <v>37</v>
      </c>
      <c r="B238" s="447" t="s">
        <v>1984</v>
      </c>
      <c r="C238" s="447" t="s">
        <v>1672</v>
      </c>
    </row>
    <row r="239" spans="1:3" ht="15.75" customHeight="1">
      <c r="A239" s="447" t="s">
        <v>37</v>
      </c>
      <c r="B239" s="447" t="s">
        <v>503</v>
      </c>
      <c r="C239" s="447" t="s">
        <v>685</v>
      </c>
    </row>
    <row r="240" spans="1:3" ht="15.75" customHeight="1">
      <c r="A240" s="447" t="s">
        <v>37</v>
      </c>
      <c r="B240" s="447" t="s">
        <v>1730</v>
      </c>
      <c r="C240" s="447" t="s">
        <v>1674</v>
      </c>
    </row>
    <row r="241" spans="1:3" ht="15.75" customHeight="1">
      <c r="A241" s="447" t="s">
        <v>37</v>
      </c>
      <c r="B241" s="447" t="s">
        <v>478</v>
      </c>
      <c r="C241" s="447" t="s">
        <v>1674</v>
      </c>
    </row>
    <row r="242" spans="1:3" ht="15.75" customHeight="1">
      <c r="A242" s="447" t="s">
        <v>37</v>
      </c>
      <c r="B242" s="447" t="s">
        <v>510</v>
      </c>
      <c r="C242" s="447" t="s">
        <v>1674</v>
      </c>
    </row>
    <row r="243" spans="1:3" ht="15.75" customHeight="1">
      <c r="A243" s="447" t="s">
        <v>37</v>
      </c>
      <c r="B243" s="447" t="s">
        <v>1718</v>
      </c>
      <c r="C243" s="447" t="s">
        <v>1674</v>
      </c>
    </row>
    <row r="244" spans="1:3" ht="15.75" customHeight="1">
      <c r="A244" s="447" t="s">
        <v>37</v>
      </c>
      <c r="B244" s="447" t="s">
        <v>453</v>
      </c>
      <c r="C244" s="447" t="s">
        <v>687</v>
      </c>
    </row>
    <row r="245" spans="1:3" ht="15.75" customHeight="1">
      <c r="A245" s="447" t="s">
        <v>37</v>
      </c>
      <c r="B245" s="447" t="s">
        <v>585</v>
      </c>
      <c r="C245" s="447" t="s">
        <v>679</v>
      </c>
    </row>
    <row r="246" spans="1:3" ht="15.75" customHeight="1">
      <c r="A246" s="447" t="s">
        <v>37</v>
      </c>
      <c r="B246" s="447" t="s">
        <v>475</v>
      </c>
      <c r="C246" s="447" t="s">
        <v>1477</v>
      </c>
    </row>
    <row r="247" spans="1:3" ht="15.75" customHeight="1">
      <c r="A247" s="447" t="s">
        <v>37</v>
      </c>
      <c r="B247" s="447" t="s">
        <v>1283</v>
      </c>
      <c r="C247" s="447" t="s">
        <v>1477</v>
      </c>
    </row>
    <row r="248" spans="1:3" ht="15.75" customHeight="1">
      <c r="A248" s="447" t="s">
        <v>37</v>
      </c>
      <c r="B248" s="447" t="s">
        <v>1721</v>
      </c>
      <c r="C248" s="447" t="s">
        <v>1477</v>
      </c>
    </row>
    <row r="249" spans="1:3" ht="15.75" customHeight="1">
      <c r="A249" s="447" t="s">
        <v>37</v>
      </c>
      <c r="B249" s="447" t="s">
        <v>394</v>
      </c>
      <c r="C249" s="447" t="s">
        <v>685</v>
      </c>
    </row>
    <row r="250" spans="1:3" ht="15.75" customHeight="1">
      <c r="A250" s="447" t="s">
        <v>37</v>
      </c>
      <c r="B250" s="447" t="s">
        <v>481</v>
      </c>
      <c r="C250" s="447" t="s">
        <v>688</v>
      </c>
    </row>
    <row r="251" spans="1:3" ht="15.75" customHeight="1">
      <c r="A251" s="447" t="s">
        <v>37</v>
      </c>
      <c r="B251" s="447" t="s">
        <v>531</v>
      </c>
      <c r="C251" s="447" t="s">
        <v>685</v>
      </c>
    </row>
    <row r="252" spans="1:3" ht="15.75" customHeight="1">
      <c r="A252" s="447" t="s">
        <v>37</v>
      </c>
      <c r="B252" s="447" t="s">
        <v>577</v>
      </c>
      <c r="C252" s="447" t="s">
        <v>688</v>
      </c>
    </row>
    <row r="253" spans="1:3" ht="15.75" customHeight="1">
      <c r="A253" s="447" t="s">
        <v>37</v>
      </c>
      <c r="B253" s="447" t="s">
        <v>521</v>
      </c>
      <c r="C253" s="447" t="s">
        <v>695</v>
      </c>
    </row>
    <row r="254" spans="1:3" ht="15.75" customHeight="1">
      <c r="A254" s="447" t="s">
        <v>37</v>
      </c>
      <c r="B254" s="447" t="s">
        <v>537</v>
      </c>
      <c r="C254" s="447" t="s">
        <v>681</v>
      </c>
    </row>
    <row r="255" spans="1:3" ht="15.75" customHeight="1">
      <c r="A255" s="447" t="s">
        <v>37</v>
      </c>
      <c r="B255" s="447" t="s">
        <v>542</v>
      </c>
      <c r="C255" s="447" t="s">
        <v>681</v>
      </c>
    </row>
    <row r="256" spans="1:3" ht="15.75" customHeight="1">
      <c r="A256" s="447" t="s">
        <v>37</v>
      </c>
      <c r="B256" s="447" t="s">
        <v>533</v>
      </c>
      <c r="C256" s="447" t="s">
        <v>682</v>
      </c>
    </row>
    <row r="257" spans="1:3" ht="15.75" customHeight="1">
      <c r="A257" s="447" t="s">
        <v>37</v>
      </c>
      <c r="B257" s="447" t="s">
        <v>617</v>
      </c>
      <c r="C257" s="447" t="s">
        <v>682</v>
      </c>
    </row>
    <row r="258" spans="1:3" ht="15.75" customHeight="1">
      <c r="A258" s="447" t="s">
        <v>37</v>
      </c>
      <c r="B258" s="447" t="s">
        <v>451</v>
      </c>
      <c r="C258" s="447" t="s">
        <v>676</v>
      </c>
    </row>
    <row r="259" spans="1:3" ht="15.75" customHeight="1">
      <c r="A259" s="447" t="s">
        <v>37</v>
      </c>
      <c r="B259" s="447" t="s">
        <v>322</v>
      </c>
      <c r="C259" s="447" t="s">
        <v>687</v>
      </c>
    </row>
    <row r="260" spans="1:3" ht="15.75" customHeight="1">
      <c r="A260" s="447" t="s">
        <v>37</v>
      </c>
      <c r="B260" s="447" t="s">
        <v>517</v>
      </c>
      <c r="C260" s="447" t="s">
        <v>679</v>
      </c>
    </row>
    <row r="261" spans="1:3" ht="15.75" customHeight="1">
      <c r="A261" s="447" t="s">
        <v>37</v>
      </c>
      <c r="B261" s="447" t="s">
        <v>626</v>
      </c>
      <c r="C261" s="447" t="s">
        <v>679</v>
      </c>
    </row>
    <row r="262" spans="1:3" ht="15.75" customHeight="1">
      <c r="A262" s="447" t="s">
        <v>37</v>
      </c>
      <c r="B262" s="447" t="s">
        <v>1342</v>
      </c>
      <c r="C262" s="447" t="s">
        <v>692</v>
      </c>
    </row>
    <row r="263" spans="1:3" ht="15.75" customHeight="1">
      <c r="A263" s="447" t="s">
        <v>37</v>
      </c>
      <c r="B263" s="447" t="s">
        <v>1706</v>
      </c>
      <c r="C263" s="447" t="s">
        <v>701</v>
      </c>
    </row>
    <row r="264" spans="1:3" ht="15.75" customHeight="1">
      <c r="A264" s="447" t="s">
        <v>37</v>
      </c>
      <c r="B264" s="447" t="s">
        <v>386</v>
      </c>
      <c r="C264" s="447" t="s">
        <v>680</v>
      </c>
    </row>
    <row r="265" spans="1:3" ht="15.75" customHeight="1">
      <c r="A265" s="447" t="s">
        <v>37</v>
      </c>
      <c r="B265" s="447" t="s">
        <v>502</v>
      </c>
      <c r="C265" s="447" t="s">
        <v>680</v>
      </c>
    </row>
    <row r="266" spans="1:3" ht="15.75" customHeight="1">
      <c r="A266" s="447" t="s">
        <v>37</v>
      </c>
      <c r="B266" s="447" t="s">
        <v>1288</v>
      </c>
      <c r="C266" s="447" t="s">
        <v>700</v>
      </c>
    </row>
    <row r="267" spans="1:3" ht="15.75" customHeight="1">
      <c r="A267" s="447" t="s">
        <v>37</v>
      </c>
      <c r="B267" s="447" t="s">
        <v>575</v>
      </c>
      <c r="C267" s="447" t="s">
        <v>700</v>
      </c>
    </row>
    <row r="268" spans="1:3" ht="15.75" customHeight="1">
      <c r="A268" s="447" t="s">
        <v>37</v>
      </c>
      <c r="B268" s="447" t="s">
        <v>572</v>
      </c>
      <c r="C268" s="447" t="s">
        <v>700</v>
      </c>
    </row>
    <row r="269" spans="1:3" ht="15.75" customHeight="1">
      <c r="A269" s="447" t="s">
        <v>37</v>
      </c>
      <c r="B269" s="447" t="s">
        <v>535</v>
      </c>
      <c r="C269" s="447" t="s">
        <v>691</v>
      </c>
    </row>
    <row r="270" spans="1:3" ht="15.75" customHeight="1">
      <c r="A270" s="447" t="s">
        <v>37</v>
      </c>
      <c r="B270" s="447" t="s">
        <v>1694</v>
      </c>
      <c r="C270" s="447" t="s">
        <v>1672</v>
      </c>
    </row>
    <row r="271" spans="1:3" ht="15.75" customHeight="1">
      <c r="A271" s="447" t="s">
        <v>37</v>
      </c>
      <c r="B271" s="447" t="s">
        <v>1702</v>
      </c>
      <c r="C271" s="447" t="s">
        <v>686</v>
      </c>
    </row>
    <row r="272" spans="1:3" ht="15.75" customHeight="1">
      <c r="A272" s="447" t="s">
        <v>37</v>
      </c>
      <c r="B272" s="447" t="s">
        <v>1707</v>
      </c>
      <c r="C272" s="447" t="s">
        <v>686</v>
      </c>
    </row>
    <row r="273" spans="1:3" ht="15.75" customHeight="1">
      <c r="A273" s="447" t="s">
        <v>39</v>
      </c>
      <c r="B273" s="447" t="s">
        <v>391</v>
      </c>
      <c r="C273" s="447" t="s">
        <v>1672</v>
      </c>
    </row>
    <row r="274" spans="1:3" ht="15.75" customHeight="1">
      <c r="A274" s="447" t="s">
        <v>39</v>
      </c>
      <c r="B274" s="447" t="s">
        <v>565</v>
      </c>
      <c r="C274" s="447" t="s">
        <v>691</v>
      </c>
    </row>
    <row r="275" spans="1:3" ht="15.75" customHeight="1">
      <c r="A275" s="447" t="s">
        <v>39</v>
      </c>
      <c r="B275" s="447" t="s">
        <v>590</v>
      </c>
      <c r="C275" s="447" t="s">
        <v>680</v>
      </c>
    </row>
    <row r="276" spans="1:3" ht="15.75" customHeight="1">
      <c r="A276" s="447" t="s">
        <v>39</v>
      </c>
      <c r="B276" s="447" t="s">
        <v>323</v>
      </c>
      <c r="C276" s="447" t="s">
        <v>701</v>
      </c>
    </row>
    <row r="277" spans="1:3" ht="15.75" customHeight="1">
      <c r="A277" s="447" t="s">
        <v>39</v>
      </c>
      <c r="B277" s="447" t="s">
        <v>1767</v>
      </c>
      <c r="C277" s="447" t="s">
        <v>701</v>
      </c>
    </row>
    <row r="278" spans="1:3" ht="15.75" customHeight="1">
      <c r="A278" s="447" t="s">
        <v>39</v>
      </c>
      <c r="B278" s="447" t="s">
        <v>605</v>
      </c>
      <c r="C278" s="447" t="s">
        <v>701</v>
      </c>
    </row>
    <row r="279" spans="1:3" ht="15.75" customHeight="1">
      <c r="A279" s="447" t="s">
        <v>39</v>
      </c>
      <c r="B279" s="447" t="s">
        <v>1856</v>
      </c>
      <c r="C279" s="447" t="s">
        <v>679</v>
      </c>
    </row>
    <row r="280" spans="1:3" ht="15.75" customHeight="1">
      <c r="A280" s="447" t="s">
        <v>39</v>
      </c>
      <c r="B280" s="447" t="s">
        <v>1704</v>
      </c>
      <c r="C280" s="447" t="s">
        <v>682</v>
      </c>
    </row>
    <row r="281" spans="1:3" ht="15.75" customHeight="1">
      <c r="A281" s="447" t="s">
        <v>39</v>
      </c>
      <c r="B281" s="447" t="s">
        <v>508</v>
      </c>
      <c r="C281" s="447" t="s">
        <v>681</v>
      </c>
    </row>
    <row r="282" spans="1:3" ht="15.75" customHeight="1">
      <c r="A282" s="447" t="s">
        <v>39</v>
      </c>
      <c r="B282" s="447" t="s">
        <v>1756</v>
      </c>
      <c r="C282" s="447" t="s">
        <v>695</v>
      </c>
    </row>
    <row r="283" spans="1:3" ht="15.75" customHeight="1">
      <c r="A283" s="447" t="s">
        <v>39</v>
      </c>
      <c r="B283" s="447" t="s">
        <v>479</v>
      </c>
      <c r="C283" s="447" t="s">
        <v>1477</v>
      </c>
    </row>
    <row r="284" spans="1:3" ht="15.75" customHeight="1">
      <c r="A284" s="447" t="s">
        <v>39</v>
      </c>
      <c r="B284" s="447" t="s">
        <v>1748</v>
      </c>
      <c r="C284" s="447" t="s">
        <v>1477</v>
      </c>
    </row>
    <row r="285" spans="1:3" ht="15.75" customHeight="1">
      <c r="A285" s="447" t="s">
        <v>39</v>
      </c>
      <c r="B285" s="447" t="s">
        <v>299</v>
      </c>
      <c r="C285" s="447" t="s">
        <v>687</v>
      </c>
    </row>
    <row r="286" spans="1:3" ht="15.75" customHeight="1">
      <c r="A286" s="447" t="s">
        <v>39</v>
      </c>
      <c r="B286" s="447" t="s">
        <v>1757</v>
      </c>
      <c r="C286" s="447" t="s">
        <v>1674</v>
      </c>
    </row>
    <row r="287" spans="1:3" ht="15.75" customHeight="1">
      <c r="A287" s="447" t="s">
        <v>39</v>
      </c>
      <c r="B287" s="447" t="s">
        <v>1859</v>
      </c>
      <c r="C287" s="447" t="s">
        <v>1674</v>
      </c>
    </row>
    <row r="288" spans="1:3" ht="15.75" customHeight="1">
      <c r="A288" s="447" t="s">
        <v>39</v>
      </c>
      <c r="B288" s="447" t="s">
        <v>1754</v>
      </c>
      <c r="C288" s="447" t="s">
        <v>679</v>
      </c>
    </row>
    <row r="289" spans="1:3" ht="15.75" customHeight="1">
      <c r="A289" s="447" t="s">
        <v>39</v>
      </c>
      <c r="B289" s="447" t="s">
        <v>1940</v>
      </c>
      <c r="C289" s="447" t="s">
        <v>684</v>
      </c>
    </row>
    <row r="290" spans="1:3" ht="15.75" customHeight="1">
      <c r="A290" s="447" t="s">
        <v>43</v>
      </c>
      <c r="B290" s="447" t="s">
        <v>374</v>
      </c>
      <c r="C290" s="447" t="s">
        <v>1477</v>
      </c>
    </row>
    <row r="291" spans="1:3" ht="15.75" customHeight="1">
      <c r="A291" s="447" t="s">
        <v>43</v>
      </c>
      <c r="B291" s="447" t="s">
        <v>1782</v>
      </c>
      <c r="C291" s="447" t="s">
        <v>678</v>
      </c>
    </row>
    <row r="292" spans="1:3" ht="15.75" customHeight="1">
      <c r="A292" s="447" t="s">
        <v>43</v>
      </c>
      <c r="B292" s="447" t="s">
        <v>1786</v>
      </c>
      <c r="C292" s="447" t="s">
        <v>679</v>
      </c>
    </row>
    <row r="293" spans="1:3" ht="15.75" customHeight="1">
      <c r="A293" s="447" t="s">
        <v>43</v>
      </c>
      <c r="B293" s="447" t="s">
        <v>450</v>
      </c>
      <c r="C293" s="447" t="s">
        <v>680</v>
      </c>
    </row>
    <row r="294" spans="1:3" ht="15.75" customHeight="1">
      <c r="A294" s="447" t="s">
        <v>43</v>
      </c>
      <c r="B294" s="447" t="s">
        <v>1790</v>
      </c>
      <c r="C294" s="447" t="s">
        <v>686</v>
      </c>
    </row>
    <row r="295" spans="1:3" ht="15.75" customHeight="1">
      <c r="A295" s="447" t="s">
        <v>37</v>
      </c>
      <c r="B295" s="447" t="s">
        <v>364</v>
      </c>
      <c r="C295" s="447" t="s">
        <v>692</v>
      </c>
    </row>
    <row r="296" spans="1:3" ht="15.75" customHeight="1">
      <c r="A296" s="447" t="s">
        <v>37</v>
      </c>
      <c r="B296" s="447" t="s">
        <v>1731</v>
      </c>
      <c r="C296" s="447" t="s">
        <v>1477</v>
      </c>
    </row>
    <row r="297" spans="1:3" ht="15.75" customHeight="1">
      <c r="A297" s="447" t="s">
        <v>37</v>
      </c>
      <c r="B297" s="447" t="s">
        <v>1863</v>
      </c>
      <c r="C297" s="447" t="s">
        <v>1674</v>
      </c>
    </row>
    <row r="298" spans="1:3" ht="15.75" customHeight="1">
      <c r="A298" s="447" t="s">
        <v>37</v>
      </c>
      <c r="B298" s="447" t="s">
        <v>554</v>
      </c>
      <c r="C298" s="447" t="s">
        <v>687</v>
      </c>
    </row>
    <row r="299" spans="1:3" ht="15.75" customHeight="1">
      <c r="A299" s="447" t="s">
        <v>37</v>
      </c>
      <c r="B299" s="447" t="s">
        <v>435</v>
      </c>
      <c r="C299" s="447" t="s">
        <v>1477</v>
      </c>
    </row>
    <row r="300" spans="1:3" ht="15.75" customHeight="1">
      <c r="A300" s="447" t="s">
        <v>37</v>
      </c>
      <c r="B300" s="447" t="s">
        <v>547</v>
      </c>
      <c r="C300" s="447" t="s">
        <v>1477</v>
      </c>
    </row>
    <row r="301" spans="1:3" ht="15.75" customHeight="1">
      <c r="A301" s="447" t="s">
        <v>37</v>
      </c>
      <c r="B301" s="447" t="s">
        <v>597</v>
      </c>
      <c r="C301" s="447" t="s">
        <v>688</v>
      </c>
    </row>
    <row r="302" spans="1:3" ht="15.75" customHeight="1">
      <c r="A302" s="447" t="s">
        <v>37</v>
      </c>
      <c r="B302" s="447" t="s">
        <v>419</v>
      </c>
      <c r="C302" s="447" t="s">
        <v>681</v>
      </c>
    </row>
    <row r="303" spans="1:3" ht="15.75" customHeight="1">
      <c r="A303" s="447" t="s">
        <v>37</v>
      </c>
      <c r="B303" s="447" t="s">
        <v>562</v>
      </c>
      <c r="C303" s="447" t="s">
        <v>678</v>
      </c>
    </row>
    <row r="304" spans="1:3" ht="15.75" customHeight="1">
      <c r="A304" s="447" t="s">
        <v>37</v>
      </c>
      <c r="B304" s="447" t="s">
        <v>309</v>
      </c>
      <c r="C304" s="447" t="s">
        <v>676</v>
      </c>
    </row>
    <row r="305" spans="1:3" ht="15.75" customHeight="1">
      <c r="A305" s="447" t="s">
        <v>37</v>
      </c>
      <c r="B305" s="447" t="s">
        <v>560</v>
      </c>
      <c r="C305" s="447" t="s">
        <v>677</v>
      </c>
    </row>
    <row r="306" spans="1:3" ht="15.75" customHeight="1">
      <c r="A306" s="447" t="s">
        <v>37</v>
      </c>
      <c r="B306" s="447" t="s">
        <v>1337</v>
      </c>
      <c r="C306" s="447" t="s">
        <v>679</v>
      </c>
    </row>
    <row r="307" spans="1:3" ht="15.75" customHeight="1">
      <c r="A307" s="447" t="s">
        <v>37</v>
      </c>
      <c r="B307" s="447" t="s">
        <v>403</v>
      </c>
      <c r="C307" s="447" t="s">
        <v>701</v>
      </c>
    </row>
    <row r="308" spans="1:3" ht="15.75" customHeight="1">
      <c r="A308" s="447" t="s">
        <v>37</v>
      </c>
      <c r="B308" s="447" t="s">
        <v>544</v>
      </c>
      <c r="C308" s="447" t="s">
        <v>701</v>
      </c>
    </row>
    <row r="309" spans="1:3" ht="15.75" customHeight="1">
      <c r="A309" s="447" t="s">
        <v>37</v>
      </c>
      <c r="B309" s="447" t="s">
        <v>592</v>
      </c>
      <c r="C309" s="447" t="s">
        <v>701</v>
      </c>
    </row>
    <row r="310" spans="1:3" ht="15.75" customHeight="1">
      <c r="A310" s="447" t="s">
        <v>37</v>
      </c>
      <c r="B310" s="447" t="s">
        <v>410</v>
      </c>
      <c r="C310" s="447" t="s">
        <v>680</v>
      </c>
    </row>
    <row r="311" spans="1:3" ht="15.75" customHeight="1">
      <c r="A311" s="447" t="s">
        <v>37</v>
      </c>
      <c r="B311" s="447" t="s">
        <v>440</v>
      </c>
      <c r="C311" s="447" t="s">
        <v>680</v>
      </c>
    </row>
    <row r="312" spans="1:3" ht="15.75" customHeight="1">
      <c r="A312" s="447" t="s">
        <v>37</v>
      </c>
      <c r="B312" s="447" t="s">
        <v>1290</v>
      </c>
      <c r="C312" s="447" t="s">
        <v>691</v>
      </c>
    </row>
    <row r="313" spans="1:3" ht="15.75" customHeight="1">
      <c r="A313" s="447" t="s">
        <v>37</v>
      </c>
      <c r="B313" s="447" t="s">
        <v>505</v>
      </c>
      <c r="C313" s="447" t="s">
        <v>691</v>
      </c>
    </row>
    <row r="314" spans="1:3" ht="15.75" customHeight="1">
      <c r="A314" s="447" t="s">
        <v>37</v>
      </c>
      <c r="B314" s="447" t="s">
        <v>1282</v>
      </c>
      <c r="C314" s="447" t="s">
        <v>1672</v>
      </c>
    </row>
    <row r="315" spans="1:3" ht="15.75" customHeight="1">
      <c r="A315" s="447" t="s">
        <v>37</v>
      </c>
      <c r="B315" s="447" t="s">
        <v>1699</v>
      </c>
      <c r="C315" s="447" t="s">
        <v>1672</v>
      </c>
    </row>
    <row r="316" spans="1:3" ht="15.75" customHeight="1">
      <c r="A316" s="447" t="s">
        <v>39</v>
      </c>
      <c r="B316" s="447" t="s">
        <v>1745</v>
      </c>
      <c r="C316" s="447" t="s">
        <v>1672</v>
      </c>
    </row>
    <row r="317" spans="1:3" ht="15.75" customHeight="1">
      <c r="A317" s="447" t="s">
        <v>39</v>
      </c>
      <c r="B317" s="447" t="s">
        <v>1755</v>
      </c>
      <c r="C317" s="447" t="s">
        <v>691</v>
      </c>
    </row>
    <row r="318" spans="1:3" ht="15.75" customHeight="1">
      <c r="A318" s="447" t="s">
        <v>39</v>
      </c>
      <c r="B318" s="447" t="s">
        <v>327</v>
      </c>
      <c r="C318" s="447" t="s">
        <v>700</v>
      </c>
    </row>
    <row r="319" spans="1:3" ht="15.75" customHeight="1">
      <c r="A319" s="447" t="s">
        <v>39</v>
      </c>
      <c r="B319" s="447" t="s">
        <v>614</v>
      </c>
      <c r="C319" s="447" t="s">
        <v>701</v>
      </c>
    </row>
    <row r="320" spans="1:3" ht="15.75" customHeight="1">
      <c r="A320" s="447" t="s">
        <v>39</v>
      </c>
      <c r="B320" s="447" t="s">
        <v>1340</v>
      </c>
      <c r="C320" s="447" t="s">
        <v>682</v>
      </c>
    </row>
    <row r="321" spans="1:3" ht="15.75" customHeight="1">
      <c r="A321" s="447" t="s">
        <v>39</v>
      </c>
      <c r="B321" s="447" t="s">
        <v>383</v>
      </c>
      <c r="C321" s="447" t="s">
        <v>688</v>
      </c>
    </row>
    <row r="322" spans="1:3" ht="15.75" customHeight="1">
      <c r="A322" s="447" t="s">
        <v>39</v>
      </c>
      <c r="B322" s="447" t="s">
        <v>622</v>
      </c>
      <c r="C322" s="447" t="s">
        <v>688</v>
      </c>
    </row>
    <row r="323" spans="1:3" ht="15.75" customHeight="1">
      <c r="A323" s="447" t="s">
        <v>39</v>
      </c>
      <c r="B323" s="447" t="s">
        <v>571</v>
      </c>
      <c r="C323" s="447" t="s">
        <v>687</v>
      </c>
    </row>
    <row r="324" spans="1:3" ht="15.75" customHeight="1">
      <c r="A324" s="447" t="s">
        <v>39</v>
      </c>
      <c r="B324" s="447" t="s">
        <v>619</v>
      </c>
      <c r="C324" s="447" t="s">
        <v>687</v>
      </c>
    </row>
    <row r="325" spans="1:3" ht="15.75" customHeight="1">
      <c r="A325" s="447" t="s">
        <v>39</v>
      </c>
      <c r="B325" s="447" t="s">
        <v>1760</v>
      </c>
      <c r="C325" s="447" t="s">
        <v>1674</v>
      </c>
    </row>
    <row r="326" spans="1:3" ht="15.75" customHeight="1">
      <c r="A326" s="447" t="s">
        <v>39</v>
      </c>
      <c r="B326" s="447" t="s">
        <v>1964</v>
      </c>
      <c r="C326" s="447" t="s">
        <v>1672</v>
      </c>
    </row>
    <row r="327" spans="1:3" ht="15.75" customHeight="1">
      <c r="A327" s="447" t="s">
        <v>39</v>
      </c>
      <c r="B327" s="447" t="s">
        <v>1956</v>
      </c>
      <c r="C327" s="447" t="s">
        <v>679</v>
      </c>
    </row>
    <row r="328" spans="1:3" ht="15.75" customHeight="1">
      <c r="A328" s="447" t="s">
        <v>43</v>
      </c>
      <c r="B328" s="447" t="s">
        <v>347</v>
      </c>
      <c r="C328" s="447" t="s">
        <v>682</v>
      </c>
    </row>
    <row r="329" spans="1:3" ht="15.75" customHeight="1">
      <c r="A329" s="447" t="s">
        <v>43</v>
      </c>
      <c r="B329" s="447" t="s">
        <v>469</v>
      </c>
      <c r="C329" s="447" t="s">
        <v>679</v>
      </c>
    </row>
    <row r="330" spans="1:3" ht="15.75" customHeight="1">
      <c r="A330" s="447" t="s">
        <v>37</v>
      </c>
      <c r="B330" s="447" t="s">
        <v>1941</v>
      </c>
      <c r="C330" s="447" t="s">
        <v>679</v>
      </c>
    </row>
    <row r="331" spans="1:3" ht="15.75" customHeight="1">
      <c r="A331" s="447" t="s">
        <v>37</v>
      </c>
      <c r="B331" s="447" t="s">
        <v>1957</v>
      </c>
      <c r="C331" s="447" t="s">
        <v>684</v>
      </c>
    </row>
    <row r="332" spans="1:3" ht="15.75" customHeight="1">
      <c r="A332" s="447" t="s">
        <v>37</v>
      </c>
      <c r="B332" s="447" t="s">
        <v>601</v>
      </c>
      <c r="C332" s="447" t="s">
        <v>679</v>
      </c>
    </row>
    <row r="333" spans="1:3" ht="15.75" customHeight="1">
      <c r="A333" s="447" t="s">
        <v>37</v>
      </c>
      <c r="B333" s="447" t="s">
        <v>321</v>
      </c>
      <c r="C333" s="447" t="s">
        <v>684</v>
      </c>
    </row>
    <row r="334" spans="1:3" ht="15.75" customHeight="1">
      <c r="A334" s="447" t="s">
        <v>37</v>
      </c>
      <c r="B334" s="447" t="s">
        <v>1942</v>
      </c>
      <c r="C334" s="447" t="s">
        <v>684</v>
      </c>
    </row>
    <row r="335" spans="1:3" ht="15.75" customHeight="1">
      <c r="A335" s="447" t="s">
        <v>37</v>
      </c>
      <c r="B335" s="447" t="s">
        <v>306</v>
      </c>
      <c r="C335" s="447" t="s">
        <v>701</v>
      </c>
    </row>
    <row r="336" spans="1:3" ht="15.75" customHeight="1">
      <c r="A336" s="447" t="s">
        <v>37</v>
      </c>
      <c r="B336" s="447" t="s">
        <v>1714</v>
      </c>
      <c r="C336" s="447" t="s">
        <v>687</v>
      </c>
    </row>
    <row r="337" spans="1:3" ht="15.75" customHeight="1">
      <c r="A337" s="447" t="s">
        <v>37</v>
      </c>
      <c r="B337" s="447" t="s">
        <v>553</v>
      </c>
      <c r="C337" s="447" t="s">
        <v>687</v>
      </c>
    </row>
    <row r="338" spans="1:3" ht="15.75" customHeight="1">
      <c r="A338" s="447" t="s">
        <v>37</v>
      </c>
      <c r="B338" s="447" t="s">
        <v>1286</v>
      </c>
      <c r="C338" s="447" t="s">
        <v>685</v>
      </c>
    </row>
    <row r="339" spans="1:3" ht="15.75" customHeight="1">
      <c r="A339" s="447" t="s">
        <v>37</v>
      </c>
      <c r="B339" s="447" t="s">
        <v>528</v>
      </c>
      <c r="C339" s="447" t="s">
        <v>685</v>
      </c>
    </row>
    <row r="340" spans="1:3" ht="15.75" customHeight="1">
      <c r="A340" s="447" t="s">
        <v>37</v>
      </c>
      <c r="B340" s="447" t="s">
        <v>467</v>
      </c>
      <c r="C340" s="447" t="s">
        <v>695</v>
      </c>
    </row>
    <row r="341" spans="1:3" ht="15.75" customHeight="1">
      <c r="A341" s="447" t="s">
        <v>37</v>
      </c>
      <c r="B341" s="447" t="s">
        <v>534</v>
      </c>
      <c r="C341" s="447" t="s">
        <v>681</v>
      </c>
    </row>
    <row r="342" spans="1:3" ht="15.75" customHeight="1">
      <c r="A342" s="447" t="s">
        <v>37</v>
      </c>
      <c r="B342" s="447" t="s">
        <v>611</v>
      </c>
      <c r="C342" s="447" t="s">
        <v>681</v>
      </c>
    </row>
    <row r="343" spans="1:3" ht="15.75" customHeight="1">
      <c r="A343" s="447" t="s">
        <v>37</v>
      </c>
      <c r="B343" s="447" t="s">
        <v>298</v>
      </c>
      <c r="C343" s="447" t="s">
        <v>678</v>
      </c>
    </row>
    <row r="344" spans="1:3" ht="15.75" customHeight="1">
      <c r="A344" s="447" t="s">
        <v>37</v>
      </c>
      <c r="B344" s="447" t="s">
        <v>330</v>
      </c>
      <c r="C344" s="447" t="s">
        <v>678</v>
      </c>
    </row>
    <row r="345" spans="1:3" ht="15.75" customHeight="1">
      <c r="A345" s="447" t="s">
        <v>37</v>
      </c>
      <c r="B345" s="447" t="s">
        <v>388</v>
      </c>
      <c r="C345" s="447" t="s">
        <v>678</v>
      </c>
    </row>
    <row r="346" spans="1:3" ht="15.75" customHeight="1">
      <c r="A346" s="447" t="s">
        <v>37</v>
      </c>
      <c r="B346" s="447" t="s">
        <v>623</v>
      </c>
      <c r="C346" s="447" t="s">
        <v>678</v>
      </c>
    </row>
    <row r="347" spans="1:3" ht="15.75" customHeight="1">
      <c r="A347" s="447" t="s">
        <v>37</v>
      </c>
      <c r="B347" s="447" t="s">
        <v>1289</v>
      </c>
      <c r="C347" s="447" t="s">
        <v>682</v>
      </c>
    </row>
    <row r="348" spans="1:3" ht="15.75" customHeight="1">
      <c r="A348" s="447" t="s">
        <v>37</v>
      </c>
      <c r="B348" s="447" t="s">
        <v>406</v>
      </c>
      <c r="C348" s="447" t="s">
        <v>700</v>
      </c>
    </row>
    <row r="349" spans="1:3" ht="15.75" customHeight="1">
      <c r="A349" s="447" t="s">
        <v>37</v>
      </c>
      <c r="B349" s="447" t="s">
        <v>1343</v>
      </c>
      <c r="C349" s="447" t="s">
        <v>691</v>
      </c>
    </row>
    <row r="350" spans="1:3" ht="15.75" customHeight="1">
      <c r="A350" s="447" t="s">
        <v>37</v>
      </c>
      <c r="B350" s="447" t="s">
        <v>524</v>
      </c>
      <c r="C350" s="447" t="s">
        <v>691</v>
      </c>
    </row>
    <row r="351" spans="1:3" ht="15.75" customHeight="1">
      <c r="A351" s="447" t="s">
        <v>37</v>
      </c>
      <c r="B351" s="447" t="s">
        <v>612</v>
      </c>
      <c r="C351" s="447" t="s">
        <v>691</v>
      </c>
    </row>
    <row r="352" spans="1:3" ht="15.75" customHeight="1">
      <c r="A352" s="447" t="s">
        <v>37</v>
      </c>
      <c r="B352" s="447" t="s">
        <v>1705</v>
      </c>
      <c r="C352" s="447" t="s">
        <v>1672</v>
      </c>
    </row>
    <row r="353" spans="1:3" ht="15.75" customHeight="1">
      <c r="A353" s="447" t="s">
        <v>39</v>
      </c>
      <c r="B353" s="447" t="s">
        <v>1858</v>
      </c>
      <c r="C353" s="447" t="s">
        <v>686</v>
      </c>
    </row>
    <row r="354" spans="1:3" ht="15.75" customHeight="1">
      <c r="A354" s="447" t="s">
        <v>39</v>
      </c>
      <c r="B354" s="447" t="s">
        <v>1743</v>
      </c>
      <c r="C354" s="447" t="s">
        <v>1672</v>
      </c>
    </row>
    <row r="355" spans="1:3" ht="15.75" customHeight="1">
      <c r="A355" s="447" t="s">
        <v>39</v>
      </c>
      <c r="B355" s="447" t="s">
        <v>404</v>
      </c>
      <c r="C355" s="447" t="s">
        <v>691</v>
      </c>
    </row>
    <row r="356" spans="1:3" ht="15.75" customHeight="1">
      <c r="A356" s="447" t="s">
        <v>39</v>
      </c>
      <c r="B356" s="447" t="s">
        <v>587</v>
      </c>
      <c r="C356" s="447" t="s">
        <v>691</v>
      </c>
    </row>
    <row r="357" spans="1:3" ht="15.75" customHeight="1">
      <c r="A357" s="447" t="s">
        <v>39</v>
      </c>
      <c r="B357" s="447" t="s">
        <v>430</v>
      </c>
      <c r="C357" s="447" t="s">
        <v>700</v>
      </c>
    </row>
    <row r="358" spans="1:3" ht="15.75" customHeight="1">
      <c r="A358" s="447" t="s">
        <v>39</v>
      </c>
      <c r="B358" s="447" t="s">
        <v>1335</v>
      </c>
      <c r="C358" s="447" t="s">
        <v>680</v>
      </c>
    </row>
    <row r="359" spans="1:3" ht="15.75" customHeight="1">
      <c r="A359" s="447" t="s">
        <v>39</v>
      </c>
      <c r="B359" s="447" t="s">
        <v>1751</v>
      </c>
      <c r="C359" s="447" t="s">
        <v>680</v>
      </c>
    </row>
    <row r="360" spans="1:3" ht="15.75" customHeight="1">
      <c r="A360" s="447" t="s">
        <v>39</v>
      </c>
      <c r="B360" s="447" t="s">
        <v>1765</v>
      </c>
      <c r="C360" s="447" t="s">
        <v>680</v>
      </c>
    </row>
    <row r="361" spans="1:3" ht="15.75" customHeight="1">
      <c r="A361" s="447" t="s">
        <v>39</v>
      </c>
      <c r="B361" s="447" t="s">
        <v>1338</v>
      </c>
      <c r="C361" s="447" t="s">
        <v>692</v>
      </c>
    </row>
    <row r="362" spans="1:3" ht="15.75" customHeight="1">
      <c r="A362" s="447" t="s">
        <v>39</v>
      </c>
      <c r="B362" s="447" t="s">
        <v>1298</v>
      </c>
      <c r="C362" s="447" t="s">
        <v>692</v>
      </c>
    </row>
    <row r="363" spans="1:3" ht="15.75" customHeight="1">
      <c r="A363" s="447" t="s">
        <v>39</v>
      </c>
      <c r="B363" s="447" t="s">
        <v>1280</v>
      </c>
      <c r="C363" s="447" t="s">
        <v>692</v>
      </c>
    </row>
    <row r="364" spans="1:3" ht="15.75" customHeight="1">
      <c r="A364" s="447" t="s">
        <v>39</v>
      </c>
      <c r="B364" s="447" t="s">
        <v>541</v>
      </c>
      <c r="C364" s="447" t="s">
        <v>701</v>
      </c>
    </row>
    <row r="365" spans="1:3" ht="15.75" customHeight="1">
      <c r="A365" s="447" t="s">
        <v>39</v>
      </c>
      <c r="B365" s="447" t="s">
        <v>608</v>
      </c>
      <c r="C365" s="447" t="s">
        <v>676</v>
      </c>
    </row>
    <row r="366" spans="1:3" ht="15.75" customHeight="1">
      <c r="A366" s="447" t="s">
        <v>39</v>
      </c>
      <c r="B366" s="447" t="s">
        <v>1301</v>
      </c>
      <c r="C366" s="447" t="s">
        <v>682</v>
      </c>
    </row>
    <row r="367" spans="1:3" ht="15.75" customHeight="1">
      <c r="A367" s="447" t="s">
        <v>39</v>
      </c>
      <c r="B367" s="447" t="s">
        <v>559</v>
      </c>
      <c r="C367" s="447" t="s">
        <v>678</v>
      </c>
    </row>
    <row r="368" spans="1:3" ht="15.75" customHeight="1">
      <c r="A368" s="447" t="s">
        <v>39</v>
      </c>
      <c r="B368" s="447" t="s">
        <v>468</v>
      </c>
      <c r="C368" s="447" t="s">
        <v>681</v>
      </c>
    </row>
    <row r="369" spans="1:3" ht="15.75" customHeight="1">
      <c r="A369" s="447" t="s">
        <v>39</v>
      </c>
      <c r="B369" s="447" t="s">
        <v>350</v>
      </c>
      <c r="C369" s="447" t="s">
        <v>685</v>
      </c>
    </row>
    <row r="370" spans="1:3" ht="15.75" customHeight="1">
      <c r="A370" s="447" t="s">
        <v>39</v>
      </c>
      <c r="B370" s="447" t="s">
        <v>548</v>
      </c>
      <c r="C370" s="447" t="s">
        <v>685</v>
      </c>
    </row>
    <row r="371" spans="1:3" ht="15.75" customHeight="1">
      <c r="A371" s="447" t="s">
        <v>39</v>
      </c>
      <c r="B371" s="447" t="s">
        <v>318</v>
      </c>
      <c r="C371" s="447" t="s">
        <v>684</v>
      </c>
    </row>
    <row r="372" spans="1:3" ht="15.75" customHeight="1">
      <c r="A372" s="447" t="s">
        <v>39</v>
      </c>
      <c r="B372" s="447" t="s">
        <v>377</v>
      </c>
      <c r="C372" s="447" t="s">
        <v>1674</v>
      </c>
    </row>
    <row r="373" spans="1:3" ht="15.75" customHeight="1">
      <c r="A373" s="447" t="s">
        <v>39</v>
      </c>
      <c r="B373" s="447" t="s">
        <v>1758</v>
      </c>
      <c r="C373" s="447" t="s">
        <v>1674</v>
      </c>
    </row>
    <row r="374" spans="1:3" ht="15.75" customHeight="1">
      <c r="A374" s="447" t="s">
        <v>43</v>
      </c>
      <c r="B374" s="447" t="s">
        <v>1985</v>
      </c>
      <c r="C374" s="447" t="s">
        <v>680</v>
      </c>
    </row>
    <row r="375" spans="1:3" ht="15.75" customHeight="1">
      <c r="A375" s="447" t="s">
        <v>43</v>
      </c>
      <c r="B375" s="447" t="s">
        <v>1986</v>
      </c>
      <c r="C375" s="447" t="s">
        <v>1674</v>
      </c>
    </row>
    <row r="376" spans="1:3" ht="15.75" customHeight="1">
      <c r="A376" s="447" t="s">
        <v>43</v>
      </c>
      <c r="B376" s="447" t="s">
        <v>1789</v>
      </c>
      <c r="C376" s="447" t="s">
        <v>686</v>
      </c>
    </row>
    <row r="377" spans="1:3" ht="15.75" customHeight="1">
      <c r="A377" s="447" t="s">
        <v>43</v>
      </c>
      <c r="B377" s="447" t="s">
        <v>495</v>
      </c>
      <c r="C377" s="447" t="s">
        <v>679</v>
      </c>
    </row>
    <row r="378" spans="1:3" ht="15.75" customHeight="1">
      <c r="A378" s="447" t="s">
        <v>35</v>
      </c>
      <c r="B378" s="447" t="s">
        <v>402</v>
      </c>
      <c r="C378" s="447" t="s">
        <v>688</v>
      </c>
    </row>
    <row r="379" spans="1:3" ht="15.75" customHeight="1">
      <c r="A379" s="447" t="s">
        <v>37</v>
      </c>
      <c r="B379" s="447" t="s">
        <v>1960</v>
      </c>
      <c r="C379" s="447" t="s">
        <v>685</v>
      </c>
    </row>
    <row r="380" spans="1:3" ht="15.75" customHeight="1">
      <c r="A380" s="447" t="s">
        <v>37</v>
      </c>
      <c r="B380" s="447" t="s">
        <v>1961</v>
      </c>
      <c r="C380" s="447" t="s">
        <v>688</v>
      </c>
    </row>
    <row r="381" spans="1:3" ht="15.75" customHeight="1">
      <c r="A381" s="447" t="s">
        <v>37</v>
      </c>
      <c r="B381" s="447" t="s">
        <v>1965</v>
      </c>
      <c r="C381" s="447" t="s">
        <v>692</v>
      </c>
    </row>
    <row r="382" spans="1:3" ht="15.75" customHeight="1">
      <c r="A382" s="447" t="s">
        <v>37</v>
      </c>
      <c r="B382" s="447" t="s">
        <v>1987</v>
      </c>
      <c r="C382" s="447" t="s">
        <v>691</v>
      </c>
    </row>
    <row r="383" spans="1:3" ht="15.75" customHeight="1">
      <c r="A383" s="447" t="s">
        <v>37</v>
      </c>
      <c r="B383" s="447" t="s">
        <v>1988</v>
      </c>
      <c r="C383" s="447" t="s">
        <v>687</v>
      </c>
    </row>
    <row r="384" spans="1:3" ht="15.75" customHeight="1">
      <c r="A384" s="447" t="s">
        <v>37</v>
      </c>
      <c r="B384" s="447" t="s">
        <v>1728</v>
      </c>
      <c r="C384" s="447" t="s">
        <v>1477</v>
      </c>
    </row>
    <row r="385" spans="1:3" ht="15.75" customHeight="1">
      <c r="A385" s="447" t="s">
        <v>37</v>
      </c>
      <c r="B385" s="447" t="s">
        <v>1722</v>
      </c>
      <c r="C385" s="447" t="s">
        <v>700</v>
      </c>
    </row>
    <row r="386" spans="1:3" ht="15.75" customHeight="1">
      <c r="A386" s="447" t="s">
        <v>37</v>
      </c>
      <c r="B386" s="447" t="s">
        <v>304</v>
      </c>
      <c r="C386" s="447" t="s">
        <v>684</v>
      </c>
    </row>
    <row r="387" spans="1:3" ht="15.75" customHeight="1">
      <c r="A387" s="447" t="s">
        <v>37</v>
      </c>
      <c r="B387" s="447" t="s">
        <v>1831</v>
      </c>
      <c r="C387" s="447" t="s">
        <v>1477</v>
      </c>
    </row>
    <row r="388" spans="1:3" ht="15.75" customHeight="1">
      <c r="A388" s="447" t="s">
        <v>37</v>
      </c>
      <c r="B388" s="447" t="s">
        <v>457</v>
      </c>
      <c r="C388" s="447" t="s">
        <v>685</v>
      </c>
    </row>
    <row r="389" spans="1:3" ht="15.75" customHeight="1">
      <c r="A389" s="447" t="s">
        <v>37</v>
      </c>
      <c r="B389" s="447" t="s">
        <v>1723</v>
      </c>
      <c r="C389" s="447" t="s">
        <v>688</v>
      </c>
    </row>
    <row r="390" spans="1:3" ht="15.75" customHeight="1">
      <c r="A390" s="447" t="s">
        <v>37</v>
      </c>
      <c r="B390" s="447" t="s">
        <v>566</v>
      </c>
      <c r="C390" s="447" t="s">
        <v>701</v>
      </c>
    </row>
    <row r="391" spans="1:3" ht="15.75" customHeight="1">
      <c r="A391" s="447" t="s">
        <v>37</v>
      </c>
      <c r="B391" s="447" t="s">
        <v>1281</v>
      </c>
      <c r="C391" s="447" t="s">
        <v>678</v>
      </c>
    </row>
    <row r="392" spans="1:3" ht="15.75" customHeight="1">
      <c r="A392" s="447" t="s">
        <v>37</v>
      </c>
      <c r="B392" s="447" t="s">
        <v>594</v>
      </c>
      <c r="C392" s="447" t="s">
        <v>677</v>
      </c>
    </row>
    <row r="393" spans="1:3" ht="15.75" customHeight="1">
      <c r="A393" s="447" t="s">
        <v>37</v>
      </c>
      <c r="B393" s="447" t="s">
        <v>498</v>
      </c>
      <c r="C393" s="447" t="s">
        <v>679</v>
      </c>
    </row>
    <row r="394" spans="1:3" ht="15.75" customHeight="1">
      <c r="A394" s="447" t="s">
        <v>37</v>
      </c>
      <c r="B394" s="447" t="s">
        <v>583</v>
      </c>
      <c r="C394" s="447" t="s">
        <v>679</v>
      </c>
    </row>
    <row r="395" spans="1:3" ht="15.75" customHeight="1">
      <c r="A395" s="447" t="s">
        <v>37</v>
      </c>
      <c r="B395" s="447" t="s">
        <v>1698</v>
      </c>
      <c r="C395" s="447" t="s">
        <v>692</v>
      </c>
    </row>
    <row r="396" spans="1:3" ht="15.75" customHeight="1">
      <c r="A396" s="447" t="s">
        <v>37</v>
      </c>
      <c r="B396" s="447" t="s">
        <v>609</v>
      </c>
      <c r="C396" s="447" t="s">
        <v>680</v>
      </c>
    </row>
    <row r="397" spans="1:3" ht="15.75" customHeight="1">
      <c r="A397" s="447" t="s">
        <v>37</v>
      </c>
      <c r="B397" s="447" t="s">
        <v>472</v>
      </c>
      <c r="C397" s="447" t="s">
        <v>701</v>
      </c>
    </row>
    <row r="398" spans="1:3" ht="15.75" customHeight="1">
      <c r="A398" s="447" t="s">
        <v>37</v>
      </c>
      <c r="B398" s="447" t="s">
        <v>1727</v>
      </c>
      <c r="C398" s="447" t="s">
        <v>680</v>
      </c>
    </row>
    <row r="399" spans="1:3" ht="15.75" customHeight="1">
      <c r="A399" s="447" t="s">
        <v>37</v>
      </c>
      <c r="B399" s="447" t="s">
        <v>550</v>
      </c>
      <c r="C399" s="447" t="s">
        <v>691</v>
      </c>
    </row>
    <row r="400" spans="1:3" ht="15.75" customHeight="1">
      <c r="A400" s="447" t="s">
        <v>37</v>
      </c>
      <c r="B400" s="447" t="s">
        <v>1710</v>
      </c>
      <c r="C400" s="447" t="s">
        <v>686</v>
      </c>
    </row>
    <row r="401" spans="1:3" ht="15.75" customHeight="1">
      <c r="A401" s="447" t="s">
        <v>39</v>
      </c>
      <c r="B401" s="447" t="s">
        <v>1746</v>
      </c>
      <c r="C401" s="447" t="s">
        <v>686</v>
      </c>
    </row>
    <row r="402" spans="1:3" ht="15.75" customHeight="1">
      <c r="A402" s="447" t="s">
        <v>39</v>
      </c>
      <c r="B402" s="447" t="s">
        <v>1852</v>
      </c>
      <c r="C402" s="447" t="s">
        <v>700</v>
      </c>
    </row>
    <row r="403" spans="1:3" ht="15.75" customHeight="1">
      <c r="A403" s="447" t="s">
        <v>39</v>
      </c>
      <c r="B403" s="447" t="s">
        <v>593</v>
      </c>
      <c r="C403" s="447" t="s">
        <v>680</v>
      </c>
    </row>
    <row r="404" spans="1:3" ht="15.75" customHeight="1">
      <c r="A404" s="447" t="s">
        <v>39</v>
      </c>
      <c r="B404" s="447" t="s">
        <v>501</v>
      </c>
      <c r="C404" s="447" t="s">
        <v>701</v>
      </c>
    </row>
    <row r="405" spans="1:3" ht="15.75" customHeight="1">
      <c r="A405" s="447" t="s">
        <v>39</v>
      </c>
      <c r="B405" s="447" t="s">
        <v>1836</v>
      </c>
      <c r="C405" s="447" t="s">
        <v>676</v>
      </c>
    </row>
    <row r="406" spans="1:3" ht="15.75" customHeight="1">
      <c r="A406" s="447" t="s">
        <v>39</v>
      </c>
      <c r="B406" s="447" t="s">
        <v>563</v>
      </c>
      <c r="C406" s="447" t="s">
        <v>682</v>
      </c>
    </row>
    <row r="407" spans="1:3" ht="15.75" customHeight="1">
      <c r="A407" s="447" t="s">
        <v>39</v>
      </c>
      <c r="B407" s="447" t="s">
        <v>1307</v>
      </c>
      <c r="C407" s="447" t="s">
        <v>678</v>
      </c>
    </row>
    <row r="408" spans="1:3" ht="15.75" customHeight="1">
      <c r="A408" s="447" t="s">
        <v>39</v>
      </c>
      <c r="B408" s="447" t="s">
        <v>381</v>
      </c>
      <c r="C408" s="447" t="s">
        <v>695</v>
      </c>
    </row>
    <row r="409" spans="1:3" ht="15.75" customHeight="1">
      <c r="A409" s="447" t="s">
        <v>39</v>
      </c>
      <c r="B409" s="447" t="s">
        <v>351</v>
      </c>
      <c r="C409" s="447" t="s">
        <v>688</v>
      </c>
    </row>
    <row r="410" spans="1:3" ht="15.75" customHeight="1">
      <c r="A410" s="447" t="s">
        <v>39</v>
      </c>
      <c r="B410" s="447" t="s">
        <v>1776</v>
      </c>
      <c r="C410" s="447" t="s">
        <v>1477</v>
      </c>
    </row>
    <row r="411" spans="1:3" ht="15.75" customHeight="1">
      <c r="A411" s="447" t="s">
        <v>39</v>
      </c>
      <c r="B411" s="447" t="s">
        <v>1860</v>
      </c>
      <c r="C411" s="447" t="s">
        <v>1674</v>
      </c>
    </row>
    <row r="412" spans="1:3" ht="15.75" customHeight="1">
      <c r="A412" s="447" t="s">
        <v>39</v>
      </c>
      <c r="B412" s="447" t="s">
        <v>1932</v>
      </c>
      <c r="C412" s="447" t="s">
        <v>679</v>
      </c>
    </row>
    <row r="413" spans="1:3" ht="15.75" customHeight="1">
      <c r="A413" s="447" t="s">
        <v>39</v>
      </c>
      <c r="B413" s="447" t="s">
        <v>1753</v>
      </c>
      <c r="C413" s="447" t="s">
        <v>679</v>
      </c>
    </row>
    <row r="414" spans="1:3" ht="15.75" customHeight="1">
      <c r="A414" s="447" t="s">
        <v>43</v>
      </c>
      <c r="B414" s="447" t="s">
        <v>1989</v>
      </c>
      <c r="C414" s="447" t="s">
        <v>692</v>
      </c>
    </row>
    <row r="415" spans="1:3" ht="15.75" customHeight="1">
      <c r="A415" s="447" t="s">
        <v>43</v>
      </c>
      <c r="B415" s="447" t="s">
        <v>1809</v>
      </c>
      <c r="C415" s="447" t="s">
        <v>1674</v>
      </c>
    </row>
    <row r="416" spans="1:3" ht="15.75" customHeight="1">
      <c r="A416" s="447" t="s">
        <v>43</v>
      </c>
      <c r="B416" s="447" t="s">
        <v>368</v>
      </c>
      <c r="C416" s="447" t="s">
        <v>684</v>
      </c>
    </row>
    <row r="417" spans="1:3" ht="15.75" customHeight="1">
      <c r="A417" s="447" t="s">
        <v>43</v>
      </c>
      <c r="B417" s="447" t="s">
        <v>438</v>
      </c>
      <c r="C417" s="447" t="s">
        <v>684</v>
      </c>
    </row>
    <row r="418" spans="1:3" ht="15.75" customHeight="1">
      <c r="A418" s="447" t="s">
        <v>43</v>
      </c>
      <c r="B418" s="447" t="s">
        <v>445</v>
      </c>
      <c r="C418" s="447" t="s">
        <v>684</v>
      </c>
    </row>
    <row r="419" spans="1:3" ht="15.75" customHeight="1">
      <c r="A419" s="447" t="s">
        <v>43</v>
      </c>
      <c r="B419" s="447" t="s">
        <v>474</v>
      </c>
      <c r="C419" s="447" t="s">
        <v>1672</v>
      </c>
    </row>
    <row r="420" spans="1:3" ht="15.75" customHeight="1">
      <c r="A420" s="447" t="s">
        <v>43</v>
      </c>
      <c r="B420" s="447" t="s">
        <v>1794</v>
      </c>
      <c r="C420" s="447" t="s">
        <v>688</v>
      </c>
    </row>
    <row r="421" spans="1:3" ht="15.75" customHeight="1">
      <c r="A421" s="447" t="s">
        <v>43</v>
      </c>
      <c r="B421" s="447" t="s">
        <v>499</v>
      </c>
      <c r="C421" s="447" t="s">
        <v>687</v>
      </c>
    </row>
    <row r="422" spans="1:3" ht="15.75" customHeight="1">
      <c r="A422" s="447" t="s">
        <v>43</v>
      </c>
      <c r="B422" s="447" t="s">
        <v>1791</v>
      </c>
      <c r="C422" s="447" t="s">
        <v>1674</v>
      </c>
    </row>
    <row r="423" spans="1:3" ht="15.75" customHeight="1">
      <c r="A423" s="447" t="s">
        <v>43</v>
      </c>
      <c r="B423" s="447" t="s">
        <v>1285</v>
      </c>
      <c r="C423" s="447" t="s">
        <v>677</v>
      </c>
    </row>
    <row r="424" spans="1:3" ht="15.75" customHeight="1">
      <c r="A424" s="447" t="s">
        <v>43</v>
      </c>
      <c r="B424" s="447" t="s">
        <v>1747</v>
      </c>
      <c r="C424" s="447" t="s">
        <v>692</v>
      </c>
    </row>
    <row r="425" spans="1:3" ht="15.75" customHeight="1">
      <c r="A425" s="447" t="s">
        <v>43</v>
      </c>
      <c r="B425" s="447" t="s">
        <v>511</v>
      </c>
      <c r="C425" s="447" t="s">
        <v>701</v>
      </c>
    </row>
    <row r="426" spans="1:3" ht="15.75" customHeight="1">
      <c r="A426" s="447" t="s">
        <v>43</v>
      </c>
      <c r="B426" s="447" t="s">
        <v>452</v>
      </c>
      <c r="C426" s="447" t="s">
        <v>700</v>
      </c>
    </row>
    <row r="427" spans="1:3" ht="15.75" customHeight="1">
      <c r="A427" s="447" t="s">
        <v>43</v>
      </c>
      <c r="B427" s="447" t="s">
        <v>1798</v>
      </c>
      <c r="C427" s="447" t="s">
        <v>691</v>
      </c>
    </row>
    <row r="428" spans="1:3" ht="15.75" customHeight="1">
      <c r="A428" s="447" t="s">
        <v>35</v>
      </c>
      <c r="B428" s="447" t="s">
        <v>352</v>
      </c>
      <c r="C428" s="447" t="s">
        <v>1477</v>
      </c>
    </row>
    <row r="429" spans="1:3" ht="15.75" customHeight="1">
      <c r="A429" s="447" t="s">
        <v>37</v>
      </c>
      <c r="B429" s="447" t="s">
        <v>1990</v>
      </c>
      <c r="C429" s="447" t="s">
        <v>701</v>
      </c>
    </row>
    <row r="430" spans="1:3" ht="15.75" customHeight="1">
      <c r="A430" s="447" t="s">
        <v>37</v>
      </c>
      <c r="B430" s="447" t="s">
        <v>496</v>
      </c>
      <c r="C430" s="447" t="s">
        <v>685</v>
      </c>
    </row>
    <row r="431" spans="1:3" ht="15.75" customHeight="1">
      <c r="A431" s="447" t="s">
        <v>37</v>
      </c>
      <c r="B431" s="447" t="s">
        <v>397</v>
      </c>
      <c r="C431" s="447" t="s">
        <v>700</v>
      </c>
    </row>
    <row r="432" spans="1:3" ht="15.75" customHeight="1">
      <c r="A432" s="447" t="s">
        <v>37</v>
      </c>
      <c r="B432" s="447" t="s">
        <v>589</v>
      </c>
      <c r="C432" s="447" t="s">
        <v>1477</v>
      </c>
    </row>
    <row r="433" spans="1:3" ht="15.75" customHeight="1">
      <c r="A433" s="447" t="s">
        <v>39</v>
      </c>
      <c r="B433" s="447" t="s">
        <v>1770</v>
      </c>
      <c r="C433" s="447" t="s">
        <v>1672</v>
      </c>
    </row>
    <row r="434" spans="1:3" ht="15.75" customHeight="1">
      <c r="A434" s="447" t="s">
        <v>39</v>
      </c>
      <c r="B434" s="447" t="s">
        <v>1763</v>
      </c>
      <c r="C434" s="447" t="s">
        <v>684</v>
      </c>
    </row>
    <row r="435" spans="1:3" ht="15.75" customHeight="1">
      <c r="A435" s="447" t="s">
        <v>39</v>
      </c>
      <c r="B435" s="447" t="s">
        <v>1991</v>
      </c>
      <c r="C435" s="447" t="s">
        <v>701</v>
      </c>
    </row>
    <row r="436" spans="1:3" ht="15.75" customHeight="1">
      <c r="A436" s="447" t="s">
        <v>43</v>
      </c>
      <c r="B436" s="447" t="s">
        <v>1929</v>
      </c>
      <c r="C436" s="447" t="s">
        <v>687</v>
      </c>
    </row>
    <row r="437" spans="1:3" ht="15.75" customHeight="1">
      <c r="A437" s="447" t="s">
        <v>35</v>
      </c>
      <c r="B437" s="447" t="s">
        <v>1680</v>
      </c>
      <c r="C437" s="447" t="s">
        <v>686</v>
      </c>
    </row>
    <row r="438" spans="1:3" ht="15.75" customHeight="1">
      <c r="A438" s="447" t="s">
        <v>35</v>
      </c>
      <c r="B438" s="447" t="s">
        <v>332</v>
      </c>
      <c r="C438" s="447" t="s">
        <v>691</v>
      </c>
    </row>
    <row r="439" spans="1:3" ht="15.75" customHeight="1">
      <c r="A439" s="447" t="s">
        <v>35</v>
      </c>
      <c r="B439" s="447" t="s">
        <v>1682</v>
      </c>
      <c r="C439" s="447" t="s">
        <v>691</v>
      </c>
    </row>
    <row r="440" spans="1:3" ht="15.75" customHeight="1">
      <c r="A440" s="447" t="s">
        <v>35</v>
      </c>
      <c r="B440" s="447" t="s">
        <v>1687</v>
      </c>
      <c r="C440" s="447" t="s">
        <v>700</v>
      </c>
    </row>
    <row r="441" spans="1:3" ht="15.75" customHeight="1">
      <c r="A441" s="447" t="s">
        <v>35</v>
      </c>
      <c r="B441" s="447" t="s">
        <v>409</v>
      </c>
      <c r="C441" s="447" t="s">
        <v>700</v>
      </c>
    </row>
    <row r="442" spans="1:3" ht="15.75" customHeight="1">
      <c r="A442" s="447" t="s">
        <v>35</v>
      </c>
      <c r="B442" s="447" t="s">
        <v>423</v>
      </c>
      <c r="C442" s="447" t="s">
        <v>680</v>
      </c>
    </row>
    <row r="443" spans="1:3" ht="15.75" customHeight="1">
      <c r="A443" s="447" t="s">
        <v>35</v>
      </c>
      <c r="B443" s="447" t="s">
        <v>342</v>
      </c>
      <c r="C443" s="447" t="s">
        <v>701</v>
      </c>
    </row>
    <row r="444" spans="1:3" ht="15.75" customHeight="1">
      <c r="A444" s="447" t="s">
        <v>35</v>
      </c>
      <c r="B444" s="447" t="s">
        <v>1689</v>
      </c>
      <c r="C444" s="447" t="s">
        <v>701</v>
      </c>
    </row>
    <row r="445" spans="1:3" ht="15.75" customHeight="1">
      <c r="A445" s="447" t="s">
        <v>35</v>
      </c>
      <c r="B445" s="447" t="s">
        <v>338</v>
      </c>
      <c r="C445" s="447" t="s">
        <v>692</v>
      </c>
    </row>
    <row r="446" spans="1:3" ht="15.75" customHeight="1">
      <c r="A446" s="447" t="s">
        <v>35</v>
      </c>
      <c r="B446" s="447" t="s">
        <v>921</v>
      </c>
      <c r="C446" s="447" t="s">
        <v>685</v>
      </c>
    </row>
    <row r="447" spans="1:3" ht="15.75" customHeight="1">
      <c r="A447" s="447" t="s">
        <v>35</v>
      </c>
      <c r="B447" s="447" t="s">
        <v>366</v>
      </c>
      <c r="C447" s="447" t="s">
        <v>679</v>
      </c>
    </row>
    <row r="448" spans="1:3" ht="15.75" customHeight="1">
      <c r="A448" s="447" t="s">
        <v>35</v>
      </c>
      <c r="B448" s="447" t="s">
        <v>448</v>
      </c>
      <c r="C448" s="447" t="s">
        <v>679</v>
      </c>
    </row>
    <row r="449" spans="1:3" ht="15.75" customHeight="1">
      <c r="A449" s="447" t="s">
        <v>35</v>
      </c>
      <c r="B449" s="447" t="s">
        <v>885</v>
      </c>
      <c r="C449" s="447" t="s">
        <v>677</v>
      </c>
    </row>
    <row r="450" spans="1:3" ht="15.75" customHeight="1">
      <c r="A450" s="447" t="s">
        <v>35</v>
      </c>
      <c r="B450" s="447" t="s">
        <v>385</v>
      </c>
      <c r="C450" s="447" t="s">
        <v>677</v>
      </c>
    </row>
    <row r="451" spans="1:3" ht="15.75" customHeight="1">
      <c r="A451" s="447" t="s">
        <v>35</v>
      </c>
      <c r="B451" s="447" t="s">
        <v>1684</v>
      </c>
      <c r="C451" s="447" t="s">
        <v>676</v>
      </c>
    </row>
    <row r="452" spans="1:3" ht="15.75" customHeight="1">
      <c r="A452" s="447" t="s">
        <v>35</v>
      </c>
      <c r="B452" s="447" t="s">
        <v>886</v>
      </c>
      <c r="C452" s="447" t="s">
        <v>676</v>
      </c>
    </row>
    <row r="453" spans="1:3" ht="15.75" customHeight="1">
      <c r="A453" s="447" t="s">
        <v>35</v>
      </c>
      <c r="B453" s="447" t="s">
        <v>1686</v>
      </c>
      <c r="C453" s="447" t="s">
        <v>682</v>
      </c>
    </row>
    <row r="454" spans="1:3" ht="15.75" customHeight="1">
      <c r="A454" s="447" t="s">
        <v>35</v>
      </c>
      <c r="B454" s="447" t="s">
        <v>442</v>
      </c>
      <c r="C454" s="447" t="s">
        <v>682</v>
      </c>
    </row>
    <row r="455" spans="1:3" ht="15.75" customHeight="1">
      <c r="A455" s="447" t="s">
        <v>35</v>
      </c>
      <c r="B455" s="447" t="s">
        <v>1867</v>
      </c>
      <c r="C455" s="447" t="s">
        <v>678</v>
      </c>
    </row>
    <row r="456" spans="1:3" ht="15.75" customHeight="1">
      <c r="A456" s="447" t="s">
        <v>35</v>
      </c>
      <c r="B456" s="447" t="s">
        <v>348</v>
      </c>
      <c r="C456" s="447" t="s">
        <v>678</v>
      </c>
    </row>
    <row r="457" spans="1:3" ht="15.75" customHeight="1">
      <c r="A457" s="447" t="s">
        <v>35</v>
      </c>
      <c r="B457" s="447" t="s">
        <v>434</v>
      </c>
      <c r="C457" s="447" t="s">
        <v>678</v>
      </c>
    </row>
    <row r="458" spans="1:3" ht="15.75" customHeight="1">
      <c r="A458" s="447" t="s">
        <v>35</v>
      </c>
      <c r="B458" s="447" t="s">
        <v>412</v>
      </c>
      <c r="C458" s="447" t="s">
        <v>681</v>
      </c>
    </row>
    <row r="459" spans="1:3" ht="15.75" customHeight="1">
      <c r="A459" s="447" t="s">
        <v>35</v>
      </c>
      <c r="B459" s="447" t="s">
        <v>426</v>
      </c>
      <c r="C459" s="447" t="s">
        <v>681</v>
      </c>
    </row>
    <row r="460" spans="1:3" ht="15.75" customHeight="1">
      <c r="A460" s="447" t="s">
        <v>35</v>
      </c>
      <c r="B460" s="447" t="s">
        <v>370</v>
      </c>
      <c r="C460" s="447" t="s">
        <v>695</v>
      </c>
    </row>
    <row r="461" spans="1:3" ht="15.75" customHeight="1">
      <c r="A461" s="447" t="s">
        <v>35</v>
      </c>
      <c r="B461" s="447" t="s">
        <v>428</v>
      </c>
      <c r="C461" s="447" t="s">
        <v>695</v>
      </c>
    </row>
    <row r="462" spans="1:3" ht="15.75" customHeight="1">
      <c r="A462" s="447" t="s">
        <v>35</v>
      </c>
      <c r="B462" s="447" t="s">
        <v>439</v>
      </c>
      <c r="C462" s="447" t="s">
        <v>688</v>
      </c>
    </row>
    <row r="463" spans="1:3" ht="15.75" customHeight="1">
      <c r="A463" s="447" t="s">
        <v>35</v>
      </c>
      <c r="B463" s="447" t="s">
        <v>387</v>
      </c>
      <c r="C463" s="447" t="s">
        <v>685</v>
      </c>
    </row>
    <row r="464" spans="1:3" ht="15.75" customHeight="1">
      <c r="A464" s="447" t="s">
        <v>35</v>
      </c>
      <c r="B464" s="447" t="s">
        <v>1814</v>
      </c>
      <c r="C464" s="447" t="s">
        <v>1477</v>
      </c>
    </row>
    <row r="465" spans="1:3" ht="15.75" customHeight="1">
      <c r="A465" s="447" t="s">
        <v>35</v>
      </c>
      <c r="B465" s="447" t="s">
        <v>1691</v>
      </c>
      <c r="C465" s="447" t="s">
        <v>1477</v>
      </c>
    </row>
    <row r="466" spans="1:3" ht="15.75" customHeight="1">
      <c r="A466" s="447" t="s">
        <v>35</v>
      </c>
      <c r="B466" s="447" t="s">
        <v>359</v>
      </c>
      <c r="C466" s="447" t="s">
        <v>687</v>
      </c>
    </row>
    <row r="467" spans="1:3" ht="15.75" customHeight="1">
      <c r="A467" s="447" t="s">
        <v>35</v>
      </c>
      <c r="B467" s="447" t="s">
        <v>1868</v>
      </c>
      <c r="C467" s="447" t="s">
        <v>687</v>
      </c>
    </row>
    <row r="468" spans="1:3" ht="15.75" customHeight="1">
      <c r="A468" s="447" t="s">
        <v>35</v>
      </c>
      <c r="B468" s="447" t="s">
        <v>314</v>
      </c>
      <c r="C468" s="447" t="s">
        <v>684</v>
      </c>
    </row>
    <row r="469" spans="1:3" ht="15.75" customHeight="1">
      <c r="A469" s="447" t="s">
        <v>35</v>
      </c>
      <c r="B469" s="447" t="s">
        <v>1690</v>
      </c>
      <c r="C469" s="447" t="s">
        <v>1674</v>
      </c>
    </row>
    <row r="470" spans="1:3" ht="15.75" customHeight="1">
      <c r="A470" s="447" t="s">
        <v>35</v>
      </c>
      <c r="B470" s="447" t="s">
        <v>1681</v>
      </c>
      <c r="C470" s="447" t="s">
        <v>1674</v>
      </c>
    </row>
    <row r="471" spans="1:3" ht="15.75" customHeight="1">
      <c r="A471" s="447" t="s">
        <v>35</v>
      </c>
      <c r="B471" s="447" t="s">
        <v>1812</v>
      </c>
      <c r="C471" s="447" t="s">
        <v>1672</v>
      </c>
    </row>
    <row r="472" spans="1:3" ht="15.75" customHeight="1">
      <c r="A472" s="447" t="s">
        <v>35</v>
      </c>
      <c r="B472" s="447" t="s">
        <v>375</v>
      </c>
      <c r="C472" s="447" t="s">
        <v>685</v>
      </c>
    </row>
    <row r="473" spans="1:3" ht="15.75" customHeight="1">
      <c r="A473" s="447" t="s">
        <v>35</v>
      </c>
      <c r="B473" s="447" t="s">
        <v>1920</v>
      </c>
      <c r="C473" s="447" t="s">
        <v>1672</v>
      </c>
    </row>
    <row r="474" spans="1:3" ht="15.75" customHeight="1">
      <c r="A474" s="447" t="s">
        <v>35</v>
      </c>
      <c r="B474" s="447" t="s">
        <v>1934</v>
      </c>
      <c r="C474" s="447" t="s">
        <v>692</v>
      </c>
    </row>
    <row r="475" spans="1:3" ht="15.75" customHeight="1">
      <c r="A475" s="447" t="s">
        <v>35</v>
      </c>
      <c r="B475" s="447" t="s">
        <v>1688</v>
      </c>
      <c r="C475" s="447" t="s">
        <v>680</v>
      </c>
    </row>
    <row r="476" spans="1:3" ht="15.75" customHeight="1">
      <c r="A476" s="447" t="s">
        <v>35</v>
      </c>
      <c r="B476" s="447" t="s">
        <v>1935</v>
      </c>
      <c r="C476" s="447" t="s">
        <v>686</v>
      </c>
    </row>
    <row r="477" spans="1:3" ht="15.75" customHeight="1">
      <c r="A477" s="447" t="s">
        <v>35</v>
      </c>
      <c r="B477" s="447" t="s">
        <v>1683</v>
      </c>
      <c r="C477" s="447" t="s">
        <v>1672</v>
      </c>
    </row>
    <row r="478" spans="1:3" ht="15.75" customHeight="1">
      <c r="A478" s="447" t="s">
        <v>37</v>
      </c>
      <c r="B478" s="447" t="s">
        <v>1823</v>
      </c>
      <c r="C478" s="447" t="s">
        <v>692</v>
      </c>
    </row>
    <row r="479" spans="1:3" ht="15.75" customHeight="1">
      <c r="A479" s="447" t="s">
        <v>37</v>
      </c>
      <c r="B479" s="447" t="s">
        <v>1828</v>
      </c>
      <c r="C479" s="447" t="s">
        <v>688</v>
      </c>
    </row>
    <row r="480" spans="1:3" ht="15.75" customHeight="1">
      <c r="A480" s="447" t="s">
        <v>37</v>
      </c>
      <c r="B480" s="447" t="s">
        <v>1979</v>
      </c>
      <c r="C480" s="447" t="s">
        <v>1477</v>
      </c>
    </row>
    <row r="481" spans="1:3" ht="15.75" customHeight="1">
      <c r="A481" s="447" t="s">
        <v>37</v>
      </c>
      <c r="B481" s="447" t="s">
        <v>1992</v>
      </c>
      <c r="C481" s="447" t="s">
        <v>688</v>
      </c>
    </row>
    <row r="482" spans="1:3" ht="15.75" customHeight="1">
      <c r="A482" s="447" t="s">
        <v>37</v>
      </c>
      <c r="B482" s="447" t="s">
        <v>1830</v>
      </c>
      <c r="C482" s="447" t="s">
        <v>677</v>
      </c>
    </row>
    <row r="483" spans="1:3" ht="15.75" customHeight="1">
      <c r="A483" s="447" t="s">
        <v>37</v>
      </c>
      <c r="B483" s="447" t="s">
        <v>1719</v>
      </c>
      <c r="C483" s="447" t="s">
        <v>684</v>
      </c>
    </row>
    <row r="484" spans="1:3" ht="15.75" customHeight="1">
      <c r="A484" s="447" t="s">
        <v>37</v>
      </c>
      <c r="B484" s="447" t="s">
        <v>1933</v>
      </c>
      <c r="C484" s="447" t="s">
        <v>686</v>
      </c>
    </row>
    <row r="485" spans="1:3" ht="15.75" customHeight="1">
      <c r="A485" s="447" t="s">
        <v>37</v>
      </c>
      <c r="B485" s="447" t="s">
        <v>1726</v>
      </c>
      <c r="C485" s="447" t="s">
        <v>680</v>
      </c>
    </row>
    <row r="486" spans="1:3" ht="15.75" customHeight="1">
      <c r="A486" s="447" t="s">
        <v>37</v>
      </c>
      <c r="B486" s="447" t="s">
        <v>1866</v>
      </c>
      <c r="C486" s="447" t="s">
        <v>1674</v>
      </c>
    </row>
    <row r="487" spans="1:3" ht="15.75" customHeight="1">
      <c r="A487" s="447" t="s">
        <v>37</v>
      </c>
      <c r="B487" s="447" t="s">
        <v>413</v>
      </c>
      <c r="C487" s="447" t="s">
        <v>1674</v>
      </c>
    </row>
    <row r="488" spans="1:3" ht="15.75" customHeight="1">
      <c r="A488" s="447" t="s">
        <v>37</v>
      </c>
      <c r="B488" s="447" t="s">
        <v>1720</v>
      </c>
      <c r="C488" s="447" t="s">
        <v>1674</v>
      </c>
    </row>
    <row r="489" spans="1:3" ht="15.75" customHeight="1">
      <c r="A489" s="447" t="s">
        <v>37</v>
      </c>
      <c r="B489" s="447" t="s">
        <v>326</v>
      </c>
      <c r="C489" s="447" t="s">
        <v>1672</v>
      </c>
    </row>
    <row r="490" spans="1:3" ht="15.75" customHeight="1">
      <c r="A490" s="447" t="s">
        <v>37</v>
      </c>
      <c r="B490" s="447" t="s">
        <v>1305</v>
      </c>
      <c r="C490" s="447" t="s">
        <v>688</v>
      </c>
    </row>
    <row r="491" spans="1:3" ht="15.75" customHeight="1">
      <c r="A491" s="447" t="s">
        <v>37</v>
      </c>
      <c r="B491" s="447" t="s">
        <v>399</v>
      </c>
      <c r="C491" s="447" t="s">
        <v>695</v>
      </c>
    </row>
    <row r="492" spans="1:3" ht="15.75" customHeight="1">
      <c r="A492" s="447" t="s">
        <v>37</v>
      </c>
      <c r="B492" s="447" t="s">
        <v>602</v>
      </c>
      <c r="C492" s="447" t="s">
        <v>688</v>
      </c>
    </row>
    <row r="493" spans="1:3" ht="15.75" customHeight="1">
      <c r="A493" s="447" t="s">
        <v>37</v>
      </c>
      <c r="B493" s="447" t="s">
        <v>564</v>
      </c>
      <c r="C493" s="447" t="s">
        <v>682</v>
      </c>
    </row>
    <row r="494" spans="1:3" ht="15.75" customHeight="1">
      <c r="A494" s="447" t="s">
        <v>37</v>
      </c>
      <c r="B494" s="447" t="s">
        <v>576</v>
      </c>
      <c r="C494" s="447" t="s">
        <v>677</v>
      </c>
    </row>
    <row r="495" spans="1:3" ht="15.75" customHeight="1">
      <c r="A495" s="447" t="s">
        <v>37</v>
      </c>
      <c r="B495" s="447" t="s">
        <v>1717</v>
      </c>
      <c r="C495" s="447" t="s">
        <v>680</v>
      </c>
    </row>
    <row r="496" spans="1:3" ht="15.75" customHeight="1">
      <c r="A496" s="447" t="s">
        <v>37</v>
      </c>
      <c r="B496" s="447" t="s">
        <v>891</v>
      </c>
      <c r="C496" s="447" t="s">
        <v>680</v>
      </c>
    </row>
    <row r="497" spans="1:3" ht="15.75" customHeight="1">
      <c r="A497" s="447" t="s">
        <v>37</v>
      </c>
      <c r="B497" s="447" t="s">
        <v>460</v>
      </c>
      <c r="C497" s="447" t="s">
        <v>1672</v>
      </c>
    </row>
    <row r="498" spans="1:3" ht="15.75" customHeight="1">
      <c r="A498" s="447" t="s">
        <v>37</v>
      </c>
      <c r="B498" s="447" t="s">
        <v>1716</v>
      </c>
      <c r="C498" s="447" t="s">
        <v>1672</v>
      </c>
    </row>
    <row r="499" spans="1:3" ht="15.75" customHeight="1">
      <c r="A499" s="447" t="s">
        <v>37</v>
      </c>
      <c r="B499" s="447" t="s">
        <v>1711</v>
      </c>
      <c r="C499" s="447" t="s">
        <v>1672</v>
      </c>
    </row>
    <row r="500" spans="1:3" ht="15.75" customHeight="1">
      <c r="A500" s="447" t="s">
        <v>37</v>
      </c>
      <c r="B500" s="447" t="s">
        <v>1715</v>
      </c>
      <c r="C500" s="447" t="s">
        <v>686</v>
      </c>
    </row>
    <row r="501" spans="1:3" ht="15.75" customHeight="1">
      <c r="A501" s="447" t="s">
        <v>37</v>
      </c>
      <c r="B501" s="447" t="s">
        <v>464</v>
      </c>
      <c r="C501" s="447" t="s">
        <v>686</v>
      </c>
    </row>
    <row r="502" spans="1:3" ht="15.75" customHeight="1">
      <c r="A502" s="447" t="s">
        <v>39</v>
      </c>
      <c r="B502" s="447" t="s">
        <v>1761</v>
      </c>
      <c r="C502" s="447" t="s">
        <v>1672</v>
      </c>
    </row>
    <row r="503" spans="1:3" ht="15.75" customHeight="1">
      <c r="A503" s="447" t="s">
        <v>39</v>
      </c>
      <c r="B503" s="447" t="s">
        <v>1762</v>
      </c>
      <c r="C503" s="447" t="s">
        <v>700</v>
      </c>
    </row>
    <row r="504" spans="1:3" ht="15.75" customHeight="1">
      <c r="A504" s="447" t="s">
        <v>39</v>
      </c>
      <c r="B504" s="447" t="s">
        <v>427</v>
      </c>
      <c r="C504" s="447" t="s">
        <v>700</v>
      </c>
    </row>
    <row r="505" spans="1:3" ht="15.75" customHeight="1">
      <c r="A505" s="447" t="s">
        <v>39</v>
      </c>
      <c r="B505" s="447" t="s">
        <v>1804</v>
      </c>
      <c r="C505" s="447" t="s">
        <v>701</v>
      </c>
    </row>
    <row r="506" spans="1:3" ht="15.75" customHeight="1">
      <c r="A506" s="447" t="s">
        <v>39</v>
      </c>
      <c r="B506" s="447" t="s">
        <v>1771</v>
      </c>
      <c r="C506" s="447" t="s">
        <v>701</v>
      </c>
    </row>
    <row r="507" spans="1:3" ht="15.75" customHeight="1">
      <c r="A507" s="447" t="s">
        <v>39</v>
      </c>
      <c r="B507" s="447" t="s">
        <v>926</v>
      </c>
      <c r="C507" s="447" t="s">
        <v>692</v>
      </c>
    </row>
    <row r="508" spans="1:3" ht="15.75" customHeight="1">
      <c r="A508" s="447" t="s">
        <v>39</v>
      </c>
      <c r="B508" s="447" t="s">
        <v>400</v>
      </c>
      <c r="C508" s="447" t="s">
        <v>679</v>
      </c>
    </row>
    <row r="509" spans="1:3" ht="15.75" customHeight="1">
      <c r="A509" s="447" t="s">
        <v>39</v>
      </c>
      <c r="B509" s="447" t="s">
        <v>473</v>
      </c>
      <c r="C509" s="447" t="s">
        <v>677</v>
      </c>
    </row>
    <row r="510" spans="1:3" ht="15.75" customHeight="1">
      <c r="A510" s="447" t="s">
        <v>39</v>
      </c>
      <c r="B510" s="447" t="s">
        <v>1837</v>
      </c>
      <c r="C510" s="447" t="s">
        <v>682</v>
      </c>
    </row>
    <row r="511" spans="1:3" ht="15.75" customHeight="1">
      <c r="A511" s="447" t="s">
        <v>39</v>
      </c>
      <c r="B511" s="447" t="s">
        <v>1295</v>
      </c>
      <c r="C511" s="447" t="s">
        <v>678</v>
      </c>
    </row>
    <row r="512" spans="1:3" ht="15.75" customHeight="1">
      <c r="A512" s="447" t="s">
        <v>39</v>
      </c>
      <c r="B512" s="447" t="s">
        <v>1772</v>
      </c>
      <c r="C512" s="447" t="s">
        <v>685</v>
      </c>
    </row>
    <row r="513" spans="1:3" ht="15.75" customHeight="1">
      <c r="A513" s="447" t="s">
        <v>39</v>
      </c>
      <c r="B513" s="447" t="s">
        <v>1279</v>
      </c>
      <c r="C513" s="447" t="s">
        <v>687</v>
      </c>
    </row>
    <row r="514" spans="1:3" ht="15.75" customHeight="1">
      <c r="A514" s="447" t="s">
        <v>39</v>
      </c>
      <c r="B514" s="447" t="s">
        <v>1742</v>
      </c>
      <c r="C514" s="447" t="s">
        <v>684</v>
      </c>
    </row>
    <row r="515" spans="1:3" ht="15.75" customHeight="1">
      <c r="A515" s="447" t="s">
        <v>39</v>
      </c>
      <c r="B515" s="447" t="s">
        <v>1838</v>
      </c>
      <c r="C515" s="447" t="s">
        <v>701</v>
      </c>
    </row>
    <row r="516" spans="1:3" ht="15.75" customHeight="1">
      <c r="A516" s="447" t="s">
        <v>39</v>
      </c>
      <c r="B516" s="447" t="s">
        <v>1306</v>
      </c>
      <c r="C516" s="447" t="s">
        <v>678</v>
      </c>
    </row>
    <row r="517" spans="1:3" ht="15.75" customHeight="1">
      <c r="A517" s="447" t="s">
        <v>39</v>
      </c>
      <c r="B517" s="447" t="s">
        <v>1759</v>
      </c>
      <c r="C517" s="447" t="s">
        <v>686</v>
      </c>
    </row>
    <row r="518" spans="1:3" ht="15.75" customHeight="1">
      <c r="A518" s="447" t="s">
        <v>39</v>
      </c>
      <c r="B518" s="447" t="s">
        <v>1805</v>
      </c>
      <c r="C518" s="447" t="s">
        <v>691</v>
      </c>
    </row>
    <row r="519" spans="1:3" ht="15.75" customHeight="1">
      <c r="A519" s="447" t="s">
        <v>39</v>
      </c>
      <c r="B519" s="447" t="s">
        <v>1993</v>
      </c>
      <c r="C519" s="447" t="s">
        <v>1477</v>
      </c>
    </row>
    <row r="520" spans="1:3" ht="15.75" customHeight="1">
      <c r="A520" s="447" t="s">
        <v>39</v>
      </c>
      <c r="B520" s="447" t="s">
        <v>1958</v>
      </c>
      <c r="C520" s="447" t="s">
        <v>678</v>
      </c>
    </row>
    <row r="521" spans="1:3" ht="15.75" customHeight="1">
      <c r="A521" s="447" t="s">
        <v>43</v>
      </c>
      <c r="B521" s="447" t="s">
        <v>1944</v>
      </c>
      <c r="C521" s="447" t="s">
        <v>679</v>
      </c>
    </row>
    <row r="522" spans="1:3" ht="15.75" customHeight="1">
      <c r="A522" s="447" t="s">
        <v>43</v>
      </c>
      <c r="B522" s="447" t="s">
        <v>1847</v>
      </c>
      <c r="C522" s="447" t="s">
        <v>701</v>
      </c>
    </row>
    <row r="523" spans="1:3" ht="15.75" customHeight="1">
      <c r="A523" s="447" t="s">
        <v>43</v>
      </c>
      <c r="B523" s="447" t="s">
        <v>1959</v>
      </c>
      <c r="C523" s="447" t="s">
        <v>1672</v>
      </c>
    </row>
    <row r="524" spans="1:3" ht="15.75" customHeight="1">
      <c r="A524" s="447" t="s">
        <v>43</v>
      </c>
      <c r="B524" s="447" t="s">
        <v>1807</v>
      </c>
      <c r="C524" s="447" t="s">
        <v>685</v>
      </c>
    </row>
    <row r="525" spans="1:3" ht="15.75" customHeight="1">
      <c r="A525" s="447" t="s">
        <v>43</v>
      </c>
      <c r="B525" s="447" t="s">
        <v>1799</v>
      </c>
      <c r="C525" s="447" t="s">
        <v>682</v>
      </c>
    </row>
    <row r="526" spans="1:3" ht="15.75" customHeight="1">
      <c r="A526" s="447" t="s">
        <v>43</v>
      </c>
      <c r="B526" s="447" t="s">
        <v>1851</v>
      </c>
      <c r="C526" s="447" t="s">
        <v>684</v>
      </c>
    </row>
    <row r="527" spans="1:3" ht="15.75" customHeight="1">
      <c r="A527" s="447" t="s">
        <v>43</v>
      </c>
      <c r="B527" s="447" t="s">
        <v>1801</v>
      </c>
      <c r="C527" s="447" t="s">
        <v>1477</v>
      </c>
    </row>
    <row r="528" spans="1:3" ht="15.75" customHeight="1">
      <c r="A528" s="447" t="s">
        <v>43</v>
      </c>
      <c r="B528" s="447" t="s">
        <v>1287</v>
      </c>
      <c r="C528" s="447" t="s">
        <v>1672</v>
      </c>
    </row>
    <row r="529" spans="1:3" ht="15.75" customHeight="1">
      <c r="A529" s="447" t="s">
        <v>43</v>
      </c>
      <c r="B529" s="447" t="s">
        <v>1788</v>
      </c>
      <c r="C529" s="447" t="s">
        <v>679</v>
      </c>
    </row>
    <row r="530" spans="1:3" ht="15.75" customHeight="1">
      <c r="A530" s="447" t="s">
        <v>43</v>
      </c>
      <c r="B530" s="447" t="s">
        <v>384</v>
      </c>
      <c r="C530" s="447" t="s">
        <v>700</v>
      </c>
    </row>
    <row r="531" spans="1:3" ht="15.75" customHeight="1">
      <c r="A531" s="447" t="s">
        <v>43</v>
      </c>
      <c r="B531" s="447" t="s">
        <v>1802</v>
      </c>
      <c r="C531" s="447" t="s">
        <v>691</v>
      </c>
    </row>
    <row r="532" spans="1:3" ht="15.75" customHeight="1">
      <c r="A532" s="179"/>
      <c r="B532" s="179"/>
      <c r="C532" s="179"/>
    </row>
    <row r="533" spans="1:3" ht="15.75" customHeight="1">
      <c r="A533" s="179"/>
      <c r="B533" s="179"/>
      <c r="C533" s="179"/>
    </row>
    <row r="534" spans="1:3" ht="15.75" customHeight="1">
      <c r="A534" s="179"/>
      <c r="B534" s="179"/>
      <c r="C534" s="179"/>
    </row>
    <row r="535" spans="1:3" ht="15.75" customHeight="1">
      <c r="A535" s="179"/>
      <c r="B535" s="179"/>
      <c r="C535" s="179"/>
    </row>
    <row r="536" spans="1:3" ht="15.75" customHeight="1">
      <c r="A536" s="179"/>
      <c r="B536" s="179"/>
      <c r="C536" s="179"/>
    </row>
    <row r="537" spans="1:3" ht="15.75" customHeight="1">
      <c r="A537" s="179"/>
      <c r="B537" s="179"/>
      <c r="C537" s="179"/>
    </row>
    <row r="538" spans="1:3" ht="15.75" customHeight="1">
      <c r="A538" s="179"/>
      <c r="B538" s="179"/>
      <c r="C538" s="179"/>
    </row>
    <row r="539" spans="1:3" ht="15.75" customHeight="1">
      <c r="A539" s="179"/>
      <c r="B539" s="179"/>
      <c r="C539" s="179"/>
    </row>
    <row r="540" spans="1:3" ht="15.75" customHeight="1">
      <c r="A540" s="179"/>
      <c r="B540" s="179"/>
      <c r="C540" s="179"/>
    </row>
    <row r="541" spans="1:3" ht="15.75" customHeight="1">
      <c r="A541" s="179"/>
      <c r="B541" s="179"/>
      <c r="C541" s="179"/>
    </row>
    <row r="542" spans="1:3" ht="15.75" customHeight="1">
      <c r="A542" s="179"/>
      <c r="B542" s="179"/>
      <c r="C542" s="179"/>
    </row>
    <row r="543" spans="1:3" ht="15.75" customHeight="1"/>
    <row r="544" spans="1:3"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sheetData>
  <sheetProtection selectLockedCells="1" selectUnlockedCells="1"/>
  <mergeCells count="1">
    <mergeCell ref="A1:C1"/>
  </mergeCells>
  <conditionalFormatting sqref="B561">
    <cfRule type="expression" dxfId="9" priority="2" stopIfTrue="1">
      <formula>VLOOKUP($B561,TabAlgTutti,1,FALSE)=$B561</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C99"/>
  </sheetPr>
  <dimension ref="A1:C560"/>
  <sheetViews>
    <sheetView topLeftCell="A2" workbookViewId="0">
      <selection activeCell="A3" sqref="A3:C531"/>
    </sheetView>
  </sheetViews>
  <sheetFormatPr defaultRowHeight="12.75"/>
  <cols>
    <col min="1" max="1" width="7" bestFit="1" customWidth="1"/>
    <col min="2" max="2" width="26.140625" customWidth="1"/>
    <col min="3" max="3" width="12.140625" customWidth="1"/>
  </cols>
  <sheetData>
    <row r="1" spans="1:3" ht="15.75">
      <c r="A1" s="578" t="s">
        <v>1321</v>
      </c>
      <c r="B1" s="579"/>
      <c r="C1" s="580"/>
    </row>
    <row r="2" spans="1:3" ht="15">
      <c r="A2" s="223" t="s">
        <v>638</v>
      </c>
      <c r="B2" s="223" t="s">
        <v>920</v>
      </c>
      <c r="C2" s="223" t="s">
        <v>637</v>
      </c>
    </row>
    <row r="3" spans="1:3" ht="15">
      <c r="A3" s="448" t="s">
        <v>43</v>
      </c>
      <c r="B3" s="448" t="s">
        <v>396</v>
      </c>
      <c r="C3" s="448" t="s">
        <v>677</v>
      </c>
    </row>
    <row r="4" spans="1:3" ht="15">
      <c r="A4" s="448" t="s">
        <v>43</v>
      </c>
      <c r="B4" s="448" t="s">
        <v>393</v>
      </c>
      <c r="C4" s="448" t="s">
        <v>676</v>
      </c>
    </row>
    <row r="5" spans="1:3" ht="15">
      <c r="A5" s="448" t="s">
        <v>43</v>
      </c>
      <c r="B5" s="448" t="s">
        <v>310</v>
      </c>
      <c r="C5" s="448" t="s">
        <v>687</v>
      </c>
    </row>
    <row r="6" spans="1:3" ht="15">
      <c r="A6" s="448" t="s">
        <v>43</v>
      </c>
      <c r="B6" s="448" t="s">
        <v>552</v>
      </c>
      <c r="C6" s="448" t="s">
        <v>681</v>
      </c>
    </row>
    <row r="7" spans="1:3" ht="15.75" customHeight="1">
      <c r="A7" s="448" t="s">
        <v>43</v>
      </c>
      <c r="B7" s="448" t="s">
        <v>358</v>
      </c>
      <c r="C7" s="448" t="s">
        <v>695</v>
      </c>
    </row>
    <row r="8" spans="1:3" ht="15.75" customHeight="1">
      <c r="A8" s="448" t="s">
        <v>43</v>
      </c>
      <c r="B8" s="448" t="s">
        <v>355</v>
      </c>
      <c r="C8" s="448" t="s">
        <v>676</v>
      </c>
    </row>
    <row r="9" spans="1:3" ht="15.75" customHeight="1">
      <c r="A9" s="448" t="s">
        <v>43</v>
      </c>
      <c r="B9" s="448" t="s">
        <v>408</v>
      </c>
      <c r="C9" s="448" t="s">
        <v>681</v>
      </c>
    </row>
    <row r="10" spans="1:3" ht="15.75" customHeight="1">
      <c r="A10" s="448" t="s">
        <v>43</v>
      </c>
      <c r="B10" s="448" t="s">
        <v>401</v>
      </c>
      <c r="C10" s="448" t="s">
        <v>682</v>
      </c>
    </row>
    <row r="11" spans="1:3" ht="15.75" customHeight="1">
      <c r="A11" s="448" t="s">
        <v>39</v>
      </c>
      <c r="B11" s="448" t="s">
        <v>567</v>
      </c>
      <c r="C11" s="448" t="s">
        <v>695</v>
      </c>
    </row>
    <row r="12" spans="1:3" ht="15.75" customHeight="1">
      <c r="A12" s="448" t="s">
        <v>43</v>
      </c>
      <c r="B12" s="448" t="s">
        <v>328</v>
      </c>
      <c r="C12" s="448" t="s">
        <v>681</v>
      </c>
    </row>
    <row r="13" spans="1:3" ht="15.75" customHeight="1">
      <c r="A13" s="448" t="s">
        <v>39</v>
      </c>
      <c r="B13" s="448" t="s">
        <v>483</v>
      </c>
      <c r="C13" s="448" t="s">
        <v>681</v>
      </c>
    </row>
    <row r="14" spans="1:3" ht="15.75" customHeight="1">
      <c r="A14" s="448" t="s">
        <v>43</v>
      </c>
      <c r="B14" s="448" t="s">
        <v>418</v>
      </c>
      <c r="C14" s="448" t="s">
        <v>678</v>
      </c>
    </row>
    <row r="15" spans="1:3" ht="15.75" customHeight="1">
      <c r="A15" s="448" t="s">
        <v>43</v>
      </c>
      <c r="B15" s="448" t="s">
        <v>476</v>
      </c>
      <c r="C15" s="448" t="s">
        <v>686</v>
      </c>
    </row>
    <row r="16" spans="1:3" ht="15.75" customHeight="1">
      <c r="A16" s="448" t="s">
        <v>39</v>
      </c>
      <c r="B16" s="448" t="s">
        <v>580</v>
      </c>
      <c r="C16" s="448" t="s">
        <v>677</v>
      </c>
    </row>
    <row r="17" spans="1:3" ht="15.75" customHeight="1">
      <c r="A17" s="448" t="s">
        <v>43</v>
      </c>
      <c r="B17" s="448" t="s">
        <v>319</v>
      </c>
      <c r="C17" s="448" t="s">
        <v>1477</v>
      </c>
    </row>
    <row r="18" spans="1:3" ht="15.75" customHeight="1">
      <c r="A18" s="448" t="s">
        <v>43</v>
      </c>
      <c r="B18" s="448" t="s">
        <v>610</v>
      </c>
      <c r="C18" s="448" t="s">
        <v>678</v>
      </c>
    </row>
    <row r="19" spans="1:3" ht="15.75" customHeight="1">
      <c r="A19" s="448" t="s">
        <v>43</v>
      </c>
      <c r="B19" s="448" t="s">
        <v>494</v>
      </c>
      <c r="C19" s="448" t="s">
        <v>688</v>
      </c>
    </row>
    <row r="20" spans="1:3" ht="15.75" customHeight="1">
      <c r="A20" s="448" t="s">
        <v>39</v>
      </c>
      <c r="B20" s="448" t="s">
        <v>340</v>
      </c>
      <c r="C20" s="448" t="s">
        <v>676</v>
      </c>
    </row>
    <row r="21" spans="1:3" ht="15.75" customHeight="1">
      <c r="A21" s="448" t="s">
        <v>43</v>
      </c>
      <c r="B21" s="448" t="s">
        <v>369</v>
      </c>
      <c r="C21" s="448" t="s">
        <v>685</v>
      </c>
    </row>
    <row r="22" spans="1:3" ht="15.75" customHeight="1">
      <c r="A22" s="448" t="s">
        <v>35</v>
      </c>
      <c r="B22" s="448" t="s">
        <v>316</v>
      </c>
      <c r="C22" s="448" t="s">
        <v>676</v>
      </c>
    </row>
    <row r="23" spans="1:3" ht="15.75" customHeight="1">
      <c r="A23" s="448" t="s">
        <v>39</v>
      </c>
      <c r="B23" s="448" t="s">
        <v>624</v>
      </c>
      <c r="C23" s="448" t="s">
        <v>681</v>
      </c>
    </row>
    <row r="24" spans="1:3" ht="15.75" customHeight="1">
      <c r="A24" s="448" t="s">
        <v>39</v>
      </c>
      <c r="B24" s="448" t="s">
        <v>532</v>
      </c>
      <c r="C24" s="448" t="s">
        <v>687</v>
      </c>
    </row>
    <row r="25" spans="1:3" ht="15.75" customHeight="1">
      <c r="A25" s="448" t="s">
        <v>43</v>
      </c>
      <c r="B25" s="448" t="s">
        <v>1780</v>
      </c>
      <c r="C25" s="448" t="s">
        <v>1674</v>
      </c>
    </row>
    <row r="26" spans="1:3" ht="15.75" customHeight="1">
      <c r="A26" s="448" t="s">
        <v>43</v>
      </c>
      <c r="B26" s="448" t="s">
        <v>514</v>
      </c>
      <c r="C26" s="448" t="s">
        <v>692</v>
      </c>
    </row>
    <row r="27" spans="1:3" ht="15.75" customHeight="1">
      <c r="A27" s="448" t="s">
        <v>43</v>
      </c>
      <c r="B27" s="448" t="s">
        <v>509</v>
      </c>
      <c r="C27" s="448" t="s">
        <v>695</v>
      </c>
    </row>
    <row r="28" spans="1:3" ht="15.75" customHeight="1">
      <c r="A28" s="448" t="s">
        <v>43</v>
      </c>
      <c r="B28" s="448" t="s">
        <v>433</v>
      </c>
      <c r="C28" s="448" t="s">
        <v>676</v>
      </c>
    </row>
    <row r="29" spans="1:3" ht="15.75" customHeight="1">
      <c r="A29" s="448" t="s">
        <v>39</v>
      </c>
      <c r="B29" s="448" t="s">
        <v>1734</v>
      </c>
      <c r="C29" s="448" t="s">
        <v>676</v>
      </c>
    </row>
    <row r="30" spans="1:3" ht="15.75" customHeight="1">
      <c r="A30" s="448" t="s">
        <v>39</v>
      </c>
      <c r="B30" s="448" t="s">
        <v>582</v>
      </c>
      <c r="C30" s="448" t="s">
        <v>676</v>
      </c>
    </row>
    <row r="31" spans="1:3" ht="15.75" customHeight="1">
      <c r="A31" s="448" t="s">
        <v>39</v>
      </c>
      <c r="B31" s="448" t="s">
        <v>456</v>
      </c>
      <c r="C31" s="448" t="s">
        <v>682</v>
      </c>
    </row>
    <row r="32" spans="1:3" ht="15.75" customHeight="1">
      <c r="A32" s="448" t="s">
        <v>43</v>
      </c>
      <c r="B32" s="448" t="s">
        <v>315</v>
      </c>
      <c r="C32" s="448" t="s">
        <v>685</v>
      </c>
    </row>
    <row r="33" spans="1:3" ht="15.75" customHeight="1">
      <c r="A33" s="448" t="s">
        <v>43</v>
      </c>
      <c r="B33" s="448" t="s">
        <v>454</v>
      </c>
      <c r="C33" s="448" t="s">
        <v>681</v>
      </c>
    </row>
    <row r="34" spans="1:3" ht="15.75" customHeight="1">
      <c r="A34" s="448" t="s">
        <v>35</v>
      </c>
      <c r="B34" s="448" t="s">
        <v>1294</v>
      </c>
      <c r="C34" s="448" t="s">
        <v>678</v>
      </c>
    </row>
    <row r="35" spans="1:3" ht="15.75" customHeight="1">
      <c r="A35" s="448" t="s">
        <v>39</v>
      </c>
      <c r="B35" s="448" t="s">
        <v>506</v>
      </c>
      <c r="C35" s="448" t="s">
        <v>700</v>
      </c>
    </row>
    <row r="36" spans="1:3" ht="15.75" customHeight="1">
      <c r="A36" s="448" t="s">
        <v>39</v>
      </c>
      <c r="B36" s="448" t="s">
        <v>493</v>
      </c>
      <c r="C36" s="448" t="s">
        <v>687</v>
      </c>
    </row>
    <row r="37" spans="1:3" ht="15.75" customHeight="1">
      <c r="A37" s="448" t="s">
        <v>39</v>
      </c>
      <c r="B37" s="448" t="s">
        <v>1938</v>
      </c>
      <c r="C37" s="448" t="s">
        <v>676</v>
      </c>
    </row>
    <row r="38" spans="1:3" ht="15.75" customHeight="1">
      <c r="A38" s="448" t="s">
        <v>43</v>
      </c>
      <c r="B38" s="448" t="s">
        <v>1982</v>
      </c>
      <c r="C38" s="448" t="s">
        <v>682</v>
      </c>
    </row>
    <row r="39" spans="1:3" ht="15.75" customHeight="1">
      <c r="A39" s="448" t="s">
        <v>43</v>
      </c>
      <c r="B39" s="448" t="s">
        <v>1778</v>
      </c>
      <c r="C39" s="448" t="s">
        <v>678</v>
      </c>
    </row>
    <row r="40" spans="1:3" ht="15.75" customHeight="1">
      <c r="A40" s="448" t="s">
        <v>43</v>
      </c>
      <c r="B40" s="448" t="s">
        <v>425</v>
      </c>
      <c r="C40" s="448" t="s">
        <v>679</v>
      </c>
    </row>
    <row r="41" spans="1:3" ht="15.75" customHeight="1">
      <c r="A41" s="448" t="s">
        <v>43</v>
      </c>
      <c r="B41" s="448" t="s">
        <v>1291</v>
      </c>
      <c r="C41" s="448" t="s">
        <v>692</v>
      </c>
    </row>
    <row r="42" spans="1:3" ht="15.75" customHeight="1">
      <c r="A42" s="448" t="s">
        <v>43</v>
      </c>
      <c r="B42" s="448" t="s">
        <v>405</v>
      </c>
      <c r="C42" s="448" t="s">
        <v>680</v>
      </c>
    </row>
    <row r="43" spans="1:3" ht="15.75" customHeight="1">
      <c r="A43" s="448" t="s">
        <v>43</v>
      </c>
      <c r="B43" s="448" t="s">
        <v>621</v>
      </c>
      <c r="C43" s="448" t="s">
        <v>691</v>
      </c>
    </row>
    <row r="44" spans="1:3" ht="15.75" customHeight="1">
      <c r="A44" s="448" t="s">
        <v>43</v>
      </c>
      <c r="B44" s="448" t="s">
        <v>344</v>
      </c>
      <c r="C44" s="448" t="s">
        <v>691</v>
      </c>
    </row>
    <row r="45" spans="1:3" ht="15.75" customHeight="1">
      <c r="A45" s="448" t="s">
        <v>35</v>
      </c>
      <c r="B45" s="448" t="s">
        <v>416</v>
      </c>
      <c r="C45" s="448" t="s">
        <v>681</v>
      </c>
    </row>
    <row r="46" spans="1:3" ht="15.75" customHeight="1">
      <c r="A46" s="448" t="s">
        <v>39</v>
      </c>
      <c r="B46" s="448" t="s">
        <v>378</v>
      </c>
      <c r="C46" s="448" t="s">
        <v>677</v>
      </c>
    </row>
    <row r="47" spans="1:3" ht="15.75" customHeight="1">
      <c r="A47" s="448" t="s">
        <v>39</v>
      </c>
      <c r="B47" s="448" t="s">
        <v>555</v>
      </c>
      <c r="C47" s="448" t="s">
        <v>682</v>
      </c>
    </row>
    <row r="48" spans="1:3" ht="15.75" customHeight="1">
      <c r="A48" s="448" t="s">
        <v>39</v>
      </c>
      <c r="B48" s="448" t="s">
        <v>357</v>
      </c>
      <c r="C48" s="448" t="s">
        <v>678</v>
      </c>
    </row>
    <row r="49" spans="1:3" ht="15.75" customHeight="1">
      <c r="A49" s="448" t="s">
        <v>39</v>
      </c>
      <c r="B49" s="448" t="s">
        <v>1735</v>
      </c>
      <c r="C49" s="448" t="s">
        <v>678</v>
      </c>
    </row>
    <row r="50" spans="1:3" ht="15.75" customHeight="1">
      <c r="A50" s="448" t="s">
        <v>39</v>
      </c>
      <c r="B50" s="448" t="s">
        <v>581</v>
      </c>
      <c r="C50" s="448" t="s">
        <v>695</v>
      </c>
    </row>
    <row r="51" spans="1:3" ht="15.75" customHeight="1">
      <c r="A51" s="448" t="s">
        <v>39</v>
      </c>
      <c r="B51" s="448" t="s">
        <v>1923</v>
      </c>
      <c r="C51" s="448" t="s">
        <v>688</v>
      </c>
    </row>
    <row r="52" spans="1:3" ht="15.75" customHeight="1">
      <c r="A52" s="448" t="s">
        <v>43</v>
      </c>
      <c r="B52" s="448" t="s">
        <v>341</v>
      </c>
      <c r="C52" s="448" t="s">
        <v>695</v>
      </c>
    </row>
    <row r="53" spans="1:3" ht="15.75" customHeight="1">
      <c r="A53" s="448" t="s">
        <v>43</v>
      </c>
      <c r="B53" s="448" t="s">
        <v>365</v>
      </c>
      <c r="C53" s="448" t="s">
        <v>695</v>
      </c>
    </row>
    <row r="54" spans="1:3" ht="15.75" customHeight="1">
      <c r="A54" s="448" t="s">
        <v>43</v>
      </c>
      <c r="B54" s="448" t="s">
        <v>522</v>
      </c>
      <c r="C54" s="448" t="s">
        <v>688</v>
      </c>
    </row>
    <row r="55" spans="1:3" ht="15.75" customHeight="1">
      <c r="A55" s="448" t="s">
        <v>35</v>
      </c>
      <c r="B55" s="448" t="s">
        <v>356</v>
      </c>
      <c r="C55" s="448" t="s">
        <v>677</v>
      </c>
    </row>
    <row r="56" spans="1:3" ht="15.75" customHeight="1">
      <c r="A56" s="448" t="s">
        <v>37</v>
      </c>
      <c r="B56" s="448" t="s">
        <v>1861</v>
      </c>
      <c r="C56" s="448" t="s">
        <v>678</v>
      </c>
    </row>
    <row r="57" spans="1:3" ht="15.75" customHeight="1">
      <c r="A57" s="448" t="s">
        <v>37</v>
      </c>
      <c r="B57" s="448" t="s">
        <v>312</v>
      </c>
      <c r="C57" s="448" t="s">
        <v>676</v>
      </c>
    </row>
    <row r="58" spans="1:3" ht="15.75" customHeight="1">
      <c r="A58" s="448" t="s">
        <v>37</v>
      </c>
      <c r="B58" s="448" t="s">
        <v>390</v>
      </c>
      <c r="C58" s="448" t="s">
        <v>686</v>
      </c>
    </row>
    <row r="59" spans="1:3" ht="15.75" customHeight="1">
      <c r="A59" s="448" t="s">
        <v>39</v>
      </c>
      <c r="B59" s="448" t="s">
        <v>354</v>
      </c>
      <c r="C59" s="448" t="s">
        <v>680</v>
      </c>
    </row>
    <row r="60" spans="1:3" ht="15.75" customHeight="1">
      <c r="A60" s="448" t="s">
        <v>39</v>
      </c>
      <c r="B60" s="448" t="s">
        <v>513</v>
      </c>
      <c r="C60" s="448" t="s">
        <v>676</v>
      </c>
    </row>
    <row r="61" spans="1:3" ht="15.75" customHeight="1">
      <c r="A61" s="448" t="s">
        <v>43</v>
      </c>
      <c r="B61" s="448" t="s">
        <v>1810</v>
      </c>
      <c r="C61" s="448" t="s">
        <v>684</v>
      </c>
    </row>
    <row r="62" spans="1:3" ht="15.75" customHeight="1">
      <c r="A62" s="448" t="s">
        <v>43</v>
      </c>
      <c r="B62" s="448" t="s">
        <v>331</v>
      </c>
      <c r="C62" s="448" t="s">
        <v>688</v>
      </c>
    </row>
    <row r="63" spans="1:3" ht="15.75" customHeight="1">
      <c r="A63" s="448" t="s">
        <v>43</v>
      </c>
      <c r="B63" s="448" t="s">
        <v>486</v>
      </c>
      <c r="C63" s="448" t="s">
        <v>686</v>
      </c>
    </row>
    <row r="64" spans="1:3" ht="15.75" customHeight="1">
      <c r="A64" s="448" t="s">
        <v>35</v>
      </c>
      <c r="B64" s="448" t="s">
        <v>1444</v>
      </c>
      <c r="C64" s="448" t="s">
        <v>682</v>
      </c>
    </row>
    <row r="65" spans="1:3" ht="15.75" customHeight="1">
      <c r="A65" s="448" t="s">
        <v>35</v>
      </c>
      <c r="B65" s="448" t="s">
        <v>300</v>
      </c>
      <c r="C65" s="448" t="s">
        <v>695</v>
      </c>
    </row>
    <row r="66" spans="1:3" ht="15.75" customHeight="1">
      <c r="A66" s="448" t="s">
        <v>37</v>
      </c>
      <c r="B66" s="448" t="s">
        <v>301</v>
      </c>
      <c r="C66" s="448" t="s">
        <v>685</v>
      </c>
    </row>
    <row r="67" spans="1:3" ht="15.75" customHeight="1">
      <c r="A67" s="448" t="s">
        <v>37</v>
      </c>
      <c r="B67" s="448" t="s">
        <v>1692</v>
      </c>
      <c r="C67" s="448" t="s">
        <v>695</v>
      </c>
    </row>
    <row r="68" spans="1:3" ht="15.75" customHeight="1">
      <c r="A68" s="448" t="s">
        <v>37</v>
      </c>
      <c r="B68" s="448" t="s">
        <v>523</v>
      </c>
      <c r="C68" s="448" t="s">
        <v>681</v>
      </c>
    </row>
    <row r="69" spans="1:3" ht="15.75" customHeight="1">
      <c r="A69" s="448" t="s">
        <v>37</v>
      </c>
      <c r="B69" s="448" t="s">
        <v>371</v>
      </c>
      <c r="C69" s="448" t="s">
        <v>678</v>
      </c>
    </row>
    <row r="70" spans="1:3" ht="15.75" customHeight="1">
      <c r="A70" s="448" t="s">
        <v>37</v>
      </c>
      <c r="B70" s="448" t="s">
        <v>429</v>
      </c>
      <c r="C70" s="448" t="s">
        <v>678</v>
      </c>
    </row>
    <row r="71" spans="1:3" ht="15.75" customHeight="1">
      <c r="A71" s="448" t="s">
        <v>37</v>
      </c>
      <c r="B71" s="448" t="s">
        <v>455</v>
      </c>
      <c r="C71" s="448" t="s">
        <v>682</v>
      </c>
    </row>
    <row r="72" spans="1:3" ht="15.75" customHeight="1">
      <c r="A72" s="448" t="s">
        <v>37</v>
      </c>
      <c r="B72" s="448" t="s">
        <v>417</v>
      </c>
      <c r="C72" s="448" t="s">
        <v>676</v>
      </c>
    </row>
    <row r="73" spans="1:3" ht="15.75" customHeight="1">
      <c r="A73" s="448" t="s">
        <v>39</v>
      </c>
      <c r="B73" s="448" t="s">
        <v>335</v>
      </c>
      <c r="C73" s="448" t="s">
        <v>692</v>
      </c>
    </row>
    <row r="74" spans="1:3" ht="15.75" customHeight="1">
      <c r="A74" s="448" t="s">
        <v>39</v>
      </c>
      <c r="B74" s="448" t="s">
        <v>1339</v>
      </c>
      <c r="C74" s="448" t="s">
        <v>676</v>
      </c>
    </row>
    <row r="75" spans="1:3" ht="15.75" customHeight="1">
      <c r="A75" s="448" t="s">
        <v>39</v>
      </c>
      <c r="B75" s="448" t="s">
        <v>1303</v>
      </c>
      <c r="C75" s="448" t="s">
        <v>678</v>
      </c>
    </row>
    <row r="76" spans="1:3" ht="15.75" customHeight="1">
      <c r="A76" s="448" t="s">
        <v>39</v>
      </c>
      <c r="B76" s="448" t="s">
        <v>606</v>
      </c>
      <c r="C76" s="448" t="s">
        <v>695</v>
      </c>
    </row>
    <row r="77" spans="1:3" ht="15.75" customHeight="1">
      <c r="A77" s="448" t="s">
        <v>43</v>
      </c>
      <c r="B77" s="448" t="s">
        <v>1785</v>
      </c>
      <c r="C77" s="448" t="s">
        <v>1674</v>
      </c>
    </row>
    <row r="78" spans="1:3" ht="15.75" customHeight="1">
      <c r="A78" s="448" t="s">
        <v>43</v>
      </c>
      <c r="B78" s="448" t="s">
        <v>586</v>
      </c>
      <c r="C78" s="448" t="s">
        <v>685</v>
      </c>
    </row>
    <row r="79" spans="1:3" ht="15.75" customHeight="1">
      <c r="A79" s="448" t="s">
        <v>39</v>
      </c>
      <c r="B79" s="448" t="s">
        <v>398</v>
      </c>
      <c r="C79" s="448" t="s">
        <v>686</v>
      </c>
    </row>
    <row r="80" spans="1:3" ht="15.75" customHeight="1">
      <c r="A80" s="448" t="s">
        <v>39</v>
      </c>
      <c r="B80" s="448" t="s">
        <v>389</v>
      </c>
      <c r="C80" s="448" t="s">
        <v>680</v>
      </c>
    </row>
    <row r="81" spans="1:3" ht="15.75" customHeight="1">
      <c r="A81" s="448" t="s">
        <v>39</v>
      </c>
      <c r="B81" s="448" t="s">
        <v>620</v>
      </c>
      <c r="C81" s="448" t="s">
        <v>677</v>
      </c>
    </row>
    <row r="82" spans="1:3" ht="15.75" customHeight="1">
      <c r="A82" s="448" t="s">
        <v>39</v>
      </c>
      <c r="B82" s="448" t="s">
        <v>578</v>
      </c>
      <c r="C82" s="448" t="s">
        <v>682</v>
      </c>
    </row>
    <row r="83" spans="1:3" ht="15.75" customHeight="1">
      <c r="A83" s="448" t="s">
        <v>39</v>
      </c>
      <c r="B83" s="448" t="s">
        <v>538</v>
      </c>
      <c r="C83" s="448" t="s">
        <v>682</v>
      </c>
    </row>
    <row r="84" spans="1:3" ht="15.75" customHeight="1">
      <c r="A84" s="448" t="s">
        <v>39</v>
      </c>
      <c r="B84" s="448" t="s">
        <v>421</v>
      </c>
      <c r="C84" s="448" t="s">
        <v>684</v>
      </c>
    </row>
    <row r="85" spans="1:3" ht="15.75" customHeight="1">
      <c r="A85" s="448" t="s">
        <v>39</v>
      </c>
      <c r="B85" s="448" t="s">
        <v>459</v>
      </c>
      <c r="C85" s="448" t="s">
        <v>684</v>
      </c>
    </row>
    <row r="86" spans="1:3" ht="15.75" customHeight="1">
      <c r="A86" s="448" t="s">
        <v>39</v>
      </c>
      <c r="B86" s="448" t="s">
        <v>1925</v>
      </c>
      <c r="C86" s="448" t="s">
        <v>692</v>
      </c>
    </row>
    <row r="87" spans="1:3" ht="15.75" customHeight="1">
      <c r="A87" s="448" t="s">
        <v>43</v>
      </c>
      <c r="B87" s="448" t="s">
        <v>1980</v>
      </c>
      <c r="C87" s="448" t="s">
        <v>1672</v>
      </c>
    </row>
    <row r="88" spans="1:3" ht="15.75" customHeight="1">
      <c r="A88" s="448" t="s">
        <v>43</v>
      </c>
      <c r="B88" s="448" t="s">
        <v>1779</v>
      </c>
      <c r="C88" s="448" t="s">
        <v>684</v>
      </c>
    </row>
    <row r="89" spans="1:3" ht="15.75" customHeight="1">
      <c r="A89" s="448" t="s">
        <v>43</v>
      </c>
      <c r="B89" s="448" t="s">
        <v>470</v>
      </c>
      <c r="C89" s="448" t="s">
        <v>1477</v>
      </c>
    </row>
    <row r="90" spans="1:3" ht="15.75" customHeight="1">
      <c r="A90" s="448" t="s">
        <v>43</v>
      </c>
      <c r="B90" s="448" t="s">
        <v>303</v>
      </c>
      <c r="C90" s="448" t="s">
        <v>692</v>
      </c>
    </row>
    <row r="91" spans="1:3" ht="15.75" customHeight="1">
      <c r="A91" s="448" t="s">
        <v>43</v>
      </c>
      <c r="B91" s="448" t="s">
        <v>1299</v>
      </c>
      <c r="C91" s="448" t="s">
        <v>691</v>
      </c>
    </row>
    <row r="92" spans="1:3" ht="15.75" customHeight="1">
      <c r="A92" s="448" t="s">
        <v>43</v>
      </c>
      <c r="B92" s="448" t="s">
        <v>372</v>
      </c>
      <c r="C92" s="448" t="s">
        <v>700</v>
      </c>
    </row>
    <row r="93" spans="1:3" ht="15.75" customHeight="1">
      <c r="A93" s="448" t="s">
        <v>43</v>
      </c>
      <c r="B93" s="448" t="s">
        <v>507</v>
      </c>
      <c r="C93" s="448" t="s">
        <v>700</v>
      </c>
    </row>
    <row r="94" spans="1:3" ht="15.75" customHeight="1">
      <c r="A94" s="448" t="s">
        <v>37</v>
      </c>
      <c r="B94" s="448" t="s">
        <v>539</v>
      </c>
      <c r="C94" s="448" t="s">
        <v>695</v>
      </c>
    </row>
    <row r="95" spans="1:3" ht="15.75" customHeight="1">
      <c r="A95" s="448" t="s">
        <v>37</v>
      </c>
      <c r="B95" s="448" t="s">
        <v>500</v>
      </c>
      <c r="C95" s="448" t="s">
        <v>681</v>
      </c>
    </row>
    <row r="96" spans="1:3" ht="15.75" customHeight="1">
      <c r="A96" s="448" t="s">
        <v>37</v>
      </c>
      <c r="B96" s="448" t="s">
        <v>1701</v>
      </c>
      <c r="C96" s="448" t="s">
        <v>678</v>
      </c>
    </row>
    <row r="97" spans="1:3" ht="15.75" customHeight="1">
      <c r="A97" s="448" t="s">
        <v>37</v>
      </c>
      <c r="B97" s="448" t="s">
        <v>551</v>
      </c>
      <c r="C97" s="448" t="s">
        <v>677</v>
      </c>
    </row>
    <row r="98" spans="1:3" ht="15.75" customHeight="1">
      <c r="A98" s="448" t="s">
        <v>39</v>
      </c>
      <c r="B98" s="448" t="s">
        <v>1736</v>
      </c>
      <c r="C98" s="448" t="s">
        <v>1672</v>
      </c>
    </row>
    <row r="99" spans="1:3" ht="15.75" customHeight="1">
      <c r="A99" s="448" t="s">
        <v>39</v>
      </c>
      <c r="B99" s="448" t="s">
        <v>600</v>
      </c>
      <c r="C99" s="448" t="s">
        <v>692</v>
      </c>
    </row>
    <row r="100" spans="1:3" ht="15.75" customHeight="1">
      <c r="A100" s="448" t="s">
        <v>39</v>
      </c>
      <c r="B100" s="448" t="s">
        <v>361</v>
      </c>
      <c r="C100" s="448" t="s">
        <v>677</v>
      </c>
    </row>
    <row r="101" spans="1:3" ht="15.75" customHeight="1">
      <c r="A101" s="448" t="s">
        <v>39</v>
      </c>
      <c r="B101" s="448" t="s">
        <v>463</v>
      </c>
      <c r="C101" s="448" t="s">
        <v>677</v>
      </c>
    </row>
    <row r="102" spans="1:3" ht="15.75" customHeight="1">
      <c r="A102" s="448" t="s">
        <v>39</v>
      </c>
      <c r="B102" s="448" t="s">
        <v>1329</v>
      </c>
      <c r="C102" s="448" t="s">
        <v>677</v>
      </c>
    </row>
    <row r="103" spans="1:3" ht="15.75" customHeight="1">
      <c r="A103" s="448" t="s">
        <v>39</v>
      </c>
      <c r="B103" s="448" t="s">
        <v>346</v>
      </c>
      <c r="C103" s="448" t="s">
        <v>678</v>
      </c>
    </row>
    <row r="104" spans="1:3" ht="15.75" customHeight="1">
      <c r="A104" s="448" t="s">
        <v>39</v>
      </c>
      <c r="B104" s="448" t="s">
        <v>333</v>
      </c>
      <c r="C104" s="448" t="s">
        <v>687</v>
      </c>
    </row>
    <row r="105" spans="1:3" ht="15.75" customHeight="1">
      <c r="A105" s="448" t="s">
        <v>39</v>
      </c>
      <c r="B105" s="448" t="s">
        <v>504</v>
      </c>
      <c r="C105" s="448" t="s">
        <v>684</v>
      </c>
    </row>
    <row r="106" spans="1:3" ht="15.75" customHeight="1">
      <c r="A106" s="448" t="s">
        <v>43</v>
      </c>
      <c r="B106" s="448" t="s">
        <v>1796</v>
      </c>
      <c r="C106" s="448" t="s">
        <v>682</v>
      </c>
    </row>
    <row r="107" spans="1:3" ht="15.75" customHeight="1">
      <c r="A107" s="448" t="s">
        <v>43</v>
      </c>
      <c r="B107" s="448" t="s">
        <v>362</v>
      </c>
      <c r="C107" s="448" t="s">
        <v>677</v>
      </c>
    </row>
    <row r="108" spans="1:3" ht="15.75" customHeight="1">
      <c r="A108" s="448" t="s">
        <v>43</v>
      </c>
      <c r="B108" s="448" t="s">
        <v>1777</v>
      </c>
      <c r="C108" s="448" t="s">
        <v>1477</v>
      </c>
    </row>
    <row r="109" spans="1:3" ht="15.75" customHeight="1">
      <c r="A109" s="448" t="s">
        <v>43</v>
      </c>
      <c r="B109" s="448" t="s">
        <v>1792</v>
      </c>
      <c r="C109" s="448" t="s">
        <v>681</v>
      </c>
    </row>
    <row r="110" spans="1:3" ht="15.75" customHeight="1">
      <c r="A110" s="448" t="s">
        <v>43</v>
      </c>
      <c r="B110" s="448" t="s">
        <v>477</v>
      </c>
      <c r="C110" s="448" t="s">
        <v>700</v>
      </c>
    </row>
    <row r="111" spans="1:3" ht="15.75" customHeight="1">
      <c r="A111" s="448" t="s">
        <v>43</v>
      </c>
      <c r="B111" s="448" t="s">
        <v>324</v>
      </c>
      <c r="C111" s="448" t="s">
        <v>701</v>
      </c>
    </row>
    <row r="112" spans="1:3" ht="15.75" customHeight="1">
      <c r="A112" s="448" t="s">
        <v>35</v>
      </c>
      <c r="B112" s="448" t="s">
        <v>311</v>
      </c>
      <c r="C112" s="448" t="s">
        <v>686</v>
      </c>
    </row>
    <row r="113" spans="1:3" ht="15.75" customHeight="1">
      <c r="A113" s="448" t="s">
        <v>35</v>
      </c>
      <c r="B113" s="448" t="s">
        <v>1676</v>
      </c>
      <c r="C113" s="448" t="s">
        <v>687</v>
      </c>
    </row>
    <row r="114" spans="1:3" ht="15.75" customHeight="1">
      <c r="A114" s="448" t="s">
        <v>37</v>
      </c>
      <c r="B114" s="448" t="s">
        <v>1955</v>
      </c>
      <c r="C114" s="448" t="s">
        <v>677</v>
      </c>
    </row>
    <row r="115" spans="1:3" ht="15.75" customHeight="1">
      <c r="A115" s="448" t="s">
        <v>37</v>
      </c>
      <c r="B115" s="448" t="s">
        <v>1981</v>
      </c>
      <c r="C115" s="448" t="s">
        <v>676</v>
      </c>
    </row>
    <row r="116" spans="1:3" ht="15.75" customHeight="1">
      <c r="A116" s="448" t="s">
        <v>37</v>
      </c>
      <c r="B116" s="448" t="s">
        <v>380</v>
      </c>
      <c r="C116" s="448" t="s">
        <v>695</v>
      </c>
    </row>
    <row r="117" spans="1:3" ht="15.75" customHeight="1">
      <c r="A117" s="448" t="s">
        <v>37</v>
      </c>
      <c r="B117" s="448" t="s">
        <v>485</v>
      </c>
      <c r="C117" s="448" t="s">
        <v>695</v>
      </c>
    </row>
    <row r="118" spans="1:3" ht="15.75" customHeight="1">
      <c r="A118" s="448" t="s">
        <v>37</v>
      </c>
      <c r="B118" s="448" t="s">
        <v>360</v>
      </c>
      <c r="C118" s="448" t="s">
        <v>676</v>
      </c>
    </row>
    <row r="119" spans="1:3" ht="15.75" customHeight="1">
      <c r="A119" s="448" t="s">
        <v>37</v>
      </c>
      <c r="B119" s="448" t="s">
        <v>1302</v>
      </c>
      <c r="C119" s="448" t="s">
        <v>686</v>
      </c>
    </row>
    <row r="120" spans="1:3" ht="15.75" customHeight="1">
      <c r="A120" s="448" t="s">
        <v>39</v>
      </c>
      <c r="B120" s="448" t="s">
        <v>407</v>
      </c>
      <c r="C120" s="448" t="s">
        <v>686</v>
      </c>
    </row>
    <row r="121" spans="1:3" ht="15.75" customHeight="1">
      <c r="A121" s="448" t="s">
        <v>39</v>
      </c>
      <c r="B121" s="448" t="s">
        <v>497</v>
      </c>
      <c r="C121" s="448" t="s">
        <v>700</v>
      </c>
    </row>
    <row r="122" spans="1:3" ht="15.75" customHeight="1">
      <c r="A122" s="448" t="s">
        <v>39</v>
      </c>
      <c r="B122" s="448" t="s">
        <v>613</v>
      </c>
      <c r="C122" s="448" t="s">
        <v>691</v>
      </c>
    </row>
    <row r="123" spans="1:3" ht="15.75" customHeight="1">
      <c r="A123" s="448" t="s">
        <v>39</v>
      </c>
      <c r="B123" s="448" t="s">
        <v>1737</v>
      </c>
      <c r="C123" s="448" t="s">
        <v>692</v>
      </c>
    </row>
    <row r="124" spans="1:3" ht="15.75" customHeight="1">
      <c r="A124" s="448" t="s">
        <v>39</v>
      </c>
      <c r="B124" s="448" t="s">
        <v>1740</v>
      </c>
      <c r="C124" s="448" t="s">
        <v>682</v>
      </c>
    </row>
    <row r="125" spans="1:3" ht="15.75" customHeight="1">
      <c r="A125" s="448" t="s">
        <v>39</v>
      </c>
      <c r="B125" s="448" t="s">
        <v>302</v>
      </c>
      <c r="C125" s="448" t="s">
        <v>681</v>
      </c>
    </row>
    <row r="126" spans="1:3" ht="15.75" customHeight="1">
      <c r="A126" s="448" t="s">
        <v>39</v>
      </c>
      <c r="B126" s="448" t="s">
        <v>579</v>
      </c>
      <c r="C126" s="448" t="s">
        <v>695</v>
      </c>
    </row>
    <row r="127" spans="1:3" ht="15.75" customHeight="1">
      <c r="A127" s="448" t="s">
        <v>43</v>
      </c>
      <c r="B127" s="448" t="s">
        <v>1843</v>
      </c>
      <c r="C127" s="448" t="s">
        <v>679</v>
      </c>
    </row>
    <row r="128" spans="1:3" ht="15.75" customHeight="1">
      <c r="A128" s="448" t="s">
        <v>43</v>
      </c>
      <c r="B128" s="448" t="s">
        <v>484</v>
      </c>
      <c r="C128" s="448" t="s">
        <v>684</v>
      </c>
    </row>
    <row r="129" spans="1:3" ht="15.75" customHeight="1">
      <c r="A129" s="448" t="s">
        <v>43</v>
      </c>
      <c r="B129" s="448" t="s">
        <v>462</v>
      </c>
      <c r="C129" s="448" t="s">
        <v>687</v>
      </c>
    </row>
    <row r="130" spans="1:3" ht="15.75" customHeight="1">
      <c r="A130" s="448" t="s">
        <v>43</v>
      </c>
      <c r="B130" s="448" t="s">
        <v>520</v>
      </c>
      <c r="C130" s="448" t="s">
        <v>701</v>
      </c>
    </row>
    <row r="131" spans="1:3" ht="15.75" customHeight="1">
      <c r="A131" s="448" t="s">
        <v>43</v>
      </c>
      <c r="B131" s="448" t="s">
        <v>491</v>
      </c>
      <c r="C131" s="448" t="s">
        <v>680</v>
      </c>
    </row>
    <row r="132" spans="1:3" ht="15.75" customHeight="1">
      <c r="A132" s="448" t="s">
        <v>43</v>
      </c>
      <c r="B132" s="448" t="s">
        <v>1781</v>
      </c>
      <c r="C132" s="448" t="s">
        <v>686</v>
      </c>
    </row>
    <row r="133" spans="1:3" ht="15.75" customHeight="1">
      <c r="A133" s="448" t="s">
        <v>35</v>
      </c>
      <c r="B133" s="448" t="s">
        <v>379</v>
      </c>
      <c r="C133" s="448" t="s">
        <v>691</v>
      </c>
    </row>
    <row r="134" spans="1:3" ht="15.75" customHeight="1">
      <c r="A134" s="448" t="s">
        <v>35</v>
      </c>
      <c r="B134" s="448" t="s">
        <v>432</v>
      </c>
      <c r="C134" s="448" t="s">
        <v>692</v>
      </c>
    </row>
    <row r="135" spans="1:3" ht="15.75" customHeight="1">
      <c r="A135" s="448" t="s">
        <v>35</v>
      </c>
      <c r="B135" s="448" t="s">
        <v>446</v>
      </c>
      <c r="C135" s="448" t="s">
        <v>688</v>
      </c>
    </row>
    <row r="136" spans="1:3" ht="15.75" customHeight="1">
      <c r="A136" s="448" t="s">
        <v>35</v>
      </c>
      <c r="B136" s="448" t="s">
        <v>325</v>
      </c>
      <c r="C136" s="448" t="s">
        <v>685</v>
      </c>
    </row>
    <row r="137" spans="1:3" ht="15.75" customHeight="1">
      <c r="A137" s="448" t="s">
        <v>37</v>
      </c>
      <c r="B137" s="448" t="s">
        <v>1921</v>
      </c>
      <c r="C137" s="448" t="s">
        <v>677</v>
      </c>
    </row>
    <row r="138" spans="1:3" ht="15.75" customHeight="1">
      <c r="A138" s="448" t="s">
        <v>37</v>
      </c>
      <c r="B138" s="448" t="s">
        <v>1922</v>
      </c>
      <c r="C138" s="448" t="s">
        <v>687</v>
      </c>
    </row>
    <row r="139" spans="1:3" ht="15.75" customHeight="1">
      <c r="A139" s="448" t="s">
        <v>37</v>
      </c>
      <c r="B139" s="448" t="s">
        <v>1693</v>
      </c>
      <c r="C139" s="448" t="s">
        <v>1674</v>
      </c>
    </row>
    <row r="140" spans="1:3" ht="15.75" customHeight="1">
      <c r="A140" s="448" t="s">
        <v>37</v>
      </c>
      <c r="B140" s="448" t="s">
        <v>922</v>
      </c>
      <c r="C140" s="448" t="s">
        <v>695</v>
      </c>
    </row>
    <row r="141" spans="1:3" ht="15.75" customHeight="1">
      <c r="A141" s="448" t="s">
        <v>37</v>
      </c>
      <c r="B141" s="448" t="s">
        <v>308</v>
      </c>
      <c r="C141" s="448" t="s">
        <v>681</v>
      </c>
    </row>
    <row r="142" spans="1:3" ht="15.75" customHeight="1">
      <c r="A142" s="448" t="s">
        <v>37</v>
      </c>
      <c r="B142" s="448" t="s">
        <v>1297</v>
      </c>
      <c r="C142" s="448" t="s">
        <v>678</v>
      </c>
    </row>
    <row r="143" spans="1:3" ht="15.75" customHeight="1">
      <c r="A143" s="448" t="s">
        <v>37</v>
      </c>
      <c r="B143" s="448" t="s">
        <v>529</v>
      </c>
      <c r="C143" s="448" t="s">
        <v>676</v>
      </c>
    </row>
    <row r="144" spans="1:3" ht="15.75" customHeight="1">
      <c r="A144" s="448" t="s">
        <v>37</v>
      </c>
      <c r="B144" s="448" t="s">
        <v>588</v>
      </c>
      <c r="C144" s="448" t="s">
        <v>676</v>
      </c>
    </row>
    <row r="145" spans="1:3" ht="15.75" customHeight="1">
      <c r="A145" s="448" t="s">
        <v>37</v>
      </c>
      <c r="B145" s="448" t="s">
        <v>599</v>
      </c>
      <c r="C145" s="448" t="s">
        <v>677</v>
      </c>
    </row>
    <row r="146" spans="1:3" ht="15.75" customHeight="1">
      <c r="A146" s="448" t="s">
        <v>37</v>
      </c>
      <c r="B146" s="448" t="s">
        <v>336</v>
      </c>
      <c r="C146" s="448" t="s">
        <v>692</v>
      </c>
    </row>
    <row r="147" spans="1:3" ht="15.75" customHeight="1">
      <c r="A147" s="448" t="s">
        <v>39</v>
      </c>
      <c r="B147" s="448" t="s">
        <v>461</v>
      </c>
      <c r="C147" s="448" t="s">
        <v>686</v>
      </c>
    </row>
    <row r="148" spans="1:3" ht="15.75" customHeight="1">
      <c r="A148" s="448" t="s">
        <v>39</v>
      </c>
      <c r="B148" s="448" t="s">
        <v>525</v>
      </c>
      <c r="C148" s="448" t="s">
        <v>686</v>
      </c>
    </row>
    <row r="149" spans="1:3" ht="15.75" customHeight="1">
      <c r="A149" s="448" t="s">
        <v>39</v>
      </c>
      <c r="B149" s="448" t="s">
        <v>343</v>
      </c>
      <c r="C149" s="448" t="s">
        <v>679</v>
      </c>
    </row>
    <row r="150" spans="1:3" ht="15.75" customHeight="1">
      <c r="A150" s="448" t="s">
        <v>39</v>
      </c>
      <c r="B150" s="448" t="s">
        <v>543</v>
      </c>
      <c r="C150" s="448" t="s">
        <v>676</v>
      </c>
    </row>
    <row r="151" spans="1:3" ht="15.75" customHeight="1">
      <c r="A151" s="448" t="s">
        <v>39</v>
      </c>
      <c r="B151" s="448" t="s">
        <v>1744</v>
      </c>
      <c r="C151" s="448" t="s">
        <v>695</v>
      </c>
    </row>
    <row r="152" spans="1:3" ht="15.75" customHeight="1">
      <c r="A152" s="448" t="s">
        <v>39</v>
      </c>
      <c r="B152" s="448" t="s">
        <v>424</v>
      </c>
      <c r="C152" s="448" t="s">
        <v>695</v>
      </c>
    </row>
    <row r="153" spans="1:3" ht="15.75" customHeight="1">
      <c r="A153" s="448" t="s">
        <v>39</v>
      </c>
      <c r="B153" s="448" t="s">
        <v>1330</v>
      </c>
      <c r="C153" s="448" t="s">
        <v>688</v>
      </c>
    </row>
    <row r="154" spans="1:3" ht="15.75" customHeight="1">
      <c r="A154" s="448" t="s">
        <v>39</v>
      </c>
      <c r="B154" s="448" t="s">
        <v>1857</v>
      </c>
      <c r="C154" s="448" t="s">
        <v>1477</v>
      </c>
    </row>
    <row r="155" spans="1:3" ht="15.75" customHeight="1">
      <c r="A155" s="448" t="s">
        <v>39</v>
      </c>
      <c r="B155" s="448" t="s">
        <v>337</v>
      </c>
      <c r="C155" s="448" t="s">
        <v>692</v>
      </c>
    </row>
    <row r="156" spans="1:3" ht="15.75" customHeight="1">
      <c r="A156" s="448" t="s">
        <v>39</v>
      </c>
      <c r="B156" s="448" t="s">
        <v>1738</v>
      </c>
      <c r="C156" s="448" t="s">
        <v>687</v>
      </c>
    </row>
    <row r="157" spans="1:3" ht="15.75" customHeight="1">
      <c r="A157" s="448" t="s">
        <v>39</v>
      </c>
      <c r="B157" s="448" t="s">
        <v>1924</v>
      </c>
      <c r="C157" s="448" t="s">
        <v>686</v>
      </c>
    </row>
    <row r="158" spans="1:3" ht="15.75" customHeight="1">
      <c r="A158" s="448" t="s">
        <v>43</v>
      </c>
      <c r="B158" s="448" t="s">
        <v>466</v>
      </c>
      <c r="C158" s="448" t="s">
        <v>691</v>
      </c>
    </row>
    <row r="159" spans="1:3" ht="15.75" customHeight="1">
      <c r="A159" s="448" t="s">
        <v>43</v>
      </c>
      <c r="B159" s="448" t="s">
        <v>441</v>
      </c>
      <c r="C159" s="448" t="s">
        <v>685</v>
      </c>
    </row>
    <row r="160" spans="1:3" ht="15.75" customHeight="1">
      <c r="A160" s="448" t="s">
        <v>35</v>
      </c>
      <c r="B160" s="448" t="s">
        <v>431</v>
      </c>
      <c r="C160" s="448" t="s">
        <v>680</v>
      </c>
    </row>
    <row r="161" spans="1:3" ht="15.75" customHeight="1">
      <c r="A161" s="448" t="s">
        <v>35</v>
      </c>
      <c r="B161" s="448" t="s">
        <v>392</v>
      </c>
      <c r="C161" s="448" t="s">
        <v>679</v>
      </c>
    </row>
    <row r="162" spans="1:3" ht="15.75" customHeight="1">
      <c r="A162" s="448" t="s">
        <v>37</v>
      </c>
      <c r="B162" s="448" t="s">
        <v>1939</v>
      </c>
      <c r="C162" s="448" t="s">
        <v>692</v>
      </c>
    </row>
    <row r="163" spans="1:3" ht="15.75" customHeight="1">
      <c r="A163" s="448" t="s">
        <v>37</v>
      </c>
      <c r="B163" s="448" t="s">
        <v>1703</v>
      </c>
      <c r="C163" s="448" t="s">
        <v>684</v>
      </c>
    </row>
    <row r="164" spans="1:3" ht="15.75" customHeight="1">
      <c r="A164" s="448" t="s">
        <v>37</v>
      </c>
      <c r="B164" s="448" t="s">
        <v>591</v>
      </c>
      <c r="C164" s="448" t="s">
        <v>684</v>
      </c>
    </row>
    <row r="165" spans="1:3" ht="15.75" customHeight="1">
      <c r="A165" s="448" t="s">
        <v>37</v>
      </c>
      <c r="B165" s="448" t="s">
        <v>598</v>
      </c>
      <c r="C165" s="448" t="s">
        <v>688</v>
      </c>
    </row>
    <row r="166" spans="1:3" ht="15.75" customHeight="1">
      <c r="A166" s="448" t="s">
        <v>37</v>
      </c>
      <c r="B166" s="448" t="s">
        <v>1700</v>
      </c>
      <c r="C166" s="448" t="s">
        <v>695</v>
      </c>
    </row>
    <row r="167" spans="1:3" ht="15.75" customHeight="1">
      <c r="A167" s="448" t="s">
        <v>37</v>
      </c>
      <c r="B167" s="448" t="s">
        <v>1695</v>
      </c>
      <c r="C167" s="448" t="s">
        <v>692</v>
      </c>
    </row>
    <row r="168" spans="1:3" ht="15.75" customHeight="1">
      <c r="A168" s="448" t="s">
        <v>37</v>
      </c>
      <c r="B168" s="448" t="s">
        <v>490</v>
      </c>
      <c r="C168" s="448" t="s">
        <v>680</v>
      </c>
    </row>
    <row r="169" spans="1:3" ht="15.75" customHeight="1">
      <c r="A169" s="448" t="s">
        <v>39</v>
      </c>
      <c r="B169" s="448" t="s">
        <v>414</v>
      </c>
      <c r="C169" s="448" t="s">
        <v>1672</v>
      </c>
    </row>
    <row r="170" spans="1:3" ht="15.75" customHeight="1">
      <c r="A170" s="448" t="s">
        <v>39</v>
      </c>
      <c r="B170" s="448" t="s">
        <v>313</v>
      </c>
      <c r="C170" s="448" t="s">
        <v>692</v>
      </c>
    </row>
    <row r="171" spans="1:3" ht="15.75" customHeight="1">
      <c r="A171" s="448" t="s">
        <v>39</v>
      </c>
      <c r="B171" s="448" t="s">
        <v>526</v>
      </c>
      <c r="C171" s="448" t="s">
        <v>679</v>
      </c>
    </row>
    <row r="172" spans="1:3" ht="15.75" customHeight="1">
      <c r="A172" s="448" t="s">
        <v>39</v>
      </c>
      <c r="B172" s="448" t="s">
        <v>527</v>
      </c>
      <c r="C172" s="448" t="s">
        <v>679</v>
      </c>
    </row>
    <row r="173" spans="1:3" ht="15.75" customHeight="1">
      <c r="A173" s="448" t="s">
        <v>39</v>
      </c>
      <c r="B173" s="448" t="s">
        <v>367</v>
      </c>
      <c r="C173" s="448" t="s">
        <v>677</v>
      </c>
    </row>
    <row r="174" spans="1:3" ht="15.75" customHeight="1">
      <c r="A174" s="448" t="s">
        <v>39</v>
      </c>
      <c r="B174" s="448" t="s">
        <v>437</v>
      </c>
      <c r="C174" s="448" t="s">
        <v>681</v>
      </c>
    </row>
    <row r="175" spans="1:3" ht="15.75" customHeight="1">
      <c r="A175" s="448" t="s">
        <v>39</v>
      </c>
      <c r="B175" s="448" t="s">
        <v>1296</v>
      </c>
      <c r="C175" s="448" t="s">
        <v>688</v>
      </c>
    </row>
    <row r="176" spans="1:3" ht="15.75" customHeight="1">
      <c r="A176" s="448" t="s">
        <v>39</v>
      </c>
      <c r="B176" s="448" t="s">
        <v>616</v>
      </c>
      <c r="C176" s="448" t="s">
        <v>688</v>
      </c>
    </row>
    <row r="177" spans="1:3" ht="15.75" customHeight="1">
      <c r="A177" s="448" t="s">
        <v>39</v>
      </c>
      <c r="B177" s="448" t="s">
        <v>556</v>
      </c>
      <c r="C177" s="448" t="s">
        <v>685</v>
      </c>
    </row>
    <row r="178" spans="1:3" ht="15.75" customHeight="1">
      <c r="A178" s="448" t="s">
        <v>39</v>
      </c>
      <c r="B178" s="448" t="s">
        <v>1739</v>
      </c>
      <c r="C178" s="448" t="s">
        <v>1674</v>
      </c>
    </row>
    <row r="179" spans="1:3" ht="15.75" customHeight="1">
      <c r="A179" s="448" t="s">
        <v>39</v>
      </c>
      <c r="B179" s="448" t="s">
        <v>1937</v>
      </c>
      <c r="C179" s="448" t="s">
        <v>692</v>
      </c>
    </row>
    <row r="180" spans="1:3" ht="15.75" customHeight="1">
      <c r="A180" s="448" t="s">
        <v>43</v>
      </c>
      <c r="B180" s="448" t="s">
        <v>1983</v>
      </c>
      <c r="C180" s="448" t="s">
        <v>677</v>
      </c>
    </row>
    <row r="181" spans="1:3" ht="15.75" customHeight="1">
      <c r="A181" s="448" t="s">
        <v>43</v>
      </c>
      <c r="B181" s="448" t="s">
        <v>1292</v>
      </c>
      <c r="C181" s="448" t="s">
        <v>687</v>
      </c>
    </row>
    <row r="182" spans="1:3" ht="15.75" customHeight="1">
      <c r="A182" s="448" t="s">
        <v>43</v>
      </c>
      <c r="B182" s="448" t="s">
        <v>1332</v>
      </c>
      <c r="C182" s="448" t="s">
        <v>685</v>
      </c>
    </row>
    <row r="183" spans="1:3" ht="15.75" customHeight="1">
      <c r="A183" s="448" t="s">
        <v>43</v>
      </c>
      <c r="B183" s="448" t="s">
        <v>1783</v>
      </c>
      <c r="C183" s="448" t="s">
        <v>678</v>
      </c>
    </row>
    <row r="184" spans="1:3" ht="15.75" customHeight="1">
      <c r="A184" s="448" t="s">
        <v>43</v>
      </c>
      <c r="B184" s="448" t="s">
        <v>471</v>
      </c>
      <c r="C184" s="448" t="s">
        <v>679</v>
      </c>
    </row>
    <row r="185" spans="1:3" ht="15.75" customHeight="1">
      <c r="A185" s="448" t="s">
        <v>43</v>
      </c>
      <c r="B185" s="448" t="s">
        <v>480</v>
      </c>
      <c r="C185" s="448" t="s">
        <v>680</v>
      </c>
    </row>
    <row r="186" spans="1:3" ht="15.75" customHeight="1">
      <c r="A186" s="448" t="s">
        <v>43</v>
      </c>
      <c r="B186" s="448" t="s">
        <v>1853</v>
      </c>
      <c r="C186" s="448" t="s">
        <v>1672</v>
      </c>
    </row>
    <row r="187" spans="1:3" ht="15.75" customHeight="1">
      <c r="A187" s="448" t="s">
        <v>35</v>
      </c>
      <c r="B187" s="448" t="s">
        <v>1678</v>
      </c>
      <c r="C187" s="448" t="s">
        <v>1672</v>
      </c>
    </row>
    <row r="188" spans="1:3" ht="15.75" customHeight="1">
      <c r="A188" s="448" t="s">
        <v>35</v>
      </c>
      <c r="B188" s="448" t="s">
        <v>1677</v>
      </c>
      <c r="C188" s="448" t="s">
        <v>700</v>
      </c>
    </row>
    <row r="189" spans="1:3" ht="15.75" customHeight="1">
      <c r="A189" s="448" t="s">
        <v>35</v>
      </c>
      <c r="B189" s="448" t="s">
        <v>329</v>
      </c>
      <c r="C189" s="448" t="s">
        <v>701</v>
      </c>
    </row>
    <row r="190" spans="1:3" ht="15.75" customHeight="1">
      <c r="A190" s="448" t="s">
        <v>35</v>
      </c>
      <c r="B190" s="448" t="s">
        <v>420</v>
      </c>
      <c r="C190" s="448" t="s">
        <v>684</v>
      </c>
    </row>
    <row r="191" spans="1:3" ht="15.75" customHeight="1">
      <c r="A191" s="448" t="s">
        <v>37</v>
      </c>
      <c r="B191" s="448" t="s">
        <v>1962</v>
      </c>
      <c r="C191" s="448" t="s">
        <v>700</v>
      </c>
    </row>
    <row r="192" spans="1:3" ht="15.75" customHeight="1">
      <c r="A192" s="448" t="s">
        <v>37</v>
      </c>
      <c r="B192" s="448" t="s">
        <v>1708</v>
      </c>
      <c r="C192" s="448" t="s">
        <v>1674</v>
      </c>
    </row>
    <row r="193" spans="1:3" ht="15.75" customHeight="1">
      <c r="A193" s="448" t="s">
        <v>37</v>
      </c>
      <c r="B193" s="448" t="s">
        <v>449</v>
      </c>
      <c r="C193" s="448" t="s">
        <v>684</v>
      </c>
    </row>
    <row r="194" spans="1:3" ht="15.75" customHeight="1">
      <c r="A194" s="448" t="s">
        <v>37</v>
      </c>
      <c r="B194" s="448" t="s">
        <v>618</v>
      </c>
      <c r="C194" s="448" t="s">
        <v>684</v>
      </c>
    </row>
    <row r="195" spans="1:3" ht="15.75" customHeight="1">
      <c r="A195" s="448" t="s">
        <v>37</v>
      </c>
      <c r="B195" s="448" t="s">
        <v>345</v>
      </c>
      <c r="C195" s="448" t="s">
        <v>687</v>
      </c>
    </row>
    <row r="196" spans="1:3" ht="15.75" customHeight="1">
      <c r="A196" s="448" t="s">
        <v>37</v>
      </c>
      <c r="B196" s="448" t="s">
        <v>1709</v>
      </c>
      <c r="C196" s="448" t="s">
        <v>687</v>
      </c>
    </row>
    <row r="197" spans="1:3" ht="15.75" customHeight="1">
      <c r="A197" s="448" t="s">
        <v>37</v>
      </c>
      <c r="B197" s="448" t="s">
        <v>568</v>
      </c>
      <c r="C197" s="448" t="s">
        <v>685</v>
      </c>
    </row>
    <row r="198" spans="1:3" ht="15.75" customHeight="1">
      <c r="A198" s="448" t="s">
        <v>37</v>
      </c>
      <c r="B198" s="448" t="s">
        <v>558</v>
      </c>
      <c r="C198" s="448" t="s">
        <v>688</v>
      </c>
    </row>
    <row r="199" spans="1:3" ht="15.75" customHeight="1">
      <c r="A199" s="448" t="s">
        <v>37</v>
      </c>
      <c r="B199" s="448" t="s">
        <v>1862</v>
      </c>
      <c r="C199" s="448" t="s">
        <v>695</v>
      </c>
    </row>
    <row r="200" spans="1:3" ht="15.75" customHeight="1">
      <c r="A200" s="448" t="s">
        <v>37</v>
      </c>
      <c r="B200" s="448" t="s">
        <v>515</v>
      </c>
      <c r="C200" s="448" t="s">
        <v>681</v>
      </c>
    </row>
    <row r="201" spans="1:3" ht="15.75" customHeight="1">
      <c r="A201" s="448" t="s">
        <v>37</v>
      </c>
      <c r="B201" s="448" t="s">
        <v>353</v>
      </c>
      <c r="C201" s="448" t="s">
        <v>682</v>
      </c>
    </row>
    <row r="202" spans="1:3" ht="15.75" customHeight="1">
      <c r="A202" s="448" t="s">
        <v>37</v>
      </c>
      <c r="B202" s="448" t="s">
        <v>574</v>
      </c>
      <c r="C202" s="448" t="s">
        <v>682</v>
      </c>
    </row>
    <row r="203" spans="1:3" ht="15.75" customHeight="1">
      <c r="A203" s="448" t="s">
        <v>37</v>
      </c>
      <c r="B203" s="448" t="s">
        <v>349</v>
      </c>
      <c r="C203" s="448" t="s">
        <v>676</v>
      </c>
    </row>
    <row r="204" spans="1:3" ht="15.75" customHeight="1">
      <c r="A204" s="448" t="s">
        <v>37</v>
      </c>
      <c r="B204" s="448" t="s">
        <v>443</v>
      </c>
      <c r="C204" s="448" t="s">
        <v>677</v>
      </c>
    </row>
    <row r="205" spans="1:3" ht="15.75" customHeight="1">
      <c r="A205" s="448" t="s">
        <v>37</v>
      </c>
      <c r="B205" s="448" t="s">
        <v>1850</v>
      </c>
      <c r="C205" s="448" t="s">
        <v>692</v>
      </c>
    </row>
    <row r="206" spans="1:3" ht="15.75" customHeight="1">
      <c r="A206" s="448" t="s">
        <v>37</v>
      </c>
      <c r="B206" s="448" t="s">
        <v>317</v>
      </c>
      <c r="C206" s="448" t="s">
        <v>700</v>
      </c>
    </row>
    <row r="207" spans="1:3" ht="15.75" customHeight="1">
      <c r="A207" s="448" t="s">
        <v>37</v>
      </c>
      <c r="B207" s="448" t="s">
        <v>546</v>
      </c>
      <c r="C207" s="448" t="s">
        <v>691</v>
      </c>
    </row>
    <row r="208" spans="1:3" ht="15.75" customHeight="1">
      <c r="A208" s="448" t="s">
        <v>37</v>
      </c>
      <c r="B208" s="448" t="s">
        <v>1696</v>
      </c>
      <c r="C208" s="448" t="s">
        <v>1672</v>
      </c>
    </row>
    <row r="209" spans="1:3" ht="15.75" customHeight="1">
      <c r="A209" s="448" t="s">
        <v>37</v>
      </c>
      <c r="B209" s="448" t="s">
        <v>1697</v>
      </c>
      <c r="C209" s="448" t="s">
        <v>686</v>
      </c>
    </row>
    <row r="210" spans="1:3" ht="15.75" customHeight="1">
      <c r="A210" s="448" t="s">
        <v>37</v>
      </c>
      <c r="B210" s="448" t="s">
        <v>607</v>
      </c>
      <c r="C210" s="448" t="s">
        <v>686</v>
      </c>
    </row>
    <row r="211" spans="1:3" ht="15.75" customHeight="1">
      <c r="A211" s="448" t="s">
        <v>39</v>
      </c>
      <c r="B211" s="448" t="s">
        <v>604</v>
      </c>
      <c r="C211" s="448" t="s">
        <v>686</v>
      </c>
    </row>
    <row r="212" spans="1:3" ht="15.75" customHeight="1">
      <c r="A212" s="448" t="s">
        <v>39</v>
      </c>
      <c r="B212" s="448" t="s">
        <v>395</v>
      </c>
      <c r="C212" s="448" t="s">
        <v>700</v>
      </c>
    </row>
    <row r="213" spans="1:3" ht="15.75" customHeight="1">
      <c r="A213" s="448" t="s">
        <v>39</v>
      </c>
      <c r="B213" s="448" t="s">
        <v>444</v>
      </c>
      <c r="C213" s="448" t="s">
        <v>691</v>
      </c>
    </row>
    <row r="214" spans="1:3" ht="15.75" customHeight="1">
      <c r="A214" s="448" t="s">
        <v>39</v>
      </c>
      <c r="B214" s="448" t="s">
        <v>519</v>
      </c>
      <c r="C214" s="448" t="s">
        <v>691</v>
      </c>
    </row>
    <row r="215" spans="1:3" ht="15.75" customHeight="1">
      <c r="A215" s="448" t="s">
        <v>39</v>
      </c>
      <c r="B215" s="448" t="s">
        <v>584</v>
      </c>
      <c r="C215" s="448" t="s">
        <v>691</v>
      </c>
    </row>
    <row r="216" spans="1:3" ht="15.75" customHeight="1">
      <c r="A216" s="448" t="s">
        <v>39</v>
      </c>
      <c r="B216" s="448" t="s">
        <v>487</v>
      </c>
      <c r="C216" s="448" t="s">
        <v>680</v>
      </c>
    </row>
    <row r="217" spans="1:3" ht="15.75" customHeight="1">
      <c r="A217" s="448" t="s">
        <v>39</v>
      </c>
      <c r="B217" s="448" t="s">
        <v>1300</v>
      </c>
      <c r="C217" s="448" t="s">
        <v>679</v>
      </c>
    </row>
    <row r="218" spans="1:3" ht="15.75" customHeight="1">
      <c r="A218" s="448" t="s">
        <v>39</v>
      </c>
      <c r="B218" s="448" t="s">
        <v>595</v>
      </c>
      <c r="C218" s="448" t="s">
        <v>687</v>
      </c>
    </row>
    <row r="219" spans="1:3" ht="15.75" customHeight="1">
      <c r="A219" s="448" t="s">
        <v>39</v>
      </c>
      <c r="B219" s="448" t="s">
        <v>458</v>
      </c>
      <c r="C219" s="448" t="s">
        <v>701</v>
      </c>
    </row>
    <row r="220" spans="1:3" ht="15.75" customHeight="1">
      <c r="A220" s="448" t="s">
        <v>39</v>
      </c>
      <c r="B220" s="448" t="s">
        <v>923</v>
      </c>
      <c r="C220" s="448" t="s">
        <v>701</v>
      </c>
    </row>
    <row r="221" spans="1:3" ht="15.75" customHeight="1">
      <c r="A221" s="448" t="s">
        <v>39</v>
      </c>
      <c r="B221" s="448" t="s">
        <v>1331</v>
      </c>
      <c r="C221" s="448" t="s">
        <v>681</v>
      </c>
    </row>
    <row r="222" spans="1:3" ht="15.75" customHeight="1">
      <c r="A222" s="448" t="s">
        <v>39</v>
      </c>
      <c r="B222" s="448" t="s">
        <v>1304</v>
      </c>
      <c r="C222" s="448" t="s">
        <v>688</v>
      </c>
    </row>
    <row r="223" spans="1:3" ht="15.75" customHeight="1">
      <c r="A223" s="448" t="s">
        <v>39</v>
      </c>
      <c r="B223" s="448" t="s">
        <v>530</v>
      </c>
      <c r="C223" s="448" t="s">
        <v>688</v>
      </c>
    </row>
    <row r="224" spans="1:3" ht="15.75" customHeight="1">
      <c r="A224" s="448" t="s">
        <v>39</v>
      </c>
      <c r="B224" s="448" t="s">
        <v>447</v>
      </c>
      <c r="C224" s="448" t="s">
        <v>685</v>
      </c>
    </row>
    <row r="225" spans="1:3" ht="15.75" customHeight="1">
      <c r="A225" s="448" t="s">
        <v>39</v>
      </c>
      <c r="B225" s="448" t="s">
        <v>540</v>
      </c>
      <c r="C225" s="448" t="s">
        <v>685</v>
      </c>
    </row>
    <row r="226" spans="1:3" ht="15.75" customHeight="1">
      <c r="A226" s="448" t="s">
        <v>39</v>
      </c>
      <c r="B226" s="448" t="s">
        <v>603</v>
      </c>
      <c r="C226" s="448" t="s">
        <v>685</v>
      </c>
    </row>
    <row r="227" spans="1:3" ht="15.75" customHeight="1">
      <c r="A227" s="448" t="s">
        <v>39</v>
      </c>
      <c r="B227" s="448" t="s">
        <v>1741</v>
      </c>
      <c r="C227" s="448" t="s">
        <v>1477</v>
      </c>
    </row>
    <row r="228" spans="1:3" ht="15.75" customHeight="1">
      <c r="A228" s="448" t="s">
        <v>39</v>
      </c>
      <c r="B228" s="448" t="s">
        <v>596</v>
      </c>
      <c r="C228" s="448" t="s">
        <v>1477</v>
      </c>
    </row>
    <row r="229" spans="1:3" ht="15.75" customHeight="1">
      <c r="A229" s="448" t="s">
        <v>39</v>
      </c>
      <c r="B229" s="448" t="s">
        <v>1344</v>
      </c>
      <c r="C229" s="448" t="s">
        <v>1477</v>
      </c>
    </row>
    <row r="230" spans="1:3" ht="15.75" customHeight="1">
      <c r="A230" s="448" t="s">
        <v>39</v>
      </c>
      <c r="B230" s="448" t="s">
        <v>482</v>
      </c>
      <c r="C230" s="448" t="s">
        <v>684</v>
      </c>
    </row>
    <row r="231" spans="1:3" ht="15.75" customHeight="1">
      <c r="A231" s="448" t="s">
        <v>43</v>
      </c>
      <c r="B231" s="448" t="s">
        <v>1793</v>
      </c>
      <c r="C231" s="448" t="s">
        <v>1674</v>
      </c>
    </row>
    <row r="232" spans="1:3" ht="15.75" customHeight="1">
      <c r="A232" s="448" t="s">
        <v>43</v>
      </c>
      <c r="B232" s="448" t="s">
        <v>1341</v>
      </c>
      <c r="C232" s="448" t="s">
        <v>1672</v>
      </c>
    </row>
    <row r="233" spans="1:3" ht="15.75" customHeight="1">
      <c r="A233" s="448" t="s">
        <v>43</v>
      </c>
      <c r="B233" s="448" t="s">
        <v>489</v>
      </c>
      <c r="C233" s="448" t="s">
        <v>676</v>
      </c>
    </row>
    <row r="234" spans="1:3" ht="15.75" customHeight="1">
      <c r="A234" s="448" t="s">
        <v>43</v>
      </c>
      <c r="B234" s="448" t="s">
        <v>1784</v>
      </c>
      <c r="C234" s="448" t="s">
        <v>1672</v>
      </c>
    </row>
    <row r="235" spans="1:3" ht="15.75" customHeight="1">
      <c r="A235" s="448" t="s">
        <v>35</v>
      </c>
      <c r="B235" s="448" t="s">
        <v>373</v>
      </c>
      <c r="C235" s="448" t="s">
        <v>682</v>
      </c>
    </row>
    <row r="236" spans="1:3" ht="15.75" customHeight="1">
      <c r="A236" s="448" t="s">
        <v>35</v>
      </c>
      <c r="B236" s="448" t="s">
        <v>1675</v>
      </c>
      <c r="C236" s="448" t="s">
        <v>1477</v>
      </c>
    </row>
    <row r="237" spans="1:3" ht="15.75" customHeight="1">
      <c r="A237" s="448" t="s">
        <v>35</v>
      </c>
      <c r="B237" s="448" t="s">
        <v>1679</v>
      </c>
      <c r="C237" s="448" t="s">
        <v>1674</v>
      </c>
    </row>
    <row r="238" spans="1:3" ht="15.75" customHeight="1">
      <c r="A238" s="448" t="s">
        <v>37</v>
      </c>
      <c r="B238" s="448" t="s">
        <v>1984</v>
      </c>
      <c r="C238" s="448" t="s">
        <v>1672</v>
      </c>
    </row>
    <row r="239" spans="1:3" ht="15.75" customHeight="1">
      <c r="A239" s="448" t="s">
        <v>37</v>
      </c>
      <c r="B239" s="448" t="s">
        <v>503</v>
      </c>
      <c r="C239" s="448" t="s">
        <v>685</v>
      </c>
    </row>
    <row r="240" spans="1:3" ht="15.75" customHeight="1">
      <c r="A240" s="448" t="s">
        <v>37</v>
      </c>
      <c r="B240" s="448" t="s">
        <v>1730</v>
      </c>
      <c r="C240" s="448" t="s">
        <v>1674</v>
      </c>
    </row>
    <row r="241" spans="1:3" ht="15.75" customHeight="1">
      <c r="A241" s="448" t="s">
        <v>37</v>
      </c>
      <c r="B241" s="448" t="s">
        <v>478</v>
      </c>
      <c r="C241" s="448" t="s">
        <v>1674</v>
      </c>
    </row>
    <row r="242" spans="1:3" ht="15.75" customHeight="1">
      <c r="A242" s="448" t="s">
        <v>37</v>
      </c>
      <c r="B242" s="448" t="s">
        <v>510</v>
      </c>
      <c r="C242" s="448" t="s">
        <v>1674</v>
      </c>
    </row>
    <row r="243" spans="1:3" ht="15.75" customHeight="1">
      <c r="A243" s="448" t="s">
        <v>37</v>
      </c>
      <c r="B243" s="448" t="s">
        <v>1718</v>
      </c>
      <c r="C243" s="448" t="s">
        <v>1674</v>
      </c>
    </row>
    <row r="244" spans="1:3" ht="15.75" customHeight="1">
      <c r="A244" s="448" t="s">
        <v>37</v>
      </c>
      <c r="B244" s="448" t="s">
        <v>453</v>
      </c>
      <c r="C244" s="448" t="s">
        <v>687</v>
      </c>
    </row>
    <row r="245" spans="1:3" ht="15.75" customHeight="1">
      <c r="A245" s="448" t="s">
        <v>37</v>
      </c>
      <c r="B245" s="448" t="s">
        <v>585</v>
      </c>
      <c r="C245" s="448" t="s">
        <v>679</v>
      </c>
    </row>
    <row r="246" spans="1:3" ht="15.75" customHeight="1">
      <c r="A246" s="448" t="s">
        <v>37</v>
      </c>
      <c r="B246" s="448" t="s">
        <v>475</v>
      </c>
      <c r="C246" s="448" t="s">
        <v>1477</v>
      </c>
    </row>
    <row r="247" spans="1:3" ht="15.75" customHeight="1">
      <c r="A247" s="448" t="s">
        <v>37</v>
      </c>
      <c r="B247" s="448" t="s">
        <v>1283</v>
      </c>
      <c r="C247" s="448" t="s">
        <v>1477</v>
      </c>
    </row>
    <row r="248" spans="1:3" ht="15.75" customHeight="1">
      <c r="A248" s="448" t="s">
        <v>37</v>
      </c>
      <c r="B248" s="448" t="s">
        <v>1721</v>
      </c>
      <c r="C248" s="448" t="s">
        <v>1477</v>
      </c>
    </row>
    <row r="249" spans="1:3" ht="15.75" customHeight="1">
      <c r="A249" s="448" t="s">
        <v>37</v>
      </c>
      <c r="B249" s="448" t="s">
        <v>394</v>
      </c>
      <c r="C249" s="448" t="s">
        <v>685</v>
      </c>
    </row>
    <row r="250" spans="1:3" ht="15.75" customHeight="1">
      <c r="A250" s="448" t="s">
        <v>37</v>
      </c>
      <c r="B250" s="448" t="s">
        <v>481</v>
      </c>
      <c r="C250" s="448" t="s">
        <v>688</v>
      </c>
    </row>
    <row r="251" spans="1:3" ht="15.75" customHeight="1">
      <c r="A251" s="448" t="s">
        <v>37</v>
      </c>
      <c r="B251" s="448" t="s">
        <v>531</v>
      </c>
      <c r="C251" s="448" t="s">
        <v>685</v>
      </c>
    </row>
    <row r="252" spans="1:3" ht="15.75" customHeight="1">
      <c r="A252" s="448" t="s">
        <v>37</v>
      </c>
      <c r="B252" s="448" t="s">
        <v>577</v>
      </c>
      <c r="C252" s="448" t="s">
        <v>688</v>
      </c>
    </row>
    <row r="253" spans="1:3" ht="15.75" customHeight="1">
      <c r="A253" s="448" t="s">
        <v>37</v>
      </c>
      <c r="B253" s="448" t="s">
        <v>521</v>
      </c>
      <c r="C253" s="448" t="s">
        <v>695</v>
      </c>
    </row>
    <row r="254" spans="1:3" ht="15.75" customHeight="1">
      <c r="A254" s="448" t="s">
        <v>37</v>
      </c>
      <c r="B254" s="448" t="s">
        <v>537</v>
      </c>
      <c r="C254" s="448" t="s">
        <v>681</v>
      </c>
    </row>
    <row r="255" spans="1:3" ht="15.75" customHeight="1">
      <c r="A255" s="448" t="s">
        <v>37</v>
      </c>
      <c r="B255" s="448" t="s">
        <v>542</v>
      </c>
      <c r="C255" s="448" t="s">
        <v>681</v>
      </c>
    </row>
    <row r="256" spans="1:3" ht="15.75" customHeight="1">
      <c r="A256" s="448" t="s">
        <v>37</v>
      </c>
      <c r="B256" s="448" t="s">
        <v>533</v>
      </c>
      <c r="C256" s="448" t="s">
        <v>682</v>
      </c>
    </row>
    <row r="257" spans="1:3" ht="15.75" customHeight="1">
      <c r="A257" s="448" t="s">
        <v>37</v>
      </c>
      <c r="B257" s="448" t="s">
        <v>617</v>
      </c>
      <c r="C257" s="448" t="s">
        <v>682</v>
      </c>
    </row>
    <row r="258" spans="1:3" ht="15.75" customHeight="1">
      <c r="A258" s="448" t="s">
        <v>37</v>
      </c>
      <c r="B258" s="448" t="s">
        <v>1704</v>
      </c>
      <c r="C258" s="448" t="s">
        <v>682</v>
      </c>
    </row>
    <row r="259" spans="1:3" ht="15.75" customHeight="1">
      <c r="A259" s="448" t="s">
        <v>37</v>
      </c>
      <c r="B259" s="448" t="s">
        <v>451</v>
      </c>
      <c r="C259" s="448" t="s">
        <v>676</v>
      </c>
    </row>
    <row r="260" spans="1:3" ht="15.75" customHeight="1">
      <c r="A260" s="448" t="s">
        <v>37</v>
      </c>
      <c r="B260" s="448" t="s">
        <v>322</v>
      </c>
      <c r="C260" s="448" t="s">
        <v>687</v>
      </c>
    </row>
    <row r="261" spans="1:3" ht="15.75" customHeight="1">
      <c r="A261" s="448" t="s">
        <v>37</v>
      </c>
      <c r="B261" s="448" t="s">
        <v>517</v>
      </c>
      <c r="C261" s="448" t="s">
        <v>679</v>
      </c>
    </row>
    <row r="262" spans="1:3" ht="15.75" customHeight="1">
      <c r="A262" s="448" t="s">
        <v>37</v>
      </c>
      <c r="B262" s="448" t="s">
        <v>626</v>
      </c>
      <c r="C262" s="448" t="s">
        <v>679</v>
      </c>
    </row>
    <row r="263" spans="1:3" ht="15.75" customHeight="1">
      <c r="A263" s="448" t="s">
        <v>37</v>
      </c>
      <c r="B263" s="448" t="s">
        <v>1342</v>
      </c>
      <c r="C263" s="448" t="s">
        <v>692</v>
      </c>
    </row>
    <row r="264" spans="1:3" ht="15.75" customHeight="1">
      <c r="A264" s="448" t="s">
        <v>37</v>
      </c>
      <c r="B264" s="448" t="s">
        <v>1706</v>
      </c>
      <c r="C264" s="448" t="s">
        <v>701</v>
      </c>
    </row>
    <row r="265" spans="1:3" ht="15.75" customHeight="1">
      <c r="A265" s="448" t="s">
        <v>37</v>
      </c>
      <c r="B265" s="448" t="s">
        <v>1288</v>
      </c>
      <c r="C265" s="448" t="s">
        <v>700</v>
      </c>
    </row>
    <row r="266" spans="1:3" ht="15.75" customHeight="1">
      <c r="A266" s="448" t="s">
        <v>37</v>
      </c>
      <c r="B266" s="448" t="s">
        <v>386</v>
      </c>
      <c r="C266" s="448" t="s">
        <v>680</v>
      </c>
    </row>
    <row r="267" spans="1:3" ht="15.75" customHeight="1">
      <c r="A267" s="448" t="s">
        <v>37</v>
      </c>
      <c r="B267" s="448" t="s">
        <v>502</v>
      </c>
      <c r="C267" s="448" t="s">
        <v>680</v>
      </c>
    </row>
    <row r="268" spans="1:3" ht="15.75" customHeight="1">
      <c r="A268" s="448" t="s">
        <v>37</v>
      </c>
      <c r="B268" s="448" t="s">
        <v>535</v>
      </c>
      <c r="C268" s="448" t="s">
        <v>691</v>
      </c>
    </row>
    <row r="269" spans="1:3" ht="15.75" customHeight="1">
      <c r="A269" s="448" t="s">
        <v>37</v>
      </c>
      <c r="B269" s="448" t="s">
        <v>572</v>
      </c>
      <c r="C269" s="448" t="s">
        <v>700</v>
      </c>
    </row>
    <row r="270" spans="1:3" ht="15.75" customHeight="1">
      <c r="A270" s="448" t="s">
        <v>37</v>
      </c>
      <c r="B270" s="448" t="s">
        <v>1694</v>
      </c>
      <c r="C270" s="448" t="s">
        <v>1672</v>
      </c>
    </row>
    <row r="271" spans="1:3" ht="15.75" customHeight="1">
      <c r="A271" s="448" t="s">
        <v>37</v>
      </c>
      <c r="B271" s="448" t="s">
        <v>1702</v>
      </c>
      <c r="C271" s="448" t="s">
        <v>686</v>
      </c>
    </row>
    <row r="272" spans="1:3" ht="15.75" customHeight="1">
      <c r="A272" s="448" t="s">
        <v>37</v>
      </c>
      <c r="B272" s="448" t="s">
        <v>1707</v>
      </c>
      <c r="C272" s="448" t="s">
        <v>686</v>
      </c>
    </row>
    <row r="273" spans="1:3" ht="15.75" customHeight="1">
      <c r="A273" s="448" t="s">
        <v>39</v>
      </c>
      <c r="B273" s="448" t="s">
        <v>391</v>
      </c>
      <c r="C273" s="448" t="s">
        <v>1672</v>
      </c>
    </row>
    <row r="274" spans="1:3" ht="15.75" customHeight="1">
      <c r="A274" s="448" t="s">
        <v>39</v>
      </c>
      <c r="B274" s="448" t="s">
        <v>565</v>
      </c>
      <c r="C274" s="448" t="s">
        <v>691</v>
      </c>
    </row>
    <row r="275" spans="1:3" ht="15.75" customHeight="1">
      <c r="A275" s="448" t="s">
        <v>39</v>
      </c>
      <c r="B275" s="448" t="s">
        <v>590</v>
      </c>
      <c r="C275" s="448" t="s">
        <v>680</v>
      </c>
    </row>
    <row r="276" spans="1:3" ht="15.75" customHeight="1">
      <c r="A276" s="448" t="s">
        <v>39</v>
      </c>
      <c r="B276" s="448" t="s">
        <v>575</v>
      </c>
      <c r="C276" s="448" t="s">
        <v>700</v>
      </c>
    </row>
    <row r="277" spans="1:3" ht="15.75" customHeight="1">
      <c r="A277" s="448" t="s">
        <v>39</v>
      </c>
      <c r="B277" s="448" t="s">
        <v>323</v>
      </c>
      <c r="C277" s="448" t="s">
        <v>701</v>
      </c>
    </row>
    <row r="278" spans="1:3" ht="15.75" customHeight="1">
      <c r="A278" s="448" t="s">
        <v>39</v>
      </c>
      <c r="B278" s="448" t="s">
        <v>1856</v>
      </c>
      <c r="C278" s="448" t="s">
        <v>679</v>
      </c>
    </row>
    <row r="279" spans="1:3" ht="15.75" customHeight="1">
      <c r="A279" s="448" t="s">
        <v>39</v>
      </c>
      <c r="B279" s="448" t="s">
        <v>1767</v>
      </c>
      <c r="C279" s="448" t="s">
        <v>701</v>
      </c>
    </row>
    <row r="280" spans="1:3" ht="15.75" customHeight="1">
      <c r="A280" s="448" t="s">
        <v>39</v>
      </c>
      <c r="B280" s="448" t="s">
        <v>605</v>
      </c>
      <c r="C280" s="448" t="s">
        <v>701</v>
      </c>
    </row>
    <row r="281" spans="1:3" ht="15.75" customHeight="1">
      <c r="A281" s="448" t="s">
        <v>39</v>
      </c>
      <c r="B281" s="448" t="s">
        <v>508</v>
      </c>
      <c r="C281" s="448" t="s">
        <v>681</v>
      </c>
    </row>
    <row r="282" spans="1:3" ht="15.75" customHeight="1">
      <c r="A282" s="448" t="s">
        <v>39</v>
      </c>
      <c r="B282" s="448" t="s">
        <v>1756</v>
      </c>
      <c r="C282" s="448" t="s">
        <v>695</v>
      </c>
    </row>
    <row r="283" spans="1:3" ht="15.75" customHeight="1">
      <c r="A283" s="448" t="s">
        <v>39</v>
      </c>
      <c r="B283" s="448" t="s">
        <v>479</v>
      </c>
      <c r="C283" s="448" t="s">
        <v>1477</v>
      </c>
    </row>
    <row r="284" spans="1:3" ht="15.75" customHeight="1">
      <c r="A284" s="448" t="s">
        <v>39</v>
      </c>
      <c r="B284" s="448" t="s">
        <v>1748</v>
      </c>
      <c r="C284" s="448" t="s">
        <v>1477</v>
      </c>
    </row>
    <row r="285" spans="1:3" ht="15.75" customHeight="1">
      <c r="A285" s="448" t="s">
        <v>39</v>
      </c>
      <c r="B285" s="448" t="s">
        <v>299</v>
      </c>
      <c r="C285" s="448" t="s">
        <v>687</v>
      </c>
    </row>
    <row r="286" spans="1:3" ht="15.75" customHeight="1">
      <c r="A286" s="448" t="s">
        <v>39</v>
      </c>
      <c r="B286" s="448" t="s">
        <v>1757</v>
      </c>
      <c r="C286" s="448" t="s">
        <v>1674</v>
      </c>
    </row>
    <row r="287" spans="1:3" ht="15.75" customHeight="1">
      <c r="A287" s="448" t="s">
        <v>39</v>
      </c>
      <c r="B287" s="448" t="s">
        <v>1859</v>
      </c>
      <c r="C287" s="448" t="s">
        <v>1674</v>
      </c>
    </row>
    <row r="288" spans="1:3" ht="15.75" customHeight="1">
      <c r="A288" s="448" t="s">
        <v>39</v>
      </c>
      <c r="B288" s="448" t="s">
        <v>1940</v>
      </c>
      <c r="C288" s="448" t="s">
        <v>684</v>
      </c>
    </row>
    <row r="289" spans="1:3" ht="15.75" customHeight="1">
      <c r="A289" s="448" t="s">
        <v>43</v>
      </c>
      <c r="B289" s="448" t="s">
        <v>1754</v>
      </c>
      <c r="C289" s="448" t="s">
        <v>679</v>
      </c>
    </row>
    <row r="290" spans="1:3" ht="15.75" customHeight="1">
      <c r="A290" s="448" t="s">
        <v>43</v>
      </c>
      <c r="B290" s="448" t="s">
        <v>374</v>
      </c>
      <c r="C290" s="448" t="s">
        <v>1477</v>
      </c>
    </row>
    <row r="291" spans="1:3" ht="15.75" customHeight="1">
      <c r="A291" s="448" t="s">
        <v>43</v>
      </c>
      <c r="B291" s="448" t="s">
        <v>1782</v>
      </c>
      <c r="C291" s="448" t="s">
        <v>678</v>
      </c>
    </row>
    <row r="292" spans="1:3" ht="15.75" customHeight="1">
      <c r="A292" s="448" t="s">
        <v>43</v>
      </c>
      <c r="B292" s="448" t="s">
        <v>1786</v>
      </c>
      <c r="C292" s="448" t="s">
        <v>679</v>
      </c>
    </row>
    <row r="293" spans="1:3" ht="15.75" customHeight="1">
      <c r="A293" s="448" t="s">
        <v>43</v>
      </c>
      <c r="B293" s="448" t="s">
        <v>450</v>
      </c>
      <c r="C293" s="448" t="s">
        <v>680</v>
      </c>
    </row>
    <row r="294" spans="1:3" ht="15.75" customHeight="1">
      <c r="A294" s="448" t="s">
        <v>43</v>
      </c>
      <c r="B294" s="448" t="s">
        <v>1790</v>
      </c>
      <c r="C294" s="448" t="s">
        <v>686</v>
      </c>
    </row>
    <row r="295" spans="1:3" ht="15.75" customHeight="1">
      <c r="A295" s="448" t="s">
        <v>37</v>
      </c>
      <c r="B295" s="448" t="s">
        <v>364</v>
      </c>
      <c r="C295" s="448" t="s">
        <v>692</v>
      </c>
    </row>
    <row r="296" spans="1:3" ht="15.75" customHeight="1">
      <c r="A296" s="448" t="s">
        <v>37</v>
      </c>
      <c r="B296" s="448" t="s">
        <v>1731</v>
      </c>
      <c r="C296" s="448" t="s">
        <v>1477</v>
      </c>
    </row>
    <row r="297" spans="1:3" ht="15.75" customHeight="1">
      <c r="A297" s="448" t="s">
        <v>37</v>
      </c>
      <c r="B297" s="448" t="s">
        <v>1863</v>
      </c>
      <c r="C297" s="448" t="s">
        <v>1674</v>
      </c>
    </row>
    <row r="298" spans="1:3" ht="15.75" customHeight="1">
      <c r="A298" s="448" t="s">
        <v>37</v>
      </c>
      <c r="B298" s="448" t="s">
        <v>554</v>
      </c>
      <c r="C298" s="448" t="s">
        <v>687</v>
      </c>
    </row>
    <row r="299" spans="1:3" ht="15.75" customHeight="1">
      <c r="A299" s="448" t="s">
        <v>37</v>
      </c>
      <c r="B299" s="448" t="s">
        <v>435</v>
      </c>
      <c r="C299" s="448" t="s">
        <v>1477</v>
      </c>
    </row>
    <row r="300" spans="1:3" ht="15.75" customHeight="1">
      <c r="A300" s="448" t="s">
        <v>37</v>
      </c>
      <c r="B300" s="448" t="s">
        <v>547</v>
      </c>
      <c r="C300" s="448" t="s">
        <v>1477</v>
      </c>
    </row>
    <row r="301" spans="1:3" ht="15.75" customHeight="1">
      <c r="A301" s="448" t="s">
        <v>37</v>
      </c>
      <c r="B301" s="448" t="s">
        <v>597</v>
      </c>
      <c r="C301" s="448" t="s">
        <v>688</v>
      </c>
    </row>
    <row r="302" spans="1:3" ht="15.75" customHeight="1">
      <c r="A302" s="448" t="s">
        <v>37</v>
      </c>
      <c r="B302" s="448" t="s">
        <v>419</v>
      </c>
      <c r="C302" s="448" t="s">
        <v>681</v>
      </c>
    </row>
    <row r="303" spans="1:3" ht="15.75" customHeight="1">
      <c r="A303" s="448" t="s">
        <v>37</v>
      </c>
      <c r="B303" s="448" t="s">
        <v>562</v>
      </c>
      <c r="C303" s="448" t="s">
        <v>678</v>
      </c>
    </row>
    <row r="304" spans="1:3" ht="15.75" customHeight="1">
      <c r="A304" s="448" t="s">
        <v>37</v>
      </c>
      <c r="B304" s="448" t="s">
        <v>309</v>
      </c>
      <c r="C304" s="448" t="s">
        <v>676</v>
      </c>
    </row>
    <row r="305" spans="1:3" ht="15.75" customHeight="1">
      <c r="A305" s="448" t="s">
        <v>37</v>
      </c>
      <c r="B305" s="448" t="s">
        <v>560</v>
      </c>
      <c r="C305" s="448" t="s">
        <v>677</v>
      </c>
    </row>
    <row r="306" spans="1:3" ht="15.75" customHeight="1">
      <c r="A306" s="448" t="s">
        <v>37</v>
      </c>
      <c r="B306" s="448" t="s">
        <v>1337</v>
      </c>
      <c r="C306" s="448" t="s">
        <v>679</v>
      </c>
    </row>
    <row r="307" spans="1:3" ht="15.75" customHeight="1">
      <c r="A307" s="448" t="s">
        <v>37</v>
      </c>
      <c r="B307" s="448" t="s">
        <v>403</v>
      </c>
      <c r="C307" s="448" t="s">
        <v>701</v>
      </c>
    </row>
    <row r="308" spans="1:3" ht="15.75" customHeight="1">
      <c r="A308" s="448" t="s">
        <v>37</v>
      </c>
      <c r="B308" s="448" t="s">
        <v>544</v>
      </c>
      <c r="C308" s="448" t="s">
        <v>701</v>
      </c>
    </row>
    <row r="309" spans="1:3" ht="15.75" customHeight="1">
      <c r="A309" s="448" t="s">
        <v>37</v>
      </c>
      <c r="B309" s="448" t="s">
        <v>592</v>
      </c>
      <c r="C309" s="448" t="s">
        <v>701</v>
      </c>
    </row>
    <row r="310" spans="1:3" ht="15.75" customHeight="1">
      <c r="A310" s="448" t="s">
        <v>37</v>
      </c>
      <c r="B310" s="448" t="s">
        <v>410</v>
      </c>
      <c r="C310" s="448" t="s">
        <v>680</v>
      </c>
    </row>
    <row r="311" spans="1:3" ht="15.75" customHeight="1">
      <c r="A311" s="448" t="s">
        <v>37</v>
      </c>
      <c r="B311" s="448" t="s">
        <v>440</v>
      </c>
      <c r="C311" s="448" t="s">
        <v>680</v>
      </c>
    </row>
    <row r="312" spans="1:3" ht="15.75" customHeight="1">
      <c r="A312" s="448" t="s">
        <v>37</v>
      </c>
      <c r="B312" s="448" t="s">
        <v>1290</v>
      </c>
      <c r="C312" s="448" t="s">
        <v>691</v>
      </c>
    </row>
    <row r="313" spans="1:3" ht="15.75" customHeight="1">
      <c r="A313" s="448" t="s">
        <v>37</v>
      </c>
      <c r="B313" s="448" t="s">
        <v>505</v>
      </c>
      <c r="C313" s="448" t="s">
        <v>691</v>
      </c>
    </row>
    <row r="314" spans="1:3" ht="15.75" customHeight="1">
      <c r="A314" s="448" t="s">
        <v>37</v>
      </c>
      <c r="B314" s="448" t="s">
        <v>1282</v>
      </c>
      <c r="C314" s="448" t="s">
        <v>1672</v>
      </c>
    </row>
    <row r="315" spans="1:3" ht="15.75" customHeight="1">
      <c r="A315" s="448" t="s">
        <v>37</v>
      </c>
      <c r="B315" s="448" t="s">
        <v>1699</v>
      </c>
      <c r="C315" s="448" t="s">
        <v>1672</v>
      </c>
    </row>
    <row r="316" spans="1:3" ht="15.75" customHeight="1">
      <c r="A316" s="448" t="s">
        <v>39</v>
      </c>
      <c r="B316" s="448" t="s">
        <v>1745</v>
      </c>
      <c r="C316" s="448" t="s">
        <v>1672</v>
      </c>
    </row>
    <row r="317" spans="1:3" ht="15.75" customHeight="1">
      <c r="A317" s="448" t="s">
        <v>39</v>
      </c>
      <c r="B317" s="448" t="s">
        <v>327</v>
      </c>
      <c r="C317" s="448" t="s">
        <v>700</v>
      </c>
    </row>
    <row r="318" spans="1:3" ht="15.75" customHeight="1">
      <c r="A318" s="448" t="s">
        <v>39</v>
      </c>
      <c r="B318" s="448" t="s">
        <v>1755</v>
      </c>
      <c r="C318" s="448" t="s">
        <v>691</v>
      </c>
    </row>
    <row r="319" spans="1:3" ht="15.75" customHeight="1">
      <c r="A319" s="448" t="s">
        <v>39</v>
      </c>
      <c r="B319" s="448" t="s">
        <v>1340</v>
      </c>
      <c r="C319" s="448" t="s">
        <v>682</v>
      </c>
    </row>
    <row r="320" spans="1:3" ht="15.75" customHeight="1">
      <c r="A320" s="448" t="s">
        <v>39</v>
      </c>
      <c r="B320" s="448" t="s">
        <v>383</v>
      </c>
      <c r="C320" s="448" t="s">
        <v>688</v>
      </c>
    </row>
    <row r="321" spans="1:3" ht="15.75" customHeight="1">
      <c r="A321" s="448" t="s">
        <v>39</v>
      </c>
      <c r="B321" s="448" t="s">
        <v>622</v>
      </c>
      <c r="C321" s="448" t="s">
        <v>688</v>
      </c>
    </row>
    <row r="322" spans="1:3" ht="15.75" customHeight="1">
      <c r="A322" s="448" t="s">
        <v>39</v>
      </c>
      <c r="B322" s="448" t="s">
        <v>571</v>
      </c>
      <c r="C322" s="448" t="s">
        <v>687</v>
      </c>
    </row>
    <row r="323" spans="1:3" ht="15.75" customHeight="1">
      <c r="A323" s="448" t="s">
        <v>39</v>
      </c>
      <c r="B323" s="448" t="s">
        <v>619</v>
      </c>
      <c r="C323" s="448" t="s">
        <v>687</v>
      </c>
    </row>
    <row r="324" spans="1:3" ht="15.75" customHeight="1">
      <c r="A324" s="448" t="s">
        <v>39</v>
      </c>
      <c r="B324" s="448" t="s">
        <v>1760</v>
      </c>
      <c r="C324" s="448" t="s">
        <v>1674</v>
      </c>
    </row>
    <row r="325" spans="1:3" ht="15.75" customHeight="1">
      <c r="A325" s="448" t="s">
        <v>39</v>
      </c>
      <c r="B325" s="448" t="s">
        <v>1964</v>
      </c>
      <c r="C325" s="448" t="s">
        <v>1672</v>
      </c>
    </row>
    <row r="326" spans="1:3" ht="15.75" customHeight="1">
      <c r="A326" s="448" t="s">
        <v>39</v>
      </c>
      <c r="B326" s="448" t="s">
        <v>1956</v>
      </c>
      <c r="C326" s="448" t="s">
        <v>679</v>
      </c>
    </row>
    <row r="327" spans="1:3" ht="15.75" customHeight="1">
      <c r="A327" s="448" t="s">
        <v>43</v>
      </c>
      <c r="B327" s="448" t="s">
        <v>614</v>
      </c>
      <c r="C327" s="448" t="s">
        <v>701</v>
      </c>
    </row>
    <row r="328" spans="1:3" ht="15.75" customHeight="1">
      <c r="A328" s="448" t="s">
        <v>43</v>
      </c>
      <c r="B328" s="448" t="s">
        <v>347</v>
      </c>
      <c r="C328" s="448" t="s">
        <v>682</v>
      </c>
    </row>
    <row r="329" spans="1:3" ht="15.75" customHeight="1">
      <c r="A329" s="448" t="s">
        <v>43</v>
      </c>
      <c r="B329" s="448" t="s">
        <v>469</v>
      </c>
      <c r="C329" s="448" t="s">
        <v>679</v>
      </c>
    </row>
    <row r="330" spans="1:3" ht="15.75" customHeight="1">
      <c r="A330" s="448" t="s">
        <v>37</v>
      </c>
      <c r="B330" s="448" t="s">
        <v>1941</v>
      </c>
      <c r="C330" s="448" t="s">
        <v>679</v>
      </c>
    </row>
    <row r="331" spans="1:3" ht="15.75" customHeight="1">
      <c r="A331" s="448" t="s">
        <v>37</v>
      </c>
      <c r="B331" s="448" t="s">
        <v>1957</v>
      </c>
      <c r="C331" s="448" t="s">
        <v>684</v>
      </c>
    </row>
    <row r="332" spans="1:3" ht="15.75" customHeight="1">
      <c r="A332" s="448" t="s">
        <v>37</v>
      </c>
      <c r="B332" s="448" t="s">
        <v>601</v>
      </c>
      <c r="C332" s="448" t="s">
        <v>679</v>
      </c>
    </row>
    <row r="333" spans="1:3" ht="15.75" customHeight="1">
      <c r="A333" s="448" t="s">
        <v>37</v>
      </c>
      <c r="B333" s="448" t="s">
        <v>321</v>
      </c>
      <c r="C333" s="448" t="s">
        <v>684</v>
      </c>
    </row>
    <row r="334" spans="1:3" ht="15.75" customHeight="1">
      <c r="A334" s="448" t="s">
        <v>37</v>
      </c>
      <c r="B334" s="448" t="s">
        <v>1942</v>
      </c>
      <c r="C334" s="448" t="s">
        <v>684</v>
      </c>
    </row>
    <row r="335" spans="1:3" ht="15.75" customHeight="1">
      <c r="A335" s="448" t="s">
        <v>37</v>
      </c>
      <c r="B335" s="448" t="s">
        <v>306</v>
      </c>
      <c r="C335" s="448" t="s">
        <v>701</v>
      </c>
    </row>
    <row r="336" spans="1:3" ht="15.75" customHeight="1">
      <c r="A336" s="448" t="s">
        <v>37</v>
      </c>
      <c r="B336" s="448" t="s">
        <v>1714</v>
      </c>
      <c r="C336" s="448" t="s">
        <v>687</v>
      </c>
    </row>
    <row r="337" spans="1:3" ht="15.75" customHeight="1">
      <c r="A337" s="448" t="s">
        <v>37</v>
      </c>
      <c r="B337" s="448" t="s">
        <v>553</v>
      </c>
      <c r="C337" s="448" t="s">
        <v>687</v>
      </c>
    </row>
    <row r="338" spans="1:3" ht="15.75" customHeight="1">
      <c r="A338" s="448" t="s">
        <v>37</v>
      </c>
      <c r="B338" s="448" t="s">
        <v>1286</v>
      </c>
      <c r="C338" s="448" t="s">
        <v>685</v>
      </c>
    </row>
    <row r="339" spans="1:3" ht="15.75" customHeight="1">
      <c r="A339" s="448" t="s">
        <v>37</v>
      </c>
      <c r="B339" s="448" t="s">
        <v>528</v>
      </c>
      <c r="C339" s="448" t="s">
        <v>685</v>
      </c>
    </row>
    <row r="340" spans="1:3" ht="15.75" customHeight="1">
      <c r="A340" s="448" t="s">
        <v>37</v>
      </c>
      <c r="B340" s="448" t="s">
        <v>467</v>
      </c>
      <c r="C340" s="448" t="s">
        <v>695</v>
      </c>
    </row>
    <row r="341" spans="1:3" ht="15.75" customHeight="1">
      <c r="A341" s="448" t="s">
        <v>37</v>
      </c>
      <c r="B341" s="448" t="s">
        <v>534</v>
      </c>
      <c r="C341" s="448" t="s">
        <v>681</v>
      </c>
    </row>
    <row r="342" spans="1:3" ht="15.75" customHeight="1">
      <c r="A342" s="448" t="s">
        <v>37</v>
      </c>
      <c r="B342" s="448" t="s">
        <v>611</v>
      </c>
      <c r="C342" s="448" t="s">
        <v>681</v>
      </c>
    </row>
    <row r="343" spans="1:3" ht="15.75" customHeight="1">
      <c r="A343" s="448" t="s">
        <v>37</v>
      </c>
      <c r="B343" s="448" t="s">
        <v>298</v>
      </c>
      <c r="C343" s="448" t="s">
        <v>678</v>
      </c>
    </row>
    <row r="344" spans="1:3" ht="15.75" customHeight="1">
      <c r="A344" s="448" t="s">
        <v>37</v>
      </c>
      <c r="B344" s="448" t="s">
        <v>330</v>
      </c>
      <c r="C344" s="448" t="s">
        <v>678</v>
      </c>
    </row>
    <row r="345" spans="1:3" ht="15.75" customHeight="1">
      <c r="A345" s="448" t="s">
        <v>37</v>
      </c>
      <c r="B345" s="448" t="s">
        <v>388</v>
      </c>
      <c r="C345" s="448" t="s">
        <v>678</v>
      </c>
    </row>
    <row r="346" spans="1:3" ht="15.75" customHeight="1">
      <c r="A346" s="448" t="s">
        <v>37</v>
      </c>
      <c r="B346" s="448" t="s">
        <v>623</v>
      </c>
      <c r="C346" s="448" t="s">
        <v>678</v>
      </c>
    </row>
    <row r="347" spans="1:3" ht="15.75" customHeight="1">
      <c r="A347" s="448" t="s">
        <v>37</v>
      </c>
      <c r="B347" s="448" t="s">
        <v>1289</v>
      </c>
      <c r="C347" s="448" t="s">
        <v>682</v>
      </c>
    </row>
    <row r="348" spans="1:3" ht="15.75" customHeight="1">
      <c r="A348" s="448" t="s">
        <v>37</v>
      </c>
      <c r="B348" s="448" t="s">
        <v>406</v>
      </c>
      <c r="C348" s="448" t="s">
        <v>700</v>
      </c>
    </row>
    <row r="349" spans="1:3" ht="15.75" customHeight="1">
      <c r="A349" s="448" t="s">
        <v>37</v>
      </c>
      <c r="B349" s="448" t="s">
        <v>1343</v>
      </c>
      <c r="C349" s="448" t="s">
        <v>691</v>
      </c>
    </row>
    <row r="350" spans="1:3" ht="15.75" customHeight="1">
      <c r="A350" s="448" t="s">
        <v>37</v>
      </c>
      <c r="B350" s="448" t="s">
        <v>524</v>
      </c>
      <c r="C350" s="448" t="s">
        <v>691</v>
      </c>
    </row>
    <row r="351" spans="1:3" ht="15.75" customHeight="1">
      <c r="A351" s="448" t="s">
        <v>37</v>
      </c>
      <c r="B351" s="448" t="s">
        <v>612</v>
      </c>
      <c r="C351" s="448" t="s">
        <v>691</v>
      </c>
    </row>
    <row r="352" spans="1:3" ht="15.75" customHeight="1">
      <c r="A352" s="448" t="s">
        <v>37</v>
      </c>
      <c r="B352" s="448" t="s">
        <v>1705</v>
      </c>
      <c r="C352" s="448" t="s">
        <v>1672</v>
      </c>
    </row>
    <row r="353" spans="1:3" ht="15.75" customHeight="1">
      <c r="A353" s="448" t="s">
        <v>39</v>
      </c>
      <c r="B353" s="448" t="s">
        <v>1858</v>
      </c>
      <c r="C353" s="448" t="s">
        <v>686</v>
      </c>
    </row>
    <row r="354" spans="1:3" ht="15.75" customHeight="1">
      <c r="A354" s="448" t="s">
        <v>39</v>
      </c>
      <c r="B354" s="448" t="s">
        <v>1743</v>
      </c>
      <c r="C354" s="448" t="s">
        <v>1672</v>
      </c>
    </row>
    <row r="355" spans="1:3" ht="15.75" customHeight="1">
      <c r="A355" s="448" t="s">
        <v>39</v>
      </c>
      <c r="B355" s="448" t="s">
        <v>430</v>
      </c>
      <c r="C355" s="448" t="s">
        <v>700</v>
      </c>
    </row>
    <row r="356" spans="1:3" ht="15.75" customHeight="1">
      <c r="A356" s="448" t="s">
        <v>39</v>
      </c>
      <c r="B356" s="448" t="s">
        <v>404</v>
      </c>
      <c r="C356" s="448" t="s">
        <v>691</v>
      </c>
    </row>
    <row r="357" spans="1:3" ht="15.75" customHeight="1">
      <c r="A357" s="448" t="s">
        <v>39</v>
      </c>
      <c r="B357" s="448" t="s">
        <v>587</v>
      </c>
      <c r="C357" s="448" t="s">
        <v>691</v>
      </c>
    </row>
    <row r="358" spans="1:3" ht="15.75" customHeight="1">
      <c r="A358" s="448" t="s">
        <v>39</v>
      </c>
      <c r="B358" s="448" t="s">
        <v>1335</v>
      </c>
      <c r="C358" s="448" t="s">
        <v>680</v>
      </c>
    </row>
    <row r="359" spans="1:3" ht="15.75" customHeight="1">
      <c r="A359" s="448" t="s">
        <v>39</v>
      </c>
      <c r="B359" s="448" t="s">
        <v>1751</v>
      </c>
      <c r="C359" s="448" t="s">
        <v>680</v>
      </c>
    </row>
    <row r="360" spans="1:3" ht="15.75" customHeight="1">
      <c r="A360" s="448" t="s">
        <v>39</v>
      </c>
      <c r="B360" s="448" t="s">
        <v>1765</v>
      </c>
      <c r="C360" s="448" t="s">
        <v>680</v>
      </c>
    </row>
    <row r="361" spans="1:3" ht="15.75" customHeight="1">
      <c r="A361" s="448" t="s">
        <v>39</v>
      </c>
      <c r="B361" s="448" t="s">
        <v>1338</v>
      </c>
      <c r="C361" s="448" t="s">
        <v>692</v>
      </c>
    </row>
    <row r="362" spans="1:3" ht="15.75" customHeight="1">
      <c r="A362" s="448" t="s">
        <v>39</v>
      </c>
      <c r="B362" s="448" t="s">
        <v>1298</v>
      </c>
      <c r="C362" s="448" t="s">
        <v>692</v>
      </c>
    </row>
    <row r="363" spans="1:3" ht="15.75" customHeight="1">
      <c r="A363" s="448" t="s">
        <v>39</v>
      </c>
      <c r="B363" s="448" t="s">
        <v>1280</v>
      </c>
      <c r="C363" s="448" t="s">
        <v>692</v>
      </c>
    </row>
    <row r="364" spans="1:3" ht="15.75" customHeight="1">
      <c r="A364" s="448" t="s">
        <v>39</v>
      </c>
      <c r="B364" s="448" t="s">
        <v>541</v>
      </c>
      <c r="C364" s="448" t="s">
        <v>701</v>
      </c>
    </row>
    <row r="365" spans="1:3" ht="15.75" customHeight="1">
      <c r="A365" s="448" t="s">
        <v>39</v>
      </c>
      <c r="B365" s="448" t="s">
        <v>608</v>
      </c>
      <c r="C365" s="448" t="s">
        <v>676</v>
      </c>
    </row>
    <row r="366" spans="1:3" ht="15.75" customHeight="1">
      <c r="A366" s="448" t="s">
        <v>39</v>
      </c>
      <c r="B366" s="448" t="s">
        <v>1301</v>
      </c>
      <c r="C366" s="448" t="s">
        <v>682</v>
      </c>
    </row>
    <row r="367" spans="1:3" ht="15.75" customHeight="1">
      <c r="A367" s="448" t="s">
        <v>39</v>
      </c>
      <c r="B367" s="448" t="s">
        <v>559</v>
      </c>
      <c r="C367" s="448" t="s">
        <v>678</v>
      </c>
    </row>
    <row r="368" spans="1:3" ht="15.75" customHeight="1">
      <c r="A368" s="448" t="s">
        <v>39</v>
      </c>
      <c r="B368" s="448" t="s">
        <v>468</v>
      </c>
      <c r="C368" s="448" t="s">
        <v>681</v>
      </c>
    </row>
    <row r="369" spans="1:3" ht="15.75" customHeight="1">
      <c r="A369" s="448" t="s">
        <v>39</v>
      </c>
      <c r="B369" s="448" t="s">
        <v>350</v>
      </c>
      <c r="C369" s="448" t="s">
        <v>685</v>
      </c>
    </row>
    <row r="370" spans="1:3" ht="15.75" customHeight="1">
      <c r="A370" s="448" t="s">
        <v>39</v>
      </c>
      <c r="B370" s="448" t="s">
        <v>548</v>
      </c>
      <c r="C370" s="448" t="s">
        <v>685</v>
      </c>
    </row>
    <row r="371" spans="1:3" ht="15.75" customHeight="1">
      <c r="A371" s="448" t="s">
        <v>39</v>
      </c>
      <c r="B371" s="448" t="s">
        <v>318</v>
      </c>
      <c r="C371" s="448" t="s">
        <v>684</v>
      </c>
    </row>
    <row r="372" spans="1:3" ht="15.75" customHeight="1">
      <c r="A372" s="448" t="s">
        <v>39</v>
      </c>
      <c r="B372" s="448" t="s">
        <v>377</v>
      </c>
      <c r="C372" s="448" t="s">
        <v>1674</v>
      </c>
    </row>
    <row r="373" spans="1:3" ht="15.75" customHeight="1">
      <c r="A373" s="448" t="s">
        <v>39</v>
      </c>
      <c r="B373" s="448" t="s">
        <v>1758</v>
      </c>
      <c r="C373" s="448" t="s">
        <v>1674</v>
      </c>
    </row>
    <row r="374" spans="1:3" ht="15.75" customHeight="1">
      <c r="A374" s="448" t="s">
        <v>43</v>
      </c>
      <c r="B374" s="448" t="s">
        <v>1985</v>
      </c>
      <c r="C374" s="448" t="s">
        <v>680</v>
      </c>
    </row>
    <row r="375" spans="1:3" ht="15.75" customHeight="1">
      <c r="A375" s="448" t="s">
        <v>43</v>
      </c>
      <c r="B375" s="448" t="s">
        <v>1986</v>
      </c>
      <c r="C375" s="448" t="s">
        <v>1674</v>
      </c>
    </row>
    <row r="376" spans="1:3" ht="15.75" customHeight="1">
      <c r="A376" s="448" t="s">
        <v>43</v>
      </c>
      <c r="B376" s="448" t="s">
        <v>1789</v>
      </c>
      <c r="C376" s="448" t="s">
        <v>686</v>
      </c>
    </row>
    <row r="377" spans="1:3" ht="15.75" customHeight="1">
      <c r="A377" s="448" t="s">
        <v>43</v>
      </c>
      <c r="B377" s="448" t="s">
        <v>495</v>
      </c>
      <c r="C377" s="448" t="s">
        <v>679</v>
      </c>
    </row>
    <row r="378" spans="1:3" ht="15.75" customHeight="1">
      <c r="A378" s="448" t="s">
        <v>35</v>
      </c>
      <c r="B378" s="448" t="s">
        <v>402</v>
      </c>
      <c r="C378" s="448" t="s">
        <v>688</v>
      </c>
    </row>
    <row r="379" spans="1:3" ht="15.75" customHeight="1">
      <c r="A379" s="448" t="s">
        <v>37</v>
      </c>
      <c r="B379" s="448" t="s">
        <v>1960</v>
      </c>
      <c r="C379" s="448" t="s">
        <v>685</v>
      </c>
    </row>
    <row r="380" spans="1:3" ht="15.75" customHeight="1">
      <c r="A380" s="448" t="s">
        <v>37</v>
      </c>
      <c r="B380" s="448" t="s">
        <v>1961</v>
      </c>
      <c r="C380" s="448" t="s">
        <v>688</v>
      </c>
    </row>
    <row r="381" spans="1:3" ht="15.75" customHeight="1">
      <c r="A381" s="448" t="s">
        <v>37</v>
      </c>
      <c r="B381" s="448" t="s">
        <v>1965</v>
      </c>
      <c r="C381" s="448" t="s">
        <v>692</v>
      </c>
    </row>
    <row r="382" spans="1:3" ht="15.75" customHeight="1">
      <c r="A382" s="448" t="s">
        <v>37</v>
      </c>
      <c r="B382" s="448" t="s">
        <v>1988</v>
      </c>
      <c r="C382" s="448" t="s">
        <v>687</v>
      </c>
    </row>
    <row r="383" spans="1:3" ht="15.75" customHeight="1">
      <c r="A383" s="448" t="s">
        <v>37</v>
      </c>
      <c r="B383" s="448" t="s">
        <v>1987</v>
      </c>
      <c r="C383" s="448" t="s">
        <v>691</v>
      </c>
    </row>
    <row r="384" spans="1:3" ht="15.75" customHeight="1">
      <c r="A384" s="448" t="s">
        <v>37</v>
      </c>
      <c r="B384" s="448" t="s">
        <v>1728</v>
      </c>
      <c r="C384" s="448" t="s">
        <v>1477</v>
      </c>
    </row>
    <row r="385" spans="1:3" ht="15.75" customHeight="1">
      <c r="A385" s="448" t="s">
        <v>37</v>
      </c>
      <c r="B385" s="448" t="s">
        <v>1722</v>
      </c>
      <c r="C385" s="448" t="s">
        <v>700</v>
      </c>
    </row>
    <row r="386" spans="1:3" ht="15.75" customHeight="1">
      <c r="A386" s="448" t="s">
        <v>37</v>
      </c>
      <c r="B386" s="448" t="s">
        <v>304</v>
      </c>
      <c r="C386" s="448" t="s">
        <v>684</v>
      </c>
    </row>
    <row r="387" spans="1:3" ht="15.75" customHeight="1">
      <c r="A387" s="448" t="s">
        <v>37</v>
      </c>
      <c r="B387" s="448" t="s">
        <v>1831</v>
      </c>
      <c r="C387" s="448" t="s">
        <v>1477</v>
      </c>
    </row>
    <row r="388" spans="1:3" ht="15.75" customHeight="1">
      <c r="A388" s="448" t="s">
        <v>37</v>
      </c>
      <c r="B388" s="448" t="s">
        <v>457</v>
      </c>
      <c r="C388" s="448" t="s">
        <v>685</v>
      </c>
    </row>
    <row r="389" spans="1:3" ht="15.75" customHeight="1">
      <c r="A389" s="448" t="s">
        <v>37</v>
      </c>
      <c r="B389" s="448" t="s">
        <v>1723</v>
      </c>
      <c r="C389" s="448" t="s">
        <v>688</v>
      </c>
    </row>
    <row r="390" spans="1:3" ht="15.75" customHeight="1">
      <c r="A390" s="448" t="s">
        <v>37</v>
      </c>
      <c r="B390" s="448" t="s">
        <v>566</v>
      </c>
      <c r="C390" s="448" t="s">
        <v>701</v>
      </c>
    </row>
    <row r="391" spans="1:3" ht="15.75" customHeight="1">
      <c r="A391" s="448" t="s">
        <v>37</v>
      </c>
      <c r="B391" s="448" t="s">
        <v>1281</v>
      </c>
      <c r="C391" s="448" t="s">
        <v>678</v>
      </c>
    </row>
    <row r="392" spans="1:3" ht="15.75" customHeight="1">
      <c r="A392" s="448" t="s">
        <v>37</v>
      </c>
      <c r="B392" s="448" t="s">
        <v>594</v>
      </c>
      <c r="C392" s="448" t="s">
        <v>677</v>
      </c>
    </row>
    <row r="393" spans="1:3" ht="15.75" customHeight="1">
      <c r="A393" s="448" t="s">
        <v>37</v>
      </c>
      <c r="B393" s="448" t="s">
        <v>498</v>
      </c>
      <c r="C393" s="448" t="s">
        <v>679</v>
      </c>
    </row>
    <row r="394" spans="1:3" ht="15.75" customHeight="1">
      <c r="A394" s="448" t="s">
        <v>37</v>
      </c>
      <c r="B394" s="448" t="s">
        <v>583</v>
      </c>
      <c r="C394" s="448" t="s">
        <v>679</v>
      </c>
    </row>
    <row r="395" spans="1:3" ht="15.75" customHeight="1">
      <c r="A395" s="448" t="s">
        <v>37</v>
      </c>
      <c r="B395" s="448" t="s">
        <v>1698</v>
      </c>
      <c r="C395" s="448" t="s">
        <v>692</v>
      </c>
    </row>
    <row r="396" spans="1:3" ht="15.75" customHeight="1">
      <c r="A396" s="448" t="s">
        <v>37</v>
      </c>
      <c r="B396" s="448" t="s">
        <v>609</v>
      </c>
      <c r="C396" s="448" t="s">
        <v>680</v>
      </c>
    </row>
    <row r="397" spans="1:3" ht="15.75" customHeight="1">
      <c r="A397" s="448" t="s">
        <v>37</v>
      </c>
      <c r="B397" s="448" t="s">
        <v>472</v>
      </c>
      <c r="C397" s="448" t="s">
        <v>701</v>
      </c>
    </row>
    <row r="398" spans="1:3" ht="15.75" customHeight="1">
      <c r="A398" s="448" t="s">
        <v>37</v>
      </c>
      <c r="B398" s="448" t="s">
        <v>1727</v>
      </c>
      <c r="C398" s="448" t="s">
        <v>680</v>
      </c>
    </row>
    <row r="399" spans="1:3" ht="15.75" customHeight="1">
      <c r="A399" s="448" t="s">
        <v>37</v>
      </c>
      <c r="B399" s="448" t="s">
        <v>550</v>
      </c>
      <c r="C399" s="448" t="s">
        <v>691</v>
      </c>
    </row>
    <row r="400" spans="1:3" ht="15.75" customHeight="1">
      <c r="A400" s="448" t="s">
        <v>37</v>
      </c>
      <c r="B400" s="448" t="s">
        <v>1710</v>
      </c>
      <c r="C400" s="448" t="s">
        <v>686</v>
      </c>
    </row>
    <row r="401" spans="1:3" ht="15.75" customHeight="1">
      <c r="A401" s="448" t="s">
        <v>39</v>
      </c>
      <c r="B401" s="448" t="s">
        <v>1746</v>
      </c>
      <c r="C401" s="448" t="s">
        <v>686</v>
      </c>
    </row>
    <row r="402" spans="1:3" ht="15.75" customHeight="1">
      <c r="A402" s="448" t="s">
        <v>39</v>
      </c>
      <c r="B402" s="448" t="s">
        <v>1852</v>
      </c>
      <c r="C402" s="448" t="s">
        <v>700</v>
      </c>
    </row>
    <row r="403" spans="1:3" ht="15.75" customHeight="1">
      <c r="A403" s="448" t="s">
        <v>39</v>
      </c>
      <c r="B403" s="448" t="s">
        <v>593</v>
      </c>
      <c r="C403" s="448" t="s">
        <v>680</v>
      </c>
    </row>
    <row r="404" spans="1:3" ht="15.75" customHeight="1">
      <c r="A404" s="448" t="s">
        <v>39</v>
      </c>
      <c r="B404" s="448" t="s">
        <v>501</v>
      </c>
      <c r="C404" s="448" t="s">
        <v>701</v>
      </c>
    </row>
    <row r="405" spans="1:3" ht="15.75" customHeight="1">
      <c r="A405" s="448" t="s">
        <v>39</v>
      </c>
      <c r="B405" s="448" t="s">
        <v>1836</v>
      </c>
      <c r="C405" s="448" t="s">
        <v>676</v>
      </c>
    </row>
    <row r="406" spans="1:3" ht="15.75" customHeight="1">
      <c r="A406" s="448" t="s">
        <v>39</v>
      </c>
      <c r="B406" s="448" t="s">
        <v>563</v>
      </c>
      <c r="C406" s="448" t="s">
        <v>682</v>
      </c>
    </row>
    <row r="407" spans="1:3" ht="15.75" customHeight="1">
      <c r="A407" s="448" t="s">
        <v>39</v>
      </c>
      <c r="B407" s="448" t="s">
        <v>1307</v>
      </c>
      <c r="C407" s="448" t="s">
        <v>678</v>
      </c>
    </row>
    <row r="408" spans="1:3" ht="15.75" customHeight="1">
      <c r="A408" s="448" t="s">
        <v>39</v>
      </c>
      <c r="B408" s="448" t="s">
        <v>381</v>
      </c>
      <c r="C408" s="448" t="s">
        <v>695</v>
      </c>
    </row>
    <row r="409" spans="1:3" ht="15.75" customHeight="1">
      <c r="A409" s="448" t="s">
        <v>39</v>
      </c>
      <c r="B409" s="448" t="s">
        <v>351</v>
      </c>
      <c r="C409" s="448" t="s">
        <v>688</v>
      </c>
    </row>
    <row r="410" spans="1:3" ht="15.75" customHeight="1">
      <c r="A410" s="448" t="s">
        <v>39</v>
      </c>
      <c r="B410" s="448" t="s">
        <v>1776</v>
      </c>
      <c r="C410" s="448" t="s">
        <v>1477</v>
      </c>
    </row>
    <row r="411" spans="1:3" ht="15.75" customHeight="1">
      <c r="A411" s="448" t="s">
        <v>39</v>
      </c>
      <c r="B411" s="448" t="s">
        <v>368</v>
      </c>
      <c r="C411" s="448" t="s">
        <v>684</v>
      </c>
    </row>
    <row r="412" spans="1:3" ht="15.75" customHeight="1">
      <c r="A412" s="448" t="s">
        <v>39</v>
      </c>
      <c r="B412" s="448" t="s">
        <v>1809</v>
      </c>
      <c r="C412" s="448" t="s">
        <v>1674</v>
      </c>
    </row>
    <row r="413" spans="1:3" ht="15.75" customHeight="1">
      <c r="A413" s="448" t="s">
        <v>39</v>
      </c>
      <c r="B413" s="448" t="s">
        <v>1860</v>
      </c>
      <c r="C413" s="448" t="s">
        <v>1674</v>
      </c>
    </row>
    <row r="414" spans="1:3" ht="15.75" customHeight="1">
      <c r="A414" s="448" t="s">
        <v>39</v>
      </c>
      <c r="B414" s="448" t="s">
        <v>1932</v>
      </c>
      <c r="C414" s="448" t="s">
        <v>679</v>
      </c>
    </row>
    <row r="415" spans="1:3" ht="15.75" customHeight="1">
      <c r="A415" s="448" t="s">
        <v>39</v>
      </c>
      <c r="B415" s="448" t="s">
        <v>1747</v>
      </c>
      <c r="C415" s="448" t="s">
        <v>692</v>
      </c>
    </row>
    <row r="416" spans="1:3" ht="15.75" customHeight="1">
      <c r="A416" s="448" t="s">
        <v>39</v>
      </c>
      <c r="B416" s="448" t="s">
        <v>1753</v>
      </c>
      <c r="C416" s="448" t="s">
        <v>679</v>
      </c>
    </row>
    <row r="417" spans="1:3" ht="15.75" customHeight="1">
      <c r="A417" s="448" t="s">
        <v>43</v>
      </c>
      <c r="B417" s="448" t="s">
        <v>1989</v>
      </c>
      <c r="C417" s="448" t="s">
        <v>692</v>
      </c>
    </row>
    <row r="418" spans="1:3" ht="15.75" customHeight="1">
      <c r="A418" s="448" t="s">
        <v>43</v>
      </c>
      <c r="B418" s="448" t="s">
        <v>438</v>
      </c>
      <c r="C418" s="448" t="s">
        <v>684</v>
      </c>
    </row>
    <row r="419" spans="1:3" ht="15.75" customHeight="1">
      <c r="A419" s="448" t="s">
        <v>43</v>
      </c>
      <c r="B419" s="448" t="s">
        <v>445</v>
      </c>
      <c r="C419" s="448" t="s">
        <v>684</v>
      </c>
    </row>
    <row r="420" spans="1:3" ht="15.75" customHeight="1">
      <c r="A420" s="448" t="s">
        <v>43</v>
      </c>
      <c r="B420" s="448" t="s">
        <v>474</v>
      </c>
      <c r="C420" s="448" t="s">
        <v>1672</v>
      </c>
    </row>
    <row r="421" spans="1:3" ht="15.75" customHeight="1">
      <c r="A421" s="448" t="s">
        <v>43</v>
      </c>
      <c r="B421" s="448" t="s">
        <v>1285</v>
      </c>
      <c r="C421" s="448" t="s">
        <v>677</v>
      </c>
    </row>
    <row r="422" spans="1:3" ht="15.75" customHeight="1">
      <c r="A422" s="448" t="s">
        <v>43</v>
      </c>
      <c r="B422" s="448" t="s">
        <v>1794</v>
      </c>
      <c r="C422" s="448" t="s">
        <v>688</v>
      </c>
    </row>
    <row r="423" spans="1:3" ht="15.75" customHeight="1">
      <c r="A423" s="448" t="s">
        <v>43</v>
      </c>
      <c r="B423" s="448" t="s">
        <v>499</v>
      </c>
      <c r="C423" s="448" t="s">
        <v>687</v>
      </c>
    </row>
    <row r="424" spans="1:3" ht="15.75" customHeight="1">
      <c r="A424" s="448" t="s">
        <v>43</v>
      </c>
      <c r="B424" s="448" t="s">
        <v>511</v>
      </c>
      <c r="C424" s="448" t="s">
        <v>701</v>
      </c>
    </row>
    <row r="425" spans="1:3" ht="15.75" customHeight="1">
      <c r="A425" s="448" t="s">
        <v>43</v>
      </c>
      <c r="B425" s="448" t="s">
        <v>1791</v>
      </c>
      <c r="C425" s="448" t="s">
        <v>1674</v>
      </c>
    </row>
    <row r="426" spans="1:3" ht="15.75" customHeight="1">
      <c r="A426" s="448" t="s">
        <v>43</v>
      </c>
      <c r="B426" s="448" t="s">
        <v>1798</v>
      </c>
      <c r="C426" s="448" t="s">
        <v>691</v>
      </c>
    </row>
    <row r="427" spans="1:3" ht="15.75" customHeight="1">
      <c r="A427" s="448" t="s">
        <v>43</v>
      </c>
      <c r="B427" s="448" t="s">
        <v>452</v>
      </c>
      <c r="C427" s="448" t="s">
        <v>700</v>
      </c>
    </row>
    <row r="428" spans="1:3" ht="15.75" customHeight="1">
      <c r="A428" s="448" t="s">
        <v>35</v>
      </c>
      <c r="B428" s="448" t="s">
        <v>352</v>
      </c>
      <c r="C428" s="448" t="s">
        <v>1477</v>
      </c>
    </row>
    <row r="429" spans="1:3" ht="15.75" customHeight="1">
      <c r="A429" s="448" t="s">
        <v>37</v>
      </c>
      <c r="B429" s="448" t="s">
        <v>1990</v>
      </c>
      <c r="C429" s="448" t="s">
        <v>701</v>
      </c>
    </row>
    <row r="430" spans="1:3" ht="15.75" customHeight="1">
      <c r="A430" s="448" t="s">
        <v>37</v>
      </c>
      <c r="B430" s="448" t="s">
        <v>496</v>
      </c>
      <c r="C430" s="448" t="s">
        <v>685</v>
      </c>
    </row>
    <row r="431" spans="1:3" ht="15.75" customHeight="1">
      <c r="A431" s="448" t="s">
        <v>37</v>
      </c>
      <c r="B431" s="448" t="s">
        <v>397</v>
      </c>
      <c r="C431" s="448" t="s">
        <v>700</v>
      </c>
    </row>
    <row r="432" spans="1:3" ht="15.75" customHeight="1">
      <c r="A432" s="448" t="s">
        <v>37</v>
      </c>
      <c r="B432" s="448" t="s">
        <v>589</v>
      </c>
      <c r="C432" s="448" t="s">
        <v>1477</v>
      </c>
    </row>
    <row r="433" spans="1:3" ht="15.75" customHeight="1">
      <c r="A433" s="448" t="s">
        <v>39</v>
      </c>
      <c r="B433" s="448" t="s">
        <v>1770</v>
      </c>
      <c r="C433" s="448" t="s">
        <v>1672</v>
      </c>
    </row>
    <row r="434" spans="1:3" ht="15.75" customHeight="1">
      <c r="A434" s="448" t="s">
        <v>39</v>
      </c>
      <c r="B434" s="448" t="s">
        <v>1763</v>
      </c>
      <c r="C434" s="448" t="s">
        <v>684</v>
      </c>
    </row>
    <row r="435" spans="1:3" ht="15.75" customHeight="1">
      <c r="A435" s="448" t="s">
        <v>39</v>
      </c>
      <c r="B435" s="448" t="s">
        <v>1991</v>
      </c>
      <c r="C435" s="448" t="s">
        <v>701</v>
      </c>
    </row>
    <row r="436" spans="1:3" ht="15.75" customHeight="1">
      <c r="A436" s="448" t="s">
        <v>43</v>
      </c>
      <c r="B436" s="448" t="s">
        <v>1929</v>
      </c>
      <c r="C436" s="448" t="s">
        <v>687</v>
      </c>
    </row>
    <row r="437" spans="1:3" ht="15.75" customHeight="1">
      <c r="A437" s="448" t="s">
        <v>35</v>
      </c>
      <c r="B437" s="448" t="s">
        <v>1680</v>
      </c>
      <c r="C437" s="448" t="s">
        <v>686</v>
      </c>
    </row>
    <row r="438" spans="1:3" ht="15.75" customHeight="1">
      <c r="A438" s="448" t="s">
        <v>35</v>
      </c>
      <c r="B438" s="448" t="s">
        <v>332</v>
      </c>
      <c r="C438" s="448" t="s">
        <v>691</v>
      </c>
    </row>
    <row r="439" spans="1:3" ht="15.75" customHeight="1">
      <c r="A439" s="448" t="s">
        <v>35</v>
      </c>
      <c r="B439" s="448" t="s">
        <v>1682</v>
      </c>
      <c r="C439" s="448" t="s">
        <v>691</v>
      </c>
    </row>
    <row r="440" spans="1:3" ht="15.75" customHeight="1">
      <c r="A440" s="448" t="s">
        <v>35</v>
      </c>
      <c r="B440" s="448" t="s">
        <v>423</v>
      </c>
      <c r="C440" s="448" t="s">
        <v>680</v>
      </c>
    </row>
    <row r="441" spans="1:3" ht="15.75" customHeight="1">
      <c r="A441" s="448" t="s">
        <v>35</v>
      </c>
      <c r="B441" s="448" t="s">
        <v>1687</v>
      </c>
      <c r="C441" s="448" t="s">
        <v>700</v>
      </c>
    </row>
    <row r="442" spans="1:3" ht="15.75" customHeight="1">
      <c r="A442" s="448" t="s">
        <v>35</v>
      </c>
      <c r="B442" s="448" t="s">
        <v>409</v>
      </c>
      <c r="C442" s="448" t="s">
        <v>700</v>
      </c>
    </row>
    <row r="443" spans="1:3" ht="15.75" customHeight="1">
      <c r="A443" s="448" t="s">
        <v>35</v>
      </c>
      <c r="B443" s="448" t="s">
        <v>342</v>
      </c>
      <c r="C443" s="448" t="s">
        <v>701</v>
      </c>
    </row>
    <row r="444" spans="1:3" ht="15.75" customHeight="1">
      <c r="A444" s="448" t="s">
        <v>35</v>
      </c>
      <c r="B444" s="448" t="s">
        <v>1689</v>
      </c>
      <c r="C444" s="448" t="s">
        <v>701</v>
      </c>
    </row>
    <row r="445" spans="1:3" ht="15.75" customHeight="1">
      <c r="A445" s="448" t="s">
        <v>35</v>
      </c>
      <c r="B445" s="448" t="s">
        <v>338</v>
      </c>
      <c r="C445" s="448" t="s">
        <v>692</v>
      </c>
    </row>
    <row r="446" spans="1:3" ht="15.75" customHeight="1">
      <c r="A446" s="448" t="s">
        <v>35</v>
      </c>
      <c r="B446" s="448" t="s">
        <v>921</v>
      </c>
      <c r="C446" s="448" t="s">
        <v>685</v>
      </c>
    </row>
    <row r="447" spans="1:3" ht="15.75" customHeight="1">
      <c r="A447" s="448" t="s">
        <v>35</v>
      </c>
      <c r="B447" s="448" t="s">
        <v>366</v>
      </c>
      <c r="C447" s="448" t="s">
        <v>679</v>
      </c>
    </row>
    <row r="448" spans="1:3" ht="15.75" customHeight="1">
      <c r="A448" s="448" t="s">
        <v>35</v>
      </c>
      <c r="B448" s="448" t="s">
        <v>448</v>
      </c>
      <c r="C448" s="448" t="s">
        <v>679</v>
      </c>
    </row>
    <row r="449" spans="1:3" ht="15.75" customHeight="1">
      <c r="A449" s="448" t="s">
        <v>35</v>
      </c>
      <c r="B449" s="448" t="s">
        <v>885</v>
      </c>
      <c r="C449" s="448" t="s">
        <v>677</v>
      </c>
    </row>
    <row r="450" spans="1:3" ht="15.75" customHeight="1">
      <c r="A450" s="448" t="s">
        <v>35</v>
      </c>
      <c r="B450" s="448" t="s">
        <v>385</v>
      </c>
      <c r="C450" s="448" t="s">
        <v>677</v>
      </c>
    </row>
    <row r="451" spans="1:3" ht="15.75" customHeight="1">
      <c r="A451" s="448" t="s">
        <v>35</v>
      </c>
      <c r="B451" s="448" t="s">
        <v>1684</v>
      </c>
      <c r="C451" s="448" t="s">
        <v>676</v>
      </c>
    </row>
    <row r="452" spans="1:3" ht="15.75" customHeight="1">
      <c r="A452" s="448" t="s">
        <v>35</v>
      </c>
      <c r="B452" s="448" t="s">
        <v>886</v>
      </c>
      <c r="C452" s="448" t="s">
        <v>676</v>
      </c>
    </row>
    <row r="453" spans="1:3" ht="15.75" customHeight="1">
      <c r="A453" s="448" t="s">
        <v>35</v>
      </c>
      <c r="B453" s="448" t="s">
        <v>1686</v>
      </c>
      <c r="C453" s="448" t="s">
        <v>682</v>
      </c>
    </row>
    <row r="454" spans="1:3" ht="15.75" customHeight="1">
      <c r="A454" s="448" t="s">
        <v>35</v>
      </c>
      <c r="B454" s="448" t="s">
        <v>442</v>
      </c>
      <c r="C454" s="448" t="s">
        <v>682</v>
      </c>
    </row>
    <row r="455" spans="1:3" ht="15.75" customHeight="1">
      <c r="A455" s="448" t="s">
        <v>35</v>
      </c>
      <c r="B455" s="448" t="s">
        <v>1867</v>
      </c>
      <c r="C455" s="448" t="s">
        <v>678</v>
      </c>
    </row>
    <row r="456" spans="1:3" ht="15.75" customHeight="1">
      <c r="A456" s="448" t="s">
        <v>35</v>
      </c>
      <c r="B456" s="448" t="s">
        <v>348</v>
      </c>
      <c r="C456" s="448" t="s">
        <v>678</v>
      </c>
    </row>
    <row r="457" spans="1:3" ht="15.75" customHeight="1">
      <c r="A457" s="448" t="s">
        <v>35</v>
      </c>
      <c r="B457" s="448" t="s">
        <v>434</v>
      </c>
      <c r="C457" s="448" t="s">
        <v>678</v>
      </c>
    </row>
    <row r="458" spans="1:3" ht="15.75" customHeight="1">
      <c r="A458" s="448" t="s">
        <v>35</v>
      </c>
      <c r="B458" s="448" t="s">
        <v>412</v>
      </c>
      <c r="C458" s="448" t="s">
        <v>681</v>
      </c>
    </row>
    <row r="459" spans="1:3" ht="15.75" customHeight="1">
      <c r="A459" s="448" t="s">
        <v>35</v>
      </c>
      <c r="B459" s="448" t="s">
        <v>426</v>
      </c>
      <c r="C459" s="448" t="s">
        <v>681</v>
      </c>
    </row>
    <row r="460" spans="1:3" ht="15.75" customHeight="1">
      <c r="A460" s="448" t="s">
        <v>35</v>
      </c>
      <c r="B460" s="448" t="s">
        <v>370</v>
      </c>
      <c r="C460" s="448" t="s">
        <v>695</v>
      </c>
    </row>
    <row r="461" spans="1:3" ht="15.75" customHeight="1">
      <c r="A461" s="448" t="s">
        <v>35</v>
      </c>
      <c r="B461" s="448" t="s">
        <v>428</v>
      </c>
      <c r="C461" s="448" t="s">
        <v>695</v>
      </c>
    </row>
    <row r="462" spans="1:3" ht="15.75" customHeight="1">
      <c r="A462" s="448" t="s">
        <v>35</v>
      </c>
      <c r="B462" s="448" t="s">
        <v>439</v>
      </c>
      <c r="C462" s="448" t="s">
        <v>688</v>
      </c>
    </row>
    <row r="463" spans="1:3" ht="15.75" customHeight="1">
      <c r="A463" s="448" t="s">
        <v>35</v>
      </c>
      <c r="B463" s="448" t="s">
        <v>387</v>
      </c>
      <c r="C463" s="448" t="s">
        <v>685</v>
      </c>
    </row>
    <row r="464" spans="1:3" ht="15.75" customHeight="1">
      <c r="A464" s="448" t="s">
        <v>35</v>
      </c>
      <c r="B464" s="448" t="s">
        <v>1814</v>
      </c>
      <c r="C464" s="448" t="s">
        <v>1477</v>
      </c>
    </row>
    <row r="465" spans="1:3" ht="15.75" customHeight="1">
      <c r="A465" s="448" t="s">
        <v>35</v>
      </c>
      <c r="B465" s="448" t="s">
        <v>1691</v>
      </c>
      <c r="C465" s="448" t="s">
        <v>1477</v>
      </c>
    </row>
    <row r="466" spans="1:3" ht="15.75" customHeight="1">
      <c r="A466" s="448" t="s">
        <v>35</v>
      </c>
      <c r="B466" s="448" t="s">
        <v>359</v>
      </c>
      <c r="C466" s="448" t="s">
        <v>687</v>
      </c>
    </row>
    <row r="467" spans="1:3" ht="15.75" customHeight="1">
      <c r="A467" s="448" t="s">
        <v>35</v>
      </c>
      <c r="B467" s="448" t="s">
        <v>1868</v>
      </c>
      <c r="C467" s="448" t="s">
        <v>687</v>
      </c>
    </row>
    <row r="468" spans="1:3" ht="15.75" customHeight="1">
      <c r="A468" s="448" t="s">
        <v>35</v>
      </c>
      <c r="B468" s="448" t="s">
        <v>314</v>
      </c>
      <c r="C468" s="448" t="s">
        <v>684</v>
      </c>
    </row>
    <row r="469" spans="1:3" ht="15.75" customHeight="1">
      <c r="A469" s="448" t="s">
        <v>35</v>
      </c>
      <c r="B469" s="448" t="s">
        <v>1690</v>
      </c>
      <c r="C469" s="448" t="s">
        <v>1674</v>
      </c>
    </row>
    <row r="470" spans="1:3" ht="15.75" customHeight="1">
      <c r="A470" s="448" t="s">
        <v>35</v>
      </c>
      <c r="B470" s="448" t="s">
        <v>1681</v>
      </c>
      <c r="C470" s="448" t="s">
        <v>1674</v>
      </c>
    </row>
    <row r="471" spans="1:3" ht="15.75" customHeight="1">
      <c r="A471" s="448" t="s">
        <v>35</v>
      </c>
      <c r="B471" s="448" t="s">
        <v>1812</v>
      </c>
      <c r="C471" s="448" t="s">
        <v>1672</v>
      </c>
    </row>
    <row r="472" spans="1:3" ht="15.75" customHeight="1">
      <c r="A472" s="448" t="s">
        <v>35</v>
      </c>
      <c r="B472" s="448" t="s">
        <v>375</v>
      </c>
      <c r="C472" s="448" t="s">
        <v>685</v>
      </c>
    </row>
    <row r="473" spans="1:3" ht="15.75" customHeight="1">
      <c r="A473" s="448" t="s">
        <v>35</v>
      </c>
      <c r="B473" s="448" t="s">
        <v>1920</v>
      </c>
      <c r="C473" s="448" t="s">
        <v>1672</v>
      </c>
    </row>
    <row r="474" spans="1:3" ht="15.75" customHeight="1">
      <c r="A474" s="448" t="s">
        <v>35</v>
      </c>
      <c r="B474" s="448" t="s">
        <v>1934</v>
      </c>
      <c r="C474" s="448" t="s">
        <v>692</v>
      </c>
    </row>
    <row r="475" spans="1:3" ht="15.75" customHeight="1">
      <c r="A475" s="448" t="s">
        <v>35</v>
      </c>
      <c r="B475" s="448" t="s">
        <v>1688</v>
      </c>
      <c r="C475" s="448" t="s">
        <v>680</v>
      </c>
    </row>
    <row r="476" spans="1:3" ht="15.75" customHeight="1">
      <c r="A476" s="448" t="s">
        <v>35</v>
      </c>
      <c r="B476" s="448" t="s">
        <v>1935</v>
      </c>
      <c r="C476" s="448" t="s">
        <v>686</v>
      </c>
    </row>
    <row r="477" spans="1:3" ht="15.75" customHeight="1">
      <c r="A477" s="448" t="s">
        <v>35</v>
      </c>
      <c r="B477" s="448" t="s">
        <v>1683</v>
      </c>
      <c r="C477" s="448" t="s">
        <v>1672</v>
      </c>
    </row>
    <row r="478" spans="1:3" ht="15.75" customHeight="1">
      <c r="A478" s="448" t="s">
        <v>37</v>
      </c>
      <c r="B478" s="448" t="s">
        <v>1823</v>
      </c>
      <c r="C478" s="448" t="s">
        <v>692</v>
      </c>
    </row>
    <row r="479" spans="1:3" ht="15.75" customHeight="1">
      <c r="A479" s="448" t="s">
        <v>37</v>
      </c>
      <c r="B479" s="448" t="s">
        <v>1828</v>
      </c>
      <c r="C479" s="448" t="s">
        <v>688</v>
      </c>
    </row>
    <row r="480" spans="1:3" ht="15.75" customHeight="1">
      <c r="A480" s="448" t="s">
        <v>37</v>
      </c>
      <c r="B480" s="448" t="s">
        <v>1979</v>
      </c>
      <c r="C480" s="448" t="s">
        <v>1477</v>
      </c>
    </row>
    <row r="481" spans="1:3" ht="15.75" customHeight="1">
      <c r="A481" s="448" t="s">
        <v>37</v>
      </c>
      <c r="B481" s="448" t="s">
        <v>1830</v>
      </c>
      <c r="C481" s="448" t="s">
        <v>677</v>
      </c>
    </row>
    <row r="482" spans="1:3" ht="15.75" customHeight="1">
      <c r="A482" s="448" t="s">
        <v>37</v>
      </c>
      <c r="B482" s="448" t="s">
        <v>1992</v>
      </c>
      <c r="C482" s="448" t="s">
        <v>688</v>
      </c>
    </row>
    <row r="483" spans="1:3" ht="15.75" customHeight="1">
      <c r="A483" s="448" t="s">
        <v>37</v>
      </c>
      <c r="B483" s="448" t="s">
        <v>1719</v>
      </c>
      <c r="C483" s="448" t="s">
        <v>684</v>
      </c>
    </row>
    <row r="484" spans="1:3" ht="15.75" customHeight="1">
      <c r="A484" s="448" t="s">
        <v>37</v>
      </c>
      <c r="B484" s="448" t="s">
        <v>1933</v>
      </c>
      <c r="C484" s="448" t="s">
        <v>686</v>
      </c>
    </row>
    <row r="485" spans="1:3" ht="15.75" customHeight="1">
      <c r="A485" s="448" t="s">
        <v>37</v>
      </c>
      <c r="B485" s="448" t="s">
        <v>1726</v>
      </c>
      <c r="C485" s="448" t="s">
        <v>680</v>
      </c>
    </row>
    <row r="486" spans="1:3" ht="15.75" customHeight="1">
      <c r="A486" s="448" t="s">
        <v>37</v>
      </c>
      <c r="B486" s="448" t="s">
        <v>1866</v>
      </c>
      <c r="C486" s="448" t="s">
        <v>1674</v>
      </c>
    </row>
    <row r="487" spans="1:3" ht="15.75" customHeight="1">
      <c r="A487" s="448" t="s">
        <v>37</v>
      </c>
      <c r="B487" s="448" t="s">
        <v>413</v>
      </c>
      <c r="C487" s="448" t="s">
        <v>1674</v>
      </c>
    </row>
    <row r="488" spans="1:3" ht="15.75" customHeight="1">
      <c r="A488" s="448" t="s">
        <v>37</v>
      </c>
      <c r="B488" s="448" t="s">
        <v>1720</v>
      </c>
      <c r="C488" s="448" t="s">
        <v>1674</v>
      </c>
    </row>
    <row r="489" spans="1:3" ht="15.75" customHeight="1">
      <c r="A489" s="448" t="s">
        <v>37</v>
      </c>
      <c r="B489" s="448" t="s">
        <v>326</v>
      </c>
      <c r="C489" s="448" t="s">
        <v>1672</v>
      </c>
    </row>
    <row r="490" spans="1:3" ht="15.75" customHeight="1">
      <c r="A490" s="448" t="s">
        <v>37</v>
      </c>
      <c r="B490" s="448" t="s">
        <v>1305</v>
      </c>
      <c r="C490" s="448" t="s">
        <v>688</v>
      </c>
    </row>
    <row r="491" spans="1:3" ht="15.75" customHeight="1">
      <c r="A491" s="448" t="s">
        <v>37</v>
      </c>
      <c r="B491" s="448" t="s">
        <v>399</v>
      </c>
      <c r="C491" s="448" t="s">
        <v>695</v>
      </c>
    </row>
    <row r="492" spans="1:3" ht="15.75" customHeight="1">
      <c r="A492" s="448" t="s">
        <v>37</v>
      </c>
      <c r="B492" s="448" t="s">
        <v>602</v>
      </c>
      <c r="C492" s="448" t="s">
        <v>688</v>
      </c>
    </row>
    <row r="493" spans="1:3" ht="15.75" customHeight="1">
      <c r="A493" s="448" t="s">
        <v>37</v>
      </c>
      <c r="B493" s="448" t="s">
        <v>564</v>
      </c>
      <c r="C493" s="448" t="s">
        <v>682</v>
      </c>
    </row>
    <row r="494" spans="1:3" ht="15.75" customHeight="1">
      <c r="A494" s="448" t="s">
        <v>37</v>
      </c>
      <c r="B494" s="448" t="s">
        <v>576</v>
      </c>
      <c r="C494" s="448" t="s">
        <v>677</v>
      </c>
    </row>
    <row r="495" spans="1:3" ht="15.75" customHeight="1">
      <c r="A495" s="448" t="s">
        <v>37</v>
      </c>
      <c r="B495" s="448" t="s">
        <v>1717</v>
      </c>
      <c r="C495" s="448" t="s">
        <v>680</v>
      </c>
    </row>
    <row r="496" spans="1:3" ht="15.75" customHeight="1">
      <c r="A496" s="448" t="s">
        <v>37</v>
      </c>
      <c r="B496" s="448" t="s">
        <v>891</v>
      </c>
      <c r="C496" s="448" t="s">
        <v>680</v>
      </c>
    </row>
    <row r="497" spans="1:3" ht="15.75" customHeight="1">
      <c r="A497" s="448" t="s">
        <v>37</v>
      </c>
      <c r="B497" s="448" t="s">
        <v>460</v>
      </c>
      <c r="C497" s="448" t="s">
        <v>1672</v>
      </c>
    </row>
    <row r="498" spans="1:3" ht="15.75" customHeight="1">
      <c r="A498" s="448" t="s">
        <v>37</v>
      </c>
      <c r="B498" s="448" t="s">
        <v>1716</v>
      </c>
      <c r="C498" s="448" t="s">
        <v>1672</v>
      </c>
    </row>
    <row r="499" spans="1:3" ht="15.75" customHeight="1">
      <c r="A499" s="448" t="s">
        <v>37</v>
      </c>
      <c r="B499" s="448" t="s">
        <v>1711</v>
      </c>
      <c r="C499" s="448" t="s">
        <v>1672</v>
      </c>
    </row>
    <row r="500" spans="1:3" ht="15.75" customHeight="1">
      <c r="A500" s="448" t="s">
        <v>37</v>
      </c>
      <c r="B500" s="448" t="s">
        <v>1715</v>
      </c>
      <c r="C500" s="448" t="s">
        <v>686</v>
      </c>
    </row>
    <row r="501" spans="1:3" ht="15.75" customHeight="1">
      <c r="A501" s="448" t="s">
        <v>37</v>
      </c>
      <c r="B501" s="448" t="s">
        <v>464</v>
      </c>
      <c r="C501" s="448" t="s">
        <v>686</v>
      </c>
    </row>
    <row r="502" spans="1:3" ht="15.75" customHeight="1">
      <c r="A502" s="448" t="s">
        <v>39</v>
      </c>
      <c r="B502" s="448" t="s">
        <v>1761</v>
      </c>
      <c r="C502" s="448" t="s">
        <v>1672</v>
      </c>
    </row>
    <row r="503" spans="1:3" ht="15.75" customHeight="1">
      <c r="A503" s="448" t="s">
        <v>39</v>
      </c>
      <c r="B503" s="448" t="s">
        <v>1762</v>
      </c>
      <c r="C503" s="448" t="s">
        <v>700</v>
      </c>
    </row>
    <row r="504" spans="1:3" ht="15.75" customHeight="1">
      <c r="A504" s="448" t="s">
        <v>39</v>
      </c>
      <c r="B504" s="448" t="s">
        <v>427</v>
      </c>
      <c r="C504" s="448" t="s">
        <v>700</v>
      </c>
    </row>
    <row r="505" spans="1:3" ht="15.75" customHeight="1">
      <c r="A505" s="448" t="s">
        <v>39</v>
      </c>
      <c r="B505" s="448" t="s">
        <v>926</v>
      </c>
      <c r="C505" s="448" t="s">
        <v>692</v>
      </c>
    </row>
    <row r="506" spans="1:3" ht="15.75" customHeight="1">
      <c r="A506" s="448" t="s">
        <v>39</v>
      </c>
      <c r="B506" s="448" t="s">
        <v>400</v>
      </c>
      <c r="C506" s="448" t="s">
        <v>679</v>
      </c>
    </row>
    <row r="507" spans="1:3" ht="15.75" customHeight="1">
      <c r="A507" s="448" t="s">
        <v>39</v>
      </c>
      <c r="B507" s="448" t="s">
        <v>473</v>
      </c>
      <c r="C507" s="448" t="s">
        <v>677</v>
      </c>
    </row>
    <row r="508" spans="1:3" ht="15.75" customHeight="1">
      <c r="A508" s="448" t="s">
        <v>39</v>
      </c>
      <c r="B508" s="448" t="s">
        <v>1771</v>
      </c>
      <c r="C508" s="448" t="s">
        <v>701</v>
      </c>
    </row>
    <row r="509" spans="1:3" ht="15.75" customHeight="1">
      <c r="A509" s="448" t="s">
        <v>39</v>
      </c>
      <c r="B509" s="448" t="s">
        <v>1837</v>
      </c>
      <c r="C509" s="448" t="s">
        <v>682</v>
      </c>
    </row>
    <row r="510" spans="1:3" ht="15.75" customHeight="1">
      <c r="A510" s="448" t="s">
        <v>39</v>
      </c>
      <c r="B510" s="448" t="s">
        <v>1295</v>
      </c>
      <c r="C510" s="448" t="s">
        <v>678</v>
      </c>
    </row>
    <row r="511" spans="1:3" ht="15.75" customHeight="1">
      <c r="A511" s="448" t="s">
        <v>39</v>
      </c>
      <c r="B511" s="448" t="s">
        <v>1772</v>
      </c>
      <c r="C511" s="448" t="s">
        <v>685</v>
      </c>
    </row>
    <row r="512" spans="1:3" ht="15.75" customHeight="1">
      <c r="A512" s="448" t="s">
        <v>39</v>
      </c>
      <c r="B512" s="448" t="s">
        <v>1279</v>
      </c>
      <c r="C512" s="448" t="s">
        <v>687</v>
      </c>
    </row>
    <row r="513" spans="1:3" ht="15.75" customHeight="1">
      <c r="A513" s="448" t="s">
        <v>39</v>
      </c>
      <c r="B513" s="448" t="s">
        <v>1742</v>
      </c>
      <c r="C513" s="448" t="s">
        <v>684</v>
      </c>
    </row>
    <row r="514" spans="1:3" ht="15.75" customHeight="1">
      <c r="A514" s="448" t="s">
        <v>39</v>
      </c>
      <c r="B514" s="448" t="s">
        <v>1851</v>
      </c>
      <c r="C514" s="448" t="s">
        <v>684</v>
      </c>
    </row>
    <row r="515" spans="1:3" ht="15.75" customHeight="1">
      <c r="A515" s="448" t="s">
        <v>39</v>
      </c>
      <c r="B515" s="448" t="s">
        <v>1838</v>
      </c>
      <c r="C515" s="448" t="s">
        <v>701</v>
      </c>
    </row>
    <row r="516" spans="1:3" ht="15.75" customHeight="1">
      <c r="A516" s="448" t="s">
        <v>39</v>
      </c>
      <c r="B516" s="448" t="s">
        <v>1759</v>
      </c>
      <c r="C516" s="448" t="s">
        <v>686</v>
      </c>
    </row>
    <row r="517" spans="1:3" ht="15.75" customHeight="1">
      <c r="A517" s="448" t="s">
        <v>39</v>
      </c>
      <c r="B517" s="448" t="s">
        <v>1306</v>
      </c>
      <c r="C517" s="448" t="s">
        <v>678</v>
      </c>
    </row>
    <row r="518" spans="1:3" ht="15.75" customHeight="1">
      <c r="A518" s="448" t="s">
        <v>39</v>
      </c>
      <c r="B518" s="448" t="s">
        <v>1993</v>
      </c>
      <c r="C518" s="448" t="s">
        <v>1477</v>
      </c>
    </row>
    <row r="519" spans="1:3" ht="15.75" customHeight="1">
      <c r="A519" s="448" t="s">
        <v>39</v>
      </c>
      <c r="B519" s="448" t="s">
        <v>1958</v>
      </c>
      <c r="C519" s="448" t="s">
        <v>678</v>
      </c>
    </row>
    <row r="520" spans="1:3" ht="15.75" customHeight="1">
      <c r="A520" s="448" t="s">
        <v>1943</v>
      </c>
      <c r="B520" s="448" t="s">
        <v>1805</v>
      </c>
      <c r="C520" s="448" t="s">
        <v>691</v>
      </c>
    </row>
    <row r="521" spans="1:3" ht="15.75" customHeight="1">
      <c r="A521" s="448" t="s">
        <v>43</v>
      </c>
      <c r="B521" s="448" t="s">
        <v>1847</v>
      </c>
      <c r="C521" s="448" t="s">
        <v>701</v>
      </c>
    </row>
    <row r="522" spans="1:3" ht="15.75" customHeight="1">
      <c r="A522" s="448" t="s">
        <v>43</v>
      </c>
      <c r="B522" s="448" t="s">
        <v>1944</v>
      </c>
      <c r="C522" s="448" t="s">
        <v>679</v>
      </c>
    </row>
    <row r="523" spans="1:3" ht="15.75" customHeight="1">
      <c r="A523" s="448" t="s">
        <v>43</v>
      </c>
      <c r="B523" s="448" t="s">
        <v>1959</v>
      </c>
      <c r="C523" s="448" t="s">
        <v>1672</v>
      </c>
    </row>
    <row r="524" spans="1:3" ht="15.75" customHeight="1">
      <c r="A524" s="448" t="s">
        <v>43</v>
      </c>
      <c r="B524" s="448" t="s">
        <v>1807</v>
      </c>
      <c r="C524" s="448" t="s">
        <v>685</v>
      </c>
    </row>
    <row r="525" spans="1:3" ht="15.75" customHeight="1">
      <c r="A525" s="448" t="s">
        <v>43</v>
      </c>
      <c r="B525" s="448" t="s">
        <v>1799</v>
      </c>
      <c r="C525" s="448" t="s">
        <v>682</v>
      </c>
    </row>
    <row r="526" spans="1:3" ht="15.75" customHeight="1">
      <c r="A526" s="448" t="s">
        <v>43</v>
      </c>
      <c r="B526" s="448" t="s">
        <v>1801</v>
      </c>
      <c r="C526" s="448" t="s">
        <v>1477</v>
      </c>
    </row>
    <row r="527" spans="1:3" ht="15.75" customHeight="1">
      <c r="A527" s="448" t="s">
        <v>43</v>
      </c>
      <c r="B527" s="448" t="s">
        <v>1287</v>
      </c>
      <c r="C527" s="448" t="s">
        <v>1672</v>
      </c>
    </row>
    <row r="528" spans="1:3" ht="15.75" customHeight="1">
      <c r="A528" s="448" t="s">
        <v>43</v>
      </c>
      <c r="B528" s="448" t="s">
        <v>1788</v>
      </c>
      <c r="C528" s="448" t="s">
        <v>679</v>
      </c>
    </row>
    <row r="529" spans="1:3" ht="15.75" customHeight="1">
      <c r="A529" s="448" t="s">
        <v>43</v>
      </c>
      <c r="B529" s="448" t="s">
        <v>1804</v>
      </c>
      <c r="C529" s="448" t="s">
        <v>701</v>
      </c>
    </row>
    <row r="530" spans="1:3" ht="15.75" customHeight="1">
      <c r="A530" s="448" t="s">
        <v>43</v>
      </c>
      <c r="B530" s="448" t="s">
        <v>1802</v>
      </c>
      <c r="C530" s="448" t="s">
        <v>691</v>
      </c>
    </row>
    <row r="531" spans="1:3" ht="15.75" customHeight="1">
      <c r="A531" s="448" t="s">
        <v>43</v>
      </c>
      <c r="B531" s="448" t="s">
        <v>384</v>
      </c>
      <c r="C531" s="448" t="s">
        <v>700</v>
      </c>
    </row>
    <row r="532" spans="1:3" ht="15.75" customHeight="1">
      <c r="A532" s="426"/>
      <c r="B532" s="426"/>
      <c r="C532" s="426"/>
    </row>
    <row r="533" spans="1:3" ht="15.75" customHeight="1">
      <c r="A533" s="426"/>
      <c r="B533" s="426"/>
      <c r="C533" s="426"/>
    </row>
    <row r="534" spans="1:3" ht="15.75" customHeight="1">
      <c r="A534" s="426"/>
      <c r="B534" s="426"/>
      <c r="C534" s="426"/>
    </row>
    <row r="535" spans="1:3" ht="15.75" customHeight="1">
      <c r="A535" s="426"/>
      <c r="B535" s="426"/>
      <c r="C535" s="426"/>
    </row>
    <row r="536" spans="1:3" ht="15.75" customHeight="1">
      <c r="A536" s="179"/>
      <c r="B536" s="179"/>
      <c r="C536" s="179"/>
    </row>
    <row r="537" spans="1:3" ht="15.75" customHeight="1">
      <c r="A537" s="426"/>
      <c r="B537" s="426"/>
      <c r="C537" s="426"/>
    </row>
    <row r="538" spans="1:3" ht="15.75" customHeight="1">
      <c r="A538" s="426"/>
      <c r="B538" s="426"/>
      <c r="C538" s="426"/>
    </row>
    <row r="539" spans="1:3" ht="15.75" customHeight="1">
      <c r="A539" s="426"/>
      <c r="B539" s="426"/>
      <c r="C539" s="426"/>
    </row>
    <row r="540" spans="1:3" ht="15.75" customHeight="1">
      <c r="A540" s="196"/>
      <c r="B540" s="196"/>
      <c r="C540" s="196"/>
    </row>
    <row r="541" spans="1:3" ht="15.75" customHeight="1">
      <c r="A541" s="196"/>
      <c r="B541" s="196"/>
      <c r="C541" s="196"/>
    </row>
    <row r="542" spans="1:3" ht="15.75" customHeight="1"/>
    <row r="543" spans="1:3" ht="15.75" customHeight="1"/>
    <row r="544" spans="1:3"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sheetData>
  <sheetProtection selectLockedCells="1" selectUnlockedCells="1"/>
  <mergeCells count="1">
    <mergeCell ref="A1:C1"/>
  </mergeCells>
  <conditionalFormatting sqref="B561">
    <cfRule type="expression" dxfId="8" priority="1" stopIfTrue="1">
      <formula>VLOOKUP($B561,TabAlgTutti,1,FALSE)=$B561</formula>
    </cfRule>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18">
    <tabColor rgb="FF333333"/>
  </sheetPr>
  <dimension ref="A1:C548"/>
  <sheetViews>
    <sheetView workbookViewId="0">
      <selection sqref="A1:C2"/>
    </sheetView>
  </sheetViews>
  <sheetFormatPr defaultRowHeight="12.75"/>
  <cols>
    <col min="1" max="1" width="7" bestFit="1" customWidth="1"/>
    <col min="2" max="2" width="26.140625" customWidth="1"/>
    <col min="3" max="3" width="12.140625" customWidth="1"/>
  </cols>
  <sheetData>
    <row r="1" spans="1:3" ht="15.75">
      <c r="A1" s="578" t="s">
        <v>1321</v>
      </c>
      <c r="B1" s="579"/>
      <c r="C1" s="580"/>
    </row>
    <row r="2" spans="1:3" ht="15">
      <c r="A2" s="223" t="s">
        <v>638</v>
      </c>
      <c r="B2" s="223" t="s">
        <v>920</v>
      </c>
      <c r="C2" s="223" t="s">
        <v>637</v>
      </c>
    </row>
    <row r="8" spans="1:3">
      <c r="A8" s="94"/>
      <c r="B8" s="95"/>
      <c r="C8" s="94"/>
    </row>
    <row r="9" spans="1:3">
      <c r="A9" s="94"/>
      <c r="B9" s="95"/>
      <c r="C9" s="94"/>
    </row>
    <row r="10" spans="1:3">
      <c r="A10" s="94"/>
      <c r="B10" s="95"/>
      <c r="C10" s="94"/>
    </row>
    <row r="11" spans="1:3">
      <c r="A11" s="94"/>
      <c r="B11" s="95"/>
      <c r="C11" s="94"/>
    </row>
    <row r="12" spans="1:3">
      <c r="A12" s="94"/>
      <c r="B12" s="95"/>
      <c r="C12" s="94"/>
    </row>
    <row r="13" spans="1:3">
      <c r="A13" s="94"/>
      <c r="B13" s="95"/>
      <c r="C13" s="94"/>
    </row>
    <row r="14" spans="1:3">
      <c r="A14" s="94"/>
      <c r="B14" s="95"/>
      <c r="C14" s="94"/>
    </row>
    <row r="15" spans="1:3">
      <c r="A15" s="94"/>
      <c r="B15" s="95"/>
      <c r="C15" s="94"/>
    </row>
    <row r="16" spans="1:3">
      <c r="A16" s="94"/>
      <c r="B16" s="95"/>
      <c r="C16" s="94"/>
    </row>
    <row r="17" spans="1:3">
      <c r="A17" s="94"/>
      <c r="B17" s="95"/>
      <c r="C17" s="94"/>
    </row>
    <row r="18" spans="1:3">
      <c r="A18" s="94"/>
      <c r="B18" s="95"/>
      <c r="C18" s="94"/>
    </row>
    <row r="19" spans="1:3">
      <c r="A19" s="94"/>
      <c r="B19" s="95"/>
      <c r="C19" s="94"/>
    </row>
    <row r="20" spans="1:3">
      <c r="A20" s="94"/>
      <c r="B20" s="95"/>
      <c r="C20" s="94"/>
    </row>
    <row r="21" spans="1:3">
      <c r="A21" s="94"/>
      <c r="B21" s="95"/>
      <c r="C21" s="94"/>
    </row>
    <row r="22" spans="1:3">
      <c r="A22" s="94"/>
      <c r="B22" s="95"/>
      <c r="C22" s="94"/>
    </row>
    <row r="23" spans="1:3">
      <c r="A23" s="94"/>
      <c r="B23" s="95"/>
      <c r="C23" s="94"/>
    </row>
    <row r="24" spans="1:3">
      <c r="A24" s="94"/>
      <c r="B24" s="95"/>
      <c r="C24" s="94"/>
    </row>
    <row r="25" spans="1:3">
      <c r="A25" s="94"/>
      <c r="B25" s="95"/>
      <c r="C25" s="94"/>
    </row>
    <row r="26" spans="1:3">
      <c r="A26" s="94"/>
      <c r="B26" s="95"/>
      <c r="C26" s="94"/>
    </row>
    <row r="27" spans="1:3">
      <c r="A27" s="94"/>
      <c r="B27" s="95"/>
      <c r="C27" s="94"/>
    </row>
    <row r="28" spans="1:3">
      <c r="A28" s="94"/>
      <c r="B28" s="95"/>
      <c r="C28" s="94"/>
    </row>
    <row r="29" spans="1:3">
      <c r="A29" s="94"/>
      <c r="B29" s="95"/>
      <c r="C29" s="94"/>
    </row>
    <row r="30" spans="1:3">
      <c r="A30" s="94"/>
      <c r="B30" s="95"/>
      <c r="C30" s="94"/>
    </row>
    <row r="31" spans="1:3">
      <c r="A31" s="94"/>
      <c r="B31" s="95"/>
      <c r="C31" s="94"/>
    </row>
    <row r="32" spans="1:3">
      <c r="A32" s="94"/>
      <c r="B32" s="95"/>
      <c r="C32" s="94"/>
    </row>
    <row r="33" spans="1:3">
      <c r="A33" s="94"/>
      <c r="B33" s="95"/>
      <c r="C33" s="94"/>
    </row>
    <row r="34" spans="1:3">
      <c r="A34" s="94"/>
      <c r="B34" s="95"/>
      <c r="C34" s="94"/>
    </row>
    <row r="35" spans="1:3">
      <c r="A35" s="94"/>
      <c r="B35" s="95"/>
      <c r="C35" s="94"/>
    </row>
    <row r="36" spans="1:3">
      <c r="A36" s="94"/>
      <c r="B36" s="95"/>
      <c r="C36" s="94"/>
    </row>
    <row r="37" spans="1:3">
      <c r="A37" s="94"/>
      <c r="B37" s="95"/>
      <c r="C37" s="94"/>
    </row>
    <row r="38" spans="1:3">
      <c r="A38" s="94"/>
      <c r="B38" s="95"/>
      <c r="C38" s="94"/>
    </row>
    <row r="39" spans="1:3">
      <c r="A39" s="94"/>
      <c r="B39" s="95"/>
      <c r="C39" s="94"/>
    </row>
    <row r="40" spans="1:3">
      <c r="A40" s="94"/>
      <c r="B40" s="95"/>
      <c r="C40" s="94"/>
    </row>
    <row r="41" spans="1:3">
      <c r="A41" s="94"/>
      <c r="B41" s="95"/>
      <c r="C41" s="94"/>
    </row>
    <row r="42" spans="1:3">
      <c r="A42" s="94"/>
      <c r="B42" s="95"/>
      <c r="C42" s="94"/>
    </row>
    <row r="43" spans="1:3">
      <c r="A43" s="94"/>
      <c r="B43" s="95"/>
      <c r="C43" s="94"/>
    </row>
    <row r="44" spans="1:3">
      <c r="A44" s="94"/>
      <c r="B44" s="95"/>
      <c r="C44" s="94"/>
    </row>
    <row r="45" spans="1:3">
      <c r="A45" s="94"/>
      <c r="B45" s="95"/>
      <c r="C45" s="94"/>
    </row>
    <row r="46" spans="1:3">
      <c r="A46" s="94"/>
      <c r="B46" s="95"/>
      <c r="C46" s="94"/>
    </row>
    <row r="47" spans="1:3">
      <c r="A47" s="94"/>
      <c r="B47" s="95"/>
      <c r="C47" s="94"/>
    </row>
    <row r="48" spans="1:3">
      <c r="A48" s="94"/>
      <c r="B48" s="95"/>
      <c r="C48" s="94"/>
    </row>
    <row r="49" spans="1:3">
      <c r="A49" s="94"/>
      <c r="B49" s="95"/>
      <c r="C49" s="94"/>
    </row>
    <row r="50" spans="1:3">
      <c r="A50" s="94"/>
      <c r="B50" s="95"/>
      <c r="C50" s="94"/>
    </row>
    <row r="51" spans="1:3">
      <c r="A51" s="94"/>
      <c r="B51" s="95"/>
      <c r="C51" s="94"/>
    </row>
    <row r="52" spans="1:3">
      <c r="A52" s="94"/>
      <c r="B52" s="95"/>
      <c r="C52" s="94"/>
    </row>
    <row r="53" spans="1:3">
      <c r="A53" s="94"/>
      <c r="B53" s="95"/>
      <c r="C53" s="94"/>
    </row>
    <row r="54" spans="1:3">
      <c r="A54" s="94"/>
      <c r="B54" s="95"/>
      <c r="C54" s="94"/>
    </row>
    <row r="55" spans="1:3">
      <c r="A55" s="94"/>
      <c r="B55" s="95"/>
      <c r="C55" s="94"/>
    </row>
    <row r="56" spans="1:3">
      <c r="A56" s="94"/>
      <c r="B56" s="95"/>
      <c r="C56" s="94"/>
    </row>
    <row r="57" spans="1:3">
      <c r="A57" s="94"/>
      <c r="B57" s="95"/>
      <c r="C57" s="94"/>
    </row>
    <row r="58" spans="1:3">
      <c r="A58" s="94"/>
      <c r="B58" s="95"/>
      <c r="C58" s="94"/>
    </row>
    <row r="59" spans="1:3">
      <c r="A59" s="94"/>
      <c r="B59" s="95"/>
      <c r="C59" s="94"/>
    </row>
    <row r="60" spans="1:3">
      <c r="A60" s="94"/>
      <c r="B60" s="95"/>
      <c r="C60" s="94"/>
    </row>
    <row r="61" spans="1:3">
      <c r="A61" s="94"/>
      <c r="B61" s="95"/>
      <c r="C61" s="94"/>
    </row>
    <row r="62" spans="1:3">
      <c r="A62" s="94"/>
      <c r="B62" s="95"/>
      <c r="C62" s="94"/>
    </row>
    <row r="63" spans="1:3">
      <c r="A63" s="94"/>
      <c r="B63" s="95"/>
      <c r="C63" s="94"/>
    </row>
    <row r="64" spans="1:3">
      <c r="A64" s="94"/>
      <c r="B64" s="95"/>
      <c r="C64" s="94"/>
    </row>
    <row r="65" spans="1:3">
      <c r="A65" s="94"/>
      <c r="B65" s="95"/>
      <c r="C65" s="94"/>
    </row>
    <row r="66" spans="1:3">
      <c r="A66" s="94"/>
      <c r="B66" s="95"/>
      <c r="C66" s="94"/>
    </row>
    <row r="67" spans="1:3">
      <c r="A67" s="94"/>
      <c r="B67" s="95"/>
      <c r="C67" s="94"/>
    </row>
    <row r="68" spans="1:3">
      <c r="A68" s="94"/>
      <c r="B68" s="95"/>
      <c r="C68" s="94"/>
    </row>
    <row r="69" spans="1:3">
      <c r="A69" s="94"/>
      <c r="B69" s="95"/>
      <c r="C69" s="94"/>
    </row>
    <row r="70" spans="1:3">
      <c r="A70" s="94"/>
      <c r="B70" s="95"/>
      <c r="C70" s="94"/>
    </row>
    <row r="71" spans="1:3">
      <c r="A71" s="94"/>
      <c r="B71" s="95"/>
      <c r="C71" s="94"/>
    </row>
    <row r="72" spans="1:3">
      <c r="A72" s="94"/>
      <c r="B72" s="95"/>
      <c r="C72" s="94"/>
    </row>
    <row r="73" spans="1:3">
      <c r="A73" s="94"/>
      <c r="B73" s="95"/>
      <c r="C73" s="94"/>
    </row>
    <row r="74" spans="1:3">
      <c r="A74" s="94"/>
      <c r="B74" s="95"/>
      <c r="C74" s="94"/>
    </row>
    <row r="75" spans="1:3">
      <c r="A75" s="94"/>
      <c r="B75" s="95"/>
      <c r="C75" s="94"/>
    </row>
    <row r="76" spans="1:3">
      <c r="A76" s="94"/>
      <c r="B76" s="95"/>
      <c r="C76" s="94"/>
    </row>
    <row r="77" spans="1:3">
      <c r="A77" s="94"/>
      <c r="B77" s="95"/>
      <c r="C77" s="94"/>
    </row>
    <row r="78" spans="1:3">
      <c r="A78" s="94"/>
      <c r="B78" s="95"/>
      <c r="C78" s="94"/>
    </row>
    <row r="79" spans="1:3">
      <c r="A79" s="94"/>
      <c r="B79" s="95"/>
      <c r="C79" s="94"/>
    </row>
    <row r="80" spans="1:3">
      <c r="A80" s="94"/>
      <c r="B80" s="95"/>
      <c r="C80" s="94"/>
    </row>
    <row r="81" spans="1:3">
      <c r="A81" s="94"/>
      <c r="B81" s="95"/>
      <c r="C81" s="94"/>
    </row>
    <row r="82" spans="1:3">
      <c r="A82" s="94"/>
      <c r="B82" s="95"/>
      <c r="C82" s="94"/>
    </row>
    <row r="83" spans="1:3">
      <c r="A83" s="94"/>
      <c r="B83" s="95"/>
      <c r="C83" s="94"/>
    </row>
    <row r="84" spans="1:3">
      <c r="A84" s="94"/>
      <c r="B84" s="95"/>
      <c r="C84" s="94"/>
    </row>
    <row r="85" spans="1:3">
      <c r="A85" s="94"/>
      <c r="B85" s="95"/>
      <c r="C85" s="94"/>
    </row>
    <row r="86" spans="1:3">
      <c r="A86" s="94"/>
      <c r="B86" s="95"/>
      <c r="C86" s="94"/>
    </row>
    <row r="87" spans="1:3">
      <c r="A87" s="94"/>
      <c r="B87" s="95"/>
      <c r="C87" s="94"/>
    </row>
    <row r="88" spans="1:3">
      <c r="A88" s="94"/>
      <c r="B88" s="95"/>
      <c r="C88" s="94"/>
    </row>
    <row r="89" spans="1:3">
      <c r="A89" s="94"/>
      <c r="B89" s="95"/>
      <c r="C89" s="94"/>
    </row>
    <row r="90" spans="1:3">
      <c r="A90" s="94"/>
      <c r="B90" s="95"/>
      <c r="C90" s="94"/>
    </row>
    <row r="91" spans="1:3">
      <c r="A91" s="94"/>
      <c r="B91" s="95"/>
      <c r="C91" s="94"/>
    </row>
    <row r="92" spans="1:3">
      <c r="A92" s="94"/>
      <c r="B92" s="95"/>
      <c r="C92" s="94"/>
    </row>
    <row r="93" spans="1:3">
      <c r="A93" s="94"/>
      <c r="B93" s="95"/>
      <c r="C93" s="94"/>
    </row>
    <row r="94" spans="1:3">
      <c r="A94" s="94"/>
      <c r="B94" s="95"/>
      <c r="C94" s="94"/>
    </row>
    <row r="95" spans="1:3">
      <c r="A95" s="94"/>
      <c r="B95" s="95"/>
      <c r="C95" s="94"/>
    </row>
    <row r="96" spans="1:3">
      <c r="A96" s="94"/>
      <c r="B96" s="95"/>
      <c r="C96" s="94"/>
    </row>
    <row r="97" spans="1:3">
      <c r="A97" s="94"/>
      <c r="B97" s="95"/>
      <c r="C97" s="94"/>
    </row>
    <row r="98" spans="1:3">
      <c r="A98" s="94"/>
      <c r="B98" s="95"/>
      <c r="C98" s="94"/>
    </row>
    <row r="99" spans="1:3">
      <c r="A99" s="94"/>
      <c r="B99" s="95"/>
      <c r="C99" s="94"/>
    </row>
    <row r="100" spans="1:3">
      <c r="A100" s="94"/>
      <c r="B100" s="95"/>
      <c r="C100" s="94"/>
    </row>
    <row r="101" spans="1:3">
      <c r="A101" s="94"/>
      <c r="B101" s="95"/>
      <c r="C101" s="94"/>
    </row>
    <row r="102" spans="1:3">
      <c r="A102" s="94"/>
      <c r="B102" s="95"/>
      <c r="C102" s="94"/>
    </row>
    <row r="103" spans="1:3">
      <c r="A103" s="94"/>
      <c r="B103" s="95"/>
      <c r="C103" s="94"/>
    </row>
    <row r="104" spans="1:3">
      <c r="A104" s="94"/>
      <c r="B104" s="95"/>
      <c r="C104" s="94"/>
    </row>
    <row r="105" spans="1:3">
      <c r="A105" s="94"/>
      <c r="B105" s="95"/>
      <c r="C105" s="94"/>
    </row>
    <row r="106" spans="1:3">
      <c r="A106" s="94"/>
      <c r="B106" s="95"/>
      <c r="C106" s="94"/>
    </row>
    <row r="107" spans="1:3">
      <c r="A107" s="94"/>
      <c r="B107" s="95"/>
      <c r="C107" s="94"/>
    </row>
    <row r="108" spans="1:3">
      <c r="A108" s="94"/>
      <c r="B108" s="95"/>
      <c r="C108" s="94"/>
    </row>
    <row r="109" spans="1:3">
      <c r="A109" s="94"/>
      <c r="B109" s="95"/>
      <c r="C109" s="94"/>
    </row>
    <row r="112" spans="1:3">
      <c r="A112" s="94"/>
      <c r="B112" s="95"/>
      <c r="C112" s="94"/>
    </row>
    <row r="113" spans="1:3">
      <c r="A113" s="94"/>
      <c r="B113" s="95"/>
      <c r="C113" s="94"/>
    </row>
    <row r="114" spans="1:3">
      <c r="A114" s="94"/>
      <c r="B114" s="95"/>
      <c r="C114" s="94"/>
    </row>
    <row r="115" spans="1:3">
      <c r="A115" s="94"/>
      <c r="B115" s="95"/>
      <c r="C115" s="94"/>
    </row>
    <row r="116" spans="1:3">
      <c r="A116" s="94"/>
      <c r="B116" s="95"/>
      <c r="C116" s="94"/>
    </row>
    <row r="117" spans="1:3">
      <c r="A117" s="94"/>
      <c r="B117" s="95"/>
      <c r="C117" s="94"/>
    </row>
    <row r="118" spans="1:3">
      <c r="A118" s="94"/>
      <c r="B118" s="95"/>
      <c r="C118" s="94"/>
    </row>
    <row r="119" spans="1:3">
      <c r="A119" s="94"/>
      <c r="B119" s="95"/>
      <c r="C119" s="94"/>
    </row>
    <row r="120" spans="1:3">
      <c r="A120" s="94"/>
      <c r="B120" s="95"/>
      <c r="C120" s="94"/>
    </row>
    <row r="121" spans="1:3">
      <c r="A121" s="94"/>
      <c r="B121" s="95"/>
      <c r="C121" s="94"/>
    </row>
    <row r="122" spans="1:3" ht="15.75" customHeight="1">
      <c r="A122" s="94"/>
      <c r="B122" s="95"/>
      <c r="C122" s="94"/>
    </row>
    <row r="123" spans="1:3">
      <c r="A123" s="94"/>
      <c r="B123" s="95"/>
      <c r="C123" s="94"/>
    </row>
    <row r="124" spans="1:3">
      <c r="A124" s="94"/>
      <c r="B124" s="95"/>
      <c r="C124" s="94"/>
    </row>
    <row r="125" spans="1:3">
      <c r="A125" s="94"/>
      <c r="B125" s="95"/>
      <c r="C125" s="94"/>
    </row>
    <row r="126" spans="1:3">
      <c r="A126" s="94"/>
      <c r="B126" s="95"/>
      <c r="C126" s="94"/>
    </row>
    <row r="127" spans="1:3">
      <c r="A127" s="94"/>
      <c r="B127" s="95"/>
      <c r="C127" s="94"/>
    </row>
    <row r="128" spans="1:3">
      <c r="A128" s="94"/>
      <c r="B128" s="95"/>
      <c r="C128" s="94"/>
    </row>
    <row r="129" spans="1:3">
      <c r="A129" s="94"/>
      <c r="B129" s="95"/>
      <c r="C129" s="94"/>
    </row>
    <row r="130" spans="1:3">
      <c r="A130" s="94"/>
      <c r="B130" s="95"/>
      <c r="C130" s="94"/>
    </row>
    <row r="131" spans="1:3" ht="15.75" customHeight="1">
      <c r="A131" s="94"/>
      <c r="B131" s="95"/>
      <c r="C131" s="94"/>
    </row>
    <row r="132" spans="1:3">
      <c r="A132" s="94"/>
      <c r="B132" s="95"/>
      <c r="C132" s="94"/>
    </row>
    <row r="133" spans="1:3">
      <c r="A133" s="94"/>
      <c r="B133" s="95"/>
      <c r="C133" s="94"/>
    </row>
    <row r="134" spans="1:3">
      <c r="A134" s="94"/>
      <c r="B134" s="95"/>
      <c r="C134" s="94"/>
    </row>
    <row r="135" spans="1:3">
      <c r="A135" s="94"/>
      <c r="B135" s="95"/>
      <c r="C135" s="94"/>
    </row>
    <row r="145" ht="15.75" customHeight="1"/>
    <row r="219" ht="15.75" customHeight="1"/>
    <row r="492" ht="15.75" customHeight="1"/>
    <row r="493" ht="15.75" customHeight="1"/>
    <row r="494" ht="15.75" customHeight="1"/>
    <row r="495" ht="15.75" customHeight="1"/>
    <row r="496" ht="15.75" customHeight="1"/>
    <row r="548" ht="15.75" customHeight="1"/>
  </sheetData>
  <sheetProtection selectLockedCells="1" selectUnlockedCells="1"/>
  <mergeCells count="1">
    <mergeCell ref="A1:C1"/>
  </mergeCells>
  <pageMargins left="0.7" right="0.7" top="0.75" bottom="0.75" header="0.51180555555555551" footer="0.51180555555555551"/>
  <pageSetup paperSize="9"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1">
    <tabColor rgb="FFFFCC99"/>
  </sheetPr>
  <dimension ref="A1:BP219"/>
  <sheetViews>
    <sheetView zoomScale="90" zoomScaleNormal="90" workbookViewId="0">
      <pane ySplit="3" topLeftCell="A4" activePane="bottomLeft" state="frozen"/>
      <selection pane="bottomLeft" activeCell="B14" sqref="B14"/>
    </sheetView>
  </sheetViews>
  <sheetFormatPr defaultColWidth="12.7109375" defaultRowHeight="12.75"/>
  <cols>
    <col min="1" max="1" width="2.7109375" style="2" customWidth="1"/>
    <col min="2" max="2" width="14.42578125" style="3" bestFit="1" customWidth="1"/>
    <col min="3" max="3" width="5.5703125" style="3" bestFit="1" customWidth="1"/>
    <col min="4" max="4" width="2.7109375" style="2" customWidth="1"/>
    <col min="5" max="5" width="14.42578125" style="3" bestFit="1" customWidth="1"/>
    <col min="6" max="6" width="6" style="3" customWidth="1"/>
    <col min="7" max="7" width="3.5703125" style="2" bestFit="1" customWidth="1"/>
    <col min="8" max="8" width="14.42578125" style="3" bestFit="1" customWidth="1"/>
    <col min="9" max="9" width="5.5703125" style="3" bestFit="1" customWidth="1"/>
    <col min="10" max="10" width="2.7109375" style="3" customWidth="1"/>
    <col min="11" max="11" width="14.42578125" style="3" bestFit="1" customWidth="1"/>
    <col min="12" max="12" width="6" style="3" bestFit="1" customWidth="1"/>
    <col min="13" max="13" width="2.7109375" style="2" customWidth="1"/>
    <col min="14" max="14" width="14.42578125" style="3" bestFit="1" customWidth="1"/>
    <col min="15" max="15" width="5.5703125" style="3" bestFit="1" customWidth="1"/>
    <col min="16" max="16" width="2.7109375" style="2" customWidth="1"/>
    <col min="17" max="17" width="14.42578125" style="3" bestFit="1" customWidth="1"/>
    <col min="18" max="18" width="5.5703125" style="3" bestFit="1" customWidth="1"/>
    <col min="19" max="19" width="2.7109375" style="2" customWidth="1"/>
    <col min="20" max="20" width="14.42578125" style="3" bestFit="1" customWidth="1"/>
    <col min="21" max="21" width="5.5703125" style="3" bestFit="1" customWidth="1"/>
    <col min="22" max="22" width="2.7109375" style="2" customWidth="1"/>
    <col min="23" max="23" width="14.42578125" style="3" bestFit="1" customWidth="1"/>
    <col min="24" max="24" width="5.5703125" style="3" bestFit="1" customWidth="1"/>
    <col min="25" max="25" width="2.7109375" style="2" customWidth="1"/>
    <col min="26" max="26" width="14.42578125" style="3" bestFit="1" customWidth="1"/>
    <col min="27" max="27" width="5.5703125" style="3" bestFit="1" customWidth="1"/>
    <col min="28" max="28" width="2.7109375" style="2" customWidth="1"/>
    <col min="29" max="29" width="14.42578125" style="3" bestFit="1" customWidth="1"/>
    <col min="30" max="30" width="5.5703125" style="3" bestFit="1" customWidth="1"/>
    <col min="31" max="31" width="2.7109375" style="2" customWidth="1"/>
    <col min="32" max="32" width="12.42578125" style="3" customWidth="1"/>
    <col min="33" max="33" width="5.5703125" style="3" bestFit="1" customWidth="1"/>
    <col min="34" max="34" width="2.7109375" style="2" customWidth="1"/>
    <col min="35" max="35" width="14.42578125" style="3" bestFit="1" customWidth="1"/>
    <col min="36" max="36" width="5.5703125" style="3" bestFit="1" customWidth="1"/>
    <col min="37" max="37" width="16" style="4" customWidth="1"/>
    <col min="38" max="39" width="23.5703125" style="4" customWidth="1"/>
    <col min="40" max="41" width="12.7109375" style="4" customWidth="1"/>
    <col min="42" max="43" width="12.7109375" customWidth="1"/>
    <col min="44" max="49" width="12.7109375" style="4" customWidth="1"/>
    <col min="50" max="50" width="12.7109375" customWidth="1"/>
    <col min="51" max="79" width="12.7109375" style="4" customWidth="1"/>
    <col min="80" max="16384" width="12.7109375" style="4"/>
  </cols>
  <sheetData>
    <row r="1" spans="1:68" ht="14.25" customHeight="1">
      <c r="A1" s="2">
        <v>2</v>
      </c>
      <c r="AK1" s="3"/>
      <c r="AP1" s="5"/>
      <c r="AQ1" s="4"/>
      <c r="AT1" s="6"/>
      <c r="AV1" s="6"/>
    </row>
    <row r="2" spans="1:68" ht="14.25">
      <c r="A2" s="536" t="s">
        <v>627</v>
      </c>
      <c r="B2" s="536"/>
      <c r="C2" s="536"/>
      <c r="D2" s="536" t="s">
        <v>627</v>
      </c>
      <c r="E2" s="536"/>
      <c r="F2" s="536"/>
      <c r="G2" s="536" t="s">
        <v>627</v>
      </c>
      <c r="H2" s="536"/>
      <c r="I2" s="536"/>
      <c r="J2" s="540" t="s">
        <v>627</v>
      </c>
      <c r="K2" s="540"/>
      <c r="L2" s="540"/>
      <c r="M2" s="536" t="s">
        <v>627</v>
      </c>
      <c r="N2" s="536"/>
      <c r="O2" s="536"/>
      <c r="P2" s="536" t="s">
        <v>627</v>
      </c>
      <c r="Q2" s="536"/>
      <c r="R2" s="536"/>
      <c r="S2" s="536" t="s">
        <v>627</v>
      </c>
      <c r="T2" s="536"/>
      <c r="U2" s="536"/>
      <c r="V2" s="536" t="s">
        <v>627</v>
      </c>
      <c r="W2" s="536"/>
      <c r="X2" s="536"/>
      <c r="Y2" s="536" t="s">
        <v>627</v>
      </c>
      <c r="Z2" s="536"/>
      <c r="AA2" s="536"/>
      <c r="AB2" s="536" t="s">
        <v>627</v>
      </c>
      <c r="AC2" s="536"/>
      <c r="AD2" s="536"/>
      <c r="AE2" s="536" t="s">
        <v>627</v>
      </c>
      <c r="AF2" s="536"/>
      <c r="AG2" s="536"/>
      <c r="AH2" s="536" t="s">
        <v>627</v>
      </c>
      <c r="AI2" s="536"/>
      <c r="AJ2" s="536"/>
      <c r="AM2" s="221"/>
      <c r="AN2" s="231" t="str">
        <f ca="1">IF(Giocatori!E9=0,"",Giocatori!E9)</f>
        <v>ALISSON</v>
      </c>
      <c r="AO2" s="221"/>
      <c r="AP2" s="231" t="str">
        <f ca="1">IF(Giocatori!H9=0,"",Giocatori!H9)</f>
        <v>ABATE</v>
      </c>
      <c r="AQ2" s="221"/>
      <c r="AR2" s="231" t="str">
        <f ca="1">IF(Giocatori!K9=0,"",Giocatori!K9)</f>
        <v>ACQUAH</v>
      </c>
      <c r="AS2" s="221"/>
      <c r="AT2" s="231" t="str">
        <f ca="1">IF(Giocatori!N9=0,"",Giocatori!N9)</f>
        <v>ANDRE' SILVA</v>
      </c>
      <c r="AU2" s="221"/>
      <c r="AV2" s="231" t="str">
        <f ca="1">IF(Giocatori!Q9=0,"",Giocatori!Q9)</f>
        <v/>
      </c>
      <c r="AW2" s="4" t="str">
        <f ca="1">IF(B5=0,"",B5)</f>
        <v/>
      </c>
      <c r="AX2" t="str">
        <f t="shared" ref="AX2:AX33" ca="1" si="0">IF(ISNA(VLOOKUP(AN2,$AW$2:$AW$199,1,FALSE)),AN2,"")</f>
        <v>ALISSON</v>
      </c>
      <c r="AY2" s="7">
        <f t="shared" ref="AY2:AY65" ca="1" si="1">ROW()-COUNTBLANK(INDIRECT("$AX$2:AX"&amp;ROW()))</f>
        <v>2</v>
      </c>
      <c r="AZ2" s="7" t="str">
        <f t="shared" ref="AZ2:AZ33" ca="1" si="2">IF(ISERROR(INDEX($AX$2:$AX$199,MATCH(ROW(),$AY$2:$AY$199,FALSE))),0,INDEX($AX$2:$AX$199,MATCH(ROW(),$AY$2:$AY$199,FALSE)))</f>
        <v>ALISSON</v>
      </c>
      <c r="BA2" s="4" t="str">
        <f t="shared" ref="BA2:BA11" ca="1" si="3">IF(B14=0,"",B14)</f>
        <v/>
      </c>
      <c r="BB2" t="str">
        <f t="shared" ref="BB2:BB33" ca="1" si="4">IF(ISNA(VLOOKUP(AP2,$BA$2:$BA$199,1,FALSE)),AP2,"")</f>
        <v>ABATE</v>
      </c>
      <c r="BC2" s="7">
        <f ca="1">ROW()-COUNTBLANK(INDIRECT("$BB$2:BB"&amp;ROW()))</f>
        <v>2</v>
      </c>
      <c r="BD2" s="7" t="str">
        <f t="shared" ref="BD2:BD33" ca="1" si="5">IF(ISERROR(INDEX($BB$2:$BB$199,MATCH(ROW(),$BC$2:$BC$199,FALSE))),0,INDEX($BB$2:$BB$199,MATCH(ROW(),$BC$2:$BC$199,FALSE)))</f>
        <v>ABATE</v>
      </c>
      <c r="BE2" s="4" t="str">
        <f t="shared" ref="BE2:BE11" ca="1" si="6">IF(B30=0,"",B30)</f>
        <v/>
      </c>
      <c r="BF2" t="str">
        <f t="shared" ref="BF2:BF33" ca="1" si="7">IF(ISNA(VLOOKUP(AR2,$BE$2:$BE$199,1,FALSE)),AR2,"")</f>
        <v>ACQUAH</v>
      </c>
      <c r="BG2" s="7">
        <f ca="1">ROW()-COUNTBLANK(INDIRECT("$BF$2:BF"&amp;ROW()))</f>
        <v>2</v>
      </c>
      <c r="BH2" s="7" t="str">
        <f t="shared" ref="BH2:BH33" ca="1" si="8">IF(ISERROR(INDEX($BF$2:$BF$199,MATCH(ROW(),$BG$2:$BG$199,FALSE))),0,INDEX($BF$2:$BF$199,MATCH(ROW(),$BG$2:$BG$199,FALSE)))</f>
        <v>ACQUAH</v>
      </c>
      <c r="BI2" s="4" t="str">
        <f t="shared" ref="BI2:BI9" ca="1" si="9">IF(B46=0,"",B46)</f>
        <v/>
      </c>
      <c r="BJ2" t="str">
        <f t="shared" ref="BJ2:BJ33" ca="1" si="10">IF(ISNA(VLOOKUP(AT2,$BI$2:$BI$199,1,FALSE)),AT2,"")</f>
        <v>ANDRE' SILVA</v>
      </c>
      <c r="BK2" s="7">
        <f ca="1">ROW()-COUNTBLANK(INDIRECT("$BJ$2:BJ"&amp;ROW()))</f>
        <v>2</v>
      </c>
      <c r="BL2" s="7" t="str">
        <f t="shared" ref="BL2:BL33" ca="1" si="11">IF(ISERROR(INDEX($BJ$2:$BJ$199,MATCH(ROW(),$BK$2:$BK$199,FALSE))),0,INDEX($BJ$2:$BJ$199,MATCH(ROW(),$BK$2:$BK$199,FALSE)))</f>
        <v>ANDRE' SILVA</v>
      </c>
      <c r="BM2" s="4" t="str">
        <f t="shared" ref="BM2:BM11" ca="1" si="12">IF(B30=0,"",B30)</f>
        <v/>
      </c>
      <c r="BN2" t="str">
        <f t="shared" ref="BN2:BN33" ca="1" si="13">IF(ISNA(VLOOKUP(AV2,$BM$2:$BM$199,1,FALSE)),AV2,"")</f>
        <v/>
      </c>
      <c r="BO2" s="7">
        <f ca="1">ROW()-COUNTBLANK(INDIRECT("$BN$2:BN"&amp;ROW()))</f>
        <v>1</v>
      </c>
      <c r="BP2" s="7">
        <f t="shared" ref="BP2:BP33" ca="1" si="14">IF(ISERROR(INDEX($BN$2:$BN$199,MATCH(ROW(),$BO$2:$BO$199,FALSE))),0,INDEX($BN$2:$BN$199,MATCH(ROW(),$BO$2:$BO$199,FALSE)))</f>
        <v>0</v>
      </c>
    </row>
    <row r="3" spans="1:68" s="371" customFormat="1" ht="15.75">
      <c r="A3" s="537" t="str">
        <f>IF(Asta!B7="","",Asta!B7)</f>
        <v>Squadra1</v>
      </c>
      <c r="B3" s="537"/>
      <c r="C3" s="537"/>
      <c r="D3" s="538" t="str">
        <f>IF(Asta!Z7="","",Asta!Z7)</f>
        <v>Squadra2</v>
      </c>
      <c r="E3" s="539"/>
      <c r="F3" s="537"/>
      <c r="G3" s="538" t="str">
        <f>IF(Asta!B8="","",Asta!B8)</f>
        <v>Squadra3</v>
      </c>
      <c r="H3" s="539"/>
      <c r="I3" s="537"/>
      <c r="J3" s="538" t="str">
        <f>IF(Asta!Z8="","",Asta!Z8)</f>
        <v>Squadra4</v>
      </c>
      <c r="K3" s="539"/>
      <c r="L3" s="537"/>
      <c r="M3" s="538" t="str">
        <f>IF(Asta!B9="","",Asta!B9)</f>
        <v>Squadra5</v>
      </c>
      <c r="N3" s="539"/>
      <c r="O3" s="537"/>
      <c r="P3" s="538" t="str">
        <f>IF(Asta!Z9="","",Asta!Z9)</f>
        <v>Squadra6</v>
      </c>
      <c r="Q3" s="539"/>
      <c r="R3" s="537"/>
      <c r="S3" s="538" t="str">
        <f>IF(Asta!B10="","",Asta!B10)</f>
        <v>Squadra7</v>
      </c>
      <c r="T3" s="539"/>
      <c r="U3" s="537"/>
      <c r="V3" s="538" t="str">
        <f>IF(Asta!Z10="","",Asta!Z10)</f>
        <v>Squadra8</v>
      </c>
      <c r="W3" s="539"/>
      <c r="X3" s="537"/>
      <c r="Y3" s="538" t="str">
        <f>IF(Asta!B11="","",Asta!B11)</f>
        <v>Squadra9</v>
      </c>
      <c r="Z3" s="539"/>
      <c r="AA3" s="537"/>
      <c r="AB3" s="538" t="str">
        <f>IF(Asta!Z11="","",Asta!Z11)</f>
        <v>Squadra10</v>
      </c>
      <c r="AC3" s="539"/>
      <c r="AD3" s="537"/>
      <c r="AE3" s="538" t="str">
        <f>IF(Asta!B12="","",Asta!B12)</f>
        <v>Squadra11</v>
      </c>
      <c r="AF3" s="539"/>
      <c r="AG3" s="537"/>
      <c r="AH3" s="538" t="str">
        <f>IF(Asta!Z12="","",Asta!Z12)</f>
        <v>Squadra12</v>
      </c>
      <c r="AI3" s="539"/>
      <c r="AJ3" s="537"/>
      <c r="AK3" s="3" t="str">
        <f>Asta!D3</f>
        <v>Squadra1</v>
      </c>
      <c r="AM3" s="372"/>
      <c r="AN3" s="373" t="str">
        <f ca="1">IF(Giocatori!E10=0,"",Giocatori!E10)</f>
        <v>BELEC</v>
      </c>
      <c r="AO3" s="372"/>
      <c r="AP3" s="373" t="str">
        <f ca="1">IF(Giocatori!H10=0,"",Giocatori!H10)</f>
        <v>ACERBI</v>
      </c>
      <c r="AQ3" s="372"/>
      <c r="AR3" s="373" t="str">
        <f ca="1">IF(Giocatori!K10=0,"",Giocatori!K10)</f>
        <v>ALLAN</v>
      </c>
      <c r="AS3" s="372"/>
      <c r="AT3" s="373" t="str">
        <f ca="1">IF(Giocatori!N10=0,"",Giocatori!N10)</f>
        <v>ANTENUCCI</v>
      </c>
      <c r="AU3" s="372"/>
      <c r="AV3" s="373" t="str">
        <f ca="1">IF(Giocatori!Q10=0,"",Giocatori!Q10)</f>
        <v/>
      </c>
      <c r="AW3" s="371" t="str">
        <f ca="1">IF(B6=0,"",B6)</f>
        <v/>
      </c>
      <c r="AX3" s="374" t="str">
        <f t="shared" ca="1" si="0"/>
        <v>BELEC</v>
      </c>
      <c r="AY3" s="375">
        <f t="shared" ca="1" si="1"/>
        <v>3</v>
      </c>
      <c r="AZ3" s="375" t="str">
        <f t="shared" ca="1" si="2"/>
        <v>BELEC</v>
      </c>
      <c r="BA3" s="371" t="str">
        <f t="shared" ca="1" si="3"/>
        <v/>
      </c>
      <c r="BB3" s="374" t="str">
        <f t="shared" ca="1" si="4"/>
        <v>ACERBI</v>
      </c>
      <c r="BC3" s="375">
        <f t="shared" ref="BC3:BC66" ca="1" si="15">ROW()-COUNTBLANK(INDIRECT("$BB$2:BB"&amp;ROW()))</f>
        <v>3</v>
      </c>
      <c r="BD3" s="375" t="str">
        <f t="shared" ca="1" si="5"/>
        <v>ACERBI</v>
      </c>
      <c r="BE3" s="371" t="str">
        <f t="shared" ca="1" si="6"/>
        <v/>
      </c>
      <c r="BF3" s="374" t="str">
        <f t="shared" ca="1" si="7"/>
        <v>ALLAN</v>
      </c>
      <c r="BG3" s="375">
        <f t="shared" ref="BG3:BG66" ca="1" si="16">ROW()-COUNTBLANK(INDIRECT("$BF$2:BF"&amp;ROW()))</f>
        <v>3</v>
      </c>
      <c r="BH3" s="375" t="str">
        <f t="shared" ca="1" si="8"/>
        <v>ALLAN</v>
      </c>
      <c r="BI3" s="371" t="str">
        <f t="shared" ca="1" si="9"/>
        <v/>
      </c>
      <c r="BJ3" s="374" t="str">
        <f t="shared" ca="1" si="10"/>
        <v>ANTENUCCI</v>
      </c>
      <c r="BK3" s="375">
        <f t="shared" ref="BK3:BK66" ca="1" si="17">ROW()-COUNTBLANK(INDIRECT("$BJ$2:BJ"&amp;ROW()))</f>
        <v>3</v>
      </c>
      <c r="BL3" s="375" t="str">
        <f t="shared" ca="1" si="11"/>
        <v>ANTENUCCI</v>
      </c>
      <c r="BM3" s="371" t="str">
        <f t="shared" ca="1" si="12"/>
        <v/>
      </c>
      <c r="BN3" s="374" t="str">
        <f t="shared" ca="1" si="13"/>
        <v/>
      </c>
      <c r="BO3" s="375">
        <f t="shared" ref="BO3:BO66" ca="1" si="18">ROW()-COUNTBLANK(INDIRECT("$BN$2:BN"&amp;ROW()))</f>
        <v>1</v>
      </c>
      <c r="BP3" s="375">
        <f t="shared" ca="1" si="14"/>
        <v>0</v>
      </c>
    </row>
    <row r="4" spans="1:68" ht="12.75" customHeight="1">
      <c r="A4" s="533" t="s">
        <v>36</v>
      </c>
      <c r="B4" s="533"/>
      <c r="C4" s="534"/>
      <c r="D4" s="534" t="s">
        <v>36</v>
      </c>
      <c r="E4" s="534"/>
      <c r="F4" s="534"/>
      <c r="G4" s="534" t="s">
        <v>36</v>
      </c>
      <c r="H4" s="534"/>
      <c r="I4" s="534"/>
      <c r="J4" s="535" t="s">
        <v>36</v>
      </c>
      <c r="K4" s="535"/>
      <c r="L4" s="535"/>
      <c r="M4" s="534" t="s">
        <v>36</v>
      </c>
      <c r="N4" s="534"/>
      <c r="O4" s="534"/>
      <c r="P4" s="534" t="s">
        <v>36</v>
      </c>
      <c r="Q4" s="534"/>
      <c r="R4" s="534"/>
      <c r="S4" s="534" t="s">
        <v>36</v>
      </c>
      <c r="T4" s="534"/>
      <c r="U4" s="534"/>
      <c r="V4" s="534" t="s">
        <v>36</v>
      </c>
      <c r="W4" s="534"/>
      <c r="X4" s="534"/>
      <c r="Y4" s="534" t="s">
        <v>36</v>
      </c>
      <c r="Z4" s="534"/>
      <c r="AA4" s="534"/>
      <c r="AB4" s="534" t="s">
        <v>36</v>
      </c>
      <c r="AC4" s="534"/>
      <c r="AD4" s="534"/>
      <c r="AE4" s="534" t="s">
        <v>36</v>
      </c>
      <c r="AF4" s="534"/>
      <c r="AG4" s="534"/>
      <c r="AH4" s="534" t="s">
        <v>36</v>
      </c>
      <c r="AI4" s="534"/>
      <c r="AJ4" s="534"/>
      <c r="AM4" s="221"/>
      <c r="AN4" s="231" t="str">
        <f ca="1">IF(Giocatori!E11=0,"",Giocatori!E11)</f>
        <v>BERISHA</v>
      </c>
      <c r="AO4" s="221"/>
      <c r="AP4" s="231" t="str">
        <f ca="1">IF(Giocatori!H11=0,"",Giocatori!H11)</f>
        <v>ADJAPONG</v>
      </c>
      <c r="AQ4" s="221"/>
      <c r="AR4" s="231" t="str">
        <f ca="1">IF(Giocatori!K11=0,"",Giocatori!K11)</f>
        <v>ALVAREZ R</v>
      </c>
      <c r="AS4" s="221"/>
      <c r="AT4" s="231" t="str">
        <f ca="1">IF(Giocatori!N11=0,"",Giocatori!N11)</f>
        <v>ARMENTEROS</v>
      </c>
      <c r="AU4" s="221"/>
      <c r="AV4" s="231" t="str">
        <f ca="1">IF(Giocatori!Q11=0,"",Giocatori!Q11)</f>
        <v/>
      </c>
      <c r="AW4" s="4" t="str">
        <f ca="1">IF(B7=0,"",B7)</f>
        <v/>
      </c>
      <c r="AX4" t="str">
        <f t="shared" ca="1" si="0"/>
        <v>BERISHA</v>
      </c>
      <c r="AY4" s="7">
        <f t="shared" ca="1" si="1"/>
        <v>4</v>
      </c>
      <c r="AZ4" s="7" t="str">
        <f t="shared" ca="1" si="2"/>
        <v>BERISHA</v>
      </c>
      <c r="BA4" s="4" t="str">
        <f t="shared" ca="1" si="3"/>
        <v/>
      </c>
      <c r="BB4" t="str">
        <f t="shared" ca="1" si="4"/>
        <v>ADJAPONG</v>
      </c>
      <c r="BC4" s="7">
        <f t="shared" ca="1" si="15"/>
        <v>4</v>
      </c>
      <c r="BD4" s="7" t="str">
        <f t="shared" ca="1" si="5"/>
        <v>ADJAPONG</v>
      </c>
      <c r="BE4" s="4" t="str">
        <f t="shared" ca="1" si="6"/>
        <v/>
      </c>
      <c r="BF4" t="str">
        <f t="shared" ca="1" si="7"/>
        <v>ALVAREZ R</v>
      </c>
      <c r="BG4" s="7">
        <f t="shared" ca="1" si="16"/>
        <v>4</v>
      </c>
      <c r="BH4" s="7" t="str">
        <f t="shared" ca="1" si="8"/>
        <v>ALVAREZ R</v>
      </c>
      <c r="BI4" s="4" t="str">
        <f t="shared" ca="1" si="9"/>
        <v/>
      </c>
      <c r="BJ4" t="str">
        <f t="shared" ca="1" si="10"/>
        <v>ARMENTEROS</v>
      </c>
      <c r="BK4" s="7">
        <f t="shared" ca="1" si="17"/>
        <v>4</v>
      </c>
      <c r="BL4" s="7" t="str">
        <f t="shared" ca="1" si="11"/>
        <v>ARMENTEROS</v>
      </c>
      <c r="BM4" s="4" t="str">
        <f t="shared" ca="1" si="12"/>
        <v/>
      </c>
      <c r="BN4" t="str">
        <f t="shared" ca="1" si="13"/>
        <v/>
      </c>
      <c r="BO4" s="7">
        <f t="shared" ca="1" si="18"/>
        <v>1</v>
      </c>
      <c r="BP4" s="7">
        <f t="shared" ca="1" si="14"/>
        <v>0</v>
      </c>
    </row>
    <row r="5" spans="1:68" ht="14.25">
      <c r="A5" s="8" t="str">
        <f>IF(Asta!$AB$3&lt;AK5,"","P")</f>
        <v>P</v>
      </c>
      <c r="B5" s="9" t="str">
        <f ca="1">IF(A5="","",IF(ISNA(MATCH(A$3&amp;A5&amp;$AK5,Asta!$I:$I,0)),"",INDIRECT("Asta!B"&amp;MATCH(A$3&amp;A5&amp;$AK5,Asta!$I:$I,0))))</f>
        <v/>
      </c>
      <c r="C5" s="10" t="str">
        <f ca="1">IF(B5="","",IF(ISNA(MATCH(A$3&amp;A5&amp;$AK5,Asta!$I:$I,0)),"",INDIRECT("Asta!H"&amp;MATCH(A$3&amp;A5&amp;$AK5,Asta!$I:$I,0))))</f>
        <v/>
      </c>
      <c r="D5" s="384" t="str">
        <f>A5</f>
        <v>P</v>
      </c>
      <c r="E5" s="9" t="str">
        <f ca="1">IF(D5="","",IF(ISNA(MATCH(D$3&amp;D5&amp;$AK5,Asta!$I:$I,0)),"",INDIRECT("Asta!B"&amp;MATCH(D$3&amp;D5&amp;$AK5,Asta!$I:$I,0))))</f>
        <v/>
      </c>
      <c r="F5" s="10" t="str">
        <f ca="1">IF(E5="","",IF(ISNA(MATCH(D$3&amp;D5&amp;$AK5,Asta!$I:$I,0)),"",INDIRECT("Asta!H"&amp;MATCH(D$3&amp;D5&amp;$AK5,Asta!$I:$I,0))))</f>
        <v/>
      </c>
      <c r="G5" s="384" t="str">
        <f>D5</f>
        <v>P</v>
      </c>
      <c r="H5" s="9" t="str">
        <f ca="1">IF(G5="","",IF(ISNA(MATCH(G$3&amp;G5&amp;$AK5,Asta!$I:$I,0)),"",INDIRECT("Asta!B"&amp;MATCH(G$3&amp;G5&amp;$AK5,Asta!$I:$I,0))))</f>
        <v/>
      </c>
      <c r="I5" s="10" t="str">
        <f ca="1">IF(H5="","",IF(ISNA(MATCH(G$3&amp;G5&amp;$AK5,Asta!$I:$I,0)),"",INDIRECT("Asta!H"&amp;MATCH(G$3&amp;G5&amp;$AK5,Asta!$I:$I,0))))</f>
        <v/>
      </c>
      <c r="J5" s="384" t="str">
        <f>G5</f>
        <v>P</v>
      </c>
      <c r="K5" s="9" t="str">
        <f ca="1">IF(J5="","",IF(ISNA(MATCH(J$3&amp;J5&amp;$AK5,Asta!$I:$I,0)),"",INDIRECT("Asta!B"&amp;MATCH(J$3&amp;J5&amp;$AK5,Asta!$I:$I,0))))</f>
        <v/>
      </c>
      <c r="L5" s="10" t="str">
        <f ca="1">IF(K5="","",IF(ISNA(MATCH(J$3&amp;J5&amp;$AK5,Asta!$I:$I,0)),"",INDIRECT("Asta!H"&amp;MATCH(J$3&amp;J5&amp;$AK5,Asta!$I:$I,0))))</f>
        <v/>
      </c>
      <c r="M5" s="384" t="str">
        <f>J5</f>
        <v>P</v>
      </c>
      <c r="N5" s="9" t="str">
        <f ca="1">IF(M5="","",IF(ISNA(MATCH(M$3&amp;M5&amp;$AK5,Asta!$I:$I,0)),"",INDIRECT("Asta!B"&amp;MATCH(M$3&amp;M5&amp;$AK5,Asta!$I:$I,0))))</f>
        <v/>
      </c>
      <c r="O5" s="10" t="str">
        <f ca="1">IF(N5="","",IF(ISNA(MATCH(M$3&amp;M5&amp;$AK5,Asta!$I:$I,0)),"",INDIRECT("Asta!H"&amp;MATCH(M$3&amp;M5&amp;$AK5,Asta!$I:$I,0))))</f>
        <v/>
      </c>
      <c r="P5" s="384" t="str">
        <f>M5</f>
        <v>P</v>
      </c>
      <c r="Q5" s="9" t="str">
        <f ca="1">IF(P5="","",IF(ISNA(MATCH(P$3&amp;P5&amp;$AK5,Asta!$I:$I,0)),"",INDIRECT("Asta!B"&amp;MATCH(P$3&amp;P5&amp;$AK5,Asta!$I:$I,0))))</f>
        <v/>
      </c>
      <c r="R5" s="10" t="str">
        <f ca="1">IF(Q5="","",IF(ISNA(MATCH(P$3&amp;P5&amp;$AK5,Asta!$I:$I,0)),"",INDIRECT("Asta!H"&amp;MATCH(P$3&amp;P5&amp;$AK5,Asta!$I:$I,0))))</f>
        <v/>
      </c>
      <c r="S5" s="384" t="str">
        <f>P5</f>
        <v>P</v>
      </c>
      <c r="T5" s="9" t="str">
        <f ca="1">IF(S5="","",IF(ISNA(MATCH(S$3&amp;S5&amp;$AK5,Asta!$I:$I,0)),"",INDIRECT("Asta!B"&amp;MATCH(S$3&amp;S5&amp;$AK5,Asta!$I:$I,0))))</f>
        <v/>
      </c>
      <c r="U5" s="10" t="str">
        <f ca="1">IF(T5="","",IF(ISNA(MATCH(S$3&amp;S5&amp;$AK5,Asta!$I:$I,0)),"",INDIRECT("Asta!H"&amp;MATCH(S$3&amp;S5&amp;$AK5,Asta!$I:$I,0))))</f>
        <v/>
      </c>
      <c r="V5" s="384" t="str">
        <f>S5</f>
        <v>P</v>
      </c>
      <c r="W5" s="9" t="str">
        <f ca="1">IF(V5="","",IF(ISNA(MATCH(V$3&amp;V5&amp;$AK5,Asta!$I:$I,0)),"",INDIRECT("Asta!B"&amp;MATCH(V$3&amp;V5&amp;$AK5,Asta!$I:$I,0))))</f>
        <v/>
      </c>
      <c r="X5" s="10" t="str">
        <f ca="1">IF(W5="","",IF(ISNA(MATCH(V$3&amp;V5&amp;$AK5,Asta!$I:$I,0)),"",INDIRECT("Asta!H"&amp;MATCH(V$3&amp;V5&amp;$AK5,Asta!$I:$I,0))))</f>
        <v/>
      </c>
      <c r="Y5" s="384" t="str">
        <f>V5</f>
        <v>P</v>
      </c>
      <c r="Z5" s="9" t="str">
        <f ca="1">IF(Y5="","",IF(ISNA(MATCH(Y$3&amp;Y5&amp;$AK5,Asta!$I:$I,0)),"",INDIRECT("Asta!B"&amp;MATCH(Y$3&amp;Y5&amp;$AK5,Asta!$I:$I,0))))</f>
        <v/>
      </c>
      <c r="AA5" s="10" t="str">
        <f ca="1">IF(Z5="","",IF(ISNA(MATCH(Y$3&amp;Y5&amp;$AK5,Asta!$I:$I,0)),"",INDIRECT("Asta!H"&amp;MATCH(Y$3&amp;Y5&amp;$AK5,Asta!$I:$I,0))))</f>
        <v/>
      </c>
      <c r="AB5" s="384" t="str">
        <f>Y5</f>
        <v>P</v>
      </c>
      <c r="AC5" s="9" t="str">
        <f ca="1">IF(AB5="","",IF(ISNA(MATCH(AB$3&amp;AB5&amp;$AK5,Asta!$I:$I,0)),"",INDIRECT("Asta!B"&amp;MATCH(AB$3&amp;AB5&amp;$AK5,Asta!$I:$I,0))))</f>
        <v/>
      </c>
      <c r="AD5" s="10" t="str">
        <f ca="1">IF(AC5="","",IF(ISNA(MATCH(AB$3&amp;AB5&amp;$AK5,Asta!$I:$I,0)),"",INDIRECT("Asta!H"&amp;MATCH(AB$3&amp;AB5&amp;$AK5,Asta!$I:$I,0))))</f>
        <v/>
      </c>
      <c r="AE5" s="384" t="str">
        <f>AB5</f>
        <v>P</v>
      </c>
      <c r="AF5" s="9" t="str">
        <f ca="1">IF(AE5="","",IF(ISNA(MATCH(AE$3&amp;AE5&amp;$AK5,Asta!$I:$I,0)),"",INDIRECT("Asta!B"&amp;MATCH(AE$3&amp;AE5&amp;$AK5,Asta!$I:$I,0))))</f>
        <v/>
      </c>
      <c r="AG5" s="10" t="str">
        <f ca="1">IF(AF5="","",IF(ISNA(MATCH(AE$3&amp;AE5&amp;$AK5,Asta!$I:$I,0)),"",INDIRECT("Asta!H"&amp;MATCH(AE$3&amp;AE5&amp;$AK5,Asta!$I:$I,0))))</f>
        <v/>
      </c>
      <c r="AH5" s="384" t="str">
        <f>AE5</f>
        <v>P</v>
      </c>
      <c r="AI5" s="9" t="str">
        <f ca="1">IF(AH5="","",IF(ISNA(MATCH(AH$3&amp;AH5&amp;$AK5,Asta!$I:$I,0)),"",INDIRECT("Asta!B"&amp;MATCH(AH$3&amp;AH5&amp;$AK5,Asta!$I:$I,0))))</f>
        <v/>
      </c>
      <c r="AJ5" s="10" t="str">
        <f ca="1">IF(AI5="","",IF(ISNA(MATCH(AH$3&amp;AH5&amp;$AK5,Asta!$I:$I,0)),"",INDIRECT("Asta!H"&amp;MATCH(AH$3&amp;AH5&amp;$AK5,Asta!$I:$I,0))))</f>
        <v/>
      </c>
      <c r="AK5" s="4">
        <v>1</v>
      </c>
      <c r="AM5" s="221"/>
      <c r="AN5" s="231" t="str">
        <f ca="1">IF(Giocatori!E12=0,"",Giocatori!E12)</f>
        <v>BERNI</v>
      </c>
      <c r="AO5" s="221"/>
      <c r="AP5" s="231" t="str">
        <f ca="1">IF(Giocatori!H12=0,"",Giocatori!H12)</f>
        <v>ADNAN</v>
      </c>
      <c r="AQ5" s="221"/>
      <c r="AR5" s="231" t="str">
        <f ca="1">IF(Giocatori!K12=0,"",Giocatori!K12)</f>
        <v>BADELJ</v>
      </c>
      <c r="AS5" s="221"/>
      <c r="AT5" s="231" t="str">
        <f ca="1">IF(Giocatori!N12=0,"",Giocatori!N12)</f>
        <v>BABACAR</v>
      </c>
      <c r="AU5" s="221"/>
      <c r="AV5" s="231" t="str">
        <f ca="1">IF(Giocatori!Q12=0,"",Giocatori!Q12)</f>
        <v/>
      </c>
      <c r="AW5" s="4" t="str">
        <f ca="1">IF(E5=0,"",E5)</f>
        <v/>
      </c>
      <c r="AX5" t="str">
        <f t="shared" ca="1" si="0"/>
        <v>BERNI</v>
      </c>
      <c r="AY5" s="7">
        <f t="shared" ca="1" si="1"/>
        <v>5</v>
      </c>
      <c r="AZ5" s="7" t="str">
        <f t="shared" ca="1" si="2"/>
        <v>BERNI</v>
      </c>
      <c r="BA5" s="4" t="str">
        <f t="shared" ca="1" si="3"/>
        <v/>
      </c>
      <c r="BB5" t="str">
        <f t="shared" ca="1" si="4"/>
        <v>ADNAN</v>
      </c>
      <c r="BC5" s="7">
        <f t="shared" ca="1" si="15"/>
        <v>5</v>
      </c>
      <c r="BD5" s="7" t="str">
        <f t="shared" ca="1" si="5"/>
        <v>ADNAN</v>
      </c>
      <c r="BE5" s="4" t="str">
        <f t="shared" ca="1" si="6"/>
        <v/>
      </c>
      <c r="BF5" t="str">
        <f t="shared" ca="1" si="7"/>
        <v>BADELJ</v>
      </c>
      <c r="BG5" s="7">
        <f t="shared" ca="1" si="16"/>
        <v>5</v>
      </c>
      <c r="BH5" s="7" t="str">
        <f t="shared" ca="1" si="8"/>
        <v>BADELJ</v>
      </c>
      <c r="BI5" s="4" t="str">
        <f t="shared" ca="1" si="9"/>
        <v/>
      </c>
      <c r="BJ5" t="str">
        <f t="shared" ca="1" si="10"/>
        <v>BABACAR</v>
      </c>
      <c r="BK5" s="7">
        <f t="shared" ca="1" si="17"/>
        <v>5</v>
      </c>
      <c r="BL5" s="7" t="str">
        <f t="shared" ca="1" si="11"/>
        <v>BABACAR</v>
      </c>
      <c r="BM5" s="4" t="str">
        <f t="shared" ca="1" si="12"/>
        <v/>
      </c>
      <c r="BN5" t="str">
        <f t="shared" ca="1" si="13"/>
        <v/>
      </c>
      <c r="BO5" s="7">
        <f t="shared" ca="1" si="18"/>
        <v>1</v>
      </c>
      <c r="BP5" s="7">
        <f t="shared" ca="1" si="14"/>
        <v>0</v>
      </c>
    </row>
    <row r="6" spans="1:68" ht="12.75" customHeight="1">
      <c r="A6" s="8" t="str">
        <f>IF(Asta!$AB$3&lt;AK6,"","P")</f>
        <v>P</v>
      </c>
      <c r="B6" s="9" t="str">
        <f ca="1">IF(A6="","",IF(ISNA(MATCH(A$3&amp;A6&amp;$AK6,Asta!$I:$I,0)),"",INDIRECT("Asta!B"&amp;MATCH(A$3&amp;A6&amp;$AK6,Asta!$I:$I,0))))</f>
        <v/>
      </c>
      <c r="C6" s="10" t="str">
        <f ca="1">IF(B6="","",IF(ISNA(MATCH(A$3&amp;A6&amp;$AK6,Asta!$I:$I,0)),"",INDIRECT("Asta!H"&amp;MATCH(A$3&amp;A6&amp;$AK6,Asta!$I:$I,0))))</f>
        <v/>
      </c>
      <c r="D6" s="384" t="str">
        <f>A6</f>
        <v>P</v>
      </c>
      <c r="E6" s="9" t="str">
        <f ca="1">IF(D6="","",IF(ISNA(MATCH(D$3&amp;D6&amp;$AK6,Asta!$I:$I,0)),"",INDIRECT("Asta!B"&amp;MATCH(D$3&amp;D6&amp;$AK6,Asta!$I:$I,0))))</f>
        <v/>
      </c>
      <c r="F6" s="10" t="str">
        <f ca="1">IF(E6="","",IF(ISNA(MATCH(D$3&amp;D6&amp;$AK6,Asta!$I:$I,0)),"",INDIRECT("Asta!H"&amp;MATCH(D$3&amp;D6&amp;$AK6,Asta!$I:$I,0))))</f>
        <v/>
      </c>
      <c r="G6" s="384" t="str">
        <f>D6</f>
        <v>P</v>
      </c>
      <c r="H6" s="9" t="str">
        <f ca="1">IF(G6="","",IF(ISNA(MATCH(G$3&amp;G6&amp;$AK6,Asta!$I:$I,0)),"",INDIRECT("Asta!B"&amp;MATCH(G$3&amp;G6&amp;$AK6,Asta!$I:$I,0))))</f>
        <v/>
      </c>
      <c r="I6" s="10" t="str">
        <f ca="1">IF(H6="","",IF(ISNA(MATCH(G$3&amp;G6&amp;$AK6,Asta!$I:$I,0)),"",INDIRECT("Asta!H"&amp;MATCH(G$3&amp;G6&amp;$AK6,Asta!$I:$I,0))))</f>
        <v/>
      </c>
      <c r="J6" s="384" t="str">
        <f>G6</f>
        <v>P</v>
      </c>
      <c r="K6" s="9" t="str">
        <f ca="1">IF(J6="","",IF(ISNA(MATCH(J$3&amp;J6&amp;$AK6,Asta!$I:$I,0)),"",INDIRECT("Asta!B"&amp;MATCH(J$3&amp;J6&amp;$AK6,Asta!$I:$I,0))))</f>
        <v/>
      </c>
      <c r="L6" s="10" t="str">
        <f ca="1">IF(K6="","",IF(ISNA(MATCH(J$3&amp;J6&amp;$AK6,Asta!$I:$I,0)),"",INDIRECT("Asta!H"&amp;MATCH(J$3&amp;J6&amp;$AK6,Asta!$I:$I,0))))</f>
        <v/>
      </c>
      <c r="M6" s="384" t="str">
        <f>J6</f>
        <v>P</v>
      </c>
      <c r="N6" s="9" t="str">
        <f ca="1">IF(M6="","",IF(ISNA(MATCH(M$3&amp;M6&amp;$AK6,Asta!$I:$I,0)),"",INDIRECT("Asta!B"&amp;MATCH(M$3&amp;M6&amp;$AK6,Asta!$I:$I,0))))</f>
        <v/>
      </c>
      <c r="O6" s="10" t="str">
        <f ca="1">IF(N6="","",IF(ISNA(MATCH(M$3&amp;M6&amp;$AK6,Asta!$I:$I,0)),"",INDIRECT("Asta!H"&amp;MATCH(M$3&amp;M6&amp;$AK6,Asta!$I:$I,0))))</f>
        <v/>
      </c>
      <c r="P6" s="384" t="str">
        <f>M6</f>
        <v>P</v>
      </c>
      <c r="Q6" s="9" t="str">
        <f ca="1">IF(P6="","",IF(ISNA(MATCH(P$3&amp;P6&amp;$AK6,Asta!$I:$I,0)),"",INDIRECT("Asta!B"&amp;MATCH(P$3&amp;P6&amp;$AK6,Asta!$I:$I,0))))</f>
        <v/>
      </c>
      <c r="R6" s="10" t="str">
        <f ca="1">IF(Q6="","",IF(ISNA(MATCH(P$3&amp;P6&amp;$AK6,Asta!$I:$I,0)),"",INDIRECT("Asta!H"&amp;MATCH(P$3&amp;P6&amp;$AK6,Asta!$I:$I,0))))</f>
        <v/>
      </c>
      <c r="S6" s="384" t="str">
        <f>P6</f>
        <v>P</v>
      </c>
      <c r="T6" s="9" t="str">
        <f ca="1">IF(S6="","",IF(ISNA(MATCH(S$3&amp;S6&amp;$AK6,Asta!$I:$I,0)),"",INDIRECT("Asta!B"&amp;MATCH(S$3&amp;S6&amp;$AK6,Asta!$I:$I,0))))</f>
        <v/>
      </c>
      <c r="U6" s="10" t="str">
        <f ca="1">IF(T6="","",IF(ISNA(MATCH(S$3&amp;S6&amp;$AK6,Asta!$I:$I,0)),"",INDIRECT("Asta!H"&amp;MATCH(S$3&amp;S6&amp;$AK6,Asta!$I:$I,0))))</f>
        <v/>
      </c>
      <c r="V6" s="384" t="str">
        <f>S6</f>
        <v>P</v>
      </c>
      <c r="W6" s="9" t="str">
        <f ca="1">IF(V6="","",IF(ISNA(MATCH(V$3&amp;V6&amp;$AK6,Asta!$I:$I,0)),"",INDIRECT("Asta!B"&amp;MATCH(V$3&amp;V6&amp;$AK6,Asta!$I:$I,0))))</f>
        <v/>
      </c>
      <c r="X6" s="10" t="str">
        <f ca="1">IF(W6="","",IF(ISNA(MATCH(V$3&amp;V6&amp;$AK6,Asta!$I:$I,0)),"",INDIRECT("Asta!H"&amp;MATCH(V$3&amp;V6&amp;$AK6,Asta!$I:$I,0))))</f>
        <v/>
      </c>
      <c r="Y6" s="384" t="str">
        <f>V6</f>
        <v>P</v>
      </c>
      <c r="Z6" s="9" t="str">
        <f ca="1">IF(Y6="","",IF(ISNA(MATCH(Y$3&amp;Y6&amp;$AK6,Asta!$I:$I,0)),"",INDIRECT("Asta!B"&amp;MATCH(Y$3&amp;Y6&amp;$AK6,Asta!$I:$I,0))))</f>
        <v/>
      </c>
      <c r="AA6" s="10" t="str">
        <f ca="1">IF(Z6="","",IF(ISNA(MATCH(Y$3&amp;Y6&amp;$AK6,Asta!$I:$I,0)),"",INDIRECT("Asta!H"&amp;MATCH(Y$3&amp;Y6&amp;$AK6,Asta!$I:$I,0))))</f>
        <v/>
      </c>
      <c r="AB6" s="384" t="str">
        <f>Y6</f>
        <v>P</v>
      </c>
      <c r="AC6" s="9" t="str">
        <f ca="1">IF(AB6="","",IF(ISNA(MATCH(AB$3&amp;AB6&amp;$AK6,Asta!$I:$I,0)),"",INDIRECT("Asta!B"&amp;MATCH(AB$3&amp;AB6&amp;$AK6,Asta!$I:$I,0))))</f>
        <v/>
      </c>
      <c r="AD6" s="10" t="str">
        <f ca="1">IF(AC6="","",IF(ISNA(MATCH(AB$3&amp;AB6&amp;$AK6,Asta!$I:$I,0)),"",INDIRECT("Asta!H"&amp;MATCH(AB$3&amp;AB6&amp;$AK6,Asta!$I:$I,0))))</f>
        <v/>
      </c>
      <c r="AE6" s="384" t="str">
        <f>AB6</f>
        <v>P</v>
      </c>
      <c r="AF6" s="9" t="str">
        <f ca="1">IF(AE6="","",IF(ISNA(MATCH(AE$3&amp;AE6&amp;$AK6,Asta!$I:$I,0)),"",INDIRECT("Asta!B"&amp;MATCH(AE$3&amp;AE6&amp;$AK6,Asta!$I:$I,0))))</f>
        <v/>
      </c>
      <c r="AG6" s="10" t="str">
        <f ca="1">IF(AF6="","",IF(ISNA(MATCH(AE$3&amp;AE6&amp;$AK6,Asta!$I:$I,0)),"",INDIRECT("Asta!H"&amp;MATCH(AE$3&amp;AE6&amp;$AK6,Asta!$I:$I,0))))</f>
        <v/>
      </c>
      <c r="AH6" s="384" t="str">
        <f>AE6</f>
        <v>P</v>
      </c>
      <c r="AI6" s="9" t="str">
        <f ca="1">IF(AH6="","",IF(ISNA(MATCH(AH$3&amp;AH6&amp;$AK6,Asta!$I:$I,0)),"",INDIRECT("Asta!B"&amp;MATCH(AH$3&amp;AH6&amp;$AK6,Asta!$I:$I,0))))</f>
        <v/>
      </c>
      <c r="AJ6" s="10" t="str">
        <f ca="1">IF(AI6="","",IF(ISNA(MATCH(AH$3&amp;AH6&amp;$AK6,Asta!$I:$I,0)),"",INDIRECT("Asta!H"&amp;MATCH(AH$3&amp;AH6&amp;$AK6,Asta!$I:$I,0))))</f>
        <v/>
      </c>
      <c r="AK6" s="4">
        <v>2</v>
      </c>
      <c r="AM6" s="221"/>
      <c r="AN6" s="231" t="str">
        <f ca="1">IF(Giocatori!E13=0,"",Giocatori!E13)</f>
        <v>BIZZARRI</v>
      </c>
      <c r="AO6" s="221"/>
      <c r="AP6" s="231" t="str">
        <f ca="1">IF(Giocatori!H13=0,"",Giocatori!H13)</f>
        <v>AJETI</v>
      </c>
      <c r="AQ6" s="221"/>
      <c r="AR6" s="231" t="str">
        <f ca="1">IF(Giocatori!K13=0,"",Giocatori!K13)</f>
        <v>BALIC</v>
      </c>
      <c r="AS6" s="221"/>
      <c r="AT6" s="231" t="str">
        <f ca="1">IF(Giocatori!N13=0,"",Giocatori!N13)</f>
        <v>BAJIC</v>
      </c>
      <c r="AU6" s="221"/>
      <c r="AV6" s="231" t="str">
        <f ca="1">IF(Giocatori!Q13=0,"",Giocatori!Q13)</f>
        <v/>
      </c>
      <c r="AW6" s="4" t="str">
        <f ca="1">IF(E6=0,"",E6)</f>
        <v/>
      </c>
      <c r="AX6" t="str">
        <f t="shared" ca="1" si="0"/>
        <v>BIZZARRI</v>
      </c>
      <c r="AY6" s="7">
        <f t="shared" ca="1" si="1"/>
        <v>6</v>
      </c>
      <c r="AZ6" s="7" t="str">
        <f t="shared" ca="1" si="2"/>
        <v>BIZZARRI</v>
      </c>
      <c r="BA6" s="4" t="str">
        <f t="shared" ca="1" si="3"/>
        <v/>
      </c>
      <c r="BB6" t="str">
        <f t="shared" ca="1" si="4"/>
        <v>AJETI</v>
      </c>
      <c r="BC6" s="7">
        <f t="shared" ca="1" si="15"/>
        <v>6</v>
      </c>
      <c r="BD6" s="7" t="str">
        <f t="shared" ca="1" si="5"/>
        <v>AJETI</v>
      </c>
      <c r="BE6" s="4" t="str">
        <f t="shared" ca="1" si="6"/>
        <v/>
      </c>
      <c r="BF6" t="str">
        <f t="shared" ca="1" si="7"/>
        <v>BALIC</v>
      </c>
      <c r="BG6" s="7">
        <f t="shared" ca="1" si="16"/>
        <v>6</v>
      </c>
      <c r="BH6" s="7" t="str">
        <f t="shared" ca="1" si="8"/>
        <v>BALIC</v>
      </c>
      <c r="BI6" s="4" t="str">
        <f t="shared" ca="1" si="9"/>
        <v/>
      </c>
      <c r="BJ6" t="str">
        <f t="shared" ca="1" si="10"/>
        <v>BAJIC</v>
      </c>
      <c r="BK6" s="7">
        <f t="shared" ca="1" si="17"/>
        <v>6</v>
      </c>
      <c r="BL6" s="7" t="str">
        <f t="shared" ca="1" si="11"/>
        <v>BAJIC</v>
      </c>
      <c r="BM6" s="4" t="str">
        <f t="shared" ca="1" si="12"/>
        <v/>
      </c>
      <c r="BN6" t="str">
        <f t="shared" ca="1" si="13"/>
        <v/>
      </c>
      <c r="BO6" s="7">
        <f t="shared" ca="1" si="18"/>
        <v>1</v>
      </c>
      <c r="BP6" s="7">
        <f t="shared" ca="1" si="14"/>
        <v>0</v>
      </c>
    </row>
    <row r="7" spans="1:68" ht="14.25">
      <c r="A7" s="8" t="str">
        <f>IF(Asta!$AB$3&lt;AK7,"","P")</f>
        <v>P</v>
      </c>
      <c r="B7" s="9" t="str">
        <f ca="1">IF(A7="","",IF(ISNA(MATCH(A$3&amp;A7&amp;$AK7,Asta!$I:$I,0)),"",INDIRECT("Asta!B"&amp;MATCH(A$3&amp;A7&amp;$AK7,Asta!$I:$I,0))))</f>
        <v/>
      </c>
      <c r="C7" s="10" t="str">
        <f ca="1">IF(B7="","",IF(ISNA(MATCH(A$3&amp;A7&amp;$AK7,Asta!$I:$I,0)),"",INDIRECT("Asta!H"&amp;MATCH(A$3&amp;A7&amp;$AK7,Asta!$I:$I,0))))</f>
        <v/>
      </c>
      <c r="D7" s="384" t="str">
        <f>A7</f>
        <v>P</v>
      </c>
      <c r="E7" s="9" t="str">
        <f ca="1">IF(D7="","",IF(ISNA(MATCH(D$3&amp;D7&amp;$AK7,Asta!$I:$I,0)),"",INDIRECT("Asta!B"&amp;MATCH(D$3&amp;D7&amp;$AK7,Asta!$I:$I,0))))</f>
        <v/>
      </c>
      <c r="F7" s="10" t="str">
        <f ca="1">IF(E7="","",IF(ISNA(MATCH(D$3&amp;D7&amp;$AK7,Asta!$I:$I,0)),"",INDIRECT("Asta!H"&amp;MATCH(D$3&amp;D7&amp;$AK7,Asta!$I:$I,0))))</f>
        <v/>
      </c>
      <c r="G7" s="384" t="str">
        <f>D7</f>
        <v>P</v>
      </c>
      <c r="H7" s="9" t="str">
        <f ca="1">IF(G7="","",IF(ISNA(MATCH(G$3&amp;G7&amp;$AK7,Asta!$I:$I,0)),"",INDIRECT("Asta!B"&amp;MATCH(G$3&amp;G7&amp;$AK7,Asta!$I:$I,0))))</f>
        <v/>
      </c>
      <c r="I7" s="10" t="str">
        <f ca="1">IF(H7="","",IF(ISNA(MATCH(G$3&amp;G7&amp;$AK7,Asta!$I:$I,0)),"",INDIRECT("Asta!H"&amp;MATCH(G$3&amp;G7&amp;$AK7,Asta!$I:$I,0))))</f>
        <v/>
      </c>
      <c r="J7" s="384" t="str">
        <f>G7</f>
        <v>P</v>
      </c>
      <c r="K7" s="9" t="str">
        <f ca="1">IF(J7="","",IF(ISNA(MATCH(J$3&amp;J7&amp;$AK7,Asta!$I:$I,0)),"",INDIRECT("Asta!B"&amp;MATCH(J$3&amp;J7&amp;$AK7,Asta!$I:$I,0))))</f>
        <v/>
      </c>
      <c r="L7" s="10" t="str">
        <f ca="1">IF(K7="","",IF(ISNA(MATCH(J$3&amp;J7&amp;$AK7,Asta!$I:$I,0)),"",INDIRECT("Asta!H"&amp;MATCH(J$3&amp;J7&amp;$AK7,Asta!$I:$I,0))))</f>
        <v/>
      </c>
      <c r="M7" s="384" t="str">
        <f>J7</f>
        <v>P</v>
      </c>
      <c r="N7" s="9" t="str">
        <f ca="1">IF(M7="","",IF(ISNA(MATCH(M$3&amp;M7&amp;$AK7,Asta!$I:$I,0)),"",INDIRECT("Asta!B"&amp;MATCH(M$3&amp;M7&amp;$AK7,Asta!$I:$I,0))))</f>
        <v/>
      </c>
      <c r="O7" s="10" t="str">
        <f ca="1">IF(N7="","",IF(ISNA(MATCH(M$3&amp;M7&amp;$AK7,Asta!$I:$I,0)),"",INDIRECT("Asta!H"&amp;MATCH(M$3&amp;M7&amp;$AK7,Asta!$I:$I,0))))</f>
        <v/>
      </c>
      <c r="P7" s="384" t="str">
        <f>M7</f>
        <v>P</v>
      </c>
      <c r="Q7" s="9" t="str">
        <f ca="1">IF(P7="","",IF(ISNA(MATCH(P$3&amp;P7&amp;$AK7,Asta!$I:$I,0)),"",INDIRECT("Asta!B"&amp;MATCH(P$3&amp;P7&amp;$AK7,Asta!$I:$I,0))))</f>
        <v/>
      </c>
      <c r="R7" s="10" t="str">
        <f ca="1">IF(Q7="","",IF(ISNA(MATCH(P$3&amp;P7&amp;$AK7,Asta!$I:$I,0)),"",INDIRECT("Asta!H"&amp;MATCH(P$3&amp;P7&amp;$AK7,Asta!$I:$I,0))))</f>
        <v/>
      </c>
      <c r="S7" s="384" t="str">
        <f>P7</f>
        <v>P</v>
      </c>
      <c r="T7" s="9" t="str">
        <f ca="1">IF(S7="","",IF(ISNA(MATCH(S$3&amp;S7&amp;$AK7,Asta!$I:$I,0)),"",INDIRECT("Asta!B"&amp;MATCH(S$3&amp;S7&amp;$AK7,Asta!$I:$I,0))))</f>
        <v/>
      </c>
      <c r="U7" s="10" t="str">
        <f ca="1">IF(T7="","",IF(ISNA(MATCH(S$3&amp;S7&amp;$AK7,Asta!$I:$I,0)),"",INDIRECT("Asta!H"&amp;MATCH(S$3&amp;S7&amp;$AK7,Asta!$I:$I,0))))</f>
        <v/>
      </c>
      <c r="V7" s="384" t="str">
        <f>S7</f>
        <v>P</v>
      </c>
      <c r="W7" s="9" t="str">
        <f ca="1">IF(V7="","",IF(ISNA(MATCH(V$3&amp;V7&amp;$AK7,Asta!$I:$I,0)),"",INDIRECT("Asta!B"&amp;MATCH(V$3&amp;V7&amp;$AK7,Asta!$I:$I,0))))</f>
        <v/>
      </c>
      <c r="X7" s="10" t="str">
        <f ca="1">IF(W7="","",IF(ISNA(MATCH(V$3&amp;V7&amp;$AK7,Asta!$I:$I,0)),"",INDIRECT("Asta!H"&amp;MATCH(V$3&amp;V7&amp;$AK7,Asta!$I:$I,0))))</f>
        <v/>
      </c>
      <c r="Y7" s="384" t="str">
        <f>V7</f>
        <v>P</v>
      </c>
      <c r="Z7" s="9" t="str">
        <f ca="1">IF(Y7="","",IF(ISNA(MATCH(Y$3&amp;Y7&amp;$AK7,Asta!$I:$I,0)),"",INDIRECT("Asta!B"&amp;MATCH(Y$3&amp;Y7&amp;$AK7,Asta!$I:$I,0))))</f>
        <v/>
      </c>
      <c r="AA7" s="10" t="str">
        <f ca="1">IF(Z7="","",IF(ISNA(MATCH(Y$3&amp;Y7&amp;$AK7,Asta!$I:$I,0)),"",INDIRECT("Asta!H"&amp;MATCH(Y$3&amp;Y7&amp;$AK7,Asta!$I:$I,0))))</f>
        <v/>
      </c>
      <c r="AB7" s="384" t="str">
        <f>Y7</f>
        <v>P</v>
      </c>
      <c r="AC7" s="9" t="str">
        <f ca="1">IF(AB7="","",IF(ISNA(MATCH(AB$3&amp;AB7&amp;$AK7,Asta!$I:$I,0)),"",INDIRECT("Asta!B"&amp;MATCH(AB$3&amp;AB7&amp;$AK7,Asta!$I:$I,0))))</f>
        <v/>
      </c>
      <c r="AD7" s="10" t="str">
        <f ca="1">IF(AC7="","",IF(ISNA(MATCH(AB$3&amp;AB7&amp;$AK7,Asta!$I:$I,0)),"",INDIRECT("Asta!H"&amp;MATCH(AB$3&amp;AB7&amp;$AK7,Asta!$I:$I,0))))</f>
        <v/>
      </c>
      <c r="AE7" s="384" t="str">
        <f>AB7</f>
        <v>P</v>
      </c>
      <c r="AF7" s="9" t="str">
        <f ca="1">IF(AE7="","",IF(ISNA(MATCH(AE$3&amp;AE7&amp;$AK7,Asta!$I:$I,0)),"",INDIRECT("Asta!B"&amp;MATCH(AE$3&amp;AE7&amp;$AK7,Asta!$I:$I,0))))</f>
        <v/>
      </c>
      <c r="AG7" s="10" t="str">
        <f ca="1">IF(AF7="","",IF(ISNA(MATCH(AE$3&amp;AE7&amp;$AK7,Asta!$I:$I,0)),"",INDIRECT("Asta!H"&amp;MATCH(AE$3&amp;AE7&amp;$AK7,Asta!$I:$I,0))))</f>
        <v/>
      </c>
      <c r="AH7" s="384" t="str">
        <f>AE7</f>
        <v>P</v>
      </c>
      <c r="AI7" s="9" t="str">
        <f ca="1">IF(AH7="","",IF(ISNA(MATCH(AH$3&amp;AH7&amp;$AK7,Asta!$I:$I,0)),"",INDIRECT("Asta!B"&amp;MATCH(AH$3&amp;AH7&amp;$AK7,Asta!$I:$I,0))))</f>
        <v/>
      </c>
      <c r="AJ7" s="10" t="str">
        <f ca="1">IF(AI7="","",IF(ISNA(MATCH(AH$3&amp;AH7&amp;$AK7,Asta!$I:$I,0)),"",INDIRECT("Asta!H"&amp;MATCH(AH$3&amp;AH7&amp;$AK7,Asta!$I:$I,0))))</f>
        <v/>
      </c>
      <c r="AK7" s="4">
        <v>3</v>
      </c>
      <c r="AM7" s="221"/>
      <c r="AN7" s="231" t="str">
        <f ca="1">IF(Giocatori!E14=0,"",Giocatori!E14)</f>
        <v>BRIGNOLI</v>
      </c>
      <c r="AO7" s="221"/>
      <c r="AP7" s="231" t="str">
        <f ca="1">IF(Giocatori!H14=0,"",Giocatori!H14)</f>
        <v>ALBERTAZZI</v>
      </c>
      <c r="AQ7" s="221"/>
      <c r="AR7" s="231" t="str">
        <f ca="1">IF(Giocatori!K14=0,"",Giocatori!K14)</f>
        <v>BARAK</v>
      </c>
      <c r="AS7" s="221"/>
      <c r="AT7" s="231" t="str">
        <f ca="1">IF(Giocatori!N14=0,"",Giocatori!N14)</f>
        <v>BELOTTI</v>
      </c>
      <c r="AU7" s="221"/>
      <c r="AV7" s="231" t="str">
        <f ca="1">IF(Giocatori!Q14=0,"",Giocatori!Q14)</f>
        <v/>
      </c>
      <c r="AW7" s="4" t="str">
        <f ca="1">IF(E7=0,"",E7)</f>
        <v/>
      </c>
      <c r="AX7" t="str">
        <f t="shared" ca="1" si="0"/>
        <v>BRIGNOLI</v>
      </c>
      <c r="AY7" s="7">
        <f t="shared" ca="1" si="1"/>
        <v>7</v>
      </c>
      <c r="AZ7" s="7" t="str">
        <f t="shared" ca="1" si="2"/>
        <v>BRIGNOLI</v>
      </c>
      <c r="BA7" s="4" t="str">
        <f t="shared" ca="1" si="3"/>
        <v/>
      </c>
      <c r="BB7" t="str">
        <f t="shared" ca="1" si="4"/>
        <v>ALBERTAZZI</v>
      </c>
      <c r="BC7" s="7">
        <f t="shared" ca="1" si="15"/>
        <v>7</v>
      </c>
      <c r="BD7" s="7" t="str">
        <f t="shared" ca="1" si="5"/>
        <v>ALBERTAZZI</v>
      </c>
      <c r="BE7" s="4" t="str">
        <f t="shared" ca="1" si="6"/>
        <v/>
      </c>
      <c r="BF7" t="str">
        <f t="shared" ca="1" si="7"/>
        <v>BARAK</v>
      </c>
      <c r="BG7" s="7">
        <f t="shared" ca="1" si="16"/>
        <v>7</v>
      </c>
      <c r="BH7" s="7" t="str">
        <f t="shared" ca="1" si="8"/>
        <v>BARAK</v>
      </c>
      <c r="BI7" s="4" t="str">
        <f t="shared" ca="1" si="9"/>
        <v/>
      </c>
      <c r="BJ7" t="str">
        <f t="shared" ca="1" si="10"/>
        <v>BELOTTI</v>
      </c>
      <c r="BK7" s="7">
        <f t="shared" ca="1" si="17"/>
        <v>7</v>
      </c>
      <c r="BL7" s="7" t="str">
        <f t="shared" ca="1" si="11"/>
        <v>BELOTTI</v>
      </c>
      <c r="BM7" s="4" t="str">
        <f t="shared" ca="1" si="12"/>
        <v/>
      </c>
      <c r="BN7" t="str">
        <f t="shared" ca="1" si="13"/>
        <v/>
      </c>
      <c r="BO7" s="7">
        <f t="shared" ca="1" si="18"/>
        <v>1</v>
      </c>
      <c r="BP7" s="7">
        <f t="shared" ca="1" si="14"/>
        <v>0</v>
      </c>
    </row>
    <row r="8" spans="1:68" ht="14.25">
      <c r="A8" s="12"/>
      <c r="B8" s="13" t="s">
        <v>628</v>
      </c>
      <c r="C8" s="14">
        <f ca="1">SUM(C5:C7)</f>
        <v>0</v>
      </c>
      <c r="D8" s="12"/>
      <c r="E8" s="13" t="s">
        <v>628</v>
      </c>
      <c r="F8" s="14">
        <f ca="1">SUM(F5:F7)</f>
        <v>0</v>
      </c>
      <c r="G8" s="12"/>
      <c r="H8" s="13" t="s">
        <v>628</v>
      </c>
      <c r="I8" s="14">
        <f ca="1">SUM(I5:I7)</f>
        <v>0</v>
      </c>
      <c r="J8" s="12"/>
      <c r="K8" s="13" t="s">
        <v>628</v>
      </c>
      <c r="L8" s="14">
        <f ca="1">SUM(L5:L7)</f>
        <v>0</v>
      </c>
      <c r="M8" s="12"/>
      <c r="N8" s="13" t="s">
        <v>628</v>
      </c>
      <c r="O8" s="14">
        <f ca="1">SUM(O5:O7)</f>
        <v>0</v>
      </c>
      <c r="P8" s="12"/>
      <c r="Q8" s="13" t="s">
        <v>628</v>
      </c>
      <c r="R8" s="14">
        <f ca="1">SUM(R5:R7)</f>
        <v>0</v>
      </c>
      <c r="S8" s="12"/>
      <c r="T8" s="13" t="s">
        <v>628</v>
      </c>
      <c r="U8" s="14">
        <f ca="1">SUM(U5:U7)</f>
        <v>0</v>
      </c>
      <c r="V8" s="12"/>
      <c r="W8" s="13" t="s">
        <v>628</v>
      </c>
      <c r="X8" s="14">
        <f ca="1">SUM(X5:X7)</f>
        <v>0</v>
      </c>
      <c r="Y8" s="12"/>
      <c r="Z8" s="13" t="s">
        <v>628</v>
      </c>
      <c r="AA8" s="14">
        <f ca="1">SUM(AA5:AA7)</f>
        <v>0</v>
      </c>
      <c r="AB8" s="12"/>
      <c r="AC8" s="13" t="s">
        <v>628</v>
      </c>
      <c r="AD8" s="14">
        <f ca="1">SUM(AD5:AD7)</f>
        <v>0</v>
      </c>
      <c r="AE8" s="12"/>
      <c r="AF8" s="13" t="s">
        <v>628</v>
      </c>
      <c r="AG8" s="14">
        <f ca="1">SUM(AG5:AG7)</f>
        <v>0</v>
      </c>
      <c r="AH8" s="12"/>
      <c r="AI8" s="13" t="s">
        <v>628</v>
      </c>
      <c r="AJ8" s="14">
        <f ca="1">SUM(AJ5:AJ7)</f>
        <v>0</v>
      </c>
      <c r="AM8" s="221"/>
      <c r="AN8" s="231" t="str">
        <f ca="1">IF(Giocatori!E15=0,"",Giocatori!E15)</f>
        <v>BUFFON</v>
      </c>
      <c r="AO8" s="221"/>
      <c r="AP8" s="231" t="str">
        <f ca="1">IF(Giocatori!H15=0,"",Giocatori!H15)</f>
        <v>ALBIOL</v>
      </c>
      <c r="AQ8" s="221"/>
      <c r="AR8" s="231" t="str">
        <f ca="1">IF(Giocatori!K15=0,"",Giocatori!K15)</f>
        <v>BARBERIS</v>
      </c>
      <c r="AS8" s="221"/>
      <c r="AT8" s="231" t="str">
        <f ca="1">IF(Giocatori!N15=0,"",Giocatori!N15)</f>
        <v>BERARDI</v>
      </c>
      <c r="AU8" s="221"/>
      <c r="AV8" s="231" t="str">
        <f ca="1">IF(Giocatori!Q15=0,"",Giocatori!Q15)</f>
        <v/>
      </c>
      <c r="AW8" s="4" t="str">
        <f ca="1">IF(H5=0,"",H5)</f>
        <v/>
      </c>
      <c r="AX8" t="str">
        <f t="shared" ca="1" si="0"/>
        <v>BUFFON</v>
      </c>
      <c r="AY8" s="7">
        <f t="shared" ca="1" si="1"/>
        <v>8</v>
      </c>
      <c r="AZ8" s="7" t="str">
        <f t="shared" ca="1" si="2"/>
        <v>BUFFON</v>
      </c>
      <c r="BA8" s="4" t="str">
        <f t="shared" ca="1" si="3"/>
        <v/>
      </c>
      <c r="BB8" t="str">
        <f t="shared" ca="1" si="4"/>
        <v>ALBIOL</v>
      </c>
      <c r="BC8" s="7">
        <f t="shared" ca="1" si="15"/>
        <v>8</v>
      </c>
      <c r="BD8" s="7" t="str">
        <f t="shared" ca="1" si="5"/>
        <v>ALBIOL</v>
      </c>
      <c r="BE8" s="4" t="str">
        <f t="shared" ca="1" si="6"/>
        <v/>
      </c>
      <c r="BF8" t="str">
        <f t="shared" ca="1" si="7"/>
        <v>BARBERIS</v>
      </c>
      <c r="BG8" s="7">
        <f t="shared" ca="1" si="16"/>
        <v>8</v>
      </c>
      <c r="BH8" s="7" t="str">
        <f t="shared" ca="1" si="8"/>
        <v>BARBERIS</v>
      </c>
      <c r="BI8" s="4" t="str">
        <f t="shared" ca="1" si="9"/>
        <v/>
      </c>
      <c r="BJ8" t="str">
        <f t="shared" ca="1" si="10"/>
        <v>BERARDI</v>
      </c>
      <c r="BK8" s="7">
        <f t="shared" ca="1" si="17"/>
        <v>8</v>
      </c>
      <c r="BL8" s="7" t="str">
        <f t="shared" ca="1" si="11"/>
        <v>BERARDI</v>
      </c>
      <c r="BM8" s="4" t="str">
        <f t="shared" ca="1" si="12"/>
        <v/>
      </c>
      <c r="BN8" t="str">
        <f t="shared" ca="1" si="13"/>
        <v/>
      </c>
      <c r="BO8" s="7">
        <f t="shared" ca="1" si="18"/>
        <v>1</v>
      </c>
      <c r="BP8" s="7">
        <f t="shared" ca="1" si="14"/>
        <v>0</v>
      </c>
    </row>
    <row r="9" spans="1:68" ht="14.25">
      <c r="A9" s="15"/>
      <c r="B9" s="13" t="s">
        <v>629</v>
      </c>
      <c r="C9" s="14">
        <f ca="1">SUM(C8)</f>
        <v>0</v>
      </c>
      <c r="D9" s="15"/>
      <c r="E9" s="13" t="s">
        <v>629</v>
      </c>
      <c r="F9" s="14">
        <f ca="1">SUM(F8)</f>
        <v>0</v>
      </c>
      <c r="G9" s="15"/>
      <c r="H9" s="13" t="s">
        <v>629</v>
      </c>
      <c r="I9" s="14">
        <f ca="1">SUM(I8)</f>
        <v>0</v>
      </c>
      <c r="J9" s="15"/>
      <c r="K9" s="13" t="s">
        <v>629</v>
      </c>
      <c r="L9" s="14">
        <f ca="1">SUM(L8)</f>
        <v>0</v>
      </c>
      <c r="M9" s="15"/>
      <c r="N9" s="13" t="s">
        <v>629</v>
      </c>
      <c r="O9" s="14">
        <f ca="1">SUM(O8)</f>
        <v>0</v>
      </c>
      <c r="P9" s="15"/>
      <c r="Q9" s="13" t="s">
        <v>629</v>
      </c>
      <c r="R9" s="14">
        <f ca="1">SUM(R8)</f>
        <v>0</v>
      </c>
      <c r="S9" s="15"/>
      <c r="T9" s="13" t="s">
        <v>629</v>
      </c>
      <c r="U9" s="14">
        <f ca="1">SUM(U8)</f>
        <v>0</v>
      </c>
      <c r="V9" s="15"/>
      <c r="W9" s="13" t="s">
        <v>629</v>
      </c>
      <c r="X9" s="14">
        <f ca="1">SUM(X8)</f>
        <v>0</v>
      </c>
      <c r="Y9" s="15"/>
      <c r="Z9" s="13" t="s">
        <v>629</v>
      </c>
      <c r="AA9" s="14">
        <f ca="1">SUM(AA8)</f>
        <v>0</v>
      </c>
      <c r="AB9" s="15"/>
      <c r="AC9" s="13" t="s">
        <v>629</v>
      </c>
      <c r="AD9" s="14">
        <f ca="1">SUM(AD8)</f>
        <v>0</v>
      </c>
      <c r="AE9" s="15"/>
      <c r="AF9" s="13" t="s">
        <v>629</v>
      </c>
      <c r="AG9" s="14">
        <f ca="1">SUM(AG8)</f>
        <v>0</v>
      </c>
      <c r="AH9" s="15"/>
      <c r="AI9" s="13" t="s">
        <v>629</v>
      </c>
      <c r="AJ9" s="14">
        <f ca="1">SUM(AJ8)</f>
        <v>0</v>
      </c>
      <c r="AM9" s="221"/>
      <c r="AN9" s="231" t="str">
        <f ca="1">IF(Giocatori!E16=0,"",Giocatori!E16)</f>
        <v>CEROFOLINI</v>
      </c>
      <c r="AO9" s="221"/>
      <c r="AP9" s="231" t="str">
        <f ca="1">IF(Giocatori!H16=0,"",Giocatori!H16)</f>
        <v>ALEX SANDRO</v>
      </c>
      <c r="AQ9" s="221"/>
      <c r="AR9" s="231" t="str">
        <f ca="1">IF(Giocatori!K16=0,"",Giocatori!K16)</f>
        <v>BARELLA</v>
      </c>
      <c r="AS9" s="221"/>
      <c r="AT9" s="231" t="str">
        <f ca="1">IF(Giocatori!N16=0,"",Giocatori!N16)</f>
        <v>BONAZZOLI</v>
      </c>
      <c r="AU9" s="221"/>
      <c r="AV9" s="231" t="str">
        <f ca="1">IF(Giocatori!Q16=0,"",Giocatori!Q16)</f>
        <v/>
      </c>
      <c r="AW9" s="4" t="str">
        <f ca="1">IF(H6=0,"",H6)</f>
        <v/>
      </c>
      <c r="AX9" t="str">
        <f t="shared" ca="1" si="0"/>
        <v>CEROFOLINI</v>
      </c>
      <c r="AY9" s="7">
        <f t="shared" ca="1" si="1"/>
        <v>9</v>
      </c>
      <c r="AZ9" s="7" t="str">
        <f t="shared" ca="1" si="2"/>
        <v>CEROFOLINI</v>
      </c>
      <c r="BA9" s="4" t="str">
        <f t="shared" ca="1" si="3"/>
        <v/>
      </c>
      <c r="BB9" t="str">
        <f t="shared" ca="1" si="4"/>
        <v>ALEX SANDRO</v>
      </c>
      <c r="BC9" s="7">
        <f t="shared" ca="1" si="15"/>
        <v>9</v>
      </c>
      <c r="BD9" s="7" t="str">
        <f t="shared" ca="1" si="5"/>
        <v>ALEX SANDRO</v>
      </c>
      <c r="BE9" s="4" t="str">
        <f t="shared" ca="1" si="6"/>
        <v/>
      </c>
      <c r="BF9" t="str">
        <f t="shared" ca="1" si="7"/>
        <v>BARELLA</v>
      </c>
      <c r="BG9" s="7">
        <f t="shared" ca="1" si="16"/>
        <v>9</v>
      </c>
      <c r="BH9" s="7" t="str">
        <f t="shared" ca="1" si="8"/>
        <v>BARELLA</v>
      </c>
      <c r="BI9" s="4" t="str">
        <f t="shared" ca="1" si="9"/>
        <v/>
      </c>
      <c r="BJ9" t="str">
        <f t="shared" ca="1" si="10"/>
        <v>BONAZZOLI</v>
      </c>
      <c r="BK9" s="7">
        <f t="shared" ca="1" si="17"/>
        <v>9</v>
      </c>
      <c r="BL9" s="7" t="str">
        <f t="shared" ca="1" si="11"/>
        <v>BONAZZOLI</v>
      </c>
      <c r="BM9" s="4" t="str">
        <f t="shared" ca="1" si="12"/>
        <v/>
      </c>
      <c r="BN9" t="str">
        <f t="shared" ca="1" si="13"/>
        <v/>
      </c>
      <c r="BO9" s="7">
        <f t="shared" ca="1" si="18"/>
        <v>1</v>
      </c>
      <c r="BP9" s="7">
        <f t="shared" ca="1" si="14"/>
        <v>0</v>
      </c>
    </row>
    <row r="10" spans="1:68" ht="14.25">
      <c r="A10" s="15"/>
      <c r="B10" s="13" t="s">
        <v>630</v>
      </c>
      <c r="C10" s="14">
        <f ca="1">C$58-(COUNTIF($A$5:$A$7,"=P")+COUNTIF($A$14:$A$23,"=D")+COUNTIF($A$30:$A$39,"=C")+COUNTIF($A$46:$A$53,"=A")-(COUNTIF(C$5:C$7,"&gt;0")+COUNTIF(C$14:C$23,"&gt;0")+COUNTIF(C$30:C$39,"&gt;0")+COUNTIF(C$46:C$53,"&gt;0")))+1</f>
        <v>326</v>
      </c>
      <c r="D10" s="15"/>
      <c r="E10" s="13" t="s">
        <v>630</v>
      </c>
      <c r="F10" s="14">
        <f ca="1">F$58-(COUNTIF($A$5:$A$7,"=P")+COUNTIF($A$14:$A$23,"=D")+COUNTIF($A$30:$A$39,"=C")+COUNTIF($A$46:$A$53,"=A")-(COUNTIF(F$5:F$7,"&gt;0")+COUNTIF(F$14:F$23,"&gt;0")+COUNTIF(F$30:F$39,"&gt;0")+COUNTIF(F$46:F$53,"&gt;0")))+1</f>
        <v>326</v>
      </c>
      <c r="G10" s="15"/>
      <c r="H10" s="13" t="s">
        <v>630</v>
      </c>
      <c r="I10" s="14">
        <f ca="1">I$58-(COUNTIF($A$5:$A$7,"=P")+COUNTIF($A$14:$A$23,"=D")+COUNTIF($A$30:$A$39,"=C")+COUNTIF($A$46:$A$53,"=A")-(COUNTIF(I$5:I$7,"&gt;0")+COUNTIF(I$14:I$23,"&gt;0")+COUNTIF(I$30:I$39,"&gt;0")+COUNTIF(I$46:I$53,"&gt;0")))+1</f>
        <v>326</v>
      </c>
      <c r="J10" s="15"/>
      <c r="K10" s="13" t="s">
        <v>630</v>
      </c>
      <c r="L10" s="14">
        <f ca="1">L$58-(COUNTIF($A$5:$A$7,"=P")+COUNTIF($A$14:$A$23,"=D")+COUNTIF($A$30:$A$39,"=C")+COUNTIF($A$46:$A$53,"=A")-(COUNTIF(L$5:L$7,"&gt;0")+COUNTIF(L$14:L$23,"&gt;0")+COUNTIF(L$30:L$39,"&gt;0")+COUNTIF(L$46:L$53,"&gt;0")))+1</f>
        <v>326</v>
      </c>
      <c r="M10" s="15"/>
      <c r="N10" s="13" t="s">
        <v>630</v>
      </c>
      <c r="O10" s="14">
        <f ca="1">O$58-(COUNTIF($A$5:$A$7,"=P")+COUNTIF($A$14:$A$23,"=D")+COUNTIF($A$30:$A$39,"=C")+COUNTIF($A$46:$A$53,"=A")-(COUNTIF(O$5:O$7,"&gt;0")+COUNTIF(O$14:O$23,"&gt;0")+COUNTIF(O$30:O$39,"&gt;0")+COUNTIF(O$46:O$53,"&gt;0")))+1</f>
        <v>326</v>
      </c>
      <c r="P10" s="15"/>
      <c r="Q10" s="13" t="s">
        <v>630</v>
      </c>
      <c r="R10" s="14">
        <f ca="1">R$58-(COUNTIF($A$5:$A$7,"=P")+COUNTIF($A$14:$A$23,"=D")+COUNTIF($A$30:$A$39,"=C")+COUNTIF($A$46:$A$53,"=A")-(COUNTIF(R$5:R$7,"&gt;0")+COUNTIF(R$14:R$23,"&gt;0")+COUNTIF(R$30:R$39,"&gt;0")+COUNTIF(R$46:R$53,"&gt;0")))+1</f>
        <v>326</v>
      </c>
      <c r="S10" s="15"/>
      <c r="T10" s="13" t="s">
        <v>630</v>
      </c>
      <c r="U10" s="14">
        <f ca="1">U$58-(COUNTIF($A$5:$A$7,"=P")+COUNTIF($A$14:$A$23,"=D")+COUNTIF($A$30:$A$39,"=C")+COUNTIF($A$46:$A$53,"=A")-(COUNTIF(U$5:U$7,"&gt;0")+COUNTIF(U$14:U$23,"&gt;0")+COUNTIF(U$30:U$39,"&gt;0")+COUNTIF(U$46:U$53,"&gt;0")))+1</f>
        <v>326</v>
      </c>
      <c r="V10" s="15"/>
      <c r="W10" s="13" t="s">
        <v>630</v>
      </c>
      <c r="X10" s="14">
        <f ca="1">X$58-(COUNTIF($A$5:$A$7,"=P")+COUNTIF($A$14:$A$23,"=D")+COUNTIF($A$30:$A$39,"=C")+COUNTIF($A$46:$A$53,"=A")-(COUNTIF(X$5:X$7,"&gt;0")+COUNTIF(X$14:X$23,"&gt;0")+COUNTIF(X$30:X$39,"&gt;0")+COUNTIF(X$46:X$53,"&gt;0")))+1</f>
        <v>326</v>
      </c>
      <c r="Y10" s="15"/>
      <c r="Z10" s="13" t="s">
        <v>630</v>
      </c>
      <c r="AA10" s="14">
        <f ca="1">AA$58-(COUNTIF($A$5:$A$7,"=P")+COUNTIF($A$14:$A$23,"=D")+COUNTIF($A$30:$A$39,"=C")+COUNTIF($A$46:$A$53,"=A")-(COUNTIF(AA$5:AA$7,"&gt;0")+COUNTIF(AA$14:AA$23,"&gt;0")+COUNTIF(AA$30:AA$39,"&gt;0")+COUNTIF(AA$46:AA$53,"&gt;0")))+1</f>
        <v>326</v>
      </c>
      <c r="AB10" s="15"/>
      <c r="AC10" s="13" t="s">
        <v>630</v>
      </c>
      <c r="AD10" s="14">
        <f ca="1">AD$58-(COUNTIF($A$5:$A$7,"=P")+COUNTIF($A$14:$A$23,"=D")+COUNTIF($A$30:$A$39,"=C")+COUNTIF($A$46:$A$53,"=A")-(COUNTIF(AD$5:AD$7,"&gt;0")+COUNTIF(AD$14:AD$23,"&gt;0")+COUNTIF(AD$30:AD$39,"&gt;0")+COUNTIF(AD$46:AD$53,"&gt;0")))+1</f>
        <v>326</v>
      </c>
      <c r="AE10" s="15"/>
      <c r="AF10" s="13" t="s">
        <v>630</v>
      </c>
      <c r="AG10" s="14">
        <f ca="1">AG$58-(COUNTIF($A$5:$A$7,"=P")+COUNTIF($A$14:$A$23,"=D")+COUNTIF($A$30:$A$39,"=C")+COUNTIF($A$46:$A$53,"=A")-(COUNTIF(AG$5:AG$7,"&gt;0")+COUNTIF(AG$14:AG$23,"&gt;0")+COUNTIF(AG$30:AG$39,"&gt;0")+COUNTIF(AG$46:AG$53,"&gt;0")))+1</f>
        <v>326</v>
      </c>
      <c r="AH10" s="15"/>
      <c r="AI10" s="13" t="s">
        <v>630</v>
      </c>
      <c r="AJ10" s="14">
        <f ca="1">AJ$58-(COUNTIF($A$5:$A$7,"=P")+COUNTIF($A$14:$A$23,"=D")+COUNTIF($A$30:$A$39,"=C")+COUNTIF($A$46:$A$53,"=A")-(COUNTIF(AJ$5:AJ$7,"&gt;0")+COUNTIF(AJ$14:AJ$23,"&gt;0")+COUNTIF(AJ$30:AJ$39,"&gt;0")+COUNTIF(AJ$46:AJ$53,"&gt;0")))+1</f>
        <v>326</v>
      </c>
      <c r="AM10" s="221"/>
      <c r="AN10" s="231" t="str">
        <f ca="1">IF(Giocatori!E17=0,"",Giocatori!E17)</f>
        <v>CONFENTE</v>
      </c>
      <c r="AO10" s="221"/>
      <c r="AP10" s="231" t="str">
        <f ca="1">IF(Giocatori!H17=0,"",Giocatori!H17)</f>
        <v>ANDERSEN</v>
      </c>
      <c r="AQ10" s="221"/>
      <c r="AR10" s="231" t="str">
        <f ca="1">IF(Giocatori!K17=0,"",Giocatori!K17)</f>
        <v>BARRETO E</v>
      </c>
      <c r="AS10" s="221"/>
      <c r="AT10" s="231" t="str">
        <f ca="1">IF(Giocatori!N17=0,"",Giocatori!N17)</f>
        <v>BORINI</v>
      </c>
      <c r="AU10" s="221"/>
      <c r="AV10" s="231" t="str">
        <f ca="1">IF(Giocatori!Q17=0,"",Giocatori!Q17)</f>
        <v/>
      </c>
      <c r="AW10" s="4" t="str">
        <f ca="1">IF(H7=0,"",H7)</f>
        <v/>
      </c>
      <c r="AX10" t="str">
        <f t="shared" ca="1" si="0"/>
        <v>CONFENTE</v>
      </c>
      <c r="AY10" s="7">
        <f t="shared" ca="1" si="1"/>
        <v>10</v>
      </c>
      <c r="AZ10" s="7" t="str">
        <f t="shared" ca="1" si="2"/>
        <v>CONFENTE</v>
      </c>
      <c r="BA10" s="4" t="str">
        <f t="shared" ca="1" si="3"/>
        <v/>
      </c>
      <c r="BB10" t="str">
        <f t="shared" ca="1" si="4"/>
        <v>ANDERSEN</v>
      </c>
      <c r="BC10" s="7">
        <f t="shared" ca="1" si="15"/>
        <v>10</v>
      </c>
      <c r="BD10" s="7" t="str">
        <f t="shared" ca="1" si="5"/>
        <v>ANDERSEN</v>
      </c>
      <c r="BE10" s="4" t="str">
        <f t="shared" ca="1" si="6"/>
        <v/>
      </c>
      <c r="BF10" t="str">
        <f t="shared" ca="1" si="7"/>
        <v>BARRETO E</v>
      </c>
      <c r="BG10" s="7">
        <f t="shared" ca="1" si="16"/>
        <v>10</v>
      </c>
      <c r="BH10" s="7" t="str">
        <f t="shared" ca="1" si="8"/>
        <v>BARRETO E</v>
      </c>
      <c r="BI10" s="4" t="str">
        <f t="shared" ref="BI10:BI17" ca="1" si="19">IF(E46=0,"",E46)</f>
        <v/>
      </c>
      <c r="BJ10" t="str">
        <f t="shared" ca="1" si="10"/>
        <v>BORINI</v>
      </c>
      <c r="BK10" s="7">
        <f t="shared" ca="1" si="17"/>
        <v>10</v>
      </c>
      <c r="BL10" s="7" t="str">
        <f t="shared" ca="1" si="11"/>
        <v>BORINI</v>
      </c>
      <c r="BM10" s="4" t="str">
        <f t="shared" ca="1" si="12"/>
        <v/>
      </c>
      <c r="BN10" t="str">
        <f t="shared" ca="1" si="13"/>
        <v/>
      </c>
      <c r="BO10" s="7">
        <f t="shared" ca="1" si="18"/>
        <v>1</v>
      </c>
      <c r="BP10" s="7">
        <f t="shared" ca="1" si="14"/>
        <v>0</v>
      </c>
    </row>
    <row r="11" spans="1:68" s="18" customFormat="1" ht="15.75" customHeight="1">
      <c r="A11" s="365"/>
      <c r="B11" s="382" t="s">
        <v>631</v>
      </c>
      <c r="C11" s="383">
        <f ca="1">C12-INDIRECT(ADDRESS(58,MATCH(Asta!$D$3,$A$3:$AJ$3,0)+2,1,1))</f>
        <v>0</v>
      </c>
      <c r="D11" s="365"/>
      <c r="E11" s="382" t="s">
        <v>631</v>
      </c>
      <c r="F11" s="383">
        <f ca="1">F12-INDIRECT(ADDRESS(58,MATCH(Asta!$D$3,$A$3:$AJ$3,0)+2,1,1))</f>
        <v>0</v>
      </c>
      <c r="G11" s="365"/>
      <c r="H11" s="382" t="s">
        <v>631</v>
      </c>
      <c r="I11" s="383">
        <f ca="1">I12-INDIRECT(ADDRESS(58,MATCH(Asta!$D$3,$A$3:$AJ$3,0)+2,1,1))</f>
        <v>0</v>
      </c>
      <c r="J11" s="365"/>
      <c r="K11" s="382" t="s">
        <v>631</v>
      </c>
      <c r="L11" s="383">
        <f ca="1">L12-INDIRECT(ADDRESS(58,MATCH(Asta!$D$3,$A$3:$AJ$3,0)+2,1,1))</f>
        <v>0</v>
      </c>
      <c r="M11" s="365"/>
      <c r="N11" s="382" t="s">
        <v>631</v>
      </c>
      <c r="O11" s="383">
        <f ca="1">O12-INDIRECT(ADDRESS(58,MATCH(Asta!$D$3,$A$3:$AJ$3,0)+2,1,1))</f>
        <v>0</v>
      </c>
      <c r="P11" s="365"/>
      <c r="Q11" s="382" t="s">
        <v>631</v>
      </c>
      <c r="R11" s="383">
        <f ca="1">R12-INDIRECT(ADDRESS(58,MATCH(Asta!$D$3,$A$3:$AJ$3,0)+2,1,1))</f>
        <v>0</v>
      </c>
      <c r="S11" s="365"/>
      <c r="T11" s="382" t="s">
        <v>631</v>
      </c>
      <c r="U11" s="383">
        <f ca="1">U12-INDIRECT(ADDRESS(58,MATCH(Asta!$D$3,$A$3:$AJ$3,0)+2,1,1))</f>
        <v>0</v>
      </c>
      <c r="V11" s="365"/>
      <c r="W11" s="382" t="s">
        <v>631</v>
      </c>
      <c r="X11" s="383">
        <f ca="1">X12-INDIRECT(ADDRESS(58,MATCH(Asta!$D$3,$A$3:$AJ$3,0)+2,1,1))</f>
        <v>0</v>
      </c>
      <c r="Y11" s="365"/>
      <c r="Z11" s="382" t="s">
        <v>631</v>
      </c>
      <c r="AA11" s="383">
        <f ca="1">AA12-INDIRECT(ADDRESS(58,MATCH(Asta!$D$3,$A$3:$AJ$3,0)+2,1,1))</f>
        <v>0</v>
      </c>
      <c r="AB11" s="365"/>
      <c r="AC11" s="382" t="s">
        <v>631</v>
      </c>
      <c r="AD11" s="383">
        <f ca="1">AD12-INDIRECT(ADDRESS(58,MATCH(Asta!$D$3,$A$3:$AJ$3,0)+2,1,1))</f>
        <v>0</v>
      </c>
      <c r="AE11" s="365"/>
      <c r="AF11" s="382" t="s">
        <v>631</v>
      </c>
      <c r="AG11" s="383">
        <f ca="1">AG12-INDIRECT(ADDRESS(58,MATCH(Asta!$D$3,$A$3:$AJ$3,0)+2,1,1))</f>
        <v>0</v>
      </c>
      <c r="AH11" s="365"/>
      <c r="AI11" s="382" t="s">
        <v>631</v>
      </c>
      <c r="AJ11" s="383">
        <f ca="1">AJ12-INDIRECT(ADDRESS(58,MATCH(Asta!$D$3,$A$3:$AJ$3,0)+2,1,1))</f>
        <v>0</v>
      </c>
      <c r="AM11" s="182"/>
      <c r="AN11" s="366" t="str">
        <f ca="1">IF(Giocatori!E18=0,"",Giocatori!E18)</f>
        <v>CONSIGLI</v>
      </c>
      <c r="AO11" s="182"/>
      <c r="AP11" s="366" t="str">
        <f ca="1">IF(Giocatori!H18=0,"",Giocatori!H18)</f>
        <v>ANDREOLLI</v>
      </c>
      <c r="AQ11" s="182"/>
      <c r="AR11" s="366" t="str">
        <f ca="1">IF(Giocatori!K18=0,"",Giocatori!K18)</f>
        <v>BASELLI</v>
      </c>
      <c r="AS11" s="182"/>
      <c r="AT11" s="366" t="str">
        <f ca="1">IF(Giocatori!N18=0,"",Giocatori!N18)</f>
        <v>BORRIELLO</v>
      </c>
      <c r="AU11" s="182"/>
      <c r="AV11" s="366" t="str">
        <f ca="1">IF(Giocatori!Q18=0,"",Giocatori!Q18)</f>
        <v/>
      </c>
      <c r="AW11" s="18" t="str">
        <f ca="1">IF(K5=0,"",K5)</f>
        <v/>
      </c>
      <c r="AX11" s="69" t="str">
        <f t="shared" ca="1" si="0"/>
        <v>CONSIGLI</v>
      </c>
      <c r="AY11" s="7">
        <f t="shared" ca="1" si="1"/>
        <v>11</v>
      </c>
      <c r="AZ11" s="7" t="str">
        <f t="shared" ca="1" si="2"/>
        <v>CONSIGLI</v>
      </c>
      <c r="BA11" s="18" t="str">
        <f t="shared" ca="1" si="3"/>
        <v/>
      </c>
      <c r="BB11" s="69" t="str">
        <f t="shared" ca="1" si="4"/>
        <v>ANDREOLLI</v>
      </c>
      <c r="BC11" s="7">
        <f t="shared" ca="1" si="15"/>
        <v>11</v>
      </c>
      <c r="BD11" s="7" t="str">
        <f t="shared" ca="1" si="5"/>
        <v>ANDREOLLI</v>
      </c>
      <c r="BE11" s="18" t="str">
        <f t="shared" ca="1" si="6"/>
        <v/>
      </c>
      <c r="BF11" s="69" t="str">
        <f t="shared" ca="1" si="7"/>
        <v>BASELLI</v>
      </c>
      <c r="BG11" s="7">
        <f t="shared" ca="1" si="16"/>
        <v>11</v>
      </c>
      <c r="BH11" s="7" t="str">
        <f t="shared" ca="1" si="8"/>
        <v>BASELLI</v>
      </c>
      <c r="BI11" s="18" t="str">
        <f t="shared" ca="1" si="19"/>
        <v/>
      </c>
      <c r="BJ11" s="69" t="str">
        <f t="shared" ca="1" si="10"/>
        <v>BORRIELLO</v>
      </c>
      <c r="BK11" s="7">
        <f t="shared" ca="1" si="17"/>
        <v>11</v>
      </c>
      <c r="BL11" s="7" t="str">
        <f t="shared" ca="1" si="11"/>
        <v>BORRIELLO</v>
      </c>
      <c r="BM11" s="18" t="str">
        <f t="shared" ca="1" si="12"/>
        <v/>
      </c>
      <c r="BN11" s="69" t="str">
        <f t="shared" ca="1" si="13"/>
        <v/>
      </c>
      <c r="BO11" s="7">
        <f t="shared" ca="1" si="18"/>
        <v>1</v>
      </c>
      <c r="BP11" s="7">
        <f t="shared" ca="1" si="14"/>
        <v>0</v>
      </c>
    </row>
    <row r="12" spans="1:68" s="379" customFormat="1" ht="15">
      <c r="A12" s="376"/>
      <c r="B12" s="377" t="s">
        <v>632</v>
      </c>
      <c r="C12" s="378">
        <f ca="1">C58</f>
        <v>350</v>
      </c>
      <c r="D12" s="376"/>
      <c r="E12" s="377" t="s">
        <v>632</v>
      </c>
      <c r="F12" s="378">
        <f ca="1">F58</f>
        <v>350</v>
      </c>
      <c r="G12" s="376"/>
      <c r="H12" s="377" t="s">
        <v>632</v>
      </c>
      <c r="I12" s="378">
        <f ca="1">I58</f>
        <v>350</v>
      </c>
      <c r="J12" s="376"/>
      <c r="K12" s="377" t="s">
        <v>632</v>
      </c>
      <c r="L12" s="378">
        <f ca="1">L58</f>
        <v>350</v>
      </c>
      <c r="M12" s="376"/>
      <c r="N12" s="377" t="s">
        <v>632</v>
      </c>
      <c r="O12" s="378">
        <f ca="1">O58</f>
        <v>350</v>
      </c>
      <c r="P12" s="376"/>
      <c r="Q12" s="377" t="s">
        <v>632</v>
      </c>
      <c r="R12" s="378">
        <f ca="1">R58</f>
        <v>350</v>
      </c>
      <c r="S12" s="376"/>
      <c r="T12" s="377" t="s">
        <v>632</v>
      </c>
      <c r="U12" s="378">
        <f ca="1">U58</f>
        <v>350</v>
      </c>
      <c r="V12" s="376"/>
      <c r="W12" s="377" t="s">
        <v>632</v>
      </c>
      <c r="X12" s="378">
        <f ca="1">X58</f>
        <v>350</v>
      </c>
      <c r="Y12" s="376"/>
      <c r="Z12" s="377" t="s">
        <v>632</v>
      </c>
      <c r="AA12" s="378">
        <f ca="1">AA58</f>
        <v>350</v>
      </c>
      <c r="AB12" s="376"/>
      <c r="AC12" s="377" t="s">
        <v>632</v>
      </c>
      <c r="AD12" s="378">
        <f ca="1">AD58</f>
        <v>350</v>
      </c>
      <c r="AE12" s="376"/>
      <c r="AF12" s="377" t="s">
        <v>632</v>
      </c>
      <c r="AG12" s="378">
        <f ca="1">AG58</f>
        <v>350</v>
      </c>
      <c r="AH12" s="376"/>
      <c r="AI12" s="377" t="s">
        <v>632</v>
      </c>
      <c r="AJ12" s="378">
        <f ca="1">AJ58</f>
        <v>350</v>
      </c>
      <c r="AM12" s="221"/>
      <c r="AN12" s="380" t="str">
        <f ca="1">IF(Giocatori!E19=0,"",Giocatori!E19)</f>
        <v>COPPOLA</v>
      </c>
      <c r="AO12" s="221"/>
      <c r="AP12" s="380" t="str">
        <f ca="1">IF(Giocatori!H19=0,"",Giocatori!H19)</f>
        <v>ANGELLA</v>
      </c>
      <c r="AQ12" s="221"/>
      <c r="AR12" s="380" t="str">
        <f ca="1">IF(Giocatori!K19=0,"",Giocatori!K19)</f>
        <v>BASTIEN</v>
      </c>
      <c r="AS12" s="221"/>
      <c r="AT12" s="380" t="str">
        <f ca="1">IF(Giocatori!N19=0,"",Giocatori!N19)</f>
        <v>BOYE'</v>
      </c>
      <c r="AU12" s="221"/>
      <c r="AV12" s="380" t="str">
        <f ca="1">IF(Giocatori!Q19=0,"",Giocatori!Q19)</f>
        <v/>
      </c>
      <c r="AW12" s="379" t="str">
        <f ca="1">IF(K6=0,"",K6)</f>
        <v/>
      </c>
      <c r="AX12" s="1" t="str">
        <f t="shared" ca="1" si="0"/>
        <v>COPPOLA</v>
      </c>
      <c r="AY12" s="381">
        <f t="shared" ca="1" si="1"/>
        <v>12</v>
      </c>
      <c r="AZ12" s="381" t="str">
        <f t="shared" ca="1" si="2"/>
        <v>COPPOLA</v>
      </c>
      <c r="BA12" s="379" t="str">
        <f t="shared" ref="BA12:BA21" ca="1" si="20">IF(E14=0,"",E14)</f>
        <v/>
      </c>
      <c r="BB12" s="1" t="str">
        <f t="shared" ca="1" si="4"/>
        <v>ANGELLA</v>
      </c>
      <c r="BC12" s="381">
        <f t="shared" ca="1" si="15"/>
        <v>12</v>
      </c>
      <c r="BD12" s="381" t="str">
        <f t="shared" ca="1" si="5"/>
        <v>ANGELLA</v>
      </c>
      <c r="BE12" s="379" t="str">
        <f t="shared" ref="BE12:BE21" ca="1" si="21">IF(E30=0,"",E30)</f>
        <v/>
      </c>
      <c r="BF12" s="1" t="str">
        <f t="shared" ca="1" si="7"/>
        <v>BASTIEN</v>
      </c>
      <c r="BG12" s="381">
        <f t="shared" ca="1" si="16"/>
        <v>12</v>
      </c>
      <c r="BH12" s="381" t="str">
        <f t="shared" ca="1" si="8"/>
        <v>BASTIEN</v>
      </c>
      <c r="BI12" s="379" t="str">
        <f t="shared" ca="1" si="19"/>
        <v/>
      </c>
      <c r="BJ12" s="1" t="str">
        <f t="shared" ca="1" si="10"/>
        <v>BOYE'</v>
      </c>
      <c r="BK12" s="381">
        <f t="shared" ca="1" si="17"/>
        <v>12</v>
      </c>
      <c r="BL12" s="381" t="str">
        <f t="shared" ca="1" si="11"/>
        <v>BOYE'</v>
      </c>
      <c r="BM12" s="379" t="str">
        <f t="shared" ref="BM12:BM21" ca="1" si="22">IF(E30=0,"",E30)</f>
        <v/>
      </c>
      <c r="BN12" s="1" t="str">
        <f t="shared" ca="1" si="13"/>
        <v/>
      </c>
      <c r="BO12" s="381">
        <f t="shared" ca="1" si="18"/>
        <v>1</v>
      </c>
      <c r="BP12" s="381">
        <f t="shared" ca="1" si="14"/>
        <v>0</v>
      </c>
    </row>
    <row r="13" spans="1:68" ht="14.25">
      <c r="A13" s="534" t="s">
        <v>38</v>
      </c>
      <c r="B13" s="534"/>
      <c r="C13" s="534"/>
      <c r="D13" s="534" t="s">
        <v>38</v>
      </c>
      <c r="E13" s="534"/>
      <c r="F13" s="534"/>
      <c r="G13" s="534" t="s">
        <v>38</v>
      </c>
      <c r="H13" s="534"/>
      <c r="I13" s="534"/>
      <c r="J13" s="534" t="s">
        <v>38</v>
      </c>
      <c r="K13" s="534"/>
      <c r="L13" s="534"/>
      <c r="M13" s="534" t="s">
        <v>38</v>
      </c>
      <c r="N13" s="534"/>
      <c r="O13" s="534"/>
      <c r="P13" s="534" t="s">
        <v>38</v>
      </c>
      <c r="Q13" s="534"/>
      <c r="R13" s="534"/>
      <c r="S13" s="534" t="s">
        <v>38</v>
      </c>
      <c r="T13" s="534"/>
      <c r="U13" s="534"/>
      <c r="V13" s="534" t="s">
        <v>38</v>
      </c>
      <c r="W13" s="534"/>
      <c r="X13" s="534"/>
      <c r="Y13" s="534" t="s">
        <v>38</v>
      </c>
      <c r="Z13" s="534"/>
      <c r="AA13" s="534"/>
      <c r="AB13" s="534" t="s">
        <v>38</v>
      </c>
      <c r="AC13" s="534"/>
      <c r="AD13" s="534"/>
      <c r="AE13" s="534" t="s">
        <v>38</v>
      </c>
      <c r="AF13" s="534"/>
      <c r="AG13" s="534"/>
      <c r="AH13" s="534" t="s">
        <v>38</v>
      </c>
      <c r="AI13" s="534"/>
      <c r="AJ13" s="534"/>
      <c r="AM13" s="221"/>
      <c r="AN13" s="231" t="str">
        <f ca="1">IF(Giocatori!E20=0,"",Giocatori!E20)</f>
        <v>CORDAZ</v>
      </c>
      <c r="AO13" s="221"/>
      <c r="AP13" s="231" t="str">
        <f ca="1">IF(Giocatori!H20=0,"",Giocatori!H20)</f>
        <v>ANSALDI</v>
      </c>
      <c r="AQ13" s="221"/>
      <c r="AR13" s="231" t="str">
        <f ca="1">IF(Giocatori!K20=0,"",Giocatori!K20)</f>
        <v>BEHRAMI</v>
      </c>
      <c r="AS13" s="221"/>
      <c r="AT13" s="231" t="str">
        <f ca="1">IF(Giocatori!N20=0,"",Giocatori!N20)</f>
        <v>BRIGNOLA</v>
      </c>
      <c r="AU13" s="221"/>
      <c r="AV13" s="231" t="str">
        <f ca="1">IF(Giocatori!Q20=0,"",Giocatori!Q20)</f>
        <v/>
      </c>
      <c r="AW13" s="4" t="str">
        <f ca="1">IF(K7=0,"",K7)</f>
        <v/>
      </c>
      <c r="AX13" t="str">
        <f t="shared" ca="1" si="0"/>
        <v>CORDAZ</v>
      </c>
      <c r="AY13" s="7">
        <f t="shared" ca="1" si="1"/>
        <v>13</v>
      </c>
      <c r="AZ13" s="7" t="str">
        <f t="shared" ca="1" si="2"/>
        <v>CORDAZ</v>
      </c>
      <c r="BA13" s="4" t="str">
        <f t="shared" ca="1" si="20"/>
        <v/>
      </c>
      <c r="BB13" t="str">
        <f t="shared" ca="1" si="4"/>
        <v>ANSALDI</v>
      </c>
      <c r="BC13" s="7">
        <f t="shared" ca="1" si="15"/>
        <v>13</v>
      </c>
      <c r="BD13" s="7" t="str">
        <f t="shared" ca="1" si="5"/>
        <v>ANSALDI</v>
      </c>
      <c r="BE13" s="4" t="str">
        <f t="shared" ca="1" si="21"/>
        <v/>
      </c>
      <c r="BF13" t="str">
        <f t="shared" ca="1" si="7"/>
        <v>BEHRAMI</v>
      </c>
      <c r="BG13" s="7">
        <f t="shared" ca="1" si="16"/>
        <v>13</v>
      </c>
      <c r="BH13" s="7" t="str">
        <f t="shared" ca="1" si="8"/>
        <v>BEHRAMI</v>
      </c>
      <c r="BI13" s="4" t="str">
        <f t="shared" ca="1" si="19"/>
        <v/>
      </c>
      <c r="BJ13" t="str">
        <f t="shared" ca="1" si="10"/>
        <v>BRIGNOLA</v>
      </c>
      <c r="BK13" s="7">
        <f t="shared" ca="1" si="17"/>
        <v>13</v>
      </c>
      <c r="BL13" s="7" t="str">
        <f t="shared" ca="1" si="11"/>
        <v>BRIGNOLA</v>
      </c>
      <c r="BM13" s="4" t="str">
        <f t="shared" ca="1" si="22"/>
        <v/>
      </c>
      <c r="BN13" t="str">
        <f t="shared" ca="1" si="13"/>
        <v/>
      </c>
      <c r="BO13" s="7">
        <f t="shared" ca="1" si="18"/>
        <v>1</v>
      </c>
      <c r="BP13" s="7">
        <f t="shared" ca="1" si="14"/>
        <v>0</v>
      </c>
    </row>
    <row r="14" spans="1:68" ht="14.25">
      <c r="A14" s="8" t="str">
        <f>IF(Asta!$AC$3&lt;AK14,"","D")</f>
        <v>D</v>
      </c>
      <c r="B14" s="9" t="str">
        <f ca="1">IF(A14="","",IF(ISNA(MATCH(A$3&amp;A14&amp;$AK14,Asta!$I:$I,0)),"",INDIRECT("Asta!B"&amp;MATCH(A$3&amp;A14&amp;$AK14,Asta!$I:$I,0))))</f>
        <v/>
      </c>
      <c r="C14" s="10" t="str">
        <f ca="1">IF(B14="","",IF(ISNA(MATCH(A$3&amp;A14&amp;$AK14,Asta!$I:$I,0)),"",INDIRECT("Asta!H"&amp;MATCH(A$3&amp;A14&amp;$AK14,Asta!$I:$I,0))))</f>
        <v/>
      </c>
      <c r="D14" s="384" t="str">
        <f t="shared" ref="D14:D23" si="23">A14</f>
        <v>D</v>
      </c>
      <c r="E14" s="9" t="str">
        <f ca="1">IF(D14="","",IF(ISNA(MATCH(D$3&amp;D14&amp;$AK14,Asta!$I:$I,0)),"",INDIRECT("Asta!B"&amp;MATCH(D$3&amp;D14&amp;$AK14,Asta!$I:$I,0))))</f>
        <v/>
      </c>
      <c r="F14" s="10" t="str">
        <f ca="1">IF(E14="","",IF(ISNA(MATCH(D$3&amp;D14&amp;$AK14,Asta!$I:$I,0)),"",INDIRECT("Asta!H"&amp;MATCH(D$3&amp;D14&amp;$AK14,Asta!$I:$I,0))))</f>
        <v/>
      </c>
      <c r="G14" s="384" t="str">
        <f>D14</f>
        <v>D</v>
      </c>
      <c r="H14" s="9" t="str">
        <f ca="1">IF(G14="","",IF(ISNA(MATCH(G$3&amp;G14&amp;$AK14,Asta!$I:$I,0)),"",INDIRECT("Asta!B"&amp;MATCH(G$3&amp;G14&amp;$AK14,Asta!$I:$I,0))))</f>
        <v/>
      </c>
      <c r="I14" s="10" t="str">
        <f ca="1">IF(H14="","",IF(ISNA(MATCH(G$3&amp;G14&amp;$AK14,Asta!$I:$I,0)),"",INDIRECT("Asta!H"&amp;MATCH(G$3&amp;G14&amp;$AK14,Asta!$I:$I,0))))</f>
        <v/>
      </c>
      <c r="J14" s="384" t="str">
        <f>G14</f>
        <v>D</v>
      </c>
      <c r="K14" s="9" t="str">
        <f ca="1">IF(J14="","",IF(ISNA(MATCH(J$3&amp;J14&amp;$AK14,Asta!$I:$I,0)),"",INDIRECT("Asta!B"&amp;MATCH(J$3&amp;J14&amp;$AK14,Asta!$I:$I,0))))</f>
        <v/>
      </c>
      <c r="L14" s="10" t="str">
        <f ca="1">IF(K14="","",IF(ISNA(MATCH(J$3&amp;J14&amp;$AK14,Asta!$I:$I,0)),"",INDIRECT("Asta!H"&amp;MATCH(J$3&amp;J14&amp;$AK14,Asta!$I:$I,0))))</f>
        <v/>
      </c>
      <c r="M14" s="384" t="str">
        <f>J14</f>
        <v>D</v>
      </c>
      <c r="N14" s="9" t="str">
        <f ca="1">IF(M14="","",IF(ISNA(MATCH(M$3&amp;M14&amp;$AK14,Asta!$I:$I,0)),"",INDIRECT("Asta!B"&amp;MATCH(M$3&amp;M14&amp;$AK14,Asta!$I:$I,0))))</f>
        <v/>
      </c>
      <c r="O14" s="10" t="str">
        <f ca="1">IF(N14="","",IF(ISNA(MATCH(M$3&amp;M14&amp;$AK14,Asta!$I:$I,0)),"",INDIRECT("Asta!H"&amp;MATCH(M$3&amp;M14&amp;$AK14,Asta!$I:$I,0))))</f>
        <v/>
      </c>
      <c r="P14" s="384" t="str">
        <f>M14</f>
        <v>D</v>
      </c>
      <c r="Q14" s="9" t="str">
        <f ca="1">IF(P14="","",IF(ISNA(MATCH(P$3&amp;P14&amp;$AK14,Asta!$I:$I,0)),"",INDIRECT("Asta!B"&amp;MATCH(P$3&amp;P14&amp;$AK14,Asta!$I:$I,0))))</f>
        <v/>
      </c>
      <c r="R14" s="10" t="str">
        <f ca="1">IF(Q14="","",IF(ISNA(MATCH(P$3&amp;P14&amp;$AK14,Asta!$I:$I,0)),"",INDIRECT("Asta!H"&amp;MATCH(P$3&amp;P14&amp;$AK14,Asta!$I:$I,0))))</f>
        <v/>
      </c>
      <c r="S14" s="384" t="str">
        <f>P14</f>
        <v>D</v>
      </c>
      <c r="T14" s="9" t="str">
        <f ca="1">IF(S14="","",IF(ISNA(MATCH(S$3&amp;S14&amp;$AK14,Asta!$I:$I,0)),"",INDIRECT("Asta!B"&amp;MATCH(S$3&amp;S14&amp;$AK14,Asta!$I:$I,0))))</f>
        <v/>
      </c>
      <c r="U14" s="10" t="str">
        <f ca="1">IF(T14="","",IF(ISNA(MATCH(S$3&amp;S14&amp;$AK14,Asta!$I:$I,0)),"",INDIRECT("Asta!H"&amp;MATCH(S$3&amp;S14&amp;$AK14,Asta!$I:$I,0))))</f>
        <v/>
      </c>
      <c r="V14" s="384" t="str">
        <f>S14</f>
        <v>D</v>
      </c>
      <c r="W14" s="9" t="str">
        <f ca="1">IF(V14="","",IF(ISNA(MATCH(V$3&amp;V14&amp;$AK14,Asta!$I:$I,0)),"",INDIRECT("Asta!B"&amp;MATCH(V$3&amp;V14&amp;$AK14,Asta!$I:$I,0))))</f>
        <v/>
      </c>
      <c r="X14" s="10" t="str">
        <f ca="1">IF(W14="","",IF(ISNA(MATCH(V$3&amp;V14&amp;$AK14,Asta!$I:$I,0)),"",INDIRECT("Asta!H"&amp;MATCH(V$3&amp;V14&amp;$AK14,Asta!$I:$I,0))))</f>
        <v/>
      </c>
      <c r="Y14" s="384" t="str">
        <f>V14</f>
        <v>D</v>
      </c>
      <c r="Z14" s="9" t="str">
        <f ca="1">IF(Y14="","",IF(ISNA(MATCH(Y$3&amp;Y14&amp;$AK14,Asta!$I:$I,0)),"",INDIRECT("Asta!B"&amp;MATCH(Y$3&amp;Y14&amp;$AK14,Asta!$I:$I,0))))</f>
        <v/>
      </c>
      <c r="AA14" s="10" t="str">
        <f ca="1">IF(Z14="","",IF(ISNA(MATCH(Y$3&amp;Y14&amp;$AK14,Asta!$I:$I,0)),"",INDIRECT("Asta!H"&amp;MATCH(Y$3&amp;Y14&amp;$AK14,Asta!$I:$I,0))))</f>
        <v/>
      </c>
      <c r="AB14" s="384" t="str">
        <f>Y14</f>
        <v>D</v>
      </c>
      <c r="AC14" s="9" t="str">
        <f ca="1">IF(AB14="","",IF(ISNA(MATCH(AB$3&amp;AB14&amp;$AK14,Asta!$I:$I,0)),"",INDIRECT("Asta!B"&amp;MATCH(AB$3&amp;AB14&amp;$AK14,Asta!$I:$I,0))))</f>
        <v/>
      </c>
      <c r="AD14" s="10" t="str">
        <f ca="1">IF(AC14="","",IF(ISNA(MATCH(AB$3&amp;AB14&amp;$AK14,Asta!$I:$I,0)),"",INDIRECT("Asta!H"&amp;MATCH(AB$3&amp;AB14&amp;$AK14,Asta!$I:$I,0))))</f>
        <v/>
      </c>
      <c r="AE14" s="384" t="str">
        <f>AB14</f>
        <v>D</v>
      </c>
      <c r="AF14" s="9" t="str">
        <f ca="1">IF(AE14="","",IF(ISNA(MATCH(AE$3&amp;AE14&amp;$AK14,Asta!$I:$I,0)),"",INDIRECT("Asta!B"&amp;MATCH(AE$3&amp;AE14&amp;$AK14,Asta!$I:$I,0))))</f>
        <v/>
      </c>
      <c r="AG14" s="10" t="str">
        <f ca="1">IF(AF14="","",IF(ISNA(MATCH(AE$3&amp;AE14&amp;$AK14,Asta!$I:$I,0)),"",INDIRECT("Asta!H"&amp;MATCH(AE$3&amp;AE14&amp;$AK14,Asta!$I:$I,0))))</f>
        <v/>
      </c>
      <c r="AH14" s="384" t="str">
        <f>AE14</f>
        <v>D</v>
      </c>
      <c r="AI14" s="9" t="str">
        <f ca="1">IF(AH14="","",IF(ISNA(MATCH(AH$3&amp;AH14&amp;$AK14,Asta!$I:$I,0)),"",INDIRECT("Asta!B"&amp;MATCH(AH$3&amp;AH14&amp;$AK14,Asta!$I:$I,0))))</f>
        <v/>
      </c>
      <c r="AJ14" s="10" t="str">
        <f ca="1">IF(AI14="","",IF(ISNA(MATCH(AH$3&amp;AH14&amp;$AK14,Asta!$I:$I,0)),"",INDIRECT("Asta!H"&amp;MATCH(AH$3&amp;AH14&amp;$AK14,Asta!$I:$I,0))))</f>
        <v/>
      </c>
      <c r="AK14" s="4">
        <v>1</v>
      </c>
      <c r="AM14" s="221"/>
      <c r="AN14" s="231" t="str">
        <f ca="1">IF(Giocatori!E21=0,"",Giocatori!E21)</f>
        <v>COTTICELLI</v>
      </c>
      <c r="AO14" s="221"/>
      <c r="AP14" s="231" t="str">
        <f ca="1">IF(Giocatori!H21=0,"",Giocatori!H21)</f>
        <v>ANTEI</v>
      </c>
      <c r="AQ14" s="221"/>
      <c r="AR14" s="231" t="str">
        <f ca="1">IF(Giocatori!K21=0,"",Giocatori!K21)</f>
        <v>BENASSI</v>
      </c>
      <c r="AS14" s="221"/>
      <c r="AT14" s="231" t="str">
        <f ca="1">IF(Giocatori!N21=0,"",Giocatori!N21)</f>
        <v>BUDIMIR</v>
      </c>
      <c r="AU14" s="221"/>
      <c r="AV14" s="231" t="str">
        <f ca="1">IF(Giocatori!Q21=0,"",Giocatori!Q21)</f>
        <v/>
      </c>
      <c r="AW14" s="4" t="str">
        <f ca="1">IF(N5=0,"",N5)</f>
        <v/>
      </c>
      <c r="AX14" t="str">
        <f t="shared" ca="1" si="0"/>
        <v>COTTICELLI</v>
      </c>
      <c r="AY14" s="7">
        <f t="shared" ca="1" si="1"/>
        <v>14</v>
      </c>
      <c r="AZ14" s="7" t="str">
        <f t="shared" ca="1" si="2"/>
        <v>COTTICELLI</v>
      </c>
      <c r="BA14" s="4" t="str">
        <f t="shared" ca="1" si="20"/>
        <v/>
      </c>
      <c r="BB14" t="str">
        <f t="shared" ca="1" si="4"/>
        <v>ANTEI</v>
      </c>
      <c r="BC14" s="7">
        <f t="shared" ca="1" si="15"/>
        <v>14</v>
      </c>
      <c r="BD14" s="7" t="str">
        <f t="shared" ca="1" si="5"/>
        <v>ANTEI</v>
      </c>
      <c r="BE14" s="4" t="str">
        <f t="shared" ca="1" si="21"/>
        <v/>
      </c>
      <c r="BF14" t="str">
        <f t="shared" ca="1" si="7"/>
        <v>BENASSI</v>
      </c>
      <c r="BG14" s="7">
        <f t="shared" ca="1" si="16"/>
        <v>14</v>
      </c>
      <c r="BH14" s="7" t="str">
        <f t="shared" ca="1" si="8"/>
        <v>BENASSI</v>
      </c>
      <c r="BI14" s="4" t="str">
        <f t="shared" ca="1" si="19"/>
        <v/>
      </c>
      <c r="BJ14" t="str">
        <f t="shared" ca="1" si="10"/>
        <v>BUDIMIR</v>
      </c>
      <c r="BK14" s="7">
        <f t="shared" ca="1" si="17"/>
        <v>14</v>
      </c>
      <c r="BL14" s="7" t="str">
        <f t="shared" ca="1" si="11"/>
        <v>BUDIMIR</v>
      </c>
      <c r="BM14" s="4" t="str">
        <f t="shared" ca="1" si="22"/>
        <v/>
      </c>
      <c r="BN14" t="str">
        <f t="shared" ca="1" si="13"/>
        <v/>
      </c>
      <c r="BO14" s="7">
        <f t="shared" ca="1" si="18"/>
        <v>1</v>
      </c>
      <c r="BP14" s="7">
        <f t="shared" ca="1" si="14"/>
        <v>0</v>
      </c>
    </row>
    <row r="15" spans="1:68" ht="14.25">
      <c r="A15" s="8" t="str">
        <f>IF(Asta!$AC$3&lt;AK15,"","D")</f>
        <v>D</v>
      </c>
      <c r="B15" s="9" t="str">
        <f ca="1">IF(A15="","",IF(ISNA(MATCH(A$3&amp;A15&amp;$AK15,Asta!$I:$I,0)),"",INDIRECT("Asta!B"&amp;MATCH(A$3&amp;A15&amp;$AK15,Asta!$I:$I,0))))</f>
        <v/>
      </c>
      <c r="C15" s="10" t="str">
        <f ca="1">IF(B15="","",IF(ISNA(MATCH(A$3&amp;A15&amp;$AK15,Asta!$I:$I,0)),"",INDIRECT("Asta!H"&amp;MATCH(A$3&amp;A15&amp;$AK15,Asta!$I:$I,0))))</f>
        <v/>
      </c>
      <c r="D15" s="384" t="str">
        <f t="shared" si="23"/>
        <v>D</v>
      </c>
      <c r="E15" s="9" t="str">
        <f ca="1">IF(D15="","",IF(ISNA(MATCH(D$3&amp;D15&amp;$AK15,Asta!$I:$I,0)),"",INDIRECT("Asta!B"&amp;MATCH(D$3&amp;D15&amp;$AK15,Asta!$I:$I,0))))</f>
        <v/>
      </c>
      <c r="F15" s="10" t="str">
        <f ca="1">IF(E15="","",IF(ISNA(MATCH(D$3&amp;D15&amp;$AK15,Asta!$I:$I,0)),"",INDIRECT("Asta!H"&amp;MATCH(D$3&amp;D15&amp;$AK15,Asta!$I:$I,0))))</f>
        <v/>
      </c>
      <c r="G15" s="384" t="str">
        <f t="shared" ref="G15:G23" si="24">D15</f>
        <v>D</v>
      </c>
      <c r="H15" s="9" t="str">
        <f ca="1">IF(G15="","",IF(ISNA(MATCH(G$3&amp;G15&amp;$AK15,Asta!$I:$I,0)),"",INDIRECT("Asta!B"&amp;MATCH(G$3&amp;G15&amp;$AK15,Asta!$I:$I,0))))</f>
        <v/>
      </c>
      <c r="I15" s="10" t="str">
        <f ca="1">IF(H15="","",IF(ISNA(MATCH(G$3&amp;G15&amp;$AK15,Asta!$I:$I,0)),"",INDIRECT("Asta!H"&amp;MATCH(G$3&amp;G15&amp;$AK15,Asta!$I:$I,0))))</f>
        <v/>
      </c>
      <c r="J15" s="384" t="str">
        <f t="shared" ref="J15:J23" si="25">G15</f>
        <v>D</v>
      </c>
      <c r="K15" s="9" t="str">
        <f ca="1">IF(J15="","",IF(ISNA(MATCH(J$3&amp;J15&amp;$AK15,Asta!$I:$I,0)),"",INDIRECT("Asta!B"&amp;MATCH(J$3&amp;J15&amp;$AK15,Asta!$I:$I,0))))</f>
        <v/>
      </c>
      <c r="L15" s="10" t="str">
        <f ca="1">IF(K15="","",IF(ISNA(MATCH(J$3&amp;J15&amp;$AK15,Asta!$I:$I,0)),"",INDIRECT("Asta!H"&amp;MATCH(J$3&amp;J15&amp;$AK15,Asta!$I:$I,0))))</f>
        <v/>
      </c>
      <c r="M15" s="384" t="str">
        <f t="shared" ref="M15:M23" si="26">J15</f>
        <v>D</v>
      </c>
      <c r="N15" s="9" t="str">
        <f ca="1">IF(M15="","",IF(ISNA(MATCH(M$3&amp;M15&amp;$AK15,Asta!$I:$I,0)),"",INDIRECT("Asta!B"&amp;MATCH(M$3&amp;M15&amp;$AK15,Asta!$I:$I,0))))</f>
        <v/>
      </c>
      <c r="O15" s="10" t="str">
        <f ca="1">IF(N15="","",IF(ISNA(MATCH(M$3&amp;M15&amp;$AK15,Asta!$I:$I,0)),"",INDIRECT("Asta!H"&amp;MATCH(M$3&amp;M15&amp;$AK15,Asta!$I:$I,0))))</f>
        <v/>
      </c>
      <c r="P15" s="384" t="str">
        <f t="shared" ref="P15:P23" si="27">M15</f>
        <v>D</v>
      </c>
      <c r="Q15" s="9" t="str">
        <f ca="1">IF(P15="","",IF(ISNA(MATCH(P$3&amp;P15&amp;$AK15,Asta!$I:$I,0)),"",INDIRECT("Asta!B"&amp;MATCH(P$3&amp;P15&amp;$AK15,Asta!$I:$I,0))))</f>
        <v/>
      </c>
      <c r="R15" s="10" t="str">
        <f ca="1">IF(Q15="","",IF(ISNA(MATCH(P$3&amp;P15&amp;$AK15,Asta!$I:$I,0)),"",INDIRECT("Asta!H"&amp;MATCH(P$3&amp;P15&amp;$AK15,Asta!$I:$I,0))))</f>
        <v/>
      </c>
      <c r="S15" s="384" t="str">
        <f t="shared" ref="S15:S23" si="28">P15</f>
        <v>D</v>
      </c>
      <c r="T15" s="9" t="str">
        <f ca="1">IF(S15="","",IF(ISNA(MATCH(S$3&amp;S15&amp;$AK15,Asta!$I:$I,0)),"",INDIRECT("Asta!B"&amp;MATCH(S$3&amp;S15&amp;$AK15,Asta!$I:$I,0))))</f>
        <v/>
      </c>
      <c r="U15" s="10" t="str">
        <f ca="1">IF(T15="","",IF(ISNA(MATCH(S$3&amp;S15&amp;$AK15,Asta!$I:$I,0)),"",INDIRECT("Asta!H"&amp;MATCH(S$3&amp;S15&amp;$AK15,Asta!$I:$I,0))))</f>
        <v/>
      </c>
      <c r="V15" s="384" t="str">
        <f t="shared" ref="V15:V23" si="29">S15</f>
        <v>D</v>
      </c>
      <c r="W15" s="9" t="str">
        <f ca="1">IF(V15="","",IF(ISNA(MATCH(V$3&amp;V15&amp;$AK15,Asta!$I:$I,0)),"",INDIRECT("Asta!B"&amp;MATCH(V$3&amp;V15&amp;$AK15,Asta!$I:$I,0))))</f>
        <v/>
      </c>
      <c r="X15" s="10" t="str">
        <f ca="1">IF(W15="","",IF(ISNA(MATCH(V$3&amp;V15&amp;$AK15,Asta!$I:$I,0)),"",INDIRECT("Asta!H"&amp;MATCH(V$3&amp;V15&amp;$AK15,Asta!$I:$I,0))))</f>
        <v/>
      </c>
      <c r="Y15" s="384" t="str">
        <f t="shared" ref="Y15:Y23" si="30">V15</f>
        <v>D</v>
      </c>
      <c r="Z15" s="9" t="str">
        <f ca="1">IF(Y15="","",IF(ISNA(MATCH(Y$3&amp;Y15&amp;$AK15,Asta!$I:$I,0)),"",INDIRECT("Asta!B"&amp;MATCH(Y$3&amp;Y15&amp;$AK15,Asta!$I:$I,0))))</f>
        <v/>
      </c>
      <c r="AA15" s="10" t="str">
        <f ca="1">IF(Z15="","",IF(ISNA(MATCH(Y$3&amp;Y15&amp;$AK15,Asta!$I:$I,0)),"",INDIRECT("Asta!H"&amp;MATCH(Y$3&amp;Y15&amp;$AK15,Asta!$I:$I,0))))</f>
        <v/>
      </c>
      <c r="AB15" s="384" t="str">
        <f t="shared" ref="AB15:AB23" si="31">Y15</f>
        <v>D</v>
      </c>
      <c r="AC15" s="9" t="str">
        <f ca="1">IF(AB15="","",IF(ISNA(MATCH(AB$3&amp;AB15&amp;$AK15,Asta!$I:$I,0)),"",INDIRECT("Asta!B"&amp;MATCH(AB$3&amp;AB15&amp;$AK15,Asta!$I:$I,0))))</f>
        <v/>
      </c>
      <c r="AD15" s="10" t="str">
        <f ca="1">IF(AC15="","",IF(ISNA(MATCH(AB$3&amp;AB15&amp;$AK15,Asta!$I:$I,0)),"",INDIRECT("Asta!H"&amp;MATCH(AB$3&amp;AB15&amp;$AK15,Asta!$I:$I,0))))</f>
        <v/>
      </c>
      <c r="AE15" s="384" t="str">
        <f t="shared" ref="AE15:AE23" si="32">AB15</f>
        <v>D</v>
      </c>
      <c r="AF15" s="9" t="str">
        <f ca="1">IF(AE15="","",IF(ISNA(MATCH(AE$3&amp;AE15&amp;$AK15,Asta!$I:$I,0)),"",INDIRECT("Asta!B"&amp;MATCH(AE$3&amp;AE15&amp;$AK15,Asta!$I:$I,0))))</f>
        <v/>
      </c>
      <c r="AG15" s="10" t="str">
        <f ca="1">IF(AF15="","",IF(ISNA(MATCH(AE$3&amp;AE15&amp;$AK15,Asta!$I:$I,0)),"",INDIRECT("Asta!H"&amp;MATCH(AE$3&amp;AE15&amp;$AK15,Asta!$I:$I,0))))</f>
        <v/>
      </c>
      <c r="AH15" s="384" t="str">
        <f t="shared" ref="AH15:AH23" si="33">AE15</f>
        <v>D</v>
      </c>
      <c r="AI15" s="9" t="str">
        <f ca="1">IF(AH15="","",IF(ISNA(MATCH(AH$3&amp;AH15&amp;$AK15,Asta!$I:$I,0)),"",INDIRECT("Asta!B"&amp;MATCH(AH$3&amp;AH15&amp;$AK15,Asta!$I:$I,0))))</f>
        <v/>
      </c>
      <c r="AJ15" s="10" t="str">
        <f ca="1">IF(AI15="","",IF(ISNA(MATCH(AH$3&amp;AH15&amp;$AK15,Asta!$I:$I,0)),"",INDIRECT("Asta!H"&amp;MATCH(AH$3&amp;AH15&amp;$AK15,Asta!$I:$I,0))))</f>
        <v/>
      </c>
      <c r="AK15" s="4">
        <v>2</v>
      </c>
      <c r="AM15" s="221"/>
      <c r="AN15" s="231" t="str">
        <f ca="1">IF(Giocatori!E22=0,"",Giocatori!E22)</f>
        <v>CRAGNO</v>
      </c>
      <c r="AO15" s="221"/>
      <c r="AP15" s="231" t="str">
        <f ca="1">IF(Giocatori!H22=0,"",Giocatori!H22)</f>
        <v>ANTONELLI</v>
      </c>
      <c r="AQ15" s="221"/>
      <c r="AR15" s="231" t="str">
        <f ca="1">IF(Giocatori!K22=0,"",Giocatori!K22)</f>
        <v>BENTANCUR</v>
      </c>
      <c r="AS15" s="221"/>
      <c r="AT15" s="231" t="str">
        <f ca="1">IF(Giocatori!N22=0,"",Giocatori!N22)</f>
        <v>CAICEDO</v>
      </c>
      <c r="AU15" s="221"/>
      <c r="AV15" s="231" t="str">
        <f ca="1">IF(Giocatori!Q22=0,"",Giocatori!Q22)</f>
        <v/>
      </c>
      <c r="AW15" s="4" t="str">
        <f ca="1">IF(N6=0,"",N6)</f>
        <v/>
      </c>
      <c r="AX15" t="str">
        <f t="shared" ca="1" si="0"/>
        <v>CRAGNO</v>
      </c>
      <c r="AY15" s="7">
        <f t="shared" ca="1" si="1"/>
        <v>15</v>
      </c>
      <c r="AZ15" s="7" t="str">
        <f t="shared" ca="1" si="2"/>
        <v>CRAGNO</v>
      </c>
      <c r="BA15" s="4" t="str">
        <f t="shared" ca="1" si="20"/>
        <v/>
      </c>
      <c r="BB15" t="str">
        <f t="shared" ca="1" si="4"/>
        <v>ANTONELLI</v>
      </c>
      <c r="BC15" s="7">
        <f t="shared" ca="1" si="15"/>
        <v>15</v>
      </c>
      <c r="BD15" s="7" t="str">
        <f t="shared" ca="1" si="5"/>
        <v>ANTONELLI</v>
      </c>
      <c r="BE15" s="4" t="str">
        <f t="shared" ca="1" si="21"/>
        <v/>
      </c>
      <c r="BF15" t="str">
        <f t="shared" ca="1" si="7"/>
        <v>BENTANCUR</v>
      </c>
      <c r="BG15" s="7">
        <f t="shared" ca="1" si="16"/>
        <v>15</v>
      </c>
      <c r="BH15" s="7" t="str">
        <f t="shared" ca="1" si="8"/>
        <v>BENTANCUR</v>
      </c>
      <c r="BI15" s="4" t="str">
        <f t="shared" ca="1" si="19"/>
        <v/>
      </c>
      <c r="BJ15" t="str">
        <f t="shared" ca="1" si="10"/>
        <v>CAICEDO</v>
      </c>
      <c r="BK15" s="7">
        <f t="shared" ca="1" si="17"/>
        <v>15</v>
      </c>
      <c r="BL15" s="7" t="str">
        <f t="shared" ca="1" si="11"/>
        <v>CAICEDO</v>
      </c>
      <c r="BM15" s="4" t="str">
        <f t="shared" ca="1" si="22"/>
        <v/>
      </c>
      <c r="BN15" t="str">
        <f t="shared" ca="1" si="13"/>
        <v/>
      </c>
      <c r="BO15" s="7">
        <f t="shared" ca="1" si="18"/>
        <v>1</v>
      </c>
      <c r="BP15" s="7">
        <f t="shared" ca="1" si="14"/>
        <v>0</v>
      </c>
    </row>
    <row r="16" spans="1:68" ht="12.75" customHeight="1">
      <c r="A16" s="8" t="str">
        <f>IF(Asta!$AC$3&lt;AK16,"","D")</f>
        <v>D</v>
      </c>
      <c r="B16" s="9" t="str">
        <f ca="1">IF(A16="","",IF(ISNA(MATCH(A$3&amp;A16&amp;$AK16,Asta!$I:$I,0)),"",INDIRECT("Asta!B"&amp;MATCH(A$3&amp;A16&amp;$AK16,Asta!$I:$I,0))))</f>
        <v/>
      </c>
      <c r="C16" s="10" t="str">
        <f ca="1">IF(B16="","",IF(ISNA(MATCH(A$3&amp;A16&amp;$AK16,Asta!$I:$I,0)),"",INDIRECT("Asta!H"&amp;MATCH(A$3&amp;A16&amp;$AK16,Asta!$I:$I,0))))</f>
        <v/>
      </c>
      <c r="D16" s="384" t="str">
        <f t="shared" si="23"/>
        <v>D</v>
      </c>
      <c r="E16" s="9" t="str">
        <f ca="1">IF(D16="","",IF(ISNA(MATCH(D$3&amp;D16&amp;$AK16,Asta!$I:$I,0)),"",INDIRECT("Asta!B"&amp;MATCH(D$3&amp;D16&amp;$AK16,Asta!$I:$I,0))))</f>
        <v/>
      </c>
      <c r="F16" s="10" t="str">
        <f ca="1">IF(E16="","",IF(ISNA(MATCH(D$3&amp;D16&amp;$AK16,Asta!$I:$I,0)),"",INDIRECT("Asta!H"&amp;MATCH(D$3&amp;D16&amp;$AK16,Asta!$I:$I,0))))</f>
        <v/>
      </c>
      <c r="G16" s="384" t="str">
        <f t="shared" si="24"/>
        <v>D</v>
      </c>
      <c r="H16" s="9" t="str">
        <f ca="1">IF(G16="","",IF(ISNA(MATCH(G$3&amp;G16&amp;$AK16,Asta!$I:$I,0)),"",INDIRECT("Asta!B"&amp;MATCH(G$3&amp;G16&amp;$AK16,Asta!$I:$I,0))))</f>
        <v/>
      </c>
      <c r="I16" s="10" t="str">
        <f ca="1">IF(H16="","",IF(ISNA(MATCH(G$3&amp;G16&amp;$AK16,Asta!$I:$I,0)),"",INDIRECT("Asta!H"&amp;MATCH(G$3&amp;G16&amp;$AK16,Asta!$I:$I,0))))</f>
        <v/>
      </c>
      <c r="J16" s="384" t="str">
        <f t="shared" si="25"/>
        <v>D</v>
      </c>
      <c r="K16" s="9" t="str">
        <f ca="1">IF(J16="","",IF(ISNA(MATCH(J$3&amp;J16&amp;$AK16,Asta!$I:$I,0)),"",INDIRECT("Asta!B"&amp;MATCH(J$3&amp;J16&amp;$AK16,Asta!$I:$I,0))))</f>
        <v/>
      </c>
      <c r="L16" s="10" t="str">
        <f ca="1">IF(K16="","",IF(ISNA(MATCH(J$3&amp;J16&amp;$AK16,Asta!$I:$I,0)),"",INDIRECT("Asta!H"&amp;MATCH(J$3&amp;J16&amp;$AK16,Asta!$I:$I,0))))</f>
        <v/>
      </c>
      <c r="M16" s="384" t="str">
        <f t="shared" si="26"/>
        <v>D</v>
      </c>
      <c r="N16" s="9" t="str">
        <f ca="1">IF(M16="","",IF(ISNA(MATCH(M$3&amp;M16&amp;$AK16,Asta!$I:$I,0)),"",INDIRECT("Asta!B"&amp;MATCH(M$3&amp;M16&amp;$AK16,Asta!$I:$I,0))))</f>
        <v/>
      </c>
      <c r="O16" s="10" t="str">
        <f ca="1">IF(N16="","",IF(ISNA(MATCH(M$3&amp;M16&amp;$AK16,Asta!$I:$I,0)),"",INDIRECT("Asta!H"&amp;MATCH(M$3&amp;M16&amp;$AK16,Asta!$I:$I,0))))</f>
        <v/>
      </c>
      <c r="P16" s="384" t="str">
        <f t="shared" si="27"/>
        <v>D</v>
      </c>
      <c r="Q16" s="9" t="str">
        <f ca="1">IF(P16="","",IF(ISNA(MATCH(P$3&amp;P16&amp;$AK16,Asta!$I:$I,0)),"",INDIRECT("Asta!B"&amp;MATCH(P$3&amp;P16&amp;$AK16,Asta!$I:$I,0))))</f>
        <v/>
      </c>
      <c r="R16" s="10" t="str">
        <f ca="1">IF(Q16="","",IF(ISNA(MATCH(P$3&amp;P16&amp;$AK16,Asta!$I:$I,0)),"",INDIRECT("Asta!H"&amp;MATCH(P$3&amp;P16&amp;$AK16,Asta!$I:$I,0))))</f>
        <v/>
      </c>
      <c r="S16" s="384" t="str">
        <f t="shared" si="28"/>
        <v>D</v>
      </c>
      <c r="T16" s="9" t="str">
        <f ca="1">IF(S16="","",IF(ISNA(MATCH(S$3&amp;S16&amp;$AK16,Asta!$I:$I,0)),"",INDIRECT("Asta!B"&amp;MATCH(S$3&amp;S16&amp;$AK16,Asta!$I:$I,0))))</f>
        <v/>
      </c>
      <c r="U16" s="10" t="str">
        <f ca="1">IF(T16="","",IF(ISNA(MATCH(S$3&amp;S16&amp;$AK16,Asta!$I:$I,0)),"",INDIRECT("Asta!H"&amp;MATCH(S$3&amp;S16&amp;$AK16,Asta!$I:$I,0))))</f>
        <v/>
      </c>
      <c r="V16" s="384" t="str">
        <f t="shared" si="29"/>
        <v>D</v>
      </c>
      <c r="W16" s="9" t="str">
        <f ca="1">IF(V16="","",IF(ISNA(MATCH(V$3&amp;V16&amp;$AK16,Asta!$I:$I,0)),"",INDIRECT("Asta!B"&amp;MATCH(V$3&amp;V16&amp;$AK16,Asta!$I:$I,0))))</f>
        <v/>
      </c>
      <c r="X16" s="10" t="str">
        <f ca="1">IF(W16="","",IF(ISNA(MATCH(V$3&amp;V16&amp;$AK16,Asta!$I:$I,0)),"",INDIRECT("Asta!H"&amp;MATCH(V$3&amp;V16&amp;$AK16,Asta!$I:$I,0))))</f>
        <v/>
      </c>
      <c r="Y16" s="384" t="str">
        <f t="shared" si="30"/>
        <v>D</v>
      </c>
      <c r="Z16" s="9" t="str">
        <f ca="1">IF(Y16="","",IF(ISNA(MATCH(Y$3&amp;Y16&amp;$AK16,Asta!$I:$I,0)),"",INDIRECT("Asta!B"&amp;MATCH(Y$3&amp;Y16&amp;$AK16,Asta!$I:$I,0))))</f>
        <v/>
      </c>
      <c r="AA16" s="10" t="str">
        <f ca="1">IF(Z16="","",IF(ISNA(MATCH(Y$3&amp;Y16&amp;$AK16,Asta!$I:$I,0)),"",INDIRECT("Asta!H"&amp;MATCH(Y$3&amp;Y16&amp;$AK16,Asta!$I:$I,0))))</f>
        <v/>
      </c>
      <c r="AB16" s="384" t="str">
        <f t="shared" si="31"/>
        <v>D</v>
      </c>
      <c r="AC16" s="9" t="str">
        <f ca="1">IF(AB16="","",IF(ISNA(MATCH(AB$3&amp;AB16&amp;$AK16,Asta!$I:$I,0)),"",INDIRECT("Asta!B"&amp;MATCH(AB$3&amp;AB16&amp;$AK16,Asta!$I:$I,0))))</f>
        <v/>
      </c>
      <c r="AD16" s="10" t="str">
        <f ca="1">IF(AC16="","",IF(ISNA(MATCH(AB$3&amp;AB16&amp;$AK16,Asta!$I:$I,0)),"",INDIRECT("Asta!H"&amp;MATCH(AB$3&amp;AB16&amp;$AK16,Asta!$I:$I,0))))</f>
        <v/>
      </c>
      <c r="AE16" s="384" t="str">
        <f t="shared" si="32"/>
        <v>D</v>
      </c>
      <c r="AF16" s="9" t="str">
        <f ca="1">IF(AE16="","",IF(ISNA(MATCH(AE$3&amp;AE16&amp;$AK16,Asta!$I:$I,0)),"",INDIRECT("Asta!B"&amp;MATCH(AE$3&amp;AE16&amp;$AK16,Asta!$I:$I,0))))</f>
        <v/>
      </c>
      <c r="AG16" s="10" t="str">
        <f ca="1">IF(AF16="","",IF(ISNA(MATCH(AE$3&amp;AE16&amp;$AK16,Asta!$I:$I,0)),"",INDIRECT("Asta!H"&amp;MATCH(AE$3&amp;AE16&amp;$AK16,Asta!$I:$I,0))))</f>
        <v/>
      </c>
      <c r="AH16" s="384" t="str">
        <f t="shared" si="33"/>
        <v>D</v>
      </c>
      <c r="AI16" s="9" t="str">
        <f ca="1">IF(AH16="","",IF(ISNA(MATCH(AH$3&amp;AH16&amp;$AK16,Asta!$I:$I,0)),"",INDIRECT("Asta!B"&amp;MATCH(AH$3&amp;AH16&amp;$AK16,Asta!$I:$I,0))))</f>
        <v/>
      </c>
      <c r="AJ16" s="10" t="str">
        <f ca="1">IF(AI16="","",IF(ISNA(MATCH(AH$3&amp;AH16&amp;$AK16,Asta!$I:$I,0)),"",INDIRECT("Asta!H"&amp;MATCH(AH$3&amp;AH16&amp;$AK16,Asta!$I:$I,0))))</f>
        <v/>
      </c>
      <c r="AK16" s="4">
        <v>3</v>
      </c>
      <c r="AM16" s="221"/>
      <c r="AN16" s="231" t="str">
        <f ca="1">IF(Giocatori!E23=0,"",Giocatori!E23)</f>
        <v>CROSTA</v>
      </c>
      <c r="AO16" s="221"/>
      <c r="AP16" s="231" t="str">
        <f ca="1">IF(Giocatori!H23=0,"",Giocatori!H23)</f>
        <v>ASAMOAH</v>
      </c>
      <c r="AQ16" s="221"/>
      <c r="AR16" s="231" t="str">
        <f ca="1">IF(Giocatori!K23=0,"",Giocatori!K23)</f>
        <v>BERENGUER</v>
      </c>
      <c r="AS16" s="221"/>
      <c r="AT16" s="231" t="str">
        <f ca="1">IF(Giocatori!N23=0,"",Giocatori!N23)</f>
        <v>CALLEJON</v>
      </c>
      <c r="AU16" s="221"/>
      <c r="AV16" s="231" t="str">
        <f ca="1">IF(Giocatori!Q23=0,"",Giocatori!Q23)</f>
        <v/>
      </c>
      <c r="AW16" s="4" t="str">
        <f ca="1">IF(N7=0,"",N7)</f>
        <v/>
      </c>
      <c r="AX16" t="str">
        <f t="shared" ca="1" si="0"/>
        <v>CROSTA</v>
      </c>
      <c r="AY16" s="7">
        <f t="shared" ca="1" si="1"/>
        <v>16</v>
      </c>
      <c r="AZ16" s="7" t="str">
        <f t="shared" ca="1" si="2"/>
        <v>CROSTA</v>
      </c>
      <c r="BA16" s="4" t="str">
        <f t="shared" ca="1" si="20"/>
        <v/>
      </c>
      <c r="BB16" t="str">
        <f t="shared" ca="1" si="4"/>
        <v>ASAMOAH</v>
      </c>
      <c r="BC16" s="7">
        <f t="shared" ca="1" si="15"/>
        <v>16</v>
      </c>
      <c r="BD16" s="7" t="str">
        <f t="shared" ca="1" si="5"/>
        <v>ASAMOAH</v>
      </c>
      <c r="BE16" s="4" t="str">
        <f t="shared" ca="1" si="21"/>
        <v/>
      </c>
      <c r="BF16" t="str">
        <f t="shared" ca="1" si="7"/>
        <v>BERENGUER</v>
      </c>
      <c r="BG16" s="7">
        <f t="shared" ca="1" si="16"/>
        <v>16</v>
      </c>
      <c r="BH16" s="7" t="str">
        <f t="shared" ca="1" si="8"/>
        <v>BERENGUER</v>
      </c>
      <c r="BI16" s="4" t="str">
        <f t="shared" ca="1" si="19"/>
        <v/>
      </c>
      <c r="BJ16" t="str">
        <f t="shared" ca="1" si="10"/>
        <v>CALLEJON</v>
      </c>
      <c r="BK16" s="7">
        <f t="shared" ca="1" si="17"/>
        <v>16</v>
      </c>
      <c r="BL16" s="7" t="str">
        <f t="shared" ca="1" si="11"/>
        <v>CALLEJON</v>
      </c>
      <c r="BM16" s="4" t="str">
        <f t="shared" ca="1" si="22"/>
        <v/>
      </c>
      <c r="BN16" t="str">
        <f t="shared" ca="1" si="13"/>
        <v/>
      </c>
      <c r="BO16" s="7">
        <f t="shared" ca="1" si="18"/>
        <v>1</v>
      </c>
      <c r="BP16" s="7">
        <f t="shared" ca="1" si="14"/>
        <v>0</v>
      </c>
    </row>
    <row r="17" spans="1:68" ht="14.25" customHeight="1">
      <c r="A17" s="8" t="str">
        <f>IF(Asta!$AC$3&lt;AK17,"","D")</f>
        <v>D</v>
      </c>
      <c r="B17" s="9" t="str">
        <f ca="1">IF(A17="","",IF(ISNA(MATCH(A$3&amp;A17&amp;$AK17,Asta!$I:$I,0)),"",INDIRECT("Asta!B"&amp;MATCH(A$3&amp;A17&amp;$AK17,Asta!$I:$I,0))))</f>
        <v/>
      </c>
      <c r="C17" s="10" t="str">
        <f ca="1">IF(B17="","",IF(ISNA(MATCH(A$3&amp;A17&amp;$AK17,Asta!$I:$I,0)),"",INDIRECT("Asta!H"&amp;MATCH(A$3&amp;A17&amp;$AK17,Asta!$I:$I,0))))</f>
        <v/>
      </c>
      <c r="D17" s="384" t="str">
        <f t="shared" si="23"/>
        <v>D</v>
      </c>
      <c r="E17" s="9" t="str">
        <f ca="1">IF(D17="","",IF(ISNA(MATCH(D$3&amp;D17&amp;$AK17,Asta!$I:$I,0)),"",INDIRECT("Asta!B"&amp;MATCH(D$3&amp;D17&amp;$AK17,Asta!$I:$I,0))))</f>
        <v/>
      </c>
      <c r="F17" s="10" t="str">
        <f ca="1">IF(E17="","",IF(ISNA(MATCH(D$3&amp;D17&amp;$AK17,Asta!$I:$I,0)),"",INDIRECT("Asta!H"&amp;MATCH(D$3&amp;D17&amp;$AK17,Asta!$I:$I,0))))</f>
        <v/>
      </c>
      <c r="G17" s="384" t="str">
        <f t="shared" si="24"/>
        <v>D</v>
      </c>
      <c r="H17" s="9" t="str">
        <f ca="1">IF(G17="","",IF(ISNA(MATCH(G$3&amp;G17&amp;$AK17,Asta!$I:$I,0)),"",INDIRECT("Asta!B"&amp;MATCH(G$3&amp;G17&amp;$AK17,Asta!$I:$I,0))))</f>
        <v/>
      </c>
      <c r="I17" s="10" t="str">
        <f ca="1">IF(H17="","",IF(ISNA(MATCH(G$3&amp;G17&amp;$AK17,Asta!$I:$I,0)),"",INDIRECT("Asta!H"&amp;MATCH(G$3&amp;G17&amp;$AK17,Asta!$I:$I,0))))</f>
        <v/>
      </c>
      <c r="J17" s="384" t="str">
        <f t="shared" si="25"/>
        <v>D</v>
      </c>
      <c r="K17" s="9" t="str">
        <f ca="1">IF(J17="","",IF(ISNA(MATCH(J$3&amp;J17&amp;$AK17,Asta!$I:$I,0)),"",INDIRECT("Asta!B"&amp;MATCH(J$3&amp;J17&amp;$AK17,Asta!$I:$I,0))))</f>
        <v/>
      </c>
      <c r="L17" s="10" t="str">
        <f ca="1">IF(K17="","",IF(ISNA(MATCH(J$3&amp;J17&amp;$AK17,Asta!$I:$I,0)),"",INDIRECT("Asta!H"&amp;MATCH(J$3&amp;J17&amp;$AK17,Asta!$I:$I,0))))</f>
        <v/>
      </c>
      <c r="M17" s="384" t="str">
        <f t="shared" si="26"/>
        <v>D</v>
      </c>
      <c r="N17" s="9" t="str">
        <f ca="1">IF(M17="","",IF(ISNA(MATCH(M$3&amp;M17&amp;$AK17,Asta!$I:$I,0)),"",INDIRECT("Asta!B"&amp;MATCH(M$3&amp;M17&amp;$AK17,Asta!$I:$I,0))))</f>
        <v/>
      </c>
      <c r="O17" s="10" t="str">
        <f ca="1">IF(N17="","",IF(ISNA(MATCH(M$3&amp;M17&amp;$AK17,Asta!$I:$I,0)),"",INDIRECT("Asta!H"&amp;MATCH(M$3&amp;M17&amp;$AK17,Asta!$I:$I,0))))</f>
        <v/>
      </c>
      <c r="P17" s="384" t="str">
        <f t="shared" si="27"/>
        <v>D</v>
      </c>
      <c r="Q17" s="9" t="str">
        <f ca="1">IF(P17="","",IF(ISNA(MATCH(P$3&amp;P17&amp;$AK17,Asta!$I:$I,0)),"",INDIRECT("Asta!B"&amp;MATCH(P$3&amp;P17&amp;$AK17,Asta!$I:$I,0))))</f>
        <v/>
      </c>
      <c r="R17" s="10" t="str">
        <f ca="1">IF(Q17="","",IF(ISNA(MATCH(P$3&amp;P17&amp;$AK17,Asta!$I:$I,0)),"",INDIRECT("Asta!H"&amp;MATCH(P$3&amp;P17&amp;$AK17,Asta!$I:$I,0))))</f>
        <v/>
      </c>
      <c r="S17" s="384" t="str">
        <f t="shared" si="28"/>
        <v>D</v>
      </c>
      <c r="T17" s="9" t="str">
        <f ca="1">IF(S17="","",IF(ISNA(MATCH(S$3&amp;S17&amp;$AK17,Asta!$I:$I,0)),"",INDIRECT("Asta!B"&amp;MATCH(S$3&amp;S17&amp;$AK17,Asta!$I:$I,0))))</f>
        <v/>
      </c>
      <c r="U17" s="10" t="str">
        <f ca="1">IF(T17="","",IF(ISNA(MATCH(S$3&amp;S17&amp;$AK17,Asta!$I:$I,0)),"",INDIRECT("Asta!H"&amp;MATCH(S$3&amp;S17&amp;$AK17,Asta!$I:$I,0))))</f>
        <v/>
      </c>
      <c r="V17" s="384" t="str">
        <f t="shared" si="29"/>
        <v>D</v>
      </c>
      <c r="W17" s="9" t="str">
        <f ca="1">IF(V17="","",IF(ISNA(MATCH(V$3&amp;V17&amp;$AK17,Asta!$I:$I,0)),"",INDIRECT("Asta!B"&amp;MATCH(V$3&amp;V17&amp;$AK17,Asta!$I:$I,0))))</f>
        <v/>
      </c>
      <c r="X17" s="10" t="str">
        <f ca="1">IF(W17="","",IF(ISNA(MATCH(V$3&amp;V17&amp;$AK17,Asta!$I:$I,0)),"",INDIRECT("Asta!H"&amp;MATCH(V$3&amp;V17&amp;$AK17,Asta!$I:$I,0))))</f>
        <v/>
      </c>
      <c r="Y17" s="384" t="str">
        <f t="shared" si="30"/>
        <v>D</v>
      </c>
      <c r="Z17" s="9" t="str">
        <f ca="1">IF(Y17="","",IF(ISNA(MATCH(Y$3&amp;Y17&amp;$AK17,Asta!$I:$I,0)),"",INDIRECT("Asta!B"&amp;MATCH(Y$3&amp;Y17&amp;$AK17,Asta!$I:$I,0))))</f>
        <v/>
      </c>
      <c r="AA17" s="10" t="str">
        <f ca="1">IF(Z17="","",IF(ISNA(MATCH(Y$3&amp;Y17&amp;$AK17,Asta!$I:$I,0)),"",INDIRECT("Asta!H"&amp;MATCH(Y$3&amp;Y17&amp;$AK17,Asta!$I:$I,0))))</f>
        <v/>
      </c>
      <c r="AB17" s="384" t="str">
        <f t="shared" si="31"/>
        <v>D</v>
      </c>
      <c r="AC17" s="9" t="str">
        <f ca="1">IF(AB17="","",IF(ISNA(MATCH(AB$3&amp;AB17&amp;$AK17,Asta!$I:$I,0)),"",INDIRECT("Asta!B"&amp;MATCH(AB$3&amp;AB17&amp;$AK17,Asta!$I:$I,0))))</f>
        <v/>
      </c>
      <c r="AD17" s="10" t="str">
        <f ca="1">IF(AC17="","",IF(ISNA(MATCH(AB$3&amp;AB17&amp;$AK17,Asta!$I:$I,0)),"",INDIRECT("Asta!H"&amp;MATCH(AB$3&amp;AB17&amp;$AK17,Asta!$I:$I,0))))</f>
        <v/>
      </c>
      <c r="AE17" s="384" t="str">
        <f t="shared" si="32"/>
        <v>D</v>
      </c>
      <c r="AF17" s="9" t="str">
        <f ca="1">IF(AE17="","",IF(ISNA(MATCH(AE$3&amp;AE17&amp;$AK17,Asta!$I:$I,0)),"",INDIRECT("Asta!B"&amp;MATCH(AE$3&amp;AE17&amp;$AK17,Asta!$I:$I,0))))</f>
        <v/>
      </c>
      <c r="AG17" s="10" t="str">
        <f ca="1">IF(AF17="","",IF(ISNA(MATCH(AE$3&amp;AE17&amp;$AK17,Asta!$I:$I,0)),"",INDIRECT("Asta!H"&amp;MATCH(AE$3&amp;AE17&amp;$AK17,Asta!$I:$I,0))))</f>
        <v/>
      </c>
      <c r="AH17" s="384" t="str">
        <f t="shared" si="33"/>
        <v>D</v>
      </c>
      <c r="AI17" s="9" t="str">
        <f ca="1">IF(AH17="","",IF(ISNA(MATCH(AH$3&amp;AH17&amp;$AK17,Asta!$I:$I,0)),"",INDIRECT("Asta!B"&amp;MATCH(AH$3&amp;AH17&amp;$AK17,Asta!$I:$I,0))))</f>
        <v/>
      </c>
      <c r="AJ17" s="10" t="str">
        <f ca="1">IF(AI17="","",IF(ISNA(MATCH(AH$3&amp;AH17&amp;$AK17,Asta!$I:$I,0)),"",INDIRECT("Asta!H"&amp;MATCH(AH$3&amp;AH17&amp;$AK17,Asta!$I:$I,0))))</f>
        <v/>
      </c>
      <c r="AK17" s="4">
        <v>4</v>
      </c>
      <c r="AM17" s="221"/>
      <c r="AN17" s="231" t="str">
        <f ca="1">IF(Giocatori!E24=0,"",Giocatori!E24)</f>
        <v>DA COSTA</v>
      </c>
      <c r="AO17" s="221"/>
      <c r="AP17" s="231" t="str">
        <f ca="1">IF(Giocatori!H24=0,"",Giocatori!H24)</f>
        <v>ASTORI</v>
      </c>
      <c r="AQ17" s="221"/>
      <c r="AR17" s="231" t="str">
        <f ca="1">IF(Giocatori!K24=0,"",Giocatori!K24)</f>
        <v>BERNARDESCHI</v>
      </c>
      <c r="AS17" s="221"/>
      <c r="AT17" s="231" t="str">
        <f ca="1">IF(Giocatori!N24=0,"",Giocatori!N24)</f>
        <v>CAPRARI</v>
      </c>
      <c r="AU17" s="221"/>
      <c r="AV17" s="231" t="str">
        <f ca="1">IF(Giocatori!Q24=0,"",Giocatori!Q24)</f>
        <v/>
      </c>
      <c r="AW17" s="4" t="str">
        <f ca="1">IF(Q5=0,"",Q5)</f>
        <v/>
      </c>
      <c r="AX17" t="str">
        <f t="shared" ca="1" si="0"/>
        <v>DA COSTA</v>
      </c>
      <c r="AY17" s="7">
        <f t="shared" ca="1" si="1"/>
        <v>17</v>
      </c>
      <c r="AZ17" s="7" t="str">
        <f t="shared" ca="1" si="2"/>
        <v>DA COSTA</v>
      </c>
      <c r="BA17" s="4" t="str">
        <f t="shared" ca="1" si="20"/>
        <v/>
      </c>
      <c r="BB17" t="str">
        <f t="shared" ca="1" si="4"/>
        <v>ASTORI</v>
      </c>
      <c r="BC17" s="7">
        <f t="shared" ca="1" si="15"/>
        <v>17</v>
      </c>
      <c r="BD17" s="7" t="str">
        <f t="shared" ca="1" si="5"/>
        <v>ASTORI</v>
      </c>
      <c r="BE17" s="4" t="str">
        <f t="shared" ca="1" si="21"/>
        <v/>
      </c>
      <c r="BF17" t="str">
        <f t="shared" ca="1" si="7"/>
        <v>BERNARDESCHI</v>
      </c>
      <c r="BG17" s="7">
        <f t="shared" ca="1" si="16"/>
        <v>17</v>
      </c>
      <c r="BH17" s="7" t="str">
        <f t="shared" ca="1" si="8"/>
        <v>BERNARDESCHI</v>
      </c>
      <c r="BI17" s="4" t="str">
        <f t="shared" ca="1" si="19"/>
        <v/>
      </c>
      <c r="BJ17" t="str">
        <f t="shared" ca="1" si="10"/>
        <v>CAPRARI</v>
      </c>
      <c r="BK17" s="7">
        <f t="shared" ca="1" si="17"/>
        <v>17</v>
      </c>
      <c r="BL17" s="7" t="str">
        <f t="shared" ca="1" si="11"/>
        <v>CAPRARI</v>
      </c>
      <c r="BM17" s="4" t="str">
        <f t="shared" ca="1" si="22"/>
        <v/>
      </c>
      <c r="BN17" t="str">
        <f t="shared" ca="1" si="13"/>
        <v/>
      </c>
      <c r="BO17" s="7">
        <f t="shared" ca="1" si="18"/>
        <v>1</v>
      </c>
      <c r="BP17" s="7">
        <f t="shared" ca="1" si="14"/>
        <v>0</v>
      </c>
    </row>
    <row r="18" spans="1:68" ht="14.25">
      <c r="A18" s="8" t="str">
        <f>IF(Asta!$AC$3&lt;AK18,"","D")</f>
        <v>D</v>
      </c>
      <c r="B18" s="9" t="str">
        <f ca="1">IF(A18="","",IF(ISNA(MATCH(A$3&amp;A18&amp;$AK18,Asta!$I:$I,0)),"",INDIRECT("Asta!B"&amp;MATCH(A$3&amp;A18&amp;$AK18,Asta!$I:$I,0))))</f>
        <v/>
      </c>
      <c r="C18" s="10" t="str">
        <f ca="1">IF(B18="","",IF(ISNA(MATCH(A$3&amp;A18&amp;$AK18,Asta!$I:$I,0)),"",INDIRECT("Asta!H"&amp;MATCH(A$3&amp;A18&amp;$AK18,Asta!$I:$I,0))))</f>
        <v/>
      </c>
      <c r="D18" s="384" t="str">
        <f t="shared" si="23"/>
        <v>D</v>
      </c>
      <c r="E18" s="9" t="str">
        <f ca="1">IF(D18="","",IF(ISNA(MATCH(D$3&amp;D18&amp;$AK18,Asta!$I:$I,0)),"",INDIRECT("Asta!B"&amp;MATCH(D$3&amp;D18&amp;$AK18,Asta!$I:$I,0))))</f>
        <v/>
      </c>
      <c r="F18" s="10" t="str">
        <f ca="1">IF(E18="","",IF(ISNA(MATCH(D$3&amp;D18&amp;$AK18,Asta!$I:$I,0)),"",INDIRECT("Asta!H"&amp;MATCH(D$3&amp;D18&amp;$AK18,Asta!$I:$I,0))))</f>
        <v/>
      </c>
      <c r="G18" s="384" t="str">
        <f t="shared" si="24"/>
        <v>D</v>
      </c>
      <c r="H18" s="9" t="str">
        <f ca="1">IF(G18="","",IF(ISNA(MATCH(G$3&amp;G18&amp;$AK18,Asta!$I:$I,0)),"",INDIRECT("Asta!B"&amp;MATCH(G$3&amp;G18&amp;$AK18,Asta!$I:$I,0))))</f>
        <v/>
      </c>
      <c r="I18" s="10" t="str">
        <f ca="1">IF(H18="","",IF(ISNA(MATCH(G$3&amp;G18&amp;$AK18,Asta!$I:$I,0)),"",INDIRECT("Asta!H"&amp;MATCH(G$3&amp;G18&amp;$AK18,Asta!$I:$I,0))))</f>
        <v/>
      </c>
      <c r="J18" s="384" t="str">
        <f t="shared" si="25"/>
        <v>D</v>
      </c>
      <c r="K18" s="9" t="str">
        <f ca="1">IF(J18="","",IF(ISNA(MATCH(J$3&amp;J18&amp;$AK18,Asta!$I:$I,0)),"",INDIRECT("Asta!B"&amp;MATCH(J$3&amp;J18&amp;$AK18,Asta!$I:$I,0))))</f>
        <v/>
      </c>
      <c r="L18" s="10" t="str">
        <f ca="1">IF(K18="","",IF(ISNA(MATCH(J$3&amp;J18&amp;$AK18,Asta!$I:$I,0)),"",INDIRECT("Asta!H"&amp;MATCH(J$3&amp;J18&amp;$AK18,Asta!$I:$I,0))))</f>
        <v/>
      </c>
      <c r="M18" s="384" t="str">
        <f t="shared" si="26"/>
        <v>D</v>
      </c>
      <c r="N18" s="9" t="str">
        <f ca="1">IF(M18="","",IF(ISNA(MATCH(M$3&amp;M18&amp;$AK18,Asta!$I:$I,0)),"",INDIRECT("Asta!B"&amp;MATCH(M$3&amp;M18&amp;$AK18,Asta!$I:$I,0))))</f>
        <v/>
      </c>
      <c r="O18" s="10" t="str">
        <f ca="1">IF(N18="","",IF(ISNA(MATCH(M$3&amp;M18&amp;$AK18,Asta!$I:$I,0)),"",INDIRECT("Asta!H"&amp;MATCH(M$3&amp;M18&amp;$AK18,Asta!$I:$I,0))))</f>
        <v/>
      </c>
      <c r="P18" s="384" t="str">
        <f t="shared" si="27"/>
        <v>D</v>
      </c>
      <c r="Q18" s="9" t="str">
        <f ca="1">IF(P18="","",IF(ISNA(MATCH(P$3&amp;P18&amp;$AK18,Asta!$I:$I,0)),"",INDIRECT("Asta!B"&amp;MATCH(P$3&amp;P18&amp;$AK18,Asta!$I:$I,0))))</f>
        <v/>
      </c>
      <c r="R18" s="10" t="str">
        <f ca="1">IF(Q18="","",IF(ISNA(MATCH(P$3&amp;P18&amp;$AK18,Asta!$I:$I,0)),"",INDIRECT("Asta!H"&amp;MATCH(P$3&amp;P18&amp;$AK18,Asta!$I:$I,0))))</f>
        <v/>
      </c>
      <c r="S18" s="384" t="str">
        <f t="shared" si="28"/>
        <v>D</v>
      </c>
      <c r="T18" s="9" t="str">
        <f ca="1">IF(S18="","",IF(ISNA(MATCH(S$3&amp;S18&amp;$AK18,Asta!$I:$I,0)),"",INDIRECT("Asta!B"&amp;MATCH(S$3&amp;S18&amp;$AK18,Asta!$I:$I,0))))</f>
        <v/>
      </c>
      <c r="U18" s="10" t="str">
        <f ca="1">IF(T18="","",IF(ISNA(MATCH(S$3&amp;S18&amp;$AK18,Asta!$I:$I,0)),"",INDIRECT("Asta!H"&amp;MATCH(S$3&amp;S18&amp;$AK18,Asta!$I:$I,0))))</f>
        <v/>
      </c>
      <c r="V18" s="384" t="str">
        <f t="shared" si="29"/>
        <v>D</v>
      </c>
      <c r="W18" s="9" t="str">
        <f ca="1">IF(V18="","",IF(ISNA(MATCH(V$3&amp;V18&amp;$AK18,Asta!$I:$I,0)),"",INDIRECT("Asta!B"&amp;MATCH(V$3&amp;V18&amp;$AK18,Asta!$I:$I,0))))</f>
        <v/>
      </c>
      <c r="X18" s="10" t="str">
        <f ca="1">IF(W18="","",IF(ISNA(MATCH(V$3&amp;V18&amp;$AK18,Asta!$I:$I,0)),"",INDIRECT("Asta!H"&amp;MATCH(V$3&amp;V18&amp;$AK18,Asta!$I:$I,0))))</f>
        <v/>
      </c>
      <c r="Y18" s="384" t="str">
        <f t="shared" si="30"/>
        <v>D</v>
      </c>
      <c r="Z18" s="9" t="str">
        <f ca="1">IF(Y18="","",IF(ISNA(MATCH(Y$3&amp;Y18&amp;$AK18,Asta!$I:$I,0)),"",INDIRECT("Asta!B"&amp;MATCH(Y$3&amp;Y18&amp;$AK18,Asta!$I:$I,0))))</f>
        <v/>
      </c>
      <c r="AA18" s="10" t="str">
        <f ca="1">IF(Z18="","",IF(ISNA(MATCH(Y$3&amp;Y18&amp;$AK18,Asta!$I:$I,0)),"",INDIRECT("Asta!H"&amp;MATCH(Y$3&amp;Y18&amp;$AK18,Asta!$I:$I,0))))</f>
        <v/>
      </c>
      <c r="AB18" s="384" t="str">
        <f t="shared" si="31"/>
        <v>D</v>
      </c>
      <c r="AC18" s="9" t="str">
        <f ca="1">IF(AB18="","",IF(ISNA(MATCH(AB$3&amp;AB18&amp;$AK18,Asta!$I:$I,0)),"",INDIRECT("Asta!B"&amp;MATCH(AB$3&amp;AB18&amp;$AK18,Asta!$I:$I,0))))</f>
        <v/>
      </c>
      <c r="AD18" s="10" t="str">
        <f ca="1">IF(AC18="","",IF(ISNA(MATCH(AB$3&amp;AB18&amp;$AK18,Asta!$I:$I,0)),"",INDIRECT("Asta!H"&amp;MATCH(AB$3&amp;AB18&amp;$AK18,Asta!$I:$I,0))))</f>
        <v/>
      </c>
      <c r="AE18" s="384" t="str">
        <f t="shared" si="32"/>
        <v>D</v>
      </c>
      <c r="AF18" s="9" t="str">
        <f ca="1">IF(AE18="","",IF(ISNA(MATCH(AE$3&amp;AE18&amp;$AK18,Asta!$I:$I,0)),"",INDIRECT("Asta!B"&amp;MATCH(AE$3&amp;AE18&amp;$AK18,Asta!$I:$I,0))))</f>
        <v/>
      </c>
      <c r="AG18" s="10" t="str">
        <f ca="1">IF(AF18="","",IF(ISNA(MATCH(AE$3&amp;AE18&amp;$AK18,Asta!$I:$I,0)),"",INDIRECT("Asta!H"&amp;MATCH(AE$3&amp;AE18&amp;$AK18,Asta!$I:$I,0))))</f>
        <v/>
      </c>
      <c r="AH18" s="384" t="str">
        <f t="shared" si="33"/>
        <v>D</v>
      </c>
      <c r="AI18" s="9" t="str">
        <f ca="1">IF(AH18="","",IF(ISNA(MATCH(AH$3&amp;AH18&amp;$AK18,Asta!$I:$I,0)),"",INDIRECT("Asta!B"&amp;MATCH(AH$3&amp;AH18&amp;$AK18,Asta!$I:$I,0))))</f>
        <v/>
      </c>
      <c r="AJ18" s="10" t="str">
        <f ca="1">IF(AI18="","",IF(ISNA(MATCH(AH$3&amp;AH18&amp;$AK18,Asta!$I:$I,0)),"",INDIRECT("Asta!H"&amp;MATCH(AH$3&amp;AH18&amp;$AK18,Asta!$I:$I,0))))</f>
        <v/>
      </c>
      <c r="AK18" s="4">
        <v>5</v>
      </c>
      <c r="AM18" s="221"/>
      <c r="AN18" s="231" t="str">
        <f ca="1">IF(Giocatori!E25=0,"",Giocatori!E25)</f>
        <v>DONNARUMMA A</v>
      </c>
      <c r="AO18" s="221"/>
      <c r="AP18" s="231" t="str">
        <f ca="1">IF(Giocatori!H25=0,"",Giocatori!H25)</f>
        <v>BANI</v>
      </c>
      <c r="AQ18" s="221"/>
      <c r="AR18" s="231" t="str">
        <f ca="1">IF(Giocatori!K25=0,"",Giocatori!K25)</f>
        <v>BERTOLACCI</v>
      </c>
      <c r="AS18" s="221"/>
      <c r="AT18" s="231" t="str">
        <f ca="1">IF(Giocatori!N25=0,"",Giocatori!N25)</f>
        <v>CENTURION</v>
      </c>
      <c r="AU18" s="221"/>
      <c r="AV18" s="231" t="str">
        <f ca="1">IF(Giocatori!Q25=0,"",Giocatori!Q25)</f>
        <v/>
      </c>
      <c r="AW18" s="4" t="str">
        <f ca="1">IF(Q6=0,"",Q6)</f>
        <v/>
      </c>
      <c r="AX18" t="str">
        <f t="shared" ca="1" si="0"/>
        <v>DONNARUMMA A</v>
      </c>
      <c r="AY18" s="7">
        <f t="shared" ca="1" si="1"/>
        <v>18</v>
      </c>
      <c r="AZ18" s="7" t="str">
        <f t="shared" ca="1" si="2"/>
        <v>DONNARUMMA A</v>
      </c>
      <c r="BA18" s="4" t="str">
        <f t="shared" ca="1" si="20"/>
        <v/>
      </c>
      <c r="BB18" t="str">
        <f t="shared" ca="1" si="4"/>
        <v>BANI</v>
      </c>
      <c r="BC18" s="7">
        <f t="shared" ca="1" si="15"/>
        <v>18</v>
      </c>
      <c r="BD18" s="7" t="str">
        <f t="shared" ca="1" si="5"/>
        <v>BANI</v>
      </c>
      <c r="BE18" s="4" t="str">
        <f t="shared" ca="1" si="21"/>
        <v/>
      </c>
      <c r="BF18" t="str">
        <f t="shared" ca="1" si="7"/>
        <v>BERTOLACCI</v>
      </c>
      <c r="BG18" s="7">
        <f t="shared" ca="1" si="16"/>
        <v>18</v>
      </c>
      <c r="BH18" s="7" t="str">
        <f t="shared" ca="1" si="8"/>
        <v>BERTOLACCI</v>
      </c>
      <c r="BI18" s="4" t="str">
        <f t="shared" ref="BI18:BI25" ca="1" si="34">IF(H46=0,"",H46)</f>
        <v/>
      </c>
      <c r="BJ18" t="str">
        <f t="shared" ca="1" si="10"/>
        <v>CENTURION</v>
      </c>
      <c r="BK18" s="7">
        <f t="shared" ca="1" si="17"/>
        <v>18</v>
      </c>
      <c r="BL18" s="7" t="str">
        <f t="shared" ca="1" si="11"/>
        <v>CENTURION</v>
      </c>
      <c r="BM18" s="4" t="str">
        <f t="shared" ca="1" si="22"/>
        <v/>
      </c>
      <c r="BN18" t="str">
        <f t="shared" ca="1" si="13"/>
        <v/>
      </c>
      <c r="BO18" s="7">
        <f t="shared" ca="1" si="18"/>
        <v>1</v>
      </c>
      <c r="BP18" s="7">
        <f t="shared" ca="1" si="14"/>
        <v>0</v>
      </c>
    </row>
    <row r="19" spans="1:68" ht="14.25">
      <c r="A19" s="8" t="str">
        <f>IF(Asta!$AC$3&lt;AK19,"","D")</f>
        <v>D</v>
      </c>
      <c r="B19" s="9" t="str">
        <f ca="1">IF(A19="","",IF(ISNA(MATCH(A$3&amp;A19&amp;$AK19,Asta!$I:$I,0)),"",INDIRECT("Asta!B"&amp;MATCH(A$3&amp;A19&amp;$AK19,Asta!$I:$I,0))))</f>
        <v/>
      </c>
      <c r="C19" s="10" t="str">
        <f ca="1">IF(B19="","",IF(ISNA(MATCH(A$3&amp;A19&amp;$AK19,Asta!$I:$I,0)),"",INDIRECT("Asta!H"&amp;MATCH(A$3&amp;A19&amp;$AK19,Asta!$I:$I,0))))</f>
        <v/>
      </c>
      <c r="D19" s="384" t="str">
        <f t="shared" si="23"/>
        <v>D</v>
      </c>
      <c r="E19" s="9" t="str">
        <f ca="1">IF(D19="","",IF(ISNA(MATCH(D$3&amp;D19&amp;$AK19,Asta!$I:$I,0)),"",INDIRECT("Asta!B"&amp;MATCH(D$3&amp;D19&amp;$AK19,Asta!$I:$I,0))))</f>
        <v/>
      </c>
      <c r="F19" s="10" t="str">
        <f ca="1">IF(E19="","",IF(ISNA(MATCH(D$3&amp;D19&amp;$AK19,Asta!$I:$I,0)),"",INDIRECT("Asta!H"&amp;MATCH(D$3&amp;D19&amp;$AK19,Asta!$I:$I,0))))</f>
        <v/>
      </c>
      <c r="G19" s="384" t="str">
        <f t="shared" si="24"/>
        <v>D</v>
      </c>
      <c r="H19" s="9" t="str">
        <f ca="1">IF(G19="","",IF(ISNA(MATCH(G$3&amp;G19&amp;$AK19,Asta!$I:$I,0)),"",INDIRECT("Asta!B"&amp;MATCH(G$3&amp;G19&amp;$AK19,Asta!$I:$I,0))))</f>
        <v/>
      </c>
      <c r="I19" s="10" t="str">
        <f ca="1">IF(H19="","",IF(ISNA(MATCH(G$3&amp;G19&amp;$AK19,Asta!$I:$I,0)),"",INDIRECT("Asta!H"&amp;MATCH(G$3&amp;G19&amp;$AK19,Asta!$I:$I,0))))</f>
        <v/>
      </c>
      <c r="J19" s="384" t="str">
        <f t="shared" si="25"/>
        <v>D</v>
      </c>
      <c r="K19" s="9" t="str">
        <f ca="1">IF(J19="","",IF(ISNA(MATCH(J$3&amp;J19&amp;$AK19,Asta!$I:$I,0)),"",INDIRECT("Asta!B"&amp;MATCH(J$3&amp;J19&amp;$AK19,Asta!$I:$I,0))))</f>
        <v/>
      </c>
      <c r="L19" s="10" t="str">
        <f ca="1">IF(K19="","",IF(ISNA(MATCH(J$3&amp;J19&amp;$AK19,Asta!$I:$I,0)),"",INDIRECT("Asta!H"&amp;MATCH(J$3&amp;J19&amp;$AK19,Asta!$I:$I,0))))</f>
        <v/>
      </c>
      <c r="M19" s="384" t="str">
        <f t="shared" si="26"/>
        <v>D</v>
      </c>
      <c r="N19" s="9" t="str">
        <f ca="1">IF(M19="","",IF(ISNA(MATCH(M$3&amp;M19&amp;$AK19,Asta!$I:$I,0)),"",INDIRECT("Asta!B"&amp;MATCH(M$3&amp;M19&amp;$AK19,Asta!$I:$I,0))))</f>
        <v/>
      </c>
      <c r="O19" s="10" t="str">
        <f ca="1">IF(N19="","",IF(ISNA(MATCH(M$3&amp;M19&amp;$AK19,Asta!$I:$I,0)),"",INDIRECT("Asta!H"&amp;MATCH(M$3&amp;M19&amp;$AK19,Asta!$I:$I,0))))</f>
        <v/>
      </c>
      <c r="P19" s="384" t="str">
        <f t="shared" si="27"/>
        <v>D</v>
      </c>
      <c r="Q19" s="9" t="str">
        <f ca="1">IF(P19="","",IF(ISNA(MATCH(P$3&amp;P19&amp;$AK19,Asta!$I:$I,0)),"",INDIRECT("Asta!B"&amp;MATCH(P$3&amp;P19&amp;$AK19,Asta!$I:$I,0))))</f>
        <v/>
      </c>
      <c r="R19" s="10" t="str">
        <f ca="1">IF(Q19="","",IF(ISNA(MATCH(P$3&amp;P19&amp;$AK19,Asta!$I:$I,0)),"",INDIRECT("Asta!H"&amp;MATCH(P$3&amp;P19&amp;$AK19,Asta!$I:$I,0))))</f>
        <v/>
      </c>
      <c r="S19" s="384" t="str">
        <f t="shared" si="28"/>
        <v>D</v>
      </c>
      <c r="T19" s="9" t="str">
        <f ca="1">IF(S19="","",IF(ISNA(MATCH(S$3&amp;S19&amp;$AK19,Asta!$I:$I,0)),"",INDIRECT("Asta!B"&amp;MATCH(S$3&amp;S19&amp;$AK19,Asta!$I:$I,0))))</f>
        <v/>
      </c>
      <c r="U19" s="10" t="str">
        <f ca="1">IF(T19="","",IF(ISNA(MATCH(S$3&amp;S19&amp;$AK19,Asta!$I:$I,0)),"",INDIRECT("Asta!H"&amp;MATCH(S$3&amp;S19&amp;$AK19,Asta!$I:$I,0))))</f>
        <v/>
      </c>
      <c r="V19" s="384" t="str">
        <f t="shared" si="29"/>
        <v>D</v>
      </c>
      <c r="W19" s="9" t="str">
        <f ca="1">IF(V19="","",IF(ISNA(MATCH(V$3&amp;V19&amp;$AK19,Asta!$I:$I,0)),"",INDIRECT("Asta!B"&amp;MATCH(V$3&amp;V19&amp;$AK19,Asta!$I:$I,0))))</f>
        <v/>
      </c>
      <c r="X19" s="10" t="str">
        <f ca="1">IF(W19="","",IF(ISNA(MATCH(V$3&amp;V19&amp;$AK19,Asta!$I:$I,0)),"",INDIRECT("Asta!H"&amp;MATCH(V$3&amp;V19&amp;$AK19,Asta!$I:$I,0))))</f>
        <v/>
      </c>
      <c r="Y19" s="384" t="str">
        <f t="shared" si="30"/>
        <v>D</v>
      </c>
      <c r="Z19" s="9" t="str">
        <f ca="1">IF(Y19="","",IF(ISNA(MATCH(Y$3&amp;Y19&amp;$AK19,Asta!$I:$I,0)),"",INDIRECT("Asta!B"&amp;MATCH(Y$3&amp;Y19&amp;$AK19,Asta!$I:$I,0))))</f>
        <v/>
      </c>
      <c r="AA19" s="10" t="str">
        <f ca="1">IF(Z19="","",IF(ISNA(MATCH(Y$3&amp;Y19&amp;$AK19,Asta!$I:$I,0)),"",INDIRECT("Asta!H"&amp;MATCH(Y$3&amp;Y19&amp;$AK19,Asta!$I:$I,0))))</f>
        <v/>
      </c>
      <c r="AB19" s="384" t="str">
        <f t="shared" si="31"/>
        <v>D</v>
      </c>
      <c r="AC19" s="9" t="str">
        <f ca="1">IF(AB19="","",IF(ISNA(MATCH(AB$3&amp;AB19&amp;$AK19,Asta!$I:$I,0)),"",INDIRECT("Asta!B"&amp;MATCH(AB$3&amp;AB19&amp;$AK19,Asta!$I:$I,0))))</f>
        <v/>
      </c>
      <c r="AD19" s="10" t="str">
        <f ca="1">IF(AC19="","",IF(ISNA(MATCH(AB$3&amp;AB19&amp;$AK19,Asta!$I:$I,0)),"",INDIRECT("Asta!H"&amp;MATCH(AB$3&amp;AB19&amp;$AK19,Asta!$I:$I,0))))</f>
        <v/>
      </c>
      <c r="AE19" s="384" t="str">
        <f t="shared" si="32"/>
        <v>D</v>
      </c>
      <c r="AF19" s="9" t="str">
        <f ca="1">IF(AE19="","",IF(ISNA(MATCH(AE$3&amp;AE19&amp;$AK19,Asta!$I:$I,0)),"",INDIRECT("Asta!B"&amp;MATCH(AE$3&amp;AE19&amp;$AK19,Asta!$I:$I,0))))</f>
        <v/>
      </c>
      <c r="AG19" s="10" t="str">
        <f ca="1">IF(AF19="","",IF(ISNA(MATCH(AE$3&amp;AE19&amp;$AK19,Asta!$I:$I,0)),"",INDIRECT("Asta!H"&amp;MATCH(AE$3&amp;AE19&amp;$AK19,Asta!$I:$I,0))))</f>
        <v/>
      </c>
      <c r="AH19" s="384" t="str">
        <f t="shared" si="33"/>
        <v>D</v>
      </c>
      <c r="AI19" s="9" t="str">
        <f ca="1">IF(AH19="","",IF(ISNA(MATCH(AH$3&amp;AH19&amp;$AK19,Asta!$I:$I,0)),"",INDIRECT("Asta!B"&amp;MATCH(AH$3&amp;AH19&amp;$AK19,Asta!$I:$I,0))))</f>
        <v/>
      </c>
      <c r="AJ19" s="10" t="str">
        <f ca="1">IF(AI19="","",IF(ISNA(MATCH(AH$3&amp;AH19&amp;$AK19,Asta!$I:$I,0)),"",INDIRECT("Asta!H"&amp;MATCH(AH$3&amp;AH19&amp;$AK19,Asta!$I:$I,0))))</f>
        <v/>
      </c>
      <c r="AK19" s="4">
        <v>6</v>
      </c>
      <c r="AM19" s="221"/>
      <c r="AN19" s="231" t="str">
        <f ca="1">IF(Giocatori!E26=0,"",Giocatori!E26)</f>
        <v>DONNARUMMA G</v>
      </c>
      <c r="AO19" s="221"/>
      <c r="AP19" s="231" t="str">
        <f ca="1">IF(Giocatori!H26=0,"",Giocatori!H26)</f>
        <v>BARRECA</v>
      </c>
      <c r="AQ19" s="221"/>
      <c r="AR19" s="231" t="str">
        <f ca="1">IF(Giocatori!K26=0,"",Giocatori!K26)</f>
        <v>BESSA</v>
      </c>
      <c r="AS19" s="221"/>
      <c r="AT19" s="231" t="str">
        <f ca="1">IF(Giocatori!N26=0,"",Giocatori!N26)</f>
        <v>CERCI</v>
      </c>
      <c r="AU19" s="221"/>
      <c r="AV19" s="231" t="str">
        <f ca="1">IF(Giocatori!Q26=0,"",Giocatori!Q26)</f>
        <v/>
      </c>
      <c r="AW19" s="4" t="str">
        <f ca="1">IF(Q7=0,"",Q7)</f>
        <v/>
      </c>
      <c r="AX19" t="str">
        <f t="shared" ca="1" si="0"/>
        <v>DONNARUMMA G</v>
      </c>
      <c r="AY19" s="7">
        <f t="shared" ca="1" si="1"/>
        <v>19</v>
      </c>
      <c r="AZ19" s="7" t="str">
        <f t="shared" ca="1" si="2"/>
        <v>DONNARUMMA G</v>
      </c>
      <c r="BA19" s="4" t="str">
        <f t="shared" ca="1" si="20"/>
        <v/>
      </c>
      <c r="BB19" t="str">
        <f t="shared" ca="1" si="4"/>
        <v>BARRECA</v>
      </c>
      <c r="BC19" s="7">
        <f t="shared" ca="1" si="15"/>
        <v>19</v>
      </c>
      <c r="BD19" s="7" t="str">
        <f t="shared" ca="1" si="5"/>
        <v>BARRECA</v>
      </c>
      <c r="BE19" s="4" t="str">
        <f t="shared" ca="1" si="21"/>
        <v/>
      </c>
      <c r="BF19" t="str">
        <f t="shared" ca="1" si="7"/>
        <v>BESSA</v>
      </c>
      <c r="BG19" s="7">
        <f t="shared" ca="1" si="16"/>
        <v>19</v>
      </c>
      <c r="BH19" s="7" t="str">
        <f t="shared" ca="1" si="8"/>
        <v>BESSA</v>
      </c>
      <c r="BI19" s="4" t="str">
        <f t="shared" ca="1" si="34"/>
        <v/>
      </c>
      <c r="BJ19" t="str">
        <f t="shared" ca="1" si="10"/>
        <v>CERCI</v>
      </c>
      <c r="BK19" s="7">
        <f t="shared" ca="1" si="17"/>
        <v>19</v>
      </c>
      <c r="BL19" s="7" t="str">
        <f t="shared" ca="1" si="11"/>
        <v>CERCI</v>
      </c>
      <c r="BM19" s="4" t="str">
        <f t="shared" ca="1" si="22"/>
        <v/>
      </c>
      <c r="BN19" t="str">
        <f t="shared" ca="1" si="13"/>
        <v/>
      </c>
      <c r="BO19" s="7">
        <f t="shared" ca="1" si="18"/>
        <v>1</v>
      </c>
      <c r="BP19" s="7">
        <f t="shared" ca="1" si="14"/>
        <v>0</v>
      </c>
    </row>
    <row r="20" spans="1:68" ht="14.25">
      <c r="A20" s="8" t="str">
        <f>IF(Asta!$AC$3&lt;AK20,"","D")</f>
        <v>D</v>
      </c>
      <c r="B20" s="9" t="str">
        <f ca="1">IF(A20="","",IF(ISNA(MATCH(A$3&amp;A20&amp;$AK20,Asta!$I:$I,0)),"",INDIRECT("Asta!B"&amp;MATCH(A$3&amp;A20&amp;$AK20,Asta!$I:$I,0))))</f>
        <v/>
      </c>
      <c r="C20" s="10" t="str">
        <f ca="1">IF(B20="","",IF(ISNA(MATCH(A$3&amp;A20&amp;$AK20,Asta!$I:$I,0)),"",INDIRECT("Asta!H"&amp;MATCH(A$3&amp;A20&amp;$AK20,Asta!$I:$I,0))))</f>
        <v/>
      </c>
      <c r="D20" s="384" t="str">
        <f t="shared" si="23"/>
        <v>D</v>
      </c>
      <c r="E20" s="9" t="str">
        <f ca="1">IF(D20="","",IF(ISNA(MATCH(D$3&amp;D20&amp;$AK20,Asta!$I:$I,0)),"",INDIRECT("Asta!B"&amp;MATCH(D$3&amp;D20&amp;$AK20,Asta!$I:$I,0))))</f>
        <v/>
      </c>
      <c r="F20" s="10" t="str">
        <f ca="1">IF(E20="","",IF(ISNA(MATCH(D$3&amp;D20&amp;$AK20,Asta!$I:$I,0)),"",INDIRECT("Asta!H"&amp;MATCH(D$3&amp;D20&amp;$AK20,Asta!$I:$I,0))))</f>
        <v/>
      </c>
      <c r="G20" s="384" t="str">
        <f t="shared" si="24"/>
        <v>D</v>
      </c>
      <c r="H20" s="9" t="str">
        <f ca="1">IF(G20="","",IF(ISNA(MATCH(G$3&amp;G20&amp;$AK20,Asta!$I:$I,0)),"",INDIRECT("Asta!B"&amp;MATCH(G$3&amp;G20&amp;$AK20,Asta!$I:$I,0))))</f>
        <v/>
      </c>
      <c r="I20" s="10" t="str">
        <f ca="1">IF(H20="","",IF(ISNA(MATCH(G$3&amp;G20&amp;$AK20,Asta!$I:$I,0)),"",INDIRECT("Asta!H"&amp;MATCH(G$3&amp;G20&amp;$AK20,Asta!$I:$I,0))))</f>
        <v/>
      </c>
      <c r="J20" s="384" t="str">
        <f t="shared" si="25"/>
        <v>D</v>
      </c>
      <c r="K20" s="9" t="str">
        <f ca="1">IF(J20="","",IF(ISNA(MATCH(J$3&amp;J20&amp;$AK20,Asta!$I:$I,0)),"",INDIRECT("Asta!B"&amp;MATCH(J$3&amp;J20&amp;$AK20,Asta!$I:$I,0))))</f>
        <v/>
      </c>
      <c r="L20" s="10" t="str">
        <f ca="1">IF(K20="","",IF(ISNA(MATCH(J$3&amp;J20&amp;$AK20,Asta!$I:$I,0)),"",INDIRECT("Asta!H"&amp;MATCH(J$3&amp;J20&amp;$AK20,Asta!$I:$I,0))))</f>
        <v/>
      </c>
      <c r="M20" s="384" t="str">
        <f t="shared" si="26"/>
        <v>D</v>
      </c>
      <c r="N20" s="9" t="str">
        <f ca="1">IF(M20="","",IF(ISNA(MATCH(M$3&amp;M20&amp;$AK20,Asta!$I:$I,0)),"",INDIRECT("Asta!B"&amp;MATCH(M$3&amp;M20&amp;$AK20,Asta!$I:$I,0))))</f>
        <v/>
      </c>
      <c r="O20" s="10" t="str">
        <f ca="1">IF(N20="","",IF(ISNA(MATCH(M$3&amp;M20&amp;$AK20,Asta!$I:$I,0)),"",INDIRECT("Asta!H"&amp;MATCH(M$3&amp;M20&amp;$AK20,Asta!$I:$I,0))))</f>
        <v/>
      </c>
      <c r="P20" s="384" t="str">
        <f t="shared" si="27"/>
        <v>D</v>
      </c>
      <c r="Q20" s="9" t="str">
        <f ca="1">IF(P20="","",IF(ISNA(MATCH(P$3&amp;P20&amp;$AK20,Asta!$I:$I,0)),"",INDIRECT("Asta!B"&amp;MATCH(P$3&amp;P20&amp;$AK20,Asta!$I:$I,0))))</f>
        <v/>
      </c>
      <c r="R20" s="10" t="str">
        <f ca="1">IF(Q20="","",IF(ISNA(MATCH(P$3&amp;P20&amp;$AK20,Asta!$I:$I,0)),"",INDIRECT("Asta!H"&amp;MATCH(P$3&amp;P20&amp;$AK20,Asta!$I:$I,0))))</f>
        <v/>
      </c>
      <c r="S20" s="384" t="str">
        <f t="shared" si="28"/>
        <v>D</v>
      </c>
      <c r="T20" s="9" t="str">
        <f ca="1">IF(S20="","",IF(ISNA(MATCH(S$3&amp;S20&amp;$AK20,Asta!$I:$I,0)),"",INDIRECT("Asta!B"&amp;MATCH(S$3&amp;S20&amp;$AK20,Asta!$I:$I,0))))</f>
        <v/>
      </c>
      <c r="U20" s="10" t="str">
        <f ca="1">IF(T20="","",IF(ISNA(MATCH(S$3&amp;S20&amp;$AK20,Asta!$I:$I,0)),"",INDIRECT("Asta!H"&amp;MATCH(S$3&amp;S20&amp;$AK20,Asta!$I:$I,0))))</f>
        <v/>
      </c>
      <c r="V20" s="384" t="str">
        <f t="shared" si="29"/>
        <v>D</v>
      </c>
      <c r="W20" s="9" t="str">
        <f ca="1">IF(V20="","",IF(ISNA(MATCH(V$3&amp;V20&amp;$AK20,Asta!$I:$I,0)),"",INDIRECT("Asta!B"&amp;MATCH(V$3&amp;V20&amp;$AK20,Asta!$I:$I,0))))</f>
        <v/>
      </c>
      <c r="X20" s="10" t="str">
        <f ca="1">IF(W20="","",IF(ISNA(MATCH(V$3&amp;V20&amp;$AK20,Asta!$I:$I,0)),"",INDIRECT("Asta!H"&amp;MATCH(V$3&amp;V20&amp;$AK20,Asta!$I:$I,0))))</f>
        <v/>
      </c>
      <c r="Y20" s="384" t="str">
        <f t="shared" si="30"/>
        <v>D</v>
      </c>
      <c r="Z20" s="9" t="str">
        <f ca="1">IF(Y20="","",IF(ISNA(MATCH(Y$3&amp;Y20&amp;$AK20,Asta!$I:$I,0)),"",INDIRECT("Asta!B"&amp;MATCH(Y$3&amp;Y20&amp;$AK20,Asta!$I:$I,0))))</f>
        <v/>
      </c>
      <c r="AA20" s="10" t="str">
        <f ca="1">IF(Z20="","",IF(ISNA(MATCH(Y$3&amp;Y20&amp;$AK20,Asta!$I:$I,0)),"",INDIRECT("Asta!H"&amp;MATCH(Y$3&amp;Y20&amp;$AK20,Asta!$I:$I,0))))</f>
        <v/>
      </c>
      <c r="AB20" s="384" t="str">
        <f t="shared" si="31"/>
        <v>D</v>
      </c>
      <c r="AC20" s="9" t="str">
        <f ca="1">IF(AB20="","",IF(ISNA(MATCH(AB$3&amp;AB20&amp;$AK20,Asta!$I:$I,0)),"",INDIRECT("Asta!B"&amp;MATCH(AB$3&amp;AB20&amp;$AK20,Asta!$I:$I,0))))</f>
        <v/>
      </c>
      <c r="AD20" s="10" t="str">
        <f ca="1">IF(AC20="","",IF(ISNA(MATCH(AB$3&amp;AB20&amp;$AK20,Asta!$I:$I,0)),"",INDIRECT("Asta!H"&amp;MATCH(AB$3&amp;AB20&amp;$AK20,Asta!$I:$I,0))))</f>
        <v/>
      </c>
      <c r="AE20" s="384" t="str">
        <f t="shared" si="32"/>
        <v>D</v>
      </c>
      <c r="AF20" s="9" t="str">
        <f ca="1">IF(AE20="","",IF(ISNA(MATCH(AE$3&amp;AE20&amp;$AK20,Asta!$I:$I,0)),"",INDIRECT("Asta!B"&amp;MATCH(AE$3&amp;AE20&amp;$AK20,Asta!$I:$I,0))))</f>
        <v/>
      </c>
      <c r="AG20" s="10" t="str">
        <f ca="1">IF(AF20="","",IF(ISNA(MATCH(AE$3&amp;AE20&amp;$AK20,Asta!$I:$I,0)),"",INDIRECT("Asta!H"&amp;MATCH(AE$3&amp;AE20&amp;$AK20,Asta!$I:$I,0))))</f>
        <v/>
      </c>
      <c r="AH20" s="384" t="str">
        <f t="shared" si="33"/>
        <v>D</v>
      </c>
      <c r="AI20" s="9" t="str">
        <f ca="1">IF(AH20="","",IF(ISNA(MATCH(AH$3&amp;AH20&amp;$AK20,Asta!$I:$I,0)),"",INDIRECT("Asta!B"&amp;MATCH(AH$3&amp;AH20&amp;$AK20,Asta!$I:$I,0))))</f>
        <v/>
      </c>
      <c r="AJ20" s="10" t="str">
        <f ca="1">IF(AI20="","",IF(ISNA(MATCH(AH$3&amp;AH20&amp;$AK20,Asta!$I:$I,0)),"",INDIRECT("Asta!H"&amp;MATCH(AH$3&amp;AH20&amp;$AK20,Asta!$I:$I,0))))</f>
        <v/>
      </c>
      <c r="AK20" s="4">
        <v>7</v>
      </c>
      <c r="AM20" s="221"/>
      <c r="AN20" s="231" t="str">
        <f ca="1">IF(Giocatori!E27=0,"",Giocatori!E27)</f>
        <v>DRAGOWSKI</v>
      </c>
      <c r="AO20" s="221"/>
      <c r="AP20" s="231" t="str">
        <f ca="1">IF(Giocatori!H27=0,"",Giocatori!H27)</f>
        <v>BARZAGLI</v>
      </c>
      <c r="AQ20" s="221"/>
      <c r="AR20" s="231" t="str">
        <f ca="1">IF(Giocatori!K27=0,"",Giocatori!K27)</f>
        <v>BIGLIA</v>
      </c>
      <c r="AS20" s="221"/>
      <c r="AT20" s="231" t="str">
        <f ca="1">IF(Giocatori!N27=0,"",Giocatori!N27)</f>
        <v>CODA M</v>
      </c>
      <c r="AU20" s="221"/>
      <c r="AV20" s="231" t="str">
        <f ca="1">IF(Giocatori!Q27=0,"",Giocatori!Q27)</f>
        <v/>
      </c>
      <c r="AW20" s="4" t="str">
        <f ca="1">IF(T5=0,"",T5)</f>
        <v/>
      </c>
      <c r="AX20" t="str">
        <f t="shared" ca="1" si="0"/>
        <v>DRAGOWSKI</v>
      </c>
      <c r="AY20" s="7">
        <f t="shared" ca="1" si="1"/>
        <v>20</v>
      </c>
      <c r="AZ20" s="7" t="str">
        <f t="shared" ca="1" si="2"/>
        <v>DRAGOWSKI</v>
      </c>
      <c r="BA20" s="4" t="str">
        <f t="shared" ca="1" si="20"/>
        <v/>
      </c>
      <c r="BB20" t="str">
        <f t="shared" ca="1" si="4"/>
        <v>BARZAGLI</v>
      </c>
      <c r="BC20" s="7">
        <f t="shared" ca="1" si="15"/>
        <v>20</v>
      </c>
      <c r="BD20" s="7" t="str">
        <f t="shared" ca="1" si="5"/>
        <v>BARZAGLI</v>
      </c>
      <c r="BE20" s="4" t="str">
        <f t="shared" ca="1" si="21"/>
        <v/>
      </c>
      <c r="BF20" t="str">
        <f t="shared" ca="1" si="7"/>
        <v>BIGLIA</v>
      </c>
      <c r="BG20" s="7">
        <f t="shared" ca="1" si="16"/>
        <v>20</v>
      </c>
      <c r="BH20" s="7" t="str">
        <f t="shared" ca="1" si="8"/>
        <v>BIGLIA</v>
      </c>
      <c r="BI20" s="4" t="str">
        <f t="shared" ca="1" si="34"/>
        <v/>
      </c>
      <c r="BJ20" t="str">
        <f t="shared" ca="1" si="10"/>
        <v>CODA M</v>
      </c>
      <c r="BK20" s="7">
        <f t="shared" ca="1" si="17"/>
        <v>20</v>
      </c>
      <c r="BL20" s="7" t="str">
        <f t="shared" ca="1" si="11"/>
        <v>CODA M</v>
      </c>
      <c r="BM20" s="4" t="str">
        <f t="shared" ca="1" si="22"/>
        <v/>
      </c>
      <c r="BN20" t="str">
        <f t="shared" ca="1" si="13"/>
        <v/>
      </c>
      <c r="BO20" s="7">
        <f t="shared" ca="1" si="18"/>
        <v>1</v>
      </c>
      <c r="BP20" s="7">
        <f t="shared" ca="1" si="14"/>
        <v>0</v>
      </c>
    </row>
    <row r="21" spans="1:68" ht="14.25">
      <c r="A21" s="8" t="str">
        <f>IF(Asta!$AC$3&lt;AK21,"","D")</f>
        <v>D</v>
      </c>
      <c r="B21" s="9" t="str">
        <f ca="1">IF(A21="","",IF(ISNA(MATCH(A$3&amp;A21&amp;$AK21,Asta!$I:$I,0)),"",INDIRECT("Asta!B"&amp;MATCH(A$3&amp;A21&amp;$AK21,Asta!$I:$I,0))))</f>
        <v/>
      </c>
      <c r="C21" s="10" t="str">
        <f ca="1">IF(B21="","",IF(ISNA(MATCH(A$3&amp;A21&amp;$AK21,Asta!$I:$I,0)),"",INDIRECT("Asta!H"&amp;MATCH(A$3&amp;A21&amp;$AK21,Asta!$I:$I,0))))</f>
        <v/>
      </c>
      <c r="D21" s="384" t="str">
        <f t="shared" si="23"/>
        <v>D</v>
      </c>
      <c r="E21" s="9" t="str">
        <f ca="1">IF(D21="","",IF(ISNA(MATCH(D$3&amp;D21&amp;$AK21,Asta!$I:$I,0)),"",INDIRECT("Asta!B"&amp;MATCH(D$3&amp;D21&amp;$AK21,Asta!$I:$I,0))))</f>
        <v/>
      </c>
      <c r="F21" s="10" t="str">
        <f ca="1">IF(E21="","",IF(ISNA(MATCH(D$3&amp;D21&amp;$AK21,Asta!$I:$I,0)),"",INDIRECT("Asta!H"&amp;MATCH(D$3&amp;D21&amp;$AK21,Asta!$I:$I,0))))</f>
        <v/>
      </c>
      <c r="G21" s="384" t="str">
        <f t="shared" si="24"/>
        <v>D</v>
      </c>
      <c r="H21" s="9" t="str">
        <f ca="1">IF(G21="","",IF(ISNA(MATCH(G$3&amp;G21&amp;$AK21,Asta!$I:$I,0)),"",INDIRECT("Asta!B"&amp;MATCH(G$3&amp;G21&amp;$AK21,Asta!$I:$I,0))))</f>
        <v/>
      </c>
      <c r="I21" s="10" t="str">
        <f ca="1">IF(H21="","",IF(ISNA(MATCH(G$3&amp;G21&amp;$AK21,Asta!$I:$I,0)),"",INDIRECT("Asta!H"&amp;MATCH(G$3&amp;G21&amp;$AK21,Asta!$I:$I,0))))</f>
        <v/>
      </c>
      <c r="J21" s="384" t="str">
        <f t="shared" si="25"/>
        <v>D</v>
      </c>
      <c r="K21" s="9" t="str">
        <f ca="1">IF(J21="","",IF(ISNA(MATCH(J$3&amp;J21&amp;$AK21,Asta!$I:$I,0)),"",INDIRECT("Asta!B"&amp;MATCH(J$3&amp;J21&amp;$AK21,Asta!$I:$I,0))))</f>
        <v/>
      </c>
      <c r="L21" s="10" t="str">
        <f ca="1">IF(K21="","",IF(ISNA(MATCH(J$3&amp;J21&amp;$AK21,Asta!$I:$I,0)),"",INDIRECT("Asta!H"&amp;MATCH(J$3&amp;J21&amp;$AK21,Asta!$I:$I,0))))</f>
        <v/>
      </c>
      <c r="M21" s="384" t="str">
        <f t="shared" si="26"/>
        <v>D</v>
      </c>
      <c r="N21" s="9" t="str">
        <f ca="1">IF(M21="","",IF(ISNA(MATCH(M$3&amp;M21&amp;$AK21,Asta!$I:$I,0)),"",INDIRECT("Asta!B"&amp;MATCH(M$3&amp;M21&amp;$AK21,Asta!$I:$I,0))))</f>
        <v/>
      </c>
      <c r="O21" s="10" t="str">
        <f ca="1">IF(N21="","",IF(ISNA(MATCH(M$3&amp;M21&amp;$AK21,Asta!$I:$I,0)),"",INDIRECT("Asta!H"&amp;MATCH(M$3&amp;M21&amp;$AK21,Asta!$I:$I,0))))</f>
        <v/>
      </c>
      <c r="P21" s="384" t="str">
        <f t="shared" si="27"/>
        <v>D</v>
      </c>
      <c r="Q21" s="9" t="str">
        <f ca="1">IF(P21="","",IF(ISNA(MATCH(P$3&amp;P21&amp;$AK21,Asta!$I:$I,0)),"",INDIRECT("Asta!B"&amp;MATCH(P$3&amp;P21&amp;$AK21,Asta!$I:$I,0))))</f>
        <v/>
      </c>
      <c r="R21" s="10" t="str">
        <f ca="1">IF(Q21="","",IF(ISNA(MATCH(P$3&amp;P21&amp;$AK21,Asta!$I:$I,0)),"",INDIRECT("Asta!H"&amp;MATCH(P$3&amp;P21&amp;$AK21,Asta!$I:$I,0))))</f>
        <v/>
      </c>
      <c r="S21" s="384" t="str">
        <f t="shared" si="28"/>
        <v>D</v>
      </c>
      <c r="T21" s="9" t="str">
        <f ca="1">IF(S21="","",IF(ISNA(MATCH(S$3&amp;S21&amp;$AK21,Asta!$I:$I,0)),"",INDIRECT("Asta!B"&amp;MATCH(S$3&amp;S21&amp;$AK21,Asta!$I:$I,0))))</f>
        <v/>
      </c>
      <c r="U21" s="10" t="str">
        <f ca="1">IF(T21="","",IF(ISNA(MATCH(S$3&amp;S21&amp;$AK21,Asta!$I:$I,0)),"",INDIRECT("Asta!H"&amp;MATCH(S$3&amp;S21&amp;$AK21,Asta!$I:$I,0))))</f>
        <v/>
      </c>
      <c r="V21" s="384" t="str">
        <f t="shared" si="29"/>
        <v>D</v>
      </c>
      <c r="W21" s="9" t="str">
        <f ca="1">IF(V21="","",IF(ISNA(MATCH(V$3&amp;V21&amp;$AK21,Asta!$I:$I,0)),"",INDIRECT("Asta!B"&amp;MATCH(V$3&amp;V21&amp;$AK21,Asta!$I:$I,0))))</f>
        <v/>
      </c>
      <c r="X21" s="10" t="str">
        <f ca="1">IF(W21="","",IF(ISNA(MATCH(V$3&amp;V21&amp;$AK21,Asta!$I:$I,0)),"",INDIRECT("Asta!H"&amp;MATCH(V$3&amp;V21&amp;$AK21,Asta!$I:$I,0))))</f>
        <v/>
      </c>
      <c r="Y21" s="384" t="str">
        <f t="shared" si="30"/>
        <v>D</v>
      </c>
      <c r="Z21" s="9" t="str">
        <f ca="1">IF(Y21="","",IF(ISNA(MATCH(Y$3&amp;Y21&amp;$AK21,Asta!$I:$I,0)),"",INDIRECT("Asta!B"&amp;MATCH(Y$3&amp;Y21&amp;$AK21,Asta!$I:$I,0))))</f>
        <v/>
      </c>
      <c r="AA21" s="10" t="str">
        <f ca="1">IF(Z21="","",IF(ISNA(MATCH(Y$3&amp;Y21&amp;$AK21,Asta!$I:$I,0)),"",INDIRECT("Asta!H"&amp;MATCH(Y$3&amp;Y21&amp;$AK21,Asta!$I:$I,0))))</f>
        <v/>
      </c>
      <c r="AB21" s="384" t="str">
        <f t="shared" si="31"/>
        <v>D</v>
      </c>
      <c r="AC21" s="9" t="str">
        <f ca="1">IF(AB21="","",IF(ISNA(MATCH(AB$3&amp;AB21&amp;$AK21,Asta!$I:$I,0)),"",INDIRECT("Asta!B"&amp;MATCH(AB$3&amp;AB21&amp;$AK21,Asta!$I:$I,0))))</f>
        <v/>
      </c>
      <c r="AD21" s="10" t="str">
        <f ca="1">IF(AC21="","",IF(ISNA(MATCH(AB$3&amp;AB21&amp;$AK21,Asta!$I:$I,0)),"",INDIRECT("Asta!H"&amp;MATCH(AB$3&amp;AB21&amp;$AK21,Asta!$I:$I,0))))</f>
        <v/>
      </c>
      <c r="AE21" s="384" t="str">
        <f t="shared" si="32"/>
        <v>D</v>
      </c>
      <c r="AF21" s="9" t="str">
        <f ca="1">IF(AE21="","",IF(ISNA(MATCH(AE$3&amp;AE21&amp;$AK21,Asta!$I:$I,0)),"",INDIRECT("Asta!B"&amp;MATCH(AE$3&amp;AE21&amp;$AK21,Asta!$I:$I,0))))</f>
        <v/>
      </c>
      <c r="AG21" s="10" t="str">
        <f ca="1">IF(AF21="","",IF(ISNA(MATCH(AE$3&amp;AE21&amp;$AK21,Asta!$I:$I,0)),"",INDIRECT("Asta!H"&amp;MATCH(AE$3&amp;AE21&amp;$AK21,Asta!$I:$I,0))))</f>
        <v/>
      </c>
      <c r="AH21" s="384" t="str">
        <f t="shared" si="33"/>
        <v>D</v>
      </c>
      <c r="AI21" s="9" t="str">
        <f ca="1">IF(AH21="","",IF(ISNA(MATCH(AH$3&amp;AH21&amp;$AK21,Asta!$I:$I,0)),"",INDIRECT("Asta!B"&amp;MATCH(AH$3&amp;AH21&amp;$AK21,Asta!$I:$I,0))))</f>
        <v/>
      </c>
      <c r="AJ21" s="10" t="str">
        <f ca="1">IF(AI21="","",IF(ISNA(MATCH(AH$3&amp;AH21&amp;$AK21,Asta!$I:$I,0)),"",INDIRECT("Asta!H"&amp;MATCH(AH$3&amp;AH21&amp;$AK21,Asta!$I:$I,0))))</f>
        <v/>
      </c>
      <c r="AK21" s="4">
        <v>8</v>
      </c>
      <c r="AM21" s="221"/>
      <c r="AN21" s="231" t="str">
        <f ca="1">IF(Giocatori!E28=0,"",Giocatori!E28)</f>
        <v>FESTA</v>
      </c>
      <c r="AO21" s="221"/>
      <c r="AP21" s="231" t="str">
        <f ca="1">IF(Giocatori!H28=0,"",Giocatori!H28)</f>
        <v>BASTA</v>
      </c>
      <c r="AQ21" s="221"/>
      <c r="AR21" s="231" t="str">
        <f ca="1">IF(Giocatori!K28=0,"",Giocatori!K28)</f>
        <v>BIONDINI</v>
      </c>
      <c r="AS21" s="221"/>
      <c r="AT21" s="231" t="str">
        <f ca="1">IF(Giocatori!N28=0,"",Giocatori!N28)</f>
        <v>CORNELIUS</v>
      </c>
      <c r="AU21" s="221"/>
      <c r="AV21" s="231" t="str">
        <f ca="1">IF(Giocatori!Q28=0,"",Giocatori!Q28)</f>
        <v/>
      </c>
      <c r="AW21" s="4" t="str">
        <f ca="1">IF(T6=0,"",T6)</f>
        <v/>
      </c>
      <c r="AX21" t="str">
        <f t="shared" ca="1" si="0"/>
        <v>FESTA</v>
      </c>
      <c r="AY21" s="7">
        <f t="shared" ca="1" si="1"/>
        <v>21</v>
      </c>
      <c r="AZ21" s="7" t="str">
        <f t="shared" ca="1" si="2"/>
        <v>FESTA</v>
      </c>
      <c r="BA21" s="4" t="str">
        <f t="shared" ca="1" si="20"/>
        <v/>
      </c>
      <c r="BB21" t="str">
        <f t="shared" ca="1" si="4"/>
        <v>BASTA</v>
      </c>
      <c r="BC21" s="7">
        <f t="shared" ca="1" si="15"/>
        <v>21</v>
      </c>
      <c r="BD21" s="7" t="str">
        <f t="shared" ca="1" si="5"/>
        <v>BASTA</v>
      </c>
      <c r="BE21" s="4" t="str">
        <f t="shared" ca="1" si="21"/>
        <v/>
      </c>
      <c r="BF21" t="str">
        <f t="shared" ca="1" si="7"/>
        <v>BIONDINI</v>
      </c>
      <c r="BG21" s="7">
        <f t="shared" ca="1" si="16"/>
        <v>21</v>
      </c>
      <c r="BH21" s="7" t="str">
        <f t="shared" ca="1" si="8"/>
        <v>BIONDINI</v>
      </c>
      <c r="BI21" s="4" t="str">
        <f t="shared" ca="1" si="34"/>
        <v/>
      </c>
      <c r="BJ21" t="str">
        <f t="shared" ca="1" si="10"/>
        <v>CORNELIUS</v>
      </c>
      <c r="BK21" s="7">
        <f t="shared" ca="1" si="17"/>
        <v>21</v>
      </c>
      <c r="BL21" s="7" t="str">
        <f t="shared" ca="1" si="11"/>
        <v>CORNELIUS</v>
      </c>
      <c r="BM21" s="4" t="str">
        <f t="shared" ca="1" si="22"/>
        <v/>
      </c>
      <c r="BN21" t="str">
        <f t="shared" ca="1" si="13"/>
        <v/>
      </c>
      <c r="BO21" s="7">
        <f t="shared" ca="1" si="18"/>
        <v>1</v>
      </c>
      <c r="BP21" s="7">
        <f t="shared" ca="1" si="14"/>
        <v>0</v>
      </c>
    </row>
    <row r="22" spans="1:68" ht="12.75" customHeight="1">
      <c r="A22" s="8" t="str">
        <f>IF(Asta!$AC$3&lt;AK22,"","D")</f>
        <v/>
      </c>
      <c r="B22" s="9" t="str">
        <f ca="1">IF(A22="","",IF(ISNA(MATCH(A$3&amp;A22&amp;$AK22,Asta!$I:$I,0)),"",INDIRECT("Asta!B"&amp;MATCH(A$3&amp;A22&amp;$AK22,Asta!$I:$I,0))))</f>
        <v/>
      </c>
      <c r="C22" s="10" t="str">
        <f ca="1">IF(B22="","",IF(ISNA(MATCH(A$3&amp;A22&amp;$AK22,Asta!$I:$I,0)),"",INDIRECT("Asta!H"&amp;MATCH(A$3&amp;A22&amp;$AK22,Asta!$I:$I,0))))</f>
        <v/>
      </c>
      <c r="D22" s="384" t="str">
        <f t="shared" si="23"/>
        <v/>
      </c>
      <c r="E22" s="9" t="str">
        <f ca="1">IF(D22="","",IF(ISNA(MATCH(D$3&amp;D22&amp;$AK22,Asta!$I:$I,0)),"",INDIRECT("Asta!B"&amp;MATCH(D$3&amp;D22&amp;$AK22,Asta!$I:$I,0))))</f>
        <v/>
      </c>
      <c r="F22" s="10" t="str">
        <f ca="1">IF(E22="","",IF(ISNA(MATCH(D$3&amp;D22&amp;$AK22,Asta!$I:$I,0)),"",INDIRECT("Asta!H"&amp;MATCH(D$3&amp;D22&amp;$AK22,Asta!$I:$I,0))))</f>
        <v/>
      </c>
      <c r="G22" s="384" t="str">
        <f t="shared" si="24"/>
        <v/>
      </c>
      <c r="H22" s="9" t="str">
        <f ca="1">IF(G22="","",IF(ISNA(MATCH(G$3&amp;G22&amp;$AK22,Asta!$I:$I,0)),"",INDIRECT("Asta!B"&amp;MATCH(G$3&amp;G22&amp;$AK22,Asta!$I:$I,0))))</f>
        <v/>
      </c>
      <c r="I22" s="10" t="str">
        <f ca="1">IF(H22="","",IF(ISNA(MATCH(G$3&amp;G22&amp;$AK22,Asta!$I:$I,0)),"",INDIRECT("Asta!H"&amp;MATCH(G$3&amp;G22&amp;$AK22,Asta!$I:$I,0))))</f>
        <v/>
      </c>
      <c r="J22" s="384" t="str">
        <f t="shared" si="25"/>
        <v/>
      </c>
      <c r="K22" s="9" t="str">
        <f ca="1">IF(J22="","",IF(ISNA(MATCH(J$3&amp;J22&amp;$AK22,Asta!$I:$I,0)),"",INDIRECT("Asta!B"&amp;MATCH(J$3&amp;J22&amp;$AK22,Asta!$I:$I,0))))</f>
        <v/>
      </c>
      <c r="L22" s="10" t="str">
        <f ca="1">IF(K22="","",IF(ISNA(MATCH(J$3&amp;J22&amp;$AK22,Asta!$I:$I,0)),"",INDIRECT("Asta!H"&amp;MATCH(J$3&amp;J22&amp;$AK22,Asta!$I:$I,0))))</f>
        <v/>
      </c>
      <c r="M22" s="384" t="str">
        <f t="shared" si="26"/>
        <v/>
      </c>
      <c r="N22" s="9" t="str">
        <f ca="1">IF(M22="","",IF(ISNA(MATCH(M$3&amp;M22&amp;$AK22,Asta!$I:$I,0)),"",INDIRECT("Asta!B"&amp;MATCH(M$3&amp;M22&amp;$AK22,Asta!$I:$I,0))))</f>
        <v/>
      </c>
      <c r="O22" s="10" t="str">
        <f ca="1">IF(N22="","",IF(ISNA(MATCH(M$3&amp;M22&amp;$AK22,Asta!$I:$I,0)),"",INDIRECT("Asta!H"&amp;MATCH(M$3&amp;M22&amp;$AK22,Asta!$I:$I,0))))</f>
        <v/>
      </c>
      <c r="P22" s="384" t="str">
        <f t="shared" si="27"/>
        <v/>
      </c>
      <c r="Q22" s="9" t="str">
        <f ca="1">IF(P22="","",IF(ISNA(MATCH(P$3&amp;P22&amp;$AK22,Asta!$I:$I,0)),"",INDIRECT("Asta!B"&amp;MATCH(P$3&amp;P22&amp;$AK22,Asta!$I:$I,0))))</f>
        <v/>
      </c>
      <c r="R22" s="10" t="str">
        <f ca="1">IF(Q22="","",IF(ISNA(MATCH(P$3&amp;P22&amp;$AK22,Asta!$I:$I,0)),"",INDIRECT("Asta!H"&amp;MATCH(P$3&amp;P22&amp;$AK22,Asta!$I:$I,0))))</f>
        <v/>
      </c>
      <c r="S22" s="384" t="str">
        <f t="shared" si="28"/>
        <v/>
      </c>
      <c r="T22" s="9" t="str">
        <f ca="1">IF(S22="","",IF(ISNA(MATCH(S$3&amp;S22&amp;$AK22,Asta!$I:$I,0)),"",INDIRECT("Asta!B"&amp;MATCH(S$3&amp;S22&amp;$AK22,Asta!$I:$I,0))))</f>
        <v/>
      </c>
      <c r="U22" s="10" t="str">
        <f ca="1">IF(T22="","",IF(ISNA(MATCH(S$3&amp;S22&amp;$AK22,Asta!$I:$I,0)),"",INDIRECT("Asta!H"&amp;MATCH(S$3&amp;S22&amp;$AK22,Asta!$I:$I,0))))</f>
        <v/>
      </c>
      <c r="V22" s="384" t="str">
        <f t="shared" si="29"/>
        <v/>
      </c>
      <c r="W22" s="9" t="str">
        <f ca="1">IF(V22="","",IF(ISNA(MATCH(V$3&amp;V22&amp;$AK22,Asta!$I:$I,0)),"",INDIRECT("Asta!B"&amp;MATCH(V$3&amp;V22&amp;$AK22,Asta!$I:$I,0))))</f>
        <v/>
      </c>
      <c r="X22" s="10" t="str">
        <f ca="1">IF(W22="","",IF(ISNA(MATCH(V$3&amp;V22&amp;$AK22,Asta!$I:$I,0)),"",INDIRECT("Asta!H"&amp;MATCH(V$3&amp;V22&amp;$AK22,Asta!$I:$I,0))))</f>
        <v/>
      </c>
      <c r="Y22" s="384" t="str">
        <f t="shared" si="30"/>
        <v/>
      </c>
      <c r="Z22" s="9" t="str">
        <f ca="1">IF(Y22="","",IF(ISNA(MATCH(Y$3&amp;Y22&amp;$AK22,Asta!$I:$I,0)),"",INDIRECT("Asta!B"&amp;MATCH(Y$3&amp;Y22&amp;$AK22,Asta!$I:$I,0))))</f>
        <v/>
      </c>
      <c r="AA22" s="10" t="str">
        <f ca="1">IF(Z22="","",IF(ISNA(MATCH(Y$3&amp;Y22&amp;$AK22,Asta!$I:$I,0)),"",INDIRECT("Asta!H"&amp;MATCH(Y$3&amp;Y22&amp;$AK22,Asta!$I:$I,0))))</f>
        <v/>
      </c>
      <c r="AB22" s="384" t="str">
        <f t="shared" si="31"/>
        <v/>
      </c>
      <c r="AC22" s="9" t="str">
        <f ca="1">IF(AB22="","",IF(ISNA(MATCH(AB$3&amp;AB22&amp;$AK22,Asta!$I:$I,0)),"",INDIRECT("Asta!B"&amp;MATCH(AB$3&amp;AB22&amp;$AK22,Asta!$I:$I,0))))</f>
        <v/>
      </c>
      <c r="AD22" s="10" t="str">
        <f ca="1">IF(AC22="","",IF(ISNA(MATCH(AB$3&amp;AB22&amp;$AK22,Asta!$I:$I,0)),"",INDIRECT("Asta!H"&amp;MATCH(AB$3&amp;AB22&amp;$AK22,Asta!$I:$I,0))))</f>
        <v/>
      </c>
      <c r="AE22" s="384" t="str">
        <f t="shared" si="32"/>
        <v/>
      </c>
      <c r="AF22" s="9" t="str">
        <f ca="1">IF(AE22="","",IF(ISNA(MATCH(AE$3&amp;AE22&amp;$AK22,Asta!$I:$I,0)),"",INDIRECT("Asta!B"&amp;MATCH(AE$3&amp;AE22&amp;$AK22,Asta!$I:$I,0))))</f>
        <v/>
      </c>
      <c r="AG22" s="10" t="str">
        <f ca="1">IF(AF22="","",IF(ISNA(MATCH(AE$3&amp;AE22&amp;$AK22,Asta!$I:$I,0)),"",INDIRECT("Asta!H"&amp;MATCH(AE$3&amp;AE22&amp;$AK22,Asta!$I:$I,0))))</f>
        <v/>
      </c>
      <c r="AH22" s="384" t="str">
        <f t="shared" si="33"/>
        <v/>
      </c>
      <c r="AI22" s="9" t="str">
        <f ca="1">IF(AH22="","",IF(ISNA(MATCH(AH$3&amp;AH22&amp;$AK22,Asta!$I:$I,0)),"",INDIRECT("Asta!B"&amp;MATCH(AH$3&amp;AH22&amp;$AK22,Asta!$I:$I,0))))</f>
        <v/>
      </c>
      <c r="AJ22" s="10" t="str">
        <f ca="1">IF(AI22="","",IF(ISNA(MATCH(AH$3&amp;AH22&amp;$AK22,Asta!$I:$I,0)),"",INDIRECT("Asta!H"&amp;MATCH(AH$3&amp;AH22&amp;$AK22,Asta!$I:$I,0))))</f>
        <v/>
      </c>
      <c r="AK22" s="4">
        <v>9</v>
      </c>
      <c r="AM22" s="221"/>
      <c r="AN22" s="231" t="str">
        <f ca="1">IF(Giocatori!E29=0,"",Giocatori!E29)</f>
        <v>GABRIEL</v>
      </c>
      <c r="AO22" s="221"/>
      <c r="AP22" s="231" t="str">
        <f ca="1">IF(Giocatori!H29=0,"",Giocatori!H29)</f>
        <v>BASTONI</v>
      </c>
      <c r="AQ22" s="221"/>
      <c r="AR22" s="231" t="str">
        <f ca="1">IF(Giocatori!K29=0,"",Giocatori!K29)</f>
        <v>BIRSA</v>
      </c>
      <c r="AS22" s="221"/>
      <c r="AT22" s="231" t="str">
        <f ca="1">IF(Giocatori!N29=0,"",Giocatori!N29)</f>
        <v>CUTRONE</v>
      </c>
      <c r="AU22" s="221"/>
      <c r="AV22" s="231" t="str">
        <f ca="1">IF(Giocatori!Q29=0,"",Giocatori!Q29)</f>
        <v/>
      </c>
      <c r="AW22" s="4" t="str">
        <f ca="1">IF(T7=0,"",T7)</f>
        <v/>
      </c>
      <c r="AX22" t="str">
        <f t="shared" ca="1" si="0"/>
        <v>GABRIEL</v>
      </c>
      <c r="AY22" s="7">
        <f t="shared" ca="1" si="1"/>
        <v>22</v>
      </c>
      <c r="AZ22" s="7" t="str">
        <f t="shared" ca="1" si="2"/>
        <v>GABRIEL</v>
      </c>
      <c r="BA22" s="4" t="str">
        <f t="shared" ref="BA22:BA31" ca="1" si="35">IF(H14=0,"",H14)</f>
        <v/>
      </c>
      <c r="BB22" t="str">
        <f t="shared" ca="1" si="4"/>
        <v>BASTONI</v>
      </c>
      <c r="BC22" s="7">
        <f t="shared" ca="1" si="15"/>
        <v>22</v>
      </c>
      <c r="BD22" s="7" t="str">
        <f t="shared" ca="1" si="5"/>
        <v>BASTONI</v>
      </c>
      <c r="BE22" s="4" t="str">
        <f t="shared" ref="BE22:BE31" ca="1" si="36">IF(H30=0,"",H30)</f>
        <v/>
      </c>
      <c r="BF22" t="str">
        <f t="shared" ca="1" si="7"/>
        <v>BIRSA</v>
      </c>
      <c r="BG22" s="7">
        <f t="shared" ca="1" si="16"/>
        <v>22</v>
      </c>
      <c r="BH22" s="7" t="str">
        <f t="shared" ca="1" si="8"/>
        <v>BIRSA</v>
      </c>
      <c r="BI22" s="4" t="str">
        <f t="shared" ca="1" si="34"/>
        <v/>
      </c>
      <c r="BJ22" t="str">
        <f t="shared" ca="1" si="10"/>
        <v>CUTRONE</v>
      </c>
      <c r="BK22" s="7">
        <f t="shared" ca="1" si="17"/>
        <v>22</v>
      </c>
      <c r="BL22" s="7" t="str">
        <f t="shared" ca="1" si="11"/>
        <v>CUTRONE</v>
      </c>
      <c r="BM22" s="4" t="str">
        <f t="shared" ref="BM22:BM31" ca="1" si="37">IF(H30=0,"",H30)</f>
        <v/>
      </c>
      <c r="BN22" t="str">
        <f t="shared" ca="1" si="13"/>
        <v/>
      </c>
      <c r="BO22" s="7">
        <f t="shared" ca="1" si="18"/>
        <v>1</v>
      </c>
      <c r="BP22" s="7">
        <f t="shared" ca="1" si="14"/>
        <v>0</v>
      </c>
    </row>
    <row r="23" spans="1:68" ht="14.25">
      <c r="A23" s="8" t="str">
        <f>IF(Asta!$AC$3&lt;AK23,"","D")</f>
        <v/>
      </c>
      <c r="B23" s="9" t="str">
        <f ca="1">IF(A23="","",IF(ISNA(MATCH(A$3&amp;A23&amp;$AK23,Asta!$I:$I,0)),"",INDIRECT("Asta!B"&amp;MATCH(A$3&amp;A23&amp;$AK23,Asta!$I:$I,0))))</f>
        <v/>
      </c>
      <c r="C23" s="10" t="str">
        <f ca="1">IF(B23="","",IF(ISNA(MATCH(A$3&amp;A23&amp;$AK23,Asta!$I:$I,0)),"",INDIRECT("Asta!H"&amp;MATCH(A$3&amp;A23&amp;$AK23,Asta!$I:$I,0))))</f>
        <v/>
      </c>
      <c r="D23" s="384" t="str">
        <f t="shared" si="23"/>
        <v/>
      </c>
      <c r="E23" s="9" t="str">
        <f ca="1">IF(D23="","",IF(ISNA(MATCH(D$3&amp;D23&amp;$AK23,Asta!$I:$I,0)),"",INDIRECT("Asta!B"&amp;MATCH(D$3&amp;D23&amp;$AK23,Asta!$I:$I,0))))</f>
        <v/>
      </c>
      <c r="F23" s="10" t="str">
        <f ca="1">IF(E23="","",IF(ISNA(MATCH(D$3&amp;D23&amp;$AK23,Asta!$I:$I,0)),"",INDIRECT("Asta!H"&amp;MATCH(D$3&amp;D23&amp;$AK23,Asta!$I:$I,0))))</f>
        <v/>
      </c>
      <c r="G23" s="384" t="str">
        <f t="shared" si="24"/>
        <v/>
      </c>
      <c r="H23" s="9" t="str">
        <f ca="1">IF(G23="","",IF(ISNA(MATCH(G$3&amp;G23&amp;$AK23,Asta!$I:$I,0)),"",INDIRECT("Asta!B"&amp;MATCH(G$3&amp;G23&amp;$AK23,Asta!$I:$I,0))))</f>
        <v/>
      </c>
      <c r="I23" s="10" t="str">
        <f ca="1">IF(H23="","",IF(ISNA(MATCH(G$3&amp;G23&amp;$AK23,Asta!$I:$I,0)),"",INDIRECT("Asta!H"&amp;MATCH(G$3&amp;G23&amp;$AK23,Asta!$I:$I,0))))</f>
        <v/>
      </c>
      <c r="J23" s="384" t="str">
        <f t="shared" si="25"/>
        <v/>
      </c>
      <c r="K23" s="9" t="str">
        <f ca="1">IF(J23="","",IF(ISNA(MATCH(J$3&amp;J23&amp;$AK23,Asta!$I:$I,0)),"",INDIRECT("Asta!B"&amp;MATCH(J$3&amp;J23&amp;$AK23,Asta!$I:$I,0))))</f>
        <v/>
      </c>
      <c r="L23" s="10" t="str">
        <f ca="1">IF(K23="","",IF(ISNA(MATCH(J$3&amp;J23&amp;$AK23,Asta!$I:$I,0)),"",INDIRECT("Asta!H"&amp;MATCH(J$3&amp;J23&amp;$AK23,Asta!$I:$I,0))))</f>
        <v/>
      </c>
      <c r="M23" s="384" t="str">
        <f t="shared" si="26"/>
        <v/>
      </c>
      <c r="N23" s="9" t="str">
        <f ca="1">IF(M23="","",IF(ISNA(MATCH(M$3&amp;M23&amp;$AK23,Asta!$I:$I,0)),"",INDIRECT("Asta!B"&amp;MATCH(M$3&amp;M23&amp;$AK23,Asta!$I:$I,0))))</f>
        <v/>
      </c>
      <c r="O23" s="10" t="str">
        <f ca="1">IF(N23="","",IF(ISNA(MATCH(M$3&amp;M23&amp;$AK23,Asta!$I:$I,0)),"",INDIRECT("Asta!H"&amp;MATCH(M$3&amp;M23&amp;$AK23,Asta!$I:$I,0))))</f>
        <v/>
      </c>
      <c r="P23" s="384" t="str">
        <f t="shared" si="27"/>
        <v/>
      </c>
      <c r="Q23" s="9" t="str">
        <f ca="1">IF(P23="","",IF(ISNA(MATCH(P$3&amp;P23&amp;$AK23,Asta!$I:$I,0)),"",INDIRECT("Asta!B"&amp;MATCH(P$3&amp;P23&amp;$AK23,Asta!$I:$I,0))))</f>
        <v/>
      </c>
      <c r="R23" s="10" t="str">
        <f ca="1">IF(Q23="","",IF(ISNA(MATCH(P$3&amp;P23&amp;$AK23,Asta!$I:$I,0)),"",INDIRECT("Asta!H"&amp;MATCH(P$3&amp;P23&amp;$AK23,Asta!$I:$I,0))))</f>
        <v/>
      </c>
      <c r="S23" s="384" t="str">
        <f t="shared" si="28"/>
        <v/>
      </c>
      <c r="T23" s="9" t="str">
        <f ca="1">IF(S23="","",IF(ISNA(MATCH(S$3&amp;S23&amp;$AK23,Asta!$I:$I,0)),"",INDIRECT("Asta!B"&amp;MATCH(S$3&amp;S23&amp;$AK23,Asta!$I:$I,0))))</f>
        <v/>
      </c>
      <c r="U23" s="10" t="str">
        <f ca="1">IF(T23="","",IF(ISNA(MATCH(S$3&amp;S23&amp;$AK23,Asta!$I:$I,0)),"",INDIRECT("Asta!H"&amp;MATCH(S$3&amp;S23&amp;$AK23,Asta!$I:$I,0))))</f>
        <v/>
      </c>
      <c r="V23" s="384" t="str">
        <f t="shared" si="29"/>
        <v/>
      </c>
      <c r="W23" s="9" t="str">
        <f ca="1">IF(V23="","",IF(ISNA(MATCH(V$3&amp;V23&amp;$AK23,Asta!$I:$I,0)),"",INDIRECT("Asta!B"&amp;MATCH(V$3&amp;V23&amp;$AK23,Asta!$I:$I,0))))</f>
        <v/>
      </c>
      <c r="X23" s="10" t="str">
        <f ca="1">IF(W23="","",IF(ISNA(MATCH(V$3&amp;V23&amp;$AK23,Asta!$I:$I,0)),"",INDIRECT("Asta!H"&amp;MATCH(V$3&amp;V23&amp;$AK23,Asta!$I:$I,0))))</f>
        <v/>
      </c>
      <c r="Y23" s="384" t="str">
        <f t="shared" si="30"/>
        <v/>
      </c>
      <c r="Z23" s="9" t="str">
        <f ca="1">IF(Y23="","",IF(ISNA(MATCH(Y$3&amp;Y23&amp;$AK23,Asta!$I:$I,0)),"",INDIRECT("Asta!B"&amp;MATCH(Y$3&amp;Y23&amp;$AK23,Asta!$I:$I,0))))</f>
        <v/>
      </c>
      <c r="AA23" s="10" t="str">
        <f ca="1">IF(Z23="","",IF(ISNA(MATCH(Y$3&amp;Y23&amp;$AK23,Asta!$I:$I,0)),"",INDIRECT("Asta!H"&amp;MATCH(Y$3&amp;Y23&amp;$AK23,Asta!$I:$I,0))))</f>
        <v/>
      </c>
      <c r="AB23" s="384" t="str">
        <f t="shared" si="31"/>
        <v/>
      </c>
      <c r="AC23" s="9" t="str">
        <f ca="1">IF(AB23="","",IF(ISNA(MATCH(AB$3&amp;AB23&amp;$AK23,Asta!$I:$I,0)),"",INDIRECT("Asta!B"&amp;MATCH(AB$3&amp;AB23&amp;$AK23,Asta!$I:$I,0))))</f>
        <v/>
      </c>
      <c r="AD23" s="10" t="str">
        <f ca="1">IF(AC23="","",IF(ISNA(MATCH(AB$3&amp;AB23&amp;$AK23,Asta!$I:$I,0)),"",INDIRECT("Asta!H"&amp;MATCH(AB$3&amp;AB23&amp;$AK23,Asta!$I:$I,0))))</f>
        <v/>
      </c>
      <c r="AE23" s="384" t="str">
        <f t="shared" si="32"/>
        <v/>
      </c>
      <c r="AF23" s="9" t="str">
        <f ca="1">IF(AE23="","",IF(ISNA(MATCH(AE$3&amp;AE23&amp;$AK23,Asta!$I:$I,0)),"",INDIRECT("Asta!B"&amp;MATCH(AE$3&amp;AE23&amp;$AK23,Asta!$I:$I,0))))</f>
        <v/>
      </c>
      <c r="AG23" s="10" t="str">
        <f ca="1">IF(AF23="","",IF(ISNA(MATCH(AE$3&amp;AE23&amp;$AK23,Asta!$I:$I,0)),"",INDIRECT("Asta!H"&amp;MATCH(AE$3&amp;AE23&amp;$AK23,Asta!$I:$I,0))))</f>
        <v/>
      </c>
      <c r="AH23" s="384" t="str">
        <f t="shared" si="33"/>
        <v/>
      </c>
      <c r="AI23" s="9" t="str">
        <f ca="1">IF(AH23="","",IF(ISNA(MATCH(AH$3&amp;AH23&amp;$AK23,Asta!$I:$I,0)),"",INDIRECT("Asta!B"&amp;MATCH(AH$3&amp;AH23&amp;$AK23,Asta!$I:$I,0))))</f>
        <v/>
      </c>
      <c r="AJ23" s="10" t="str">
        <f ca="1">IF(AI23="","",IF(ISNA(MATCH(AH$3&amp;AH23&amp;$AK23,Asta!$I:$I,0)),"",INDIRECT("Asta!H"&amp;MATCH(AH$3&amp;AH23&amp;$AK23,Asta!$I:$I,0))))</f>
        <v/>
      </c>
      <c r="AK23" s="4">
        <v>10</v>
      </c>
      <c r="AM23" s="221"/>
      <c r="AN23" s="231" t="str">
        <f ca="1">IF(Giocatori!E30=0,"",Giocatori!E30)</f>
        <v>GOLLINI</v>
      </c>
      <c r="AO23" s="221"/>
      <c r="AP23" s="231" t="str">
        <f ca="1">IF(Giocatori!H30=0,"",Giocatori!H30)</f>
        <v>BASTOS</v>
      </c>
      <c r="AQ23" s="221"/>
      <c r="AR23" s="231" t="str">
        <f ca="1">IF(Giocatori!K30=0,"",Giocatori!K30)</f>
        <v>BONAVENTURA</v>
      </c>
      <c r="AS23" s="221"/>
      <c r="AT23" s="231" t="str">
        <f ca="1">IF(Giocatori!N30=0,"",Giocatori!N30)</f>
        <v>DEFREL</v>
      </c>
      <c r="AU23" s="221"/>
      <c r="AV23" s="231" t="str">
        <f ca="1">IF(Giocatori!Q30=0,"",Giocatori!Q30)</f>
        <v/>
      </c>
      <c r="AW23" s="4" t="str">
        <f ca="1">IF(W5=0,"",W5)</f>
        <v/>
      </c>
      <c r="AX23" t="str">
        <f t="shared" ca="1" si="0"/>
        <v>GOLLINI</v>
      </c>
      <c r="AY23" s="7">
        <f t="shared" ca="1" si="1"/>
        <v>23</v>
      </c>
      <c r="AZ23" s="7" t="str">
        <f t="shared" ca="1" si="2"/>
        <v>GOLLINI</v>
      </c>
      <c r="BA23" s="4" t="str">
        <f t="shared" ca="1" si="35"/>
        <v/>
      </c>
      <c r="BB23" t="str">
        <f t="shared" ca="1" si="4"/>
        <v>BASTOS</v>
      </c>
      <c r="BC23" s="7">
        <f t="shared" ca="1" si="15"/>
        <v>23</v>
      </c>
      <c r="BD23" s="7" t="str">
        <f t="shared" ca="1" si="5"/>
        <v>BASTOS</v>
      </c>
      <c r="BE23" s="4" t="str">
        <f t="shared" ca="1" si="36"/>
        <v/>
      </c>
      <c r="BF23" t="str">
        <f t="shared" ca="1" si="7"/>
        <v>BONAVENTURA</v>
      </c>
      <c r="BG23" s="7">
        <f t="shared" ca="1" si="16"/>
        <v>23</v>
      </c>
      <c r="BH23" s="7" t="str">
        <f t="shared" ca="1" si="8"/>
        <v>BONAVENTURA</v>
      </c>
      <c r="BI23" s="4" t="str">
        <f t="shared" ca="1" si="34"/>
        <v/>
      </c>
      <c r="BJ23" t="str">
        <f t="shared" ca="1" si="10"/>
        <v>DEFREL</v>
      </c>
      <c r="BK23" s="7">
        <f t="shared" ca="1" si="17"/>
        <v>23</v>
      </c>
      <c r="BL23" s="7" t="str">
        <f t="shared" ca="1" si="11"/>
        <v>DEFREL</v>
      </c>
      <c r="BM23" s="4" t="str">
        <f t="shared" ca="1" si="37"/>
        <v/>
      </c>
      <c r="BN23" t="str">
        <f t="shared" ca="1" si="13"/>
        <v/>
      </c>
      <c r="BO23" s="7">
        <f t="shared" ca="1" si="18"/>
        <v>1</v>
      </c>
      <c r="BP23" s="7">
        <f t="shared" ca="1" si="14"/>
        <v>0</v>
      </c>
    </row>
    <row r="24" spans="1:68" ht="14.25">
      <c r="B24" s="13" t="s">
        <v>628</v>
      </c>
      <c r="C24" s="14">
        <f ca="1">SUM(C14:C23)</f>
        <v>0</v>
      </c>
      <c r="E24" s="13" t="s">
        <v>628</v>
      </c>
      <c r="F24" s="14">
        <f ca="1">SUM(F14:F23)</f>
        <v>0</v>
      </c>
      <c r="H24" s="13" t="s">
        <v>628</v>
      </c>
      <c r="I24" s="14">
        <f ca="1">SUM(I14:I23)</f>
        <v>0</v>
      </c>
      <c r="J24" s="2"/>
      <c r="K24" s="13" t="s">
        <v>628</v>
      </c>
      <c r="L24" s="14">
        <f ca="1">SUM(L14:L23)</f>
        <v>0</v>
      </c>
      <c r="N24" s="13" t="s">
        <v>628</v>
      </c>
      <c r="O24" s="14">
        <f ca="1">SUM(O14:O23)</f>
        <v>0</v>
      </c>
      <c r="Q24" s="13" t="s">
        <v>628</v>
      </c>
      <c r="R24" s="14">
        <f ca="1">SUM(R14:R23)</f>
        <v>0</v>
      </c>
      <c r="T24" s="13" t="s">
        <v>628</v>
      </c>
      <c r="U24" s="14">
        <f ca="1">SUM(U14:U23)</f>
        <v>0</v>
      </c>
      <c r="W24" s="13" t="s">
        <v>628</v>
      </c>
      <c r="X24" s="14">
        <f ca="1">SUM(X14:X23)</f>
        <v>0</v>
      </c>
      <c r="Z24" s="13" t="s">
        <v>628</v>
      </c>
      <c r="AA24" s="14">
        <f ca="1">SUM(AA14:AA23)</f>
        <v>0</v>
      </c>
      <c r="AC24" s="13" t="s">
        <v>628</v>
      </c>
      <c r="AD24" s="14">
        <f ca="1">SUM(AD14:AD23)</f>
        <v>0</v>
      </c>
      <c r="AF24" s="13" t="s">
        <v>628</v>
      </c>
      <c r="AG24" s="14">
        <f ca="1">SUM(AG14:AG23)</f>
        <v>0</v>
      </c>
      <c r="AI24" s="13" t="s">
        <v>628</v>
      </c>
      <c r="AJ24" s="14">
        <f ca="1">SUM(AJ14:AJ23)</f>
        <v>0</v>
      </c>
      <c r="AM24" s="221"/>
      <c r="AN24" s="231" t="str">
        <f ca="1">IF(Giocatori!E31=0,"",Giocatori!E31)</f>
        <v>GOMIS A</v>
      </c>
      <c r="AO24" s="221"/>
      <c r="AP24" s="231" t="str">
        <f ca="1">IF(Giocatori!H31=0,"",Giocatori!H31)</f>
        <v>BENATIA</v>
      </c>
      <c r="AQ24" s="221"/>
      <c r="AR24" s="231" t="str">
        <f ca="1">IF(Giocatori!K31=0,"",Giocatori!K31)</f>
        <v>BORJA VALERO</v>
      </c>
      <c r="AS24" s="221"/>
      <c r="AT24" s="231" t="str">
        <f ca="1">IF(Giocatori!N31=0,"",Giocatori!N31)</f>
        <v>DESTRO</v>
      </c>
      <c r="AU24" s="221"/>
      <c r="AV24" s="231" t="str">
        <f ca="1">IF(Giocatori!Q31=0,"",Giocatori!Q31)</f>
        <v/>
      </c>
      <c r="AW24" s="4" t="str">
        <f ca="1">IF(W6=0,"",W6)</f>
        <v/>
      </c>
      <c r="AX24" t="str">
        <f t="shared" ca="1" si="0"/>
        <v>GOMIS A</v>
      </c>
      <c r="AY24" s="7">
        <f t="shared" ca="1" si="1"/>
        <v>24</v>
      </c>
      <c r="AZ24" s="7" t="str">
        <f t="shared" ca="1" si="2"/>
        <v>GOMIS A</v>
      </c>
      <c r="BA24" s="4" t="str">
        <f t="shared" ca="1" si="35"/>
        <v/>
      </c>
      <c r="BB24" t="str">
        <f t="shared" ca="1" si="4"/>
        <v>BENATIA</v>
      </c>
      <c r="BC24" s="7">
        <f t="shared" ca="1" si="15"/>
        <v>24</v>
      </c>
      <c r="BD24" s="7" t="str">
        <f t="shared" ca="1" si="5"/>
        <v>BENATIA</v>
      </c>
      <c r="BE24" s="4" t="str">
        <f t="shared" ca="1" si="36"/>
        <v/>
      </c>
      <c r="BF24" t="str">
        <f t="shared" ca="1" si="7"/>
        <v>BORJA VALERO</v>
      </c>
      <c r="BG24" s="7">
        <f t="shared" ca="1" si="16"/>
        <v>24</v>
      </c>
      <c r="BH24" s="7" t="str">
        <f t="shared" ca="1" si="8"/>
        <v>BORJA VALERO</v>
      </c>
      <c r="BI24" s="4" t="str">
        <f t="shared" ca="1" si="34"/>
        <v/>
      </c>
      <c r="BJ24" t="str">
        <f t="shared" ca="1" si="10"/>
        <v>DESTRO</v>
      </c>
      <c r="BK24" s="7">
        <f t="shared" ca="1" si="17"/>
        <v>24</v>
      </c>
      <c r="BL24" s="7" t="str">
        <f t="shared" ca="1" si="11"/>
        <v>DESTRO</v>
      </c>
      <c r="BM24" s="4" t="str">
        <f t="shared" ca="1" si="37"/>
        <v/>
      </c>
      <c r="BN24" t="str">
        <f t="shared" ca="1" si="13"/>
        <v/>
      </c>
      <c r="BO24" s="7">
        <f t="shared" ca="1" si="18"/>
        <v>1</v>
      </c>
      <c r="BP24" s="7">
        <f t="shared" ca="1" si="14"/>
        <v>0</v>
      </c>
    </row>
    <row r="25" spans="1:68" ht="12.75" customHeight="1">
      <c r="B25" s="13" t="s">
        <v>629</v>
      </c>
      <c r="C25" s="14">
        <f ca="1">C9+C24</f>
        <v>0</v>
      </c>
      <c r="E25" s="13" t="s">
        <v>629</v>
      </c>
      <c r="F25" s="14">
        <f ca="1">F9+F24</f>
        <v>0</v>
      </c>
      <c r="H25" s="13" t="s">
        <v>629</v>
      </c>
      <c r="I25" s="14">
        <f ca="1">I24+I9</f>
        <v>0</v>
      </c>
      <c r="J25" s="2"/>
      <c r="K25" s="13" t="s">
        <v>629</v>
      </c>
      <c r="L25" s="14">
        <f ca="1">L24+L9</f>
        <v>0</v>
      </c>
      <c r="N25" s="13" t="s">
        <v>629</v>
      </c>
      <c r="O25" s="14">
        <f ca="1">O9+O24</f>
        <v>0</v>
      </c>
      <c r="Q25" s="13" t="s">
        <v>629</v>
      </c>
      <c r="R25" s="14">
        <f ca="1">R9+R24</f>
        <v>0</v>
      </c>
      <c r="T25" s="13" t="s">
        <v>629</v>
      </c>
      <c r="U25" s="14">
        <f ca="1">U24+U9</f>
        <v>0</v>
      </c>
      <c r="W25" s="13" t="s">
        <v>629</v>
      </c>
      <c r="X25" s="14">
        <f ca="1">X24+X9</f>
        <v>0</v>
      </c>
      <c r="Z25" s="13" t="s">
        <v>629</v>
      </c>
      <c r="AA25" s="14">
        <f ca="1">AA24+AA9</f>
        <v>0</v>
      </c>
      <c r="AC25" s="13" t="s">
        <v>629</v>
      </c>
      <c r="AD25" s="14">
        <f ca="1">AD24+AD9</f>
        <v>0</v>
      </c>
      <c r="AF25" s="13" t="s">
        <v>629</v>
      </c>
      <c r="AG25" s="14">
        <f ca="1">AG24+AG9</f>
        <v>0</v>
      </c>
      <c r="AI25" s="13" t="s">
        <v>629</v>
      </c>
      <c r="AJ25" s="14">
        <f ca="1">AJ24+AJ9</f>
        <v>0</v>
      </c>
      <c r="AM25" s="221"/>
      <c r="AN25" s="231" t="str">
        <f ca="1">IF(Giocatori!E32=0,"",Giocatori!E32)</f>
        <v>GUERRIERI</v>
      </c>
      <c r="AO25" s="221"/>
      <c r="AP25" s="231" t="str">
        <f ca="1">IF(Giocatori!H32=0,"",Giocatori!H32)</f>
        <v>BERESZYNSKI</v>
      </c>
      <c r="AQ25" s="221"/>
      <c r="AR25" s="231" t="str">
        <f ca="1">IF(Giocatori!K32=0,"",Giocatori!K32)</f>
        <v>BRLEK</v>
      </c>
      <c r="AS25" s="221"/>
      <c r="AT25" s="231" t="str">
        <f ca="1">IF(Giocatori!N32=0,"",Giocatori!N32)</f>
        <v>DI FRANCESCO F</v>
      </c>
      <c r="AU25" s="221"/>
      <c r="AV25" s="231" t="str">
        <f ca="1">IF(Giocatori!Q32=0,"",Giocatori!Q32)</f>
        <v/>
      </c>
      <c r="AW25" s="4" t="str">
        <f ca="1">IF(W7=0,"",W7)</f>
        <v/>
      </c>
      <c r="AX25" t="str">
        <f t="shared" ca="1" si="0"/>
        <v>GUERRIERI</v>
      </c>
      <c r="AY25" s="7">
        <f t="shared" ca="1" si="1"/>
        <v>25</v>
      </c>
      <c r="AZ25" s="7" t="str">
        <f t="shared" ca="1" si="2"/>
        <v>GUERRIERI</v>
      </c>
      <c r="BA25" s="4" t="str">
        <f t="shared" ca="1" si="35"/>
        <v/>
      </c>
      <c r="BB25" t="str">
        <f t="shared" ca="1" si="4"/>
        <v>BERESZYNSKI</v>
      </c>
      <c r="BC25" s="7">
        <f t="shared" ca="1" si="15"/>
        <v>25</v>
      </c>
      <c r="BD25" s="7" t="str">
        <f t="shared" ca="1" si="5"/>
        <v>BERESZYNSKI</v>
      </c>
      <c r="BE25" s="4" t="str">
        <f t="shared" ca="1" si="36"/>
        <v/>
      </c>
      <c r="BF25" t="str">
        <f t="shared" ca="1" si="7"/>
        <v>BRLEK</v>
      </c>
      <c r="BG25" s="7">
        <f t="shared" ca="1" si="16"/>
        <v>25</v>
      </c>
      <c r="BH25" s="7" t="str">
        <f t="shared" ca="1" si="8"/>
        <v>BRLEK</v>
      </c>
      <c r="BI25" s="4" t="str">
        <f t="shared" ca="1" si="34"/>
        <v/>
      </c>
      <c r="BJ25" t="str">
        <f t="shared" ca="1" si="10"/>
        <v>DI FRANCESCO F</v>
      </c>
      <c r="BK25" s="7">
        <f t="shared" ca="1" si="17"/>
        <v>25</v>
      </c>
      <c r="BL25" s="7" t="str">
        <f t="shared" ca="1" si="11"/>
        <v>DI FRANCESCO F</v>
      </c>
      <c r="BM25" s="4" t="str">
        <f t="shared" ca="1" si="37"/>
        <v/>
      </c>
      <c r="BN25" t="str">
        <f t="shared" ca="1" si="13"/>
        <v/>
      </c>
      <c r="BO25" s="7">
        <f t="shared" ca="1" si="18"/>
        <v>1</v>
      </c>
      <c r="BP25" s="7">
        <f t="shared" ca="1" si="14"/>
        <v>0</v>
      </c>
    </row>
    <row r="26" spans="1:68" ht="14.25">
      <c r="A26" s="15"/>
      <c r="B26" s="13" t="s">
        <v>630</v>
      </c>
      <c r="C26" s="14">
        <f ca="1">C10</f>
        <v>326</v>
      </c>
      <c r="D26" s="15"/>
      <c r="E26" s="13" t="s">
        <v>630</v>
      </c>
      <c r="F26" s="14">
        <f ca="1">F10</f>
        <v>326</v>
      </c>
      <c r="G26" s="15"/>
      <c r="H26" s="13" t="s">
        <v>630</v>
      </c>
      <c r="I26" s="14">
        <f ca="1">I10</f>
        <v>326</v>
      </c>
      <c r="J26" s="15"/>
      <c r="K26" s="13" t="s">
        <v>630</v>
      </c>
      <c r="L26" s="14">
        <f ca="1">L$58-(COUNTIF($A$5:$A$7,"=P")+COUNTIF($A$14:$A$23,"=D")+10-COUNTBLANK($A$30:$A$39)+COUNTIF($A$46:$A$53,"=A")-(COUNTIF(L$5:L$7,"&gt;0")+COUNTIF(L$14:L$23,"&gt;0")+COUNTIF(L$30:L$39,"&gt;0")+COUNTIF(L$46:L$53,"&gt;0")))+1</f>
        <v>326</v>
      </c>
      <c r="M26" s="15"/>
      <c r="N26" s="13" t="s">
        <v>630</v>
      </c>
      <c r="O26" s="14">
        <f ca="1">O10</f>
        <v>326</v>
      </c>
      <c r="P26" s="15"/>
      <c r="Q26" s="13" t="s">
        <v>630</v>
      </c>
      <c r="R26" s="14">
        <f ca="1">R10</f>
        <v>326</v>
      </c>
      <c r="S26" s="15"/>
      <c r="T26" s="13" t="s">
        <v>630</v>
      </c>
      <c r="U26" s="14">
        <f ca="1">U10</f>
        <v>326</v>
      </c>
      <c r="V26" s="15"/>
      <c r="W26" s="13" t="s">
        <v>630</v>
      </c>
      <c r="X26" s="14">
        <f ca="1">X10</f>
        <v>326</v>
      </c>
      <c r="Y26" s="15"/>
      <c r="Z26" s="13" t="s">
        <v>630</v>
      </c>
      <c r="AA26" s="14">
        <f ca="1">AA10</f>
        <v>326</v>
      </c>
      <c r="AB26" s="15"/>
      <c r="AC26" s="13" t="s">
        <v>630</v>
      </c>
      <c r="AD26" s="14">
        <f ca="1">AD10</f>
        <v>326</v>
      </c>
      <c r="AE26" s="15"/>
      <c r="AF26" s="13" t="s">
        <v>630</v>
      </c>
      <c r="AG26" s="14">
        <f ca="1">AG10</f>
        <v>326</v>
      </c>
      <c r="AH26" s="15"/>
      <c r="AI26" s="13" t="s">
        <v>630</v>
      </c>
      <c r="AJ26" s="14">
        <f ca="1">AJ10</f>
        <v>326</v>
      </c>
      <c r="AM26" s="221"/>
      <c r="AN26" s="231" t="str">
        <f ca="1">IF(Giocatori!E33=0,"",Giocatori!E33)</f>
        <v>HANDANOVIC</v>
      </c>
      <c r="AO26" s="221"/>
      <c r="AP26" s="231" t="str">
        <f ca="1">IF(Giocatori!H33=0,"",Giocatori!H33)</f>
        <v>BIANCHETTI</v>
      </c>
      <c r="AQ26" s="221"/>
      <c r="AR26" s="231" t="str">
        <f ca="1">IF(Giocatori!K33=0,"",Giocatori!K33)</f>
        <v>BROZOVIC</v>
      </c>
      <c r="AS26" s="221"/>
      <c r="AT26" s="231" t="str">
        <f ca="1">IF(Giocatori!N33=0,"",Giocatori!N33)</f>
        <v>DJORDJEVIC</v>
      </c>
      <c r="AU26" s="221"/>
      <c r="AV26" s="231" t="str">
        <f ca="1">IF(Giocatori!Q33=0,"",Giocatori!Q33)</f>
        <v/>
      </c>
      <c r="AW26" s="4" t="str">
        <f ca="1">IF(Z5=0,"",Z5)</f>
        <v/>
      </c>
      <c r="AX26" t="str">
        <f t="shared" ca="1" si="0"/>
        <v>HANDANOVIC</v>
      </c>
      <c r="AY26" s="7">
        <f t="shared" ca="1" si="1"/>
        <v>26</v>
      </c>
      <c r="AZ26" s="7" t="str">
        <f t="shared" ca="1" si="2"/>
        <v>HANDANOVIC</v>
      </c>
      <c r="BA26" s="4" t="str">
        <f t="shared" ca="1" si="35"/>
        <v/>
      </c>
      <c r="BB26" t="str">
        <f t="shared" ca="1" si="4"/>
        <v>BIANCHETTI</v>
      </c>
      <c r="BC26" s="7">
        <f t="shared" ca="1" si="15"/>
        <v>26</v>
      </c>
      <c r="BD26" s="7" t="str">
        <f t="shared" ca="1" si="5"/>
        <v>BIANCHETTI</v>
      </c>
      <c r="BE26" s="4" t="str">
        <f t="shared" ca="1" si="36"/>
        <v/>
      </c>
      <c r="BF26" t="str">
        <f t="shared" ca="1" si="7"/>
        <v>BROZOVIC</v>
      </c>
      <c r="BG26" s="7">
        <f t="shared" ca="1" si="16"/>
        <v>26</v>
      </c>
      <c r="BH26" s="7" t="str">
        <f t="shared" ca="1" si="8"/>
        <v>BROZOVIC</v>
      </c>
      <c r="BI26" s="4" t="str">
        <f t="shared" ref="BI26:BI33" ca="1" si="38">IF(K46=0,"",K46)</f>
        <v/>
      </c>
      <c r="BJ26" t="str">
        <f t="shared" ca="1" si="10"/>
        <v>DJORDJEVIC</v>
      </c>
      <c r="BK26" s="7">
        <f t="shared" ca="1" si="17"/>
        <v>26</v>
      </c>
      <c r="BL26" s="7" t="str">
        <f t="shared" ca="1" si="11"/>
        <v>DJORDJEVIC</v>
      </c>
      <c r="BM26" s="4" t="str">
        <f t="shared" ca="1" si="37"/>
        <v/>
      </c>
      <c r="BN26" t="str">
        <f t="shared" ca="1" si="13"/>
        <v/>
      </c>
      <c r="BO26" s="7">
        <f t="shared" ca="1" si="18"/>
        <v>1</v>
      </c>
      <c r="BP26" s="7">
        <f t="shared" ca="1" si="14"/>
        <v>0</v>
      </c>
    </row>
    <row r="27" spans="1:68" s="18" customFormat="1">
      <c r="A27" s="365"/>
      <c r="B27" s="382" t="s">
        <v>631</v>
      </c>
      <c r="C27" s="383">
        <f ca="1">C28-INDIRECT(ADDRESS(58,MATCH(Asta!$D$3,$A$3:$AJ$3,0)+2,1,1))</f>
        <v>0</v>
      </c>
      <c r="D27" s="365"/>
      <c r="E27" s="382" t="s">
        <v>631</v>
      </c>
      <c r="F27" s="383">
        <f ca="1">F28-INDIRECT(ADDRESS(58,MATCH(Asta!$D$3,$A$3:$AJ$3,0)+2,1,1))</f>
        <v>0</v>
      </c>
      <c r="G27" s="365"/>
      <c r="H27" s="382" t="s">
        <v>631</v>
      </c>
      <c r="I27" s="383">
        <f ca="1">I28-INDIRECT(ADDRESS(58,MATCH(Asta!$D$3,$A$3:$AJ$3,0)+2,1,1))</f>
        <v>0</v>
      </c>
      <c r="J27" s="365"/>
      <c r="K27" s="382" t="s">
        <v>631</v>
      </c>
      <c r="L27" s="383">
        <f ca="1">L28-INDIRECT(ADDRESS(58,MATCH(Asta!$D$3,$A$3:$AJ$3,0)+2,1,1))</f>
        <v>0</v>
      </c>
      <c r="M27" s="365"/>
      <c r="N27" s="382" t="s">
        <v>631</v>
      </c>
      <c r="O27" s="383">
        <f ca="1">O28-INDIRECT(ADDRESS(58,MATCH(Asta!$D$3,$A$3:$AJ$3,0)+2,1,1))</f>
        <v>0</v>
      </c>
      <c r="P27" s="365"/>
      <c r="Q27" s="382" t="s">
        <v>631</v>
      </c>
      <c r="R27" s="383">
        <f ca="1">R28-INDIRECT(ADDRESS(58,MATCH(Asta!$D$3,$A$3:$AJ$3,0)+2,1,1))</f>
        <v>0</v>
      </c>
      <c r="S27" s="365"/>
      <c r="T27" s="382" t="s">
        <v>631</v>
      </c>
      <c r="U27" s="383">
        <f ca="1">U28-INDIRECT(ADDRESS(58,MATCH(Asta!$D$3,$A$3:$AJ$3,0)+2,1,1))</f>
        <v>0</v>
      </c>
      <c r="V27" s="365"/>
      <c r="W27" s="382" t="s">
        <v>631</v>
      </c>
      <c r="X27" s="383">
        <f ca="1">X28-INDIRECT(ADDRESS(58,MATCH(Asta!$D$3,$A$3:$AJ$3,0)+2,1,1))</f>
        <v>0</v>
      </c>
      <c r="Y27" s="365"/>
      <c r="Z27" s="382" t="s">
        <v>631</v>
      </c>
      <c r="AA27" s="383">
        <f ca="1">AA28-INDIRECT(ADDRESS(58,MATCH(Asta!$D$3,$A$3:$AJ$3,0)+2,1,1))</f>
        <v>0</v>
      </c>
      <c r="AB27" s="365"/>
      <c r="AC27" s="382" t="s">
        <v>631</v>
      </c>
      <c r="AD27" s="383">
        <f ca="1">AD28-INDIRECT(ADDRESS(58,MATCH(Asta!$D$3,$A$3:$AJ$3,0)+2,1,1))</f>
        <v>0</v>
      </c>
      <c r="AE27" s="365"/>
      <c r="AF27" s="382" t="s">
        <v>631</v>
      </c>
      <c r="AG27" s="383">
        <f ca="1">AG28-INDIRECT(ADDRESS(58,MATCH(Asta!$D$3,$A$3:$AJ$3,0)+2,1,1))</f>
        <v>0</v>
      </c>
      <c r="AH27" s="365"/>
      <c r="AI27" s="382" t="s">
        <v>631</v>
      </c>
      <c r="AJ27" s="383">
        <f ca="1">AJ28-INDIRECT(ADDRESS(58,MATCH(Asta!$D$3,$A$3:$AJ$3,0)+2,1,1))</f>
        <v>0</v>
      </c>
      <c r="AM27" s="182"/>
      <c r="AN27" s="366" t="str">
        <f ca="1">IF(Giocatori!E34=0,"",Giocatori!E34)</f>
        <v>ICHAZO</v>
      </c>
      <c r="AO27" s="182"/>
      <c r="AP27" s="366" t="str">
        <f ca="1">IF(Giocatori!H34=0,"",Giocatori!H34)</f>
        <v>BIRAGHI</v>
      </c>
      <c r="AQ27" s="182"/>
      <c r="AR27" s="366" t="str">
        <f ca="1">IF(Giocatori!K34=0,"",Giocatori!K34)</f>
        <v>BUCHEL</v>
      </c>
      <c r="AS27" s="182"/>
      <c r="AT27" s="366" t="str">
        <f ca="1">IF(Giocatori!N34=0,"",Giocatori!N34)</f>
        <v>DYBALA</v>
      </c>
      <c r="AU27" s="182"/>
      <c r="AV27" s="366" t="str">
        <f ca="1">IF(Giocatori!Q34=0,"",Giocatori!Q34)</f>
        <v/>
      </c>
      <c r="AW27" s="18" t="str">
        <f ca="1">IF(Z6=0,"",Z6)</f>
        <v/>
      </c>
      <c r="AX27" s="69" t="str">
        <f t="shared" ca="1" si="0"/>
        <v>ICHAZO</v>
      </c>
      <c r="AY27" s="7">
        <f t="shared" ca="1" si="1"/>
        <v>27</v>
      </c>
      <c r="AZ27" s="7" t="str">
        <f t="shared" ca="1" si="2"/>
        <v>ICHAZO</v>
      </c>
      <c r="BA27" s="18" t="str">
        <f t="shared" ca="1" si="35"/>
        <v/>
      </c>
      <c r="BB27" s="69" t="str">
        <f t="shared" ca="1" si="4"/>
        <v>BIRAGHI</v>
      </c>
      <c r="BC27" s="7">
        <f t="shared" ca="1" si="15"/>
        <v>27</v>
      </c>
      <c r="BD27" s="7" t="str">
        <f t="shared" ca="1" si="5"/>
        <v>BIRAGHI</v>
      </c>
      <c r="BE27" s="18" t="str">
        <f t="shared" ca="1" si="36"/>
        <v/>
      </c>
      <c r="BF27" s="69" t="str">
        <f t="shared" ca="1" si="7"/>
        <v>BUCHEL</v>
      </c>
      <c r="BG27" s="7">
        <f t="shared" ca="1" si="16"/>
        <v>27</v>
      </c>
      <c r="BH27" s="7" t="str">
        <f t="shared" ca="1" si="8"/>
        <v>BUCHEL</v>
      </c>
      <c r="BI27" s="18" t="str">
        <f t="shared" ca="1" si="38"/>
        <v/>
      </c>
      <c r="BJ27" s="69" t="str">
        <f t="shared" ca="1" si="10"/>
        <v>DYBALA</v>
      </c>
      <c r="BK27" s="7">
        <f t="shared" ca="1" si="17"/>
        <v>27</v>
      </c>
      <c r="BL27" s="7" t="str">
        <f t="shared" ca="1" si="11"/>
        <v>DYBALA</v>
      </c>
      <c r="BM27" s="18" t="str">
        <f t="shared" ca="1" si="37"/>
        <v/>
      </c>
      <c r="BN27" s="69" t="str">
        <f t="shared" ca="1" si="13"/>
        <v/>
      </c>
      <c r="BO27" s="7">
        <f t="shared" ca="1" si="18"/>
        <v>1</v>
      </c>
      <c r="BP27" s="7">
        <f t="shared" ca="1" si="14"/>
        <v>0</v>
      </c>
    </row>
    <row r="28" spans="1:68" s="379" customFormat="1" ht="15">
      <c r="A28" s="376"/>
      <c r="B28" s="377" t="s">
        <v>632</v>
      </c>
      <c r="C28" s="378">
        <f ca="1">C58</f>
        <v>350</v>
      </c>
      <c r="D28" s="376"/>
      <c r="E28" s="377" t="s">
        <v>632</v>
      </c>
      <c r="F28" s="378">
        <f ca="1">F58</f>
        <v>350</v>
      </c>
      <c r="G28" s="376"/>
      <c r="H28" s="377" t="s">
        <v>632</v>
      </c>
      <c r="I28" s="378">
        <f ca="1">I58</f>
        <v>350</v>
      </c>
      <c r="J28" s="376"/>
      <c r="K28" s="377" t="s">
        <v>632</v>
      </c>
      <c r="L28" s="378">
        <f ca="1">L58</f>
        <v>350</v>
      </c>
      <c r="M28" s="376"/>
      <c r="N28" s="377" t="s">
        <v>632</v>
      </c>
      <c r="O28" s="378">
        <f ca="1">O58</f>
        <v>350</v>
      </c>
      <c r="P28" s="376"/>
      <c r="Q28" s="377" t="s">
        <v>632</v>
      </c>
      <c r="R28" s="378">
        <f ca="1">R58</f>
        <v>350</v>
      </c>
      <c r="S28" s="376"/>
      <c r="T28" s="377" t="s">
        <v>632</v>
      </c>
      <c r="U28" s="378">
        <f ca="1">U58</f>
        <v>350</v>
      </c>
      <c r="V28" s="376"/>
      <c r="W28" s="377" t="s">
        <v>632</v>
      </c>
      <c r="X28" s="378">
        <f ca="1">X58</f>
        <v>350</v>
      </c>
      <c r="Y28" s="376"/>
      <c r="Z28" s="377" t="s">
        <v>632</v>
      </c>
      <c r="AA28" s="378">
        <f ca="1">AA58</f>
        <v>350</v>
      </c>
      <c r="AB28" s="376"/>
      <c r="AC28" s="377" t="s">
        <v>632</v>
      </c>
      <c r="AD28" s="378">
        <f ca="1">AD58</f>
        <v>350</v>
      </c>
      <c r="AE28" s="376"/>
      <c r="AF28" s="377" t="s">
        <v>632</v>
      </c>
      <c r="AG28" s="378">
        <f ca="1">AG58</f>
        <v>350</v>
      </c>
      <c r="AH28" s="376"/>
      <c r="AI28" s="377" t="s">
        <v>632</v>
      </c>
      <c r="AJ28" s="378">
        <f ca="1">AJ58</f>
        <v>350</v>
      </c>
      <c r="AM28" s="221"/>
      <c r="AN28" s="380" t="str">
        <f ca="1">IF(Giocatori!E35=0,"",Giocatori!E35)</f>
        <v>LAMANNA</v>
      </c>
      <c r="AO28" s="221"/>
      <c r="AP28" s="380" t="str">
        <f ca="1">IF(Giocatori!H35=0,"",Giocatori!H35)</f>
        <v>BIRASCHI</v>
      </c>
      <c r="AQ28" s="221"/>
      <c r="AR28" s="380" t="str">
        <f ca="1">IF(Giocatori!K35=0,"",Giocatori!K35)</f>
        <v>CALHANOGLU</v>
      </c>
      <c r="AS28" s="221"/>
      <c r="AT28" s="380" t="str">
        <f ca="1">IF(Giocatori!N35=0,"",Giocatori!N35)</f>
        <v>DZEKO</v>
      </c>
      <c r="AU28" s="221"/>
      <c r="AV28" s="380" t="str">
        <f ca="1">IF(Giocatori!Q35=0,"",Giocatori!Q35)</f>
        <v/>
      </c>
      <c r="AW28" s="379" t="str">
        <f ca="1">IF(Z7=0,"",Z7)</f>
        <v/>
      </c>
      <c r="AX28" s="1" t="str">
        <f t="shared" ca="1" si="0"/>
        <v>LAMANNA</v>
      </c>
      <c r="AY28" s="381">
        <f t="shared" ca="1" si="1"/>
        <v>28</v>
      </c>
      <c r="AZ28" s="381" t="str">
        <f t="shared" ca="1" si="2"/>
        <v>LAMANNA</v>
      </c>
      <c r="BA28" s="379" t="str">
        <f t="shared" ca="1" si="35"/>
        <v/>
      </c>
      <c r="BB28" s="1" t="str">
        <f t="shared" ca="1" si="4"/>
        <v>BIRASCHI</v>
      </c>
      <c r="BC28" s="381">
        <f t="shared" ca="1" si="15"/>
        <v>28</v>
      </c>
      <c r="BD28" s="381" t="str">
        <f t="shared" ca="1" si="5"/>
        <v>BIRASCHI</v>
      </c>
      <c r="BE28" s="379" t="str">
        <f t="shared" ca="1" si="36"/>
        <v/>
      </c>
      <c r="BF28" s="1" t="str">
        <f t="shared" ca="1" si="7"/>
        <v>CALHANOGLU</v>
      </c>
      <c r="BG28" s="381">
        <f t="shared" ca="1" si="16"/>
        <v>28</v>
      </c>
      <c r="BH28" s="381" t="str">
        <f t="shared" ca="1" si="8"/>
        <v>CALHANOGLU</v>
      </c>
      <c r="BI28" s="379" t="str">
        <f t="shared" ca="1" si="38"/>
        <v/>
      </c>
      <c r="BJ28" s="1" t="str">
        <f t="shared" ca="1" si="10"/>
        <v>DZEKO</v>
      </c>
      <c r="BK28" s="381">
        <f t="shared" ca="1" si="17"/>
        <v>28</v>
      </c>
      <c r="BL28" s="381" t="str">
        <f t="shared" ca="1" si="11"/>
        <v>DZEKO</v>
      </c>
      <c r="BM28" s="379" t="str">
        <f t="shared" ca="1" si="37"/>
        <v/>
      </c>
      <c r="BN28" s="1" t="str">
        <f t="shared" ca="1" si="13"/>
        <v/>
      </c>
      <c r="BO28" s="381">
        <f t="shared" ca="1" si="18"/>
        <v>1</v>
      </c>
      <c r="BP28" s="381">
        <f t="shared" ca="1" si="14"/>
        <v>0</v>
      </c>
    </row>
    <row r="29" spans="1:68" ht="14.25">
      <c r="A29" s="533" t="s">
        <v>633</v>
      </c>
      <c r="B29" s="533"/>
      <c r="C29" s="534"/>
      <c r="D29" s="533" t="s">
        <v>633</v>
      </c>
      <c r="E29" s="533"/>
      <c r="F29" s="534"/>
      <c r="G29" s="533" t="s">
        <v>633</v>
      </c>
      <c r="H29" s="533"/>
      <c r="I29" s="534"/>
      <c r="J29" s="533" t="s">
        <v>633</v>
      </c>
      <c r="K29" s="533"/>
      <c r="L29" s="534"/>
      <c r="M29" s="533" t="s">
        <v>633</v>
      </c>
      <c r="N29" s="533"/>
      <c r="O29" s="534"/>
      <c r="P29" s="533" t="s">
        <v>633</v>
      </c>
      <c r="Q29" s="533"/>
      <c r="R29" s="534"/>
      <c r="S29" s="533" t="s">
        <v>633</v>
      </c>
      <c r="T29" s="533"/>
      <c r="U29" s="534"/>
      <c r="V29" s="533" t="s">
        <v>633</v>
      </c>
      <c r="W29" s="533"/>
      <c r="X29" s="534"/>
      <c r="Y29" s="533" t="s">
        <v>633</v>
      </c>
      <c r="Z29" s="533"/>
      <c r="AA29" s="534"/>
      <c r="AB29" s="533" t="s">
        <v>633</v>
      </c>
      <c r="AC29" s="533"/>
      <c r="AD29" s="534"/>
      <c r="AE29" s="533" t="s">
        <v>633</v>
      </c>
      <c r="AF29" s="533"/>
      <c r="AG29" s="534"/>
      <c r="AH29" s="533" t="s">
        <v>633</v>
      </c>
      <c r="AI29" s="533"/>
      <c r="AJ29" s="534"/>
      <c r="AM29" s="221"/>
      <c r="AN29" s="231" t="str">
        <f ca="1">IF(Giocatori!E36=0,"",Giocatori!E36)</f>
        <v>LOBONT</v>
      </c>
      <c r="AO29" s="221"/>
      <c r="AP29" s="231" t="str">
        <f ca="1">IF(Giocatori!H36=0,"",Giocatori!H36)</f>
        <v>BOCHNIEWICZ</v>
      </c>
      <c r="AQ29" s="221"/>
      <c r="AR29" s="231" t="str">
        <f ca="1">IF(Giocatori!K36=0,"",Giocatori!K36)</f>
        <v>CANDREVA</v>
      </c>
      <c r="AS29" s="221"/>
      <c r="AT29" s="231" t="str">
        <f ca="1">IF(Giocatori!N36=0,"",Giocatori!N36)</f>
        <v>EDER</v>
      </c>
      <c r="AU29" s="221"/>
      <c r="AV29" s="231" t="str">
        <f ca="1">IF(Giocatori!Q36=0,"",Giocatori!Q36)</f>
        <v/>
      </c>
      <c r="AW29" s="4" t="str">
        <f ca="1">IF(AC5=0,"",AC5)</f>
        <v/>
      </c>
      <c r="AX29" t="str">
        <f t="shared" ca="1" si="0"/>
        <v>LOBONT</v>
      </c>
      <c r="AY29" s="7">
        <f t="shared" ca="1" si="1"/>
        <v>29</v>
      </c>
      <c r="AZ29" s="7" t="str">
        <f t="shared" ca="1" si="2"/>
        <v>LOBONT</v>
      </c>
      <c r="BA29" s="4" t="str">
        <f t="shared" ca="1" si="35"/>
        <v/>
      </c>
      <c r="BB29" t="str">
        <f t="shared" ca="1" si="4"/>
        <v>BOCHNIEWICZ</v>
      </c>
      <c r="BC29" s="7">
        <f t="shared" ca="1" si="15"/>
        <v>29</v>
      </c>
      <c r="BD29" s="7" t="str">
        <f t="shared" ca="1" si="5"/>
        <v>BOCHNIEWICZ</v>
      </c>
      <c r="BE29" s="4" t="str">
        <f t="shared" ca="1" si="36"/>
        <v/>
      </c>
      <c r="BF29" t="str">
        <f t="shared" ca="1" si="7"/>
        <v>CANDREVA</v>
      </c>
      <c r="BG29" s="7">
        <f t="shared" ca="1" si="16"/>
        <v>29</v>
      </c>
      <c r="BH29" s="7" t="str">
        <f t="shared" ca="1" si="8"/>
        <v>CANDREVA</v>
      </c>
      <c r="BI29" s="4" t="str">
        <f t="shared" ca="1" si="38"/>
        <v/>
      </c>
      <c r="BJ29" t="str">
        <f t="shared" ca="1" si="10"/>
        <v>EDER</v>
      </c>
      <c r="BK29" s="7">
        <f t="shared" ca="1" si="17"/>
        <v>29</v>
      </c>
      <c r="BL29" s="7" t="str">
        <f t="shared" ca="1" si="11"/>
        <v>EDER</v>
      </c>
      <c r="BM29" s="4" t="str">
        <f t="shared" ca="1" si="37"/>
        <v/>
      </c>
      <c r="BN29" t="str">
        <f t="shared" ca="1" si="13"/>
        <v/>
      </c>
      <c r="BO29" s="7">
        <f t="shared" ca="1" si="18"/>
        <v>1</v>
      </c>
      <c r="BP29" s="7">
        <f t="shared" ca="1" si="14"/>
        <v>0</v>
      </c>
    </row>
    <row r="30" spans="1:68" ht="14.25">
      <c r="A30" s="8" t="str">
        <f>IF(Asta!$AD$3&lt;AK30,"","C")</f>
        <v>C</v>
      </c>
      <c r="B30" s="9" t="str">
        <f ca="1">IF(A30="","",IF(ISNA(MATCH(A$3&amp;A30&amp;$AK30,Asta!$I:$I,0)),"",INDIRECT("Asta!B"&amp;MATCH(A$3&amp;A30&amp;$AK30,Asta!$I:$I,0))))</f>
        <v/>
      </c>
      <c r="C30" s="10" t="str">
        <f ca="1">IF(B30="","",IF(ISNA(MATCH(A$3&amp;A30&amp;$AK30,Asta!$I:$I,0)),"",INDIRECT("Asta!H"&amp;MATCH(A$3&amp;A30&amp;$AK30,Asta!$I:$I,0))))</f>
        <v/>
      </c>
      <c r="D30" s="384" t="str">
        <f t="shared" ref="D30:D39" si="39">A30</f>
        <v>C</v>
      </c>
      <c r="E30" s="9" t="str">
        <f ca="1">IF(D30="","",IF(ISNA(MATCH(D$3&amp;D30&amp;$AK30,Asta!$I:$I,0)),"",INDIRECT("Asta!B"&amp;MATCH(D$3&amp;D30&amp;$AK30,Asta!$I:$I,0))))</f>
        <v/>
      </c>
      <c r="F30" s="10" t="str">
        <f ca="1">IF(E30="","",IF(ISNA(MATCH(D$3&amp;D30&amp;$AK30,Asta!$I:$I,0)),"",INDIRECT("Asta!H"&amp;MATCH(D$3&amp;D30&amp;$AK30,Asta!$I:$I,0))))</f>
        <v/>
      </c>
      <c r="G30" s="384" t="str">
        <f>D30</f>
        <v>C</v>
      </c>
      <c r="H30" s="9" t="str">
        <f ca="1">IF(G30="","",IF(ISNA(MATCH(G$3&amp;G30&amp;$AK30,Asta!$I:$I,0)),"",INDIRECT("Asta!B"&amp;MATCH(G$3&amp;G30&amp;$AK30,Asta!$I:$I,0))))</f>
        <v/>
      </c>
      <c r="I30" s="10" t="str">
        <f ca="1">IF(H30="","",IF(ISNA(MATCH(G$3&amp;G30&amp;$AK30,Asta!$I:$I,0)),"",INDIRECT("Asta!H"&amp;MATCH(G$3&amp;G30&amp;$AK30,Asta!$I:$I,0))))</f>
        <v/>
      </c>
      <c r="J30" s="384" t="str">
        <f>G30</f>
        <v>C</v>
      </c>
      <c r="K30" s="9" t="str">
        <f ca="1">IF(J30="","",IF(ISNA(MATCH(J$3&amp;J30&amp;$AK30,Asta!$I:$I,0)),"",INDIRECT("Asta!B"&amp;MATCH(J$3&amp;J30&amp;$AK30,Asta!$I:$I,0))))</f>
        <v/>
      </c>
      <c r="L30" s="10" t="str">
        <f ca="1">IF(K30="","",IF(ISNA(MATCH(J$3&amp;J30&amp;$AK30,Asta!$I:$I,0)),"",INDIRECT("Asta!H"&amp;MATCH(J$3&amp;J30&amp;$AK30,Asta!$I:$I,0))))</f>
        <v/>
      </c>
      <c r="M30" s="384" t="str">
        <f>J30</f>
        <v>C</v>
      </c>
      <c r="N30" s="9" t="str">
        <f ca="1">IF(M30="","",IF(ISNA(MATCH(M$3&amp;M30&amp;$AK30,Asta!$I:$I,0)),"",INDIRECT("Asta!B"&amp;MATCH(M$3&amp;M30&amp;$AK30,Asta!$I:$I,0))))</f>
        <v/>
      </c>
      <c r="O30" s="10" t="str">
        <f ca="1">IF(N30="","",IF(ISNA(MATCH(M$3&amp;M30&amp;$AK30,Asta!$I:$I,0)),"",INDIRECT("Asta!H"&amp;MATCH(M$3&amp;M30&amp;$AK30,Asta!$I:$I,0))))</f>
        <v/>
      </c>
      <c r="P30" s="384" t="str">
        <f>M30</f>
        <v>C</v>
      </c>
      <c r="Q30" s="9" t="str">
        <f ca="1">IF(P30="","",IF(ISNA(MATCH(P$3&amp;P30&amp;$AK30,Asta!$I:$I,0)),"",INDIRECT("Asta!B"&amp;MATCH(P$3&amp;P30&amp;$AK30,Asta!$I:$I,0))))</f>
        <v/>
      </c>
      <c r="R30" s="10" t="str">
        <f ca="1">IF(Q30="","",IF(ISNA(MATCH(P$3&amp;P30&amp;$AK30,Asta!$I:$I,0)),"",INDIRECT("Asta!H"&amp;MATCH(P$3&amp;P30&amp;$AK30,Asta!$I:$I,0))))</f>
        <v/>
      </c>
      <c r="S30" s="384" t="str">
        <f>P30</f>
        <v>C</v>
      </c>
      <c r="T30" s="9" t="str">
        <f ca="1">IF(S30="","",IF(ISNA(MATCH(S$3&amp;S30&amp;$AK30,Asta!$I:$I,0)),"",INDIRECT("Asta!B"&amp;MATCH(S$3&amp;S30&amp;$AK30,Asta!$I:$I,0))))</f>
        <v/>
      </c>
      <c r="U30" s="10" t="str">
        <f ca="1">IF(T30="","",IF(ISNA(MATCH(S$3&amp;S30&amp;$AK30,Asta!$I:$I,0)),"",INDIRECT("Asta!H"&amp;MATCH(S$3&amp;S30&amp;$AK30,Asta!$I:$I,0))))</f>
        <v/>
      </c>
      <c r="V30" s="384" t="str">
        <f>S30</f>
        <v>C</v>
      </c>
      <c r="W30" s="9" t="str">
        <f ca="1">IF(V30="","",IF(ISNA(MATCH(V$3&amp;V30&amp;$AK30,Asta!$I:$I,0)),"",INDIRECT("Asta!B"&amp;MATCH(V$3&amp;V30&amp;$AK30,Asta!$I:$I,0))))</f>
        <v/>
      </c>
      <c r="X30" s="10" t="str">
        <f ca="1">IF(W30="","",IF(ISNA(MATCH(V$3&amp;V30&amp;$AK30,Asta!$I:$I,0)),"",INDIRECT("Asta!H"&amp;MATCH(V$3&amp;V30&amp;$AK30,Asta!$I:$I,0))))</f>
        <v/>
      </c>
      <c r="Y30" s="384" t="str">
        <f>V30</f>
        <v>C</v>
      </c>
      <c r="Z30" s="9" t="str">
        <f ca="1">IF(Y30="","",IF(ISNA(MATCH(Y$3&amp;Y30&amp;$AK30,Asta!$I:$I,0)),"",INDIRECT("Asta!B"&amp;MATCH(Y$3&amp;Y30&amp;$AK30,Asta!$I:$I,0))))</f>
        <v/>
      </c>
      <c r="AA30" s="10" t="str">
        <f ca="1">IF(Z30="","",IF(ISNA(MATCH(Y$3&amp;Y30&amp;$AK30,Asta!$I:$I,0)),"",INDIRECT("Asta!H"&amp;MATCH(Y$3&amp;Y30&amp;$AK30,Asta!$I:$I,0))))</f>
        <v/>
      </c>
      <c r="AB30" s="384" t="str">
        <f>Y30</f>
        <v>C</v>
      </c>
      <c r="AC30" s="9" t="str">
        <f ca="1">IF(AB30="","",IF(ISNA(MATCH(AB$3&amp;AB30&amp;$AK30,Asta!$I:$I,0)),"",INDIRECT("Asta!B"&amp;MATCH(AB$3&amp;AB30&amp;$AK30,Asta!$I:$I,0))))</f>
        <v/>
      </c>
      <c r="AD30" s="10" t="str">
        <f ca="1">IF(AC30="","",IF(ISNA(MATCH(AB$3&amp;AB30&amp;$AK30,Asta!$I:$I,0)),"",INDIRECT("Asta!H"&amp;MATCH(AB$3&amp;AB30&amp;$AK30,Asta!$I:$I,0))))</f>
        <v/>
      </c>
      <c r="AE30" s="384" t="str">
        <f>AB30</f>
        <v>C</v>
      </c>
      <c r="AF30" s="9" t="str">
        <f ca="1">IF(AE30="","",IF(ISNA(MATCH(AE$3&amp;AE30&amp;$AK30,Asta!$I:$I,0)),"",INDIRECT("Asta!B"&amp;MATCH(AE$3&amp;AE30&amp;$AK30,Asta!$I:$I,0))))</f>
        <v/>
      </c>
      <c r="AG30" s="10" t="str">
        <f ca="1">IF(AF30="","",IF(ISNA(MATCH(AE$3&amp;AE30&amp;$AK30,Asta!$I:$I,0)),"",INDIRECT("Asta!H"&amp;MATCH(AE$3&amp;AE30&amp;$AK30,Asta!$I:$I,0))))</f>
        <v/>
      </c>
      <c r="AH30" s="384" t="str">
        <f>AE30</f>
        <v>C</v>
      </c>
      <c r="AI30" s="9" t="str">
        <f ca="1">IF(AH30="","",IF(ISNA(MATCH(AH$3&amp;AH30&amp;$AK30,Asta!$I:$I,0)),"",INDIRECT("Asta!B"&amp;MATCH(AH$3&amp;AH30&amp;$AK30,Asta!$I:$I,0))))</f>
        <v/>
      </c>
      <c r="AJ30" s="10" t="str">
        <f ca="1">IF(AI30="","",IF(ISNA(MATCH(AH$3&amp;AH30&amp;$AK30,Asta!$I:$I,0)),"",INDIRECT("Asta!H"&amp;MATCH(AH$3&amp;AH30&amp;$AK30,Asta!$I:$I,0))))</f>
        <v/>
      </c>
      <c r="AK30" s="4">
        <v>1</v>
      </c>
      <c r="AM30" s="221"/>
      <c r="AN30" s="231" t="str">
        <f ca="1">IF(Giocatori!E37=0,"",Giocatori!E37)</f>
        <v>MARCHEGIANI</v>
      </c>
      <c r="AO30" s="221"/>
      <c r="AP30" s="231" t="str">
        <f ca="1">IF(Giocatori!H37=0,"",Giocatori!H37)</f>
        <v>BONIFAZI</v>
      </c>
      <c r="AQ30" s="221"/>
      <c r="AR30" s="231" t="str">
        <f ca="1">IF(Giocatori!K37=0,"",Giocatori!K37)</f>
        <v>CAPEZZI</v>
      </c>
      <c r="AS30" s="221"/>
      <c r="AT30" s="231" t="str">
        <f ca="1">IF(Giocatori!N37=0,"",Giocatori!N37)</f>
        <v>EDERA</v>
      </c>
      <c r="AU30" s="221"/>
      <c r="AV30" s="231" t="str">
        <f ca="1">IF(Giocatori!Q37=0,"",Giocatori!Q37)</f>
        <v/>
      </c>
      <c r="AW30" s="4" t="str">
        <f ca="1">IF(AC6=0,"",AC6)</f>
        <v/>
      </c>
      <c r="AX30" t="str">
        <f t="shared" ca="1" si="0"/>
        <v>MARCHEGIANI</v>
      </c>
      <c r="AY30" s="7">
        <f t="shared" ca="1" si="1"/>
        <v>30</v>
      </c>
      <c r="AZ30" s="7" t="str">
        <f t="shared" ca="1" si="2"/>
        <v>MARCHEGIANI</v>
      </c>
      <c r="BA30" s="4" t="str">
        <f t="shared" ca="1" si="35"/>
        <v/>
      </c>
      <c r="BB30" t="str">
        <f t="shared" ca="1" si="4"/>
        <v>BONIFAZI</v>
      </c>
      <c r="BC30" s="7">
        <f t="shared" ca="1" si="15"/>
        <v>30</v>
      </c>
      <c r="BD30" s="7" t="str">
        <f t="shared" ca="1" si="5"/>
        <v>BONIFAZI</v>
      </c>
      <c r="BE30" s="4" t="str">
        <f t="shared" ca="1" si="36"/>
        <v/>
      </c>
      <c r="BF30" t="str">
        <f t="shared" ca="1" si="7"/>
        <v>CAPEZZI</v>
      </c>
      <c r="BG30" s="7">
        <f t="shared" ca="1" si="16"/>
        <v>30</v>
      </c>
      <c r="BH30" s="7" t="str">
        <f t="shared" ca="1" si="8"/>
        <v>CAPEZZI</v>
      </c>
      <c r="BI30" s="4" t="str">
        <f t="shared" ca="1" si="38"/>
        <v/>
      </c>
      <c r="BJ30" t="str">
        <f t="shared" ca="1" si="10"/>
        <v>EDERA</v>
      </c>
      <c r="BK30" s="7">
        <f t="shared" ca="1" si="17"/>
        <v>30</v>
      </c>
      <c r="BL30" s="7" t="str">
        <f t="shared" ca="1" si="11"/>
        <v>EDERA</v>
      </c>
      <c r="BM30" s="4" t="str">
        <f t="shared" ca="1" si="37"/>
        <v/>
      </c>
      <c r="BN30" t="str">
        <f t="shared" ca="1" si="13"/>
        <v/>
      </c>
      <c r="BO30" s="7">
        <f t="shared" ca="1" si="18"/>
        <v>1</v>
      </c>
      <c r="BP30" s="7">
        <f t="shared" ca="1" si="14"/>
        <v>0</v>
      </c>
    </row>
    <row r="31" spans="1:68" ht="14.25">
      <c r="A31" s="8" t="str">
        <f>IF(Asta!$AD$3&lt;AK31,"","C")</f>
        <v>C</v>
      </c>
      <c r="B31" s="9" t="str">
        <f ca="1">IF(A31="","",IF(ISNA(MATCH(A$3&amp;A31&amp;$AK31,Asta!$I:$I,0)),"",INDIRECT("Asta!B"&amp;MATCH(A$3&amp;A31&amp;$AK31,Asta!$I:$I,0))))</f>
        <v/>
      </c>
      <c r="C31" s="10" t="str">
        <f ca="1">IF(B31="","",IF(ISNA(MATCH(A$3&amp;A31&amp;$AK31,Asta!$I:$I,0)),"",INDIRECT("Asta!H"&amp;MATCH(A$3&amp;A31&amp;$AK31,Asta!$I:$I,0))))</f>
        <v/>
      </c>
      <c r="D31" s="384" t="str">
        <f t="shared" si="39"/>
        <v>C</v>
      </c>
      <c r="E31" s="9" t="str">
        <f ca="1">IF(D31="","",IF(ISNA(MATCH(D$3&amp;D31&amp;$AK31,Asta!$I:$I,0)),"",INDIRECT("Asta!B"&amp;MATCH(D$3&amp;D31&amp;$AK31,Asta!$I:$I,0))))</f>
        <v/>
      </c>
      <c r="F31" s="10" t="str">
        <f ca="1">IF(E31="","",IF(ISNA(MATCH(D$3&amp;D31&amp;$AK31,Asta!$I:$I,0)),"",INDIRECT("Asta!H"&amp;MATCH(D$3&amp;D31&amp;$AK31,Asta!$I:$I,0))))</f>
        <v/>
      </c>
      <c r="G31" s="384" t="str">
        <f t="shared" ref="G31:G39" si="40">D31</f>
        <v>C</v>
      </c>
      <c r="H31" s="9" t="str">
        <f ca="1">IF(G31="","",IF(ISNA(MATCH(G$3&amp;G31&amp;$AK31,Asta!$I:$I,0)),"",INDIRECT("Asta!B"&amp;MATCH(G$3&amp;G31&amp;$AK31,Asta!$I:$I,0))))</f>
        <v/>
      </c>
      <c r="I31" s="10" t="str">
        <f ca="1">IF(H31="","",IF(ISNA(MATCH(G$3&amp;G31&amp;$AK31,Asta!$I:$I,0)),"",INDIRECT("Asta!H"&amp;MATCH(G$3&amp;G31&amp;$AK31,Asta!$I:$I,0))))</f>
        <v/>
      </c>
      <c r="J31" s="384" t="str">
        <f t="shared" ref="J31:J39" si="41">G31</f>
        <v>C</v>
      </c>
      <c r="K31" s="9" t="str">
        <f ca="1">IF(J31="","",IF(ISNA(MATCH(J$3&amp;J31&amp;$AK31,Asta!$I:$I,0)),"",INDIRECT("Asta!B"&amp;MATCH(J$3&amp;J31&amp;$AK31,Asta!$I:$I,0))))</f>
        <v/>
      </c>
      <c r="L31" s="10" t="str">
        <f ca="1">IF(K31="","",IF(ISNA(MATCH(J$3&amp;J31&amp;$AK31,Asta!$I:$I,0)),"",INDIRECT("Asta!H"&amp;MATCH(J$3&amp;J31&amp;$AK31,Asta!$I:$I,0))))</f>
        <v/>
      </c>
      <c r="M31" s="384" t="str">
        <f t="shared" ref="M31:M39" si="42">J31</f>
        <v>C</v>
      </c>
      <c r="N31" s="9" t="str">
        <f ca="1">IF(M31="","",IF(ISNA(MATCH(M$3&amp;M31&amp;$AK31,Asta!$I:$I,0)),"",INDIRECT("Asta!B"&amp;MATCH(M$3&amp;M31&amp;$AK31,Asta!$I:$I,0))))</f>
        <v/>
      </c>
      <c r="O31" s="10" t="str">
        <f ca="1">IF(N31="","",IF(ISNA(MATCH(M$3&amp;M31&amp;$AK31,Asta!$I:$I,0)),"",INDIRECT("Asta!H"&amp;MATCH(M$3&amp;M31&amp;$AK31,Asta!$I:$I,0))))</f>
        <v/>
      </c>
      <c r="P31" s="384" t="str">
        <f t="shared" ref="P31:P39" si="43">M31</f>
        <v>C</v>
      </c>
      <c r="Q31" s="9" t="str">
        <f ca="1">IF(P31="","",IF(ISNA(MATCH(P$3&amp;P31&amp;$AK31,Asta!$I:$I,0)),"",INDIRECT("Asta!B"&amp;MATCH(P$3&amp;P31&amp;$AK31,Asta!$I:$I,0))))</f>
        <v/>
      </c>
      <c r="R31" s="10" t="str">
        <f ca="1">IF(Q31="","",IF(ISNA(MATCH(P$3&amp;P31&amp;$AK31,Asta!$I:$I,0)),"",INDIRECT("Asta!H"&amp;MATCH(P$3&amp;P31&amp;$AK31,Asta!$I:$I,0))))</f>
        <v/>
      </c>
      <c r="S31" s="384" t="str">
        <f t="shared" ref="S31:S39" si="44">P31</f>
        <v>C</v>
      </c>
      <c r="T31" s="9" t="str">
        <f ca="1">IF(S31="","",IF(ISNA(MATCH(S$3&amp;S31&amp;$AK31,Asta!$I:$I,0)),"",INDIRECT("Asta!B"&amp;MATCH(S$3&amp;S31&amp;$AK31,Asta!$I:$I,0))))</f>
        <v/>
      </c>
      <c r="U31" s="10" t="str">
        <f ca="1">IF(T31="","",IF(ISNA(MATCH(S$3&amp;S31&amp;$AK31,Asta!$I:$I,0)),"",INDIRECT("Asta!H"&amp;MATCH(S$3&amp;S31&amp;$AK31,Asta!$I:$I,0))))</f>
        <v/>
      </c>
      <c r="V31" s="384" t="str">
        <f t="shared" ref="V31:V39" si="45">S31</f>
        <v>C</v>
      </c>
      <c r="W31" s="9" t="str">
        <f ca="1">IF(V31="","",IF(ISNA(MATCH(V$3&amp;V31&amp;$AK31,Asta!$I:$I,0)),"",INDIRECT("Asta!B"&amp;MATCH(V$3&amp;V31&amp;$AK31,Asta!$I:$I,0))))</f>
        <v/>
      </c>
      <c r="X31" s="10" t="str">
        <f ca="1">IF(W31="","",IF(ISNA(MATCH(V$3&amp;V31&amp;$AK31,Asta!$I:$I,0)),"",INDIRECT("Asta!H"&amp;MATCH(V$3&amp;V31&amp;$AK31,Asta!$I:$I,0))))</f>
        <v/>
      </c>
      <c r="Y31" s="384" t="str">
        <f t="shared" ref="Y31:Y39" si="46">V31</f>
        <v>C</v>
      </c>
      <c r="Z31" s="9" t="str">
        <f ca="1">IF(Y31="","",IF(ISNA(MATCH(Y$3&amp;Y31&amp;$AK31,Asta!$I:$I,0)),"",INDIRECT("Asta!B"&amp;MATCH(Y$3&amp;Y31&amp;$AK31,Asta!$I:$I,0))))</f>
        <v/>
      </c>
      <c r="AA31" s="10" t="str">
        <f ca="1">IF(Z31="","",IF(ISNA(MATCH(Y$3&amp;Y31&amp;$AK31,Asta!$I:$I,0)),"",INDIRECT("Asta!H"&amp;MATCH(Y$3&amp;Y31&amp;$AK31,Asta!$I:$I,0))))</f>
        <v/>
      </c>
      <c r="AB31" s="384" t="str">
        <f t="shared" ref="AB31:AB39" si="47">Y31</f>
        <v>C</v>
      </c>
      <c r="AC31" s="9" t="str">
        <f ca="1">IF(AB31="","",IF(ISNA(MATCH(AB$3&amp;AB31&amp;$AK31,Asta!$I:$I,0)),"",INDIRECT("Asta!B"&amp;MATCH(AB$3&amp;AB31&amp;$AK31,Asta!$I:$I,0))))</f>
        <v/>
      </c>
      <c r="AD31" s="10" t="str">
        <f ca="1">IF(AC31="","",IF(ISNA(MATCH(AB$3&amp;AB31&amp;$AK31,Asta!$I:$I,0)),"",INDIRECT("Asta!H"&amp;MATCH(AB$3&amp;AB31&amp;$AK31,Asta!$I:$I,0))))</f>
        <v/>
      </c>
      <c r="AE31" s="384" t="str">
        <f t="shared" ref="AE31:AE39" si="48">AB31</f>
        <v>C</v>
      </c>
      <c r="AF31" s="9" t="str">
        <f ca="1">IF(AE31="","",IF(ISNA(MATCH(AE$3&amp;AE31&amp;$AK31,Asta!$I:$I,0)),"",INDIRECT("Asta!B"&amp;MATCH(AE$3&amp;AE31&amp;$AK31,Asta!$I:$I,0))))</f>
        <v/>
      </c>
      <c r="AG31" s="10" t="str">
        <f ca="1">IF(AF31="","",IF(ISNA(MATCH(AE$3&amp;AE31&amp;$AK31,Asta!$I:$I,0)),"",INDIRECT("Asta!H"&amp;MATCH(AE$3&amp;AE31&amp;$AK31,Asta!$I:$I,0))))</f>
        <v/>
      </c>
      <c r="AH31" s="384" t="str">
        <f t="shared" ref="AH31:AH39" si="49">AE31</f>
        <v>C</v>
      </c>
      <c r="AI31" s="9" t="str">
        <f ca="1">IF(AH31="","",IF(ISNA(MATCH(AH$3&amp;AH31&amp;$AK31,Asta!$I:$I,0)),"",INDIRECT("Asta!B"&amp;MATCH(AH$3&amp;AH31&amp;$AK31,Asta!$I:$I,0))))</f>
        <v/>
      </c>
      <c r="AJ31" s="10" t="str">
        <f ca="1">IF(AI31="","",IF(ISNA(MATCH(AH$3&amp;AH31&amp;$AK31,Asta!$I:$I,0)),"",INDIRECT("Asta!H"&amp;MATCH(AH$3&amp;AH31&amp;$AK31,Asta!$I:$I,0))))</f>
        <v/>
      </c>
      <c r="AK31" s="4">
        <v>2</v>
      </c>
      <c r="AM31" s="221"/>
      <c r="AN31" s="231" t="str">
        <f ca="1">IF(Giocatori!E38=0,"",Giocatori!E38)</f>
        <v>MARCHETTI</v>
      </c>
      <c r="AO31" s="221"/>
      <c r="AP31" s="231" t="str">
        <f ca="1">IF(Giocatori!H38=0,"",Giocatori!H38)</f>
        <v>BONUCCI</v>
      </c>
      <c r="AQ31" s="221"/>
      <c r="AR31" s="231" t="str">
        <f ca="1">IF(Giocatori!K38=0,"",Giocatori!K38)</f>
        <v>CASSATA</v>
      </c>
      <c r="AS31" s="221"/>
      <c r="AT31" s="231" t="str">
        <f ca="1">IF(Giocatori!N38=0,"",Giocatori!N38)</f>
        <v>EL SHAARAWY</v>
      </c>
      <c r="AU31" s="221"/>
      <c r="AV31" s="231" t="str">
        <f ca="1">IF(Giocatori!Q38=0,"",Giocatori!Q38)</f>
        <v/>
      </c>
      <c r="AW31" s="4" t="str">
        <f ca="1">IF(AC7=0,"",AC7)</f>
        <v/>
      </c>
      <c r="AX31" t="str">
        <f t="shared" ca="1" si="0"/>
        <v>MARCHETTI</v>
      </c>
      <c r="AY31" s="7">
        <f t="shared" ca="1" si="1"/>
        <v>31</v>
      </c>
      <c r="AZ31" s="7" t="str">
        <f t="shared" ca="1" si="2"/>
        <v>MARCHETTI</v>
      </c>
      <c r="BA31" s="4" t="str">
        <f t="shared" ca="1" si="35"/>
        <v/>
      </c>
      <c r="BB31" t="str">
        <f t="shared" ca="1" si="4"/>
        <v>BONUCCI</v>
      </c>
      <c r="BC31" s="7">
        <f t="shared" ca="1" si="15"/>
        <v>31</v>
      </c>
      <c r="BD31" s="7" t="str">
        <f t="shared" ca="1" si="5"/>
        <v>BONUCCI</v>
      </c>
      <c r="BE31" s="4" t="str">
        <f t="shared" ca="1" si="36"/>
        <v/>
      </c>
      <c r="BF31" t="str">
        <f t="shared" ca="1" si="7"/>
        <v>CASSATA</v>
      </c>
      <c r="BG31" s="7">
        <f t="shared" ca="1" si="16"/>
        <v>31</v>
      </c>
      <c r="BH31" s="7" t="str">
        <f t="shared" ca="1" si="8"/>
        <v>CASSATA</v>
      </c>
      <c r="BI31" s="4" t="str">
        <f t="shared" ca="1" si="38"/>
        <v/>
      </c>
      <c r="BJ31" t="str">
        <f t="shared" ca="1" si="10"/>
        <v>EL SHAARAWY</v>
      </c>
      <c r="BK31" s="7">
        <f t="shared" ca="1" si="17"/>
        <v>31</v>
      </c>
      <c r="BL31" s="7" t="str">
        <f t="shared" ca="1" si="11"/>
        <v>EL SHAARAWY</v>
      </c>
      <c r="BM31" s="4" t="str">
        <f t="shared" ca="1" si="37"/>
        <v/>
      </c>
      <c r="BN31" t="str">
        <f t="shared" ca="1" si="13"/>
        <v/>
      </c>
      <c r="BO31" s="7">
        <f t="shared" ca="1" si="18"/>
        <v>1</v>
      </c>
      <c r="BP31" s="7">
        <f t="shared" ca="1" si="14"/>
        <v>0</v>
      </c>
    </row>
    <row r="32" spans="1:68" ht="14.25">
      <c r="A32" s="8" t="str">
        <f>IF(Asta!$AD$3&lt;AK32,"","C")</f>
        <v>C</v>
      </c>
      <c r="B32" s="9" t="str">
        <f ca="1">IF(A32="","",IF(ISNA(MATCH(A$3&amp;A32&amp;$AK32,Asta!$I:$I,0)),"",INDIRECT("Asta!B"&amp;MATCH(A$3&amp;A32&amp;$AK32,Asta!$I:$I,0))))</f>
        <v/>
      </c>
      <c r="C32" s="10" t="str">
        <f ca="1">IF(B32="","",IF(ISNA(MATCH(A$3&amp;A32&amp;$AK32,Asta!$I:$I,0)),"",INDIRECT("Asta!H"&amp;MATCH(A$3&amp;A32&amp;$AK32,Asta!$I:$I,0))))</f>
        <v/>
      </c>
      <c r="D32" s="384" t="str">
        <f t="shared" si="39"/>
        <v>C</v>
      </c>
      <c r="E32" s="9" t="str">
        <f ca="1">IF(D32="","",IF(ISNA(MATCH(D$3&amp;D32&amp;$AK32,Asta!$I:$I,0)),"",INDIRECT("Asta!B"&amp;MATCH(D$3&amp;D32&amp;$AK32,Asta!$I:$I,0))))</f>
        <v/>
      </c>
      <c r="F32" s="10" t="str">
        <f ca="1">IF(E32="","",IF(ISNA(MATCH(D$3&amp;D32&amp;$AK32,Asta!$I:$I,0)),"",INDIRECT("Asta!H"&amp;MATCH(D$3&amp;D32&amp;$AK32,Asta!$I:$I,0))))</f>
        <v/>
      </c>
      <c r="G32" s="384" t="str">
        <f t="shared" si="40"/>
        <v>C</v>
      </c>
      <c r="H32" s="9" t="str">
        <f ca="1">IF(G32="","",IF(ISNA(MATCH(G$3&amp;G32&amp;$AK32,Asta!$I:$I,0)),"",INDIRECT("Asta!B"&amp;MATCH(G$3&amp;G32&amp;$AK32,Asta!$I:$I,0))))</f>
        <v/>
      </c>
      <c r="I32" s="10" t="str">
        <f ca="1">IF(H32="","",IF(ISNA(MATCH(G$3&amp;G32&amp;$AK32,Asta!$I:$I,0)),"",INDIRECT("Asta!H"&amp;MATCH(G$3&amp;G32&amp;$AK32,Asta!$I:$I,0))))</f>
        <v/>
      </c>
      <c r="J32" s="384" t="str">
        <f t="shared" si="41"/>
        <v>C</v>
      </c>
      <c r="K32" s="9" t="str">
        <f ca="1">IF(J32="","",IF(ISNA(MATCH(J$3&amp;J32&amp;$AK32,Asta!$I:$I,0)),"",INDIRECT("Asta!B"&amp;MATCH(J$3&amp;J32&amp;$AK32,Asta!$I:$I,0))))</f>
        <v/>
      </c>
      <c r="L32" s="10" t="str">
        <f ca="1">IF(K32="","",IF(ISNA(MATCH(J$3&amp;J32&amp;$AK32,Asta!$I:$I,0)),"",INDIRECT("Asta!H"&amp;MATCH(J$3&amp;J32&amp;$AK32,Asta!$I:$I,0))))</f>
        <v/>
      </c>
      <c r="M32" s="384" t="str">
        <f t="shared" si="42"/>
        <v>C</v>
      </c>
      <c r="N32" s="9" t="str">
        <f ca="1">IF(M32="","",IF(ISNA(MATCH(M$3&amp;M32&amp;$AK32,Asta!$I:$I,0)),"",INDIRECT("Asta!B"&amp;MATCH(M$3&amp;M32&amp;$AK32,Asta!$I:$I,0))))</f>
        <v/>
      </c>
      <c r="O32" s="10" t="str">
        <f ca="1">IF(N32="","",IF(ISNA(MATCH(M$3&amp;M32&amp;$AK32,Asta!$I:$I,0)),"",INDIRECT("Asta!H"&amp;MATCH(M$3&amp;M32&amp;$AK32,Asta!$I:$I,0))))</f>
        <v/>
      </c>
      <c r="P32" s="384" t="str">
        <f t="shared" si="43"/>
        <v>C</v>
      </c>
      <c r="Q32" s="9" t="str">
        <f ca="1">IF(P32="","",IF(ISNA(MATCH(P$3&amp;P32&amp;$AK32,Asta!$I:$I,0)),"",INDIRECT("Asta!B"&amp;MATCH(P$3&amp;P32&amp;$AK32,Asta!$I:$I,0))))</f>
        <v/>
      </c>
      <c r="R32" s="10" t="str">
        <f ca="1">IF(Q32="","",IF(ISNA(MATCH(P$3&amp;P32&amp;$AK32,Asta!$I:$I,0)),"",INDIRECT("Asta!H"&amp;MATCH(P$3&amp;P32&amp;$AK32,Asta!$I:$I,0))))</f>
        <v/>
      </c>
      <c r="S32" s="384" t="str">
        <f t="shared" si="44"/>
        <v>C</v>
      </c>
      <c r="T32" s="9" t="str">
        <f ca="1">IF(S32="","",IF(ISNA(MATCH(S$3&amp;S32&amp;$AK32,Asta!$I:$I,0)),"",INDIRECT("Asta!B"&amp;MATCH(S$3&amp;S32&amp;$AK32,Asta!$I:$I,0))))</f>
        <v/>
      </c>
      <c r="U32" s="10" t="str">
        <f ca="1">IF(T32="","",IF(ISNA(MATCH(S$3&amp;S32&amp;$AK32,Asta!$I:$I,0)),"",INDIRECT("Asta!H"&amp;MATCH(S$3&amp;S32&amp;$AK32,Asta!$I:$I,0))))</f>
        <v/>
      </c>
      <c r="V32" s="384" t="str">
        <f t="shared" si="45"/>
        <v>C</v>
      </c>
      <c r="W32" s="9" t="str">
        <f ca="1">IF(V32="","",IF(ISNA(MATCH(V$3&amp;V32&amp;$AK32,Asta!$I:$I,0)),"",INDIRECT("Asta!B"&amp;MATCH(V$3&amp;V32&amp;$AK32,Asta!$I:$I,0))))</f>
        <v/>
      </c>
      <c r="X32" s="10" t="str">
        <f ca="1">IF(W32="","",IF(ISNA(MATCH(V$3&amp;V32&amp;$AK32,Asta!$I:$I,0)),"",INDIRECT("Asta!H"&amp;MATCH(V$3&amp;V32&amp;$AK32,Asta!$I:$I,0))))</f>
        <v/>
      </c>
      <c r="Y32" s="384" t="str">
        <f t="shared" si="46"/>
        <v>C</v>
      </c>
      <c r="Z32" s="9" t="str">
        <f ca="1">IF(Y32="","",IF(ISNA(MATCH(Y$3&amp;Y32&amp;$AK32,Asta!$I:$I,0)),"",INDIRECT("Asta!B"&amp;MATCH(Y$3&amp;Y32&amp;$AK32,Asta!$I:$I,0))))</f>
        <v/>
      </c>
      <c r="AA32" s="10" t="str">
        <f ca="1">IF(Z32="","",IF(ISNA(MATCH(Y$3&amp;Y32&amp;$AK32,Asta!$I:$I,0)),"",INDIRECT("Asta!H"&amp;MATCH(Y$3&amp;Y32&amp;$AK32,Asta!$I:$I,0))))</f>
        <v/>
      </c>
      <c r="AB32" s="384" t="str">
        <f t="shared" si="47"/>
        <v>C</v>
      </c>
      <c r="AC32" s="9" t="str">
        <f ca="1">IF(AB32="","",IF(ISNA(MATCH(AB$3&amp;AB32&amp;$AK32,Asta!$I:$I,0)),"",INDIRECT("Asta!B"&amp;MATCH(AB$3&amp;AB32&amp;$AK32,Asta!$I:$I,0))))</f>
        <v/>
      </c>
      <c r="AD32" s="10" t="str">
        <f ca="1">IF(AC32="","",IF(ISNA(MATCH(AB$3&amp;AB32&amp;$AK32,Asta!$I:$I,0)),"",INDIRECT("Asta!H"&amp;MATCH(AB$3&amp;AB32&amp;$AK32,Asta!$I:$I,0))))</f>
        <v/>
      </c>
      <c r="AE32" s="384" t="str">
        <f t="shared" si="48"/>
        <v>C</v>
      </c>
      <c r="AF32" s="9" t="str">
        <f ca="1">IF(AE32="","",IF(ISNA(MATCH(AE$3&amp;AE32&amp;$AK32,Asta!$I:$I,0)),"",INDIRECT("Asta!B"&amp;MATCH(AE$3&amp;AE32&amp;$AK32,Asta!$I:$I,0))))</f>
        <v/>
      </c>
      <c r="AG32" s="10" t="str">
        <f ca="1">IF(AF32="","",IF(ISNA(MATCH(AE$3&amp;AE32&amp;$AK32,Asta!$I:$I,0)),"",INDIRECT("Asta!H"&amp;MATCH(AE$3&amp;AE32&amp;$AK32,Asta!$I:$I,0))))</f>
        <v/>
      </c>
      <c r="AH32" s="384" t="str">
        <f t="shared" si="49"/>
        <v>C</v>
      </c>
      <c r="AI32" s="9" t="str">
        <f ca="1">IF(AH32="","",IF(ISNA(MATCH(AH$3&amp;AH32&amp;$AK32,Asta!$I:$I,0)),"",INDIRECT("Asta!B"&amp;MATCH(AH$3&amp;AH32&amp;$AK32,Asta!$I:$I,0))))</f>
        <v/>
      </c>
      <c r="AJ32" s="10" t="str">
        <f ca="1">IF(AI32="","",IF(ISNA(MATCH(AH$3&amp;AH32&amp;$AK32,Asta!$I:$I,0)),"",INDIRECT("Asta!H"&amp;MATCH(AH$3&amp;AH32&amp;$AK32,Asta!$I:$I,0))))</f>
        <v/>
      </c>
      <c r="AK32" s="4">
        <v>3</v>
      </c>
      <c r="AM32" s="221"/>
      <c r="AN32" s="231" t="str">
        <f ca="1">IF(Giocatori!E39=0,"",Giocatori!E39)</f>
        <v>MARSON</v>
      </c>
      <c r="AO32" s="221"/>
      <c r="AP32" s="231" t="str">
        <f ca="1">IF(Giocatori!H39=0,"",Giocatori!H39)</f>
        <v>BRUNO PERES</v>
      </c>
      <c r="AQ32" s="221"/>
      <c r="AR32" s="231" t="str">
        <f ca="1">IF(Giocatori!K39=0,"",Giocatori!K39)</f>
        <v>CASTRO</v>
      </c>
      <c r="AS32" s="221"/>
      <c r="AT32" s="231" t="str">
        <f ca="1">IF(Giocatori!N39=0,"",Giocatori!N39)</f>
        <v>FALCINELLI</v>
      </c>
      <c r="AU32" s="221"/>
      <c r="AV32" s="231" t="str">
        <f ca="1">IF(Giocatori!Q39=0,"",Giocatori!Q39)</f>
        <v/>
      </c>
      <c r="AW32" s="4" t="str">
        <f ca="1">IF(AF5=0,"",AF5)</f>
        <v/>
      </c>
      <c r="AX32" t="str">
        <f t="shared" ca="1" si="0"/>
        <v>MARSON</v>
      </c>
      <c r="AY32" s="7">
        <f t="shared" ca="1" si="1"/>
        <v>32</v>
      </c>
      <c r="AZ32" s="7" t="str">
        <f t="shared" ca="1" si="2"/>
        <v>MARSON</v>
      </c>
      <c r="BA32" s="4" t="str">
        <f t="shared" ref="BA32:BA41" ca="1" si="50">IF(K14=0,"",K14)</f>
        <v/>
      </c>
      <c r="BB32" t="str">
        <f t="shared" ca="1" si="4"/>
        <v>BRUNO PERES</v>
      </c>
      <c r="BC32" s="7">
        <f t="shared" ca="1" si="15"/>
        <v>32</v>
      </c>
      <c r="BD32" s="7" t="str">
        <f t="shared" ca="1" si="5"/>
        <v>BRUNO PERES</v>
      </c>
      <c r="BE32" s="4" t="str">
        <f t="shared" ref="BE32:BE41" ca="1" si="51">IF(K30=0,"",K30)</f>
        <v/>
      </c>
      <c r="BF32" t="str">
        <f t="shared" ca="1" si="7"/>
        <v>CASTRO</v>
      </c>
      <c r="BG32" s="7">
        <f t="shared" ca="1" si="16"/>
        <v>32</v>
      </c>
      <c r="BH32" s="7" t="str">
        <f t="shared" ca="1" si="8"/>
        <v>CASTRO</v>
      </c>
      <c r="BI32" s="4" t="str">
        <f t="shared" ca="1" si="38"/>
        <v/>
      </c>
      <c r="BJ32" t="str">
        <f t="shared" ca="1" si="10"/>
        <v>FALCINELLI</v>
      </c>
      <c r="BK32" s="7">
        <f t="shared" ca="1" si="17"/>
        <v>32</v>
      </c>
      <c r="BL32" s="7" t="str">
        <f t="shared" ca="1" si="11"/>
        <v>FALCINELLI</v>
      </c>
      <c r="BM32" s="4" t="str">
        <f t="shared" ref="BM32:BM43" ca="1" si="52">IF(K30=0,"",K30)</f>
        <v/>
      </c>
      <c r="BN32" t="str">
        <f t="shared" ca="1" si="13"/>
        <v/>
      </c>
      <c r="BO32" s="7">
        <f t="shared" ca="1" si="18"/>
        <v>1</v>
      </c>
      <c r="BP32" s="7">
        <f t="shared" ca="1" si="14"/>
        <v>0</v>
      </c>
    </row>
    <row r="33" spans="1:68" ht="14.25">
      <c r="A33" s="8" t="str">
        <f>IF(Asta!$AD$3&lt;AK33,"","C")</f>
        <v>C</v>
      </c>
      <c r="B33" s="9" t="str">
        <f ca="1">IF(A33="","",IF(ISNA(MATCH(A$3&amp;A33&amp;$AK33,Asta!$I:$I,0)),"",INDIRECT("Asta!B"&amp;MATCH(A$3&amp;A33&amp;$AK33,Asta!$I:$I,0))))</f>
        <v/>
      </c>
      <c r="C33" s="10" t="str">
        <f ca="1">IF(B33="","",IF(ISNA(MATCH(A$3&amp;A33&amp;$AK33,Asta!$I:$I,0)),"",INDIRECT("Asta!H"&amp;MATCH(A$3&amp;A33&amp;$AK33,Asta!$I:$I,0))))</f>
        <v/>
      </c>
      <c r="D33" s="384" t="str">
        <f t="shared" si="39"/>
        <v>C</v>
      </c>
      <c r="E33" s="9" t="str">
        <f ca="1">IF(D33="","",IF(ISNA(MATCH(D$3&amp;D33&amp;$AK33,Asta!$I:$I,0)),"",INDIRECT("Asta!B"&amp;MATCH(D$3&amp;D33&amp;$AK33,Asta!$I:$I,0))))</f>
        <v/>
      </c>
      <c r="F33" s="10" t="str">
        <f ca="1">IF(E33="","",IF(ISNA(MATCH(D$3&amp;D33&amp;$AK33,Asta!$I:$I,0)),"",INDIRECT("Asta!H"&amp;MATCH(D$3&amp;D33&amp;$AK33,Asta!$I:$I,0))))</f>
        <v/>
      </c>
      <c r="G33" s="384" t="str">
        <f t="shared" si="40"/>
        <v>C</v>
      </c>
      <c r="H33" s="9" t="str">
        <f ca="1">IF(G33="","",IF(ISNA(MATCH(G$3&amp;G33&amp;$AK33,Asta!$I:$I,0)),"",INDIRECT("Asta!B"&amp;MATCH(G$3&amp;G33&amp;$AK33,Asta!$I:$I,0))))</f>
        <v/>
      </c>
      <c r="I33" s="10" t="str">
        <f ca="1">IF(H33="","",IF(ISNA(MATCH(G$3&amp;G33&amp;$AK33,Asta!$I:$I,0)),"",INDIRECT("Asta!H"&amp;MATCH(G$3&amp;G33&amp;$AK33,Asta!$I:$I,0))))</f>
        <v/>
      </c>
      <c r="J33" s="384" t="str">
        <f t="shared" si="41"/>
        <v>C</v>
      </c>
      <c r="K33" s="9" t="str">
        <f ca="1">IF(J33="","",IF(ISNA(MATCH(J$3&amp;J33&amp;$AK33,Asta!$I:$I,0)),"",INDIRECT("Asta!B"&amp;MATCH(J$3&amp;J33&amp;$AK33,Asta!$I:$I,0))))</f>
        <v/>
      </c>
      <c r="L33" s="10" t="str">
        <f ca="1">IF(K33="","",IF(ISNA(MATCH(J$3&amp;J33&amp;$AK33,Asta!$I:$I,0)),"",INDIRECT("Asta!H"&amp;MATCH(J$3&amp;J33&amp;$AK33,Asta!$I:$I,0))))</f>
        <v/>
      </c>
      <c r="M33" s="384" t="str">
        <f t="shared" si="42"/>
        <v>C</v>
      </c>
      <c r="N33" s="9" t="str">
        <f ca="1">IF(M33="","",IF(ISNA(MATCH(M$3&amp;M33&amp;$AK33,Asta!$I:$I,0)),"",INDIRECT("Asta!B"&amp;MATCH(M$3&amp;M33&amp;$AK33,Asta!$I:$I,0))))</f>
        <v/>
      </c>
      <c r="O33" s="10" t="str">
        <f ca="1">IF(N33="","",IF(ISNA(MATCH(M$3&amp;M33&amp;$AK33,Asta!$I:$I,0)),"",INDIRECT("Asta!H"&amp;MATCH(M$3&amp;M33&amp;$AK33,Asta!$I:$I,0))))</f>
        <v/>
      </c>
      <c r="P33" s="384" t="str">
        <f t="shared" si="43"/>
        <v>C</v>
      </c>
      <c r="Q33" s="9" t="str">
        <f ca="1">IF(P33="","",IF(ISNA(MATCH(P$3&amp;P33&amp;$AK33,Asta!$I:$I,0)),"",INDIRECT("Asta!B"&amp;MATCH(P$3&amp;P33&amp;$AK33,Asta!$I:$I,0))))</f>
        <v/>
      </c>
      <c r="R33" s="10" t="str">
        <f ca="1">IF(Q33="","",IF(ISNA(MATCH(P$3&amp;P33&amp;$AK33,Asta!$I:$I,0)),"",INDIRECT("Asta!H"&amp;MATCH(P$3&amp;P33&amp;$AK33,Asta!$I:$I,0))))</f>
        <v/>
      </c>
      <c r="S33" s="384" t="str">
        <f t="shared" si="44"/>
        <v>C</v>
      </c>
      <c r="T33" s="9" t="str">
        <f ca="1">IF(S33="","",IF(ISNA(MATCH(S$3&amp;S33&amp;$AK33,Asta!$I:$I,0)),"",INDIRECT("Asta!B"&amp;MATCH(S$3&amp;S33&amp;$AK33,Asta!$I:$I,0))))</f>
        <v/>
      </c>
      <c r="U33" s="10" t="str">
        <f ca="1">IF(T33="","",IF(ISNA(MATCH(S$3&amp;S33&amp;$AK33,Asta!$I:$I,0)),"",INDIRECT("Asta!H"&amp;MATCH(S$3&amp;S33&amp;$AK33,Asta!$I:$I,0))))</f>
        <v/>
      </c>
      <c r="V33" s="384" t="str">
        <f t="shared" si="45"/>
        <v>C</v>
      </c>
      <c r="W33" s="9" t="str">
        <f ca="1">IF(V33="","",IF(ISNA(MATCH(V$3&amp;V33&amp;$AK33,Asta!$I:$I,0)),"",INDIRECT("Asta!B"&amp;MATCH(V$3&amp;V33&amp;$AK33,Asta!$I:$I,0))))</f>
        <v/>
      </c>
      <c r="X33" s="10" t="str">
        <f ca="1">IF(W33="","",IF(ISNA(MATCH(V$3&amp;V33&amp;$AK33,Asta!$I:$I,0)),"",INDIRECT("Asta!H"&amp;MATCH(V$3&amp;V33&amp;$AK33,Asta!$I:$I,0))))</f>
        <v/>
      </c>
      <c r="Y33" s="384" t="str">
        <f t="shared" si="46"/>
        <v>C</v>
      </c>
      <c r="Z33" s="9" t="str">
        <f ca="1">IF(Y33="","",IF(ISNA(MATCH(Y$3&amp;Y33&amp;$AK33,Asta!$I:$I,0)),"",INDIRECT("Asta!B"&amp;MATCH(Y$3&amp;Y33&amp;$AK33,Asta!$I:$I,0))))</f>
        <v/>
      </c>
      <c r="AA33" s="10" t="str">
        <f ca="1">IF(Z33="","",IF(ISNA(MATCH(Y$3&amp;Y33&amp;$AK33,Asta!$I:$I,0)),"",INDIRECT("Asta!H"&amp;MATCH(Y$3&amp;Y33&amp;$AK33,Asta!$I:$I,0))))</f>
        <v/>
      </c>
      <c r="AB33" s="384" t="str">
        <f t="shared" si="47"/>
        <v>C</v>
      </c>
      <c r="AC33" s="9" t="str">
        <f ca="1">IF(AB33="","",IF(ISNA(MATCH(AB$3&amp;AB33&amp;$AK33,Asta!$I:$I,0)),"",INDIRECT("Asta!B"&amp;MATCH(AB$3&amp;AB33&amp;$AK33,Asta!$I:$I,0))))</f>
        <v/>
      </c>
      <c r="AD33" s="10" t="str">
        <f ca="1">IF(AC33="","",IF(ISNA(MATCH(AB$3&amp;AB33&amp;$AK33,Asta!$I:$I,0)),"",INDIRECT("Asta!H"&amp;MATCH(AB$3&amp;AB33&amp;$AK33,Asta!$I:$I,0))))</f>
        <v/>
      </c>
      <c r="AE33" s="384" t="str">
        <f t="shared" si="48"/>
        <v>C</v>
      </c>
      <c r="AF33" s="9" t="str">
        <f ca="1">IF(AE33="","",IF(ISNA(MATCH(AE$3&amp;AE33&amp;$AK33,Asta!$I:$I,0)),"",INDIRECT("Asta!B"&amp;MATCH(AE$3&amp;AE33&amp;$AK33,Asta!$I:$I,0))))</f>
        <v/>
      </c>
      <c r="AG33" s="10" t="str">
        <f ca="1">IF(AF33="","",IF(ISNA(MATCH(AE$3&amp;AE33&amp;$AK33,Asta!$I:$I,0)),"",INDIRECT("Asta!H"&amp;MATCH(AE$3&amp;AE33&amp;$AK33,Asta!$I:$I,0))))</f>
        <v/>
      </c>
      <c r="AH33" s="384" t="str">
        <f t="shared" si="49"/>
        <v>C</v>
      </c>
      <c r="AI33" s="9" t="str">
        <f ca="1">IF(AH33="","",IF(ISNA(MATCH(AH$3&amp;AH33&amp;$AK33,Asta!$I:$I,0)),"",INDIRECT("Asta!B"&amp;MATCH(AH$3&amp;AH33&amp;$AK33,Asta!$I:$I,0))))</f>
        <v/>
      </c>
      <c r="AJ33" s="10" t="str">
        <f ca="1">IF(AI33="","",IF(ISNA(MATCH(AH$3&amp;AH33&amp;$AK33,Asta!$I:$I,0)),"",INDIRECT("Asta!H"&amp;MATCH(AH$3&amp;AH33&amp;$AK33,Asta!$I:$I,0))))</f>
        <v/>
      </c>
      <c r="AK33" s="4">
        <v>4</v>
      </c>
      <c r="AM33" s="221"/>
      <c r="AN33" s="231" t="str">
        <f ca="1">IF(Giocatori!E40=0,"",Giocatori!E40)</f>
        <v>MERET</v>
      </c>
      <c r="AO33" s="221"/>
      <c r="AP33" s="231" t="str">
        <f ca="1">IF(Giocatori!H40=0,"",Giocatori!H40)</f>
        <v>BURDISSO</v>
      </c>
      <c r="AQ33" s="221"/>
      <c r="AR33" s="231" t="str">
        <f ca="1">IF(Giocatori!K40=0,"",Giocatori!K40)</f>
        <v>CATALDI</v>
      </c>
      <c r="AS33" s="221"/>
      <c r="AT33" s="231" t="str">
        <f ca="1">IF(Giocatori!N40=0,"",Giocatori!N40)</f>
        <v>FARIAS</v>
      </c>
      <c r="AU33" s="221"/>
      <c r="AV33" s="231" t="str">
        <f ca="1">IF(Giocatori!Q40=0,"",Giocatori!Q40)</f>
        <v/>
      </c>
      <c r="AW33" s="4" t="str">
        <f ca="1">IF(AF6=0,"",AF6)</f>
        <v/>
      </c>
      <c r="AX33" t="str">
        <f t="shared" ca="1" si="0"/>
        <v>MERET</v>
      </c>
      <c r="AY33" s="7">
        <f t="shared" ca="1" si="1"/>
        <v>33</v>
      </c>
      <c r="AZ33" s="7" t="str">
        <f t="shared" ca="1" si="2"/>
        <v>MERET</v>
      </c>
      <c r="BA33" s="4" t="str">
        <f t="shared" ca="1" si="50"/>
        <v/>
      </c>
      <c r="BB33" t="str">
        <f t="shared" ca="1" si="4"/>
        <v>BURDISSO</v>
      </c>
      <c r="BC33" s="7">
        <f t="shared" ca="1" si="15"/>
        <v>33</v>
      </c>
      <c r="BD33" s="7" t="str">
        <f t="shared" ca="1" si="5"/>
        <v>BURDISSO</v>
      </c>
      <c r="BE33" s="4" t="str">
        <f t="shared" ca="1" si="51"/>
        <v/>
      </c>
      <c r="BF33" t="str">
        <f t="shared" ca="1" si="7"/>
        <v>CATALDI</v>
      </c>
      <c r="BG33" s="7">
        <f t="shared" ca="1" si="16"/>
        <v>33</v>
      </c>
      <c r="BH33" s="7" t="str">
        <f t="shared" ca="1" si="8"/>
        <v>CATALDI</v>
      </c>
      <c r="BI33" s="4" t="str">
        <f t="shared" ca="1" si="38"/>
        <v/>
      </c>
      <c r="BJ33" t="str">
        <f t="shared" ca="1" si="10"/>
        <v>FARIAS</v>
      </c>
      <c r="BK33" s="7">
        <f t="shared" ca="1" si="17"/>
        <v>33</v>
      </c>
      <c r="BL33" s="7" t="str">
        <f t="shared" ca="1" si="11"/>
        <v>FARIAS</v>
      </c>
      <c r="BM33" s="4" t="str">
        <f t="shared" ca="1" si="52"/>
        <v/>
      </c>
      <c r="BN33" t="str">
        <f t="shared" ca="1" si="13"/>
        <v/>
      </c>
      <c r="BO33" s="7">
        <f t="shared" ca="1" si="18"/>
        <v>1</v>
      </c>
      <c r="BP33" s="7">
        <f t="shared" ca="1" si="14"/>
        <v>0</v>
      </c>
    </row>
    <row r="34" spans="1:68" ht="14.25">
      <c r="A34" s="8" t="str">
        <f>IF(Asta!$AD$3&lt;AK34,"","C")</f>
        <v>C</v>
      </c>
      <c r="B34" s="9" t="str">
        <f ca="1">IF(A34="","",IF(ISNA(MATCH(A$3&amp;A34&amp;$AK34,Asta!$I:$I,0)),"",INDIRECT("Asta!B"&amp;MATCH(A$3&amp;A34&amp;$AK34,Asta!$I:$I,0))))</f>
        <v/>
      </c>
      <c r="C34" s="10" t="str">
        <f ca="1">IF(B34="","",IF(ISNA(MATCH(A$3&amp;A34&amp;$AK34,Asta!$I:$I,0)),"",INDIRECT("Asta!H"&amp;MATCH(A$3&amp;A34&amp;$AK34,Asta!$I:$I,0))))</f>
        <v/>
      </c>
      <c r="D34" s="384" t="str">
        <f t="shared" si="39"/>
        <v>C</v>
      </c>
      <c r="E34" s="9" t="str">
        <f ca="1">IF(D34="","",IF(ISNA(MATCH(D$3&amp;D34&amp;$AK34,Asta!$I:$I,0)),"",INDIRECT("Asta!B"&amp;MATCH(D$3&amp;D34&amp;$AK34,Asta!$I:$I,0))))</f>
        <v/>
      </c>
      <c r="F34" s="10" t="str">
        <f ca="1">IF(E34="","",IF(ISNA(MATCH(D$3&amp;D34&amp;$AK34,Asta!$I:$I,0)),"",INDIRECT("Asta!H"&amp;MATCH(D$3&amp;D34&amp;$AK34,Asta!$I:$I,0))))</f>
        <v/>
      </c>
      <c r="G34" s="384" t="str">
        <f t="shared" si="40"/>
        <v>C</v>
      </c>
      <c r="H34" s="9" t="str">
        <f ca="1">IF(G34="","",IF(ISNA(MATCH(G$3&amp;G34&amp;$AK34,Asta!$I:$I,0)),"",INDIRECT("Asta!B"&amp;MATCH(G$3&amp;G34&amp;$AK34,Asta!$I:$I,0))))</f>
        <v/>
      </c>
      <c r="I34" s="10" t="str">
        <f ca="1">IF(H34="","",IF(ISNA(MATCH(G$3&amp;G34&amp;$AK34,Asta!$I:$I,0)),"",INDIRECT("Asta!H"&amp;MATCH(G$3&amp;G34&amp;$AK34,Asta!$I:$I,0))))</f>
        <v/>
      </c>
      <c r="J34" s="384" t="str">
        <f t="shared" si="41"/>
        <v>C</v>
      </c>
      <c r="K34" s="9" t="str">
        <f ca="1">IF(J34="","",IF(ISNA(MATCH(J$3&amp;J34&amp;$AK34,Asta!$I:$I,0)),"",INDIRECT("Asta!B"&amp;MATCH(J$3&amp;J34&amp;$AK34,Asta!$I:$I,0))))</f>
        <v/>
      </c>
      <c r="L34" s="10" t="str">
        <f ca="1">IF(K34="","",IF(ISNA(MATCH(J$3&amp;J34&amp;$AK34,Asta!$I:$I,0)),"",INDIRECT("Asta!H"&amp;MATCH(J$3&amp;J34&amp;$AK34,Asta!$I:$I,0))))</f>
        <v/>
      </c>
      <c r="M34" s="384" t="str">
        <f t="shared" si="42"/>
        <v>C</v>
      </c>
      <c r="N34" s="9" t="str">
        <f ca="1">IF(M34="","",IF(ISNA(MATCH(M$3&amp;M34&amp;$AK34,Asta!$I:$I,0)),"",INDIRECT("Asta!B"&amp;MATCH(M$3&amp;M34&amp;$AK34,Asta!$I:$I,0))))</f>
        <v/>
      </c>
      <c r="O34" s="10" t="str">
        <f ca="1">IF(N34="","",IF(ISNA(MATCH(M$3&amp;M34&amp;$AK34,Asta!$I:$I,0)),"",INDIRECT("Asta!H"&amp;MATCH(M$3&amp;M34&amp;$AK34,Asta!$I:$I,0))))</f>
        <v/>
      </c>
      <c r="P34" s="384" t="str">
        <f t="shared" si="43"/>
        <v>C</v>
      </c>
      <c r="Q34" s="9" t="str">
        <f ca="1">IF(P34="","",IF(ISNA(MATCH(P$3&amp;P34&amp;$AK34,Asta!$I:$I,0)),"",INDIRECT("Asta!B"&amp;MATCH(P$3&amp;P34&amp;$AK34,Asta!$I:$I,0))))</f>
        <v/>
      </c>
      <c r="R34" s="10" t="str">
        <f ca="1">IF(Q34="","",IF(ISNA(MATCH(P$3&amp;P34&amp;$AK34,Asta!$I:$I,0)),"",INDIRECT("Asta!H"&amp;MATCH(P$3&amp;P34&amp;$AK34,Asta!$I:$I,0))))</f>
        <v/>
      </c>
      <c r="S34" s="384" t="str">
        <f t="shared" si="44"/>
        <v>C</v>
      </c>
      <c r="T34" s="9" t="str">
        <f ca="1">IF(S34="","",IF(ISNA(MATCH(S$3&amp;S34&amp;$AK34,Asta!$I:$I,0)),"",INDIRECT("Asta!B"&amp;MATCH(S$3&amp;S34&amp;$AK34,Asta!$I:$I,0))))</f>
        <v/>
      </c>
      <c r="U34" s="10" t="str">
        <f ca="1">IF(T34="","",IF(ISNA(MATCH(S$3&amp;S34&amp;$AK34,Asta!$I:$I,0)),"",INDIRECT("Asta!H"&amp;MATCH(S$3&amp;S34&amp;$AK34,Asta!$I:$I,0))))</f>
        <v/>
      </c>
      <c r="V34" s="384" t="str">
        <f t="shared" si="45"/>
        <v>C</v>
      </c>
      <c r="W34" s="9" t="str">
        <f ca="1">IF(V34="","",IF(ISNA(MATCH(V$3&amp;V34&amp;$AK34,Asta!$I:$I,0)),"",INDIRECT("Asta!B"&amp;MATCH(V$3&amp;V34&amp;$AK34,Asta!$I:$I,0))))</f>
        <v/>
      </c>
      <c r="X34" s="10" t="str">
        <f ca="1">IF(W34="","",IF(ISNA(MATCH(V$3&amp;V34&amp;$AK34,Asta!$I:$I,0)),"",INDIRECT("Asta!H"&amp;MATCH(V$3&amp;V34&amp;$AK34,Asta!$I:$I,0))))</f>
        <v/>
      </c>
      <c r="Y34" s="384" t="str">
        <f t="shared" si="46"/>
        <v>C</v>
      </c>
      <c r="Z34" s="9" t="str">
        <f ca="1">IF(Y34="","",IF(ISNA(MATCH(Y$3&amp;Y34&amp;$AK34,Asta!$I:$I,0)),"",INDIRECT("Asta!B"&amp;MATCH(Y$3&amp;Y34&amp;$AK34,Asta!$I:$I,0))))</f>
        <v/>
      </c>
      <c r="AA34" s="10" t="str">
        <f ca="1">IF(Z34="","",IF(ISNA(MATCH(Y$3&amp;Y34&amp;$AK34,Asta!$I:$I,0)),"",INDIRECT("Asta!H"&amp;MATCH(Y$3&amp;Y34&amp;$AK34,Asta!$I:$I,0))))</f>
        <v/>
      </c>
      <c r="AB34" s="384" t="str">
        <f t="shared" si="47"/>
        <v>C</v>
      </c>
      <c r="AC34" s="9" t="str">
        <f ca="1">IF(AB34="","",IF(ISNA(MATCH(AB$3&amp;AB34&amp;$AK34,Asta!$I:$I,0)),"",INDIRECT("Asta!B"&amp;MATCH(AB$3&amp;AB34&amp;$AK34,Asta!$I:$I,0))))</f>
        <v/>
      </c>
      <c r="AD34" s="10" t="str">
        <f ca="1">IF(AC34="","",IF(ISNA(MATCH(AB$3&amp;AB34&amp;$AK34,Asta!$I:$I,0)),"",INDIRECT("Asta!H"&amp;MATCH(AB$3&amp;AB34&amp;$AK34,Asta!$I:$I,0))))</f>
        <v/>
      </c>
      <c r="AE34" s="384" t="str">
        <f t="shared" si="48"/>
        <v>C</v>
      </c>
      <c r="AF34" s="9" t="str">
        <f ca="1">IF(AE34="","",IF(ISNA(MATCH(AE$3&amp;AE34&amp;$AK34,Asta!$I:$I,0)),"",INDIRECT("Asta!B"&amp;MATCH(AE$3&amp;AE34&amp;$AK34,Asta!$I:$I,0))))</f>
        <v/>
      </c>
      <c r="AG34" s="10" t="str">
        <f ca="1">IF(AF34="","",IF(ISNA(MATCH(AE$3&amp;AE34&amp;$AK34,Asta!$I:$I,0)),"",INDIRECT("Asta!H"&amp;MATCH(AE$3&amp;AE34&amp;$AK34,Asta!$I:$I,0))))</f>
        <v/>
      </c>
      <c r="AH34" s="384" t="str">
        <f t="shared" si="49"/>
        <v>C</v>
      </c>
      <c r="AI34" s="9" t="str">
        <f ca="1">IF(AH34="","",IF(ISNA(MATCH(AH$3&amp;AH34&amp;$AK34,Asta!$I:$I,0)),"",INDIRECT("Asta!B"&amp;MATCH(AH$3&amp;AH34&amp;$AK34,Asta!$I:$I,0))))</f>
        <v/>
      </c>
      <c r="AJ34" s="10" t="str">
        <f ca="1">IF(AI34="","",IF(ISNA(MATCH(AH$3&amp;AH34&amp;$AK34,Asta!$I:$I,0)),"",INDIRECT("Asta!H"&amp;MATCH(AH$3&amp;AH34&amp;$AK34,Asta!$I:$I,0))))</f>
        <v/>
      </c>
      <c r="AK34" s="4">
        <v>5</v>
      </c>
      <c r="AM34" s="221"/>
      <c r="AN34" s="231" t="str">
        <f ca="1">IF(Giocatori!E41=0,"",Giocatori!E41)</f>
        <v>MILINKOVIC-SAVIC V</v>
      </c>
      <c r="AO34" s="221"/>
      <c r="AP34" s="231" t="str">
        <f ca="1">IF(Giocatori!H41=0,"",Giocatori!H41)</f>
        <v>CABRERA</v>
      </c>
      <c r="AQ34" s="221"/>
      <c r="AR34" s="231" t="str">
        <f ca="1">IF(Giocatori!K41=0,"",Giocatori!K41)</f>
        <v>CHIBSAH</v>
      </c>
      <c r="AS34" s="221"/>
      <c r="AT34" s="231" t="str">
        <f ca="1">IF(Giocatori!N41=0,"",Giocatori!N41)</f>
        <v>FLOCCARI</v>
      </c>
      <c r="AU34" s="221"/>
      <c r="AV34" s="231" t="str">
        <f ca="1">IF(Giocatori!Q41=0,"",Giocatori!Q41)</f>
        <v/>
      </c>
      <c r="AW34" s="4" t="str">
        <f ca="1">IF(AF7=0,"",AF7)</f>
        <v/>
      </c>
      <c r="AX34" t="str">
        <f t="shared" ref="AX34:AX65" ca="1" si="53">IF(ISNA(VLOOKUP(AN34,$AW$2:$AW$199,1,FALSE)),AN34,"")</f>
        <v>MILINKOVIC-SAVIC V</v>
      </c>
      <c r="AY34" s="7">
        <f t="shared" ca="1" si="1"/>
        <v>34</v>
      </c>
      <c r="AZ34" s="7" t="str">
        <f t="shared" ref="AZ34:AZ65" ca="1" si="54">IF(ISERROR(INDEX($AX$2:$AX$199,MATCH(ROW(),$AY$2:$AY$199,FALSE))),0,INDEX($AX$2:$AX$199,MATCH(ROW(),$AY$2:$AY$199,FALSE)))</f>
        <v>MILINKOVIC-SAVIC V</v>
      </c>
      <c r="BA34" s="4" t="str">
        <f t="shared" ca="1" si="50"/>
        <v/>
      </c>
      <c r="BB34" t="str">
        <f t="shared" ref="BB34:BB65" ca="1" si="55">IF(ISNA(VLOOKUP(AP34,$BA$2:$BA$199,1,FALSE)),AP34,"")</f>
        <v>CABRERA</v>
      </c>
      <c r="BC34" s="7">
        <f t="shared" ca="1" si="15"/>
        <v>34</v>
      </c>
      <c r="BD34" s="7" t="str">
        <f t="shared" ref="BD34:BD65" ca="1" si="56">IF(ISERROR(INDEX($BB$2:$BB$199,MATCH(ROW(),$BC$2:$BC$199,FALSE))),0,INDEX($BB$2:$BB$199,MATCH(ROW(),$BC$2:$BC$199,FALSE)))</f>
        <v>CABRERA</v>
      </c>
      <c r="BE34" s="4" t="str">
        <f t="shared" ca="1" si="51"/>
        <v/>
      </c>
      <c r="BF34" t="str">
        <f t="shared" ref="BF34:BF65" ca="1" si="57">IF(ISNA(VLOOKUP(AR34,$BE$2:$BE$199,1,FALSE)),AR34,"")</f>
        <v>CHIBSAH</v>
      </c>
      <c r="BG34" s="7">
        <f t="shared" ca="1" si="16"/>
        <v>34</v>
      </c>
      <c r="BH34" s="7" t="str">
        <f t="shared" ref="BH34:BH65" ca="1" si="58">IF(ISERROR(INDEX($BF$2:$BF$199,MATCH(ROW(),$BG$2:$BG$199,FALSE))),0,INDEX($BF$2:$BF$199,MATCH(ROW(),$BG$2:$BG$199,FALSE)))</f>
        <v>CHIBSAH</v>
      </c>
      <c r="BI34" s="4" t="str">
        <f t="shared" ref="BI34:BI41" ca="1" si="59">IF(N46=0,"",N46)</f>
        <v/>
      </c>
      <c r="BJ34" t="str">
        <f t="shared" ref="BJ34:BJ65" ca="1" si="60">IF(ISNA(VLOOKUP(AT34,$BI$2:$BI$199,1,FALSE)),AT34,"")</f>
        <v>FLOCCARI</v>
      </c>
      <c r="BK34" s="7">
        <f t="shared" ca="1" si="17"/>
        <v>34</v>
      </c>
      <c r="BL34" s="7" t="str">
        <f t="shared" ref="BL34:BL65" ca="1" si="61">IF(ISERROR(INDEX($BJ$2:$BJ$199,MATCH(ROW(),$BK$2:$BK$199,FALSE))),0,INDEX($BJ$2:$BJ$199,MATCH(ROW(),$BK$2:$BK$199,FALSE)))</f>
        <v>FLOCCARI</v>
      </c>
      <c r="BM34" s="4" t="str">
        <f t="shared" ca="1" si="52"/>
        <v/>
      </c>
      <c r="BN34" t="str">
        <f t="shared" ref="BN34:BN65" ca="1" si="62">IF(ISNA(VLOOKUP(AV34,$BM$2:$BM$199,1,FALSE)),AV34,"")</f>
        <v/>
      </c>
      <c r="BO34" s="7">
        <f t="shared" ca="1" si="18"/>
        <v>1</v>
      </c>
      <c r="BP34" s="7">
        <f t="shared" ref="BP34:BP65" ca="1" si="63">IF(ISERROR(INDEX($BN$2:$BN$199,MATCH(ROW(),$BO$2:$BO$199,FALSE))),0,INDEX($BN$2:$BN$199,MATCH(ROW(),$BO$2:$BO$199,FALSE)))</f>
        <v>0</v>
      </c>
    </row>
    <row r="35" spans="1:68" ht="14.25">
      <c r="A35" s="8" t="str">
        <f>IF(Asta!$AD$3&lt;AK35,"","C")</f>
        <v>C</v>
      </c>
      <c r="B35" s="9" t="str">
        <f ca="1">IF(A35="","",IF(ISNA(MATCH(A$3&amp;A35&amp;$AK35,Asta!$I:$I,0)),"",INDIRECT("Asta!B"&amp;MATCH(A$3&amp;A35&amp;$AK35,Asta!$I:$I,0))))</f>
        <v/>
      </c>
      <c r="C35" s="10" t="str">
        <f ca="1">IF(B35="","",IF(ISNA(MATCH(A$3&amp;A35&amp;$AK35,Asta!$I:$I,0)),"",INDIRECT("Asta!H"&amp;MATCH(A$3&amp;A35&amp;$AK35,Asta!$I:$I,0))))</f>
        <v/>
      </c>
      <c r="D35" s="384" t="str">
        <f t="shared" si="39"/>
        <v>C</v>
      </c>
      <c r="E35" s="9" t="str">
        <f ca="1">IF(D35="","",IF(ISNA(MATCH(D$3&amp;D35&amp;$AK35,Asta!$I:$I,0)),"",INDIRECT("Asta!B"&amp;MATCH(D$3&amp;D35&amp;$AK35,Asta!$I:$I,0))))</f>
        <v/>
      </c>
      <c r="F35" s="10" t="str">
        <f ca="1">IF(E35="","",IF(ISNA(MATCH(D$3&amp;D35&amp;$AK35,Asta!$I:$I,0)),"",INDIRECT("Asta!H"&amp;MATCH(D$3&amp;D35&amp;$AK35,Asta!$I:$I,0))))</f>
        <v/>
      </c>
      <c r="G35" s="384" t="str">
        <f t="shared" si="40"/>
        <v>C</v>
      </c>
      <c r="H35" s="9" t="str">
        <f ca="1">IF(G35="","",IF(ISNA(MATCH(G$3&amp;G35&amp;$AK35,Asta!$I:$I,0)),"",INDIRECT("Asta!B"&amp;MATCH(G$3&amp;G35&amp;$AK35,Asta!$I:$I,0))))</f>
        <v/>
      </c>
      <c r="I35" s="10" t="str">
        <f ca="1">IF(H35="","",IF(ISNA(MATCH(G$3&amp;G35&amp;$AK35,Asta!$I:$I,0)),"",INDIRECT("Asta!H"&amp;MATCH(G$3&amp;G35&amp;$AK35,Asta!$I:$I,0))))</f>
        <v/>
      </c>
      <c r="J35" s="384" t="str">
        <f t="shared" si="41"/>
        <v>C</v>
      </c>
      <c r="K35" s="9" t="str">
        <f ca="1">IF(J35="","",IF(ISNA(MATCH(J$3&amp;J35&amp;$AK35,Asta!$I:$I,0)),"",INDIRECT("Asta!B"&amp;MATCH(J$3&amp;J35&amp;$AK35,Asta!$I:$I,0))))</f>
        <v/>
      </c>
      <c r="L35" s="10" t="str">
        <f ca="1">IF(K35="","",IF(ISNA(MATCH(J$3&amp;J35&amp;$AK35,Asta!$I:$I,0)),"",INDIRECT("Asta!H"&amp;MATCH(J$3&amp;J35&amp;$AK35,Asta!$I:$I,0))))</f>
        <v/>
      </c>
      <c r="M35" s="384" t="str">
        <f t="shared" si="42"/>
        <v>C</v>
      </c>
      <c r="N35" s="9" t="str">
        <f ca="1">IF(M35="","",IF(ISNA(MATCH(M$3&amp;M35&amp;$AK35,Asta!$I:$I,0)),"",INDIRECT("Asta!B"&amp;MATCH(M$3&amp;M35&amp;$AK35,Asta!$I:$I,0))))</f>
        <v/>
      </c>
      <c r="O35" s="10" t="str">
        <f ca="1">IF(N35="","",IF(ISNA(MATCH(M$3&amp;M35&amp;$AK35,Asta!$I:$I,0)),"",INDIRECT("Asta!H"&amp;MATCH(M$3&amp;M35&amp;$AK35,Asta!$I:$I,0))))</f>
        <v/>
      </c>
      <c r="P35" s="384" t="str">
        <f t="shared" si="43"/>
        <v>C</v>
      </c>
      <c r="Q35" s="9" t="str">
        <f ca="1">IF(P35="","",IF(ISNA(MATCH(P$3&amp;P35&amp;$AK35,Asta!$I:$I,0)),"",INDIRECT("Asta!B"&amp;MATCH(P$3&amp;P35&amp;$AK35,Asta!$I:$I,0))))</f>
        <v/>
      </c>
      <c r="R35" s="10" t="str">
        <f ca="1">IF(Q35="","",IF(ISNA(MATCH(P$3&amp;P35&amp;$AK35,Asta!$I:$I,0)),"",INDIRECT("Asta!H"&amp;MATCH(P$3&amp;P35&amp;$AK35,Asta!$I:$I,0))))</f>
        <v/>
      </c>
      <c r="S35" s="384" t="str">
        <f t="shared" si="44"/>
        <v>C</v>
      </c>
      <c r="T35" s="9" t="str">
        <f ca="1">IF(S35="","",IF(ISNA(MATCH(S$3&amp;S35&amp;$AK35,Asta!$I:$I,0)),"",INDIRECT("Asta!B"&amp;MATCH(S$3&amp;S35&amp;$AK35,Asta!$I:$I,0))))</f>
        <v/>
      </c>
      <c r="U35" s="10" t="str">
        <f ca="1">IF(T35="","",IF(ISNA(MATCH(S$3&amp;S35&amp;$AK35,Asta!$I:$I,0)),"",INDIRECT("Asta!H"&amp;MATCH(S$3&amp;S35&amp;$AK35,Asta!$I:$I,0))))</f>
        <v/>
      </c>
      <c r="V35" s="384" t="str">
        <f t="shared" si="45"/>
        <v>C</v>
      </c>
      <c r="W35" s="9" t="str">
        <f ca="1">IF(V35="","",IF(ISNA(MATCH(V$3&amp;V35&amp;$AK35,Asta!$I:$I,0)),"",INDIRECT("Asta!B"&amp;MATCH(V$3&amp;V35&amp;$AK35,Asta!$I:$I,0))))</f>
        <v/>
      </c>
      <c r="X35" s="10" t="str">
        <f ca="1">IF(W35="","",IF(ISNA(MATCH(V$3&amp;V35&amp;$AK35,Asta!$I:$I,0)),"",INDIRECT("Asta!H"&amp;MATCH(V$3&amp;V35&amp;$AK35,Asta!$I:$I,0))))</f>
        <v/>
      </c>
      <c r="Y35" s="384" t="str">
        <f t="shared" si="46"/>
        <v>C</v>
      </c>
      <c r="Z35" s="9" t="str">
        <f ca="1">IF(Y35="","",IF(ISNA(MATCH(Y$3&amp;Y35&amp;$AK35,Asta!$I:$I,0)),"",INDIRECT("Asta!B"&amp;MATCH(Y$3&amp;Y35&amp;$AK35,Asta!$I:$I,0))))</f>
        <v/>
      </c>
      <c r="AA35" s="10" t="str">
        <f ca="1">IF(Z35="","",IF(ISNA(MATCH(Y$3&amp;Y35&amp;$AK35,Asta!$I:$I,0)),"",INDIRECT("Asta!H"&amp;MATCH(Y$3&amp;Y35&amp;$AK35,Asta!$I:$I,0))))</f>
        <v/>
      </c>
      <c r="AB35" s="384" t="str">
        <f t="shared" si="47"/>
        <v>C</v>
      </c>
      <c r="AC35" s="9" t="str">
        <f ca="1">IF(AB35="","",IF(ISNA(MATCH(AB$3&amp;AB35&amp;$AK35,Asta!$I:$I,0)),"",INDIRECT("Asta!B"&amp;MATCH(AB$3&amp;AB35&amp;$AK35,Asta!$I:$I,0))))</f>
        <v/>
      </c>
      <c r="AD35" s="10" t="str">
        <f ca="1">IF(AC35="","",IF(ISNA(MATCH(AB$3&amp;AB35&amp;$AK35,Asta!$I:$I,0)),"",INDIRECT("Asta!H"&amp;MATCH(AB$3&amp;AB35&amp;$AK35,Asta!$I:$I,0))))</f>
        <v/>
      </c>
      <c r="AE35" s="384" t="str">
        <f t="shared" si="48"/>
        <v>C</v>
      </c>
      <c r="AF35" s="9" t="str">
        <f ca="1">IF(AE35="","",IF(ISNA(MATCH(AE$3&amp;AE35&amp;$AK35,Asta!$I:$I,0)),"",INDIRECT("Asta!B"&amp;MATCH(AE$3&amp;AE35&amp;$AK35,Asta!$I:$I,0))))</f>
        <v/>
      </c>
      <c r="AG35" s="10" t="str">
        <f ca="1">IF(AF35="","",IF(ISNA(MATCH(AE$3&amp;AE35&amp;$AK35,Asta!$I:$I,0)),"",INDIRECT("Asta!H"&amp;MATCH(AE$3&amp;AE35&amp;$AK35,Asta!$I:$I,0))))</f>
        <v/>
      </c>
      <c r="AH35" s="384" t="str">
        <f t="shared" si="49"/>
        <v>C</v>
      </c>
      <c r="AI35" s="9" t="str">
        <f ca="1">IF(AH35="","",IF(ISNA(MATCH(AH$3&amp;AH35&amp;$AK35,Asta!$I:$I,0)),"",INDIRECT("Asta!B"&amp;MATCH(AH$3&amp;AH35&amp;$AK35,Asta!$I:$I,0))))</f>
        <v/>
      </c>
      <c r="AJ35" s="10" t="str">
        <f ca="1">IF(AI35="","",IF(ISNA(MATCH(AH$3&amp;AH35&amp;$AK35,Asta!$I:$I,0)),"",INDIRECT("Asta!H"&amp;MATCH(AH$3&amp;AH35&amp;$AK35,Asta!$I:$I,0))))</f>
        <v/>
      </c>
      <c r="AK35" s="4">
        <v>6</v>
      </c>
      <c r="AM35" s="221"/>
      <c r="AN35" s="231" t="str">
        <f ca="1">IF(Giocatori!E42=0,"",Giocatori!E42)</f>
        <v>MIRANTE</v>
      </c>
      <c r="AO35" s="221"/>
      <c r="AP35" s="231" t="str">
        <f ca="1">IF(Giocatori!H42=0,"",Giocatori!H42)</f>
        <v>CACCIATORE</v>
      </c>
      <c r="AQ35" s="221"/>
      <c r="AR35" s="231" t="str">
        <f ca="1">IF(Giocatori!K42=0,"",Giocatori!K42)</f>
        <v>CHIESA</v>
      </c>
      <c r="AS35" s="221"/>
      <c r="AT35" s="231" t="str">
        <f ca="1">IF(Giocatori!N42=0,"",Giocatori!N42)</f>
        <v>GALABINOV</v>
      </c>
      <c r="AU35" s="221"/>
      <c r="AV35" s="231" t="str">
        <f ca="1">IF(Giocatori!Q42=0,"",Giocatori!Q42)</f>
        <v/>
      </c>
      <c r="AW35" s="4" t="str">
        <f ca="1">IF(AI5=0,"",AI5)</f>
        <v/>
      </c>
      <c r="AX35" t="str">
        <f t="shared" ca="1" si="53"/>
        <v>MIRANTE</v>
      </c>
      <c r="AY35" s="7">
        <f t="shared" ca="1" si="1"/>
        <v>35</v>
      </c>
      <c r="AZ35" s="7" t="str">
        <f t="shared" ca="1" si="54"/>
        <v>MIRANTE</v>
      </c>
      <c r="BA35" s="4" t="str">
        <f t="shared" ca="1" si="50"/>
        <v/>
      </c>
      <c r="BB35" t="str">
        <f t="shared" ca="1" si="55"/>
        <v>CACCIATORE</v>
      </c>
      <c r="BC35" s="7">
        <f t="shared" ca="1" si="15"/>
        <v>35</v>
      </c>
      <c r="BD35" s="7" t="str">
        <f t="shared" ca="1" si="56"/>
        <v>CACCIATORE</v>
      </c>
      <c r="BE35" s="4" t="str">
        <f t="shared" ca="1" si="51"/>
        <v/>
      </c>
      <c r="BF35" t="str">
        <f t="shared" ca="1" si="57"/>
        <v>CHIESA</v>
      </c>
      <c r="BG35" s="7">
        <f t="shared" ca="1" si="16"/>
        <v>35</v>
      </c>
      <c r="BH35" s="7" t="str">
        <f t="shared" ca="1" si="58"/>
        <v>CHIESA</v>
      </c>
      <c r="BI35" s="4" t="str">
        <f t="shared" ca="1" si="59"/>
        <v/>
      </c>
      <c r="BJ35" t="str">
        <f t="shared" ca="1" si="60"/>
        <v>GALABINOV</v>
      </c>
      <c r="BK35" s="7">
        <f t="shared" ca="1" si="17"/>
        <v>35</v>
      </c>
      <c r="BL35" s="7" t="str">
        <f t="shared" ca="1" si="61"/>
        <v>GALABINOV</v>
      </c>
      <c r="BM35" s="4" t="str">
        <f t="shared" ca="1" si="52"/>
        <v/>
      </c>
      <c r="BN35" t="str">
        <f t="shared" ca="1" si="62"/>
        <v/>
      </c>
      <c r="BO35" s="7">
        <f t="shared" ca="1" si="18"/>
        <v>1</v>
      </c>
      <c r="BP35" s="7">
        <f t="shared" ca="1" si="63"/>
        <v>0</v>
      </c>
    </row>
    <row r="36" spans="1:68" ht="12.75" customHeight="1">
      <c r="A36" s="8" t="str">
        <f>IF(Asta!$AD$3&lt;AK36,"","C")</f>
        <v>C</v>
      </c>
      <c r="B36" s="9" t="str">
        <f ca="1">IF(A36="","",IF(ISNA(MATCH(A$3&amp;A36&amp;$AK36,Asta!$I:$I,0)),"",INDIRECT("Asta!B"&amp;MATCH(A$3&amp;A36&amp;$AK36,Asta!$I:$I,0))))</f>
        <v/>
      </c>
      <c r="C36" s="10" t="str">
        <f ca="1">IF(B36="","",IF(ISNA(MATCH(A$3&amp;A36&amp;$AK36,Asta!$I:$I,0)),"",INDIRECT("Asta!H"&amp;MATCH(A$3&amp;A36&amp;$AK36,Asta!$I:$I,0))))</f>
        <v/>
      </c>
      <c r="D36" s="384" t="str">
        <f t="shared" si="39"/>
        <v>C</v>
      </c>
      <c r="E36" s="9" t="str">
        <f ca="1">IF(D36="","",IF(ISNA(MATCH(D$3&amp;D36&amp;$AK36,Asta!$I:$I,0)),"",INDIRECT("Asta!B"&amp;MATCH(D$3&amp;D36&amp;$AK36,Asta!$I:$I,0))))</f>
        <v/>
      </c>
      <c r="F36" s="10" t="str">
        <f ca="1">IF(E36="","",IF(ISNA(MATCH(D$3&amp;D36&amp;$AK36,Asta!$I:$I,0)),"",INDIRECT("Asta!H"&amp;MATCH(D$3&amp;D36&amp;$AK36,Asta!$I:$I,0))))</f>
        <v/>
      </c>
      <c r="G36" s="384" t="str">
        <f t="shared" si="40"/>
        <v>C</v>
      </c>
      <c r="H36" s="9" t="str">
        <f ca="1">IF(G36="","",IF(ISNA(MATCH(G$3&amp;G36&amp;$AK36,Asta!$I:$I,0)),"",INDIRECT("Asta!B"&amp;MATCH(G$3&amp;G36&amp;$AK36,Asta!$I:$I,0))))</f>
        <v/>
      </c>
      <c r="I36" s="10" t="str">
        <f ca="1">IF(H36="","",IF(ISNA(MATCH(G$3&amp;G36&amp;$AK36,Asta!$I:$I,0)),"",INDIRECT("Asta!H"&amp;MATCH(G$3&amp;G36&amp;$AK36,Asta!$I:$I,0))))</f>
        <v/>
      </c>
      <c r="J36" s="384" t="str">
        <f t="shared" si="41"/>
        <v>C</v>
      </c>
      <c r="K36" s="9" t="str">
        <f ca="1">IF(J36="","",IF(ISNA(MATCH(J$3&amp;J36&amp;$AK36,Asta!$I:$I,0)),"",INDIRECT("Asta!B"&amp;MATCH(J$3&amp;J36&amp;$AK36,Asta!$I:$I,0))))</f>
        <v/>
      </c>
      <c r="L36" s="10" t="str">
        <f ca="1">IF(K36="","",IF(ISNA(MATCH(J$3&amp;J36&amp;$AK36,Asta!$I:$I,0)),"",INDIRECT("Asta!H"&amp;MATCH(J$3&amp;J36&amp;$AK36,Asta!$I:$I,0))))</f>
        <v/>
      </c>
      <c r="M36" s="384" t="str">
        <f t="shared" si="42"/>
        <v>C</v>
      </c>
      <c r="N36" s="9" t="str">
        <f ca="1">IF(M36="","",IF(ISNA(MATCH(M$3&amp;M36&amp;$AK36,Asta!$I:$I,0)),"",INDIRECT("Asta!B"&amp;MATCH(M$3&amp;M36&amp;$AK36,Asta!$I:$I,0))))</f>
        <v/>
      </c>
      <c r="O36" s="10" t="str">
        <f ca="1">IF(N36="","",IF(ISNA(MATCH(M$3&amp;M36&amp;$AK36,Asta!$I:$I,0)),"",INDIRECT("Asta!H"&amp;MATCH(M$3&amp;M36&amp;$AK36,Asta!$I:$I,0))))</f>
        <v/>
      </c>
      <c r="P36" s="384" t="str">
        <f t="shared" si="43"/>
        <v>C</v>
      </c>
      <c r="Q36" s="9" t="str">
        <f ca="1">IF(P36="","",IF(ISNA(MATCH(P$3&amp;P36&amp;$AK36,Asta!$I:$I,0)),"",INDIRECT("Asta!B"&amp;MATCH(P$3&amp;P36&amp;$AK36,Asta!$I:$I,0))))</f>
        <v/>
      </c>
      <c r="R36" s="10" t="str">
        <f ca="1">IF(Q36="","",IF(ISNA(MATCH(P$3&amp;P36&amp;$AK36,Asta!$I:$I,0)),"",INDIRECT("Asta!H"&amp;MATCH(P$3&amp;P36&amp;$AK36,Asta!$I:$I,0))))</f>
        <v/>
      </c>
      <c r="S36" s="384" t="str">
        <f t="shared" si="44"/>
        <v>C</v>
      </c>
      <c r="T36" s="9" t="str">
        <f ca="1">IF(S36="","",IF(ISNA(MATCH(S$3&amp;S36&amp;$AK36,Asta!$I:$I,0)),"",INDIRECT("Asta!B"&amp;MATCH(S$3&amp;S36&amp;$AK36,Asta!$I:$I,0))))</f>
        <v/>
      </c>
      <c r="U36" s="10" t="str">
        <f ca="1">IF(T36="","",IF(ISNA(MATCH(S$3&amp;S36&amp;$AK36,Asta!$I:$I,0)),"",INDIRECT("Asta!H"&amp;MATCH(S$3&amp;S36&amp;$AK36,Asta!$I:$I,0))))</f>
        <v/>
      </c>
      <c r="V36" s="384" t="str">
        <f t="shared" si="45"/>
        <v>C</v>
      </c>
      <c r="W36" s="9" t="str">
        <f ca="1">IF(V36="","",IF(ISNA(MATCH(V$3&amp;V36&amp;$AK36,Asta!$I:$I,0)),"",INDIRECT("Asta!B"&amp;MATCH(V$3&amp;V36&amp;$AK36,Asta!$I:$I,0))))</f>
        <v/>
      </c>
      <c r="X36" s="10" t="str">
        <f ca="1">IF(W36="","",IF(ISNA(MATCH(V$3&amp;V36&amp;$AK36,Asta!$I:$I,0)),"",INDIRECT("Asta!H"&amp;MATCH(V$3&amp;V36&amp;$AK36,Asta!$I:$I,0))))</f>
        <v/>
      </c>
      <c r="Y36" s="384" t="str">
        <f t="shared" si="46"/>
        <v>C</v>
      </c>
      <c r="Z36" s="9" t="str">
        <f ca="1">IF(Y36="","",IF(ISNA(MATCH(Y$3&amp;Y36&amp;$AK36,Asta!$I:$I,0)),"",INDIRECT("Asta!B"&amp;MATCH(Y$3&amp;Y36&amp;$AK36,Asta!$I:$I,0))))</f>
        <v/>
      </c>
      <c r="AA36" s="10" t="str">
        <f ca="1">IF(Z36="","",IF(ISNA(MATCH(Y$3&amp;Y36&amp;$AK36,Asta!$I:$I,0)),"",INDIRECT("Asta!H"&amp;MATCH(Y$3&amp;Y36&amp;$AK36,Asta!$I:$I,0))))</f>
        <v/>
      </c>
      <c r="AB36" s="384" t="str">
        <f t="shared" si="47"/>
        <v>C</v>
      </c>
      <c r="AC36" s="9" t="str">
        <f ca="1">IF(AB36="","",IF(ISNA(MATCH(AB$3&amp;AB36&amp;$AK36,Asta!$I:$I,0)),"",INDIRECT("Asta!B"&amp;MATCH(AB$3&amp;AB36&amp;$AK36,Asta!$I:$I,0))))</f>
        <v/>
      </c>
      <c r="AD36" s="10" t="str">
        <f ca="1">IF(AC36="","",IF(ISNA(MATCH(AB$3&amp;AB36&amp;$AK36,Asta!$I:$I,0)),"",INDIRECT("Asta!H"&amp;MATCH(AB$3&amp;AB36&amp;$AK36,Asta!$I:$I,0))))</f>
        <v/>
      </c>
      <c r="AE36" s="384" t="str">
        <f t="shared" si="48"/>
        <v>C</v>
      </c>
      <c r="AF36" s="9" t="str">
        <f ca="1">IF(AE36="","",IF(ISNA(MATCH(AE$3&amp;AE36&amp;$AK36,Asta!$I:$I,0)),"",INDIRECT("Asta!B"&amp;MATCH(AE$3&amp;AE36&amp;$AK36,Asta!$I:$I,0))))</f>
        <v/>
      </c>
      <c r="AG36" s="10" t="str">
        <f ca="1">IF(AF36="","",IF(ISNA(MATCH(AE$3&amp;AE36&amp;$AK36,Asta!$I:$I,0)),"",INDIRECT("Asta!H"&amp;MATCH(AE$3&amp;AE36&amp;$AK36,Asta!$I:$I,0))))</f>
        <v/>
      </c>
      <c r="AH36" s="384" t="str">
        <f t="shared" si="49"/>
        <v>C</v>
      </c>
      <c r="AI36" s="9" t="str">
        <f ca="1">IF(AH36="","",IF(ISNA(MATCH(AH$3&amp;AH36&amp;$AK36,Asta!$I:$I,0)),"",INDIRECT("Asta!B"&amp;MATCH(AH$3&amp;AH36&amp;$AK36,Asta!$I:$I,0))))</f>
        <v/>
      </c>
      <c r="AJ36" s="10" t="str">
        <f ca="1">IF(AI36="","",IF(ISNA(MATCH(AH$3&amp;AH36&amp;$AK36,Asta!$I:$I,0)),"",INDIRECT("Asta!H"&amp;MATCH(AH$3&amp;AH36&amp;$AK36,Asta!$I:$I,0))))</f>
        <v/>
      </c>
      <c r="AK36" s="4">
        <v>7</v>
      </c>
      <c r="AM36" s="221"/>
      <c r="AN36" s="231" t="str">
        <f ca="1">IF(Giocatori!E43=0,"",Giocatori!E43)</f>
        <v>NICOLAS</v>
      </c>
      <c r="AO36" s="221"/>
      <c r="AP36" s="231" t="str">
        <f ca="1">IF(Giocatori!H43=0,"",Giocatori!H43)</f>
        <v>CACERES</v>
      </c>
      <c r="AQ36" s="221"/>
      <c r="AR36" s="231" t="str">
        <f ca="1">IF(Giocatori!K43=0,"",Giocatori!K43)</f>
        <v>CICIRETTI</v>
      </c>
      <c r="AS36" s="221"/>
      <c r="AT36" s="231" t="str">
        <f ca="1">IF(Giocatori!N43=0,"",Giocatori!N43)</f>
        <v>GIANNETTI</v>
      </c>
      <c r="AU36" s="221"/>
      <c r="AV36" s="231" t="str">
        <f ca="1">IF(Giocatori!Q43=0,"",Giocatori!Q43)</f>
        <v/>
      </c>
      <c r="AW36" s="4" t="str">
        <f ca="1">IF(AI6=0,"",AI6)</f>
        <v/>
      </c>
      <c r="AX36" t="str">
        <f t="shared" ca="1" si="53"/>
        <v>NICOLAS</v>
      </c>
      <c r="AY36" s="7">
        <f t="shared" ca="1" si="1"/>
        <v>36</v>
      </c>
      <c r="AZ36" s="7" t="str">
        <f t="shared" ca="1" si="54"/>
        <v>NICOLAS</v>
      </c>
      <c r="BA36" s="4" t="str">
        <f t="shared" ca="1" si="50"/>
        <v/>
      </c>
      <c r="BB36" t="str">
        <f t="shared" ca="1" si="55"/>
        <v>CACERES</v>
      </c>
      <c r="BC36" s="7">
        <f t="shared" ca="1" si="15"/>
        <v>36</v>
      </c>
      <c r="BD36" s="7" t="str">
        <f t="shared" ca="1" si="56"/>
        <v>CACERES</v>
      </c>
      <c r="BE36" s="4" t="str">
        <f t="shared" ca="1" si="51"/>
        <v/>
      </c>
      <c r="BF36" t="str">
        <f t="shared" ca="1" si="57"/>
        <v>CICIRETTI</v>
      </c>
      <c r="BG36" s="7">
        <f t="shared" ca="1" si="16"/>
        <v>36</v>
      </c>
      <c r="BH36" s="7" t="str">
        <f t="shared" ca="1" si="58"/>
        <v>CICIRETTI</v>
      </c>
      <c r="BI36" s="4" t="str">
        <f t="shared" ca="1" si="59"/>
        <v/>
      </c>
      <c r="BJ36" t="str">
        <f t="shared" ca="1" si="60"/>
        <v>GIANNETTI</v>
      </c>
      <c r="BK36" s="7">
        <f t="shared" ca="1" si="17"/>
        <v>36</v>
      </c>
      <c r="BL36" s="7" t="str">
        <f t="shared" ca="1" si="61"/>
        <v>GIANNETTI</v>
      </c>
      <c r="BM36" s="4" t="str">
        <f t="shared" ca="1" si="52"/>
        <v/>
      </c>
      <c r="BN36" t="str">
        <f t="shared" ca="1" si="62"/>
        <v/>
      </c>
      <c r="BO36" s="7">
        <f t="shared" ca="1" si="18"/>
        <v>1</v>
      </c>
      <c r="BP36" s="7">
        <f t="shared" ca="1" si="63"/>
        <v>0</v>
      </c>
    </row>
    <row r="37" spans="1:68" ht="14.25">
      <c r="A37" s="8" t="str">
        <f>IF(Asta!$AD$3&lt;AK37,"","C")</f>
        <v>C</v>
      </c>
      <c r="B37" s="9" t="str">
        <f ca="1">IF(A37="","",IF(ISNA(MATCH(A$3&amp;A37&amp;$AK37,Asta!$I:$I,0)),"",INDIRECT("Asta!B"&amp;MATCH(A$3&amp;A37&amp;$AK37,Asta!$I:$I,0))))</f>
        <v/>
      </c>
      <c r="C37" s="10" t="str">
        <f ca="1">IF(B37="","",IF(ISNA(MATCH(A$3&amp;A37&amp;$AK37,Asta!$I:$I,0)),"",INDIRECT("Asta!H"&amp;MATCH(A$3&amp;A37&amp;$AK37,Asta!$I:$I,0))))</f>
        <v/>
      </c>
      <c r="D37" s="384" t="str">
        <f t="shared" si="39"/>
        <v>C</v>
      </c>
      <c r="E37" s="9" t="str">
        <f ca="1">IF(D37="","",IF(ISNA(MATCH(D$3&amp;D37&amp;$AK37,Asta!$I:$I,0)),"",INDIRECT("Asta!B"&amp;MATCH(D$3&amp;D37&amp;$AK37,Asta!$I:$I,0))))</f>
        <v/>
      </c>
      <c r="F37" s="10" t="str">
        <f ca="1">IF(E37="","",IF(ISNA(MATCH(D$3&amp;D37&amp;$AK37,Asta!$I:$I,0)),"",INDIRECT("Asta!H"&amp;MATCH(D$3&amp;D37&amp;$AK37,Asta!$I:$I,0))))</f>
        <v/>
      </c>
      <c r="G37" s="384" t="str">
        <f t="shared" si="40"/>
        <v>C</v>
      </c>
      <c r="H37" s="9" t="str">
        <f ca="1">IF(G37="","",IF(ISNA(MATCH(G$3&amp;G37&amp;$AK37,Asta!$I:$I,0)),"",INDIRECT("Asta!B"&amp;MATCH(G$3&amp;G37&amp;$AK37,Asta!$I:$I,0))))</f>
        <v/>
      </c>
      <c r="I37" s="10" t="str">
        <f ca="1">IF(H37="","",IF(ISNA(MATCH(G$3&amp;G37&amp;$AK37,Asta!$I:$I,0)),"",INDIRECT("Asta!H"&amp;MATCH(G$3&amp;G37&amp;$AK37,Asta!$I:$I,0))))</f>
        <v/>
      </c>
      <c r="J37" s="384" t="str">
        <f t="shared" si="41"/>
        <v>C</v>
      </c>
      <c r="K37" s="9" t="str">
        <f ca="1">IF(J37="","",IF(ISNA(MATCH(J$3&amp;J37&amp;$AK37,Asta!$I:$I,0)),"",INDIRECT("Asta!B"&amp;MATCH(J$3&amp;J37&amp;$AK37,Asta!$I:$I,0))))</f>
        <v/>
      </c>
      <c r="L37" s="10" t="str">
        <f ca="1">IF(K37="","",IF(ISNA(MATCH(J$3&amp;J37&amp;$AK37,Asta!$I:$I,0)),"",INDIRECT("Asta!H"&amp;MATCH(J$3&amp;J37&amp;$AK37,Asta!$I:$I,0))))</f>
        <v/>
      </c>
      <c r="M37" s="384" t="str">
        <f t="shared" si="42"/>
        <v>C</v>
      </c>
      <c r="N37" s="9" t="str">
        <f ca="1">IF(M37="","",IF(ISNA(MATCH(M$3&amp;M37&amp;$AK37,Asta!$I:$I,0)),"",INDIRECT("Asta!B"&amp;MATCH(M$3&amp;M37&amp;$AK37,Asta!$I:$I,0))))</f>
        <v/>
      </c>
      <c r="O37" s="10" t="str">
        <f ca="1">IF(N37="","",IF(ISNA(MATCH(M$3&amp;M37&amp;$AK37,Asta!$I:$I,0)),"",INDIRECT("Asta!H"&amp;MATCH(M$3&amp;M37&amp;$AK37,Asta!$I:$I,0))))</f>
        <v/>
      </c>
      <c r="P37" s="384" t="str">
        <f t="shared" si="43"/>
        <v>C</v>
      </c>
      <c r="Q37" s="9" t="str">
        <f ca="1">IF(P37="","",IF(ISNA(MATCH(P$3&amp;P37&amp;$AK37,Asta!$I:$I,0)),"",INDIRECT("Asta!B"&amp;MATCH(P$3&amp;P37&amp;$AK37,Asta!$I:$I,0))))</f>
        <v/>
      </c>
      <c r="R37" s="10" t="str">
        <f ca="1">IF(Q37="","",IF(ISNA(MATCH(P$3&amp;P37&amp;$AK37,Asta!$I:$I,0)),"",INDIRECT("Asta!H"&amp;MATCH(P$3&amp;P37&amp;$AK37,Asta!$I:$I,0))))</f>
        <v/>
      </c>
      <c r="S37" s="384" t="str">
        <f t="shared" si="44"/>
        <v>C</v>
      </c>
      <c r="T37" s="9" t="str">
        <f ca="1">IF(S37="","",IF(ISNA(MATCH(S$3&amp;S37&amp;$AK37,Asta!$I:$I,0)),"",INDIRECT("Asta!B"&amp;MATCH(S$3&amp;S37&amp;$AK37,Asta!$I:$I,0))))</f>
        <v/>
      </c>
      <c r="U37" s="10" t="str">
        <f ca="1">IF(T37="","",IF(ISNA(MATCH(S$3&amp;S37&amp;$AK37,Asta!$I:$I,0)),"",INDIRECT("Asta!H"&amp;MATCH(S$3&amp;S37&amp;$AK37,Asta!$I:$I,0))))</f>
        <v/>
      </c>
      <c r="V37" s="384" t="str">
        <f t="shared" si="45"/>
        <v>C</v>
      </c>
      <c r="W37" s="9" t="str">
        <f ca="1">IF(V37="","",IF(ISNA(MATCH(V$3&amp;V37&amp;$AK37,Asta!$I:$I,0)),"",INDIRECT("Asta!B"&amp;MATCH(V$3&amp;V37&amp;$AK37,Asta!$I:$I,0))))</f>
        <v/>
      </c>
      <c r="X37" s="10" t="str">
        <f ca="1">IF(W37="","",IF(ISNA(MATCH(V$3&amp;V37&amp;$AK37,Asta!$I:$I,0)),"",INDIRECT("Asta!H"&amp;MATCH(V$3&amp;V37&amp;$AK37,Asta!$I:$I,0))))</f>
        <v/>
      </c>
      <c r="Y37" s="384" t="str">
        <f t="shared" si="46"/>
        <v>C</v>
      </c>
      <c r="Z37" s="9" t="str">
        <f ca="1">IF(Y37="","",IF(ISNA(MATCH(Y$3&amp;Y37&amp;$AK37,Asta!$I:$I,0)),"",INDIRECT("Asta!B"&amp;MATCH(Y$3&amp;Y37&amp;$AK37,Asta!$I:$I,0))))</f>
        <v/>
      </c>
      <c r="AA37" s="10" t="str">
        <f ca="1">IF(Z37="","",IF(ISNA(MATCH(Y$3&amp;Y37&amp;$AK37,Asta!$I:$I,0)),"",INDIRECT("Asta!H"&amp;MATCH(Y$3&amp;Y37&amp;$AK37,Asta!$I:$I,0))))</f>
        <v/>
      </c>
      <c r="AB37" s="384" t="str">
        <f t="shared" si="47"/>
        <v>C</v>
      </c>
      <c r="AC37" s="9" t="str">
        <f ca="1">IF(AB37="","",IF(ISNA(MATCH(AB$3&amp;AB37&amp;$AK37,Asta!$I:$I,0)),"",INDIRECT("Asta!B"&amp;MATCH(AB$3&amp;AB37&amp;$AK37,Asta!$I:$I,0))))</f>
        <v/>
      </c>
      <c r="AD37" s="10" t="str">
        <f ca="1">IF(AC37="","",IF(ISNA(MATCH(AB$3&amp;AB37&amp;$AK37,Asta!$I:$I,0)),"",INDIRECT("Asta!H"&amp;MATCH(AB$3&amp;AB37&amp;$AK37,Asta!$I:$I,0))))</f>
        <v/>
      </c>
      <c r="AE37" s="384" t="str">
        <f t="shared" si="48"/>
        <v>C</v>
      </c>
      <c r="AF37" s="9" t="str">
        <f ca="1">IF(AE37="","",IF(ISNA(MATCH(AE$3&amp;AE37&amp;$AK37,Asta!$I:$I,0)),"",INDIRECT("Asta!B"&amp;MATCH(AE$3&amp;AE37&amp;$AK37,Asta!$I:$I,0))))</f>
        <v/>
      </c>
      <c r="AG37" s="10" t="str">
        <f ca="1">IF(AF37="","",IF(ISNA(MATCH(AE$3&amp;AE37&amp;$AK37,Asta!$I:$I,0)),"",INDIRECT("Asta!H"&amp;MATCH(AE$3&amp;AE37&amp;$AK37,Asta!$I:$I,0))))</f>
        <v/>
      </c>
      <c r="AH37" s="384" t="str">
        <f t="shared" si="49"/>
        <v>C</v>
      </c>
      <c r="AI37" s="9" t="str">
        <f ca="1">IF(AH37="","",IF(ISNA(MATCH(AH$3&amp;AH37&amp;$AK37,Asta!$I:$I,0)),"",INDIRECT("Asta!B"&amp;MATCH(AH$3&amp;AH37&amp;$AK37,Asta!$I:$I,0))))</f>
        <v/>
      </c>
      <c r="AJ37" s="10" t="str">
        <f ca="1">IF(AI37="","",IF(ISNA(MATCH(AH$3&amp;AH37&amp;$AK37,Asta!$I:$I,0)),"",INDIRECT("Asta!H"&amp;MATCH(AH$3&amp;AH37&amp;$AK37,Asta!$I:$I,0))))</f>
        <v/>
      </c>
      <c r="AK37" s="4">
        <v>8</v>
      </c>
      <c r="AM37" s="221"/>
      <c r="AN37" s="231" t="str">
        <f ca="1">IF(Giocatori!E44=0,"",Giocatori!E44)</f>
        <v>PADELLI</v>
      </c>
      <c r="AO37" s="221"/>
      <c r="AP37" s="231" t="str">
        <f ca="1">IF(Giocatori!H44=0,"",Giocatori!H44)</f>
        <v>CALABRIA</v>
      </c>
      <c r="AQ37" s="221"/>
      <c r="AR37" s="231" t="str">
        <f ca="1">IF(Giocatori!K44=0,"",Giocatori!K44)</f>
        <v>CIGARINI</v>
      </c>
      <c r="AS37" s="221"/>
      <c r="AT37" s="231" t="str">
        <f ca="1">IF(Giocatori!N44=0,"",Giocatori!N44)</f>
        <v>GOMEZ A</v>
      </c>
      <c r="AU37" s="221"/>
      <c r="AV37" s="231" t="str">
        <f ca="1">IF(Giocatori!Q44=0,"",Giocatori!Q44)</f>
        <v/>
      </c>
      <c r="AW37" s="4" t="str">
        <f ca="1">IF(AI7=0,"",AI7)</f>
        <v/>
      </c>
      <c r="AX37" t="str">
        <f t="shared" ca="1" si="53"/>
        <v>PADELLI</v>
      </c>
      <c r="AY37" s="7">
        <f t="shared" ca="1" si="1"/>
        <v>37</v>
      </c>
      <c r="AZ37" s="7" t="str">
        <f t="shared" ca="1" si="54"/>
        <v>PADELLI</v>
      </c>
      <c r="BA37" s="4" t="str">
        <f t="shared" ca="1" si="50"/>
        <v/>
      </c>
      <c r="BB37" t="str">
        <f t="shared" ca="1" si="55"/>
        <v>CALABRIA</v>
      </c>
      <c r="BC37" s="7">
        <f t="shared" ca="1" si="15"/>
        <v>37</v>
      </c>
      <c r="BD37" s="7" t="str">
        <f t="shared" ca="1" si="56"/>
        <v>CALABRIA</v>
      </c>
      <c r="BE37" s="4" t="str">
        <f t="shared" ca="1" si="51"/>
        <v/>
      </c>
      <c r="BF37" t="str">
        <f t="shared" ca="1" si="57"/>
        <v>CIGARINI</v>
      </c>
      <c r="BG37" s="7">
        <f t="shared" ca="1" si="16"/>
        <v>37</v>
      </c>
      <c r="BH37" s="7" t="str">
        <f t="shared" ca="1" si="58"/>
        <v>CIGARINI</v>
      </c>
      <c r="BI37" s="4" t="str">
        <f t="shared" ca="1" si="59"/>
        <v/>
      </c>
      <c r="BJ37" t="str">
        <f t="shared" ca="1" si="60"/>
        <v>GOMEZ A</v>
      </c>
      <c r="BK37" s="7">
        <f t="shared" ca="1" si="17"/>
        <v>37</v>
      </c>
      <c r="BL37" s="7" t="str">
        <f t="shared" ca="1" si="61"/>
        <v>GOMEZ A</v>
      </c>
      <c r="BM37" s="4" t="str">
        <f t="shared" ca="1" si="52"/>
        <v/>
      </c>
      <c r="BN37" t="str">
        <f t="shared" ca="1" si="62"/>
        <v/>
      </c>
      <c r="BO37" s="7">
        <f t="shared" ca="1" si="18"/>
        <v>1</v>
      </c>
      <c r="BP37" s="7">
        <f t="shared" ca="1" si="63"/>
        <v>0</v>
      </c>
    </row>
    <row r="38" spans="1:68" ht="14.25">
      <c r="A38" s="8" t="str">
        <f>IF(Asta!$AD$3&lt;AK38,"","C")</f>
        <v/>
      </c>
      <c r="B38" s="9" t="str">
        <f ca="1">IF(A38="","",IF(ISNA(MATCH(A$3&amp;A38&amp;$AK38,Asta!$I:$I,0)),"",INDIRECT("Asta!B"&amp;MATCH(A$3&amp;A38&amp;$AK38,Asta!$I:$I,0))))</f>
        <v/>
      </c>
      <c r="C38" s="10" t="str">
        <f ca="1">IF(B38="","",IF(ISNA(MATCH(A$3&amp;A38&amp;$AK38,Asta!$I:$I,0)),"",INDIRECT("Asta!H"&amp;MATCH(A$3&amp;A38&amp;$AK38,Asta!$I:$I,0))))</f>
        <v/>
      </c>
      <c r="D38" s="384" t="str">
        <f t="shared" si="39"/>
        <v/>
      </c>
      <c r="E38" s="9" t="str">
        <f ca="1">IF(D38="","",IF(ISNA(MATCH(D$3&amp;D38&amp;$AK38,Asta!$I:$I,0)),"",INDIRECT("Asta!B"&amp;MATCH(D$3&amp;D38&amp;$AK38,Asta!$I:$I,0))))</f>
        <v/>
      </c>
      <c r="F38" s="10" t="str">
        <f ca="1">IF(E38="","",IF(ISNA(MATCH(D$3&amp;D38&amp;$AK38,Asta!$I:$I,0)),"",INDIRECT("Asta!H"&amp;MATCH(D$3&amp;D38&amp;$AK38,Asta!$I:$I,0))))</f>
        <v/>
      </c>
      <c r="G38" s="384" t="str">
        <f t="shared" si="40"/>
        <v/>
      </c>
      <c r="H38" s="9" t="str">
        <f ca="1">IF(G38="","",IF(ISNA(MATCH(G$3&amp;G38&amp;$AK38,Asta!$I:$I,0)),"",INDIRECT("Asta!B"&amp;MATCH(G$3&amp;G38&amp;$AK38,Asta!$I:$I,0))))</f>
        <v/>
      </c>
      <c r="I38" s="10" t="str">
        <f ca="1">IF(H38="","",IF(ISNA(MATCH(G$3&amp;G38&amp;$AK38,Asta!$I:$I,0)),"",INDIRECT("Asta!H"&amp;MATCH(G$3&amp;G38&amp;$AK38,Asta!$I:$I,0))))</f>
        <v/>
      </c>
      <c r="J38" s="384" t="str">
        <f t="shared" si="41"/>
        <v/>
      </c>
      <c r="K38" s="9" t="str">
        <f ca="1">IF(J38="","",IF(ISNA(MATCH(J$3&amp;J38&amp;$AK38,Asta!$I:$I,0)),"",INDIRECT("Asta!B"&amp;MATCH(J$3&amp;J38&amp;$AK38,Asta!$I:$I,0))))</f>
        <v/>
      </c>
      <c r="L38" s="10" t="str">
        <f ca="1">IF(K38="","",IF(ISNA(MATCH(J$3&amp;J38&amp;$AK38,Asta!$I:$I,0)),"",INDIRECT("Asta!H"&amp;MATCH(J$3&amp;J38&amp;$AK38,Asta!$I:$I,0))))</f>
        <v/>
      </c>
      <c r="M38" s="384" t="str">
        <f t="shared" si="42"/>
        <v/>
      </c>
      <c r="N38" s="9" t="str">
        <f ca="1">IF(M38="","",IF(ISNA(MATCH(M$3&amp;M38&amp;$AK38,Asta!$I:$I,0)),"",INDIRECT("Asta!B"&amp;MATCH(M$3&amp;M38&amp;$AK38,Asta!$I:$I,0))))</f>
        <v/>
      </c>
      <c r="O38" s="10" t="str">
        <f ca="1">IF(N38="","",IF(ISNA(MATCH(M$3&amp;M38&amp;$AK38,Asta!$I:$I,0)),"",INDIRECT("Asta!H"&amp;MATCH(M$3&amp;M38&amp;$AK38,Asta!$I:$I,0))))</f>
        <v/>
      </c>
      <c r="P38" s="384" t="str">
        <f t="shared" si="43"/>
        <v/>
      </c>
      <c r="Q38" s="9" t="str">
        <f ca="1">IF(P38="","",IF(ISNA(MATCH(P$3&amp;P38&amp;$AK38,Asta!$I:$I,0)),"",INDIRECT("Asta!B"&amp;MATCH(P$3&amp;P38&amp;$AK38,Asta!$I:$I,0))))</f>
        <v/>
      </c>
      <c r="R38" s="10" t="str">
        <f ca="1">IF(Q38="","",IF(ISNA(MATCH(P$3&amp;P38&amp;$AK38,Asta!$I:$I,0)),"",INDIRECT("Asta!H"&amp;MATCH(P$3&amp;P38&amp;$AK38,Asta!$I:$I,0))))</f>
        <v/>
      </c>
      <c r="S38" s="384" t="str">
        <f t="shared" si="44"/>
        <v/>
      </c>
      <c r="T38" s="9" t="str">
        <f ca="1">IF(S38="","",IF(ISNA(MATCH(S$3&amp;S38&amp;$AK38,Asta!$I:$I,0)),"",INDIRECT("Asta!B"&amp;MATCH(S$3&amp;S38&amp;$AK38,Asta!$I:$I,0))))</f>
        <v/>
      </c>
      <c r="U38" s="10" t="str">
        <f ca="1">IF(T38="","",IF(ISNA(MATCH(S$3&amp;S38&amp;$AK38,Asta!$I:$I,0)),"",INDIRECT("Asta!H"&amp;MATCH(S$3&amp;S38&amp;$AK38,Asta!$I:$I,0))))</f>
        <v/>
      </c>
      <c r="V38" s="384" t="str">
        <f t="shared" si="45"/>
        <v/>
      </c>
      <c r="W38" s="9" t="str">
        <f ca="1">IF(V38="","",IF(ISNA(MATCH(V$3&amp;V38&amp;$AK38,Asta!$I:$I,0)),"",INDIRECT("Asta!B"&amp;MATCH(V$3&amp;V38&amp;$AK38,Asta!$I:$I,0))))</f>
        <v/>
      </c>
      <c r="X38" s="10" t="str">
        <f ca="1">IF(W38="","",IF(ISNA(MATCH(V$3&amp;V38&amp;$AK38,Asta!$I:$I,0)),"",INDIRECT("Asta!H"&amp;MATCH(V$3&amp;V38&amp;$AK38,Asta!$I:$I,0))))</f>
        <v/>
      </c>
      <c r="Y38" s="384" t="str">
        <f t="shared" si="46"/>
        <v/>
      </c>
      <c r="Z38" s="9" t="str">
        <f ca="1">IF(Y38="","",IF(ISNA(MATCH(Y$3&amp;Y38&amp;$AK38,Asta!$I:$I,0)),"",INDIRECT("Asta!B"&amp;MATCH(Y$3&amp;Y38&amp;$AK38,Asta!$I:$I,0))))</f>
        <v/>
      </c>
      <c r="AA38" s="10" t="str">
        <f ca="1">IF(Z38="","",IF(ISNA(MATCH(Y$3&amp;Y38&amp;$AK38,Asta!$I:$I,0)),"",INDIRECT("Asta!H"&amp;MATCH(Y$3&amp;Y38&amp;$AK38,Asta!$I:$I,0))))</f>
        <v/>
      </c>
      <c r="AB38" s="384" t="str">
        <f t="shared" si="47"/>
        <v/>
      </c>
      <c r="AC38" s="9" t="str">
        <f ca="1">IF(AB38="","",IF(ISNA(MATCH(AB$3&amp;AB38&amp;$AK38,Asta!$I:$I,0)),"",INDIRECT("Asta!B"&amp;MATCH(AB$3&amp;AB38&amp;$AK38,Asta!$I:$I,0))))</f>
        <v/>
      </c>
      <c r="AD38" s="10" t="str">
        <f ca="1">IF(AC38="","",IF(ISNA(MATCH(AB$3&amp;AB38&amp;$AK38,Asta!$I:$I,0)),"",INDIRECT("Asta!H"&amp;MATCH(AB$3&amp;AB38&amp;$AK38,Asta!$I:$I,0))))</f>
        <v/>
      </c>
      <c r="AE38" s="384" t="str">
        <f t="shared" si="48"/>
        <v/>
      </c>
      <c r="AF38" s="9" t="str">
        <f ca="1">IF(AE38="","",IF(ISNA(MATCH(AE$3&amp;AE38&amp;$AK38,Asta!$I:$I,0)),"",INDIRECT("Asta!B"&amp;MATCH(AE$3&amp;AE38&amp;$AK38,Asta!$I:$I,0))))</f>
        <v/>
      </c>
      <c r="AG38" s="10" t="str">
        <f ca="1">IF(AF38="","",IF(ISNA(MATCH(AE$3&amp;AE38&amp;$AK38,Asta!$I:$I,0)),"",INDIRECT("Asta!H"&amp;MATCH(AE$3&amp;AE38&amp;$AK38,Asta!$I:$I,0))))</f>
        <v/>
      </c>
      <c r="AH38" s="384" t="str">
        <f t="shared" si="49"/>
        <v/>
      </c>
      <c r="AI38" s="9" t="str">
        <f ca="1">IF(AH38="","",IF(ISNA(MATCH(AH$3&amp;AH38&amp;$AK38,Asta!$I:$I,0)),"",INDIRECT("Asta!B"&amp;MATCH(AH$3&amp;AH38&amp;$AK38,Asta!$I:$I,0))))</f>
        <v/>
      </c>
      <c r="AJ38" s="10" t="str">
        <f ca="1">IF(AI38="","",IF(ISNA(MATCH(AH$3&amp;AH38&amp;$AK38,Asta!$I:$I,0)),"",INDIRECT("Asta!H"&amp;MATCH(AH$3&amp;AH38&amp;$AK38,Asta!$I:$I,0))))</f>
        <v/>
      </c>
      <c r="AK38" s="4">
        <v>9</v>
      </c>
      <c r="AM38" s="221"/>
      <c r="AN38" s="231" t="str">
        <f ca="1">IF(Giocatori!E45=0,"",Giocatori!E45)</f>
        <v>PEGOLO</v>
      </c>
      <c r="AO38" s="221"/>
      <c r="AP38" s="231" t="str">
        <f ca="1">IF(Giocatori!H45=0,"",Giocatori!H45)</f>
        <v>CALDARA</v>
      </c>
      <c r="AQ38" s="221"/>
      <c r="AR38" s="231" t="str">
        <f ca="1">IF(Giocatori!K45=0,"",Giocatori!K45)</f>
        <v>COFIE</v>
      </c>
      <c r="AS38" s="221"/>
      <c r="AT38" s="231" t="str">
        <f ca="1">IF(Giocatori!N45=0,"",Giocatori!N45)</f>
        <v>HIGUAIN</v>
      </c>
      <c r="AU38" s="221"/>
      <c r="AV38" s="231" t="str">
        <f ca="1">IF(Giocatori!Q45=0,"",Giocatori!Q45)</f>
        <v/>
      </c>
      <c r="AX38" t="str">
        <f t="shared" ca="1" si="53"/>
        <v>PEGOLO</v>
      </c>
      <c r="AY38" s="7">
        <f t="shared" ca="1" si="1"/>
        <v>38</v>
      </c>
      <c r="AZ38" s="7" t="str">
        <f t="shared" ca="1" si="54"/>
        <v>PEGOLO</v>
      </c>
      <c r="BA38" s="4" t="str">
        <f t="shared" ca="1" si="50"/>
        <v/>
      </c>
      <c r="BB38" t="str">
        <f t="shared" ca="1" si="55"/>
        <v>CALDARA</v>
      </c>
      <c r="BC38" s="7">
        <f t="shared" ca="1" si="15"/>
        <v>38</v>
      </c>
      <c r="BD38" s="7" t="str">
        <f t="shared" ca="1" si="56"/>
        <v>CALDARA</v>
      </c>
      <c r="BE38" s="4" t="str">
        <f t="shared" ca="1" si="51"/>
        <v/>
      </c>
      <c r="BF38" t="str">
        <f t="shared" ca="1" si="57"/>
        <v>COFIE</v>
      </c>
      <c r="BG38" s="7">
        <f t="shared" ca="1" si="16"/>
        <v>38</v>
      </c>
      <c r="BH38" s="7" t="str">
        <f t="shared" ca="1" si="58"/>
        <v>COFIE</v>
      </c>
      <c r="BI38" s="4" t="str">
        <f t="shared" ca="1" si="59"/>
        <v/>
      </c>
      <c r="BJ38" t="str">
        <f t="shared" ca="1" si="60"/>
        <v>HIGUAIN</v>
      </c>
      <c r="BK38" s="7">
        <f t="shared" ca="1" si="17"/>
        <v>38</v>
      </c>
      <c r="BL38" s="7" t="str">
        <f t="shared" ca="1" si="61"/>
        <v>HIGUAIN</v>
      </c>
      <c r="BM38" s="4" t="str">
        <f t="shared" ca="1" si="52"/>
        <v/>
      </c>
      <c r="BN38" t="str">
        <f t="shared" ca="1" si="62"/>
        <v/>
      </c>
      <c r="BO38" s="7">
        <f t="shared" ca="1" si="18"/>
        <v>1</v>
      </c>
      <c r="BP38" s="7">
        <f t="shared" ca="1" si="63"/>
        <v>0</v>
      </c>
    </row>
    <row r="39" spans="1:68" ht="12.75" customHeight="1">
      <c r="A39" s="8" t="str">
        <f>IF(Asta!$AD$3&lt;AK39,"","C")</f>
        <v/>
      </c>
      <c r="B39" s="9" t="str">
        <f ca="1">IF(A39="","",IF(ISNA(MATCH(A$3&amp;A39&amp;$AK39,Asta!$I:$I,0)),"",INDIRECT("Asta!B"&amp;MATCH(A$3&amp;A39&amp;$AK39,Asta!$I:$I,0))))</f>
        <v/>
      </c>
      <c r="C39" s="10" t="str">
        <f ca="1">IF(B39="","",IF(ISNA(MATCH(A$3&amp;A39&amp;$AK39,Asta!$I:$I,0)),"",INDIRECT("Asta!H"&amp;MATCH(A$3&amp;A39&amp;$AK39,Asta!$I:$I,0))))</f>
        <v/>
      </c>
      <c r="D39" s="384" t="str">
        <f t="shared" si="39"/>
        <v/>
      </c>
      <c r="E39" s="9" t="str">
        <f ca="1">IF(D39="","",IF(ISNA(MATCH(D$3&amp;D39&amp;$AK39,Asta!$I:$I,0)),"",INDIRECT("Asta!B"&amp;MATCH(D$3&amp;D39&amp;$AK39,Asta!$I:$I,0))))</f>
        <v/>
      </c>
      <c r="F39" s="10" t="str">
        <f ca="1">IF(E39="","",IF(ISNA(MATCH(D$3&amp;D39&amp;$AK39,Asta!$I:$I,0)),"",INDIRECT("Asta!H"&amp;MATCH(D$3&amp;D39&amp;$AK39,Asta!$I:$I,0))))</f>
        <v/>
      </c>
      <c r="G39" s="384" t="str">
        <f t="shared" si="40"/>
        <v/>
      </c>
      <c r="H39" s="9" t="str">
        <f ca="1">IF(G39="","",IF(ISNA(MATCH(G$3&amp;G39&amp;$AK39,Asta!$I:$I,0)),"",INDIRECT("Asta!B"&amp;MATCH(G$3&amp;G39&amp;$AK39,Asta!$I:$I,0))))</f>
        <v/>
      </c>
      <c r="I39" s="10" t="str">
        <f ca="1">IF(H39="","",IF(ISNA(MATCH(G$3&amp;G39&amp;$AK39,Asta!$I:$I,0)),"",INDIRECT("Asta!H"&amp;MATCH(G$3&amp;G39&amp;$AK39,Asta!$I:$I,0))))</f>
        <v/>
      </c>
      <c r="J39" s="384" t="str">
        <f t="shared" si="41"/>
        <v/>
      </c>
      <c r="K39" s="9" t="str">
        <f ca="1">IF(J39="","",IF(ISNA(MATCH(J$3&amp;J39&amp;$AK39,Asta!$I:$I,0)),"",INDIRECT("Asta!B"&amp;MATCH(J$3&amp;J39&amp;$AK39,Asta!$I:$I,0))))</f>
        <v/>
      </c>
      <c r="L39" s="10" t="str">
        <f ca="1">IF(K39="","",IF(ISNA(MATCH(J$3&amp;J39&amp;$AK39,Asta!$I:$I,0)),"",INDIRECT("Asta!H"&amp;MATCH(J$3&amp;J39&amp;$AK39,Asta!$I:$I,0))))</f>
        <v/>
      </c>
      <c r="M39" s="384" t="str">
        <f t="shared" si="42"/>
        <v/>
      </c>
      <c r="N39" s="9" t="str">
        <f ca="1">IF(M39="","",IF(ISNA(MATCH(M$3&amp;M39&amp;$AK39,Asta!$I:$I,0)),"",INDIRECT("Asta!B"&amp;MATCH(M$3&amp;M39&amp;$AK39,Asta!$I:$I,0))))</f>
        <v/>
      </c>
      <c r="O39" s="10" t="str">
        <f ca="1">IF(N39="","",IF(ISNA(MATCH(M$3&amp;M39&amp;$AK39,Asta!$I:$I,0)),"",INDIRECT("Asta!H"&amp;MATCH(M$3&amp;M39&amp;$AK39,Asta!$I:$I,0))))</f>
        <v/>
      </c>
      <c r="P39" s="384" t="str">
        <f t="shared" si="43"/>
        <v/>
      </c>
      <c r="Q39" s="9" t="str">
        <f ca="1">IF(P39="","",IF(ISNA(MATCH(P$3&amp;P39&amp;$AK39,Asta!$I:$I,0)),"",INDIRECT("Asta!B"&amp;MATCH(P$3&amp;P39&amp;$AK39,Asta!$I:$I,0))))</f>
        <v/>
      </c>
      <c r="R39" s="10" t="str">
        <f ca="1">IF(Q39="","",IF(ISNA(MATCH(P$3&amp;P39&amp;$AK39,Asta!$I:$I,0)),"",INDIRECT("Asta!H"&amp;MATCH(P$3&amp;P39&amp;$AK39,Asta!$I:$I,0))))</f>
        <v/>
      </c>
      <c r="S39" s="384" t="str">
        <f t="shared" si="44"/>
        <v/>
      </c>
      <c r="T39" s="9" t="str">
        <f ca="1">IF(S39="","",IF(ISNA(MATCH(S$3&amp;S39&amp;$AK39,Asta!$I:$I,0)),"",INDIRECT("Asta!B"&amp;MATCH(S$3&amp;S39&amp;$AK39,Asta!$I:$I,0))))</f>
        <v/>
      </c>
      <c r="U39" s="10" t="str">
        <f ca="1">IF(T39="","",IF(ISNA(MATCH(S$3&amp;S39&amp;$AK39,Asta!$I:$I,0)),"",INDIRECT("Asta!H"&amp;MATCH(S$3&amp;S39&amp;$AK39,Asta!$I:$I,0))))</f>
        <v/>
      </c>
      <c r="V39" s="384" t="str">
        <f t="shared" si="45"/>
        <v/>
      </c>
      <c r="W39" s="9" t="str">
        <f ca="1">IF(V39="","",IF(ISNA(MATCH(V$3&amp;V39&amp;$AK39,Asta!$I:$I,0)),"",INDIRECT("Asta!B"&amp;MATCH(V$3&amp;V39&amp;$AK39,Asta!$I:$I,0))))</f>
        <v/>
      </c>
      <c r="X39" s="10" t="str">
        <f ca="1">IF(W39="","",IF(ISNA(MATCH(V$3&amp;V39&amp;$AK39,Asta!$I:$I,0)),"",INDIRECT("Asta!H"&amp;MATCH(V$3&amp;V39&amp;$AK39,Asta!$I:$I,0))))</f>
        <v/>
      </c>
      <c r="Y39" s="384" t="str">
        <f t="shared" si="46"/>
        <v/>
      </c>
      <c r="Z39" s="9" t="str">
        <f ca="1">IF(Y39="","",IF(ISNA(MATCH(Y$3&amp;Y39&amp;$AK39,Asta!$I:$I,0)),"",INDIRECT("Asta!B"&amp;MATCH(Y$3&amp;Y39&amp;$AK39,Asta!$I:$I,0))))</f>
        <v/>
      </c>
      <c r="AA39" s="10" t="str">
        <f ca="1">IF(Z39="","",IF(ISNA(MATCH(Y$3&amp;Y39&amp;$AK39,Asta!$I:$I,0)),"",INDIRECT("Asta!H"&amp;MATCH(Y$3&amp;Y39&amp;$AK39,Asta!$I:$I,0))))</f>
        <v/>
      </c>
      <c r="AB39" s="384" t="str">
        <f t="shared" si="47"/>
        <v/>
      </c>
      <c r="AC39" s="9" t="str">
        <f ca="1">IF(AB39="","",IF(ISNA(MATCH(AB$3&amp;AB39&amp;$AK39,Asta!$I:$I,0)),"",INDIRECT("Asta!B"&amp;MATCH(AB$3&amp;AB39&amp;$AK39,Asta!$I:$I,0))))</f>
        <v/>
      </c>
      <c r="AD39" s="10" t="str">
        <f ca="1">IF(AC39="","",IF(ISNA(MATCH(AB$3&amp;AB39&amp;$AK39,Asta!$I:$I,0)),"",INDIRECT("Asta!H"&amp;MATCH(AB$3&amp;AB39&amp;$AK39,Asta!$I:$I,0))))</f>
        <v/>
      </c>
      <c r="AE39" s="384" t="str">
        <f t="shared" si="48"/>
        <v/>
      </c>
      <c r="AF39" s="9" t="str">
        <f ca="1">IF(AE39="","",IF(ISNA(MATCH(AE$3&amp;AE39&amp;$AK39,Asta!$I:$I,0)),"",INDIRECT("Asta!B"&amp;MATCH(AE$3&amp;AE39&amp;$AK39,Asta!$I:$I,0))))</f>
        <v/>
      </c>
      <c r="AG39" s="10" t="str">
        <f ca="1">IF(AF39="","",IF(ISNA(MATCH(AE$3&amp;AE39&amp;$AK39,Asta!$I:$I,0)),"",INDIRECT("Asta!H"&amp;MATCH(AE$3&amp;AE39&amp;$AK39,Asta!$I:$I,0))))</f>
        <v/>
      </c>
      <c r="AH39" s="384" t="str">
        <f t="shared" si="49"/>
        <v/>
      </c>
      <c r="AI39" s="9" t="str">
        <f ca="1">IF(AH39="","",IF(ISNA(MATCH(AH$3&amp;AH39&amp;$AK39,Asta!$I:$I,0)),"",INDIRECT("Asta!B"&amp;MATCH(AH$3&amp;AH39&amp;$AK39,Asta!$I:$I,0))))</f>
        <v/>
      </c>
      <c r="AJ39" s="10" t="str">
        <f ca="1">IF(AI39="","",IF(ISNA(MATCH(AH$3&amp;AH39&amp;$AK39,Asta!$I:$I,0)),"",INDIRECT("Asta!H"&amp;MATCH(AH$3&amp;AH39&amp;$AK39,Asta!$I:$I,0))))</f>
        <v/>
      </c>
      <c r="AK39" s="4">
        <v>10</v>
      </c>
      <c r="AM39" s="221"/>
      <c r="AN39" s="231" t="str">
        <f ca="1">IF(Giocatori!E46=0,"",Giocatori!E46)</f>
        <v>PERIN</v>
      </c>
      <c r="AO39" s="221"/>
      <c r="AP39" s="231" t="str">
        <f ca="1">IF(Giocatori!H46=0,"",Giocatori!H46)</f>
        <v>CANCELO</v>
      </c>
      <c r="AQ39" s="221"/>
      <c r="AR39" s="231" t="str">
        <f ca="1">IF(Giocatori!K46=0,"",Giocatori!K46)</f>
        <v>COSSU</v>
      </c>
      <c r="AS39" s="221"/>
      <c r="AT39" s="231" t="str">
        <f ca="1">IF(Giocatori!N46=0,"",Giocatori!N46)</f>
        <v>ICARDI</v>
      </c>
      <c r="AU39" s="221"/>
      <c r="AV39" s="231" t="str">
        <f ca="1">IF(Giocatori!Q46=0,"",Giocatori!Q46)</f>
        <v/>
      </c>
      <c r="AX39" t="str">
        <f t="shared" ca="1" si="53"/>
        <v>PERIN</v>
      </c>
      <c r="AY39" s="7">
        <f t="shared" ca="1" si="1"/>
        <v>39</v>
      </c>
      <c r="AZ39" s="7" t="str">
        <f t="shared" ca="1" si="54"/>
        <v>PERIN</v>
      </c>
      <c r="BA39" s="4" t="str">
        <f t="shared" ca="1" si="50"/>
        <v/>
      </c>
      <c r="BB39" t="str">
        <f t="shared" ca="1" si="55"/>
        <v>CANCELO</v>
      </c>
      <c r="BC39" s="7">
        <f t="shared" ca="1" si="15"/>
        <v>39</v>
      </c>
      <c r="BD39" s="7" t="str">
        <f t="shared" ca="1" si="56"/>
        <v>CANCELO</v>
      </c>
      <c r="BE39" s="4" t="str">
        <f t="shared" ca="1" si="51"/>
        <v/>
      </c>
      <c r="BF39" t="str">
        <f t="shared" ca="1" si="57"/>
        <v>COSSU</v>
      </c>
      <c r="BG39" s="7">
        <f t="shared" ca="1" si="16"/>
        <v>39</v>
      </c>
      <c r="BH39" s="7" t="str">
        <f t="shared" ca="1" si="58"/>
        <v>COSSU</v>
      </c>
      <c r="BI39" s="4" t="str">
        <f t="shared" ca="1" si="59"/>
        <v/>
      </c>
      <c r="BJ39" t="str">
        <f t="shared" ca="1" si="60"/>
        <v>ICARDI</v>
      </c>
      <c r="BK39" s="7">
        <f t="shared" ca="1" si="17"/>
        <v>39</v>
      </c>
      <c r="BL39" s="7" t="str">
        <f t="shared" ca="1" si="61"/>
        <v>ICARDI</v>
      </c>
      <c r="BM39" s="4" t="str">
        <f t="shared" ca="1" si="52"/>
        <v/>
      </c>
      <c r="BN39" t="str">
        <f t="shared" ca="1" si="62"/>
        <v/>
      </c>
      <c r="BO39" s="7">
        <f t="shared" ca="1" si="18"/>
        <v>1</v>
      </c>
      <c r="BP39" s="7">
        <f t="shared" ca="1" si="63"/>
        <v>0</v>
      </c>
    </row>
    <row r="40" spans="1:68" ht="14.25">
      <c r="B40" s="13" t="s">
        <v>628</v>
      </c>
      <c r="C40" s="14">
        <f ca="1">SUM(C30:C39)</f>
        <v>0</v>
      </c>
      <c r="E40" s="13" t="s">
        <v>628</v>
      </c>
      <c r="F40" s="14">
        <f ca="1">SUM(F30:F39)</f>
        <v>0</v>
      </c>
      <c r="H40" s="13" t="s">
        <v>628</v>
      </c>
      <c r="I40" s="14">
        <f ca="1">SUM(I30:I39)</f>
        <v>0</v>
      </c>
      <c r="J40" s="2"/>
      <c r="K40" s="13" t="s">
        <v>628</v>
      </c>
      <c r="L40" s="14">
        <f ca="1">SUM(L30:L39)</f>
        <v>0</v>
      </c>
      <c r="N40" s="13" t="s">
        <v>628</v>
      </c>
      <c r="O40" s="14">
        <f ca="1">SUM(O30:O39)</f>
        <v>0</v>
      </c>
      <c r="Q40" s="13" t="s">
        <v>628</v>
      </c>
      <c r="R40" s="14">
        <f ca="1">SUM(R30:R39)</f>
        <v>0</v>
      </c>
      <c r="T40" s="13" t="s">
        <v>628</v>
      </c>
      <c r="U40" s="14">
        <f ca="1">SUM(U30:U39)</f>
        <v>0</v>
      </c>
      <c r="W40" s="13" t="s">
        <v>628</v>
      </c>
      <c r="X40" s="14">
        <f ca="1">SUM(X30:X39)</f>
        <v>0</v>
      </c>
      <c r="Z40" s="13" t="s">
        <v>628</v>
      </c>
      <c r="AA40" s="14">
        <f ca="1">SUM(AA30:AA39)</f>
        <v>0</v>
      </c>
      <c r="AC40" s="13" t="s">
        <v>628</v>
      </c>
      <c r="AD40" s="14">
        <f ca="1">SUM(AD30:AD39)</f>
        <v>0</v>
      </c>
      <c r="AF40" s="13" t="s">
        <v>628</v>
      </c>
      <c r="AG40" s="14">
        <f ca="1">SUM(AG30:AG39)</f>
        <v>0</v>
      </c>
      <c r="AI40" s="13" t="s">
        <v>628</v>
      </c>
      <c r="AJ40" s="14">
        <f ca="1">SUM(AJ30:AJ39)</f>
        <v>0</v>
      </c>
      <c r="AM40" s="221"/>
      <c r="AN40" s="231" t="str">
        <f ca="1">IF(Giocatori!E47=0,"",Giocatori!E47)</f>
        <v>PINSOGLIO</v>
      </c>
      <c r="AO40" s="221"/>
      <c r="AP40" s="231" t="str">
        <f ca="1">IF(Giocatori!H47=0,"",Giocatori!H47)</f>
        <v>CANNAVARO</v>
      </c>
      <c r="AQ40" s="221"/>
      <c r="AR40" s="231" t="str">
        <f ca="1">IF(Giocatori!K47=0,"",Giocatori!K47)</f>
        <v>CRECCO</v>
      </c>
      <c r="AS40" s="221"/>
      <c r="AT40" s="231" t="str">
        <f ca="1">IF(Giocatori!N47=0,"",Giocatori!N47)</f>
        <v>IEMMELLO</v>
      </c>
      <c r="AU40" s="221"/>
      <c r="AV40" s="231" t="str">
        <f ca="1">IF(Giocatori!Q47=0,"",Giocatori!Q47)</f>
        <v/>
      </c>
      <c r="AX40" t="str">
        <f t="shared" ca="1" si="53"/>
        <v>PINSOGLIO</v>
      </c>
      <c r="AY40" s="7">
        <f t="shared" ca="1" si="1"/>
        <v>40</v>
      </c>
      <c r="AZ40" s="7" t="str">
        <f t="shared" ca="1" si="54"/>
        <v>PINSOGLIO</v>
      </c>
      <c r="BA40" s="4" t="str">
        <f t="shared" ca="1" si="50"/>
        <v/>
      </c>
      <c r="BB40" t="str">
        <f t="shared" ca="1" si="55"/>
        <v>CANNAVARO</v>
      </c>
      <c r="BC40" s="7">
        <f t="shared" ca="1" si="15"/>
        <v>40</v>
      </c>
      <c r="BD40" s="7" t="str">
        <f t="shared" ca="1" si="56"/>
        <v>CANNAVARO</v>
      </c>
      <c r="BE40" s="4" t="str">
        <f t="shared" ca="1" si="51"/>
        <v/>
      </c>
      <c r="BF40" t="str">
        <f t="shared" ca="1" si="57"/>
        <v>CRECCO</v>
      </c>
      <c r="BG40" s="7">
        <f t="shared" ca="1" si="16"/>
        <v>40</v>
      </c>
      <c r="BH40" s="7" t="str">
        <f t="shared" ca="1" si="58"/>
        <v>CRECCO</v>
      </c>
      <c r="BI40" s="4" t="str">
        <f t="shared" ca="1" si="59"/>
        <v/>
      </c>
      <c r="BJ40" t="str">
        <f t="shared" ca="1" si="60"/>
        <v>IEMMELLO</v>
      </c>
      <c r="BK40" s="7">
        <f t="shared" ca="1" si="17"/>
        <v>40</v>
      </c>
      <c r="BL40" s="7" t="str">
        <f t="shared" ca="1" si="61"/>
        <v>IEMMELLO</v>
      </c>
      <c r="BM40" s="4" t="str">
        <f t="shared" ca="1" si="52"/>
        <v/>
      </c>
      <c r="BN40" t="str">
        <f t="shared" ca="1" si="62"/>
        <v/>
      </c>
      <c r="BO40" s="7">
        <f t="shared" ca="1" si="18"/>
        <v>1</v>
      </c>
      <c r="BP40" s="7">
        <f t="shared" ca="1" si="63"/>
        <v>0</v>
      </c>
    </row>
    <row r="41" spans="1:68" ht="14.25">
      <c r="B41" s="13" t="s">
        <v>629</v>
      </c>
      <c r="C41" s="14">
        <f ca="1">C25+C40</f>
        <v>0</v>
      </c>
      <c r="E41" s="13" t="s">
        <v>629</v>
      </c>
      <c r="F41" s="14">
        <f ca="1">F40+F25</f>
        <v>0</v>
      </c>
      <c r="H41" s="13" t="s">
        <v>629</v>
      </c>
      <c r="I41" s="14">
        <f ca="1">I40+I25</f>
        <v>0</v>
      </c>
      <c r="J41" s="2"/>
      <c r="K41" s="13" t="s">
        <v>629</v>
      </c>
      <c r="L41" s="14">
        <f ca="1">L40+L25</f>
        <v>0</v>
      </c>
      <c r="N41" s="13" t="s">
        <v>629</v>
      </c>
      <c r="O41" s="14">
        <f ca="1">O40+O25</f>
        <v>0</v>
      </c>
      <c r="Q41" s="13" t="s">
        <v>629</v>
      </c>
      <c r="R41" s="14">
        <f ca="1">R40+R25</f>
        <v>0</v>
      </c>
      <c r="T41" s="13" t="s">
        <v>629</v>
      </c>
      <c r="U41" s="14">
        <f ca="1">U40+U25</f>
        <v>0</v>
      </c>
      <c r="W41" s="13" t="s">
        <v>629</v>
      </c>
      <c r="X41" s="14">
        <f ca="1">X40+X25</f>
        <v>0</v>
      </c>
      <c r="Z41" s="13" t="s">
        <v>629</v>
      </c>
      <c r="AA41" s="14">
        <f ca="1">AA40+AA25</f>
        <v>0</v>
      </c>
      <c r="AC41" s="13" t="s">
        <v>629</v>
      </c>
      <c r="AD41" s="14">
        <f ca="1">AD40+AD25</f>
        <v>0</v>
      </c>
      <c r="AF41" s="13" t="s">
        <v>629</v>
      </c>
      <c r="AG41" s="14">
        <f ca="1">AG40+AG25</f>
        <v>0</v>
      </c>
      <c r="AI41" s="13" t="s">
        <v>629</v>
      </c>
      <c r="AJ41" s="14">
        <f ca="1">AJ40+AJ25</f>
        <v>0</v>
      </c>
      <c r="AM41" s="221"/>
      <c r="AN41" s="231" t="str">
        <f ca="1">IF(Giocatori!E48=0,"",Giocatori!E48)</f>
        <v>PISCITELLI</v>
      </c>
      <c r="AO41" s="221"/>
      <c r="AP41" s="231" t="str">
        <f ca="1">IF(Giocatori!H48=0,"",Giocatori!H48)</f>
        <v>CAPUANO</v>
      </c>
      <c r="AQ41" s="221"/>
      <c r="AR41" s="231" t="str">
        <f ca="1">IF(Giocatori!K48=0,"",Giocatori!K48)</f>
        <v>CRISETIG</v>
      </c>
      <c r="AS41" s="221"/>
      <c r="AT41" s="231" t="str">
        <f ca="1">IF(Giocatori!N48=0,"",Giocatori!N48)</f>
        <v>IMMOBILE</v>
      </c>
      <c r="AU41" s="221"/>
      <c r="AV41" s="231" t="str">
        <f ca="1">IF(Giocatori!Q48=0,"",Giocatori!Q48)</f>
        <v/>
      </c>
      <c r="AX41" t="str">
        <f t="shared" ca="1" si="53"/>
        <v>PISCITELLI</v>
      </c>
      <c r="AY41" s="7">
        <f t="shared" ca="1" si="1"/>
        <v>41</v>
      </c>
      <c r="AZ41" s="7" t="str">
        <f t="shared" ca="1" si="54"/>
        <v>PISCITELLI</v>
      </c>
      <c r="BA41" s="4" t="str">
        <f t="shared" ca="1" si="50"/>
        <v/>
      </c>
      <c r="BB41" t="str">
        <f t="shared" ca="1" si="55"/>
        <v>CAPUANO</v>
      </c>
      <c r="BC41" s="7">
        <f t="shared" ca="1" si="15"/>
        <v>41</v>
      </c>
      <c r="BD41" s="7" t="str">
        <f t="shared" ca="1" si="56"/>
        <v>CAPUANO</v>
      </c>
      <c r="BE41" s="4" t="str">
        <f t="shared" ca="1" si="51"/>
        <v/>
      </c>
      <c r="BF41" t="str">
        <f t="shared" ca="1" si="57"/>
        <v>CRISETIG</v>
      </c>
      <c r="BG41" s="7">
        <f t="shared" ca="1" si="16"/>
        <v>41</v>
      </c>
      <c r="BH41" s="7" t="str">
        <f t="shared" ca="1" si="58"/>
        <v>CRISETIG</v>
      </c>
      <c r="BI41" s="4" t="str">
        <f t="shared" ca="1" si="59"/>
        <v/>
      </c>
      <c r="BJ41" t="str">
        <f t="shared" ca="1" si="60"/>
        <v>IMMOBILE</v>
      </c>
      <c r="BK41" s="7">
        <f t="shared" ca="1" si="17"/>
        <v>41</v>
      </c>
      <c r="BL41" s="7" t="str">
        <f t="shared" ca="1" si="61"/>
        <v>IMMOBILE</v>
      </c>
      <c r="BM41" s="4" t="str">
        <f t="shared" ca="1" si="52"/>
        <v/>
      </c>
      <c r="BN41" t="str">
        <f t="shared" ca="1" si="62"/>
        <v/>
      </c>
      <c r="BO41" s="7">
        <f t="shared" ca="1" si="18"/>
        <v>1</v>
      </c>
      <c r="BP41" s="7">
        <f t="shared" ca="1" si="63"/>
        <v>0</v>
      </c>
    </row>
    <row r="42" spans="1:68" ht="14.25">
      <c r="A42" s="15"/>
      <c r="B42" s="13" t="s">
        <v>630</v>
      </c>
      <c r="C42" s="14">
        <f ca="1">C26</f>
        <v>326</v>
      </c>
      <c r="D42" s="15"/>
      <c r="E42" s="13" t="s">
        <v>630</v>
      </c>
      <c r="F42" s="14">
        <f ca="1">F26</f>
        <v>326</v>
      </c>
      <c r="G42" s="15"/>
      <c r="H42" s="13" t="s">
        <v>630</v>
      </c>
      <c r="I42" s="14">
        <f ca="1">I26</f>
        <v>326</v>
      </c>
      <c r="J42" s="15"/>
      <c r="K42" s="13" t="s">
        <v>630</v>
      </c>
      <c r="L42" s="14">
        <f ca="1">L$58-(COUNTIF($A$5:$A$7,"=P")+COUNTIF($A$14:$A$23,"=D")+10-COUNTBLANK($A$30:$A$39)+COUNTIF($A$46:$A$53,"=A")-(COUNTIF(L$5:L$7,"&gt;0")+COUNTIF(L$14:L$23,"&gt;0")+COUNTIF(L$30:L$39,"&gt;0")+COUNTIF(L$46:L$53,"&gt;0")))+1</f>
        <v>326</v>
      </c>
      <c r="M42" s="15"/>
      <c r="N42" s="13" t="s">
        <v>630</v>
      </c>
      <c r="O42" s="14">
        <f ca="1">O26</f>
        <v>326</v>
      </c>
      <c r="P42" s="15"/>
      <c r="Q42" s="13" t="s">
        <v>630</v>
      </c>
      <c r="R42" s="14">
        <f ca="1">R26</f>
        <v>326</v>
      </c>
      <c r="S42" s="15"/>
      <c r="T42" s="13" t="s">
        <v>630</v>
      </c>
      <c r="U42" s="14">
        <f ca="1">U26</f>
        <v>326</v>
      </c>
      <c r="V42" s="15"/>
      <c r="W42" s="13" t="s">
        <v>630</v>
      </c>
      <c r="X42" s="14">
        <f ca="1">X26</f>
        <v>326</v>
      </c>
      <c r="Y42" s="15"/>
      <c r="Z42" s="13" t="s">
        <v>630</v>
      </c>
      <c r="AA42" s="14">
        <f ca="1">AA26</f>
        <v>326</v>
      </c>
      <c r="AB42" s="15"/>
      <c r="AC42" s="13" t="s">
        <v>630</v>
      </c>
      <c r="AD42" s="14">
        <f ca="1">AD26</f>
        <v>326</v>
      </c>
      <c r="AE42" s="15"/>
      <c r="AF42" s="13" t="s">
        <v>630</v>
      </c>
      <c r="AG42" s="14">
        <f ca="1">AG26</f>
        <v>326</v>
      </c>
      <c r="AH42" s="15"/>
      <c r="AI42" s="13" t="s">
        <v>630</v>
      </c>
      <c r="AJ42" s="14">
        <f ca="1">AJ26</f>
        <v>326</v>
      </c>
      <c r="AM42" s="221"/>
      <c r="AN42" s="231" t="str">
        <f ca="1">IF(Giocatori!E49=0,"",Giocatori!E49)</f>
        <v>POLUZZI</v>
      </c>
      <c r="AO42" s="221"/>
      <c r="AP42" s="231" t="str">
        <f ca="1">IF(Giocatori!H49=0,"",Giocatori!H49)</f>
        <v>CARACCIOLO A</v>
      </c>
      <c r="AQ42" s="221"/>
      <c r="AR42" s="231" t="str">
        <f ca="1">IF(Giocatori!K49=0,"",Giocatori!K49)</f>
        <v>CRISTANTE</v>
      </c>
      <c r="AS42" s="221"/>
      <c r="AT42" s="231" t="str">
        <f ca="1">IF(Giocatori!N49=0,"",Giocatori!N49)</f>
        <v>INGLESE</v>
      </c>
      <c r="AU42" s="221"/>
      <c r="AV42" s="231" t="str">
        <f ca="1">IF(Giocatori!Q49=0,"",Giocatori!Q49)</f>
        <v/>
      </c>
      <c r="AW42" s="17"/>
      <c r="AX42" t="str">
        <f t="shared" ca="1" si="53"/>
        <v>POLUZZI</v>
      </c>
      <c r="AY42" s="7">
        <f t="shared" ca="1" si="1"/>
        <v>42</v>
      </c>
      <c r="AZ42" s="7" t="str">
        <f t="shared" ca="1" si="54"/>
        <v>POLUZZI</v>
      </c>
      <c r="BA42" s="4" t="str">
        <f t="shared" ref="BA42:BA51" ca="1" si="64">IF(N14=0,"",N14)</f>
        <v/>
      </c>
      <c r="BB42" t="str">
        <f t="shared" ca="1" si="55"/>
        <v>CARACCIOLO A</v>
      </c>
      <c r="BC42" s="7">
        <f t="shared" ca="1" si="15"/>
        <v>42</v>
      </c>
      <c r="BD42" s="7" t="str">
        <f t="shared" ca="1" si="56"/>
        <v>CARACCIOLO A</v>
      </c>
      <c r="BE42" s="4" t="str">
        <f t="shared" ref="BE42:BE51" ca="1" si="65">IF(N30=0,"",N30)</f>
        <v/>
      </c>
      <c r="BF42" t="str">
        <f t="shared" ca="1" si="57"/>
        <v>CRISTANTE</v>
      </c>
      <c r="BG42" s="7">
        <f t="shared" ca="1" si="16"/>
        <v>42</v>
      </c>
      <c r="BH42" s="7" t="str">
        <f t="shared" ca="1" si="58"/>
        <v>CRISTANTE</v>
      </c>
      <c r="BI42" s="4" t="str">
        <f t="shared" ref="BI42:BI49" ca="1" si="66">IF(Q46=0,"",Q46)</f>
        <v/>
      </c>
      <c r="BJ42" t="str">
        <f t="shared" ca="1" si="60"/>
        <v>INGLESE</v>
      </c>
      <c r="BK42" s="7">
        <f t="shared" ca="1" si="17"/>
        <v>42</v>
      </c>
      <c r="BL42" s="7" t="str">
        <f t="shared" ca="1" si="61"/>
        <v>INGLESE</v>
      </c>
      <c r="BM42" s="4" t="str">
        <f t="shared" si="52"/>
        <v>Spesa Reparto</v>
      </c>
      <c r="BN42" t="str">
        <f t="shared" ca="1" si="62"/>
        <v/>
      </c>
      <c r="BO42" s="7">
        <f t="shared" ca="1" si="18"/>
        <v>1</v>
      </c>
      <c r="BP42" s="7">
        <f t="shared" ca="1" si="63"/>
        <v>0</v>
      </c>
    </row>
    <row r="43" spans="1:68" s="18" customFormat="1">
      <c r="A43" s="365"/>
      <c r="B43" s="382" t="s">
        <v>631</v>
      </c>
      <c r="C43" s="383">
        <f ca="1">C44-INDIRECT(ADDRESS(58,MATCH(Asta!$D$3,$A$3:$AJ$3,0)+2,1,1))</f>
        <v>0</v>
      </c>
      <c r="D43" s="365"/>
      <c r="E43" s="382" t="s">
        <v>631</v>
      </c>
      <c r="F43" s="383">
        <f ca="1">F44-INDIRECT(ADDRESS(58,MATCH(Asta!$D$3,$A$3:$AJ$3,0)+2,1,1))</f>
        <v>0</v>
      </c>
      <c r="G43" s="365"/>
      <c r="H43" s="382" t="s">
        <v>631</v>
      </c>
      <c r="I43" s="383">
        <f ca="1">I44-INDIRECT(ADDRESS(58,MATCH(Asta!$D$3,$A$3:$AJ$3,0)+2,1,1))</f>
        <v>0</v>
      </c>
      <c r="J43" s="365"/>
      <c r="K43" s="382" t="s">
        <v>631</v>
      </c>
      <c r="L43" s="383">
        <f ca="1">L44-INDIRECT(ADDRESS(58,MATCH(Asta!$D$3,$A$3:$AJ$3,0)+2,1,1))</f>
        <v>0</v>
      </c>
      <c r="M43" s="365"/>
      <c r="N43" s="382" t="s">
        <v>631</v>
      </c>
      <c r="O43" s="383">
        <f ca="1">O44-INDIRECT(ADDRESS(58,MATCH(Asta!$D$3,$A$3:$AJ$3,0)+2,1,1))</f>
        <v>0</v>
      </c>
      <c r="P43" s="365"/>
      <c r="Q43" s="382" t="s">
        <v>631</v>
      </c>
      <c r="R43" s="383">
        <f ca="1">R44-INDIRECT(ADDRESS(58,MATCH(Asta!$D$3,$A$3:$AJ$3,0)+2,1,1))</f>
        <v>0</v>
      </c>
      <c r="S43" s="365"/>
      <c r="T43" s="382" t="s">
        <v>631</v>
      </c>
      <c r="U43" s="383">
        <f ca="1">U44-INDIRECT(ADDRESS(58,MATCH(Asta!$D$3,$A$3:$AJ$3,0)+2,1,1))</f>
        <v>0</v>
      </c>
      <c r="V43" s="365"/>
      <c r="W43" s="382" t="s">
        <v>631</v>
      </c>
      <c r="X43" s="383">
        <f ca="1">X44-INDIRECT(ADDRESS(58,MATCH(Asta!$D$3,$A$3:$AJ$3,0)+2,1,1))</f>
        <v>0</v>
      </c>
      <c r="Y43" s="365"/>
      <c r="Z43" s="382" t="s">
        <v>631</v>
      </c>
      <c r="AA43" s="383">
        <f ca="1">AA44-INDIRECT(ADDRESS(58,MATCH(Asta!$D$3,$A$3:$AJ$3,0)+2,1,1))</f>
        <v>0</v>
      </c>
      <c r="AB43" s="365"/>
      <c r="AC43" s="382" t="s">
        <v>631</v>
      </c>
      <c r="AD43" s="383">
        <f ca="1">AD44-INDIRECT(ADDRESS(58,MATCH(Asta!$D$3,$A$3:$AJ$3,0)+2,1,1))</f>
        <v>0</v>
      </c>
      <c r="AE43" s="365"/>
      <c r="AF43" s="382" t="s">
        <v>631</v>
      </c>
      <c r="AG43" s="383">
        <f ca="1">AG44-INDIRECT(ADDRESS(58,MATCH(Asta!$D$3,$A$3:$AJ$3,0)+2,1,1))</f>
        <v>0</v>
      </c>
      <c r="AH43" s="365"/>
      <c r="AI43" s="382" t="s">
        <v>631</v>
      </c>
      <c r="AJ43" s="383">
        <f ca="1">AJ44-INDIRECT(ADDRESS(58,MATCH(Asta!$D$3,$A$3:$AJ$3,0)+2,1,1))</f>
        <v>0</v>
      </c>
      <c r="AM43" s="182"/>
      <c r="AN43" s="366" t="str">
        <f ca="1">IF(Giocatori!E50=0,"",Giocatori!E50)</f>
        <v>PUGGIONI</v>
      </c>
      <c r="AO43" s="182"/>
      <c r="AP43" s="366" t="str">
        <f ca="1">IF(Giocatori!H50=0,"",Giocatori!H50)</f>
        <v>CASTAGNE</v>
      </c>
      <c r="AQ43" s="182"/>
      <c r="AR43" s="366" t="str">
        <f ca="1">IF(Giocatori!K50=0,"",Giocatori!K50)</f>
        <v>CRISTOFORO</v>
      </c>
      <c r="AS43" s="182"/>
      <c r="AT43" s="366" t="str">
        <f ca="1">IF(Giocatori!N50=0,"",Giocatori!N50)</f>
        <v>INSIGNE</v>
      </c>
      <c r="AU43" s="182"/>
      <c r="AV43" s="366" t="str">
        <f ca="1">IF(Giocatori!Q50=0,"",Giocatori!Q50)</f>
        <v/>
      </c>
      <c r="AX43" s="69" t="str">
        <f t="shared" ca="1" si="53"/>
        <v>PUGGIONI</v>
      </c>
      <c r="AY43" s="7">
        <f t="shared" ca="1" si="1"/>
        <v>43</v>
      </c>
      <c r="AZ43" s="7" t="str">
        <f t="shared" ca="1" si="54"/>
        <v>PUGGIONI</v>
      </c>
      <c r="BA43" s="18" t="str">
        <f t="shared" ca="1" si="64"/>
        <v/>
      </c>
      <c r="BB43" s="69" t="str">
        <f t="shared" ca="1" si="55"/>
        <v>CASTAGNE</v>
      </c>
      <c r="BC43" s="7">
        <f t="shared" ca="1" si="15"/>
        <v>43</v>
      </c>
      <c r="BD43" s="7" t="str">
        <f t="shared" ca="1" si="56"/>
        <v>CASTAGNE</v>
      </c>
      <c r="BE43" s="18" t="str">
        <f t="shared" ca="1" si="65"/>
        <v/>
      </c>
      <c r="BF43" s="69" t="str">
        <f t="shared" ca="1" si="57"/>
        <v>CRISTOFORO</v>
      </c>
      <c r="BG43" s="7">
        <f t="shared" ca="1" si="16"/>
        <v>43</v>
      </c>
      <c r="BH43" s="7" t="str">
        <f t="shared" ca="1" si="58"/>
        <v>CRISTOFORO</v>
      </c>
      <c r="BI43" s="18" t="str">
        <f t="shared" ca="1" si="66"/>
        <v/>
      </c>
      <c r="BJ43" s="69" t="str">
        <f t="shared" ca="1" si="60"/>
        <v>INSIGNE</v>
      </c>
      <c r="BK43" s="7">
        <f t="shared" ca="1" si="17"/>
        <v>43</v>
      </c>
      <c r="BL43" s="7" t="str">
        <f t="shared" ca="1" si="61"/>
        <v>INSIGNE</v>
      </c>
      <c r="BM43" s="18" t="str">
        <f t="shared" si="52"/>
        <v>Attuale Spesa</v>
      </c>
      <c r="BN43" s="69" t="str">
        <f t="shared" ca="1" si="62"/>
        <v/>
      </c>
      <c r="BO43" s="7">
        <f t="shared" ca="1" si="18"/>
        <v>1</v>
      </c>
      <c r="BP43" s="7">
        <f t="shared" ca="1" si="63"/>
        <v>0</v>
      </c>
    </row>
    <row r="44" spans="1:68" s="379" customFormat="1" ht="15">
      <c r="A44" s="376"/>
      <c r="B44" s="377" t="s">
        <v>632</v>
      </c>
      <c r="C44" s="378">
        <f ca="1">C58</f>
        <v>350</v>
      </c>
      <c r="D44" s="376"/>
      <c r="E44" s="377" t="s">
        <v>632</v>
      </c>
      <c r="F44" s="378">
        <f ca="1">F58</f>
        <v>350</v>
      </c>
      <c r="G44" s="376"/>
      <c r="H44" s="377" t="s">
        <v>632</v>
      </c>
      <c r="I44" s="378">
        <f ca="1">I58</f>
        <v>350</v>
      </c>
      <c r="J44" s="376"/>
      <c r="K44" s="377" t="s">
        <v>632</v>
      </c>
      <c r="L44" s="378">
        <f ca="1">L58</f>
        <v>350</v>
      </c>
      <c r="M44" s="376"/>
      <c r="N44" s="377" t="s">
        <v>632</v>
      </c>
      <c r="O44" s="378">
        <f ca="1">O58</f>
        <v>350</v>
      </c>
      <c r="P44" s="376"/>
      <c r="Q44" s="377" t="s">
        <v>632</v>
      </c>
      <c r="R44" s="378">
        <f ca="1">R58</f>
        <v>350</v>
      </c>
      <c r="S44" s="376"/>
      <c r="T44" s="377" t="s">
        <v>632</v>
      </c>
      <c r="U44" s="378">
        <f ca="1">U58</f>
        <v>350</v>
      </c>
      <c r="V44" s="376"/>
      <c r="W44" s="377" t="s">
        <v>632</v>
      </c>
      <c r="X44" s="378">
        <f ca="1">X58</f>
        <v>350</v>
      </c>
      <c r="Y44" s="376"/>
      <c r="Z44" s="377" t="s">
        <v>632</v>
      </c>
      <c r="AA44" s="378">
        <f ca="1">AA58</f>
        <v>350</v>
      </c>
      <c r="AB44" s="376"/>
      <c r="AC44" s="377" t="s">
        <v>632</v>
      </c>
      <c r="AD44" s="378">
        <f ca="1">AD58</f>
        <v>350</v>
      </c>
      <c r="AE44" s="376"/>
      <c r="AF44" s="377" t="s">
        <v>632</v>
      </c>
      <c r="AG44" s="378">
        <f ca="1">AG58</f>
        <v>350</v>
      </c>
      <c r="AH44" s="376"/>
      <c r="AI44" s="377" t="s">
        <v>632</v>
      </c>
      <c r="AJ44" s="378">
        <f ca="1">AJ58</f>
        <v>350</v>
      </c>
      <c r="AM44" s="221"/>
      <c r="AN44" s="380" t="str">
        <f ca="1">IF(Giocatori!E51=0,"",Giocatori!E51)</f>
        <v>RAFAEL</v>
      </c>
      <c r="AO44" s="221"/>
      <c r="AP44" s="380" t="str">
        <f ca="1">IF(Giocatori!H51=0,"",Giocatori!H51)</f>
        <v>CASTAN</v>
      </c>
      <c r="AQ44" s="221"/>
      <c r="AR44" s="380" t="str">
        <f ca="1">IF(Giocatori!K51=0,"",Giocatori!K51)</f>
        <v>CROCIATA</v>
      </c>
      <c r="AS44" s="221"/>
      <c r="AT44" s="380" t="str">
        <f ca="1">IF(Giocatori!N51=0,"",Giocatori!N51)</f>
        <v>KALINIC</v>
      </c>
      <c r="AU44" s="221"/>
      <c r="AV44" s="380" t="str">
        <f ca="1">IF(Giocatori!Q51=0,"",Giocatori!Q51)</f>
        <v/>
      </c>
      <c r="AX44" s="1" t="str">
        <f t="shared" ca="1" si="53"/>
        <v>RAFAEL</v>
      </c>
      <c r="AY44" s="381">
        <f t="shared" ca="1" si="1"/>
        <v>44</v>
      </c>
      <c r="AZ44" s="381" t="str">
        <f t="shared" ca="1" si="54"/>
        <v>RAFAEL</v>
      </c>
      <c r="BA44" s="379" t="str">
        <f t="shared" ca="1" si="64"/>
        <v/>
      </c>
      <c r="BB44" s="1" t="str">
        <f t="shared" ca="1" si="55"/>
        <v>CASTAN</v>
      </c>
      <c r="BC44" s="381">
        <f t="shared" ca="1" si="15"/>
        <v>44</v>
      </c>
      <c r="BD44" s="381" t="str">
        <f t="shared" ca="1" si="56"/>
        <v>CASTAN</v>
      </c>
      <c r="BE44" s="379" t="str">
        <f t="shared" ca="1" si="65"/>
        <v/>
      </c>
      <c r="BF44" s="1" t="str">
        <f t="shared" ca="1" si="57"/>
        <v>CROCIATA</v>
      </c>
      <c r="BG44" s="381">
        <f t="shared" ca="1" si="16"/>
        <v>44</v>
      </c>
      <c r="BH44" s="381" t="str">
        <f t="shared" ca="1" si="58"/>
        <v>CROCIATA</v>
      </c>
      <c r="BI44" s="379" t="str">
        <f t="shared" ca="1" si="66"/>
        <v/>
      </c>
      <c r="BJ44" s="1" t="str">
        <f t="shared" ca="1" si="60"/>
        <v>KALINIC</v>
      </c>
      <c r="BK44" s="381">
        <f t="shared" ca="1" si="17"/>
        <v>44</v>
      </c>
      <c r="BL44" s="381" t="str">
        <f t="shared" ca="1" si="61"/>
        <v>KALINIC</v>
      </c>
      <c r="BM44" s="379" t="str">
        <f t="shared" ref="BM44:BM53" ca="1" si="67">IF(N30=0,"",N30)</f>
        <v/>
      </c>
      <c r="BN44" s="1" t="str">
        <f t="shared" ca="1" si="62"/>
        <v/>
      </c>
      <c r="BO44" s="381">
        <f t="shared" ca="1" si="18"/>
        <v>1</v>
      </c>
      <c r="BP44" s="381">
        <f t="shared" ca="1" si="63"/>
        <v>0</v>
      </c>
    </row>
    <row r="45" spans="1:68" ht="14.25">
      <c r="A45" s="533" t="s">
        <v>44</v>
      </c>
      <c r="B45" s="533"/>
      <c r="C45" s="534"/>
      <c r="D45" s="533" t="s">
        <v>44</v>
      </c>
      <c r="E45" s="533"/>
      <c r="F45" s="534"/>
      <c r="G45" s="533" t="s">
        <v>44</v>
      </c>
      <c r="H45" s="533"/>
      <c r="I45" s="534"/>
      <c r="J45" s="533" t="s">
        <v>44</v>
      </c>
      <c r="K45" s="533"/>
      <c r="L45" s="534"/>
      <c r="M45" s="533" t="s">
        <v>44</v>
      </c>
      <c r="N45" s="533"/>
      <c r="O45" s="534"/>
      <c r="P45" s="533" t="s">
        <v>44</v>
      </c>
      <c r="Q45" s="533"/>
      <c r="R45" s="534"/>
      <c r="S45" s="533" t="s">
        <v>44</v>
      </c>
      <c r="T45" s="533"/>
      <c r="U45" s="534"/>
      <c r="V45" s="533" t="s">
        <v>44</v>
      </c>
      <c r="W45" s="533"/>
      <c r="X45" s="534"/>
      <c r="Y45" s="533" t="s">
        <v>44</v>
      </c>
      <c r="Z45" s="533"/>
      <c r="AA45" s="534"/>
      <c r="AB45" s="533" t="s">
        <v>44</v>
      </c>
      <c r="AC45" s="533"/>
      <c r="AD45" s="534"/>
      <c r="AE45" s="533" t="s">
        <v>44</v>
      </c>
      <c r="AF45" s="533"/>
      <c r="AG45" s="534"/>
      <c r="AH45" s="533" t="s">
        <v>44</v>
      </c>
      <c r="AI45" s="533"/>
      <c r="AJ45" s="534"/>
      <c r="AM45" s="221"/>
      <c r="AN45" s="231" t="str">
        <f ca="1">IF(Giocatori!E52=0,"",Giocatori!E52)</f>
        <v>RAFAEL CABRAL</v>
      </c>
      <c r="AO45" s="221"/>
      <c r="AP45" s="231" t="str">
        <f ca="1">IF(Giocatori!H52=0,"",Giocatori!H52)</f>
        <v>CECCHERINI</v>
      </c>
      <c r="AQ45" s="221"/>
      <c r="AR45" s="231" t="str">
        <f ca="1">IF(Giocatori!K52=0,"",Giocatori!K52)</f>
        <v>CUADRADO</v>
      </c>
      <c r="AS45" s="221"/>
      <c r="AT45" s="231" t="str">
        <f ca="1">IF(Giocatori!N52=0,"",Giocatori!N52)</f>
        <v>KARAMOH</v>
      </c>
      <c r="AU45" s="221"/>
      <c r="AV45" s="231" t="str">
        <f ca="1">IF(Giocatori!Q52=0,"",Giocatori!Q52)</f>
        <v/>
      </c>
      <c r="AX45" t="str">
        <f t="shared" ca="1" si="53"/>
        <v>RAFAEL CABRAL</v>
      </c>
      <c r="AY45" s="7">
        <f t="shared" ca="1" si="1"/>
        <v>45</v>
      </c>
      <c r="AZ45" s="7" t="str">
        <f t="shared" ca="1" si="54"/>
        <v>RAFAEL CABRAL</v>
      </c>
      <c r="BA45" s="4" t="str">
        <f t="shared" ca="1" si="64"/>
        <v/>
      </c>
      <c r="BB45" t="str">
        <f t="shared" ca="1" si="55"/>
        <v>CECCHERINI</v>
      </c>
      <c r="BC45" s="7">
        <f t="shared" ca="1" si="15"/>
        <v>45</v>
      </c>
      <c r="BD45" s="7" t="str">
        <f t="shared" ca="1" si="56"/>
        <v>CECCHERINI</v>
      </c>
      <c r="BE45" s="4" t="str">
        <f t="shared" ca="1" si="65"/>
        <v/>
      </c>
      <c r="BF45" t="str">
        <f t="shared" ca="1" si="57"/>
        <v>CUADRADO</v>
      </c>
      <c r="BG45" s="7">
        <f t="shared" ca="1" si="16"/>
        <v>45</v>
      </c>
      <c r="BH45" s="7" t="str">
        <f t="shared" ca="1" si="58"/>
        <v>CUADRADO</v>
      </c>
      <c r="BI45" s="4" t="str">
        <f t="shared" ca="1" si="66"/>
        <v/>
      </c>
      <c r="BJ45" t="str">
        <f t="shared" ca="1" si="60"/>
        <v>KARAMOH</v>
      </c>
      <c r="BK45" s="7">
        <f t="shared" ca="1" si="17"/>
        <v>45</v>
      </c>
      <c r="BL45" s="7" t="str">
        <f t="shared" ca="1" si="61"/>
        <v>KARAMOH</v>
      </c>
      <c r="BM45" s="4" t="str">
        <f t="shared" ca="1" si="67"/>
        <v/>
      </c>
      <c r="BN45" t="str">
        <f t="shared" ca="1" si="62"/>
        <v/>
      </c>
      <c r="BO45" s="7">
        <f t="shared" ca="1" si="18"/>
        <v>1</v>
      </c>
      <c r="BP45" s="7">
        <f t="shared" ca="1" si="63"/>
        <v>0</v>
      </c>
    </row>
    <row r="46" spans="1:68" ht="14.25">
      <c r="A46" s="8" t="str">
        <f>IF(Asta!$AE$3&lt;AK46,"","A")</f>
        <v>A</v>
      </c>
      <c r="B46" s="9" t="str">
        <f ca="1">IF(A46="","",IF(ISNA(MATCH(A$3&amp;A46&amp;$AK46,Asta!$I:$I,0)),"",INDIRECT("Asta!B"&amp;MATCH(A$3&amp;A46&amp;$AK46,Asta!$I:$I,0))))</f>
        <v/>
      </c>
      <c r="C46" s="10" t="str">
        <f ca="1">IF(B46="","",IF(ISNA(MATCH(A$3&amp;A46&amp;$AK46,Asta!$I:$I,0)),"",INDIRECT("Asta!H"&amp;MATCH(A$3&amp;A46&amp;$AK46,Asta!$I:$I,0))))</f>
        <v/>
      </c>
      <c r="D46" s="384" t="str">
        <f t="shared" ref="D46:D53" si="68">A46</f>
        <v>A</v>
      </c>
      <c r="E46" s="9" t="str">
        <f ca="1">IF(D46="","",IF(ISNA(MATCH(D$3&amp;D46&amp;$AK46,Asta!$I:$I,0)),"",INDIRECT("Asta!B"&amp;MATCH(D$3&amp;D46&amp;$AK46,Asta!$I:$I,0))))</f>
        <v/>
      </c>
      <c r="F46" s="10" t="str">
        <f ca="1">IF(E46="","",IF(ISNA(MATCH(D$3&amp;D46&amp;$AK46,Asta!$I:$I,0)),"",INDIRECT("Asta!H"&amp;MATCH(D$3&amp;D46&amp;$AK46,Asta!$I:$I,0))))</f>
        <v/>
      </c>
      <c r="G46" s="384" t="str">
        <f>D46</f>
        <v>A</v>
      </c>
      <c r="H46" s="9" t="str">
        <f ca="1">IF(G46="","",IF(ISNA(MATCH(G$3&amp;G46&amp;$AK46,Asta!$I:$I,0)),"",INDIRECT("Asta!B"&amp;MATCH(G$3&amp;G46&amp;$AK46,Asta!$I:$I,0))))</f>
        <v/>
      </c>
      <c r="I46" s="10" t="str">
        <f ca="1">IF(H46="","",IF(ISNA(MATCH(G$3&amp;G46&amp;$AK46,Asta!$I:$I,0)),"",INDIRECT("Asta!H"&amp;MATCH(G$3&amp;G46&amp;$AK46,Asta!$I:$I,0))))</f>
        <v/>
      </c>
      <c r="J46" s="384" t="str">
        <f>G46</f>
        <v>A</v>
      </c>
      <c r="K46" s="9" t="str">
        <f ca="1">IF(J46="","",IF(ISNA(MATCH(J$3&amp;J46&amp;$AK46,Asta!$I:$I,0)),"",INDIRECT("Asta!B"&amp;MATCH(J$3&amp;J46&amp;$AK46,Asta!$I:$I,0))))</f>
        <v/>
      </c>
      <c r="L46" s="10" t="str">
        <f ca="1">IF(K46="","",IF(ISNA(MATCH(J$3&amp;J46&amp;$AK46,Asta!$I:$I,0)),"",INDIRECT("Asta!H"&amp;MATCH(J$3&amp;J46&amp;$AK46,Asta!$I:$I,0))))</f>
        <v/>
      </c>
      <c r="M46" s="384" t="str">
        <f>J46</f>
        <v>A</v>
      </c>
      <c r="N46" s="9" t="str">
        <f ca="1">IF(M46="","",IF(ISNA(MATCH(M$3&amp;M46&amp;$AK46,Asta!$I:$I,0)),"",INDIRECT("Asta!B"&amp;MATCH(M$3&amp;M46&amp;$AK46,Asta!$I:$I,0))))</f>
        <v/>
      </c>
      <c r="O46" s="10" t="str">
        <f ca="1">IF(N46="","",IF(ISNA(MATCH(M$3&amp;M46&amp;$AK46,Asta!$I:$I,0)),"",INDIRECT("Asta!H"&amp;MATCH(M$3&amp;M46&amp;$AK46,Asta!$I:$I,0))))</f>
        <v/>
      </c>
      <c r="P46" s="384" t="str">
        <f>M46</f>
        <v>A</v>
      </c>
      <c r="Q46" s="9" t="str">
        <f ca="1">IF(P46="","",IF(ISNA(MATCH(P$3&amp;P46&amp;$AK46,Asta!$I:$I,0)),"",INDIRECT("Asta!B"&amp;MATCH(P$3&amp;P46&amp;$AK46,Asta!$I:$I,0))))</f>
        <v/>
      </c>
      <c r="R46" s="10" t="str">
        <f ca="1">IF(Q46="","",IF(ISNA(MATCH(P$3&amp;P46&amp;$AK46,Asta!$I:$I,0)),"",INDIRECT("Asta!H"&amp;MATCH(P$3&amp;P46&amp;$AK46,Asta!$I:$I,0))))</f>
        <v/>
      </c>
      <c r="S46" s="384" t="str">
        <f>P46</f>
        <v>A</v>
      </c>
      <c r="T46" s="9" t="str">
        <f ca="1">IF(S46="","",IF(ISNA(MATCH(S$3&amp;S46&amp;$AK46,Asta!$I:$I,0)),"",INDIRECT("Asta!B"&amp;MATCH(S$3&amp;S46&amp;$AK46,Asta!$I:$I,0))))</f>
        <v/>
      </c>
      <c r="U46" s="10" t="str">
        <f ca="1">IF(T46="","",IF(ISNA(MATCH(S$3&amp;S46&amp;$AK46,Asta!$I:$I,0)),"",INDIRECT("Asta!H"&amp;MATCH(S$3&amp;S46&amp;$AK46,Asta!$I:$I,0))))</f>
        <v/>
      </c>
      <c r="V46" s="384" t="str">
        <f>S46</f>
        <v>A</v>
      </c>
      <c r="W46" s="9" t="str">
        <f ca="1">IF(V46="","",IF(ISNA(MATCH(V$3&amp;V46&amp;$AK46,Asta!$I:$I,0)),"",INDIRECT("Asta!B"&amp;MATCH(V$3&amp;V46&amp;$AK46,Asta!$I:$I,0))))</f>
        <v/>
      </c>
      <c r="X46" s="10" t="str">
        <f ca="1">IF(W46="","",IF(ISNA(MATCH(V$3&amp;V46&amp;$AK46,Asta!$I:$I,0)),"",INDIRECT("Asta!H"&amp;MATCH(V$3&amp;V46&amp;$AK46,Asta!$I:$I,0))))</f>
        <v/>
      </c>
      <c r="Y46" s="384" t="str">
        <f>V46</f>
        <v>A</v>
      </c>
      <c r="Z46" s="9" t="str">
        <f ca="1">IF(Y46="","",IF(ISNA(MATCH(Y$3&amp;Y46&amp;$AK46,Asta!$I:$I,0)),"",INDIRECT("Asta!B"&amp;MATCH(Y$3&amp;Y46&amp;$AK46,Asta!$I:$I,0))))</f>
        <v/>
      </c>
      <c r="AA46" s="10" t="str">
        <f ca="1">IF(Z46="","",IF(ISNA(MATCH(Y$3&amp;Y46&amp;$AK46,Asta!$I:$I,0)),"",INDIRECT("Asta!H"&amp;MATCH(Y$3&amp;Y46&amp;$AK46,Asta!$I:$I,0))))</f>
        <v/>
      </c>
      <c r="AB46" s="384" t="str">
        <f>Y46</f>
        <v>A</v>
      </c>
      <c r="AC46" s="9" t="str">
        <f ca="1">IF(AB46="","",IF(ISNA(MATCH(AB$3&amp;AB46&amp;$AK46,Asta!$I:$I,0)),"",INDIRECT("Asta!B"&amp;MATCH(AB$3&amp;AB46&amp;$AK46,Asta!$I:$I,0))))</f>
        <v/>
      </c>
      <c r="AD46" s="10" t="str">
        <f ca="1">IF(AC46="","",IF(ISNA(MATCH(AB$3&amp;AB46&amp;$AK46,Asta!$I:$I,0)),"",INDIRECT("Asta!H"&amp;MATCH(AB$3&amp;AB46&amp;$AK46,Asta!$I:$I,0))))</f>
        <v/>
      </c>
      <c r="AE46" s="384" t="str">
        <f>AB46</f>
        <v>A</v>
      </c>
      <c r="AF46" s="9" t="str">
        <f ca="1">IF(AE46="","",IF(ISNA(MATCH(AE$3&amp;AE46&amp;$AK46,Asta!$I:$I,0)),"",INDIRECT("Asta!B"&amp;MATCH(AE$3&amp;AE46&amp;$AK46,Asta!$I:$I,0))))</f>
        <v/>
      </c>
      <c r="AG46" s="10" t="str">
        <f ca="1">IF(AF46="","",IF(ISNA(MATCH(AE$3&amp;AE46&amp;$AK46,Asta!$I:$I,0)),"",INDIRECT("Asta!H"&amp;MATCH(AE$3&amp;AE46&amp;$AK46,Asta!$I:$I,0))))</f>
        <v/>
      </c>
      <c r="AH46" s="384" t="str">
        <f>AE46</f>
        <v>A</v>
      </c>
      <c r="AI46" s="9" t="str">
        <f ca="1">IF(AH46="","",IF(ISNA(MATCH(AH$3&amp;AH46&amp;$AK46,Asta!$I:$I,0)),"",INDIRECT("Asta!B"&amp;MATCH(AH$3&amp;AH46&amp;$AK46,Asta!$I:$I,0))))</f>
        <v/>
      </c>
      <c r="AJ46" s="10" t="str">
        <f ca="1">IF(AI46="","",IF(ISNA(MATCH(AH$3&amp;AH46&amp;$AK46,Asta!$I:$I,0)),"",INDIRECT("Asta!H"&amp;MATCH(AH$3&amp;AH46&amp;$AK46,Asta!$I:$I,0))))</f>
        <v/>
      </c>
      <c r="AK46" s="4">
        <v>1</v>
      </c>
      <c r="AM46" s="221"/>
      <c r="AN46" s="231" t="str">
        <f ca="1">IF(Giocatori!E53=0,"",Giocatori!E53)</f>
        <v>REINA</v>
      </c>
      <c r="AO46" s="221"/>
      <c r="AP46" s="231" t="str">
        <f ca="1">IF(Giocatori!H53=0,"",Giocatori!H53)</f>
        <v>CEPPITELLI</v>
      </c>
      <c r="AQ46" s="221"/>
      <c r="AR46" s="231" t="str">
        <f ca="1">IF(Giocatori!K53=0,"",Giocatori!K53)</f>
        <v>D'ALESSANDRO</v>
      </c>
      <c r="AS46" s="221"/>
      <c r="AT46" s="231" t="str">
        <f ca="1">IF(Giocatori!N53=0,"",Giocatori!N53)</f>
        <v>KEAN</v>
      </c>
      <c r="AU46" s="221"/>
      <c r="AV46" s="231" t="str">
        <f ca="1">IF(Giocatori!Q53=0,"",Giocatori!Q53)</f>
        <v/>
      </c>
      <c r="AX46" t="str">
        <f t="shared" ca="1" si="53"/>
        <v>REINA</v>
      </c>
      <c r="AY46" s="7">
        <f t="shared" ca="1" si="1"/>
        <v>46</v>
      </c>
      <c r="AZ46" s="7" t="str">
        <f t="shared" ca="1" si="54"/>
        <v>REINA</v>
      </c>
      <c r="BA46" s="4" t="str">
        <f t="shared" ca="1" si="64"/>
        <v/>
      </c>
      <c r="BB46" t="str">
        <f t="shared" ca="1" si="55"/>
        <v>CEPPITELLI</v>
      </c>
      <c r="BC46" s="7">
        <f t="shared" ca="1" si="15"/>
        <v>46</v>
      </c>
      <c r="BD46" s="7" t="str">
        <f t="shared" ca="1" si="56"/>
        <v>CEPPITELLI</v>
      </c>
      <c r="BE46" s="4" t="str">
        <f t="shared" ca="1" si="65"/>
        <v/>
      </c>
      <c r="BF46" t="str">
        <f t="shared" ca="1" si="57"/>
        <v>D'ALESSANDRO</v>
      </c>
      <c r="BG46" s="7">
        <f t="shared" ca="1" si="16"/>
        <v>46</v>
      </c>
      <c r="BH46" s="7" t="str">
        <f t="shared" ca="1" si="58"/>
        <v>D'ALESSANDRO</v>
      </c>
      <c r="BI46" s="4" t="str">
        <f t="shared" ca="1" si="66"/>
        <v/>
      </c>
      <c r="BJ46" t="str">
        <f t="shared" ca="1" si="60"/>
        <v>KEAN</v>
      </c>
      <c r="BK46" s="7">
        <f t="shared" ca="1" si="17"/>
        <v>46</v>
      </c>
      <c r="BL46" s="7" t="str">
        <f t="shared" ca="1" si="61"/>
        <v>KEAN</v>
      </c>
      <c r="BM46" s="4" t="str">
        <f t="shared" ca="1" si="67"/>
        <v/>
      </c>
      <c r="BN46" t="str">
        <f t="shared" ca="1" si="62"/>
        <v/>
      </c>
      <c r="BO46" s="7">
        <f t="shared" ca="1" si="18"/>
        <v>1</v>
      </c>
      <c r="BP46" s="7">
        <f t="shared" ca="1" si="63"/>
        <v>0</v>
      </c>
    </row>
    <row r="47" spans="1:68" ht="14.25">
      <c r="A47" s="8" t="str">
        <f>IF(Asta!$AE$3&lt;AK47,"","A")</f>
        <v>A</v>
      </c>
      <c r="B47" s="9" t="str">
        <f ca="1">IF(A47="","",IF(ISNA(MATCH(A$3&amp;A47&amp;$AK47,Asta!$I:$I,0)),"",INDIRECT("Asta!B"&amp;MATCH(A$3&amp;A47&amp;$AK47,Asta!$I:$I,0))))</f>
        <v/>
      </c>
      <c r="C47" s="10" t="str">
        <f ca="1">IF(B47="","",IF(ISNA(MATCH(A$3&amp;A47&amp;$AK47,Asta!$I:$I,0)),"",INDIRECT("Asta!H"&amp;MATCH(A$3&amp;A47&amp;$AK47,Asta!$I:$I,0))))</f>
        <v/>
      </c>
      <c r="D47" s="384" t="str">
        <f t="shared" si="68"/>
        <v>A</v>
      </c>
      <c r="E47" s="9" t="str">
        <f ca="1">IF(D47="","",IF(ISNA(MATCH(D$3&amp;D47&amp;$AK47,Asta!$I:$I,0)),"",INDIRECT("Asta!B"&amp;MATCH(D$3&amp;D47&amp;$AK47,Asta!$I:$I,0))))</f>
        <v/>
      </c>
      <c r="F47" s="10" t="str">
        <f ca="1">IF(E47="","",IF(ISNA(MATCH(D$3&amp;D47&amp;$AK47,Asta!$I:$I,0)),"",INDIRECT("Asta!H"&amp;MATCH(D$3&amp;D47&amp;$AK47,Asta!$I:$I,0))))</f>
        <v/>
      </c>
      <c r="G47" s="384" t="str">
        <f t="shared" ref="G47:G53" si="69">D47</f>
        <v>A</v>
      </c>
      <c r="H47" s="9" t="str">
        <f ca="1">IF(G47="","",IF(ISNA(MATCH(G$3&amp;G47&amp;$AK47,Asta!$I:$I,0)),"",INDIRECT("Asta!B"&amp;MATCH(G$3&amp;G47&amp;$AK47,Asta!$I:$I,0))))</f>
        <v/>
      </c>
      <c r="I47" s="10" t="str">
        <f ca="1">IF(H47="","",IF(ISNA(MATCH(G$3&amp;G47&amp;$AK47,Asta!$I:$I,0)),"",INDIRECT("Asta!H"&amp;MATCH(G$3&amp;G47&amp;$AK47,Asta!$I:$I,0))))</f>
        <v/>
      </c>
      <c r="J47" s="384" t="str">
        <f t="shared" ref="J47:J53" si="70">G47</f>
        <v>A</v>
      </c>
      <c r="K47" s="9" t="str">
        <f ca="1">IF(J47="","",IF(ISNA(MATCH(J$3&amp;J47&amp;$AK47,Asta!$I:$I,0)),"",INDIRECT("Asta!B"&amp;MATCH(J$3&amp;J47&amp;$AK47,Asta!$I:$I,0))))</f>
        <v/>
      </c>
      <c r="L47" s="10" t="str">
        <f ca="1">IF(K47="","",IF(ISNA(MATCH(J$3&amp;J47&amp;$AK47,Asta!$I:$I,0)),"",INDIRECT("Asta!H"&amp;MATCH(J$3&amp;J47&amp;$AK47,Asta!$I:$I,0))))</f>
        <v/>
      </c>
      <c r="M47" s="384" t="str">
        <f t="shared" ref="M47:M53" si="71">J47</f>
        <v>A</v>
      </c>
      <c r="N47" s="9" t="str">
        <f ca="1">IF(M47="","",IF(ISNA(MATCH(M$3&amp;M47&amp;$AK47,Asta!$I:$I,0)),"",INDIRECT("Asta!B"&amp;MATCH(M$3&amp;M47&amp;$AK47,Asta!$I:$I,0))))</f>
        <v/>
      </c>
      <c r="O47" s="10" t="str">
        <f ca="1">IF(N47="","",IF(ISNA(MATCH(M$3&amp;M47&amp;$AK47,Asta!$I:$I,0)),"",INDIRECT("Asta!H"&amp;MATCH(M$3&amp;M47&amp;$AK47,Asta!$I:$I,0))))</f>
        <v/>
      </c>
      <c r="P47" s="384" t="str">
        <f t="shared" ref="P47:P53" si="72">M47</f>
        <v>A</v>
      </c>
      <c r="Q47" s="9" t="str">
        <f ca="1">IF(P47="","",IF(ISNA(MATCH(P$3&amp;P47&amp;$AK47,Asta!$I:$I,0)),"",INDIRECT("Asta!B"&amp;MATCH(P$3&amp;P47&amp;$AK47,Asta!$I:$I,0))))</f>
        <v/>
      </c>
      <c r="R47" s="10" t="str">
        <f ca="1">IF(Q47="","",IF(ISNA(MATCH(P$3&amp;P47&amp;$AK47,Asta!$I:$I,0)),"",INDIRECT("Asta!H"&amp;MATCH(P$3&amp;P47&amp;$AK47,Asta!$I:$I,0))))</f>
        <v/>
      </c>
      <c r="S47" s="384" t="str">
        <f t="shared" ref="S47:S53" si="73">P47</f>
        <v>A</v>
      </c>
      <c r="T47" s="9" t="str">
        <f ca="1">IF(S47="","",IF(ISNA(MATCH(S$3&amp;S47&amp;$AK47,Asta!$I:$I,0)),"",INDIRECT("Asta!B"&amp;MATCH(S$3&amp;S47&amp;$AK47,Asta!$I:$I,0))))</f>
        <v/>
      </c>
      <c r="U47" s="10" t="str">
        <f ca="1">IF(T47="","",IF(ISNA(MATCH(S$3&amp;S47&amp;$AK47,Asta!$I:$I,0)),"",INDIRECT("Asta!H"&amp;MATCH(S$3&amp;S47&amp;$AK47,Asta!$I:$I,0))))</f>
        <v/>
      </c>
      <c r="V47" s="384" t="str">
        <f t="shared" ref="V47:V53" si="74">S47</f>
        <v>A</v>
      </c>
      <c r="W47" s="9" t="str">
        <f ca="1">IF(V47="","",IF(ISNA(MATCH(V$3&amp;V47&amp;$AK47,Asta!$I:$I,0)),"",INDIRECT("Asta!B"&amp;MATCH(V$3&amp;V47&amp;$AK47,Asta!$I:$I,0))))</f>
        <v/>
      </c>
      <c r="X47" s="10" t="str">
        <f ca="1">IF(W47="","",IF(ISNA(MATCH(V$3&amp;V47&amp;$AK47,Asta!$I:$I,0)),"",INDIRECT("Asta!H"&amp;MATCH(V$3&amp;V47&amp;$AK47,Asta!$I:$I,0))))</f>
        <v/>
      </c>
      <c r="Y47" s="384" t="str">
        <f t="shared" ref="Y47:Y53" si="75">V47</f>
        <v>A</v>
      </c>
      <c r="Z47" s="9" t="str">
        <f ca="1">IF(Y47="","",IF(ISNA(MATCH(Y$3&amp;Y47&amp;$AK47,Asta!$I:$I,0)),"",INDIRECT("Asta!B"&amp;MATCH(Y$3&amp;Y47&amp;$AK47,Asta!$I:$I,0))))</f>
        <v/>
      </c>
      <c r="AA47" s="10" t="str">
        <f ca="1">IF(Z47="","",IF(ISNA(MATCH(Y$3&amp;Y47&amp;$AK47,Asta!$I:$I,0)),"",INDIRECT("Asta!H"&amp;MATCH(Y$3&amp;Y47&amp;$AK47,Asta!$I:$I,0))))</f>
        <v/>
      </c>
      <c r="AB47" s="384" t="str">
        <f t="shared" ref="AB47:AB53" si="76">Y47</f>
        <v>A</v>
      </c>
      <c r="AC47" s="9" t="str">
        <f ca="1">IF(AB47="","",IF(ISNA(MATCH(AB$3&amp;AB47&amp;$AK47,Asta!$I:$I,0)),"",INDIRECT("Asta!B"&amp;MATCH(AB$3&amp;AB47&amp;$AK47,Asta!$I:$I,0))))</f>
        <v/>
      </c>
      <c r="AD47" s="10" t="str">
        <f ca="1">IF(AC47="","",IF(ISNA(MATCH(AB$3&amp;AB47&amp;$AK47,Asta!$I:$I,0)),"",INDIRECT("Asta!H"&amp;MATCH(AB$3&amp;AB47&amp;$AK47,Asta!$I:$I,0))))</f>
        <v/>
      </c>
      <c r="AE47" s="384" t="str">
        <f t="shared" ref="AE47:AE53" si="77">AB47</f>
        <v>A</v>
      </c>
      <c r="AF47" s="9" t="str">
        <f ca="1">IF(AE47="","",IF(ISNA(MATCH(AE$3&amp;AE47&amp;$AK47,Asta!$I:$I,0)),"",INDIRECT("Asta!B"&amp;MATCH(AE$3&amp;AE47&amp;$AK47,Asta!$I:$I,0))))</f>
        <v/>
      </c>
      <c r="AG47" s="10" t="str">
        <f ca="1">IF(AF47="","",IF(ISNA(MATCH(AE$3&amp;AE47&amp;$AK47,Asta!$I:$I,0)),"",INDIRECT("Asta!H"&amp;MATCH(AE$3&amp;AE47&amp;$AK47,Asta!$I:$I,0))))</f>
        <v/>
      </c>
      <c r="AH47" s="384" t="str">
        <f t="shared" ref="AH47:AH53" si="78">AE47</f>
        <v>A</v>
      </c>
      <c r="AI47" s="9" t="str">
        <f ca="1">IF(AH47="","",IF(ISNA(MATCH(AH$3&amp;AH47&amp;$AK47,Asta!$I:$I,0)),"",INDIRECT("Asta!B"&amp;MATCH(AH$3&amp;AH47&amp;$AK47,Asta!$I:$I,0))))</f>
        <v/>
      </c>
      <c r="AJ47" s="10" t="str">
        <f ca="1">IF(AI47="","",IF(ISNA(MATCH(AH$3&amp;AH47&amp;$AK47,Asta!$I:$I,0)),"",INDIRECT("Asta!H"&amp;MATCH(AH$3&amp;AH47&amp;$AK47,Asta!$I:$I,0))))</f>
        <v/>
      </c>
      <c r="AK47" s="4">
        <v>2</v>
      </c>
      <c r="AM47" s="221"/>
      <c r="AN47" s="231" t="str">
        <f ca="1">IF(Giocatori!E54=0,"",Giocatori!E54)</f>
        <v>ROSSI F</v>
      </c>
      <c r="AO47" s="221"/>
      <c r="AP47" s="231" t="str">
        <f ca="1">IF(Giocatori!H54=0,"",Giocatori!H54)</f>
        <v>CESAR</v>
      </c>
      <c r="AQ47" s="221"/>
      <c r="AR47" s="231" t="str">
        <f ca="1">IF(Giocatori!K54=0,"",Giocatori!K54)</f>
        <v>DE PAUL</v>
      </c>
      <c r="AS47" s="221"/>
      <c r="AT47" s="231" t="str">
        <f ca="1">IF(Giocatori!N54=0,"",Giocatori!N54)</f>
        <v>KOTNIK</v>
      </c>
      <c r="AU47" s="221"/>
      <c r="AV47" s="231" t="str">
        <f ca="1">IF(Giocatori!Q54=0,"",Giocatori!Q54)</f>
        <v/>
      </c>
      <c r="AX47" t="str">
        <f t="shared" ca="1" si="53"/>
        <v>ROSSI F</v>
      </c>
      <c r="AY47" s="7">
        <f t="shared" ca="1" si="1"/>
        <v>47</v>
      </c>
      <c r="AZ47" s="7" t="str">
        <f t="shared" ca="1" si="54"/>
        <v>ROSSI F</v>
      </c>
      <c r="BA47" s="4" t="str">
        <f t="shared" ca="1" si="64"/>
        <v/>
      </c>
      <c r="BB47" t="str">
        <f t="shared" ca="1" si="55"/>
        <v>CESAR</v>
      </c>
      <c r="BC47" s="7">
        <f t="shared" ca="1" si="15"/>
        <v>47</v>
      </c>
      <c r="BD47" s="7" t="str">
        <f t="shared" ca="1" si="56"/>
        <v>CESAR</v>
      </c>
      <c r="BE47" s="4" t="str">
        <f t="shared" ca="1" si="65"/>
        <v/>
      </c>
      <c r="BF47" t="str">
        <f t="shared" ca="1" si="57"/>
        <v>DE PAUL</v>
      </c>
      <c r="BG47" s="7">
        <f t="shared" ca="1" si="16"/>
        <v>47</v>
      </c>
      <c r="BH47" s="7" t="str">
        <f t="shared" ca="1" si="58"/>
        <v>DE PAUL</v>
      </c>
      <c r="BI47" s="4" t="str">
        <f t="shared" ca="1" si="66"/>
        <v/>
      </c>
      <c r="BJ47" t="str">
        <f t="shared" ca="1" si="60"/>
        <v>KOTNIK</v>
      </c>
      <c r="BK47" s="7">
        <f t="shared" ca="1" si="17"/>
        <v>47</v>
      </c>
      <c r="BL47" s="7" t="str">
        <f t="shared" ca="1" si="61"/>
        <v>KOTNIK</v>
      </c>
      <c r="BM47" s="4" t="str">
        <f t="shared" ca="1" si="67"/>
        <v/>
      </c>
      <c r="BN47" t="str">
        <f t="shared" ca="1" si="62"/>
        <v/>
      </c>
      <c r="BO47" s="7">
        <f t="shared" ca="1" si="18"/>
        <v>1</v>
      </c>
      <c r="BP47" s="7">
        <f t="shared" ca="1" si="63"/>
        <v>0</v>
      </c>
    </row>
    <row r="48" spans="1:68" ht="14.25">
      <c r="A48" s="8" t="str">
        <f>IF(Asta!$AE$3&lt;AK48,"","A")</f>
        <v>A</v>
      </c>
      <c r="B48" s="9" t="str">
        <f ca="1">IF(A48="","",IF(ISNA(MATCH(A$3&amp;A48&amp;$AK48,Asta!$I:$I,0)),"",INDIRECT("Asta!B"&amp;MATCH(A$3&amp;A48&amp;$AK48,Asta!$I:$I,0))))</f>
        <v/>
      </c>
      <c r="C48" s="10" t="str">
        <f ca="1">IF(B48="","",IF(ISNA(MATCH(A$3&amp;A48&amp;$AK48,Asta!$I:$I,0)),"",INDIRECT("Asta!H"&amp;MATCH(A$3&amp;A48&amp;$AK48,Asta!$I:$I,0))))</f>
        <v/>
      </c>
      <c r="D48" s="384" t="str">
        <f t="shared" si="68"/>
        <v>A</v>
      </c>
      <c r="E48" s="9" t="str">
        <f ca="1">IF(D48="","",IF(ISNA(MATCH(D$3&amp;D48&amp;$AK48,Asta!$I:$I,0)),"",INDIRECT("Asta!B"&amp;MATCH(D$3&amp;D48&amp;$AK48,Asta!$I:$I,0))))</f>
        <v/>
      </c>
      <c r="F48" s="10" t="str">
        <f ca="1">IF(E48="","",IF(ISNA(MATCH(D$3&amp;D48&amp;$AK48,Asta!$I:$I,0)),"",INDIRECT("Asta!H"&amp;MATCH(D$3&amp;D48&amp;$AK48,Asta!$I:$I,0))))</f>
        <v/>
      </c>
      <c r="G48" s="384" t="str">
        <f t="shared" si="69"/>
        <v>A</v>
      </c>
      <c r="H48" s="9" t="str">
        <f ca="1">IF(G48="","",IF(ISNA(MATCH(G$3&amp;G48&amp;$AK48,Asta!$I:$I,0)),"",INDIRECT("Asta!B"&amp;MATCH(G$3&amp;G48&amp;$AK48,Asta!$I:$I,0))))</f>
        <v/>
      </c>
      <c r="I48" s="10" t="str">
        <f ca="1">IF(H48="","",IF(ISNA(MATCH(G$3&amp;G48&amp;$AK48,Asta!$I:$I,0)),"",INDIRECT("Asta!H"&amp;MATCH(G$3&amp;G48&amp;$AK48,Asta!$I:$I,0))))</f>
        <v/>
      </c>
      <c r="J48" s="384" t="str">
        <f t="shared" si="70"/>
        <v>A</v>
      </c>
      <c r="K48" s="9" t="str">
        <f ca="1">IF(J48="","",IF(ISNA(MATCH(J$3&amp;J48&amp;$AK48,Asta!$I:$I,0)),"",INDIRECT("Asta!B"&amp;MATCH(J$3&amp;J48&amp;$AK48,Asta!$I:$I,0))))</f>
        <v/>
      </c>
      <c r="L48" s="10" t="str">
        <f ca="1">IF(K48="","",IF(ISNA(MATCH(J$3&amp;J48&amp;$AK48,Asta!$I:$I,0)),"",INDIRECT("Asta!H"&amp;MATCH(J$3&amp;J48&amp;$AK48,Asta!$I:$I,0))))</f>
        <v/>
      </c>
      <c r="M48" s="384" t="str">
        <f t="shared" si="71"/>
        <v>A</v>
      </c>
      <c r="N48" s="9" t="str">
        <f ca="1">IF(M48="","",IF(ISNA(MATCH(M$3&amp;M48&amp;$AK48,Asta!$I:$I,0)),"",INDIRECT("Asta!B"&amp;MATCH(M$3&amp;M48&amp;$AK48,Asta!$I:$I,0))))</f>
        <v/>
      </c>
      <c r="O48" s="10" t="str">
        <f ca="1">IF(N48="","",IF(ISNA(MATCH(M$3&amp;M48&amp;$AK48,Asta!$I:$I,0)),"",INDIRECT("Asta!H"&amp;MATCH(M$3&amp;M48&amp;$AK48,Asta!$I:$I,0))))</f>
        <v/>
      </c>
      <c r="P48" s="384" t="str">
        <f t="shared" si="72"/>
        <v>A</v>
      </c>
      <c r="Q48" s="9" t="str">
        <f ca="1">IF(P48="","",IF(ISNA(MATCH(P$3&amp;P48&amp;$AK48,Asta!$I:$I,0)),"",INDIRECT("Asta!B"&amp;MATCH(P$3&amp;P48&amp;$AK48,Asta!$I:$I,0))))</f>
        <v/>
      </c>
      <c r="R48" s="10" t="str">
        <f ca="1">IF(Q48="","",IF(ISNA(MATCH(P$3&amp;P48&amp;$AK48,Asta!$I:$I,0)),"",INDIRECT("Asta!H"&amp;MATCH(P$3&amp;P48&amp;$AK48,Asta!$I:$I,0))))</f>
        <v/>
      </c>
      <c r="S48" s="384" t="str">
        <f t="shared" si="73"/>
        <v>A</v>
      </c>
      <c r="T48" s="9" t="str">
        <f ca="1">IF(S48="","",IF(ISNA(MATCH(S$3&amp;S48&amp;$AK48,Asta!$I:$I,0)),"",INDIRECT("Asta!B"&amp;MATCH(S$3&amp;S48&amp;$AK48,Asta!$I:$I,0))))</f>
        <v/>
      </c>
      <c r="U48" s="10" t="str">
        <f ca="1">IF(T48="","",IF(ISNA(MATCH(S$3&amp;S48&amp;$AK48,Asta!$I:$I,0)),"",INDIRECT("Asta!H"&amp;MATCH(S$3&amp;S48&amp;$AK48,Asta!$I:$I,0))))</f>
        <v/>
      </c>
      <c r="V48" s="384" t="str">
        <f t="shared" si="74"/>
        <v>A</v>
      </c>
      <c r="W48" s="9" t="str">
        <f ca="1">IF(V48="","",IF(ISNA(MATCH(V$3&amp;V48&amp;$AK48,Asta!$I:$I,0)),"",INDIRECT("Asta!B"&amp;MATCH(V$3&amp;V48&amp;$AK48,Asta!$I:$I,0))))</f>
        <v/>
      </c>
      <c r="X48" s="10" t="str">
        <f ca="1">IF(W48="","",IF(ISNA(MATCH(V$3&amp;V48&amp;$AK48,Asta!$I:$I,0)),"",INDIRECT("Asta!H"&amp;MATCH(V$3&amp;V48&amp;$AK48,Asta!$I:$I,0))))</f>
        <v/>
      </c>
      <c r="Y48" s="384" t="str">
        <f t="shared" si="75"/>
        <v>A</v>
      </c>
      <c r="Z48" s="9" t="str">
        <f ca="1">IF(Y48="","",IF(ISNA(MATCH(Y$3&amp;Y48&amp;$AK48,Asta!$I:$I,0)),"",INDIRECT("Asta!B"&amp;MATCH(Y$3&amp;Y48&amp;$AK48,Asta!$I:$I,0))))</f>
        <v/>
      </c>
      <c r="AA48" s="10" t="str">
        <f ca="1">IF(Z48="","",IF(ISNA(MATCH(Y$3&amp;Y48&amp;$AK48,Asta!$I:$I,0)),"",INDIRECT("Asta!H"&amp;MATCH(Y$3&amp;Y48&amp;$AK48,Asta!$I:$I,0))))</f>
        <v/>
      </c>
      <c r="AB48" s="384" t="str">
        <f t="shared" si="76"/>
        <v>A</v>
      </c>
      <c r="AC48" s="9" t="str">
        <f ca="1">IF(AB48="","",IF(ISNA(MATCH(AB$3&amp;AB48&amp;$AK48,Asta!$I:$I,0)),"",INDIRECT("Asta!B"&amp;MATCH(AB$3&amp;AB48&amp;$AK48,Asta!$I:$I,0))))</f>
        <v/>
      </c>
      <c r="AD48" s="10" t="str">
        <f ca="1">IF(AC48="","",IF(ISNA(MATCH(AB$3&amp;AB48&amp;$AK48,Asta!$I:$I,0)),"",INDIRECT("Asta!H"&amp;MATCH(AB$3&amp;AB48&amp;$AK48,Asta!$I:$I,0))))</f>
        <v/>
      </c>
      <c r="AE48" s="384" t="str">
        <f t="shared" si="77"/>
        <v>A</v>
      </c>
      <c r="AF48" s="9" t="str">
        <f ca="1">IF(AE48="","",IF(ISNA(MATCH(AE$3&amp;AE48&amp;$AK48,Asta!$I:$I,0)),"",INDIRECT("Asta!B"&amp;MATCH(AE$3&amp;AE48&amp;$AK48,Asta!$I:$I,0))))</f>
        <v/>
      </c>
      <c r="AG48" s="10" t="str">
        <f ca="1">IF(AF48="","",IF(ISNA(MATCH(AE$3&amp;AE48&amp;$AK48,Asta!$I:$I,0)),"",INDIRECT("Asta!H"&amp;MATCH(AE$3&amp;AE48&amp;$AK48,Asta!$I:$I,0))))</f>
        <v/>
      </c>
      <c r="AH48" s="384" t="str">
        <f t="shared" si="78"/>
        <v>A</v>
      </c>
      <c r="AI48" s="9" t="str">
        <f ca="1">IF(AH48="","",IF(ISNA(MATCH(AH$3&amp;AH48&amp;$AK48,Asta!$I:$I,0)),"",INDIRECT("Asta!B"&amp;MATCH(AH$3&amp;AH48&amp;$AK48,Asta!$I:$I,0))))</f>
        <v/>
      </c>
      <c r="AJ48" s="10" t="str">
        <f ca="1">IF(AI48="","",IF(ISNA(MATCH(AH$3&amp;AH48&amp;$AK48,Asta!$I:$I,0)),"",INDIRECT("Asta!H"&amp;MATCH(AH$3&amp;AH48&amp;$AK48,Asta!$I:$I,0))))</f>
        <v/>
      </c>
      <c r="AK48" s="4">
        <v>3</v>
      </c>
      <c r="AM48" s="221"/>
      <c r="AN48" s="231" t="str">
        <f ca="1">IF(Giocatori!E55=0,"",Giocatori!E55)</f>
        <v>SANTURRO</v>
      </c>
      <c r="AO48" s="221"/>
      <c r="AP48" s="231" t="str">
        <f ca="1">IF(Giocatori!H55=0,"",Giocatori!H55)</f>
        <v>CHERUBIN</v>
      </c>
      <c r="AQ48" s="221"/>
      <c r="AR48" s="231" t="str">
        <f ca="1">IF(Giocatori!K55=0,"",Giocatori!K55)</f>
        <v>DE ROON</v>
      </c>
      <c r="AS48" s="221"/>
      <c r="AT48" s="231" t="str">
        <f ca="1">IF(Giocatori!N55=0,"",Giocatori!N55)</f>
        <v>KOWNACKI</v>
      </c>
      <c r="AU48" s="221"/>
      <c r="AV48" s="231" t="str">
        <f ca="1">IF(Giocatori!Q55=0,"",Giocatori!Q55)</f>
        <v/>
      </c>
      <c r="AX48" t="str">
        <f t="shared" ca="1" si="53"/>
        <v>SANTURRO</v>
      </c>
      <c r="AY48" s="7">
        <f t="shared" ca="1" si="1"/>
        <v>48</v>
      </c>
      <c r="AZ48" s="7" t="str">
        <f t="shared" ca="1" si="54"/>
        <v>SANTURRO</v>
      </c>
      <c r="BA48" s="4" t="str">
        <f t="shared" ca="1" si="64"/>
        <v/>
      </c>
      <c r="BB48" t="str">
        <f t="shared" ca="1" si="55"/>
        <v>CHERUBIN</v>
      </c>
      <c r="BC48" s="7">
        <f t="shared" ca="1" si="15"/>
        <v>48</v>
      </c>
      <c r="BD48" s="7" t="str">
        <f t="shared" ca="1" si="56"/>
        <v>CHERUBIN</v>
      </c>
      <c r="BE48" s="4" t="str">
        <f t="shared" ca="1" si="65"/>
        <v/>
      </c>
      <c r="BF48" t="str">
        <f t="shared" ca="1" si="57"/>
        <v>DE ROON</v>
      </c>
      <c r="BG48" s="7">
        <f t="shared" ca="1" si="16"/>
        <v>48</v>
      </c>
      <c r="BH48" s="7" t="str">
        <f t="shared" ca="1" si="58"/>
        <v>DE ROON</v>
      </c>
      <c r="BI48" s="4" t="str">
        <f t="shared" ca="1" si="66"/>
        <v/>
      </c>
      <c r="BJ48" t="str">
        <f t="shared" ca="1" si="60"/>
        <v>KOWNACKI</v>
      </c>
      <c r="BK48" s="7">
        <f t="shared" ca="1" si="17"/>
        <v>48</v>
      </c>
      <c r="BL48" s="7" t="str">
        <f t="shared" ca="1" si="61"/>
        <v>KOWNACKI</v>
      </c>
      <c r="BM48" s="4" t="str">
        <f t="shared" ca="1" si="67"/>
        <v/>
      </c>
      <c r="BN48" t="str">
        <f t="shared" ca="1" si="62"/>
        <v/>
      </c>
      <c r="BO48" s="7">
        <f t="shared" ca="1" si="18"/>
        <v>1</v>
      </c>
      <c r="BP48" s="7">
        <f t="shared" ca="1" si="63"/>
        <v>0</v>
      </c>
    </row>
    <row r="49" spans="1:68" ht="14.25">
      <c r="A49" s="8" t="str">
        <f>IF(Asta!$AE$3&lt;AK49,"","A")</f>
        <v>A</v>
      </c>
      <c r="B49" s="9" t="str">
        <f ca="1">IF(A49="","",IF(ISNA(MATCH(A$3&amp;A49&amp;$AK49,Asta!$I:$I,0)),"",INDIRECT("Asta!B"&amp;MATCH(A$3&amp;A49&amp;$AK49,Asta!$I:$I,0))))</f>
        <v/>
      </c>
      <c r="C49" s="10" t="str">
        <f ca="1">IF(B49="","",IF(ISNA(MATCH(A$3&amp;A49&amp;$AK49,Asta!$I:$I,0)),"",INDIRECT("Asta!H"&amp;MATCH(A$3&amp;A49&amp;$AK49,Asta!$I:$I,0))))</f>
        <v/>
      </c>
      <c r="D49" s="384" t="str">
        <f t="shared" si="68"/>
        <v>A</v>
      </c>
      <c r="E49" s="9" t="str">
        <f ca="1">IF(D49="","",IF(ISNA(MATCH(D$3&amp;D49&amp;$AK49,Asta!$I:$I,0)),"",INDIRECT("Asta!B"&amp;MATCH(D$3&amp;D49&amp;$AK49,Asta!$I:$I,0))))</f>
        <v/>
      </c>
      <c r="F49" s="10" t="str">
        <f ca="1">IF(E49="","",IF(ISNA(MATCH(D$3&amp;D49&amp;$AK49,Asta!$I:$I,0)),"",INDIRECT("Asta!H"&amp;MATCH(D$3&amp;D49&amp;$AK49,Asta!$I:$I,0))))</f>
        <v/>
      </c>
      <c r="G49" s="384" t="str">
        <f t="shared" si="69"/>
        <v>A</v>
      </c>
      <c r="H49" s="9" t="str">
        <f ca="1">IF(G49="","",IF(ISNA(MATCH(G$3&amp;G49&amp;$AK49,Asta!$I:$I,0)),"",INDIRECT("Asta!B"&amp;MATCH(G$3&amp;G49&amp;$AK49,Asta!$I:$I,0))))</f>
        <v/>
      </c>
      <c r="I49" s="10" t="str">
        <f ca="1">IF(H49="","",IF(ISNA(MATCH(G$3&amp;G49&amp;$AK49,Asta!$I:$I,0)),"",INDIRECT("Asta!H"&amp;MATCH(G$3&amp;G49&amp;$AK49,Asta!$I:$I,0))))</f>
        <v/>
      </c>
      <c r="J49" s="384" t="str">
        <f t="shared" si="70"/>
        <v>A</v>
      </c>
      <c r="K49" s="9" t="str">
        <f ca="1">IF(J49="","",IF(ISNA(MATCH(J$3&amp;J49&amp;$AK49,Asta!$I:$I,0)),"",INDIRECT("Asta!B"&amp;MATCH(J$3&amp;J49&amp;$AK49,Asta!$I:$I,0))))</f>
        <v/>
      </c>
      <c r="L49" s="10" t="str">
        <f ca="1">IF(K49="","",IF(ISNA(MATCH(J$3&amp;J49&amp;$AK49,Asta!$I:$I,0)),"",INDIRECT("Asta!H"&amp;MATCH(J$3&amp;J49&amp;$AK49,Asta!$I:$I,0))))</f>
        <v/>
      </c>
      <c r="M49" s="384" t="str">
        <f t="shared" si="71"/>
        <v>A</v>
      </c>
      <c r="N49" s="9" t="str">
        <f ca="1">IF(M49="","",IF(ISNA(MATCH(M$3&amp;M49&amp;$AK49,Asta!$I:$I,0)),"",INDIRECT("Asta!B"&amp;MATCH(M$3&amp;M49&amp;$AK49,Asta!$I:$I,0))))</f>
        <v/>
      </c>
      <c r="O49" s="10" t="str">
        <f ca="1">IF(N49="","",IF(ISNA(MATCH(M$3&amp;M49&amp;$AK49,Asta!$I:$I,0)),"",INDIRECT("Asta!H"&amp;MATCH(M$3&amp;M49&amp;$AK49,Asta!$I:$I,0))))</f>
        <v/>
      </c>
      <c r="P49" s="384" t="str">
        <f t="shared" si="72"/>
        <v>A</v>
      </c>
      <c r="Q49" s="9" t="str">
        <f ca="1">IF(P49="","",IF(ISNA(MATCH(P$3&amp;P49&amp;$AK49,Asta!$I:$I,0)),"",INDIRECT("Asta!B"&amp;MATCH(P$3&amp;P49&amp;$AK49,Asta!$I:$I,0))))</f>
        <v/>
      </c>
      <c r="R49" s="10" t="str">
        <f ca="1">IF(Q49="","",IF(ISNA(MATCH(P$3&amp;P49&amp;$AK49,Asta!$I:$I,0)),"",INDIRECT("Asta!H"&amp;MATCH(P$3&amp;P49&amp;$AK49,Asta!$I:$I,0))))</f>
        <v/>
      </c>
      <c r="S49" s="384" t="str">
        <f t="shared" si="73"/>
        <v>A</v>
      </c>
      <c r="T49" s="9" t="str">
        <f ca="1">IF(S49="","",IF(ISNA(MATCH(S$3&amp;S49&amp;$AK49,Asta!$I:$I,0)),"",INDIRECT("Asta!B"&amp;MATCH(S$3&amp;S49&amp;$AK49,Asta!$I:$I,0))))</f>
        <v/>
      </c>
      <c r="U49" s="10" t="str">
        <f ca="1">IF(T49="","",IF(ISNA(MATCH(S$3&amp;S49&amp;$AK49,Asta!$I:$I,0)),"",INDIRECT("Asta!H"&amp;MATCH(S$3&amp;S49&amp;$AK49,Asta!$I:$I,0))))</f>
        <v/>
      </c>
      <c r="V49" s="384" t="str">
        <f t="shared" si="74"/>
        <v>A</v>
      </c>
      <c r="W49" s="9" t="str">
        <f ca="1">IF(V49="","",IF(ISNA(MATCH(V$3&amp;V49&amp;$AK49,Asta!$I:$I,0)),"",INDIRECT("Asta!B"&amp;MATCH(V$3&amp;V49&amp;$AK49,Asta!$I:$I,0))))</f>
        <v/>
      </c>
      <c r="X49" s="10" t="str">
        <f ca="1">IF(W49="","",IF(ISNA(MATCH(V$3&amp;V49&amp;$AK49,Asta!$I:$I,0)),"",INDIRECT("Asta!H"&amp;MATCH(V$3&amp;V49&amp;$AK49,Asta!$I:$I,0))))</f>
        <v/>
      </c>
      <c r="Y49" s="384" t="str">
        <f t="shared" si="75"/>
        <v>A</v>
      </c>
      <c r="Z49" s="9" t="str">
        <f ca="1">IF(Y49="","",IF(ISNA(MATCH(Y$3&amp;Y49&amp;$AK49,Asta!$I:$I,0)),"",INDIRECT("Asta!B"&amp;MATCH(Y$3&amp;Y49&amp;$AK49,Asta!$I:$I,0))))</f>
        <v/>
      </c>
      <c r="AA49" s="10" t="str">
        <f ca="1">IF(Z49="","",IF(ISNA(MATCH(Y$3&amp;Y49&amp;$AK49,Asta!$I:$I,0)),"",INDIRECT("Asta!H"&amp;MATCH(Y$3&amp;Y49&amp;$AK49,Asta!$I:$I,0))))</f>
        <v/>
      </c>
      <c r="AB49" s="384" t="str">
        <f t="shared" si="76"/>
        <v>A</v>
      </c>
      <c r="AC49" s="9" t="str">
        <f ca="1">IF(AB49="","",IF(ISNA(MATCH(AB$3&amp;AB49&amp;$AK49,Asta!$I:$I,0)),"",INDIRECT("Asta!B"&amp;MATCH(AB$3&amp;AB49&amp;$AK49,Asta!$I:$I,0))))</f>
        <v/>
      </c>
      <c r="AD49" s="10" t="str">
        <f ca="1">IF(AC49="","",IF(ISNA(MATCH(AB$3&amp;AB49&amp;$AK49,Asta!$I:$I,0)),"",INDIRECT("Asta!H"&amp;MATCH(AB$3&amp;AB49&amp;$AK49,Asta!$I:$I,0))))</f>
        <v/>
      </c>
      <c r="AE49" s="384" t="str">
        <f t="shared" si="77"/>
        <v>A</v>
      </c>
      <c r="AF49" s="9" t="str">
        <f ca="1">IF(AE49="","",IF(ISNA(MATCH(AE$3&amp;AE49&amp;$AK49,Asta!$I:$I,0)),"",INDIRECT("Asta!B"&amp;MATCH(AE$3&amp;AE49&amp;$AK49,Asta!$I:$I,0))))</f>
        <v/>
      </c>
      <c r="AG49" s="10" t="str">
        <f ca="1">IF(AF49="","",IF(ISNA(MATCH(AE$3&amp;AE49&amp;$AK49,Asta!$I:$I,0)),"",INDIRECT("Asta!H"&amp;MATCH(AE$3&amp;AE49&amp;$AK49,Asta!$I:$I,0))))</f>
        <v/>
      </c>
      <c r="AH49" s="384" t="str">
        <f t="shared" si="78"/>
        <v>A</v>
      </c>
      <c r="AI49" s="9" t="str">
        <f ca="1">IF(AH49="","",IF(ISNA(MATCH(AH$3&amp;AH49&amp;$AK49,Asta!$I:$I,0)),"",INDIRECT("Asta!B"&amp;MATCH(AH$3&amp;AH49&amp;$AK49,Asta!$I:$I,0))))</f>
        <v/>
      </c>
      <c r="AJ49" s="10" t="str">
        <f ca="1">IF(AI49="","",IF(ISNA(MATCH(AH$3&amp;AH49&amp;$AK49,Asta!$I:$I,0)),"",INDIRECT("Asta!H"&amp;MATCH(AH$3&amp;AH49&amp;$AK49,Asta!$I:$I,0))))</f>
        <v/>
      </c>
      <c r="AK49" s="4">
        <v>4</v>
      </c>
      <c r="AM49" s="221"/>
      <c r="AN49" s="231" t="str">
        <f ca="1">IF(Giocatori!E56=0,"",Giocatori!E56)</f>
        <v>SATALINO</v>
      </c>
      <c r="AO49" s="221"/>
      <c r="AP49" s="231" t="str">
        <f ca="1">IF(Giocatori!H56=0,"",Giocatori!H56)</f>
        <v>CHIELLINI</v>
      </c>
      <c r="AQ49" s="221"/>
      <c r="AR49" s="231" t="str">
        <f ca="1">IF(Giocatori!K56=0,"",Giocatori!K56)</f>
        <v>DE ROSSI</v>
      </c>
      <c r="AS49" s="221"/>
      <c r="AT49" s="231" t="str">
        <f ca="1">IF(Giocatori!N56=0,"",Giocatori!N56)</f>
        <v>LAPADULA</v>
      </c>
      <c r="AU49" s="221"/>
      <c r="AV49" s="231" t="str">
        <f ca="1">IF(Giocatori!Q56=0,"",Giocatori!Q56)</f>
        <v/>
      </c>
      <c r="AX49" t="str">
        <f t="shared" ca="1" si="53"/>
        <v>SATALINO</v>
      </c>
      <c r="AY49" s="7">
        <f t="shared" ca="1" si="1"/>
        <v>49</v>
      </c>
      <c r="AZ49" s="7" t="str">
        <f t="shared" ca="1" si="54"/>
        <v>SATALINO</v>
      </c>
      <c r="BA49" s="4" t="str">
        <f t="shared" ca="1" si="64"/>
        <v/>
      </c>
      <c r="BB49" t="str">
        <f t="shared" ca="1" si="55"/>
        <v>CHIELLINI</v>
      </c>
      <c r="BC49" s="7">
        <f t="shared" ca="1" si="15"/>
        <v>49</v>
      </c>
      <c r="BD49" s="7" t="str">
        <f t="shared" ca="1" si="56"/>
        <v>CHIELLINI</v>
      </c>
      <c r="BE49" s="4" t="str">
        <f t="shared" ca="1" si="65"/>
        <v/>
      </c>
      <c r="BF49" t="str">
        <f t="shared" ca="1" si="57"/>
        <v>DE ROSSI</v>
      </c>
      <c r="BG49" s="7">
        <f t="shared" ca="1" si="16"/>
        <v>49</v>
      </c>
      <c r="BH49" s="7" t="str">
        <f t="shared" ca="1" si="58"/>
        <v>DE ROSSI</v>
      </c>
      <c r="BI49" s="4" t="str">
        <f t="shared" ca="1" si="66"/>
        <v/>
      </c>
      <c r="BJ49" t="str">
        <f t="shared" ca="1" si="60"/>
        <v>LAPADULA</v>
      </c>
      <c r="BK49" s="7">
        <f t="shared" ca="1" si="17"/>
        <v>49</v>
      </c>
      <c r="BL49" s="7" t="str">
        <f t="shared" ca="1" si="61"/>
        <v>LAPADULA</v>
      </c>
      <c r="BM49" s="4" t="str">
        <f t="shared" ca="1" si="67"/>
        <v/>
      </c>
      <c r="BN49" t="str">
        <f t="shared" ca="1" si="62"/>
        <v/>
      </c>
      <c r="BO49" s="7">
        <f t="shared" ca="1" si="18"/>
        <v>1</v>
      </c>
      <c r="BP49" s="7">
        <f t="shared" ca="1" si="63"/>
        <v>0</v>
      </c>
    </row>
    <row r="50" spans="1:68" ht="14.25">
      <c r="A50" s="8" t="str">
        <f>IF(Asta!$AE$3&lt;AK50,"","A")</f>
        <v>A</v>
      </c>
      <c r="B50" s="9" t="str">
        <f ca="1">IF(A50="","",IF(ISNA(MATCH(A$3&amp;A50&amp;$AK50,Asta!$I:$I,0)),"",INDIRECT("Asta!B"&amp;MATCH(A$3&amp;A50&amp;$AK50,Asta!$I:$I,0))))</f>
        <v/>
      </c>
      <c r="C50" s="10" t="str">
        <f ca="1">IF(B50="","",IF(ISNA(MATCH(A$3&amp;A50&amp;$AK50,Asta!$I:$I,0)),"",INDIRECT("Asta!H"&amp;MATCH(A$3&amp;A50&amp;$AK50,Asta!$I:$I,0))))</f>
        <v/>
      </c>
      <c r="D50" s="384" t="str">
        <f t="shared" si="68"/>
        <v>A</v>
      </c>
      <c r="E50" s="9" t="str">
        <f ca="1">IF(D50="","",IF(ISNA(MATCH(D$3&amp;D50&amp;$AK50,Asta!$I:$I,0)),"",INDIRECT("Asta!B"&amp;MATCH(D$3&amp;D50&amp;$AK50,Asta!$I:$I,0))))</f>
        <v/>
      </c>
      <c r="F50" s="10" t="str">
        <f ca="1">IF(E50="","",IF(ISNA(MATCH(D$3&amp;D50&amp;$AK50,Asta!$I:$I,0)),"",INDIRECT("Asta!H"&amp;MATCH(D$3&amp;D50&amp;$AK50,Asta!$I:$I,0))))</f>
        <v/>
      </c>
      <c r="G50" s="384" t="str">
        <f t="shared" si="69"/>
        <v>A</v>
      </c>
      <c r="H50" s="9" t="str">
        <f ca="1">IF(G50="","",IF(ISNA(MATCH(G$3&amp;G50&amp;$AK50,Asta!$I:$I,0)),"",INDIRECT("Asta!B"&amp;MATCH(G$3&amp;G50&amp;$AK50,Asta!$I:$I,0))))</f>
        <v/>
      </c>
      <c r="I50" s="10" t="str">
        <f ca="1">IF(H50="","",IF(ISNA(MATCH(G$3&amp;G50&amp;$AK50,Asta!$I:$I,0)),"",INDIRECT("Asta!H"&amp;MATCH(G$3&amp;G50&amp;$AK50,Asta!$I:$I,0))))</f>
        <v/>
      </c>
      <c r="J50" s="384" t="str">
        <f t="shared" si="70"/>
        <v>A</v>
      </c>
      <c r="K50" s="9" t="str">
        <f ca="1">IF(J50="","",IF(ISNA(MATCH(J$3&amp;J50&amp;$AK50,Asta!$I:$I,0)),"",INDIRECT("Asta!B"&amp;MATCH(J$3&amp;J50&amp;$AK50,Asta!$I:$I,0))))</f>
        <v/>
      </c>
      <c r="L50" s="10" t="str">
        <f ca="1">IF(K50="","",IF(ISNA(MATCH(J$3&amp;J50&amp;$AK50,Asta!$I:$I,0)),"",INDIRECT("Asta!H"&amp;MATCH(J$3&amp;J50&amp;$AK50,Asta!$I:$I,0))))</f>
        <v/>
      </c>
      <c r="M50" s="384" t="str">
        <f t="shared" si="71"/>
        <v>A</v>
      </c>
      <c r="N50" s="9" t="str">
        <f ca="1">IF(M50="","",IF(ISNA(MATCH(M$3&amp;M50&amp;$AK50,Asta!$I:$I,0)),"",INDIRECT("Asta!B"&amp;MATCH(M$3&amp;M50&amp;$AK50,Asta!$I:$I,0))))</f>
        <v/>
      </c>
      <c r="O50" s="10" t="str">
        <f ca="1">IF(N50="","",IF(ISNA(MATCH(M$3&amp;M50&amp;$AK50,Asta!$I:$I,0)),"",INDIRECT("Asta!H"&amp;MATCH(M$3&amp;M50&amp;$AK50,Asta!$I:$I,0))))</f>
        <v/>
      </c>
      <c r="P50" s="384" t="str">
        <f t="shared" si="72"/>
        <v>A</v>
      </c>
      <c r="Q50" s="9" t="str">
        <f ca="1">IF(P50="","",IF(ISNA(MATCH(P$3&amp;P50&amp;$AK50,Asta!$I:$I,0)),"",INDIRECT("Asta!B"&amp;MATCH(P$3&amp;P50&amp;$AK50,Asta!$I:$I,0))))</f>
        <v/>
      </c>
      <c r="R50" s="10" t="str">
        <f ca="1">IF(Q50="","",IF(ISNA(MATCH(P$3&amp;P50&amp;$AK50,Asta!$I:$I,0)),"",INDIRECT("Asta!H"&amp;MATCH(P$3&amp;P50&amp;$AK50,Asta!$I:$I,0))))</f>
        <v/>
      </c>
      <c r="S50" s="384" t="str">
        <f t="shared" si="73"/>
        <v>A</v>
      </c>
      <c r="T50" s="9" t="str">
        <f ca="1">IF(S50="","",IF(ISNA(MATCH(S$3&amp;S50&amp;$AK50,Asta!$I:$I,0)),"",INDIRECT("Asta!B"&amp;MATCH(S$3&amp;S50&amp;$AK50,Asta!$I:$I,0))))</f>
        <v/>
      </c>
      <c r="U50" s="10" t="str">
        <f ca="1">IF(T50="","",IF(ISNA(MATCH(S$3&amp;S50&amp;$AK50,Asta!$I:$I,0)),"",INDIRECT("Asta!H"&amp;MATCH(S$3&amp;S50&amp;$AK50,Asta!$I:$I,0))))</f>
        <v/>
      </c>
      <c r="V50" s="384" t="str">
        <f t="shared" si="74"/>
        <v>A</v>
      </c>
      <c r="W50" s="9" t="str">
        <f ca="1">IF(V50="","",IF(ISNA(MATCH(V$3&amp;V50&amp;$AK50,Asta!$I:$I,0)),"",INDIRECT("Asta!B"&amp;MATCH(V$3&amp;V50&amp;$AK50,Asta!$I:$I,0))))</f>
        <v/>
      </c>
      <c r="X50" s="10" t="str">
        <f ca="1">IF(W50="","",IF(ISNA(MATCH(V$3&amp;V50&amp;$AK50,Asta!$I:$I,0)),"",INDIRECT("Asta!H"&amp;MATCH(V$3&amp;V50&amp;$AK50,Asta!$I:$I,0))))</f>
        <v/>
      </c>
      <c r="Y50" s="384" t="str">
        <f t="shared" si="75"/>
        <v>A</v>
      </c>
      <c r="Z50" s="9" t="str">
        <f ca="1">IF(Y50="","",IF(ISNA(MATCH(Y$3&amp;Y50&amp;$AK50,Asta!$I:$I,0)),"",INDIRECT("Asta!B"&amp;MATCH(Y$3&amp;Y50&amp;$AK50,Asta!$I:$I,0))))</f>
        <v/>
      </c>
      <c r="AA50" s="10" t="str">
        <f ca="1">IF(Z50="","",IF(ISNA(MATCH(Y$3&amp;Y50&amp;$AK50,Asta!$I:$I,0)),"",INDIRECT("Asta!H"&amp;MATCH(Y$3&amp;Y50&amp;$AK50,Asta!$I:$I,0))))</f>
        <v/>
      </c>
      <c r="AB50" s="384" t="str">
        <f t="shared" si="76"/>
        <v>A</v>
      </c>
      <c r="AC50" s="9" t="str">
        <f ca="1">IF(AB50="","",IF(ISNA(MATCH(AB$3&amp;AB50&amp;$AK50,Asta!$I:$I,0)),"",INDIRECT("Asta!B"&amp;MATCH(AB$3&amp;AB50&amp;$AK50,Asta!$I:$I,0))))</f>
        <v/>
      </c>
      <c r="AD50" s="10" t="str">
        <f ca="1">IF(AC50="","",IF(ISNA(MATCH(AB$3&amp;AB50&amp;$AK50,Asta!$I:$I,0)),"",INDIRECT("Asta!H"&amp;MATCH(AB$3&amp;AB50&amp;$AK50,Asta!$I:$I,0))))</f>
        <v/>
      </c>
      <c r="AE50" s="384" t="str">
        <f t="shared" si="77"/>
        <v>A</v>
      </c>
      <c r="AF50" s="9" t="str">
        <f ca="1">IF(AE50="","",IF(ISNA(MATCH(AE$3&amp;AE50&amp;$AK50,Asta!$I:$I,0)),"",INDIRECT("Asta!B"&amp;MATCH(AE$3&amp;AE50&amp;$AK50,Asta!$I:$I,0))))</f>
        <v/>
      </c>
      <c r="AG50" s="10" t="str">
        <f ca="1">IF(AF50="","",IF(ISNA(MATCH(AE$3&amp;AE50&amp;$AK50,Asta!$I:$I,0)),"",INDIRECT("Asta!H"&amp;MATCH(AE$3&amp;AE50&amp;$AK50,Asta!$I:$I,0))))</f>
        <v/>
      </c>
      <c r="AH50" s="384" t="str">
        <f t="shared" si="78"/>
        <v>A</v>
      </c>
      <c r="AI50" s="9" t="str">
        <f ca="1">IF(AH50="","",IF(ISNA(MATCH(AH$3&amp;AH50&amp;$AK50,Asta!$I:$I,0)),"",INDIRECT("Asta!B"&amp;MATCH(AH$3&amp;AH50&amp;$AK50,Asta!$I:$I,0))))</f>
        <v/>
      </c>
      <c r="AJ50" s="10" t="str">
        <f ca="1">IF(AI50="","",IF(ISNA(MATCH(AH$3&amp;AH50&amp;$AK50,Asta!$I:$I,0)),"",INDIRECT("Asta!H"&amp;MATCH(AH$3&amp;AH50&amp;$AK50,Asta!$I:$I,0))))</f>
        <v/>
      </c>
      <c r="AK50" s="4">
        <v>5</v>
      </c>
      <c r="AM50" s="221"/>
      <c r="AN50" s="231" t="str">
        <f ca="1">IF(Giocatori!E57=0,"",Giocatori!E57)</f>
        <v>SCUFFET</v>
      </c>
      <c r="AO50" s="221"/>
      <c r="AP50" s="231" t="str">
        <f ca="1">IF(Giocatori!H57=0,"",Giocatori!H57)</f>
        <v>CHIRICHES</v>
      </c>
      <c r="AQ50" s="221"/>
      <c r="AR50" s="231" t="str">
        <f ca="1">IF(Giocatori!K57=0,"",Giocatori!K57)</f>
        <v>DEIOLA</v>
      </c>
      <c r="AS50" s="221"/>
      <c r="AT50" s="231" t="str">
        <f ca="1">IF(Giocatori!N57=0,"",Giocatori!N57)</f>
        <v>LASAGNA</v>
      </c>
      <c r="AU50" s="221"/>
      <c r="AV50" s="231" t="str">
        <f ca="1">IF(Giocatori!Q57=0,"",Giocatori!Q57)</f>
        <v/>
      </c>
      <c r="AX50" t="str">
        <f t="shared" ca="1" si="53"/>
        <v>SCUFFET</v>
      </c>
      <c r="AY50" s="7">
        <f t="shared" ca="1" si="1"/>
        <v>50</v>
      </c>
      <c r="AZ50" s="7" t="str">
        <f t="shared" ca="1" si="54"/>
        <v>SCUFFET</v>
      </c>
      <c r="BA50" s="4" t="str">
        <f t="shared" ca="1" si="64"/>
        <v/>
      </c>
      <c r="BB50" t="str">
        <f t="shared" ca="1" si="55"/>
        <v>CHIRICHES</v>
      </c>
      <c r="BC50" s="7">
        <f t="shared" ca="1" si="15"/>
        <v>50</v>
      </c>
      <c r="BD50" s="7" t="str">
        <f t="shared" ca="1" si="56"/>
        <v>CHIRICHES</v>
      </c>
      <c r="BE50" s="4" t="str">
        <f t="shared" ca="1" si="65"/>
        <v/>
      </c>
      <c r="BF50" t="str">
        <f t="shared" ca="1" si="57"/>
        <v>DEIOLA</v>
      </c>
      <c r="BG50" s="7">
        <f t="shared" ca="1" si="16"/>
        <v>50</v>
      </c>
      <c r="BH50" s="7" t="str">
        <f t="shared" ca="1" si="58"/>
        <v>DEIOLA</v>
      </c>
      <c r="BI50" s="4" t="str">
        <f t="shared" ref="BI50:BI57" ca="1" si="79">IF(T46=0,"",T46)</f>
        <v/>
      </c>
      <c r="BJ50" t="str">
        <f t="shared" ca="1" si="60"/>
        <v>LASAGNA</v>
      </c>
      <c r="BK50" s="7">
        <f t="shared" ca="1" si="17"/>
        <v>50</v>
      </c>
      <c r="BL50" s="7" t="str">
        <f t="shared" ca="1" si="61"/>
        <v>LASAGNA</v>
      </c>
      <c r="BM50" s="4" t="str">
        <f t="shared" ca="1" si="67"/>
        <v/>
      </c>
      <c r="BN50" t="str">
        <f t="shared" ca="1" si="62"/>
        <v/>
      </c>
      <c r="BO50" s="7">
        <f t="shared" ca="1" si="18"/>
        <v>1</v>
      </c>
      <c r="BP50" s="7">
        <f t="shared" ca="1" si="63"/>
        <v>0</v>
      </c>
    </row>
    <row r="51" spans="1:68" ht="14.25">
      <c r="A51" s="8" t="str">
        <f>IF(Asta!$AE$3&lt;AK51,"","A")</f>
        <v>A</v>
      </c>
      <c r="B51" s="9" t="str">
        <f ca="1">IF(A51="","",IF(ISNA(MATCH(A$3&amp;A51&amp;$AK51,Asta!$I:$I,0)),"",INDIRECT("Asta!B"&amp;MATCH(A$3&amp;A51&amp;$AK51,Asta!$I:$I,0))))</f>
        <v/>
      </c>
      <c r="C51" s="10" t="str">
        <f ca="1">IF(B51="","",IF(ISNA(MATCH(A$3&amp;A51&amp;$AK51,Asta!$I:$I,0)),"",INDIRECT("Asta!H"&amp;MATCH(A$3&amp;A51&amp;$AK51,Asta!$I:$I,0))))</f>
        <v/>
      </c>
      <c r="D51" s="384" t="str">
        <f t="shared" si="68"/>
        <v>A</v>
      </c>
      <c r="E51" s="9" t="str">
        <f ca="1">IF(D51="","",IF(ISNA(MATCH(D$3&amp;D51&amp;$AK51,Asta!$I:$I,0)),"",INDIRECT("Asta!B"&amp;MATCH(D$3&amp;D51&amp;$AK51,Asta!$I:$I,0))))</f>
        <v/>
      </c>
      <c r="F51" s="10" t="str">
        <f ca="1">IF(E51="","",IF(ISNA(MATCH(D$3&amp;D51&amp;$AK51,Asta!$I:$I,0)),"",INDIRECT("Asta!H"&amp;MATCH(D$3&amp;D51&amp;$AK51,Asta!$I:$I,0))))</f>
        <v/>
      </c>
      <c r="G51" s="384" t="str">
        <f t="shared" si="69"/>
        <v>A</v>
      </c>
      <c r="H51" s="9" t="str">
        <f ca="1">IF(G51="","",IF(ISNA(MATCH(G$3&amp;G51&amp;$AK51,Asta!$I:$I,0)),"",INDIRECT("Asta!B"&amp;MATCH(G$3&amp;G51&amp;$AK51,Asta!$I:$I,0))))</f>
        <v/>
      </c>
      <c r="I51" s="10" t="str">
        <f ca="1">IF(H51="","",IF(ISNA(MATCH(G$3&amp;G51&amp;$AK51,Asta!$I:$I,0)),"",INDIRECT("Asta!H"&amp;MATCH(G$3&amp;G51&amp;$AK51,Asta!$I:$I,0))))</f>
        <v/>
      </c>
      <c r="J51" s="384" t="str">
        <f t="shared" si="70"/>
        <v>A</v>
      </c>
      <c r="K51" s="9" t="str">
        <f ca="1">IF(J51="","",IF(ISNA(MATCH(J$3&amp;J51&amp;$AK51,Asta!$I:$I,0)),"",INDIRECT("Asta!B"&amp;MATCH(J$3&amp;J51&amp;$AK51,Asta!$I:$I,0))))</f>
        <v/>
      </c>
      <c r="L51" s="10" t="str">
        <f ca="1">IF(K51="","",IF(ISNA(MATCH(J$3&amp;J51&amp;$AK51,Asta!$I:$I,0)),"",INDIRECT("Asta!H"&amp;MATCH(J$3&amp;J51&amp;$AK51,Asta!$I:$I,0))))</f>
        <v/>
      </c>
      <c r="M51" s="384" t="str">
        <f t="shared" si="71"/>
        <v>A</v>
      </c>
      <c r="N51" s="9" t="str">
        <f ca="1">IF(M51="","",IF(ISNA(MATCH(M$3&amp;M51&amp;$AK51,Asta!$I:$I,0)),"",INDIRECT("Asta!B"&amp;MATCH(M$3&amp;M51&amp;$AK51,Asta!$I:$I,0))))</f>
        <v/>
      </c>
      <c r="O51" s="10" t="str">
        <f ca="1">IF(N51="","",IF(ISNA(MATCH(M$3&amp;M51&amp;$AK51,Asta!$I:$I,0)),"",INDIRECT("Asta!H"&amp;MATCH(M$3&amp;M51&amp;$AK51,Asta!$I:$I,0))))</f>
        <v/>
      </c>
      <c r="P51" s="384" t="str">
        <f t="shared" si="72"/>
        <v>A</v>
      </c>
      <c r="Q51" s="9" t="str">
        <f ca="1">IF(P51="","",IF(ISNA(MATCH(P$3&amp;P51&amp;$AK51,Asta!$I:$I,0)),"",INDIRECT("Asta!B"&amp;MATCH(P$3&amp;P51&amp;$AK51,Asta!$I:$I,0))))</f>
        <v/>
      </c>
      <c r="R51" s="10" t="str">
        <f ca="1">IF(Q51="","",IF(ISNA(MATCH(P$3&amp;P51&amp;$AK51,Asta!$I:$I,0)),"",INDIRECT("Asta!H"&amp;MATCH(P$3&amp;P51&amp;$AK51,Asta!$I:$I,0))))</f>
        <v/>
      </c>
      <c r="S51" s="384" t="str">
        <f t="shared" si="73"/>
        <v>A</v>
      </c>
      <c r="T51" s="9" t="str">
        <f ca="1">IF(S51="","",IF(ISNA(MATCH(S$3&amp;S51&amp;$AK51,Asta!$I:$I,0)),"",INDIRECT("Asta!B"&amp;MATCH(S$3&amp;S51&amp;$AK51,Asta!$I:$I,0))))</f>
        <v/>
      </c>
      <c r="U51" s="10" t="str">
        <f ca="1">IF(T51="","",IF(ISNA(MATCH(S$3&amp;S51&amp;$AK51,Asta!$I:$I,0)),"",INDIRECT("Asta!H"&amp;MATCH(S$3&amp;S51&amp;$AK51,Asta!$I:$I,0))))</f>
        <v/>
      </c>
      <c r="V51" s="384" t="str">
        <f t="shared" si="74"/>
        <v>A</v>
      </c>
      <c r="W51" s="9" t="str">
        <f ca="1">IF(V51="","",IF(ISNA(MATCH(V$3&amp;V51&amp;$AK51,Asta!$I:$I,0)),"",INDIRECT("Asta!B"&amp;MATCH(V$3&amp;V51&amp;$AK51,Asta!$I:$I,0))))</f>
        <v/>
      </c>
      <c r="X51" s="10" t="str">
        <f ca="1">IF(W51="","",IF(ISNA(MATCH(V$3&amp;V51&amp;$AK51,Asta!$I:$I,0)),"",INDIRECT("Asta!H"&amp;MATCH(V$3&amp;V51&amp;$AK51,Asta!$I:$I,0))))</f>
        <v/>
      </c>
      <c r="Y51" s="384" t="str">
        <f t="shared" si="75"/>
        <v>A</v>
      </c>
      <c r="Z51" s="9" t="str">
        <f ca="1">IF(Y51="","",IF(ISNA(MATCH(Y$3&amp;Y51&amp;$AK51,Asta!$I:$I,0)),"",INDIRECT("Asta!B"&amp;MATCH(Y$3&amp;Y51&amp;$AK51,Asta!$I:$I,0))))</f>
        <v/>
      </c>
      <c r="AA51" s="10" t="str">
        <f ca="1">IF(Z51="","",IF(ISNA(MATCH(Y$3&amp;Y51&amp;$AK51,Asta!$I:$I,0)),"",INDIRECT("Asta!H"&amp;MATCH(Y$3&amp;Y51&amp;$AK51,Asta!$I:$I,0))))</f>
        <v/>
      </c>
      <c r="AB51" s="384" t="str">
        <f t="shared" si="76"/>
        <v>A</v>
      </c>
      <c r="AC51" s="9" t="str">
        <f ca="1">IF(AB51="","",IF(ISNA(MATCH(AB$3&amp;AB51&amp;$AK51,Asta!$I:$I,0)),"",INDIRECT("Asta!B"&amp;MATCH(AB$3&amp;AB51&amp;$AK51,Asta!$I:$I,0))))</f>
        <v/>
      </c>
      <c r="AD51" s="10" t="str">
        <f ca="1">IF(AC51="","",IF(ISNA(MATCH(AB$3&amp;AB51&amp;$AK51,Asta!$I:$I,0)),"",INDIRECT("Asta!H"&amp;MATCH(AB$3&amp;AB51&amp;$AK51,Asta!$I:$I,0))))</f>
        <v/>
      </c>
      <c r="AE51" s="384" t="str">
        <f t="shared" si="77"/>
        <v>A</v>
      </c>
      <c r="AF51" s="9" t="str">
        <f ca="1">IF(AE51="","",IF(ISNA(MATCH(AE$3&amp;AE51&amp;$AK51,Asta!$I:$I,0)),"",INDIRECT("Asta!B"&amp;MATCH(AE$3&amp;AE51&amp;$AK51,Asta!$I:$I,0))))</f>
        <v/>
      </c>
      <c r="AG51" s="10" t="str">
        <f ca="1">IF(AF51="","",IF(ISNA(MATCH(AE$3&amp;AE51&amp;$AK51,Asta!$I:$I,0)),"",INDIRECT("Asta!H"&amp;MATCH(AE$3&amp;AE51&amp;$AK51,Asta!$I:$I,0))))</f>
        <v/>
      </c>
      <c r="AH51" s="384" t="str">
        <f t="shared" si="78"/>
        <v>A</v>
      </c>
      <c r="AI51" s="9" t="str">
        <f ca="1">IF(AH51="","",IF(ISNA(MATCH(AH$3&amp;AH51&amp;$AK51,Asta!$I:$I,0)),"",INDIRECT("Asta!B"&amp;MATCH(AH$3&amp;AH51&amp;$AK51,Asta!$I:$I,0))))</f>
        <v/>
      </c>
      <c r="AJ51" s="10" t="str">
        <f ca="1">IF(AI51="","",IF(ISNA(MATCH(AH$3&amp;AH51&amp;$AK51,Asta!$I:$I,0)),"",INDIRECT("Asta!H"&amp;MATCH(AH$3&amp;AH51&amp;$AK51,Asta!$I:$I,0))))</f>
        <v/>
      </c>
      <c r="AK51" s="4">
        <v>6</v>
      </c>
      <c r="AM51" s="221"/>
      <c r="AN51" s="231" t="str">
        <f ca="1">IF(Giocatori!E58=0,"",Giocatori!E58)</f>
        <v>SECULIN</v>
      </c>
      <c r="AO51" s="221"/>
      <c r="AP51" s="231" t="str">
        <f ca="1">IF(Giocatori!H58=0,"",Giocatori!H58)</f>
        <v>CONTI</v>
      </c>
      <c r="AQ51" s="221"/>
      <c r="AR51" s="231" t="str">
        <f ca="1">IF(Giocatori!K58=0,"",Giocatori!K58)</f>
        <v>DEL PINTO</v>
      </c>
      <c r="AS51" s="221"/>
      <c r="AT51" s="231" t="str">
        <f ca="1">IF(Giocatori!N58=0,"",Giocatori!N58)</f>
        <v>LEE</v>
      </c>
      <c r="AU51" s="221"/>
      <c r="AV51" s="231" t="str">
        <f ca="1">IF(Giocatori!Q58=0,"",Giocatori!Q58)</f>
        <v/>
      </c>
      <c r="AX51" t="str">
        <f t="shared" ca="1" si="53"/>
        <v>SECULIN</v>
      </c>
      <c r="AY51" s="7">
        <f t="shared" ca="1" si="1"/>
        <v>51</v>
      </c>
      <c r="AZ51" s="7" t="str">
        <f t="shared" ca="1" si="54"/>
        <v>SECULIN</v>
      </c>
      <c r="BA51" s="4" t="str">
        <f t="shared" ca="1" si="64"/>
        <v/>
      </c>
      <c r="BB51" t="str">
        <f t="shared" ca="1" si="55"/>
        <v>CONTI</v>
      </c>
      <c r="BC51" s="7">
        <f t="shared" ca="1" si="15"/>
        <v>51</v>
      </c>
      <c r="BD51" s="7" t="str">
        <f t="shared" ca="1" si="56"/>
        <v>CONTI</v>
      </c>
      <c r="BE51" s="4" t="str">
        <f t="shared" ca="1" si="65"/>
        <v/>
      </c>
      <c r="BF51" t="str">
        <f t="shared" ca="1" si="57"/>
        <v>DEL PINTO</v>
      </c>
      <c r="BG51" s="7">
        <f t="shared" ca="1" si="16"/>
        <v>51</v>
      </c>
      <c r="BH51" s="7" t="str">
        <f t="shared" ca="1" si="58"/>
        <v>DEL PINTO</v>
      </c>
      <c r="BI51" s="4" t="str">
        <f t="shared" ca="1" si="79"/>
        <v/>
      </c>
      <c r="BJ51" t="str">
        <f t="shared" ca="1" si="60"/>
        <v>LEE</v>
      </c>
      <c r="BK51" s="7">
        <f t="shared" ca="1" si="17"/>
        <v>51</v>
      </c>
      <c r="BL51" s="7" t="str">
        <f t="shared" ca="1" si="61"/>
        <v>LEE</v>
      </c>
      <c r="BM51" s="4" t="str">
        <f t="shared" ca="1" si="67"/>
        <v/>
      </c>
      <c r="BN51" t="str">
        <f t="shared" ca="1" si="62"/>
        <v/>
      </c>
      <c r="BO51" s="7">
        <f t="shared" ca="1" si="18"/>
        <v>1</v>
      </c>
      <c r="BP51" s="7">
        <f t="shared" ca="1" si="63"/>
        <v>0</v>
      </c>
    </row>
    <row r="52" spans="1:68" ht="14.25">
      <c r="A52" s="8" t="str">
        <f>IF(Asta!$AE$3&lt;AK52,"","A")</f>
        <v/>
      </c>
      <c r="B52" s="9" t="str">
        <f ca="1">IF(A52="","",IF(ISNA(MATCH(A$3&amp;A52&amp;$AK52,Asta!$I:$I,0)),"",INDIRECT("Asta!B"&amp;MATCH(A$3&amp;A52&amp;$AK52,Asta!$I:$I,0))))</f>
        <v/>
      </c>
      <c r="C52" s="10" t="str">
        <f ca="1">IF(B52="","",IF(ISNA(MATCH(A$3&amp;A52&amp;$AK52,Asta!$I:$I,0)),"",INDIRECT("Asta!H"&amp;MATCH(A$3&amp;A52&amp;$AK52,Asta!$I:$I,0))))</f>
        <v/>
      </c>
      <c r="D52" s="384" t="str">
        <f t="shared" si="68"/>
        <v/>
      </c>
      <c r="E52" s="9" t="str">
        <f ca="1">IF(D52="","",IF(ISNA(MATCH(D$3&amp;D52&amp;$AK52,Asta!$I:$I,0)),"",INDIRECT("Asta!B"&amp;MATCH(D$3&amp;D52&amp;$AK52,Asta!$I:$I,0))))</f>
        <v/>
      </c>
      <c r="F52" s="10" t="str">
        <f ca="1">IF(E52="","",IF(ISNA(MATCH(D$3&amp;D52&amp;$AK52,Asta!$I:$I,0)),"",INDIRECT("Asta!H"&amp;MATCH(D$3&amp;D52&amp;$AK52,Asta!$I:$I,0))))</f>
        <v/>
      </c>
      <c r="G52" s="384" t="str">
        <f t="shared" si="69"/>
        <v/>
      </c>
      <c r="H52" s="9" t="str">
        <f ca="1">IF(G52="","",IF(ISNA(MATCH(G$3&amp;G52&amp;$AK52,Asta!$I:$I,0)),"",INDIRECT("Asta!B"&amp;MATCH(G$3&amp;G52&amp;$AK52,Asta!$I:$I,0))))</f>
        <v/>
      </c>
      <c r="I52" s="10" t="str">
        <f ca="1">IF(H52="","",IF(ISNA(MATCH(G$3&amp;G52&amp;$AK52,Asta!$I:$I,0)),"",INDIRECT("Asta!H"&amp;MATCH(G$3&amp;G52&amp;$AK52,Asta!$I:$I,0))))</f>
        <v/>
      </c>
      <c r="J52" s="384" t="str">
        <f t="shared" si="70"/>
        <v/>
      </c>
      <c r="K52" s="9" t="str">
        <f ca="1">IF(J52="","",IF(ISNA(MATCH(J$3&amp;J52&amp;$AK52,Asta!$I:$I,0)),"",INDIRECT("Asta!B"&amp;MATCH(J$3&amp;J52&amp;$AK52,Asta!$I:$I,0))))</f>
        <v/>
      </c>
      <c r="L52" s="10" t="str">
        <f ca="1">IF(K52="","",IF(ISNA(MATCH(J$3&amp;J52&amp;$AK52,Asta!$I:$I,0)),"",INDIRECT("Asta!H"&amp;MATCH(J$3&amp;J52&amp;$AK52,Asta!$I:$I,0))))</f>
        <v/>
      </c>
      <c r="M52" s="384" t="str">
        <f t="shared" si="71"/>
        <v/>
      </c>
      <c r="N52" s="9" t="str">
        <f ca="1">IF(M52="","",IF(ISNA(MATCH(M$3&amp;M52&amp;$AK52,Asta!$I:$I,0)),"",INDIRECT("Asta!B"&amp;MATCH(M$3&amp;M52&amp;$AK52,Asta!$I:$I,0))))</f>
        <v/>
      </c>
      <c r="O52" s="10" t="str">
        <f ca="1">IF(N52="","",IF(ISNA(MATCH(M$3&amp;M52&amp;$AK52,Asta!$I:$I,0)),"",INDIRECT("Asta!H"&amp;MATCH(M$3&amp;M52&amp;$AK52,Asta!$I:$I,0))))</f>
        <v/>
      </c>
      <c r="P52" s="384" t="str">
        <f t="shared" si="72"/>
        <v/>
      </c>
      <c r="Q52" s="9" t="str">
        <f ca="1">IF(P52="","",IF(ISNA(MATCH(P$3&amp;P52&amp;$AK52,Asta!$I:$I,0)),"",INDIRECT("Asta!B"&amp;MATCH(P$3&amp;P52&amp;$AK52,Asta!$I:$I,0))))</f>
        <v/>
      </c>
      <c r="R52" s="10" t="str">
        <f ca="1">IF(Q52="","",IF(ISNA(MATCH(P$3&amp;P52&amp;$AK52,Asta!$I:$I,0)),"",INDIRECT("Asta!H"&amp;MATCH(P$3&amp;P52&amp;$AK52,Asta!$I:$I,0))))</f>
        <v/>
      </c>
      <c r="S52" s="384" t="str">
        <f t="shared" si="73"/>
        <v/>
      </c>
      <c r="T52" s="9" t="str">
        <f ca="1">IF(S52="","",IF(ISNA(MATCH(S$3&amp;S52&amp;$AK52,Asta!$I:$I,0)),"",INDIRECT("Asta!B"&amp;MATCH(S$3&amp;S52&amp;$AK52,Asta!$I:$I,0))))</f>
        <v/>
      </c>
      <c r="U52" s="10" t="str">
        <f ca="1">IF(T52="","",IF(ISNA(MATCH(S$3&amp;S52&amp;$AK52,Asta!$I:$I,0)),"",INDIRECT("Asta!H"&amp;MATCH(S$3&amp;S52&amp;$AK52,Asta!$I:$I,0))))</f>
        <v/>
      </c>
      <c r="V52" s="384" t="str">
        <f t="shared" si="74"/>
        <v/>
      </c>
      <c r="W52" s="9" t="str">
        <f ca="1">IF(V52="","",IF(ISNA(MATCH(V$3&amp;V52&amp;$AK52,Asta!$I:$I,0)),"",INDIRECT("Asta!B"&amp;MATCH(V$3&amp;V52&amp;$AK52,Asta!$I:$I,0))))</f>
        <v/>
      </c>
      <c r="X52" s="10" t="str">
        <f ca="1">IF(W52="","",IF(ISNA(MATCH(V$3&amp;V52&amp;$AK52,Asta!$I:$I,0)),"",INDIRECT("Asta!H"&amp;MATCH(V$3&amp;V52&amp;$AK52,Asta!$I:$I,0))))</f>
        <v/>
      </c>
      <c r="Y52" s="384" t="str">
        <f t="shared" si="75"/>
        <v/>
      </c>
      <c r="Z52" s="9" t="str">
        <f ca="1">IF(Y52="","",IF(ISNA(MATCH(Y$3&amp;Y52&amp;$AK52,Asta!$I:$I,0)),"",INDIRECT("Asta!B"&amp;MATCH(Y$3&amp;Y52&amp;$AK52,Asta!$I:$I,0))))</f>
        <v/>
      </c>
      <c r="AA52" s="10" t="str">
        <f ca="1">IF(Z52="","",IF(ISNA(MATCH(Y$3&amp;Y52&amp;$AK52,Asta!$I:$I,0)),"",INDIRECT("Asta!H"&amp;MATCH(Y$3&amp;Y52&amp;$AK52,Asta!$I:$I,0))))</f>
        <v/>
      </c>
      <c r="AB52" s="384" t="str">
        <f t="shared" si="76"/>
        <v/>
      </c>
      <c r="AC52" s="9" t="str">
        <f ca="1">IF(AB52="","",IF(ISNA(MATCH(AB$3&amp;AB52&amp;$AK52,Asta!$I:$I,0)),"",INDIRECT("Asta!B"&amp;MATCH(AB$3&amp;AB52&amp;$AK52,Asta!$I:$I,0))))</f>
        <v/>
      </c>
      <c r="AD52" s="10" t="str">
        <f ca="1">IF(AC52="","",IF(ISNA(MATCH(AB$3&amp;AB52&amp;$AK52,Asta!$I:$I,0)),"",INDIRECT("Asta!H"&amp;MATCH(AB$3&amp;AB52&amp;$AK52,Asta!$I:$I,0))))</f>
        <v/>
      </c>
      <c r="AE52" s="384" t="str">
        <f t="shared" si="77"/>
        <v/>
      </c>
      <c r="AF52" s="9" t="str">
        <f ca="1">IF(AE52="","",IF(ISNA(MATCH(AE$3&amp;AE52&amp;$AK52,Asta!$I:$I,0)),"",INDIRECT("Asta!B"&amp;MATCH(AE$3&amp;AE52&amp;$AK52,Asta!$I:$I,0))))</f>
        <v/>
      </c>
      <c r="AG52" s="10" t="str">
        <f ca="1">IF(AF52="","",IF(ISNA(MATCH(AE$3&amp;AE52&amp;$AK52,Asta!$I:$I,0)),"",INDIRECT("Asta!H"&amp;MATCH(AE$3&amp;AE52&amp;$AK52,Asta!$I:$I,0))))</f>
        <v/>
      </c>
      <c r="AH52" s="384" t="str">
        <f t="shared" si="78"/>
        <v/>
      </c>
      <c r="AI52" s="9" t="str">
        <f ca="1">IF(AH52="","",IF(ISNA(MATCH(AH$3&amp;AH52&amp;$AK52,Asta!$I:$I,0)),"",INDIRECT("Asta!B"&amp;MATCH(AH$3&amp;AH52&amp;$AK52,Asta!$I:$I,0))))</f>
        <v/>
      </c>
      <c r="AJ52" s="10" t="str">
        <f ca="1">IF(AI52="","",IF(ISNA(MATCH(AH$3&amp;AH52&amp;$AK52,Asta!$I:$I,0)),"",INDIRECT("Asta!H"&amp;MATCH(AH$3&amp;AH52&amp;$AK52,Asta!$I:$I,0))))</f>
        <v/>
      </c>
      <c r="AK52" s="4">
        <v>7</v>
      </c>
      <c r="AM52" s="221"/>
      <c r="AN52" s="231" t="str">
        <f ca="1">IF(Giocatori!E59=0,"",Giocatori!E59)</f>
        <v>SEPE</v>
      </c>
      <c r="AO52" s="221"/>
      <c r="AP52" s="231" t="str">
        <f ca="1">IF(Giocatori!H59=0,"",Giocatori!H59)</f>
        <v>COSTA</v>
      </c>
      <c r="AQ52" s="221"/>
      <c r="AR52" s="231" t="str">
        <f ca="1">IF(Giocatori!K59=0,"",Giocatori!K59)</f>
        <v>DESSENA</v>
      </c>
      <c r="AS52" s="221"/>
      <c r="AT52" s="231" t="str">
        <f ca="1">IF(Giocatori!N59=0,"",Giocatori!N59)</f>
        <v>LO FASO</v>
      </c>
      <c r="AU52" s="221"/>
      <c r="AV52" s="231" t="str">
        <f ca="1">IF(Giocatori!Q59=0,"",Giocatori!Q59)</f>
        <v/>
      </c>
      <c r="AX52" t="str">
        <f t="shared" ca="1" si="53"/>
        <v>SEPE</v>
      </c>
      <c r="AY52" s="7">
        <f t="shared" ca="1" si="1"/>
        <v>52</v>
      </c>
      <c r="AZ52" s="7" t="str">
        <f t="shared" ca="1" si="54"/>
        <v>SEPE</v>
      </c>
      <c r="BA52" s="4" t="str">
        <f t="shared" ref="BA52:BA61" ca="1" si="80">IF(Q14=0,"",Q14)</f>
        <v/>
      </c>
      <c r="BB52" t="str">
        <f t="shared" ca="1" si="55"/>
        <v>COSTA</v>
      </c>
      <c r="BC52" s="7">
        <f t="shared" ca="1" si="15"/>
        <v>52</v>
      </c>
      <c r="BD52" s="7" t="str">
        <f t="shared" ca="1" si="56"/>
        <v>COSTA</v>
      </c>
      <c r="BE52" s="4" t="str">
        <f t="shared" ref="BE52:BE61" ca="1" si="81">IF(Q30=0,"",Q30)</f>
        <v/>
      </c>
      <c r="BF52" t="str">
        <f t="shared" ca="1" si="57"/>
        <v>DESSENA</v>
      </c>
      <c r="BG52" s="7">
        <f t="shared" ca="1" si="16"/>
        <v>52</v>
      </c>
      <c r="BH52" s="7" t="str">
        <f t="shared" ca="1" si="58"/>
        <v>DESSENA</v>
      </c>
      <c r="BI52" s="4" t="str">
        <f t="shared" ca="1" si="79"/>
        <v/>
      </c>
      <c r="BJ52" t="str">
        <f t="shared" ca="1" si="60"/>
        <v>LO FASO</v>
      </c>
      <c r="BK52" s="7">
        <f t="shared" ca="1" si="17"/>
        <v>52</v>
      </c>
      <c r="BL52" s="7" t="str">
        <f t="shared" ca="1" si="61"/>
        <v>LO FASO</v>
      </c>
      <c r="BM52" s="4" t="str">
        <f t="shared" ca="1" si="67"/>
        <v/>
      </c>
      <c r="BN52" t="str">
        <f t="shared" ca="1" si="62"/>
        <v/>
      </c>
      <c r="BO52" s="7">
        <f t="shared" ca="1" si="18"/>
        <v>1</v>
      </c>
      <c r="BP52" s="7">
        <f t="shared" ca="1" si="63"/>
        <v>0</v>
      </c>
    </row>
    <row r="53" spans="1:68" ht="13.5" customHeight="1">
      <c r="A53" s="8" t="str">
        <f>IF(Asta!$AE$3&lt;AK53,"","A")</f>
        <v/>
      </c>
      <c r="B53" s="9" t="str">
        <f ca="1">IF(A53="","",IF(ISNA(MATCH(A$3&amp;A53&amp;$AK53,Asta!$I:$I,0)),"",INDIRECT("Asta!B"&amp;MATCH(A$3&amp;A53&amp;$AK53,Asta!$I:$I,0))))</f>
        <v/>
      </c>
      <c r="C53" s="10" t="str">
        <f ca="1">IF(B53="","",IF(ISNA(MATCH(A$3&amp;A53&amp;$AK53,Asta!$I:$I,0)),"",INDIRECT("Asta!H"&amp;MATCH(A$3&amp;A53&amp;$AK53,Asta!$I:$I,0))))</f>
        <v/>
      </c>
      <c r="D53" s="384" t="str">
        <f t="shared" si="68"/>
        <v/>
      </c>
      <c r="E53" s="9" t="str">
        <f ca="1">IF(D53="","",IF(ISNA(MATCH(D$3&amp;D53&amp;$AK53,Asta!$I:$I,0)),"",INDIRECT("Asta!B"&amp;MATCH(D$3&amp;D53&amp;$AK53,Asta!$I:$I,0))))</f>
        <v/>
      </c>
      <c r="F53" s="10" t="str">
        <f ca="1">IF(E53="","",IF(ISNA(MATCH(D$3&amp;D53&amp;$AK53,Asta!$I:$I,0)),"",INDIRECT("Asta!H"&amp;MATCH(D$3&amp;D53&amp;$AK53,Asta!$I:$I,0))))</f>
        <v/>
      </c>
      <c r="G53" s="384" t="str">
        <f t="shared" si="69"/>
        <v/>
      </c>
      <c r="H53" s="9" t="str">
        <f ca="1">IF(G53="","",IF(ISNA(MATCH(G$3&amp;G53&amp;$AK53,Asta!$I:$I,0)),"",INDIRECT("Asta!B"&amp;MATCH(G$3&amp;G53&amp;$AK53,Asta!$I:$I,0))))</f>
        <v/>
      </c>
      <c r="I53" s="10" t="str">
        <f ca="1">IF(H53="","",IF(ISNA(MATCH(G$3&amp;G53&amp;$AK53,Asta!$I:$I,0)),"",INDIRECT("Asta!H"&amp;MATCH(G$3&amp;G53&amp;$AK53,Asta!$I:$I,0))))</f>
        <v/>
      </c>
      <c r="J53" s="384" t="str">
        <f t="shared" si="70"/>
        <v/>
      </c>
      <c r="K53" s="9" t="str">
        <f ca="1">IF(J53="","",IF(ISNA(MATCH(J$3&amp;J53&amp;$AK53,Asta!$I:$I,0)),"",INDIRECT("Asta!B"&amp;MATCH(J$3&amp;J53&amp;$AK53,Asta!$I:$I,0))))</f>
        <v/>
      </c>
      <c r="L53" s="10" t="str">
        <f ca="1">IF(K53="","",IF(ISNA(MATCH(J$3&amp;J53&amp;$AK53,Asta!$I:$I,0)),"",INDIRECT("Asta!H"&amp;MATCH(J$3&amp;J53&amp;$AK53,Asta!$I:$I,0))))</f>
        <v/>
      </c>
      <c r="M53" s="384" t="str">
        <f t="shared" si="71"/>
        <v/>
      </c>
      <c r="N53" s="9" t="str">
        <f ca="1">IF(M53="","",IF(ISNA(MATCH(M$3&amp;M53&amp;$AK53,Asta!$I:$I,0)),"",INDIRECT("Asta!B"&amp;MATCH(M$3&amp;M53&amp;$AK53,Asta!$I:$I,0))))</f>
        <v/>
      </c>
      <c r="O53" s="10" t="str">
        <f ca="1">IF(N53="","",IF(ISNA(MATCH(M$3&amp;M53&amp;$AK53,Asta!$I:$I,0)),"",INDIRECT("Asta!H"&amp;MATCH(M$3&amp;M53&amp;$AK53,Asta!$I:$I,0))))</f>
        <v/>
      </c>
      <c r="P53" s="384" t="str">
        <f t="shared" si="72"/>
        <v/>
      </c>
      <c r="Q53" s="9" t="str">
        <f ca="1">IF(P53="","",IF(ISNA(MATCH(P$3&amp;P53&amp;$AK53,Asta!$I:$I,0)),"",INDIRECT("Asta!B"&amp;MATCH(P$3&amp;P53&amp;$AK53,Asta!$I:$I,0))))</f>
        <v/>
      </c>
      <c r="R53" s="10" t="str">
        <f ca="1">IF(Q53="","",IF(ISNA(MATCH(P$3&amp;P53&amp;$AK53,Asta!$I:$I,0)),"",INDIRECT("Asta!H"&amp;MATCH(P$3&amp;P53&amp;$AK53,Asta!$I:$I,0))))</f>
        <v/>
      </c>
      <c r="S53" s="384" t="str">
        <f t="shared" si="73"/>
        <v/>
      </c>
      <c r="T53" s="9" t="str">
        <f ca="1">IF(S53="","",IF(ISNA(MATCH(S$3&amp;S53&amp;$AK53,Asta!$I:$I,0)),"",INDIRECT("Asta!B"&amp;MATCH(S$3&amp;S53&amp;$AK53,Asta!$I:$I,0))))</f>
        <v/>
      </c>
      <c r="U53" s="10" t="str">
        <f ca="1">IF(T53="","",IF(ISNA(MATCH(S$3&amp;S53&amp;$AK53,Asta!$I:$I,0)),"",INDIRECT("Asta!H"&amp;MATCH(S$3&amp;S53&amp;$AK53,Asta!$I:$I,0))))</f>
        <v/>
      </c>
      <c r="V53" s="384" t="str">
        <f t="shared" si="74"/>
        <v/>
      </c>
      <c r="W53" s="9" t="str">
        <f ca="1">IF(V53="","",IF(ISNA(MATCH(V$3&amp;V53&amp;$AK53,Asta!$I:$I,0)),"",INDIRECT("Asta!B"&amp;MATCH(V$3&amp;V53&amp;$AK53,Asta!$I:$I,0))))</f>
        <v/>
      </c>
      <c r="X53" s="10" t="str">
        <f ca="1">IF(W53="","",IF(ISNA(MATCH(V$3&amp;V53&amp;$AK53,Asta!$I:$I,0)),"",INDIRECT("Asta!H"&amp;MATCH(V$3&amp;V53&amp;$AK53,Asta!$I:$I,0))))</f>
        <v/>
      </c>
      <c r="Y53" s="384" t="str">
        <f t="shared" si="75"/>
        <v/>
      </c>
      <c r="Z53" s="9" t="str">
        <f ca="1">IF(Y53="","",IF(ISNA(MATCH(Y$3&amp;Y53&amp;$AK53,Asta!$I:$I,0)),"",INDIRECT("Asta!B"&amp;MATCH(Y$3&amp;Y53&amp;$AK53,Asta!$I:$I,0))))</f>
        <v/>
      </c>
      <c r="AA53" s="10" t="str">
        <f ca="1">IF(Z53="","",IF(ISNA(MATCH(Y$3&amp;Y53&amp;$AK53,Asta!$I:$I,0)),"",INDIRECT("Asta!H"&amp;MATCH(Y$3&amp;Y53&amp;$AK53,Asta!$I:$I,0))))</f>
        <v/>
      </c>
      <c r="AB53" s="384" t="str">
        <f t="shared" si="76"/>
        <v/>
      </c>
      <c r="AC53" s="9" t="str">
        <f ca="1">IF(AB53="","",IF(ISNA(MATCH(AB$3&amp;AB53&amp;$AK53,Asta!$I:$I,0)),"",INDIRECT("Asta!B"&amp;MATCH(AB$3&amp;AB53&amp;$AK53,Asta!$I:$I,0))))</f>
        <v/>
      </c>
      <c r="AD53" s="10" t="str">
        <f ca="1">IF(AC53="","",IF(ISNA(MATCH(AB$3&amp;AB53&amp;$AK53,Asta!$I:$I,0)),"",INDIRECT("Asta!H"&amp;MATCH(AB$3&amp;AB53&amp;$AK53,Asta!$I:$I,0))))</f>
        <v/>
      </c>
      <c r="AE53" s="384" t="str">
        <f t="shared" si="77"/>
        <v/>
      </c>
      <c r="AF53" s="9" t="str">
        <f ca="1">IF(AE53="","",IF(ISNA(MATCH(AE$3&amp;AE53&amp;$AK53,Asta!$I:$I,0)),"",INDIRECT("Asta!B"&amp;MATCH(AE$3&amp;AE53&amp;$AK53,Asta!$I:$I,0))))</f>
        <v/>
      </c>
      <c r="AG53" s="10" t="str">
        <f ca="1">IF(AF53="","",IF(ISNA(MATCH(AE$3&amp;AE53&amp;$AK53,Asta!$I:$I,0)),"",INDIRECT("Asta!H"&amp;MATCH(AE$3&amp;AE53&amp;$AK53,Asta!$I:$I,0))))</f>
        <v/>
      </c>
      <c r="AH53" s="384" t="str">
        <f t="shared" si="78"/>
        <v/>
      </c>
      <c r="AI53" s="9" t="str">
        <f ca="1">IF(AH53="","",IF(ISNA(MATCH(AH$3&amp;AH53&amp;$AK53,Asta!$I:$I,0)),"",INDIRECT("Asta!B"&amp;MATCH(AH$3&amp;AH53&amp;$AK53,Asta!$I:$I,0))))</f>
        <v/>
      </c>
      <c r="AJ53" s="10" t="str">
        <f ca="1">IF(AI53="","",IF(ISNA(MATCH(AH$3&amp;AH53&amp;$AK53,Asta!$I:$I,0)),"",INDIRECT("Asta!H"&amp;MATCH(AH$3&amp;AH53&amp;$AK53,Asta!$I:$I,0))))</f>
        <v/>
      </c>
      <c r="AK53" s="4">
        <v>8</v>
      </c>
      <c r="AM53" s="221"/>
      <c r="AN53" s="231" t="str">
        <f ca="1">IF(Giocatori!E60=0,"",Giocatori!E60)</f>
        <v>SILVESTRI</v>
      </c>
      <c r="AO53" s="221"/>
      <c r="AP53" s="231" t="str">
        <f ca="1">IF(Giocatori!H60=0,"",Giocatori!H60)</f>
        <v>COSTA F</v>
      </c>
      <c r="AQ53" s="221"/>
      <c r="AR53" s="231" t="str">
        <f ca="1">IF(Giocatori!K60=0,"",Giocatori!K60)</f>
        <v>DI GENNARO D</v>
      </c>
      <c r="AS53" s="221"/>
      <c r="AT53" s="231" t="str">
        <f ca="1">IF(Giocatori!N60=0,"",Giocatori!N60)</f>
        <v>LOMBARDI</v>
      </c>
      <c r="AU53" s="221"/>
      <c r="AV53" s="231" t="str">
        <f ca="1">IF(Giocatori!Q60=0,"",Giocatori!Q60)</f>
        <v/>
      </c>
      <c r="AX53" t="str">
        <f t="shared" ca="1" si="53"/>
        <v>SILVESTRI</v>
      </c>
      <c r="AY53" s="7">
        <f t="shared" ca="1" si="1"/>
        <v>53</v>
      </c>
      <c r="AZ53" s="7" t="str">
        <f t="shared" ca="1" si="54"/>
        <v>SILVESTRI</v>
      </c>
      <c r="BA53" s="4" t="str">
        <f t="shared" ca="1" si="80"/>
        <v/>
      </c>
      <c r="BB53" t="str">
        <f t="shared" ca="1" si="55"/>
        <v>COSTA F</v>
      </c>
      <c r="BC53" s="7">
        <f t="shared" ca="1" si="15"/>
        <v>53</v>
      </c>
      <c r="BD53" s="7" t="str">
        <f t="shared" ca="1" si="56"/>
        <v>COSTA F</v>
      </c>
      <c r="BE53" s="4" t="str">
        <f t="shared" ca="1" si="81"/>
        <v/>
      </c>
      <c r="BF53" t="str">
        <f t="shared" ca="1" si="57"/>
        <v>DI GENNARO D</v>
      </c>
      <c r="BG53" s="7">
        <f t="shared" ca="1" si="16"/>
        <v>53</v>
      </c>
      <c r="BH53" s="7" t="str">
        <f t="shared" ca="1" si="58"/>
        <v>DI GENNARO D</v>
      </c>
      <c r="BI53" s="4" t="str">
        <f t="shared" ca="1" si="79"/>
        <v/>
      </c>
      <c r="BJ53" t="str">
        <f t="shared" ca="1" si="60"/>
        <v>LOMBARDI</v>
      </c>
      <c r="BK53" s="7">
        <f t="shared" ca="1" si="17"/>
        <v>53</v>
      </c>
      <c r="BL53" s="7" t="str">
        <f t="shared" ca="1" si="61"/>
        <v>LOMBARDI</v>
      </c>
      <c r="BM53" s="4" t="str">
        <f t="shared" ca="1" si="67"/>
        <v/>
      </c>
      <c r="BN53" t="str">
        <f t="shared" ca="1" si="62"/>
        <v/>
      </c>
      <c r="BO53" s="7">
        <f t="shared" ca="1" si="18"/>
        <v>1</v>
      </c>
      <c r="BP53" s="7">
        <f t="shared" ca="1" si="63"/>
        <v>0</v>
      </c>
    </row>
    <row r="54" spans="1:68" ht="14.25">
      <c r="B54" s="13" t="s">
        <v>628</v>
      </c>
      <c r="C54" s="14">
        <f ca="1">SUM(C46:C53)</f>
        <v>0</v>
      </c>
      <c r="E54" s="13" t="s">
        <v>628</v>
      </c>
      <c r="F54" s="14">
        <f ca="1">SUM(F46:F53)</f>
        <v>0</v>
      </c>
      <c r="H54" s="13" t="s">
        <v>628</v>
      </c>
      <c r="I54" s="14">
        <f ca="1">SUM(I46:I53)</f>
        <v>0</v>
      </c>
      <c r="J54" s="2"/>
      <c r="K54" s="13" t="s">
        <v>628</v>
      </c>
      <c r="L54" s="14">
        <f ca="1">SUM(L46:L53)</f>
        <v>0</v>
      </c>
      <c r="N54" s="13" t="s">
        <v>628</v>
      </c>
      <c r="O54" s="14">
        <f ca="1">SUM(O46:O53)</f>
        <v>0</v>
      </c>
      <c r="Q54" s="13" t="s">
        <v>628</v>
      </c>
      <c r="R54" s="14">
        <f ca="1">SUM(R46:R53)</f>
        <v>0</v>
      </c>
      <c r="T54" s="13" t="s">
        <v>628</v>
      </c>
      <c r="U54" s="14">
        <f ca="1">SUM(U46:U53)</f>
        <v>0</v>
      </c>
      <c r="W54" s="13" t="s">
        <v>628</v>
      </c>
      <c r="X54" s="14">
        <f ca="1">SUM(X46:X53)</f>
        <v>0</v>
      </c>
      <c r="Z54" s="13" t="s">
        <v>628</v>
      </c>
      <c r="AA54" s="14">
        <f ca="1">SUM(AA46:AA53)</f>
        <v>0</v>
      </c>
      <c r="AC54" s="13" t="s">
        <v>628</v>
      </c>
      <c r="AD54" s="14">
        <f ca="1">SUM(AD46:AD53)</f>
        <v>0</v>
      </c>
      <c r="AF54" s="13" t="s">
        <v>628</v>
      </c>
      <c r="AG54" s="14">
        <f ca="1">SUM(AG46:AG53)</f>
        <v>0</v>
      </c>
      <c r="AI54" s="13" t="s">
        <v>628</v>
      </c>
      <c r="AJ54" s="14">
        <f ca="1">SUM(AJ46:AJ53)</f>
        <v>0</v>
      </c>
      <c r="AL54" s="18"/>
      <c r="AM54" s="221"/>
      <c r="AN54" s="231" t="str">
        <f ca="1">IF(Giocatori!E61=0,"",Giocatori!E61)</f>
        <v>SIRIGU</v>
      </c>
      <c r="AO54" s="221"/>
      <c r="AP54" s="231" t="str">
        <f ca="1">IF(Giocatori!H61=0,"",Giocatori!H61)</f>
        <v>CREMONESI</v>
      </c>
      <c r="AQ54" s="221"/>
      <c r="AR54" s="231" t="str">
        <f ca="1">IF(Giocatori!K61=0,"",Giocatori!K61)</f>
        <v>DIAWARA</v>
      </c>
      <c r="AS54" s="221"/>
      <c r="AT54" s="231" t="str">
        <f ca="1">IF(Giocatori!N61=0,"",Giocatori!N61)</f>
        <v>MANDZUKIC</v>
      </c>
      <c r="AU54" s="221"/>
      <c r="AV54" s="231" t="str">
        <f ca="1">IF(Giocatori!Q61=0,"",Giocatori!Q61)</f>
        <v/>
      </c>
      <c r="AX54" t="str">
        <f t="shared" ca="1" si="53"/>
        <v>SIRIGU</v>
      </c>
      <c r="AY54" s="7">
        <f t="shared" ca="1" si="1"/>
        <v>54</v>
      </c>
      <c r="AZ54" s="7" t="str">
        <f t="shared" ca="1" si="54"/>
        <v>SIRIGU</v>
      </c>
      <c r="BA54" s="4" t="str">
        <f t="shared" ca="1" si="80"/>
        <v/>
      </c>
      <c r="BB54" t="str">
        <f t="shared" ca="1" si="55"/>
        <v>CREMONESI</v>
      </c>
      <c r="BC54" s="7">
        <f t="shared" ca="1" si="15"/>
        <v>54</v>
      </c>
      <c r="BD54" s="7" t="str">
        <f t="shared" ca="1" si="56"/>
        <v>CREMONESI</v>
      </c>
      <c r="BE54" s="4" t="str">
        <f t="shared" ca="1" si="81"/>
        <v/>
      </c>
      <c r="BF54" t="str">
        <f t="shared" ca="1" si="57"/>
        <v>DIAWARA</v>
      </c>
      <c r="BG54" s="7">
        <f t="shared" ca="1" si="16"/>
        <v>54</v>
      </c>
      <c r="BH54" s="7" t="str">
        <f t="shared" ca="1" si="58"/>
        <v>DIAWARA</v>
      </c>
      <c r="BI54" s="4" t="str">
        <f t="shared" ca="1" si="79"/>
        <v/>
      </c>
      <c r="BJ54" t="str">
        <f t="shared" ca="1" si="60"/>
        <v>MANDZUKIC</v>
      </c>
      <c r="BK54" s="7">
        <f t="shared" ca="1" si="17"/>
        <v>54</v>
      </c>
      <c r="BL54" s="7" t="str">
        <f t="shared" ca="1" si="61"/>
        <v>MANDZUKIC</v>
      </c>
      <c r="BM54" s="4" t="str">
        <f t="shared" ref="BM54:BM63" ca="1" si="82">IF(Q30=0,"",Q30)</f>
        <v/>
      </c>
      <c r="BN54" t="str">
        <f t="shared" ca="1" si="62"/>
        <v/>
      </c>
      <c r="BO54" s="7">
        <f t="shared" ca="1" si="18"/>
        <v>1</v>
      </c>
      <c r="BP54" s="7">
        <f t="shared" ca="1" si="63"/>
        <v>0</v>
      </c>
    </row>
    <row r="55" spans="1:68" ht="14.25">
      <c r="B55" s="13" t="s">
        <v>629</v>
      </c>
      <c r="C55" s="14">
        <f ca="1">C54+C41+C71</f>
        <v>0</v>
      </c>
      <c r="E55" s="13" t="s">
        <v>629</v>
      </c>
      <c r="F55" s="14">
        <f ca="1">F54+F41+F71</f>
        <v>0</v>
      </c>
      <c r="H55" s="13" t="s">
        <v>629</v>
      </c>
      <c r="I55" s="14">
        <f ca="1">I54+I41+I71</f>
        <v>0</v>
      </c>
      <c r="J55" s="2"/>
      <c r="K55" s="13" t="s">
        <v>629</v>
      </c>
      <c r="L55" s="14">
        <f ca="1">L54+L41+L71</f>
        <v>0</v>
      </c>
      <c r="N55" s="13" t="s">
        <v>629</v>
      </c>
      <c r="O55" s="14">
        <f ca="1">O54+O41+O71</f>
        <v>0</v>
      </c>
      <c r="Q55" s="13" t="s">
        <v>629</v>
      </c>
      <c r="R55" s="14">
        <f ca="1">R54+R41+R71</f>
        <v>0</v>
      </c>
      <c r="T55" s="13" t="s">
        <v>629</v>
      </c>
      <c r="U55" s="14">
        <f ca="1">U54+U41+U71</f>
        <v>0</v>
      </c>
      <c r="W55" s="13" t="s">
        <v>629</v>
      </c>
      <c r="X55" s="14">
        <f ca="1">X54+X41+X71</f>
        <v>0</v>
      </c>
      <c r="Z55" s="13" t="s">
        <v>629</v>
      </c>
      <c r="AA55" s="14">
        <f ca="1">AA54+AA41+AA71</f>
        <v>0</v>
      </c>
      <c r="AC55" s="13" t="s">
        <v>629</v>
      </c>
      <c r="AD55" s="14">
        <f ca="1">AD54+AD41+AD71</f>
        <v>0</v>
      </c>
      <c r="AF55" s="13" t="s">
        <v>629</v>
      </c>
      <c r="AG55" s="14">
        <f ca="1">AG54+AG41+AG71</f>
        <v>0</v>
      </c>
      <c r="AI55" s="13" t="s">
        <v>629</v>
      </c>
      <c r="AJ55" s="14">
        <f ca="1">AJ54+AJ41+AJ71</f>
        <v>0</v>
      </c>
      <c r="AM55" s="221"/>
      <c r="AN55" s="231" t="str">
        <f ca="1">IF(Giocatori!E62=0,"",Giocatori!E62)</f>
        <v>SKORUPSKI</v>
      </c>
      <c r="AO55" s="221"/>
      <c r="AP55" s="231" t="str">
        <f ca="1">IF(Giocatori!H62=0,"",Giocatori!H62)</f>
        <v>DAINELLI</v>
      </c>
      <c r="AQ55" s="221"/>
      <c r="AR55" s="231" t="str">
        <f ca="1">IF(Giocatori!K62=0,"",Giocatori!K62)</f>
        <v>DJURICIC</v>
      </c>
      <c r="AS55" s="221"/>
      <c r="AT55" s="231" t="str">
        <f ca="1">IF(Giocatori!N62=0,"",Giocatori!N62)</f>
        <v>MATOS</v>
      </c>
      <c r="AU55" s="221"/>
      <c r="AV55" s="231" t="str">
        <f ca="1">IF(Giocatori!Q62=0,"",Giocatori!Q62)</f>
        <v/>
      </c>
      <c r="AX55" t="str">
        <f t="shared" ca="1" si="53"/>
        <v>SKORUPSKI</v>
      </c>
      <c r="AY55" s="7">
        <f t="shared" ca="1" si="1"/>
        <v>55</v>
      </c>
      <c r="AZ55" s="7" t="str">
        <f t="shared" ca="1" si="54"/>
        <v>SKORUPSKI</v>
      </c>
      <c r="BA55" s="4" t="str">
        <f t="shared" ca="1" si="80"/>
        <v/>
      </c>
      <c r="BB55" t="str">
        <f t="shared" ca="1" si="55"/>
        <v>DAINELLI</v>
      </c>
      <c r="BC55" s="7">
        <f t="shared" ca="1" si="15"/>
        <v>55</v>
      </c>
      <c r="BD55" s="7" t="str">
        <f t="shared" ca="1" si="56"/>
        <v>DAINELLI</v>
      </c>
      <c r="BE55" s="4" t="str">
        <f t="shared" ca="1" si="81"/>
        <v/>
      </c>
      <c r="BF55" t="str">
        <f t="shared" ca="1" si="57"/>
        <v>DJURICIC</v>
      </c>
      <c r="BG55" s="7">
        <f t="shared" ca="1" si="16"/>
        <v>55</v>
      </c>
      <c r="BH55" s="7" t="str">
        <f t="shared" ca="1" si="58"/>
        <v>DJURICIC</v>
      </c>
      <c r="BI55" s="4" t="str">
        <f t="shared" ca="1" si="79"/>
        <v/>
      </c>
      <c r="BJ55" t="str">
        <f t="shared" ca="1" si="60"/>
        <v>MATOS</v>
      </c>
      <c r="BK55" s="7">
        <f t="shared" ca="1" si="17"/>
        <v>55</v>
      </c>
      <c r="BL55" s="7" t="str">
        <f t="shared" ca="1" si="61"/>
        <v>MATOS</v>
      </c>
      <c r="BM55" s="4" t="str">
        <f t="shared" ca="1" si="82"/>
        <v/>
      </c>
      <c r="BN55" t="str">
        <f t="shared" ca="1" si="62"/>
        <v/>
      </c>
      <c r="BO55" s="7">
        <f t="shared" ca="1" si="18"/>
        <v>1</v>
      </c>
      <c r="BP55" s="7">
        <f t="shared" ca="1" si="63"/>
        <v>0</v>
      </c>
    </row>
    <row r="56" spans="1:68" ht="14.25">
      <c r="A56" s="15"/>
      <c r="B56" s="13" t="s">
        <v>630</v>
      </c>
      <c r="C56" s="14">
        <f ca="1">C42</f>
        <v>326</v>
      </c>
      <c r="D56" s="15"/>
      <c r="E56" s="13" t="s">
        <v>630</v>
      </c>
      <c r="F56" s="14">
        <f ca="1">F42</f>
        <v>326</v>
      </c>
      <c r="G56" s="15"/>
      <c r="H56" s="13" t="s">
        <v>630</v>
      </c>
      <c r="I56" s="14">
        <f ca="1">I42</f>
        <v>326</v>
      </c>
      <c r="J56" s="15"/>
      <c r="K56" s="13" t="s">
        <v>630</v>
      </c>
      <c r="L56" s="14">
        <f ca="1">L$58-(COUNTIF($A$5:$A$7,"=P")+COUNTIF($A$14:$A$23,"=D")+10-COUNTBLANK($A$30:$A$39)+COUNTIF($A$46:$A$53,"=A")-(COUNTIF(L$5:L$7,"&gt;0")+COUNTIF(L$14:L$23,"&gt;0")+COUNTIF(L$30:L$39,"&gt;0")+COUNTIF(L$46:L$53,"&gt;0")))+1</f>
        <v>326</v>
      </c>
      <c r="M56" s="15"/>
      <c r="N56" s="13" t="s">
        <v>630</v>
      </c>
      <c r="O56" s="14">
        <f ca="1">O42</f>
        <v>326</v>
      </c>
      <c r="P56" s="15"/>
      <c r="Q56" s="13" t="s">
        <v>630</v>
      </c>
      <c r="R56" s="14">
        <f ca="1">R42</f>
        <v>326</v>
      </c>
      <c r="S56" s="15"/>
      <c r="T56" s="13" t="s">
        <v>630</v>
      </c>
      <c r="U56" s="14">
        <f ca="1">U42</f>
        <v>326</v>
      </c>
      <c r="V56" s="15"/>
      <c r="W56" s="13" t="s">
        <v>630</v>
      </c>
      <c r="X56" s="14">
        <f ca="1">X42</f>
        <v>326</v>
      </c>
      <c r="Y56" s="15"/>
      <c r="Z56" s="13" t="s">
        <v>630</v>
      </c>
      <c r="AA56" s="14">
        <f ca="1">AA42</f>
        <v>326</v>
      </c>
      <c r="AB56" s="15"/>
      <c r="AC56" s="13" t="s">
        <v>630</v>
      </c>
      <c r="AD56" s="14">
        <f ca="1">AD42</f>
        <v>326</v>
      </c>
      <c r="AE56" s="15"/>
      <c r="AF56" s="13" t="s">
        <v>630</v>
      </c>
      <c r="AG56" s="14">
        <f ca="1">AG42</f>
        <v>326</v>
      </c>
      <c r="AH56" s="15"/>
      <c r="AI56" s="13" t="s">
        <v>630</v>
      </c>
      <c r="AJ56" s="14">
        <f ca="1">AJ42</f>
        <v>326</v>
      </c>
      <c r="AM56" s="221"/>
      <c r="AN56" s="231" t="str">
        <f ca="1">IF(Giocatori!E63=0,"",Giocatori!E63)</f>
        <v>SORRENTINO</v>
      </c>
      <c r="AO56" s="221"/>
      <c r="AP56" s="231" t="str">
        <f ca="1">IF(Giocatori!H63=0,"",Giocatori!H63)</f>
        <v>DALBERT</v>
      </c>
      <c r="AQ56" s="221"/>
      <c r="AR56" s="231" t="str">
        <f ca="1">IF(Giocatori!K63=0,"",Giocatori!K63)</f>
        <v>DONSAH</v>
      </c>
      <c r="AS56" s="221"/>
      <c r="AT56" s="231" t="str">
        <f ca="1">IF(Giocatori!N63=0,"",Giocatori!N63)</f>
        <v>MATRI</v>
      </c>
      <c r="AU56" s="221"/>
      <c r="AV56" s="231" t="str">
        <f ca="1">IF(Giocatori!Q63=0,"",Giocatori!Q63)</f>
        <v/>
      </c>
      <c r="AW56" s="17"/>
      <c r="AX56" t="str">
        <f t="shared" ca="1" si="53"/>
        <v>SORRENTINO</v>
      </c>
      <c r="AY56" s="7">
        <f t="shared" ca="1" si="1"/>
        <v>56</v>
      </c>
      <c r="AZ56" s="7" t="str">
        <f t="shared" ca="1" si="54"/>
        <v>SORRENTINO</v>
      </c>
      <c r="BA56" s="4" t="str">
        <f t="shared" ca="1" si="80"/>
        <v/>
      </c>
      <c r="BB56" t="str">
        <f t="shared" ca="1" si="55"/>
        <v>DALBERT</v>
      </c>
      <c r="BC56" s="7">
        <f t="shared" ca="1" si="15"/>
        <v>56</v>
      </c>
      <c r="BD56" s="7" t="str">
        <f t="shared" ca="1" si="56"/>
        <v>DALBERT</v>
      </c>
      <c r="BE56" s="4" t="str">
        <f t="shared" ca="1" si="81"/>
        <v/>
      </c>
      <c r="BF56" t="str">
        <f t="shared" ca="1" si="57"/>
        <v>DONSAH</v>
      </c>
      <c r="BG56" s="7">
        <f t="shared" ca="1" si="16"/>
        <v>56</v>
      </c>
      <c r="BH56" s="7" t="str">
        <f t="shared" ca="1" si="58"/>
        <v>DONSAH</v>
      </c>
      <c r="BI56" s="4" t="str">
        <f t="shared" ca="1" si="79"/>
        <v/>
      </c>
      <c r="BJ56" t="str">
        <f t="shared" ca="1" si="60"/>
        <v>MATRI</v>
      </c>
      <c r="BK56" s="7">
        <f t="shared" ca="1" si="17"/>
        <v>56</v>
      </c>
      <c r="BL56" s="7" t="str">
        <f t="shared" ca="1" si="61"/>
        <v>MATRI</v>
      </c>
      <c r="BM56" s="4" t="str">
        <f t="shared" ca="1" si="82"/>
        <v/>
      </c>
      <c r="BN56" t="str">
        <f t="shared" ca="1" si="62"/>
        <v/>
      </c>
      <c r="BO56" s="7">
        <f t="shared" ca="1" si="18"/>
        <v>1</v>
      </c>
      <c r="BP56" s="7">
        <f t="shared" ca="1" si="63"/>
        <v>0</v>
      </c>
    </row>
    <row r="57" spans="1:68" s="18" customFormat="1" ht="11.25" customHeight="1">
      <c r="A57" s="365"/>
      <c r="B57" s="382" t="s">
        <v>631</v>
      </c>
      <c r="C57" s="383">
        <f ca="1">C58-INDIRECT(ADDRESS(58,MATCH(Asta!$D$3,$A$3:$AJ$3,0)+2,1,1))</f>
        <v>0</v>
      </c>
      <c r="D57" s="365"/>
      <c r="E57" s="382" t="s">
        <v>631</v>
      </c>
      <c r="F57" s="383">
        <f ca="1">F58-INDIRECT(ADDRESS(58,MATCH(Asta!$D$3,$A$3:$AJ$3,0)+2,1,1))</f>
        <v>0</v>
      </c>
      <c r="G57" s="365"/>
      <c r="H57" s="382" t="s">
        <v>631</v>
      </c>
      <c r="I57" s="383">
        <f ca="1">I58-INDIRECT(ADDRESS(58,MATCH(Asta!$D$3,$A$3:$AJ$3,0)+2,1,1))</f>
        <v>0</v>
      </c>
      <c r="J57" s="365"/>
      <c r="K57" s="382" t="s">
        <v>631</v>
      </c>
      <c r="L57" s="383">
        <f ca="1">L58-INDIRECT(ADDRESS(58,MATCH(Asta!$D$3,$A$3:$AJ$3,0)+2,1,1))</f>
        <v>0</v>
      </c>
      <c r="M57" s="365"/>
      <c r="N57" s="382" t="s">
        <v>631</v>
      </c>
      <c r="O57" s="383">
        <f ca="1">O58-INDIRECT(ADDRESS(58,MATCH(Asta!$D$3,$A$3:$AJ$3,0)+2,1,1))</f>
        <v>0</v>
      </c>
      <c r="P57" s="365"/>
      <c r="Q57" s="382" t="s">
        <v>631</v>
      </c>
      <c r="R57" s="383">
        <f ca="1">R58-INDIRECT(ADDRESS(58,MATCH(Asta!$D$3,$A$3:$AJ$3,0)+2,1,1))</f>
        <v>0</v>
      </c>
      <c r="S57" s="365"/>
      <c r="T57" s="382" t="s">
        <v>631</v>
      </c>
      <c r="U57" s="383">
        <f ca="1">U58-INDIRECT(ADDRESS(58,MATCH(Asta!$D$3,$A$3:$AJ$3,0)+2,1,1))</f>
        <v>0</v>
      </c>
      <c r="V57" s="365"/>
      <c r="W57" s="382" t="s">
        <v>631</v>
      </c>
      <c r="X57" s="383">
        <f ca="1">X58-INDIRECT(ADDRESS(58,MATCH(Asta!$D$3,$A$3:$AJ$3,0)+2,1,1))</f>
        <v>0</v>
      </c>
      <c r="Y57" s="365"/>
      <c r="Z57" s="382" t="s">
        <v>631</v>
      </c>
      <c r="AA57" s="383">
        <f ca="1">AA58-INDIRECT(ADDRESS(58,MATCH(Asta!$D$3,$A$3:$AJ$3,0)+2,1,1))</f>
        <v>0</v>
      </c>
      <c r="AB57" s="365"/>
      <c r="AC57" s="382" t="s">
        <v>631</v>
      </c>
      <c r="AD57" s="383">
        <f ca="1">AD58-INDIRECT(ADDRESS(58,MATCH(Asta!$D$3,$A$3:$AJ$3,0)+2,1,1))</f>
        <v>0</v>
      </c>
      <c r="AE57" s="365"/>
      <c r="AF57" s="382" t="s">
        <v>631</v>
      </c>
      <c r="AG57" s="383">
        <f ca="1">AG58-INDIRECT(ADDRESS(58,MATCH(Asta!$D$3,$A$3:$AJ$3,0)+2,1,1))</f>
        <v>0</v>
      </c>
      <c r="AH57" s="365"/>
      <c r="AI57" s="382" t="s">
        <v>631</v>
      </c>
      <c r="AJ57" s="383">
        <f ca="1">AJ58-INDIRECT(ADDRESS(58,MATCH(Asta!$D$3,$A$3:$AJ$3,0)+2,1,1))</f>
        <v>0</v>
      </c>
      <c r="AM57" s="182"/>
      <c r="AN57" s="366" t="str">
        <f ca="1">IF(Giocatori!E64=0,"",Giocatori!E64)</f>
        <v>SPORTIELLO</v>
      </c>
      <c r="AO57" s="182"/>
      <c r="AP57" s="366" t="str">
        <f ca="1">IF(Giocatori!H64=0,"",Giocatori!H64)</f>
        <v>D'AMBROSIO</v>
      </c>
      <c r="AQ57" s="182"/>
      <c r="AR57" s="366" t="str">
        <f ca="1">IF(Giocatori!K64=0,"",Giocatori!K64)</f>
        <v>DOUGLAS COSTA</v>
      </c>
      <c r="AS57" s="182"/>
      <c r="AT57" s="366" t="str">
        <f ca="1">IF(Giocatori!N64=0,"",Giocatori!N64)</f>
        <v>MAXI LOPEZ</v>
      </c>
      <c r="AU57" s="182"/>
      <c r="AV57" s="366" t="str">
        <f ca="1">IF(Giocatori!Q64=0,"",Giocatori!Q64)</f>
        <v/>
      </c>
      <c r="AX57" s="69" t="str">
        <f t="shared" ca="1" si="53"/>
        <v>SPORTIELLO</v>
      </c>
      <c r="AY57" s="7">
        <f t="shared" ca="1" si="1"/>
        <v>57</v>
      </c>
      <c r="AZ57" s="7" t="str">
        <f t="shared" ca="1" si="54"/>
        <v>SPORTIELLO</v>
      </c>
      <c r="BA57" s="18" t="str">
        <f t="shared" ca="1" si="80"/>
        <v/>
      </c>
      <c r="BB57" s="69" t="str">
        <f t="shared" ca="1" si="55"/>
        <v>D'AMBROSIO</v>
      </c>
      <c r="BC57" s="7">
        <f t="shared" ca="1" si="15"/>
        <v>57</v>
      </c>
      <c r="BD57" s="7" t="str">
        <f t="shared" ca="1" si="56"/>
        <v>D'AMBROSIO</v>
      </c>
      <c r="BE57" s="18" t="str">
        <f t="shared" ca="1" si="81"/>
        <v/>
      </c>
      <c r="BF57" s="69" t="str">
        <f t="shared" ca="1" si="57"/>
        <v>DOUGLAS COSTA</v>
      </c>
      <c r="BG57" s="7">
        <f t="shared" ca="1" si="16"/>
        <v>57</v>
      </c>
      <c r="BH57" s="7" t="str">
        <f t="shared" ca="1" si="58"/>
        <v>DOUGLAS COSTA</v>
      </c>
      <c r="BI57" s="18" t="str">
        <f t="shared" ca="1" si="79"/>
        <v/>
      </c>
      <c r="BJ57" s="69" t="str">
        <f t="shared" ca="1" si="60"/>
        <v>MAXI LOPEZ</v>
      </c>
      <c r="BK57" s="7">
        <f t="shared" ca="1" si="17"/>
        <v>57</v>
      </c>
      <c r="BL57" s="7" t="str">
        <f t="shared" ca="1" si="61"/>
        <v>MAXI LOPEZ</v>
      </c>
      <c r="BM57" s="18" t="str">
        <f t="shared" ca="1" si="82"/>
        <v/>
      </c>
      <c r="BN57" s="69" t="str">
        <f t="shared" ca="1" si="62"/>
        <v/>
      </c>
      <c r="BO57" s="7">
        <f t="shared" ca="1" si="18"/>
        <v>1</v>
      </c>
      <c r="BP57" s="7">
        <f t="shared" ca="1" si="63"/>
        <v>0</v>
      </c>
    </row>
    <row r="58" spans="1:68" s="379" customFormat="1" ht="15">
      <c r="A58" s="376"/>
      <c r="B58" s="377" t="s">
        <v>632</v>
      </c>
      <c r="C58" s="378">
        <f ca="1">$C$61-C55+C94+C59</f>
        <v>350</v>
      </c>
      <c r="D58" s="376"/>
      <c r="E58" s="377" t="s">
        <v>632</v>
      </c>
      <c r="F58" s="378">
        <f ca="1">$C$61-F55+F94+F59</f>
        <v>350</v>
      </c>
      <c r="G58" s="376"/>
      <c r="H58" s="377" t="s">
        <v>632</v>
      </c>
      <c r="I58" s="378">
        <f ca="1">$C$61-I55+I94+I59</f>
        <v>350</v>
      </c>
      <c r="J58" s="376"/>
      <c r="K58" s="377" t="s">
        <v>632</v>
      </c>
      <c r="L58" s="378">
        <f ca="1">$C$61-L55+L94+L59</f>
        <v>350</v>
      </c>
      <c r="M58" s="376"/>
      <c r="N58" s="377" t="s">
        <v>632</v>
      </c>
      <c r="O58" s="378">
        <f ca="1">$C$61-O55+O94+O59</f>
        <v>350</v>
      </c>
      <c r="P58" s="376"/>
      <c r="Q58" s="377" t="s">
        <v>632</v>
      </c>
      <c r="R58" s="378">
        <f ca="1">$C$61-R55+R94+R59</f>
        <v>350</v>
      </c>
      <c r="S58" s="376"/>
      <c r="T58" s="377" t="s">
        <v>632</v>
      </c>
      <c r="U58" s="378">
        <f ca="1">$C$61-U55+U94+U59</f>
        <v>350</v>
      </c>
      <c r="V58" s="376"/>
      <c r="W58" s="377" t="s">
        <v>632</v>
      </c>
      <c r="X58" s="378">
        <f ca="1">$C$61-X55+X94+X59</f>
        <v>350</v>
      </c>
      <c r="Y58" s="376"/>
      <c r="Z58" s="377" t="s">
        <v>632</v>
      </c>
      <c r="AA58" s="378">
        <f ca="1">$C$61-AA55+AA94+AA59</f>
        <v>350</v>
      </c>
      <c r="AB58" s="376"/>
      <c r="AC58" s="377" t="s">
        <v>632</v>
      </c>
      <c r="AD58" s="378">
        <f ca="1">$C$61-AD55+AD94+AD59</f>
        <v>350</v>
      </c>
      <c r="AE58" s="376"/>
      <c r="AF58" s="377" t="s">
        <v>632</v>
      </c>
      <c r="AG58" s="378">
        <f ca="1">$C$61-AG55+AG94+AG59</f>
        <v>350</v>
      </c>
      <c r="AH58" s="376"/>
      <c r="AI58" s="377" t="s">
        <v>632</v>
      </c>
      <c r="AJ58" s="378">
        <f ca="1">$C$61-AJ55+AJ94+AJ59</f>
        <v>350</v>
      </c>
      <c r="AM58" s="221"/>
      <c r="AN58" s="380" t="str">
        <f ca="1">IF(Giocatori!E65=0,"",Giocatori!E65)</f>
        <v>STORARI</v>
      </c>
      <c r="AO58" s="221"/>
      <c r="AP58" s="380" t="str">
        <f ca="1">IF(Giocatori!H65=0,"",Giocatori!H65)</f>
        <v>DANILO</v>
      </c>
      <c r="AQ58" s="221"/>
      <c r="AR58" s="380" t="str">
        <f ca="1">IF(Giocatori!K65=0,"",Giocatori!K65)</f>
        <v>DUNCAN</v>
      </c>
      <c r="AS58" s="221"/>
      <c r="AT58" s="380" t="str">
        <f ca="1">IF(Giocatori!N65=0,"",Giocatori!N65)</f>
        <v>MEGGIORINI</v>
      </c>
      <c r="AU58" s="221"/>
      <c r="AV58" s="380" t="str">
        <f ca="1">IF(Giocatori!Q65=0,"",Giocatori!Q65)</f>
        <v/>
      </c>
      <c r="AX58" s="1" t="str">
        <f t="shared" ca="1" si="53"/>
        <v>STORARI</v>
      </c>
      <c r="AY58" s="381">
        <f t="shared" ca="1" si="1"/>
        <v>58</v>
      </c>
      <c r="AZ58" s="381" t="str">
        <f t="shared" ca="1" si="54"/>
        <v>STORARI</v>
      </c>
      <c r="BA58" s="379" t="str">
        <f t="shared" ca="1" si="80"/>
        <v/>
      </c>
      <c r="BB58" s="1" t="str">
        <f t="shared" ca="1" si="55"/>
        <v>DANILO</v>
      </c>
      <c r="BC58" s="381">
        <f t="shared" ca="1" si="15"/>
        <v>58</v>
      </c>
      <c r="BD58" s="381" t="str">
        <f t="shared" ca="1" si="56"/>
        <v>DANILO</v>
      </c>
      <c r="BE58" s="379" t="str">
        <f t="shared" ca="1" si="81"/>
        <v/>
      </c>
      <c r="BF58" s="1" t="str">
        <f t="shared" ca="1" si="57"/>
        <v>DUNCAN</v>
      </c>
      <c r="BG58" s="381">
        <f t="shared" ca="1" si="16"/>
        <v>58</v>
      </c>
      <c r="BH58" s="381" t="str">
        <f t="shared" ca="1" si="58"/>
        <v>DUNCAN</v>
      </c>
      <c r="BI58" s="379" t="str">
        <f t="shared" ref="BI58:BI65" ca="1" si="83">IF(W46=0,"",W46)</f>
        <v/>
      </c>
      <c r="BJ58" s="1" t="str">
        <f t="shared" ca="1" si="60"/>
        <v>MEGGIORINI</v>
      </c>
      <c r="BK58" s="381">
        <f t="shared" ca="1" si="17"/>
        <v>58</v>
      </c>
      <c r="BL58" s="381" t="str">
        <f t="shared" ca="1" si="61"/>
        <v>MEGGIORINI</v>
      </c>
      <c r="BM58" s="379" t="str">
        <f t="shared" ca="1" si="82"/>
        <v/>
      </c>
      <c r="BN58" s="1" t="str">
        <f t="shared" ca="1" si="62"/>
        <v/>
      </c>
      <c r="BO58" s="381">
        <f t="shared" ca="1" si="18"/>
        <v>1</v>
      </c>
      <c r="BP58" s="381">
        <f t="shared" ca="1" si="63"/>
        <v>0</v>
      </c>
    </row>
    <row r="59" spans="1:68" s="379" customFormat="1" ht="15">
      <c r="A59" s="376"/>
      <c r="B59" s="377" t="s">
        <v>1954</v>
      </c>
      <c r="C59" s="378">
        <f>Asta!U7</f>
        <v>0</v>
      </c>
      <c r="D59" s="376"/>
      <c r="E59" s="377" t="s">
        <v>1954</v>
      </c>
      <c r="F59" s="378">
        <f>Asta!AK7</f>
        <v>0</v>
      </c>
      <c r="G59" s="376"/>
      <c r="H59" s="377" t="s">
        <v>1954</v>
      </c>
      <c r="I59" s="378">
        <f>Asta!U8</f>
        <v>0</v>
      </c>
      <c r="J59" s="376"/>
      <c r="K59" s="377" t="s">
        <v>1954</v>
      </c>
      <c r="L59" s="378">
        <f>Asta!AK8</f>
        <v>0</v>
      </c>
      <c r="M59" s="376"/>
      <c r="N59" s="377" t="s">
        <v>1954</v>
      </c>
      <c r="O59" s="378">
        <f>Asta!U9</f>
        <v>0</v>
      </c>
      <c r="P59" s="376"/>
      <c r="Q59" s="377" t="s">
        <v>1954</v>
      </c>
      <c r="R59" s="378">
        <f>Asta!AK9</f>
        <v>0</v>
      </c>
      <c r="S59" s="376"/>
      <c r="T59" s="377" t="s">
        <v>1954</v>
      </c>
      <c r="U59" s="378">
        <f>Asta!U10</f>
        <v>0</v>
      </c>
      <c r="V59" s="376"/>
      <c r="W59" s="377" t="s">
        <v>1954</v>
      </c>
      <c r="X59" s="378">
        <f>Asta!AK10</f>
        <v>0</v>
      </c>
      <c r="Y59" s="376"/>
      <c r="Z59" s="377" t="s">
        <v>1954</v>
      </c>
      <c r="AA59" s="378">
        <f>Asta!U11</f>
        <v>0</v>
      </c>
      <c r="AB59" s="376"/>
      <c r="AC59" s="377" t="s">
        <v>1954</v>
      </c>
      <c r="AD59" s="378">
        <f>Asta!AK11</f>
        <v>0</v>
      </c>
      <c r="AE59" s="376"/>
      <c r="AF59" s="377" t="s">
        <v>1954</v>
      </c>
      <c r="AG59" s="378">
        <f>Asta!U12</f>
        <v>0</v>
      </c>
      <c r="AH59" s="376"/>
      <c r="AI59" s="377" t="s">
        <v>1954</v>
      </c>
      <c r="AJ59" s="378">
        <f>Asta!AK12</f>
        <v>0</v>
      </c>
      <c r="AM59" s="221"/>
      <c r="AN59" s="380" t="str">
        <f ca="1">IF(Giocatori!E66=0,"",Giocatori!E66)</f>
        <v>STRAKOSHA</v>
      </c>
      <c r="AO59" s="221"/>
      <c r="AP59" s="380" t="str">
        <f ca="1">IF(Giocatori!H66=0,"",Giocatori!H66)</f>
        <v>DE MAIO</v>
      </c>
      <c r="AQ59" s="221"/>
      <c r="AR59" s="380" t="str">
        <f ca="1">IF(Giocatori!K66=0,"",Giocatori!K66)</f>
        <v>EWANDRO</v>
      </c>
      <c r="AS59" s="221"/>
      <c r="AT59" s="380" t="str">
        <f ca="1">IF(Giocatori!N66=0,"",Giocatori!N66)</f>
        <v>MELCHIORRI</v>
      </c>
      <c r="AU59" s="221"/>
      <c r="AV59" s="380" t="str">
        <f ca="1">IF(Giocatori!Q66=0,"",Giocatori!Q66)</f>
        <v/>
      </c>
      <c r="AX59" s="1" t="str">
        <f t="shared" ref="AX59" ca="1" si="84">IF(ISNA(VLOOKUP(AN59,$AW$2:$AW$199,1,FALSE)),AN59,"")</f>
        <v>STRAKOSHA</v>
      </c>
      <c r="AY59" s="381">
        <f t="shared" ca="1" si="1"/>
        <v>59</v>
      </c>
      <c r="AZ59" s="381" t="str">
        <f t="shared" ca="1" si="54"/>
        <v>STRAKOSHA</v>
      </c>
      <c r="BA59" s="379" t="str">
        <f t="shared" ref="BA59" ca="1" si="85">IF(Q21=0,"",Q21)</f>
        <v/>
      </c>
      <c r="BB59" s="1" t="str">
        <f t="shared" ref="BB59" ca="1" si="86">IF(ISNA(VLOOKUP(AP59,$BA$2:$BA$199,1,FALSE)),AP59,"")</f>
        <v>DE MAIO</v>
      </c>
      <c r="BC59" s="381">
        <f t="shared" ca="1" si="15"/>
        <v>59</v>
      </c>
      <c r="BD59" s="381" t="str">
        <f t="shared" ca="1" si="56"/>
        <v>DE MAIO</v>
      </c>
      <c r="BE59" s="379" t="str">
        <f t="shared" ref="BE59" ca="1" si="87">IF(Q37=0,"",Q37)</f>
        <v/>
      </c>
      <c r="BF59" s="1" t="str">
        <f t="shared" ref="BF59" ca="1" si="88">IF(ISNA(VLOOKUP(AR59,$BE$2:$BE$199,1,FALSE)),AR59,"")</f>
        <v>EWANDRO</v>
      </c>
      <c r="BG59" s="381">
        <f t="shared" ca="1" si="16"/>
        <v>59</v>
      </c>
      <c r="BH59" s="381" t="str">
        <f t="shared" ca="1" si="58"/>
        <v>EWANDRO</v>
      </c>
      <c r="BI59" s="379" t="str">
        <f t="shared" ref="BI59" ca="1" si="89">IF(W47=0,"",W47)</f>
        <v/>
      </c>
      <c r="BJ59" s="1" t="str">
        <f t="shared" ref="BJ59" ca="1" si="90">IF(ISNA(VLOOKUP(AT59,$BI$2:$BI$199,1,FALSE)),AT59,"")</f>
        <v>MELCHIORRI</v>
      </c>
      <c r="BK59" s="381">
        <f t="shared" ca="1" si="17"/>
        <v>59</v>
      </c>
      <c r="BL59" s="381" t="str">
        <f t="shared" ca="1" si="61"/>
        <v>MELCHIORRI</v>
      </c>
      <c r="BM59" s="379" t="str">
        <f t="shared" ref="BM59" ca="1" si="91">IF(Q35=0,"",Q35)</f>
        <v/>
      </c>
      <c r="BN59" s="1" t="str">
        <f t="shared" ref="BN59" ca="1" si="92">IF(ISNA(VLOOKUP(AV59,$BM$2:$BM$199,1,FALSE)),AV59,"")</f>
        <v/>
      </c>
      <c r="BO59" s="381">
        <f t="shared" ca="1" si="18"/>
        <v>1</v>
      </c>
      <c r="BP59" s="381">
        <f t="shared" ca="1" si="63"/>
        <v>0</v>
      </c>
    </row>
    <row r="60" spans="1:68" ht="10.5" customHeight="1">
      <c r="F60" s="532"/>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19"/>
      <c r="AH60" s="19"/>
      <c r="AM60" s="221"/>
      <c r="AN60" s="231" t="str">
        <f ca="1">IF(Giocatori!E67=0,"",Giocatori!E67)</f>
        <v>SZCZESNY</v>
      </c>
      <c r="AO60" s="221"/>
      <c r="AP60" s="231" t="str">
        <f ca="1">IF(Giocatori!H67=0,"",Giocatori!H67)</f>
        <v>DE SCIGLIO</v>
      </c>
      <c r="AQ60" s="221"/>
      <c r="AR60" s="231" t="str">
        <f ca="1">IF(Giocatori!K67=0,"",Giocatori!K67)</f>
        <v>EYSSERIC</v>
      </c>
      <c r="AS60" s="221"/>
      <c r="AT60" s="231" t="str">
        <f ca="1">IF(Giocatori!N67=0,"",Giocatori!N67)</f>
        <v>MERTENS</v>
      </c>
      <c r="AU60" s="221"/>
      <c r="AV60" s="231" t="str">
        <f ca="1">IF(Giocatori!Q67=0,"",Giocatori!Q67)</f>
        <v/>
      </c>
      <c r="AX60" t="str">
        <f t="shared" ca="1" si="53"/>
        <v>SZCZESNY</v>
      </c>
      <c r="AY60" s="7">
        <f t="shared" ca="1" si="1"/>
        <v>60</v>
      </c>
      <c r="AZ60" s="7" t="str">
        <f t="shared" ca="1" si="54"/>
        <v>SZCZESNY</v>
      </c>
      <c r="BA60" s="4" t="str">
        <f t="shared" ca="1" si="80"/>
        <v/>
      </c>
      <c r="BB60" t="str">
        <f t="shared" ca="1" si="55"/>
        <v>DE SCIGLIO</v>
      </c>
      <c r="BC60" s="7">
        <f t="shared" ca="1" si="15"/>
        <v>60</v>
      </c>
      <c r="BD60" s="7" t="str">
        <f t="shared" ca="1" si="56"/>
        <v>DE SCIGLIO</v>
      </c>
      <c r="BE60" s="4" t="str">
        <f t="shared" ca="1" si="81"/>
        <v/>
      </c>
      <c r="BF60" t="str">
        <f t="shared" ca="1" si="57"/>
        <v>EYSSERIC</v>
      </c>
      <c r="BG60" s="7">
        <f t="shared" ca="1" si="16"/>
        <v>60</v>
      </c>
      <c r="BH60" s="7" t="str">
        <f t="shared" ca="1" si="58"/>
        <v>EYSSERIC</v>
      </c>
      <c r="BI60" s="4" t="str">
        <f t="shared" ca="1" si="83"/>
        <v/>
      </c>
      <c r="BJ60" t="str">
        <f t="shared" ca="1" si="60"/>
        <v>MERTENS</v>
      </c>
      <c r="BK60" s="7">
        <f t="shared" ca="1" si="17"/>
        <v>60</v>
      </c>
      <c r="BL60" s="7" t="str">
        <f t="shared" ca="1" si="61"/>
        <v>MERTENS</v>
      </c>
      <c r="BM60" s="4" t="str">
        <f t="shared" ca="1" si="82"/>
        <v/>
      </c>
      <c r="BN60" t="str">
        <f t="shared" ca="1" si="62"/>
        <v/>
      </c>
      <c r="BO60" s="7">
        <f t="shared" ca="1" si="18"/>
        <v>1</v>
      </c>
      <c r="BP60" s="7">
        <f t="shared" ca="1" si="63"/>
        <v>0</v>
      </c>
    </row>
    <row r="61" spans="1:68" ht="30">
      <c r="A61" s="530" t="s">
        <v>634</v>
      </c>
      <c r="B61" s="530"/>
      <c r="C61" s="531">
        <f>Asta!U3</f>
        <v>350</v>
      </c>
      <c r="D61" s="531"/>
      <c r="E61" s="531"/>
      <c r="F61" s="424"/>
      <c r="G61" s="424"/>
      <c r="H61" s="424"/>
      <c r="I61" s="424"/>
      <c r="J61" s="424"/>
      <c r="K61" s="424"/>
      <c r="L61" s="424"/>
      <c r="M61" s="424"/>
      <c r="N61" s="424"/>
      <c r="O61" s="424"/>
      <c r="P61" s="424"/>
      <c r="Q61" s="424"/>
      <c r="R61" s="424"/>
      <c r="S61" s="424"/>
      <c r="T61" s="424"/>
      <c r="U61" s="424"/>
      <c r="V61" s="20"/>
      <c r="W61" s="21"/>
      <c r="X61" s="22"/>
      <c r="Y61" s="20"/>
      <c r="Z61" s="22"/>
      <c r="AA61" s="22"/>
      <c r="AB61" s="20"/>
      <c r="AC61" s="22"/>
      <c r="AD61" s="22"/>
      <c r="AE61" s="20"/>
      <c r="AH61" s="20"/>
      <c r="AM61" s="221"/>
      <c r="AN61" s="231" t="str">
        <f ca="1">IF(Giocatori!E68=0,"",Giocatori!E68)</f>
        <v>TOZZO</v>
      </c>
      <c r="AO61" s="221"/>
      <c r="AP61" s="231" t="str">
        <f ca="1">IF(Giocatori!H68=0,"",Giocatori!H68)</f>
        <v>DE SILVESTRI</v>
      </c>
      <c r="AQ61" s="221"/>
      <c r="AR61" s="231" t="str">
        <f ca="1">IF(Giocatori!K68=0,"",Giocatori!K68)</f>
        <v>FALLETTI</v>
      </c>
      <c r="AS61" s="221"/>
      <c r="AT61" s="231" t="str">
        <f ca="1">IF(Giocatori!N68=0,"",Giocatori!N68)</f>
        <v>MILIK</v>
      </c>
      <c r="AU61" s="221"/>
      <c r="AV61" s="231" t="str">
        <f ca="1">IF(Giocatori!Q68=0,"",Giocatori!Q68)</f>
        <v/>
      </c>
      <c r="AX61" t="str">
        <f t="shared" ca="1" si="53"/>
        <v>TOZZO</v>
      </c>
      <c r="AY61" s="7">
        <f t="shared" ca="1" si="1"/>
        <v>61</v>
      </c>
      <c r="AZ61" s="7" t="str">
        <f t="shared" ca="1" si="54"/>
        <v>TOZZO</v>
      </c>
      <c r="BA61" s="4" t="str">
        <f t="shared" ca="1" si="80"/>
        <v/>
      </c>
      <c r="BB61" t="str">
        <f t="shared" ca="1" si="55"/>
        <v>DE SILVESTRI</v>
      </c>
      <c r="BC61" s="7">
        <f t="shared" ca="1" si="15"/>
        <v>61</v>
      </c>
      <c r="BD61" s="7" t="str">
        <f t="shared" ca="1" si="56"/>
        <v>DE SILVESTRI</v>
      </c>
      <c r="BE61" s="4" t="str">
        <f t="shared" ca="1" si="81"/>
        <v/>
      </c>
      <c r="BF61" t="str">
        <f t="shared" ca="1" si="57"/>
        <v>FALLETTI</v>
      </c>
      <c r="BG61" s="7">
        <f t="shared" ca="1" si="16"/>
        <v>61</v>
      </c>
      <c r="BH61" s="7" t="str">
        <f t="shared" ca="1" si="58"/>
        <v>FALLETTI</v>
      </c>
      <c r="BI61" s="4" t="str">
        <f t="shared" ca="1" si="83"/>
        <v/>
      </c>
      <c r="BJ61" t="str">
        <f t="shared" ca="1" si="60"/>
        <v>MILIK</v>
      </c>
      <c r="BK61" s="7">
        <f t="shared" ca="1" si="17"/>
        <v>61</v>
      </c>
      <c r="BL61" s="7" t="str">
        <f t="shared" ca="1" si="61"/>
        <v>MILIK</v>
      </c>
      <c r="BM61" s="4" t="str">
        <f t="shared" ca="1" si="82"/>
        <v/>
      </c>
      <c r="BN61" t="str">
        <f t="shared" ca="1" si="62"/>
        <v/>
      </c>
      <c r="BO61" s="7">
        <f t="shared" ca="1" si="18"/>
        <v>1</v>
      </c>
      <c r="BP61" s="7">
        <f t="shared" ca="1" si="63"/>
        <v>0</v>
      </c>
    </row>
    <row r="62" spans="1:68" ht="16.5" customHeight="1">
      <c r="AK62" s="18"/>
      <c r="AM62" s="221"/>
      <c r="AN62" s="231" t="str">
        <f ca="1">IF(Giocatori!E69=0,"",Giocatori!E69)</f>
        <v>VARGIC</v>
      </c>
      <c r="AO62" s="221"/>
      <c r="AP62" s="231" t="str">
        <f ca="1">IF(Giocatori!H69=0,"",Giocatori!H69)</f>
        <v>DE VRIJ</v>
      </c>
      <c r="AQ62" s="221"/>
      <c r="AR62" s="231" t="str">
        <f ca="1">IF(Giocatori!K69=0,"",Giocatori!K69)</f>
        <v>FARAGO'</v>
      </c>
      <c r="AS62" s="221"/>
      <c r="AT62" s="231" t="str">
        <f ca="1">IF(Giocatori!N69=0,"",Giocatori!N69)</f>
        <v>NANI</v>
      </c>
      <c r="AU62" s="221"/>
      <c r="AV62" s="231" t="str">
        <f ca="1">IF(Giocatori!Q69=0,"",Giocatori!Q69)</f>
        <v/>
      </c>
      <c r="AX62" t="str">
        <f t="shared" ca="1" si="53"/>
        <v>VARGIC</v>
      </c>
      <c r="AY62" s="7">
        <f t="shared" ca="1" si="1"/>
        <v>62</v>
      </c>
      <c r="AZ62" s="7" t="str">
        <f t="shared" ca="1" si="54"/>
        <v>VARGIC</v>
      </c>
      <c r="BA62" s="4" t="str">
        <f t="shared" ref="BA62:BA71" ca="1" si="93">IF(T14=0,"",T14)</f>
        <v/>
      </c>
      <c r="BB62" t="str">
        <f t="shared" ca="1" si="55"/>
        <v>DE VRIJ</v>
      </c>
      <c r="BC62" s="7">
        <f t="shared" ca="1" si="15"/>
        <v>62</v>
      </c>
      <c r="BD62" s="7" t="str">
        <f t="shared" ca="1" si="56"/>
        <v>DE VRIJ</v>
      </c>
      <c r="BE62" s="4" t="str">
        <f t="shared" ref="BE62:BE71" ca="1" si="94">IF(T30=0,"",T30)</f>
        <v/>
      </c>
      <c r="BF62" t="str">
        <f t="shared" ca="1" si="57"/>
        <v>FARAGO'</v>
      </c>
      <c r="BG62" s="7">
        <f t="shared" ca="1" si="16"/>
        <v>62</v>
      </c>
      <c r="BH62" s="7" t="str">
        <f t="shared" ca="1" si="58"/>
        <v>FARAGO'</v>
      </c>
      <c r="BI62" s="4" t="str">
        <f t="shared" ca="1" si="83"/>
        <v/>
      </c>
      <c r="BJ62" t="str">
        <f t="shared" ca="1" si="60"/>
        <v>NANI</v>
      </c>
      <c r="BK62" s="7">
        <f t="shared" ca="1" si="17"/>
        <v>62</v>
      </c>
      <c r="BL62" s="7" t="str">
        <f t="shared" ca="1" si="61"/>
        <v>NANI</v>
      </c>
      <c r="BM62" s="4" t="str">
        <f t="shared" ca="1" si="82"/>
        <v/>
      </c>
      <c r="BN62" t="str">
        <f t="shared" ca="1" si="62"/>
        <v/>
      </c>
      <c r="BO62" s="7">
        <f t="shared" ca="1" si="18"/>
        <v>1</v>
      </c>
      <c r="BP62" s="7">
        <f t="shared" ca="1" si="63"/>
        <v>0</v>
      </c>
    </row>
    <row r="63" spans="1:68" ht="14.25">
      <c r="A63" s="528" t="s">
        <v>635</v>
      </c>
      <c r="B63" s="528"/>
      <c r="C63" s="529"/>
      <c r="D63" s="527" t="s">
        <v>635</v>
      </c>
      <c r="E63" s="528"/>
      <c r="F63" s="529"/>
      <c r="G63" s="527" t="s">
        <v>635</v>
      </c>
      <c r="H63" s="528"/>
      <c r="I63" s="529"/>
      <c r="J63" s="370" t="s">
        <v>635</v>
      </c>
      <c r="K63" s="370"/>
      <c r="L63" s="370" t="s">
        <v>636</v>
      </c>
      <c r="M63" s="527" t="s">
        <v>635</v>
      </c>
      <c r="N63" s="528"/>
      <c r="O63" s="529"/>
      <c r="P63" s="527" t="s">
        <v>635</v>
      </c>
      <c r="Q63" s="528"/>
      <c r="R63" s="529"/>
      <c r="S63" s="527" t="s">
        <v>635</v>
      </c>
      <c r="T63" s="528"/>
      <c r="U63" s="529"/>
      <c r="V63" s="527" t="s">
        <v>635</v>
      </c>
      <c r="W63" s="528"/>
      <c r="X63" s="529"/>
      <c r="Y63" s="527" t="s">
        <v>635</v>
      </c>
      <c r="Z63" s="528"/>
      <c r="AA63" s="529"/>
      <c r="AB63" s="527" t="s">
        <v>635</v>
      </c>
      <c r="AC63" s="528"/>
      <c r="AD63" s="529"/>
      <c r="AE63" s="527" t="s">
        <v>635</v>
      </c>
      <c r="AF63" s="528"/>
      <c r="AG63" s="529"/>
      <c r="AH63" s="527" t="s">
        <v>635</v>
      </c>
      <c r="AI63" s="528"/>
      <c r="AJ63" s="529"/>
      <c r="AM63" s="221"/>
      <c r="AN63" s="231" t="str">
        <f ca="1">IF(Giocatori!E70=0,"",Giocatori!E70)</f>
        <v>VISCOVO</v>
      </c>
      <c r="AO63" s="221"/>
      <c r="AP63" s="231" t="str">
        <f ca="1">IF(Giocatori!H70=0,"",Giocatori!H70)</f>
        <v>DELLA GIOVANNA</v>
      </c>
      <c r="AQ63" s="221"/>
      <c r="AR63" s="231" t="str">
        <f ca="1">IF(Giocatori!K70=0,"",Giocatori!K70)</f>
        <v>FARES</v>
      </c>
      <c r="AS63" s="221"/>
      <c r="AT63" s="231" t="str">
        <f ca="1">IF(Giocatori!N70=0,"",Giocatori!N70)</f>
        <v>NIANG</v>
      </c>
      <c r="AU63" s="221"/>
      <c r="AV63" s="231" t="str">
        <f ca="1">IF(Giocatori!Q70=0,"",Giocatori!Q70)</f>
        <v/>
      </c>
      <c r="AX63" t="str">
        <f t="shared" ca="1" si="53"/>
        <v>VISCOVO</v>
      </c>
      <c r="AY63" s="7">
        <f t="shared" ca="1" si="1"/>
        <v>63</v>
      </c>
      <c r="AZ63" s="7" t="str">
        <f t="shared" ca="1" si="54"/>
        <v>VISCOVO</v>
      </c>
      <c r="BA63" s="4" t="str">
        <f t="shared" ca="1" si="93"/>
        <v/>
      </c>
      <c r="BB63" t="str">
        <f t="shared" ca="1" si="55"/>
        <v>DELLA GIOVANNA</v>
      </c>
      <c r="BC63" s="7">
        <f t="shared" ca="1" si="15"/>
        <v>63</v>
      </c>
      <c r="BD63" s="7" t="str">
        <f t="shared" ca="1" si="56"/>
        <v>DELLA GIOVANNA</v>
      </c>
      <c r="BE63" s="4" t="str">
        <f t="shared" ca="1" si="94"/>
        <v/>
      </c>
      <c r="BF63" t="str">
        <f t="shared" ca="1" si="57"/>
        <v>FARES</v>
      </c>
      <c r="BG63" s="7">
        <f t="shared" ca="1" si="16"/>
        <v>63</v>
      </c>
      <c r="BH63" s="7" t="str">
        <f t="shared" ca="1" si="58"/>
        <v>FARES</v>
      </c>
      <c r="BI63" s="4" t="str">
        <f t="shared" ca="1" si="83"/>
        <v/>
      </c>
      <c r="BJ63" t="str">
        <f t="shared" ca="1" si="60"/>
        <v>NIANG</v>
      </c>
      <c r="BK63" s="7">
        <f t="shared" ca="1" si="17"/>
        <v>63</v>
      </c>
      <c r="BL63" s="7" t="str">
        <f t="shared" ca="1" si="61"/>
        <v>NIANG</v>
      </c>
      <c r="BM63" s="4" t="str">
        <f t="shared" ca="1" si="82"/>
        <v/>
      </c>
      <c r="BN63" t="str">
        <f t="shared" ca="1" si="62"/>
        <v/>
      </c>
      <c r="BO63" s="7">
        <f t="shared" ca="1" si="18"/>
        <v>1</v>
      </c>
      <c r="BP63" s="7">
        <f t="shared" ca="1" si="63"/>
        <v>0</v>
      </c>
    </row>
    <row r="64" spans="1:68" ht="14.25">
      <c r="A64" s="23" t="s">
        <v>35</v>
      </c>
      <c r="B64" s="9"/>
      <c r="C64" s="10"/>
      <c r="D64" s="23" t="s">
        <v>35</v>
      </c>
      <c r="E64" s="9"/>
      <c r="F64" s="10"/>
      <c r="G64" s="23" t="s">
        <v>35</v>
      </c>
      <c r="H64" s="9"/>
      <c r="I64" s="11"/>
      <c r="J64" s="23" t="s">
        <v>35</v>
      </c>
      <c r="K64" s="9"/>
      <c r="L64" s="10"/>
      <c r="M64" s="23" t="s">
        <v>35</v>
      </c>
      <c r="N64" s="9"/>
      <c r="O64" s="10"/>
      <c r="P64" s="23" t="s">
        <v>35</v>
      </c>
      <c r="Q64" s="9"/>
      <c r="R64" s="10"/>
      <c r="S64" s="23" t="s">
        <v>35</v>
      </c>
      <c r="T64" s="9"/>
      <c r="U64" s="10"/>
      <c r="V64" s="23" t="s">
        <v>35</v>
      </c>
      <c r="W64" s="9"/>
      <c r="X64" s="10"/>
      <c r="Y64" s="23" t="s">
        <v>35</v>
      </c>
      <c r="Z64" s="9"/>
      <c r="AA64" s="10"/>
      <c r="AB64" s="23" t="s">
        <v>35</v>
      </c>
      <c r="AC64" s="9"/>
      <c r="AD64" s="10"/>
      <c r="AE64" s="23" t="s">
        <v>35</v>
      </c>
      <c r="AF64" s="9"/>
      <c r="AG64" s="10"/>
      <c r="AH64" s="23" t="s">
        <v>35</v>
      </c>
      <c r="AI64" s="9"/>
      <c r="AJ64" s="9"/>
      <c r="AM64" s="221"/>
      <c r="AN64" s="231" t="str">
        <f ca="1">IF(Giocatori!E71=0,"",Giocatori!E71)</f>
        <v>VIVIANO</v>
      </c>
      <c r="AO64" s="221"/>
      <c r="AP64" s="231" t="str">
        <f ca="1">IF(Giocatori!H71=0,"",Giocatori!H71)</f>
        <v>DELL'ORCO</v>
      </c>
      <c r="AQ64" s="221"/>
      <c r="AR64" s="231" t="str">
        <f ca="1">IF(Giocatori!K71=0,"",Giocatori!K71)</f>
        <v>FELIPE ANDERSON</v>
      </c>
      <c r="AS64" s="221"/>
      <c r="AT64" s="231" t="str">
        <f ca="1">IF(Giocatori!N71=0,"",Giocatori!N71)</f>
        <v>OKWONKWO</v>
      </c>
      <c r="AU64" s="221"/>
      <c r="AV64" s="231" t="str">
        <f ca="1">IF(Giocatori!Q71=0,"",Giocatori!Q71)</f>
        <v/>
      </c>
      <c r="AX64" t="str">
        <f t="shared" ca="1" si="53"/>
        <v>VIVIANO</v>
      </c>
      <c r="AY64" s="7">
        <f t="shared" ca="1" si="1"/>
        <v>64</v>
      </c>
      <c r="AZ64" s="7" t="str">
        <f t="shared" ca="1" si="54"/>
        <v>VIVIANO</v>
      </c>
      <c r="BA64" s="4" t="str">
        <f t="shared" ca="1" si="93"/>
        <v/>
      </c>
      <c r="BB64" t="str">
        <f t="shared" ca="1" si="55"/>
        <v>DELL'ORCO</v>
      </c>
      <c r="BC64" s="7">
        <f t="shared" ca="1" si="15"/>
        <v>64</v>
      </c>
      <c r="BD64" s="7" t="str">
        <f t="shared" ca="1" si="56"/>
        <v>DELL'ORCO</v>
      </c>
      <c r="BE64" s="4" t="str">
        <f t="shared" ca="1" si="94"/>
        <v/>
      </c>
      <c r="BF64" t="str">
        <f t="shared" ca="1" si="57"/>
        <v>FELIPE ANDERSON</v>
      </c>
      <c r="BG64" s="7">
        <f t="shared" ca="1" si="16"/>
        <v>64</v>
      </c>
      <c r="BH64" s="7" t="str">
        <f t="shared" ca="1" si="58"/>
        <v>FELIPE ANDERSON</v>
      </c>
      <c r="BI64" s="4" t="str">
        <f t="shared" ca="1" si="83"/>
        <v/>
      </c>
      <c r="BJ64" t="str">
        <f t="shared" ca="1" si="60"/>
        <v>OKWONKWO</v>
      </c>
      <c r="BK64" s="7">
        <f t="shared" ca="1" si="17"/>
        <v>64</v>
      </c>
      <c r="BL64" s="7" t="str">
        <f t="shared" ca="1" si="61"/>
        <v>OKWONKWO</v>
      </c>
      <c r="BM64" s="4" t="str">
        <f t="shared" ref="BM64:BM72" ca="1" si="95">IF(T30=0,"",T30)</f>
        <v/>
      </c>
      <c r="BN64" t="str">
        <f t="shared" ca="1" si="62"/>
        <v/>
      </c>
      <c r="BO64" s="7">
        <f t="shared" ca="1" si="18"/>
        <v>1</v>
      </c>
      <c r="BP64" s="7">
        <f t="shared" ca="1" si="63"/>
        <v>0</v>
      </c>
    </row>
    <row r="65" spans="1:68" ht="14.25">
      <c r="A65" s="23" t="s">
        <v>37</v>
      </c>
      <c r="B65" s="9"/>
      <c r="C65" s="10"/>
      <c r="D65" s="23" t="s">
        <v>37</v>
      </c>
      <c r="E65" s="9"/>
      <c r="F65" s="10"/>
      <c r="G65" s="23" t="s">
        <v>37</v>
      </c>
      <c r="H65" s="9"/>
      <c r="I65" s="11"/>
      <c r="J65" s="23" t="s">
        <v>37</v>
      </c>
      <c r="K65" s="9"/>
      <c r="L65" s="10"/>
      <c r="M65" s="23" t="s">
        <v>37</v>
      </c>
      <c r="N65" s="9"/>
      <c r="O65" s="10"/>
      <c r="P65" s="23" t="s">
        <v>37</v>
      </c>
      <c r="Q65" s="9"/>
      <c r="R65" s="10"/>
      <c r="S65" s="23" t="s">
        <v>37</v>
      </c>
      <c r="T65" s="9"/>
      <c r="U65" s="10"/>
      <c r="V65" s="23" t="s">
        <v>37</v>
      </c>
      <c r="W65" s="9"/>
      <c r="X65" s="10"/>
      <c r="Y65" s="23" t="s">
        <v>37</v>
      </c>
      <c r="Z65" s="9"/>
      <c r="AA65" s="10"/>
      <c r="AB65" s="23" t="s">
        <v>37</v>
      </c>
      <c r="AC65" s="9"/>
      <c r="AD65" s="10"/>
      <c r="AE65" s="23" t="s">
        <v>37</v>
      </c>
      <c r="AF65" s="9"/>
      <c r="AG65" s="10"/>
      <c r="AH65" s="23" t="s">
        <v>37</v>
      </c>
      <c r="AI65" s="9"/>
      <c r="AJ65" s="9"/>
      <c r="AM65" s="221"/>
      <c r="AN65" s="231" t="str">
        <f ca="1">IF(Giocatori!E72=0,"",Giocatori!E72)</f>
        <v>ZIMA</v>
      </c>
      <c r="AO65" s="221"/>
      <c r="AP65" s="231" t="str">
        <f ca="1">IF(Giocatori!H72=0,"",Giocatori!H72)</f>
        <v>DEPAOLI</v>
      </c>
      <c r="AQ65" s="221"/>
      <c r="AR65" s="231" t="str">
        <f ca="1">IF(Giocatori!K72=0,"",Giocatori!K72)</f>
        <v>FERNANDEZ M</v>
      </c>
      <c r="AS65" s="221"/>
      <c r="AT65" s="231" t="str">
        <f ca="1">IF(Giocatori!N72=0,"",Giocatori!N72)</f>
        <v>ORSOLINI</v>
      </c>
      <c r="AU65" s="221"/>
      <c r="AV65" s="231" t="str">
        <f ca="1">IF(Giocatori!Q72=0,"",Giocatori!Q72)</f>
        <v/>
      </c>
      <c r="AX65" t="str">
        <f t="shared" ca="1" si="53"/>
        <v>ZIMA</v>
      </c>
      <c r="AY65" s="7">
        <f t="shared" ca="1" si="1"/>
        <v>65</v>
      </c>
      <c r="AZ65" s="7" t="str">
        <f t="shared" ca="1" si="54"/>
        <v>ZIMA</v>
      </c>
      <c r="BA65" s="4" t="str">
        <f t="shared" ca="1" si="93"/>
        <v/>
      </c>
      <c r="BB65" t="str">
        <f t="shared" ca="1" si="55"/>
        <v>DEPAOLI</v>
      </c>
      <c r="BC65" s="7">
        <f t="shared" ca="1" si="15"/>
        <v>65</v>
      </c>
      <c r="BD65" s="7" t="str">
        <f t="shared" ca="1" si="56"/>
        <v>DEPAOLI</v>
      </c>
      <c r="BE65" s="4" t="str">
        <f t="shared" ca="1" si="94"/>
        <v/>
      </c>
      <c r="BF65" t="str">
        <f t="shared" ca="1" si="57"/>
        <v>FERNANDEZ M</v>
      </c>
      <c r="BG65" s="7">
        <f t="shared" ca="1" si="16"/>
        <v>65</v>
      </c>
      <c r="BH65" s="7" t="str">
        <f t="shared" ca="1" si="58"/>
        <v>FERNANDEZ M</v>
      </c>
      <c r="BI65" s="4" t="str">
        <f t="shared" ca="1" si="83"/>
        <v/>
      </c>
      <c r="BJ65" t="str">
        <f t="shared" ca="1" si="60"/>
        <v>ORSOLINI</v>
      </c>
      <c r="BK65" s="7">
        <f t="shared" ca="1" si="17"/>
        <v>65</v>
      </c>
      <c r="BL65" s="7" t="str">
        <f t="shared" ca="1" si="61"/>
        <v>ORSOLINI</v>
      </c>
      <c r="BM65" s="4" t="str">
        <f t="shared" ca="1" si="95"/>
        <v/>
      </c>
      <c r="BN65" t="str">
        <f t="shared" ca="1" si="62"/>
        <v/>
      </c>
      <c r="BO65" s="7">
        <f t="shared" ca="1" si="18"/>
        <v>1</v>
      </c>
      <c r="BP65" s="7">
        <f t="shared" ca="1" si="63"/>
        <v>0</v>
      </c>
    </row>
    <row r="66" spans="1:68" ht="14.25">
      <c r="A66" s="23" t="s">
        <v>37</v>
      </c>
      <c r="B66" s="9"/>
      <c r="C66" s="10"/>
      <c r="D66" s="23" t="s">
        <v>37</v>
      </c>
      <c r="E66" s="9"/>
      <c r="F66" s="10"/>
      <c r="G66" s="23" t="s">
        <v>37</v>
      </c>
      <c r="H66" s="9"/>
      <c r="I66" s="11"/>
      <c r="J66" s="23" t="s">
        <v>37</v>
      </c>
      <c r="K66" s="9"/>
      <c r="L66" s="10"/>
      <c r="M66" s="23" t="s">
        <v>37</v>
      </c>
      <c r="N66" s="9"/>
      <c r="O66" s="10"/>
      <c r="P66" s="23" t="s">
        <v>37</v>
      </c>
      <c r="Q66" s="9"/>
      <c r="R66" s="10"/>
      <c r="S66" s="23" t="s">
        <v>37</v>
      </c>
      <c r="T66" s="9"/>
      <c r="U66" s="10"/>
      <c r="V66" s="23" t="s">
        <v>37</v>
      </c>
      <c r="W66" s="9"/>
      <c r="X66" s="10"/>
      <c r="Y66" s="23" t="s">
        <v>37</v>
      </c>
      <c r="Z66" s="9"/>
      <c r="AA66" s="10"/>
      <c r="AB66" s="23" t="s">
        <v>37</v>
      </c>
      <c r="AC66" s="9"/>
      <c r="AD66" s="10"/>
      <c r="AE66" s="23" t="s">
        <v>37</v>
      </c>
      <c r="AF66" s="9"/>
      <c r="AG66" s="10"/>
      <c r="AH66" s="23" t="s">
        <v>37</v>
      </c>
      <c r="AI66" s="9"/>
      <c r="AJ66" s="9"/>
      <c r="AM66" s="221"/>
      <c r="AN66" s="231" t="str">
        <f ca="1">IF(Giocatori!E73=0,"",Giocatori!E73)</f>
        <v/>
      </c>
      <c r="AO66" s="221"/>
      <c r="AP66" s="231" t="str">
        <f ca="1">IF(Giocatori!H73=0,"",Giocatori!H73)</f>
        <v>DI CHIARA</v>
      </c>
      <c r="AQ66" s="221"/>
      <c r="AR66" s="231" t="str">
        <f ca="1">IF(Giocatori!K73=0,"",Giocatori!K73)</f>
        <v>FOFANA</v>
      </c>
      <c r="AS66" s="221"/>
      <c r="AT66" s="231" t="str">
        <f ca="1">IF(Giocatori!N73=0,"",Giocatori!N73)</f>
        <v>OUNAS</v>
      </c>
      <c r="AU66" s="221"/>
      <c r="AV66" s="231" t="str">
        <f ca="1">IF(Giocatori!Q73=0,"",Giocatori!Q73)</f>
        <v/>
      </c>
      <c r="AX66" t="str">
        <f t="shared" ref="AX66:AX72" ca="1" si="96">IF(ISNA(VLOOKUP(AN66,$AW$2:$AW$199,1,FALSE)),AN66,"")</f>
        <v/>
      </c>
      <c r="AY66" s="7">
        <f t="shared" ref="AY66:AY129" ca="1" si="97">ROW()-COUNTBLANK(INDIRECT("$AX$2:AX"&amp;ROW()))</f>
        <v>65</v>
      </c>
      <c r="AZ66" s="7">
        <f t="shared" ref="AZ66:AZ73" ca="1" si="98">IF(ISERROR(INDEX($AX$2:$AX$199,MATCH(ROW(),$AY$2:$AY$199,FALSE))),0,INDEX($AX$2:$AX$199,MATCH(ROW(),$AY$2:$AY$199,FALSE)))</f>
        <v>0</v>
      </c>
      <c r="BA66" s="4" t="str">
        <f t="shared" ca="1" si="93"/>
        <v/>
      </c>
      <c r="BB66" t="str">
        <f t="shared" ref="BB66:BB72" ca="1" si="99">IF(ISNA(VLOOKUP(AP66,$BA$2:$BA$199,1,FALSE)),AP66,"")</f>
        <v>DI CHIARA</v>
      </c>
      <c r="BC66" s="7">
        <f t="shared" ca="1" si="15"/>
        <v>66</v>
      </c>
      <c r="BD66" s="7" t="str">
        <f t="shared" ref="BD66:BD73" ca="1" si="100">IF(ISERROR(INDEX($BB$2:$BB$199,MATCH(ROW(),$BC$2:$BC$199,FALSE))),0,INDEX($BB$2:$BB$199,MATCH(ROW(),$BC$2:$BC$199,FALSE)))</f>
        <v>DI CHIARA</v>
      </c>
      <c r="BE66" s="4" t="str">
        <f t="shared" ca="1" si="94"/>
        <v/>
      </c>
      <c r="BF66" t="str">
        <f t="shared" ref="BF66:BF72" ca="1" si="101">IF(ISNA(VLOOKUP(AR66,$BE$2:$BE$199,1,FALSE)),AR66,"")</f>
        <v>FOFANA</v>
      </c>
      <c r="BG66" s="7">
        <f t="shared" ca="1" si="16"/>
        <v>66</v>
      </c>
      <c r="BH66" s="7" t="str">
        <f t="shared" ref="BH66:BH73" ca="1" si="102">IF(ISERROR(INDEX($BF$2:$BF$199,MATCH(ROW(),$BG$2:$BG$199,FALSE))),0,INDEX($BF$2:$BF$199,MATCH(ROW(),$BG$2:$BG$199,FALSE)))</f>
        <v>FOFANA</v>
      </c>
      <c r="BI66" s="4" t="str">
        <f t="shared" ref="BI66:BI72" ca="1" si="103">IF(Z46=0,"",Z46)</f>
        <v/>
      </c>
      <c r="BJ66" t="str">
        <f t="shared" ref="BJ66:BJ72" ca="1" si="104">IF(ISNA(VLOOKUP(AT66,$BI$2:$BI$199,1,FALSE)),AT66,"")</f>
        <v>OUNAS</v>
      </c>
      <c r="BK66" s="7">
        <f t="shared" ca="1" si="17"/>
        <v>66</v>
      </c>
      <c r="BL66" s="7" t="str">
        <f t="shared" ref="BL66:BL73" ca="1" si="105">IF(ISERROR(INDEX($BJ$2:$BJ$199,MATCH(ROW(),$BK$2:$BK$199,FALSE))),0,INDEX($BJ$2:$BJ$199,MATCH(ROW(),$BK$2:$BK$199,FALSE)))</f>
        <v>OUNAS</v>
      </c>
      <c r="BM66" s="4" t="str">
        <f t="shared" ca="1" si="95"/>
        <v/>
      </c>
      <c r="BN66" t="str">
        <f t="shared" ref="BN66:BN72" ca="1" si="106">IF(ISNA(VLOOKUP(AV66,$BM$2:$BM$199,1,FALSE)),AV66,"")</f>
        <v/>
      </c>
      <c r="BO66" s="7">
        <f t="shared" ca="1" si="18"/>
        <v>1</v>
      </c>
      <c r="BP66" s="7">
        <f t="shared" ref="BP66:BP73" ca="1" si="107">IF(ISERROR(INDEX($BN$2:$BN$199,MATCH(ROW(),$BO$2:$BO$199,FALSE))),0,INDEX($BN$2:$BN$199,MATCH(ROW(),$BO$2:$BO$199,FALSE)))</f>
        <v>0</v>
      </c>
    </row>
    <row r="67" spans="1:68" ht="12.75" customHeight="1">
      <c r="A67" s="23" t="s">
        <v>39</v>
      </c>
      <c r="B67" s="9"/>
      <c r="C67" s="10"/>
      <c r="D67" s="23" t="s">
        <v>39</v>
      </c>
      <c r="E67" s="9"/>
      <c r="F67" s="10"/>
      <c r="G67" s="23" t="s">
        <v>39</v>
      </c>
      <c r="H67" s="9"/>
      <c r="I67" s="11"/>
      <c r="J67" s="23" t="s">
        <v>39</v>
      </c>
      <c r="K67" s="9"/>
      <c r="L67" s="10"/>
      <c r="M67" s="23" t="s">
        <v>39</v>
      </c>
      <c r="N67" s="9"/>
      <c r="O67" s="10"/>
      <c r="P67" s="23" t="s">
        <v>39</v>
      </c>
      <c r="Q67" s="9"/>
      <c r="R67" s="10"/>
      <c r="S67" s="23" t="s">
        <v>39</v>
      </c>
      <c r="T67" s="9"/>
      <c r="U67" s="10"/>
      <c r="V67" s="23" t="s">
        <v>39</v>
      </c>
      <c r="W67" s="9"/>
      <c r="X67" s="10"/>
      <c r="Y67" s="23" t="s">
        <v>39</v>
      </c>
      <c r="Z67" s="9"/>
      <c r="AA67" s="10"/>
      <c r="AB67" s="23" t="s">
        <v>39</v>
      </c>
      <c r="AC67" s="9"/>
      <c r="AD67" s="10"/>
      <c r="AE67" s="23" t="s">
        <v>39</v>
      </c>
      <c r="AF67" s="9"/>
      <c r="AG67" s="10"/>
      <c r="AH67" s="23" t="s">
        <v>39</v>
      </c>
      <c r="AI67" s="9"/>
      <c r="AJ67" s="9"/>
      <c r="AM67" s="221"/>
      <c r="AN67" s="231" t="str">
        <f ca="1">IF(Giocatori!E74=0,"",Giocatori!E74)</f>
        <v/>
      </c>
      <c r="AO67" s="221"/>
      <c r="AP67" s="231" t="str">
        <f ca="1">IF(Giocatori!H74=0,"",Giocatori!H74)</f>
        <v>DJIMSITI</v>
      </c>
      <c r="AQ67" s="221"/>
      <c r="AR67" s="231" t="str">
        <f ca="1">IF(Giocatori!K74=0,"",Giocatori!K74)</f>
        <v>FOSSATI</v>
      </c>
      <c r="AS67" s="221"/>
      <c r="AT67" s="231" t="str">
        <f ca="1">IF(Giocatori!N74=0,"",Giocatori!N74)</f>
        <v>PALACIO</v>
      </c>
      <c r="AU67" s="221"/>
      <c r="AV67" s="231" t="str">
        <f ca="1">IF(Giocatori!Q74=0,"",Giocatori!Q74)</f>
        <v/>
      </c>
      <c r="AX67" t="str">
        <f t="shared" ca="1" si="96"/>
        <v/>
      </c>
      <c r="AY67" s="7">
        <f t="shared" ca="1" si="97"/>
        <v>65</v>
      </c>
      <c r="AZ67" s="7">
        <f t="shared" ca="1" si="98"/>
        <v>0</v>
      </c>
      <c r="BA67" s="4" t="str">
        <f t="shared" ca="1" si="93"/>
        <v/>
      </c>
      <c r="BB67" t="str">
        <f t="shared" ca="1" si="99"/>
        <v>DJIMSITI</v>
      </c>
      <c r="BC67" s="7">
        <f t="shared" ref="BC67:BC130" ca="1" si="108">ROW()-COUNTBLANK(INDIRECT("$BB$2:BB"&amp;ROW()))</f>
        <v>67</v>
      </c>
      <c r="BD67" s="7" t="str">
        <f t="shared" ca="1" si="100"/>
        <v>DJIMSITI</v>
      </c>
      <c r="BE67" s="4" t="str">
        <f t="shared" ca="1" si="94"/>
        <v/>
      </c>
      <c r="BF67" t="str">
        <f t="shared" ca="1" si="101"/>
        <v>FOSSATI</v>
      </c>
      <c r="BG67" s="7">
        <f t="shared" ref="BG67:BG130" ca="1" si="109">ROW()-COUNTBLANK(INDIRECT("$BF$2:BF"&amp;ROW()))</f>
        <v>67</v>
      </c>
      <c r="BH67" s="7" t="str">
        <f t="shared" ca="1" si="102"/>
        <v>FOSSATI</v>
      </c>
      <c r="BI67" s="4" t="str">
        <f t="shared" ca="1" si="103"/>
        <v/>
      </c>
      <c r="BJ67" t="str">
        <f t="shared" ca="1" si="104"/>
        <v>PALACIO</v>
      </c>
      <c r="BK67" s="7">
        <f t="shared" ref="BK67:BK130" ca="1" si="110">ROW()-COUNTBLANK(INDIRECT("$BJ$2:BJ"&amp;ROW()))</f>
        <v>67</v>
      </c>
      <c r="BL67" s="7" t="str">
        <f t="shared" ca="1" si="105"/>
        <v>PALACIO</v>
      </c>
      <c r="BM67" s="4" t="str">
        <f t="shared" ca="1" si="95"/>
        <v/>
      </c>
      <c r="BN67" t="str">
        <f t="shared" ca="1" si="106"/>
        <v/>
      </c>
      <c r="BO67" s="7">
        <f t="shared" ref="BO67:BO73" ca="1" si="111">ROW()-COUNTBLANK(INDIRECT("$BN$2:BN"&amp;ROW()))</f>
        <v>1</v>
      </c>
      <c r="BP67" s="7">
        <f t="shared" ca="1" si="107"/>
        <v>0</v>
      </c>
    </row>
    <row r="68" spans="1:68" ht="14.25">
      <c r="A68" s="23" t="s">
        <v>39</v>
      </c>
      <c r="B68" s="9"/>
      <c r="C68" s="10"/>
      <c r="D68" s="23" t="s">
        <v>39</v>
      </c>
      <c r="E68" s="9"/>
      <c r="F68" s="10"/>
      <c r="G68" s="23" t="s">
        <v>39</v>
      </c>
      <c r="H68" s="9"/>
      <c r="I68" s="11"/>
      <c r="J68" s="23" t="s">
        <v>39</v>
      </c>
      <c r="K68" s="9"/>
      <c r="L68" s="10"/>
      <c r="M68" s="23" t="s">
        <v>39</v>
      </c>
      <c r="N68" s="9"/>
      <c r="O68" s="10"/>
      <c r="P68" s="23" t="s">
        <v>39</v>
      </c>
      <c r="Q68" s="9"/>
      <c r="R68" s="10"/>
      <c r="S68" s="23" t="s">
        <v>39</v>
      </c>
      <c r="T68" s="9"/>
      <c r="U68" s="10"/>
      <c r="V68" s="23" t="s">
        <v>39</v>
      </c>
      <c r="W68" s="9"/>
      <c r="X68" s="10"/>
      <c r="Y68" s="23" t="s">
        <v>39</v>
      </c>
      <c r="Z68" s="9"/>
      <c r="AA68" s="10"/>
      <c r="AB68" s="23" t="s">
        <v>39</v>
      </c>
      <c r="AC68" s="9"/>
      <c r="AD68" s="10"/>
      <c r="AE68" s="23" t="s">
        <v>39</v>
      </c>
      <c r="AF68" s="9"/>
      <c r="AG68" s="10"/>
      <c r="AH68" s="23" t="s">
        <v>39</v>
      </c>
      <c r="AI68" s="9"/>
      <c r="AJ68" s="9"/>
      <c r="AM68" s="221"/>
      <c r="AN68" s="231" t="str">
        <f ca="1">IF(Giocatori!E75=0,"",Giocatori!E75)</f>
        <v/>
      </c>
      <c r="AO68" s="221"/>
      <c r="AP68" s="231" t="str">
        <f ca="1">IF(Giocatori!H75=0,"",Giocatori!H75)</f>
        <v>DODO'</v>
      </c>
      <c r="AQ68" s="221"/>
      <c r="AR68" s="231" t="str">
        <f ca="1">IF(Giocatori!K75=0,"",Giocatori!K75)</f>
        <v>FREULER</v>
      </c>
      <c r="AS68" s="221"/>
      <c r="AT68" s="231" t="str">
        <f ca="1">IF(Giocatori!N75=0,"",Giocatori!N75)</f>
        <v>PALLADINO</v>
      </c>
      <c r="AU68" s="221"/>
      <c r="AV68" s="231" t="str">
        <f ca="1">IF(Giocatori!Q75=0,"",Giocatori!Q75)</f>
        <v/>
      </c>
      <c r="AX68" t="str">
        <f t="shared" ca="1" si="96"/>
        <v/>
      </c>
      <c r="AY68" s="7">
        <f t="shared" ca="1" si="97"/>
        <v>65</v>
      </c>
      <c r="AZ68" s="7">
        <f t="shared" ca="1" si="98"/>
        <v>0</v>
      </c>
      <c r="BA68" s="4" t="str">
        <f t="shared" ca="1" si="93"/>
        <v/>
      </c>
      <c r="BB68" t="str">
        <f t="shared" ca="1" si="99"/>
        <v>DODO'</v>
      </c>
      <c r="BC68" s="7">
        <f t="shared" ca="1" si="108"/>
        <v>68</v>
      </c>
      <c r="BD68" s="7" t="str">
        <f t="shared" ca="1" si="100"/>
        <v>DODO'</v>
      </c>
      <c r="BE68" s="4" t="str">
        <f t="shared" ca="1" si="94"/>
        <v/>
      </c>
      <c r="BF68" t="str">
        <f t="shared" ca="1" si="101"/>
        <v>FREULER</v>
      </c>
      <c r="BG68" s="7">
        <f t="shared" ca="1" si="109"/>
        <v>68</v>
      </c>
      <c r="BH68" s="7" t="str">
        <f t="shared" ca="1" si="102"/>
        <v>FREULER</v>
      </c>
      <c r="BI68" s="4" t="str">
        <f t="shared" ca="1" si="103"/>
        <v/>
      </c>
      <c r="BJ68" t="str">
        <f t="shared" ca="1" si="104"/>
        <v>PALLADINO</v>
      </c>
      <c r="BK68" s="7">
        <f t="shared" ca="1" si="110"/>
        <v>68</v>
      </c>
      <c r="BL68" s="7" t="str">
        <f t="shared" ca="1" si="105"/>
        <v>PALLADINO</v>
      </c>
      <c r="BM68" s="4" t="str">
        <f t="shared" ca="1" si="95"/>
        <v/>
      </c>
      <c r="BN68" t="str">
        <f t="shared" ca="1" si="106"/>
        <v/>
      </c>
      <c r="BO68" s="7">
        <f t="shared" ca="1" si="111"/>
        <v>1</v>
      </c>
      <c r="BP68" s="7">
        <f t="shared" ca="1" si="107"/>
        <v>0</v>
      </c>
    </row>
    <row r="69" spans="1:68" ht="14.25">
      <c r="A69" s="23" t="s">
        <v>43</v>
      </c>
      <c r="B69" s="9"/>
      <c r="C69" s="10"/>
      <c r="D69" s="23" t="s">
        <v>43</v>
      </c>
      <c r="E69" s="9"/>
      <c r="F69" s="10"/>
      <c r="G69" s="23" t="s">
        <v>43</v>
      </c>
      <c r="H69" s="9"/>
      <c r="I69" s="11"/>
      <c r="J69" s="23" t="s">
        <v>43</v>
      </c>
      <c r="K69" s="9"/>
      <c r="L69" s="10"/>
      <c r="M69" s="23" t="s">
        <v>43</v>
      </c>
      <c r="N69" s="9"/>
      <c r="O69" s="10"/>
      <c r="P69" s="23" t="s">
        <v>43</v>
      </c>
      <c r="Q69" s="9"/>
      <c r="R69" s="10"/>
      <c r="S69" s="23" t="s">
        <v>43</v>
      </c>
      <c r="T69" s="9"/>
      <c r="U69" s="10"/>
      <c r="V69" s="23" t="s">
        <v>43</v>
      </c>
      <c r="W69" s="9"/>
      <c r="X69" s="10"/>
      <c r="Y69" s="23" t="s">
        <v>43</v>
      </c>
      <c r="Z69" s="9"/>
      <c r="AA69" s="10"/>
      <c r="AB69" s="23" t="s">
        <v>43</v>
      </c>
      <c r="AC69" s="9"/>
      <c r="AD69" s="10"/>
      <c r="AE69" s="23" t="s">
        <v>43</v>
      </c>
      <c r="AF69" s="9"/>
      <c r="AG69" s="10"/>
      <c r="AH69" s="23" t="s">
        <v>43</v>
      </c>
      <c r="AI69" s="9"/>
      <c r="AJ69" s="9"/>
      <c r="AM69" s="221"/>
      <c r="AN69" s="231" t="str">
        <f ca="1">IF(Giocatori!E76=0,"",Giocatori!E76)</f>
        <v/>
      </c>
      <c r="AO69" s="221"/>
      <c r="AP69" s="231" t="str">
        <f ca="1">IF(Giocatori!H76=0,"",Giocatori!H76)</f>
        <v>DRAME'</v>
      </c>
      <c r="AQ69" s="221"/>
      <c r="AR69" s="231" t="str">
        <f ca="1">IF(Giocatori!K76=0,"",Giocatori!K76)</f>
        <v>GAGLIARDINI</v>
      </c>
      <c r="AS69" s="221"/>
      <c r="AT69" s="231" t="str">
        <f ca="1">IF(Giocatori!N76=0,"",Giocatori!N76)</f>
        <v>PALOMBI</v>
      </c>
      <c r="AU69" s="221"/>
      <c r="AV69" s="231" t="str">
        <f ca="1">IF(Giocatori!Q76=0,"",Giocatori!Q76)</f>
        <v/>
      </c>
      <c r="AX69" t="str">
        <f t="shared" ca="1" si="96"/>
        <v/>
      </c>
      <c r="AY69" s="7">
        <f t="shared" ca="1" si="97"/>
        <v>65</v>
      </c>
      <c r="AZ69" s="7">
        <f t="shared" ca="1" si="98"/>
        <v>0</v>
      </c>
      <c r="BA69" s="4" t="str">
        <f t="shared" ca="1" si="93"/>
        <v/>
      </c>
      <c r="BB69" t="str">
        <f t="shared" ca="1" si="99"/>
        <v>DRAME'</v>
      </c>
      <c r="BC69" s="7">
        <f t="shared" ca="1" si="108"/>
        <v>69</v>
      </c>
      <c r="BD69" s="7" t="str">
        <f t="shared" ca="1" si="100"/>
        <v>DRAME'</v>
      </c>
      <c r="BE69" s="4" t="str">
        <f t="shared" ca="1" si="94"/>
        <v/>
      </c>
      <c r="BF69" t="str">
        <f t="shared" ca="1" si="101"/>
        <v>GAGLIARDINI</v>
      </c>
      <c r="BG69" s="7">
        <f t="shared" ca="1" si="109"/>
        <v>69</v>
      </c>
      <c r="BH69" s="7" t="str">
        <f t="shared" ca="1" si="102"/>
        <v>GAGLIARDINI</v>
      </c>
      <c r="BI69" s="4" t="str">
        <f t="shared" ca="1" si="103"/>
        <v/>
      </c>
      <c r="BJ69" t="str">
        <f t="shared" ca="1" si="104"/>
        <v>PALOMBI</v>
      </c>
      <c r="BK69" s="7">
        <f t="shared" ca="1" si="110"/>
        <v>69</v>
      </c>
      <c r="BL69" s="7" t="str">
        <f t="shared" ca="1" si="105"/>
        <v>PALOMBI</v>
      </c>
      <c r="BM69" s="4" t="str">
        <f t="shared" ca="1" si="95"/>
        <v/>
      </c>
      <c r="BN69" t="str">
        <f t="shared" ca="1" si="106"/>
        <v/>
      </c>
      <c r="BO69" s="7">
        <f t="shared" ca="1" si="111"/>
        <v>1</v>
      </c>
      <c r="BP69" s="7">
        <f t="shared" ca="1" si="107"/>
        <v>0</v>
      </c>
    </row>
    <row r="70" spans="1:68" ht="14.25">
      <c r="A70" s="23" t="s">
        <v>43</v>
      </c>
      <c r="B70" s="9"/>
      <c r="C70" s="10"/>
      <c r="D70" s="23" t="s">
        <v>43</v>
      </c>
      <c r="E70" s="9"/>
      <c r="F70" s="10"/>
      <c r="G70" s="23" t="s">
        <v>43</v>
      </c>
      <c r="H70" s="9"/>
      <c r="I70" s="11"/>
      <c r="J70" s="23" t="s">
        <v>43</v>
      </c>
      <c r="K70" s="9"/>
      <c r="L70" s="10"/>
      <c r="M70" s="23" t="s">
        <v>43</v>
      </c>
      <c r="N70" s="9"/>
      <c r="O70" s="10"/>
      <c r="P70" s="23" t="s">
        <v>43</v>
      </c>
      <c r="Q70" s="9"/>
      <c r="R70" s="10"/>
      <c r="S70" s="23" t="s">
        <v>43</v>
      </c>
      <c r="T70" s="9"/>
      <c r="U70" s="10"/>
      <c r="V70" s="23" t="s">
        <v>43</v>
      </c>
      <c r="W70" s="9"/>
      <c r="X70" s="10"/>
      <c r="Y70" s="23" t="s">
        <v>43</v>
      </c>
      <c r="Z70" s="9"/>
      <c r="AA70" s="10"/>
      <c r="AB70" s="23" t="s">
        <v>43</v>
      </c>
      <c r="AC70" s="9"/>
      <c r="AD70" s="10"/>
      <c r="AE70" s="23" t="s">
        <v>43</v>
      </c>
      <c r="AF70" s="9"/>
      <c r="AG70" s="10"/>
      <c r="AH70" s="23" t="s">
        <v>43</v>
      </c>
      <c r="AI70" s="9"/>
      <c r="AJ70" s="9"/>
      <c r="AM70" s="221"/>
      <c r="AN70" s="231" t="str">
        <f ca="1">IF(Giocatori!E77=0,"",Giocatori!E77)</f>
        <v/>
      </c>
      <c r="AO70" s="221"/>
      <c r="AP70" s="231" t="str">
        <f ca="1">IF(Giocatori!H77=0,"",Giocatori!H77)</f>
        <v>EMERSON</v>
      </c>
      <c r="AQ70" s="221"/>
      <c r="AR70" s="231" t="str">
        <f ca="1">IF(Giocatori!K77=0,"",Giocatori!K77)</f>
        <v>GARRITANO</v>
      </c>
      <c r="AS70" s="221"/>
      <c r="AT70" s="231" t="str">
        <f ca="1">IF(Giocatori!N77=0,"",Giocatori!N77)</f>
        <v>PALOSCHI</v>
      </c>
      <c r="AU70" s="221"/>
      <c r="AV70" s="231" t="str">
        <f ca="1">IF(Giocatori!Q77=0,"",Giocatori!Q77)</f>
        <v/>
      </c>
      <c r="AX70" t="str">
        <f t="shared" ca="1" si="96"/>
        <v/>
      </c>
      <c r="AY70" s="7">
        <f t="shared" ca="1" si="97"/>
        <v>65</v>
      </c>
      <c r="AZ70" s="7">
        <f t="shared" ca="1" si="98"/>
        <v>0</v>
      </c>
      <c r="BA70" s="4" t="str">
        <f t="shared" ca="1" si="93"/>
        <v/>
      </c>
      <c r="BB70" t="str">
        <f t="shared" ca="1" si="99"/>
        <v>EMERSON</v>
      </c>
      <c r="BC70" s="7">
        <f t="shared" ca="1" si="108"/>
        <v>70</v>
      </c>
      <c r="BD70" s="7" t="str">
        <f t="shared" ca="1" si="100"/>
        <v>EMERSON</v>
      </c>
      <c r="BE70" s="4" t="str">
        <f t="shared" ca="1" si="94"/>
        <v/>
      </c>
      <c r="BF70" t="str">
        <f t="shared" ca="1" si="101"/>
        <v>GARRITANO</v>
      </c>
      <c r="BG70" s="7">
        <f t="shared" ca="1" si="109"/>
        <v>70</v>
      </c>
      <c r="BH70" s="7" t="str">
        <f t="shared" ca="1" si="102"/>
        <v>GARRITANO</v>
      </c>
      <c r="BI70" s="4" t="str">
        <f t="shared" ca="1" si="103"/>
        <v/>
      </c>
      <c r="BJ70" t="str">
        <f t="shared" ca="1" si="104"/>
        <v>PALOSCHI</v>
      </c>
      <c r="BK70" s="7">
        <f t="shared" ca="1" si="110"/>
        <v>70</v>
      </c>
      <c r="BL70" s="7" t="str">
        <f t="shared" ca="1" si="105"/>
        <v>PALOSCHI</v>
      </c>
      <c r="BM70" s="4" t="str">
        <f t="shared" ca="1" si="95"/>
        <v/>
      </c>
      <c r="BN70" t="str">
        <f t="shared" ca="1" si="106"/>
        <v/>
      </c>
      <c r="BO70" s="7">
        <f t="shared" ca="1" si="111"/>
        <v>1</v>
      </c>
      <c r="BP70" s="7">
        <f t="shared" ca="1" si="107"/>
        <v>0</v>
      </c>
    </row>
    <row r="71" spans="1:68" ht="14.25">
      <c r="B71" s="24" t="str">
        <f>"Totale "&amp;A63</f>
        <v>Totale Primavera</v>
      </c>
      <c r="C71" s="25">
        <f>SUM(C64:C70)</f>
        <v>0</v>
      </c>
      <c r="E71" s="24" t="str">
        <f>"Totale "&amp;E63</f>
        <v xml:space="preserve">Totale </v>
      </c>
      <c r="F71" s="25">
        <f>SUM(F64:F70)</f>
        <v>0</v>
      </c>
      <c r="H71" s="24" t="str">
        <f>"Totale "&amp;H63</f>
        <v xml:space="preserve">Totale </v>
      </c>
      <c r="I71" s="25">
        <f>SUM(I64:I70)</f>
        <v>0</v>
      </c>
      <c r="J71" s="24"/>
      <c r="K71" s="24" t="str">
        <f>"Totale "&amp;J63</f>
        <v>Totale Primavera</v>
      </c>
      <c r="L71" s="25">
        <f>SUM(L64:L70)</f>
        <v>0</v>
      </c>
      <c r="N71" s="24" t="str">
        <f>"Totale "&amp;N63</f>
        <v xml:space="preserve">Totale </v>
      </c>
      <c r="O71" s="25">
        <f>SUM(O64:O70)</f>
        <v>0</v>
      </c>
      <c r="Q71" s="24" t="str">
        <f>"Totale "&amp;Q63</f>
        <v xml:space="preserve">Totale </v>
      </c>
      <c r="R71" s="25">
        <f>SUM(R64:R70)</f>
        <v>0</v>
      </c>
      <c r="T71" s="24" t="str">
        <f>"Totale "&amp;T63</f>
        <v xml:space="preserve">Totale </v>
      </c>
      <c r="U71" s="25">
        <f>SUM(U64:U70)</f>
        <v>0</v>
      </c>
      <c r="W71" s="24" t="str">
        <f>"Totale "&amp;W63</f>
        <v xml:space="preserve">Totale </v>
      </c>
      <c r="X71" s="25">
        <f>SUM(X64:X70)</f>
        <v>0</v>
      </c>
      <c r="Z71" s="24" t="str">
        <f>"Totale "&amp;Z63</f>
        <v xml:space="preserve">Totale </v>
      </c>
      <c r="AA71" s="25">
        <f>SUM(AA64:AA70)</f>
        <v>0</v>
      </c>
      <c r="AC71" s="24" t="str">
        <f>"Totale "&amp;AC63</f>
        <v xml:space="preserve">Totale </v>
      </c>
      <c r="AD71" s="25">
        <f>SUM(AD64:AD70)</f>
        <v>0</v>
      </c>
      <c r="AF71" s="24" t="str">
        <f>"Totale "&amp;AF63</f>
        <v xml:space="preserve">Totale </v>
      </c>
      <c r="AG71" s="25">
        <f>SUM(AG64:AG70)</f>
        <v>0</v>
      </c>
      <c r="AI71" s="24" t="str">
        <f>"Totale "&amp;AI63</f>
        <v xml:space="preserve">Totale </v>
      </c>
      <c r="AJ71" s="16">
        <f>SUM(AJ64:AJ70)</f>
        <v>0</v>
      </c>
      <c r="AM71" s="221"/>
      <c r="AN71" s="231" t="str">
        <f ca="1">IF(Giocatori!E78=0,"",Giocatori!E78)</f>
        <v/>
      </c>
      <c r="AO71" s="221"/>
      <c r="AP71" s="231" t="str">
        <f ca="1">IF(Giocatori!H78=0,"",Giocatori!H78)</f>
        <v>FARAONI</v>
      </c>
      <c r="AQ71" s="221"/>
      <c r="AR71" s="231" t="str">
        <f ca="1">IF(Giocatori!K78=0,"",Giocatori!K78)</f>
        <v>GAUDINO</v>
      </c>
      <c r="AS71" s="221"/>
      <c r="AT71" s="231" t="str">
        <f ca="1">IF(Giocatori!N78=0,"",Giocatori!N78)</f>
        <v>PANDEV</v>
      </c>
      <c r="AU71" s="221"/>
      <c r="AV71" s="231" t="str">
        <f ca="1">IF(Giocatori!Q78=0,"",Giocatori!Q78)</f>
        <v/>
      </c>
      <c r="AX71" t="str">
        <f t="shared" ca="1" si="96"/>
        <v/>
      </c>
      <c r="AY71" s="7">
        <f t="shared" ca="1" si="97"/>
        <v>65</v>
      </c>
      <c r="AZ71" s="7">
        <f t="shared" ca="1" si="98"/>
        <v>0</v>
      </c>
      <c r="BA71" s="4" t="str">
        <f t="shared" ca="1" si="93"/>
        <v/>
      </c>
      <c r="BB71" t="str">
        <f t="shared" ca="1" si="99"/>
        <v>FARAONI</v>
      </c>
      <c r="BC71" s="7">
        <f t="shared" ca="1" si="108"/>
        <v>71</v>
      </c>
      <c r="BD71" s="7" t="str">
        <f t="shared" ca="1" si="100"/>
        <v>FARAONI</v>
      </c>
      <c r="BE71" s="4" t="str">
        <f t="shared" ca="1" si="94"/>
        <v/>
      </c>
      <c r="BF71" t="str">
        <f t="shared" ca="1" si="101"/>
        <v>GAUDINO</v>
      </c>
      <c r="BG71" s="7">
        <f t="shared" ca="1" si="109"/>
        <v>71</v>
      </c>
      <c r="BH71" s="7" t="str">
        <f t="shared" ca="1" si="102"/>
        <v>GAUDINO</v>
      </c>
      <c r="BI71" s="4" t="str">
        <f t="shared" ca="1" si="103"/>
        <v/>
      </c>
      <c r="BJ71" t="str">
        <f t="shared" ca="1" si="104"/>
        <v>PANDEV</v>
      </c>
      <c r="BK71" s="7">
        <f t="shared" ca="1" si="110"/>
        <v>71</v>
      </c>
      <c r="BL71" s="7" t="str">
        <f t="shared" ca="1" si="105"/>
        <v>PANDEV</v>
      </c>
      <c r="BM71" s="4" t="str">
        <f t="shared" ca="1" si="95"/>
        <v/>
      </c>
      <c r="BN71" t="str">
        <f t="shared" ca="1" si="106"/>
        <v/>
      </c>
      <c r="BO71" s="7">
        <f t="shared" ca="1" si="111"/>
        <v>1</v>
      </c>
      <c r="BP71" s="7">
        <f t="shared" ca="1" si="107"/>
        <v>0</v>
      </c>
    </row>
    <row r="72" spans="1:68" ht="14.25">
      <c r="AM72" s="221"/>
      <c r="AN72" s="231" t="str">
        <f ca="1">IF(Giocatori!E79=0,"",Giocatori!E79)</f>
        <v/>
      </c>
      <c r="AO72" s="221"/>
      <c r="AP72" s="231" t="str">
        <f ca="1">IF(Giocatori!H79=0,"",Giocatori!H79)</f>
        <v>FAZIO</v>
      </c>
      <c r="AQ72" s="221"/>
      <c r="AR72" s="231" t="str">
        <f ca="1">IF(Giocatori!K79=0,"",Giocatori!K79)</f>
        <v>GERSON</v>
      </c>
      <c r="AS72" s="221"/>
      <c r="AT72" s="231" t="str">
        <f ca="1">IF(Giocatori!N79=0,"",Giocatori!N79)</f>
        <v>PARIGINI</v>
      </c>
      <c r="AU72" s="221"/>
      <c r="AV72" s="231" t="str">
        <f ca="1">IF(Giocatori!Q79=0,"",Giocatori!Q79)</f>
        <v/>
      </c>
      <c r="AX72" t="str">
        <f t="shared" ca="1" si="96"/>
        <v/>
      </c>
      <c r="AY72" s="7">
        <f t="shared" ca="1" si="97"/>
        <v>65</v>
      </c>
      <c r="AZ72" s="7">
        <f t="shared" ca="1" si="98"/>
        <v>0</v>
      </c>
      <c r="BA72" s="4" t="str">
        <f ca="1">IF(W14=0,"",W14)</f>
        <v/>
      </c>
      <c r="BB72" t="str">
        <f t="shared" ca="1" si="99"/>
        <v>FAZIO</v>
      </c>
      <c r="BC72" s="7">
        <f t="shared" ca="1" si="108"/>
        <v>72</v>
      </c>
      <c r="BD72" s="7" t="str">
        <f t="shared" ca="1" si="100"/>
        <v>FAZIO</v>
      </c>
      <c r="BE72" s="4" t="str">
        <f ca="1">IF(W30=0,"",W30)</f>
        <v/>
      </c>
      <c r="BF72" t="str">
        <f t="shared" ca="1" si="101"/>
        <v>GERSON</v>
      </c>
      <c r="BG72" s="7">
        <f t="shared" ca="1" si="109"/>
        <v>72</v>
      </c>
      <c r="BH72" s="7" t="str">
        <f t="shared" ca="1" si="102"/>
        <v>GERSON</v>
      </c>
      <c r="BI72" s="4" t="str">
        <f t="shared" ca="1" si="103"/>
        <v/>
      </c>
      <c r="BJ72" t="str">
        <f t="shared" ca="1" si="104"/>
        <v>PARIGINI</v>
      </c>
      <c r="BK72" s="7">
        <f t="shared" ca="1" si="110"/>
        <v>72</v>
      </c>
      <c r="BL72" s="7" t="str">
        <f t="shared" ca="1" si="105"/>
        <v>PARIGINI</v>
      </c>
      <c r="BM72" s="4" t="str">
        <f t="shared" ca="1" si="95"/>
        <v/>
      </c>
      <c r="BN72" t="str">
        <f t="shared" ca="1" si="106"/>
        <v/>
      </c>
      <c r="BO72" s="7">
        <f t="shared" ca="1" si="111"/>
        <v>1</v>
      </c>
      <c r="BP72" s="7">
        <f t="shared" ca="1" si="107"/>
        <v>0</v>
      </c>
    </row>
    <row r="73" spans="1:68" ht="12" customHeight="1">
      <c r="A73" s="528" t="s">
        <v>5</v>
      </c>
      <c r="B73" s="528"/>
      <c r="C73" s="529"/>
      <c r="D73" s="527" t="s">
        <v>5</v>
      </c>
      <c r="E73" s="528"/>
      <c r="F73" s="529"/>
      <c r="G73" s="527" t="s">
        <v>5</v>
      </c>
      <c r="H73" s="528"/>
      <c r="I73" s="529"/>
      <c r="J73" s="527" t="s">
        <v>5</v>
      </c>
      <c r="K73" s="528"/>
      <c r="L73" s="529"/>
      <c r="M73" s="527" t="s">
        <v>5</v>
      </c>
      <c r="N73" s="528"/>
      <c r="O73" s="529"/>
      <c r="P73" s="527" t="s">
        <v>5</v>
      </c>
      <c r="Q73" s="528"/>
      <c r="R73" s="529"/>
      <c r="S73" s="527" t="s">
        <v>5</v>
      </c>
      <c r="T73" s="528"/>
      <c r="U73" s="529"/>
      <c r="V73" s="527" t="s">
        <v>5</v>
      </c>
      <c r="W73" s="528"/>
      <c r="X73" s="529"/>
      <c r="Y73" s="527" t="s">
        <v>5</v>
      </c>
      <c r="Z73" s="528"/>
      <c r="AA73" s="529"/>
      <c r="AB73" s="527" t="s">
        <v>5</v>
      </c>
      <c r="AC73" s="528"/>
      <c r="AD73" s="529"/>
      <c r="AE73" s="527" t="s">
        <v>5</v>
      </c>
      <c r="AF73" s="528"/>
      <c r="AG73" s="529"/>
      <c r="AH73" s="527" t="s">
        <v>5</v>
      </c>
      <c r="AI73" s="528"/>
      <c r="AJ73" s="529"/>
      <c r="AM73" s="221"/>
      <c r="AN73" s="231" t="str">
        <f ca="1">IF(Giocatori!E80=0,"",Giocatori!E80)</f>
        <v/>
      </c>
      <c r="AO73" s="221"/>
      <c r="AP73" s="231" t="str">
        <f ca="1">IF(Giocatori!H80=0,"",Giocatori!H80)</f>
        <v>FELICIOLI</v>
      </c>
      <c r="AQ73" s="221"/>
      <c r="AR73" s="231" t="str">
        <f ca="1">IF(Giocatori!K80=0,"",Giocatori!K80)</f>
        <v>GIACCHERINI</v>
      </c>
      <c r="AS73" s="221"/>
      <c r="AT73" s="231" t="str">
        <f ca="1">IF(Giocatori!N80=0,"",Giocatori!N80)</f>
        <v>PAVOLETTI</v>
      </c>
      <c r="AU73" s="221"/>
      <c r="AV73" s="231" t="str">
        <f ca="1">IF(Giocatori!Q80=0,"",Giocatori!Q80)</f>
        <v/>
      </c>
      <c r="AX73" t="str">
        <f t="shared" ref="AX73" ca="1" si="112">IF(ISNA(VLOOKUP(AN73,$AW$2:$AW$199,1,FALSE)),AN73,"")</f>
        <v/>
      </c>
      <c r="AY73" s="7">
        <f t="shared" ca="1" si="97"/>
        <v>65</v>
      </c>
      <c r="AZ73" s="7">
        <f t="shared" ca="1" si="98"/>
        <v>0</v>
      </c>
      <c r="BA73" s="4" t="str">
        <f ca="1">IF(W15=0,"",W15)</f>
        <v/>
      </c>
      <c r="BB73" t="str">
        <f t="shared" ref="BB73" ca="1" si="113">IF(ISNA(VLOOKUP(AP73,$BA$2:$BA$199,1,FALSE)),AP73,"")</f>
        <v>FELICIOLI</v>
      </c>
      <c r="BC73" s="7">
        <f t="shared" ca="1" si="108"/>
        <v>73</v>
      </c>
      <c r="BD73" s="7" t="str">
        <f t="shared" ca="1" si="100"/>
        <v>FELICIOLI</v>
      </c>
      <c r="BE73" s="4" t="str">
        <f ca="1">IF(W31=0,"",W31)</f>
        <v/>
      </c>
      <c r="BF73" t="str">
        <f t="shared" ref="BF73" ca="1" si="114">IF(ISNA(VLOOKUP(AR73,$BE$2:$BE$199,1,FALSE)),AR73,"")</f>
        <v>GIACCHERINI</v>
      </c>
      <c r="BG73" s="7">
        <f t="shared" ca="1" si="109"/>
        <v>73</v>
      </c>
      <c r="BH73" s="7" t="str">
        <f t="shared" ca="1" si="102"/>
        <v>GIACCHERINI</v>
      </c>
      <c r="BI73" s="4" t="str">
        <f t="shared" ref="BI73" ca="1" si="115">IF(Z53=0,"",Z53)</f>
        <v/>
      </c>
      <c r="BJ73" t="str">
        <f t="shared" ref="BJ73" ca="1" si="116">IF(ISNA(VLOOKUP(AT73,$BI$2:$BI$199,1,FALSE)),AT73,"")</f>
        <v>PAVOLETTI</v>
      </c>
      <c r="BK73" s="7">
        <f t="shared" ca="1" si="110"/>
        <v>73</v>
      </c>
      <c r="BL73" s="7" t="str">
        <f t="shared" ca="1" si="105"/>
        <v>PAVOLETTI</v>
      </c>
      <c r="BM73" s="4" t="str">
        <f t="shared" ref="BM73" ca="1" si="117">IF(T39=0,"",T39)</f>
        <v/>
      </c>
      <c r="BN73" t="str">
        <f t="shared" ref="BN73" ca="1" si="118">IF(ISNA(VLOOKUP(AV73,$BM$2:$BM$199,1,FALSE)),AV73,"")</f>
        <v/>
      </c>
      <c r="BO73" s="7">
        <f t="shared" ca="1" si="111"/>
        <v>1</v>
      </c>
      <c r="BP73" s="7">
        <f t="shared" ca="1" si="107"/>
        <v>0</v>
      </c>
    </row>
    <row r="74" spans="1:68" ht="14.25">
      <c r="A74" s="23">
        <v>1</v>
      </c>
      <c r="B74" s="9" t="str">
        <f ca="1">IF(A74="","",IF(ISNA(MATCH(A$3&amp;$AK74,Asta!$AI:$AI,0)),"",INDIRECT("Asta!AA"&amp;MATCH(A$3&amp;$AK74,Asta!$AI:$AI,0))))</f>
        <v/>
      </c>
      <c r="C74" s="9" t="str">
        <f ca="1">IF(B74="","",IF(ISNA(MATCH(A$3&amp;$AK74,Asta!$AI:$AI,0)),"",INDIRECT("Asta!AG"&amp;MATCH(A$3&amp;$AK74,Asta!$AI:$AI,0))))</f>
        <v/>
      </c>
      <c r="D74" s="23">
        <f t="shared" ref="D74:D93" si="119">A74</f>
        <v>1</v>
      </c>
      <c r="E74" s="9" t="str">
        <f ca="1">IF(D74="","",IF(ISNA(MATCH(D$3&amp;$AK74,Asta!$AI:$AI,0)),"",INDIRECT("Asta!AA"&amp;MATCH(D$3&amp;$AK74,Asta!$AI:$AI,0))))</f>
        <v/>
      </c>
      <c r="F74" s="9" t="str">
        <f ca="1">IF(E74="","",IF(ISNA(MATCH(D$3&amp;$AK74,Asta!$AI:$AI,0)),"",INDIRECT("Asta!AG"&amp;MATCH(D$3&amp;$AK74,Asta!$AI:$AI,0))))</f>
        <v/>
      </c>
      <c r="G74" s="23">
        <f>D74</f>
        <v>1</v>
      </c>
      <c r="H74" s="9" t="str">
        <f ca="1">IF(G74="","",IF(ISNA(MATCH(G$3&amp;$AK74,Asta!$AI:$AI,0)),"",INDIRECT("Asta!AA"&amp;MATCH(G$3&amp;$AK74,Asta!$AI:$AI,0))))</f>
        <v/>
      </c>
      <c r="I74" s="9" t="str">
        <f ca="1">IF(H74="","",IF(ISNA(MATCH(G$3&amp;$AK74,Asta!$AI:$AI,0)),"",INDIRECT("Asta!AG"&amp;MATCH(G$3&amp;$AK74,Asta!$AI:$AI,0))))</f>
        <v/>
      </c>
      <c r="J74" s="23">
        <f>G74</f>
        <v>1</v>
      </c>
      <c r="K74" s="9" t="str">
        <f ca="1">IF(J74="","",IF(ISNA(MATCH(J$3&amp;$AK74,Asta!$AI:$AI,0)),"",INDIRECT("Asta!AA"&amp;MATCH(J$3&amp;$AK74,Asta!$AI:$AI,0))))</f>
        <v/>
      </c>
      <c r="L74" s="9" t="str">
        <f ca="1">IF(K74="","",IF(ISNA(MATCH(J$3&amp;$AK74,Asta!$AI:$AI,0)),"",INDIRECT("Asta!AG"&amp;MATCH(J$3&amp;$AK74,Asta!$AI:$AI,0))))</f>
        <v/>
      </c>
      <c r="M74" s="23">
        <f>J74</f>
        <v>1</v>
      </c>
      <c r="N74" s="9" t="str">
        <f ca="1">IF(M74="","",IF(ISNA(MATCH(M$3&amp;$AK74,Asta!$AI:$AI,0)),"",INDIRECT("Asta!AA"&amp;MATCH(M$3&amp;$AK74,Asta!$AI:$AI,0))))</f>
        <v/>
      </c>
      <c r="O74" s="9" t="str">
        <f ca="1">IF(N74="","",IF(ISNA(MATCH(M$3&amp;$AK74,Asta!$AI:$AI,0)),"",INDIRECT("Asta!AG"&amp;MATCH(M$3&amp;$AK74,Asta!$AI:$AI,0))))</f>
        <v/>
      </c>
      <c r="P74" s="23">
        <f>M74</f>
        <v>1</v>
      </c>
      <c r="Q74" s="9" t="str">
        <f ca="1">IF(P74="","",IF(ISNA(MATCH(P$3&amp;$AK74,Asta!$AI:$AI,0)),"",INDIRECT("Asta!AA"&amp;MATCH(P$3&amp;$AK74,Asta!$AI:$AI,0))))</f>
        <v/>
      </c>
      <c r="R74" s="9" t="str">
        <f ca="1">IF(Q74="","",IF(ISNA(MATCH(P$3&amp;$AK74,Asta!$AI:$AI,0)),"",INDIRECT("Asta!AG"&amp;MATCH(P$3&amp;$AK74,Asta!$AI:$AI,0))))</f>
        <v/>
      </c>
      <c r="S74" s="23">
        <f>P74</f>
        <v>1</v>
      </c>
      <c r="T74" s="9" t="str">
        <f ca="1">IF(S74="","",IF(ISNA(MATCH(S$3&amp;$AK74,Asta!$AI:$AI,0)),"",INDIRECT("Asta!AA"&amp;MATCH(S$3&amp;$AK74,Asta!$AI:$AI,0))))</f>
        <v/>
      </c>
      <c r="U74" s="9" t="str">
        <f ca="1">IF(T74="","",IF(ISNA(MATCH(S$3&amp;$AK74,Asta!$AI:$AI,0)),"",INDIRECT("Asta!AG"&amp;MATCH(S$3&amp;$AK74,Asta!$AI:$AI,0))))</f>
        <v/>
      </c>
      <c r="V74" s="23">
        <f>S74</f>
        <v>1</v>
      </c>
      <c r="W74" s="9" t="str">
        <f ca="1">IF(V74="","",IF(ISNA(MATCH(V$3&amp;$AK74,Asta!$AI:$AI,0)),"",INDIRECT("Asta!AA"&amp;MATCH(V$3&amp;$AK74,Asta!$AI:$AI,0))))</f>
        <v/>
      </c>
      <c r="X74" s="9" t="str">
        <f ca="1">IF(W74="","",IF(ISNA(MATCH(V$3&amp;$AK74,Asta!$AI:$AI,0)),"",INDIRECT("Asta!AG"&amp;MATCH(V$3&amp;$AK74,Asta!$AI:$AI,0))))</f>
        <v/>
      </c>
      <c r="Y74" s="23">
        <f>V74</f>
        <v>1</v>
      </c>
      <c r="Z74" s="9" t="str">
        <f ca="1">IF(Y74="","",IF(ISNA(MATCH(Y$3&amp;$AK74,Asta!$AI:$AI,0)),"",INDIRECT("Asta!AA"&amp;MATCH(Y$3&amp;$AK74,Asta!$AI:$AI,0))))</f>
        <v/>
      </c>
      <c r="AA74" s="9" t="str">
        <f ca="1">IF(Z74="","",IF(ISNA(MATCH(Y$3&amp;$AK74,Asta!$AI:$AI,0)),"",INDIRECT("Asta!AG"&amp;MATCH(Y$3&amp;$AK74,Asta!$AI:$AI,0))))</f>
        <v/>
      </c>
      <c r="AB74" s="23">
        <f>Y74</f>
        <v>1</v>
      </c>
      <c r="AC74" s="9" t="str">
        <f ca="1">IF(AB74="","",IF(ISNA(MATCH(AB$3&amp;$AK74,Asta!$AI:$AI,0)),"",INDIRECT("Asta!AA"&amp;MATCH(AB$3&amp;$AK74,Asta!$AI:$AI,0))))</f>
        <v/>
      </c>
      <c r="AD74" s="9" t="str">
        <f ca="1">IF(AC74="","",IF(ISNA(MATCH(AB$3&amp;$AK74,Asta!$AI:$AI,0)),"",INDIRECT("Asta!AG"&amp;MATCH(AB$3&amp;$AK74,Asta!$AI:$AI,0))))</f>
        <v/>
      </c>
      <c r="AE74" s="23">
        <f>AB74</f>
        <v>1</v>
      </c>
      <c r="AF74" s="9" t="str">
        <f ca="1">IF(AE74="","",IF(ISNA(MATCH(AE$3&amp;$AK74,Asta!$AI:$AI,0)),"",INDIRECT("Asta!AA"&amp;MATCH(AE$3&amp;$AK74,Asta!$AI:$AI,0))))</f>
        <v/>
      </c>
      <c r="AG74" s="9" t="str">
        <f ca="1">IF(AF74="","",IF(ISNA(MATCH(AE$3&amp;$AK74,Asta!$AI:$AI,0)),"",INDIRECT("Asta!AG"&amp;MATCH(AE$3&amp;$AK74,Asta!$AI:$AI,0))))</f>
        <v/>
      </c>
      <c r="AH74" s="23">
        <f>AE74</f>
        <v>1</v>
      </c>
      <c r="AI74" s="9" t="str">
        <f ca="1">IF(AH74="","",IF(ISNA(MATCH(AH$3&amp;$AK74,Asta!$AI:$AI,0)),"",INDIRECT("Asta!AA"&amp;MATCH(AH$3&amp;$AK74,Asta!$AI:$AI,0))))</f>
        <v/>
      </c>
      <c r="AJ74" s="9" t="str">
        <f ca="1">IF(AI74="","",IF(ISNA(MATCH(AH$3&amp;$AK74,Asta!$AI:$AI,0)),"",INDIRECT("Asta!AG"&amp;MATCH(AH$3&amp;$AK74,Asta!$AI:$AI,0))))</f>
        <v/>
      </c>
      <c r="AK74" s="23">
        <f>AH74</f>
        <v>1</v>
      </c>
      <c r="AM74" s="221"/>
      <c r="AN74" s="231" t="str">
        <f ca="1">IF(Giocatori!E81=0,"",Giocatori!E81)</f>
        <v/>
      </c>
      <c r="AO74" s="221"/>
      <c r="AP74" s="231" t="str">
        <f ca="1">IF(Giocatori!H81=0,"",Giocatori!H81)</f>
        <v>FELIPE</v>
      </c>
      <c r="AQ74" s="221"/>
      <c r="AR74" s="231" t="str">
        <f ca="1">IF(Giocatori!K81=0,"",Giocatori!K81)</f>
        <v>GIL DIAS</v>
      </c>
      <c r="AS74" s="221"/>
      <c r="AT74" s="231" t="str">
        <f ca="1">IF(Giocatori!N81=0,"",Giocatori!N81)</f>
        <v>PAZZINI</v>
      </c>
      <c r="AU74" s="221"/>
      <c r="AV74" s="231" t="str">
        <f ca="1">IF(Giocatori!Q81=0,"",Giocatori!Q81)</f>
        <v/>
      </c>
      <c r="AX74" t="str">
        <f t="shared" ref="AX74:AX105" ca="1" si="120">IF(ISNA(VLOOKUP(AN74,$AW$2:$AW$199,1,FALSE)),AN74,"")</f>
        <v/>
      </c>
      <c r="AY74" s="7">
        <f t="shared" ca="1" si="97"/>
        <v>65</v>
      </c>
      <c r="AZ74" s="7">
        <f t="shared" ref="AZ74:AZ105" ca="1" si="121">IF(ISERROR(INDEX($AX$2:$AX$199,MATCH(ROW(),$AY$2:$AY$199,FALSE))),0,INDEX($AX$2:$AX$199,MATCH(ROW(),$AY$2:$AY$199,FALSE)))</f>
        <v>0</v>
      </c>
      <c r="BA74" s="4" t="str">
        <f t="shared" ref="BA74:BA81" ca="1" si="122">IF(W16=0,"",W16)</f>
        <v/>
      </c>
      <c r="BB74" t="str">
        <f t="shared" ref="BB74:BB105" ca="1" si="123">IF(ISNA(VLOOKUP(AP74,$BA$2:$BA$199,1,FALSE)),AP74,"")</f>
        <v>FELIPE</v>
      </c>
      <c r="BC74" s="7">
        <f t="shared" ca="1" si="108"/>
        <v>74</v>
      </c>
      <c r="BD74" s="7" t="str">
        <f t="shared" ref="BD74:BD105" ca="1" si="124">IF(ISERROR(INDEX($BB$2:$BB$199,MATCH(ROW(),$BC$2:$BC$199,FALSE))),0,INDEX($BB$2:$BB$199,MATCH(ROW(),$BC$2:$BC$199,FALSE)))</f>
        <v>FELIPE</v>
      </c>
      <c r="BE74" s="4" t="str">
        <f t="shared" ref="BE74:BE81" ca="1" si="125">IF(W32=0,"",W32)</f>
        <v/>
      </c>
      <c r="BF74" t="str">
        <f t="shared" ref="BF74:BF105" ca="1" si="126">IF(ISNA(VLOOKUP(AR74,$BE$2:$BE$199,1,FALSE)),AR74,"")</f>
        <v>GIL DIAS</v>
      </c>
      <c r="BG74" s="7">
        <f t="shared" ca="1" si="109"/>
        <v>74</v>
      </c>
      <c r="BH74" s="7" t="str">
        <f t="shared" ref="BH74:BH105" ca="1" si="127">IF(ISERROR(INDEX($BF$2:$BF$199,MATCH(ROW(),$BG$2:$BG$199,FALSE))),0,INDEX($BF$2:$BF$199,MATCH(ROW(),$BG$2:$BG$199,FALSE)))</f>
        <v>GIL DIAS</v>
      </c>
      <c r="BI74" s="4" t="str">
        <f t="shared" ref="BI74:BI81" ca="1" si="128">IF(AC46=0,"",AC46)</f>
        <v/>
      </c>
      <c r="BJ74" t="str">
        <f t="shared" ref="BJ74:BJ105" ca="1" si="129">IF(ISNA(VLOOKUP(AT74,$BI$2:$BI$199,1,FALSE)),AT74,"")</f>
        <v>PAZZINI</v>
      </c>
      <c r="BK74" s="7">
        <f t="shared" ca="1" si="110"/>
        <v>74</v>
      </c>
      <c r="BL74" s="7" t="str">
        <f t="shared" ref="BL74:BL105" ca="1" si="130">IF(ISERROR(INDEX($BJ$2:$BJ$199,MATCH(ROW(),$BK$2:$BK$199,FALSE))),0,INDEX($BJ$2:$BJ$199,MATCH(ROW(),$BK$2:$BK$199,FALSE)))</f>
        <v>PAZZINI</v>
      </c>
      <c r="BM74" s="4" t="str">
        <f t="shared" ref="BM74:BM83" ca="1" si="131">IF(W30=0,"",W30)</f>
        <v/>
      </c>
      <c r="BN74" t="str">
        <f t="shared" ref="BN74:BN105" ca="1" si="132">IF(ISNA(VLOOKUP(AV74,$BM$2:$BM$199,1,FALSE)),AV74,"")</f>
        <v/>
      </c>
      <c r="BO74" s="7">
        <f t="shared" ref="BO74:BO104" ca="1" si="133">ROW()-COUNTBLANK(INDIRECT("$BI$2:BI"&amp;ROW()))</f>
        <v>1</v>
      </c>
      <c r="BP74" s="7">
        <f t="shared" ref="BP74:BP105" ca="1" si="134">IF(ISERROR(INDEX($BN$2:$BN$199,MATCH(ROW(),$BO$2:$BO$199,FALSE))),0,INDEX($BN$2:$BN$199,MATCH(ROW(),$BO$2:$BO$199,FALSE)))</f>
        <v>0</v>
      </c>
    </row>
    <row r="75" spans="1:68" ht="14.25">
      <c r="A75" s="23">
        <f>A74+1</f>
        <v>2</v>
      </c>
      <c r="B75" s="9" t="str">
        <f ca="1">IF(A75="","",IF(ISNA(MATCH(A$3&amp;$AK75,Asta!$AI:$AI,0)),"",INDIRECT("Asta!AA"&amp;MATCH(A$3&amp;$AK75,Asta!$AI:$AI,0))))</f>
        <v/>
      </c>
      <c r="C75" s="9" t="str">
        <f ca="1">IF(B75="","",IF(ISNA(MATCH(A$3&amp;$AK75,Asta!$AI:$AI,0)),"",INDIRECT("Asta!AG"&amp;MATCH(A$3&amp;$AK75,Asta!$AI:$AI,0))))</f>
        <v/>
      </c>
      <c r="D75" s="23">
        <f t="shared" si="119"/>
        <v>2</v>
      </c>
      <c r="E75" s="9" t="str">
        <f ca="1">IF(D75="","",IF(ISNA(MATCH(D$3&amp;$AK75,Asta!$AI:$AI,0)),"",INDIRECT("Asta!AA"&amp;MATCH(D$3&amp;$AK75,Asta!$AI:$AI,0))))</f>
        <v/>
      </c>
      <c r="F75" s="9" t="str">
        <f ca="1">IF(E75="","",IF(ISNA(MATCH(D$3&amp;$AK75,Asta!$AI:$AI,0)),"",INDIRECT("Asta!AG"&amp;MATCH(D$3&amp;$AK75,Asta!$AI:$AI,0))))</f>
        <v/>
      </c>
      <c r="G75" s="23">
        <f t="shared" ref="G75:G80" si="135">D75</f>
        <v>2</v>
      </c>
      <c r="H75" s="9" t="str">
        <f ca="1">IF(G75="","",IF(ISNA(MATCH(G$3&amp;$AK75,Asta!$AI:$AI,0)),"",INDIRECT("Asta!AA"&amp;MATCH(G$3&amp;$AK75,Asta!$AI:$AI,0))))</f>
        <v/>
      </c>
      <c r="I75" s="9" t="str">
        <f ca="1">IF(H75="","",IF(ISNA(MATCH(G$3&amp;$AK75,Asta!$AI:$AI,0)),"",INDIRECT("Asta!AG"&amp;MATCH(G$3&amp;$AK75,Asta!$AI:$AI,0))))</f>
        <v/>
      </c>
      <c r="J75" s="23">
        <f t="shared" ref="J75:J80" si="136">G75</f>
        <v>2</v>
      </c>
      <c r="K75" s="9" t="str">
        <f ca="1">IF(J75="","",IF(ISNA(MATCH(J$3&amp;$AK75,Asta!$AI:$AI,0)),"",INDIRECT("Asta!AA"&amp;MATCH(J$3&amp;$AK75,Asta!$AI:$AI,0))))</f>
        <v/>
      </c>
      <c r="L75" s="9" t="str">
        <f ca="1">IF(K75="","",IF(ISNA(MATCH(J$3&amp;$AK75,Asta!$AI:$AI,0)),"",INDIRECT("Asta!AG"&amp;MATCH(J$3&amp;$AK75,Asta!$AI:$AI,0))))</f>
        <v/>
      </c>
      <c r="M75" s="23">
        <f t="shared" ref="M75:M80" si="137">J75</f>
        <v>2</v>
      </c>
      <c r="N75" s="9" t="str">
        <f ca="1">IF(M75="","",IF(ISNA(MATCH(M$3&amp;$AK75,Asta!$AI:$AI,0)),"",INDIRECT("Asta!AA"&amp;MATCH(M$3&amp;$AK75,Asta!$AI:$AI,0))))</f>
        <v/>
      </c>
      <c r="O75" s="9" t="str">
        <f ca="1">IF(N75="","",IF(ISNA(MATCH(M$3&amp;$AK75,Asta!$AI:$AI,0)),"",INDIRECT("Asta!AG"&amp;MATCH(M$3&amp;$AK75,Asta!$AI:$AI,0))))</f>
        <v/>
      </c>
      <c r="P75" s="23">
        <f t="shared" ref="P75:P80" si="138">M75</f>
        <v>2</v>
      </c>
      <c r="Q75" s="9" t="str">
        <f ca="1">IF(P75="","",IF(ISNA(MATCH(P$3&amp;$AK75,Asta!$AI:$AI,0)),"",INDIRECT("Asta!AA"&amp;MATCH(P$3&amp;$AK75,Asta!$AI:$AI,0))))</f>
        <v/>
      </c>
      <c r="R75" s="9" t="str">
        <f ca="1">IF(Q75="","",IF(ISNA(MATCH(P$3&amp;$AK75,Asta!$AI:$AI,0)),"",INDIRECT("Asta!AG"&amp;MATCH(P$3&amp;$AK75,Asta!$AI:$AI,0))))</f>
        <v/>
      </c>
      <c r="S75" s="23">
        <f t="shared" ref="S75:S80" si="139">P75</f>
        <v>2</v>
      </c>
      <c r="T75" s="9" t="str">
        <f ca="1">IF(S75="","",IF(ISNA(MATCH(S$3&amp;$AK75,Asta!$AI:$AI,0)),"",INDIRECT("Asta!AA"&amp;MATCH(S$3&amp;$AK75,Asta!$AI:$AI,0))))</f>
        <v/>
      </c>
      <c r="U75" s="9" t="str">
        <f ca="1">IF(T75="","",IF(ISNA(MATCH(S$3&amp;$AK75,Asta!$AI:$AI,0)),"",INDIRECT("Asta!AG"&amp;MATCH(S$3&amp;$AK75,Asta!$AI:$AI,0))))</f>
        <v/>
      </c>
      <c r="V75" s="23">
        <f t="shared" ref="V75:V80" si="140">S75</f>
        <v>2</v>
      </c>
      <c r="W75" s="9" t="str">
        <f ca="1">IF(V75="","",IF(ISNA(MATCH(V$3&amp;$AK75,Asta!$AI:$AI,0)),"",INDIRECT("Asta!AA"&amp;MATCH(V$3&amp;$AK75,Asta!$AI:$AI,0))))</f>
        <v/>
      </c>
      <c r="X75" s="9" t="str">
        <f ca="1">IF(W75="","",IF(ISNA(MATCH(V$3&amp;$AK75,Asta!$AI:$AI,0)),"",INDIRECT("Asta!AG"&amp;MATCH(V$3&amp;$AK75,Asta!$AI:$AI,0))))</f>
        <v/>
      </c>
      <c r="Y75" s="23">
        <f t="shared" ref="Y75:Y80" si="141">V75</f>
        <v>2</v>
      </c>
      <c r="Z75" s="9" t="str">
        <f ca="1">IF(Y75="","",IF(ISNA(MATCH(Y$3&amp;$AK75,Asta!$AI:$AI,0)),"",INDIRECT("Asta!AA"&amp;MATCH(Y$3&amp;$AK75,Asta!$AI:$AI,0))))</f>
        <v/>
      </c>
      <c r="AA75" s="9" t="str">
        <f ca="1">IF(Z75="","",IF(ISNA(MATCH(Y$3&amp;$AK75,Asta!$AI:$AI,0)),"",INDIRECT("Asta!AG"&amp;MATCH(Y$3&amp;$AK75,Asta!$AI:$AI,0))))</f>
        <v/>
      </c>
      <c r="AB75" s="23">
        <f t="shared" ref="AB75:AB80" si="142">Y75</f>
        <v>2</v>
      </c>
      <c r="AC75" s="9" t="str">
        <f ca="1">IF(AB75="","",IF(ISNA(MATCH(AB$3&amp;$AK75,Asta!$AI:$AI,0)),"",INDIRECT("Asta!AA"&amp;MATCH(AB$3&amp;$AK75,Asta!$AI:$AI,0))))</f>
        <v/>
      </c>
      <c r="AD75" s="9" t="str">
        <f ca="1">IF(AC75="","",IF(ISNA(MATCH(AB$3&amp;$AK75,Asta!$AI:$AI,0)),"",INDIRECT("Asta!AG"&amp;MATCH(AB$3&amp;$AK75,Asta!$AI:$AI,0))))</f>
        <v/>
      </c>
      <c r="AE75" s="23">
        <f t="shared" ref="AE75:AE80" si="143">AB75</f>
        <v>2</v>
      </c>
      <c r="AF75" s="9" t="str">
        <f ca="1">IF(AE75="","",IF(ISNA(MATCH(AE$3&amp;$AK75,Asta!$AI:$AI,0)),"",INDIRECT("Asta!AA"&amp;MATCH(AE$3&amp;$AK75,Asta!$AI:$AI,0))))</f>
        <v/>
      </c>
      <c r="AG75" s="9" t="str">
        <f ca="1">IF(AF75="","",IF(ISNA(MATCH(AE$3&amp;$AK75,Asta!$AI:$AI,0)),"",INDIRECT("Asta!AG"&amp;MATCH(AE$3&amp;$AK75,Asta!$AI:$AI,0))))</f>
        <v/>
      </c>
      <c r="AH75" s="23">
        <f t="shared" ref="AH75:AH80" si="144">AE75</f>
        <v>2</v>
      </c>
      <c r="AI75" s="9" t="str">
        <f ca="1">IF(AH75="","",IF(ISNA(MATCH(AH$3&amp;$AK75,Asta!$AI:$AI,0)),"",INDIRECT("Asta!AA"&amp;MATCH(AH$3&amp;$AK75,Asta!$AI:$AI,0))))</f>
        <v/>
      </c>
      <c r="AJ75" s="9" t="str">
        <f ca="1">IF(AI75="","",IF(ISNA(MATCH(AH$3&amp;$AK75,Asta!$AI:$AI,0)),"",INDIRECT("Asta!AG"&amp;MATCH(AH$3&amp;$AK75,Asta!$AI:$AI,0))))</f>
        <v/>
      </c>
      <c r="AK75" s="23">
        <f t="shared" ref="AK75:AK80" si="145">AH75</f>
        <v>2</v>
      </c>
      <c r="AM75" s="221"/>
      <c r="AN75" s="231" t="str">
        <f ca="1">IF(Giocatori!E82=0,"",Giocatori!E82)</f>
        <v/>
      </c>
      <c r="AO75" s="221"/>
      <c r="AP75" s="231" t="str">
        <f ca="1">IF(Giocatori!H82=0,"",Giocatori!H82)</f>
        <v>FERRARI A</v>
      </c>
      <c r="AQ75" s="221"/>
      <c r="AR75" s="231" t="str">
        <f ca="1">IF(Giocatori!K82=0,"",Giocatori!K82)</f>
        <v>GNOUKOURI</v>
      </c>
      <c r="AS75" s="221"/>
      <c r="AT75" s="231" t="str">
        <f ca="1">IF(Giocatori!N82=0,"",Giocatori!N82)</f>
        <v>PELLEGRI</v>
      </c>
      <c r="AU75" s="221"/>
      <c r="AV75" s="231" t="str">
        <f ca="1">IF(Giocatori!Q82=0,"",Giocatori!Q82)</f>
        <v/>
      </c>
      <c r="AX75" t="str">
        <f t="shared" ca="1" si="120"/>
        <v/>
      </c>
      <c r="AY75" s="7">
        <f t="shared" ca="1" si="97"/>
        <v>65</v>
      </c>
      <c r="AZ75" s="7">
        <f t="shared" ca="1" si="121"/>
        <v>0</v>
      </c>
      <c r="BA75" s="4" t="str">
        <f t="shared" ca="1" si="122"/>
        <v/>
      </c>
      <c r="BB75" t="str">
        <f t="shared" ca="1" si="123"/>
        <v>FERRARI A</v>
      </c>
      <c r="BC75" s="7">
        <f t="shared" ca="1" si="108"/>
        <v>75</v>
      </c>
      <c r="BD75" s="7" t="str">
        <f t="shared" ca="1" si="124"/>
        <v>FERRARI A</v>
      </c>
      <c r="BE75" s="4" t="str">
        <f t="shared" ca="1" si="125"/>
        <v/>
      </c>
      <c r="BF75" t="str">
        <f t="shared" ca="1" si="126"/>
        <v>GNOUKOURI</v>
      </c>
      <c r="BG75" s="7">
        <f t="shared" ca="1" si="109"/>
        <v>75</v>
      </c>
      <c r="BH75" s="7" t="str">
        <f t="shared" ca="1" si="127"/>
        <v>GNOUKOURI</v>
      </c>
      <c r="BI75" s="4" t="str">
        <f t="shared" ca="1" si="128"/>
        <v/>
      </c>
      <c r="BJ75" t="str">
        <f t="shared" ca="1" si="129"/>
        <v>PELLEGRI</v>
      </c>
      <c r="BK75" s="7">
        <f t="shared" ca="1" si="110"/>
        <v>75</v>
      </c>
      <c r="BL75" s="7" t="str">
        <f t="shared" ca="1" si="130"/>
        <v>PELLEGRI</v>
      </c>
      <c r="BM75" s="4" t="str">
        <f t="shared" ca="1" si="131"/>
        <v/>
      </c>
      <c r="BN75" t="str">
        <f t="shared" ca="1" si="132"/>
        <v/>
      </c>
      <c r="BO75" s="7">
        <f t="shared" ca="1" si="133"/>
        <v>1</v>
      </c>
      <c r="BP75" s="7">
        <f t="shared" ca="1" si="134"/>
        <v>0</v>
      </c>
    </row>
    <row r="76" spans="1:68" ht="14.25">
      <c r="A76" s="23">
        <f t="shared" ref="A76:A93" si="146">A75+1</f>
        <v>3</v>
      </c>
      <c r="B76" s="9" t="str">
        <f ca="1">IF(A76="","",IF(ISNA(MATCH(A$3&amp;$AK76,Asta!$AI:$AI,0)),"",INDIRECT("Asta!AA"&amp;MATCH(A$3&amp;$AK76,Asta!$AI:$AI,0))))</f>
        <v/>
      </c>
      <c r="C76" s="9" t="str">
        <f ca="1">IF(B76="","",IF(ISNA(MATCH(A$3&amp;$AK76,Asta!$AI:$AI,0)),"",INDIRECT("Asta!AG"&amp;MATCH(A$3&amp;$AK76,Asta!$AI:$AI,0))))</f>
        <v/>
      </c>
      <c r="D76" s="23">
        <f t="shared" si="119"/>
        <v>3</v>
      </c>
      <c r="E76" s="9" t="str">
        <f ca="1">IF(D76="","",IF(ISNA(MATCH(D$3&amp;$AK76,Asta!$AI:$AI,0)),"",INDIRECT("Asta!AA"&amp;MATCH(D$3&amp;$AK76,Asta!$AI:$AI,0))))</f>
        <v/>
      </c>
      <c r="F76" s="9" t="str">
        <f ca="1">IF(E76="","",IF(ISNA(MATCH(D$3&amp;$AK76,Asta!$AI:$AI,0)),"",INDIRECT("Asta!AG"&amp;MATCH(D$3&amp;$AK76,Asta!$AI:$AI,0))))</f>
        <v/>
      </c>
      <c r="G76" s="23">
        <f t="shared" si="135"/>
        <v>3</v>
      </c>
      <c r="H76" s="9" t="str">
        <f ca="1">IF(G76="","",IF(ISNA(MATCH(G$3&amp;$AK76,Asta!$AI:$AI,0)),"",INDIRECT("Asta!AA"&amp;MATCH(G$3&amp;$AK76,Asta!$AI:$AI,0))))</f>
        <v/>
      </c>
      <c r="I76" s="9" t="str">
        <f ca="1">IF(H76="","",IF(ISNA(MATCH(G$3&amp;$AK76,Asta!$AI:$AI,0)),"",INDIRECT("Asta!AG"&amp;MATCH(G$3&amp;$AK76,Asta!$AI:$AI,0))))</f>
        <v/>
      </c>
      <c r="J76" s="23">
        <f t="shared" si="136"/>
        <v>3</v>
      </c>
      <c r="K76" s="9" t="str">
        <f ca="1">IF(J76="","",IF(ISNA(MATCH(J$3&amp;$AK76,Asta!$AI:$AI,0)),"",INDIRECT("Asta!AA"&amp;MATCH(J$3&amp;$AK76,Asta!$AI:$AI,0))))</f>
        <v/>
      </c>
      <c r="L76" s="9" t="str">
        <f ca="1">IF(K76="","",IF(ISNA(MATCH(J$3&amp;$AK76,Asta!$AI:$AI,0)),"",INDIRECT("Asta!AG"&amp;MATCH(J$3&amp;$AK76,Asta!$AI:$AI,0))))</f>
        <v/>
      </c>
      <c r="M76" s="23">
        <f t="shared" si="137"/>
        <v>3</v>
      </c>
      <c r="N76" s="9" t="str">
        <f ca="1">IF(M76="","",IF(ISNA(MATCH(M$3&amp;$AK76,Asta!$AI:$AI,0)),"",INDIRECT("Asta!AA"&amp;MATCH(M$3&amp;$AK76,Asta!$AI:$AI,0))))</f>
        <v/>
      </c>
      <c r="O76" s="9" t="str">
        <f ca="1">IF(N76="","",IF(ISNA(MATCH(M$3&amp;$AK76,Asta!$AI:$AI,0)),"",INDIRECT("Asta!AG"&amp;MATCH(M$3&amp;$AK76,Asta!$AI:$AI,0))))</f>
        <v/>
      </c>
      <c r="P76" s="23">
        <f t="shared" si="138"/>
        <v>3</v>
      </c>
      <c r="Q76" s="9" t="str">
        <f ca="1">IF(P76="","",IF(ISNA(MATCH(P$3&amp;$AK76,Asta!$AI:$AI,0)),"",INDIRECT("Asta!AA"&amp;MATCH(P$3&amp;$AK76,Asta!$AI:$AI,0))))</f>
        <v/>
      </c>
      <c r="R76" s="9" t="str">
        <f ca="1">IF(Q76="","",IF(ISNA(MATCH(P$3&amp;$AK76,Asta!$AI:$AI,0)),"",INDIRECT("Asta!AG"&amp;MATCH(P$3&amp;$AK76,Asta!$AI:$AI,0))))</f>
        <v/>
      </c>
      <c r="S76" s="23">
        <f t="shared" si="139"/>
        <v>3</v>
      </c>
      <c r="T76" s="9" t="str">
        <f ca="1">IF(S76="","",IF(ISNA(MATCH(S$3&amp;$AK76,Asta!$AI:$AI,0)),"",INDIRECT("Asta!AA"&amp;MATCH(S$3&amp;$AK76,Asta!$AI:$AI,0))))</f>
        <v/>
      </c>
      <c r="U76" s="9" t="str">
        <f ca="1">IF(T76="","",IF(ISNA(MATCH(S$3&amp;$AK76,Asta!$AI:$AI,0)),"",INDIRECT("Asta!AG"&amp;MATCH(S$3&amp;$AK76,Asta!$AI:$AI,0))))</f>
        <v/>
      </c>
      <c r="V76" s="23">
        <f t="shared" si="140"/>
        <v>3</v>
      </c>
      <c r="W76" s="9" t="str">
        <f ca="1">IF(V76="","",IF(ISNA(MATCH(V$3&amp;$AK76,Asta!$AI:$AI,0)),"",INDIRECT("Asta!AA"&amp;MATCH(V$3&amp;$AK76,Asta!$AI:$AI,0))))</f>
        <v/>
      </c>
      <c r="X76" s="9" t="str">
        <f ca="1">IF(W76="","",IF(ISNA(MATCH(V$3&amp;$AK76,Asta!$AI:$AI,0)),"",INDIRECT("Asta!AG"&amp;MATCH(V$3&amp;$AK76,Asta!$AI:$AI,0))))</f>
        <v/>
      </c>
      <c r="Y76" s="23">
        <f t="shared" si="141"/>
        <v>3</v>
      </c>
      <c r="Z76" s="9" t="str">
        <f ca="1">IF(Y76="","",IF(ISNA(MATCH(Y$3&amp;$AK76,Asta!$AI:$AI,0)),"",INDIRECT("Asta!AA"&amp;MATCH(Y$3&amp;$AK76,Asta!$AI:$AI,0))))</f>
        <v/>
      </c>
      <c r="AA76" s="9" t="str">
        <f ca="1">IF(Z76="","",IF(ISNA(MATCH(Y$3&amp;$AK76,Asta!$AI:$AI,0)),"",INDIRECT("Asta!AG"&amp;MATCH(Y$3&amp;$AK76,Asta!$AI:$AI,0))))</f>
        <v/>
      </c>
      <c r="AB76" s="23">
        <f t="shared" si="142"/>
        <v>3</v>
      </c>
      <c r="AC76" s="9" t="str">
        <f ca="1">IF(AB76="","",IF(ISNA(MATCH(AB$3&amp;$AK76,Asta!$AI:$AI,0)),"",INDIRECT("Asta!AA"&amp;MATCH(AB$3&amp;$AK76,Asta!$AI:$AI,0))))</f>
        <v/>
      </c>
      <c r="AD76" s="9" t="str">
        <f ca="1">IF(AC76="","",IF(ISNA(MATCH(AB$3&amp;$AK76,Asta!$AI:$AI,0)),"",INDIRECT("Asta!AG"&amp;MATCH(AB$3&amp;$AK76,Asta!$AI:$AI,0))))</f>
        <v/>
      </c>
      <c r="AE76" s="23">
        <f t="shared" si="143"/>
        <v>3</v>
      </c>
      <c r="AF76" s="9" t="str">
        <f ca="1">IF(AE76="","",IF(ISNA(MATCH(AE$3&amp;$AK76,Asta!$AI:$AI,0)),"",INDIRECT("Asta!AA"&amp;MATCH(AE$3&amp;$AK76,Asta!$AI:$AI,0))))</f>
        <v/>
      </c>
      <c r="AG76" s="9" t="str">
        <f ca="1">IF(AF76="","",IF(ISNA(MATCH(AE$3&amp;$AK76,Asta!$AI:$AI,0)),"",INDIRECT("Asta!AG"&amp;MATCH(AE$3&amp;$AK76,Asta!$AI:$AI,0))))</f>
        <v/>
      </c>
      <c r="AH76" s="23">
        <f t="shared" si="144"/>
        <v>3</v>
      </c>
      <c r="AI76" s="9" t="str">
        <f ca="1">IF(AH76="","",IF(ISNA(MATCH(AH$3&amp;$AK76,Asta!$AI:$AI,0)),"",INDIRECT("Asta!AA"&amp;MATCH(AH$3&amp;$AK76,Asta!$AI:$AI,0))))</f>
        <v/>
      </c>
      <c r="AJ76" s="9" t="str">
        <f ca="1">IF(AI76="","",IF(ISNA(MATCH(AH$3&amp;$AK76,Asta!$AI:$AI,0)),"",INDIRECT("Asta!AG"&amp;MATCH(AH$3&amp;$AK76,Asta!$AI:$AI,0))))</f>
        <v/>
      </c>
      <c r="AK76" s="23">
        <f t="shared" si="145"/>
        <v>3</v>
      </c>
      <c r="AM76" s="221"/>
      <c r="AN76" s="231" t="str">
        <f ca="1">IF(Giocatori!E83=0,"",Giocatori!E83)</f>
        <v/>
      </c>
      <c r="AO76" s="221"/>
      <c r="AP76" s="231" t="str">
        <f ca="1">IF(Giocatori!H83=0,"",Giocatori!H83)</f>
        <v>FERRARI G</v>
      </c>
      <c r="AQ76" s="221"/>
      <c r="AR76" s="231" t="str">
        <f ca="1">IF(Giocatori!K83=0,"",Giocatori!K83)</f>
        <v>GONALONS</v>
      </c>
      <c r="AS76" s="221"/>
      <c r="AT76" s="231" t="str">
        <f ca="1">IF(Giocatori!N83=0,"",Giocatori!N83)</f>
        <v>PELLISSIER</v>
      </c>
      <c r="AU76" s="221"/>
      <c r="AV76" s="231" t="str">
        <f ca="1">IF(Giocatori!Q83=0,"",Giocatori!Q83)</f>
        <v/>
      </c>
      <c r="AX76" t="str">
        <f t="shared" ca="1" si="120"/>
        <v/>
      </c>
      <c r="AY76" s="7">
        <f t="shared" ca="1" si="97"/>
        <v>65</v>
      </c>
      <c r="AZ76" s="7">
        <f t="shared" ca="1" si="121"/>
        <v>0</v>
      </c>
      <c r="BA76" s="4" t="str">
        <f t="shared" ca="1" si="122"/>
        <v/>
      </c>
      <c r="BB76" t="str">
        <f t="shared" ca="1" si="123"/>
        <v>FERRARI G</v>
      </c>
      <c r="BC76" s="7">
        <f t="shared" ca="1" si="108"/>
        <v>76</v>
      </c>
      <c r="BD76" s="7" t="str">
        <f t="shared" ca="1" si="124"/>
        <v>FERRARI G</v>
      </c>
      <c r="BE76" s="4" t="str">
        <f t="shared" ca="1" si="125"/>
        <v/>
      </c>
      <c r="BF76" t="str">
        <f t="shared" ca="1" si="126"/>
        <v>GONALONS</v>
      </c>
      <c r="BG76" s="7">
        <f t="shared" ca="1" si="109"/>
        <v>76</v>
      </c>
      <c r="BH76" s="7" t="str">
        <f t="shared" ca="1" si="127"/>
        <v>GONALONS</v>
      </c>
      <c r="BI76" s="4" t="str">
        <f t="shared" ca="1" si="128"/>
        <v/>
      </c>
      <c r="BJ76" t="str">
        <f t="shared" ca="1" si="129"/>
        <v>PELLISSIER</v>
      </c>
      <c r="BK76" s="7">
        <f t="shared" ca="1" si="110"/>
        <v>76</v>
      </c>
      <c r="BL76" s="7" t="str">
        <f t="shared" ca="1" si="130"/>
        <v>PELLISSIER</v>
      </c>
      <c r="BM76" s="4" t="str">
        <f t="shared" ca="1" si="131"/>
        <v/>
      </c>
      <c r="BN76" t="str">
        <f t="shared" ca="1" si="132"/>
        <v/>
      </c>
      <c r="BO76" s="7">
        <f t="shared" ca="1" si="133"/>
        <v>1</v>
      </c>
      <c r="BP76" s="7">
        <f t="shared" ca="1" si="134"/>
        <v>0</v>
      </c>
    </row>
    <row r="77" spans="1:68" ht="14.25">
      <c r="A77" s="23">
        <f t="shared" si="146"/>
        <v>4</v>
      </c>
      <c r="B77" s="9" t="str">
        <f ca="1">IF(A77="","",IF(ISNA(MATCH(A$3&amp;$AK77,Asta!$AI:$AI,0)),"",INDIRECT("Asta!AA"&amp;MATCH(A$3&amp;$AK77,Asta!$AI:$AI,0))))</f>
        <v/>
      </c>
      <c r="C77" s="9" t="str">
        <f ca="1">IF(B77="","",IF(ISNA(MATCH(A$3&amp;$AK77,Asta!$AI:$AI,0)),"",INDIRECT("Asta!AG"&amp;MATCH(A$3&amp;$AK77,Asta!$AI:$AI,0))))</f>
        <v/>
      </c>
      <c r="D77" s="23">
        <f t="shared" si="119"/>
        <v>4</v>
      </c>
      <c r="E77" s="9" t="str">
        <f ca="1">IF(D77="","",IF(ISNA(MATCH(D$3&amp;$AK77,Asta!$AI:$AI,0)),"",INDIRECT("Asta!AA"&amp;MATCH(D$3&amp;$AK77,Asta!$AI:$AI,0))))</f>
        <v/>
      </c>
      <c r="F77" s="9" t="str">
        <f ca="1">IF(E77="","",IF(ISNA(MATCH(D$3&amp;$AK77,Asta!$AI:$AI,0)),"",INDIRECT("Asta!AG"&amp;MATCH(D$3&amp;$AK77,Asta!$AI:$AI,0))))</f>
        <v/>
      </c>
      <c r="G77" s="23">
        <f t="shared" si="135"/>
        <v>4</v>
      </c>
      <c r="H77" s="9" t="str">
        <f ca="1">IF(G77="","",IF(ISNA(MATCH(G$3&amp;$AK77,Asta!$AI:$AI,0)),"",INDIRECT("Asta!AA"&amp;MATCH(G$3&amp;$AK77,Asta!$AI:$AI,0))))</f>
        <v/>
      </c>
      <c r="I77" s="9" t="str">
        <f ca="1">IF(H77="","",IF(ISNA(MATCH(G$3&amp;$AK77,Asta!$AI:$AI,0)),"",INDIRECT("Asta!AG"&amp;MATCH(G$3&amp;$AK77,Asta!$AI:$AI,0))))</f>
        <v/>
      </c>
      <c r="J77" s="23">
        <f t="shared" si="136"/>
        <v>4</v>
      </c>
      <c r="K77" s="9" t="str">
        <f ca="1">IF(J77="","",IF(ISNA(MATCH(J$3&amp;$AK77,Asta!$AI:$AI,0)),"",INDIRECT("Asta!AA"&amp;MATCH(J$3&amp;$AK77,Asta!$AI:$AI,0))))</f>
        <v/>
      </c>
      <c r="L77" s="9" t="str">
        <f ca="1">IF(K77="","",IF(ISNA(MATCH(J$3&amp;$AK77,Asta!$AI:$AI,0)),"",INDIRECT("Asta!AG"&amp;MATCH(J$3&amp;$AK77,Asta!$AI:$AI,0))))</f>
        <v/>
      </c>
      <c r="M77" s="23">
        <f t="shared" si="137"/>
        <v>4</v>
      </c>
      <c r="N77" s="9" t="str">
        <f ca="1">IF(M77="","",IF(ISNA(MATCH(M$3&amp;$AK77,Asta!$AI:$AI,0)),"",INDIRECT("Asta!AA"&amp;MATCH(M$3&amp;$AK77,Asta!$AI:$AI,0))))</f>
        <v/>
      </c>
      <c r="O77" s="9" t="str">
        <f ca="1">IF(N77="","",IF(ISNA(MATCH(M$3&amp;$AK77,Asta!$AI:$AI,0)),"",INDIRECT("Asta!AG"&amp;MATCH(M$3&amp;$AK77,Asta!$AI:$AI,0))))</f>
        <v/>
      </c>
      <c r="P77" s="23">
        <f t="shared" si="138"/>
        <v>4</v>
      </c>
      <c r="Q77" s="9" t="str">
        <f ca="1">IF(P77="","",IF(ISNA(MATCH(P$3&amp;$AK77,Asta!$AI:$AI,0)),"",INDIRECT("Asta!AA"&amp;MATCH(P$3&amp;$AK77,Asta!$AI:$AI,0))))</f>
        <v/>
      </c>
      <c r="R77" s="9" t="str">
        <f ca="1">IF(Q77="","",IF(ISNA(MATCH(P$3&amp;$AK77,Asta!$AI:$AI,0)),"",INDIRECT("Asta!AG"&amp;MATCH(P$3&amp;$AK77,Asta!$AI:$AI,0))))</f>
        <v/>
      </c>
      <c r="S77" s="23">
        <f t="shared" si="139"/>
        <v>4</v>
      </c>
      <c r="T77" s="9" t="str">
        <f ca="1">IF(S77="","",IF(ISNA(MATCH(S$3&amp;$AK77,Asta!$AI:$AI,0)),"",INDIRECT("Asta!AA"&amp;MATCH(S$3&amp;$AK77,Asta!$AI:$AI,0))))</f>
        <v/>
      </c>
      <c r="U77" s="9" t="str">
        <f ca="1">IF(T77="","",IF(ISNA(MATCH(S$3&amp;$AK77,Asta!$AI:$AI,0)),"",INDIRECT("Asta!AG"&amp;MATCH(S$3&amp;$AK77,Asta!$AI:$AI,0))))</f>
        <v/>
      </c>
      <c r="V77" s="23">
        <f t="shared" si="140"/>
        <v>4</v>
      </c>
      <c r="W77" s="9" t="str">
        <f ca="1">IF(V77="","",IF(ISNA(MATCH(V$3&amp;$AK77,Asta!$AI:$AI,0)),"",INDIRECT("Asta!AA"&amp;MATCH(V$3&amp;$AK77,Asta!$AI:$AI,0))))</f>
        <v/>
      </c>
      <c r="X77" s="9" t="str">
        <f ca="1">IF(W77="","",IF(ISNA(MATCH(V$3&amp;$AK77,Asta!$AI:$AI,0)),"",INDIRECT("Asta!AG"&amp;MATCH(V$3&amp;$AK77,Asta!$AI:$AI,0))))</f>
        <v/>
      </c>
      <c r="Y77" s="23">
        <f t="shared" si="141"/>
        <v>4</v>
      </c>
      <c r="Z77" s="9" t="str">
        <f ca="1">IF(Y77="","",IF(ISNA(MATCH(Y$3&amp;$AK77,Asta!$AI:$AI,0)),"",INDIRECT("Asta!AA"&amp;MATCH(Y$3&amp;$AK77,Asta!$AI:$AI,0))))</f>
        <v/>
      </c>
      <c r="AA77" s="9" t="str">
        <f ca="1">IF(Z77="","",IF(ISNA(MATCH(Y$3&amp;$AK77,Asta!$AI:$AI,0)),"",INDIRECT("Asta!AG"&amp;MATCH(Y$3&amp;$AK77,Asta!$AI:$AI,0))))</f>
        <v/>
      </c>
      <c r="AB77" s="23">
        <f t="shared" si="142"/>
        <v>4</v>
      </c>
      <c r="AC77" s="9" t="str">
        <f ca="1">IF(AB77="","",IF(ISNA(MATCH(AB$3&amp;$AK77,Asta!$AI:$AI,0)),"",INDIRECT("Asta!AA"&amp;MATCH(AB$3&amp;$AK77,Asta!$AI:$AI,0))))</f>
        <v/>
      </c>
      <c r="AD77" s="9" t="str">
        <f ca="1">IF(AC77="","",IF(ISNA(MATCH(AB$3&amp;$AK77,Asta!$AI:$AI,0)),"",INDIRECT("Asta!AG"&amp;MATCH(AB$3&amp;$AK77,Asta!$AI:$AI,0))))</f>
        <v/>
      </c>
      <c r="AE77" s="23">
        <f t="shared" si="143"/>
        <v>4</v>
      </c>
      <c r="AF77" s="9" t="str">
        <f ca="1">IF(AE77="","",IF(ISNA(MATCH(AE$3&amp;$AK77,Asta!$AI:$AI,0)),"",INDIRECT("Asta!AA"&amp;MATCH(AE$3&amp;$AK77,Asta!$AI:$AI,0))))</f>
        <v/>
      </c>
      <c r="AG77" s="9" t="str">
        <f ca="1">IF(AF77="","",IF(ISNA(MATCH(AE$3&amp;$AK77,Asta!$AI:$AI,0)),"",INDIRECT("Asta!AG"&amp;MATCH(AE$3&amp;$AK77,Asta!$AI:$AI,0))))</f>
        <v/>
      </c>
      <c r="AH77" s="23">
        <f t="shared" si="144"/>
        <v>4</v>
      </c>
      <c r="AI77" s="9" t="str">
        <f ca="1">IF(AH77="","",IF(ISNA(MATCH(AH$3&amp;$AK77,Asta!$AI:$AI,0)),"",INDIRECT("Asta!AA"&amp;MATCH(AH$3&amp;$AK77,Asta!$AI:$AI,0))))</f>
        <v/>
      </c>
      <c r="AJ77" s="9" t="str">
        <f ca="1">IF(AI77="","",IF(ISNA(MATCH(AH$3&amp;$AK77,Asta!$AI:$AI,0)),"",INDIRECT("Asta!AG"&amp;MATCH(AH$3&amp;$AK77,Asta!$AI:$AI,0))))</f>
        <v/>
      </c>
      <c r="AK77" s="23">
        <f t="shared" si="145"/>
        <v>4</v>
      </c>
      <c r="AM77" s="221"/>
      <c r="AN77" s="231" t="str">
        <f ca="1">IF(Giocatori!E84=0,"",Giocatori!E84)</f>
        <v/>
      </c>
      <c r="AO77" s="221"/>
      <c r="AP77" s="231" t="str">
        <f ca="1">IF(Giocatori!H84=0,"",Giocatori!H84)</f>
        <v>FLORENZI</v>
      </c>
      <c r="AQ77" s="221"/>
      <c r="AR77" s="231" t="str">
        <f ca="1">IF(Giocatori!K84=0,"",Giocatori!K84)</f>
        <v>GRASSI</v>
      </c>
      <c r="AS77" s="221"/>
      <c r="AT77" s="231" t="str">
        <f ca="1">IF(Giocatori!N84=0,"",Giocatori!N84)</f>
        <v>PERICA</v>
      </c>
      <c r="AU77" s="221"/>
      <c r="AV77" s="231" t="str">
        <f ca="1">IF(Giocatori!Q84=0,"",Giocatori!Q84)</f>
        <v/>
      </c>
      <c r="AX77" t="str">
        <f t="shared" ca="1" si="120"/>
        <v/>
      </c>
      <c r="AY77" s="7">
        <f t="shared" ca="1" si="97"/>
        <v>65</v>
      </c>
      <c r="AZ77" s="7">
        <f t="shared" ca="1" si="121"/>
        <v>0</v>
      </c>
      <c r="BA77" s="4" t="str">
        <f t="shared" ca="1" si="122"/>
        <v/>
      </c>
      <c r="BB77" t="str">
        <f t="shared" ca="1" si="123"/>
        <v>FLORENZI</v>
      </c>
      <c r="BC77" s="7">
        <f t="shared" ca="1" si="108"/>
        <v>77</v>
      </c>
      <c r="BD77" s="7" t="str">
        <f t="shared" ca="1" si="124"/>
        <v>FLORENZI</v>
      </c>
      <c r="BE77" s="4" t="str">
        <f t="shared" ca="1" si="125"/>
        <v/>
      </c>
      <c r="BF77" t="str">
        <f t="shared" ca="1" si="126"/>
        <v>GRASSI</v>
      </c>
      <c r="BG77" s="7">
        <f t="shared" ca="1" si="109"/>
        <v>77</v>
      </c>
      <c r="BH77" s="7" t="str">
        <f t="shared" ca="1" si="127"/>
        <v>GRASSI</v>
      </c>
      <c r="BI77" s="4" t="str">
        <f t="shared" ca="1" si="128"/>
        <v/>
      </c>
      <c r="BJ77" t="str">
        <f t="shared" ca="1" si="129"/>
        <v>PERICA</v>
      </c>
      <c r="BK77" s="7">
        <f t="shared" ca="1" si="110"/>
        <v>77</v>
      </c>
      <c r="BL77" s="7" t="str">
        <f t="shared" ca="1" si="130"/>
        <v>PERICA</v>
      </c>
      <c r="BM77" s="4" t="str">
        <f t="shared" ca="1" si="131"/>
        <v/>
      </c>
      <c r="BN77" t="str">
        <f t="shared" ca="1" si="132"/>
        <v/>
      </c>
      <c r="BO77" s="7">
        <f t="shared" ca="1" si="133"/>
        <v>1</v>
      </c>
      <c r="BP77" s="7">
        <f t="shared" ca="1" si="134"/>
        <v>0</v>
      </c>
    </row>
    <row r="78" spans="1:68" ht="14.25">
      <c r="A78" s="23">
        <f t="shared" si="146"/>
        <v>5</v>
      </c>
      <c r="B78" s="9" t="str">
        <f ca="1">IF(A78="","",IF(ISNA(MATCH(A$3&amp;$AK78,Asta!$AI:$AI,0)),"",INDIRECT("Asta!AA"&amp;MATCH(A$3&amp;$AK78,Asta!$AI:$AI,0))))</f>
        <v/>
      </c>
      <c r="C78" s="9" t="str">
        <f ca="1">IF(B78="","",IF(ISNA(MATCH(A$3&amp;$AK78,Asta!$AI:$AI,0)),"",INDIRECT("Asta!AG"&amp;MATCH(A$3&amp;$AK78,Asta!$AI:$AI,0))))</f>
        <v/>
      </c>
      <c r="D78" s="23">
        <f t="shared" si="119"/>
        <v>5</v>
      </c>
      <c r="E78" s="9" t="str">
        <f ca="1">IF(D78="","",IF(ISNA(MATCH(D$3&amp;$AK78,Asta!$AI:$AI,0)),"",INDIRECT("Asta!AA"&amp;MATCH(D$3&amp;$AK78,Asta!$AI:$AI,0))))</f>
        <v/>
      </c>
      <c r="F78" s="9" t="str">
        <f ca="1">IF(E78="","",IF(ISNA(MATCH(D$3&amp;$AK78,Asta!$AI:$AI,0)),"",INDIRECT("Asta!AG"&amp;MATCH(D$3&amp;$AK78,Asta!$AI:$AI,0))))</f>
        <v/>
      </c>
      <c r="G78" s="23">
        <f t="shared" si="135"/>
        <v>5</v>
      </c>
      <c r="H78" s="9" t="str">
        <f ca="1">IF(G78="","",IF(ISNA(MATCH(G$3&amp;$AK78,Asta!$AI:$AI,0)),"",INDIRECT("Asta!AA"&amp;MATCH(G$3&amp;$AK78,Asta!$AI:$AI,0))))</f>
        <v/>
      </c>
      <c r="I78" s="9" t="str">
        <f ca="1">IF(H78="","",IF(ISNA(MATCH(G$3&amp;$AK78,Asta!$AI:$AI,0)),"",INDIRECT("Asta!AG"&amp;MATCH(G$3&amp;$AK78,Asta!$AI:$AI,0))))</f>
        <v/>
      </c>
      <c r="J78" s="23">
        <f t="shared" si="136"/>
        <v>5</v>
      </c>
      <c r="K78" s="9" t="str">
        <f ca="1">IF(J78="","",IF(ISNA(MATCH(J$3&amp;$AK78,Asta!$AI:$AI,0)),"",INDIRECT("Asta!AA"&amp;MATCH(J$3&amp;$AK78,Asta!$AI:$AI,0))))</f>
        <v/>
      </c>
      <c r="L78" s="9" t="str">
        <f ca="1">IF(K78="","",IF(ISNA(MATCH(J$3&amp;$AK78,Asta!$AI:$AI,0)),"",INDIRECT("Asta!AG"&amp;MATCH(J$3&amp;$AK78,Asta!$AI:$AI,0))))</f>
        <v/>
      </c>
      <c r="M78" s="23">
        <f t="shared" si="137"/>
        <v>5</v>
      </c>
      <c r="N78" s="9" t="str">
        <f ca="1">IF(M78="","",IF(ISNA(MATCH(M$3&amp;$AK78,Asta!$AI:$AI,0)),"",INDIRECT("Asta!AA"&amp;MATCH(M$3&amp;$AK78,Asta!$AI:$AI,0))))</f>
        <v/>
      </c>
      <c r="O78" s="9" t="str">
        <f ca="1">IF(N78="","",IF(ISNA(MATCH(M$3&amp;$AK78,Asta!$AI:$AI,0)),"",INDIRECT("Asta!AG"&amp;MATCH(M$3&amp;$AK78,Asta!$AI:$AI,0))))</f>
        <v/>
      </c>
      <c r="P78" s="23">
        <f t="shared" si="138"/>
        <v>5</v>
      </c>
      <c r="Q78" s="9" t="str">
        <f ca="1">IF(P78="","",IF(ISNA(MATCH(P$3&amp;$AK78,Asta!$AI:$AI,0)),"",INDIRECT("Asta!AA"&amp;MATCH(P$3&amp;$AK78,Asta!$AI:$AI,0))))</f>
        <v/>
      </c>
      <c r="R78" s="9" t="str">
        <f ca="1">IF(Q78="","",IF(ISNA(MATCH(P$3&amp;$AK78,Asta!$AI:$AI,0)),"",INDIRECT("Asta!AG"&amp;MATCH(P$3&amp;$AK78,Asta!$AI:$AI,0))))</f>
        <v/>
      </c>
      <c r="S78" s="23">
        <f t="shared" si="139"/>
        <v>5</v>
      </c>
      <c r="T78" s="9" t="str">
        <f ca="1">IF(S78="","",IF(ISNA(MATCH(S$3&amp;$AK78,Asta!$AI:$AI,0)),"",INDIRECT("Asta!AA"&amp;MATCH(S$3&amp;$AK78,Asta!$AI:$AI,0))))</f>
        <v/>
      </c>
      <c r="U78" s="9" t="str">
        <f ca="1">IF(T78="","",IF(ISNA(MATCH(S$3&amp;$AK78,Asta!$AI:$AI,0)),"",INDIRECT("Asta!AG"&amp;MATCH(S$3&amp;$AK78,Asta!$AI:$AI,0))))</f>
        <v/>
      </c>
      <c r="V78" s="23">
        <f t="shared" si="140"/>
        <v>5</v>
      </c>
      <c r="W78" s="9" t="str">
        <f ca="1">IF(V78="","",IF(ISNA(MATCH(V$3&amp;$AK78,Asta!$AI:$AI,0)),"",INDIRECT("Asta!AA"&amp;MATCH(V$3&amp;$AK78,Asta!$AI:$AI,0))))</f>
        <v/>
      </c>
      <c r="X78" s="9" t="str">
        <f ca="1">IF(W78="","",IF(ISNA(MATCH(V$3&amp;$AK78,Asta!$AI:$AI,0)),"",INDIRECT("Asta!AG"&amp;MATCH(V$3&amp;$AK78,Asta!$AI:$AI,0))))</f>
        <v/>
      </c>
      <c r="Y78" s="23">
        <f t="shared" si="141"/>
        <v>5</v>
      </c>
      <c r="Z78" s="9" t="str">
        <f ca="1">IF(Y78="","",IF(ISNA(MATCH(Y$3&amp;$AK78,Asta!$AI:$AI,0)),"",INDIRECT("Asta!AA"&amp;MATCH(Y$3&amp;$AK78,Asta!$AI:$AI,0))))</f>
        <v/>
      </c>
      <c r="AA78" s="9" t="str">
        <f ca="1">IF(Z78="","",IF(ISNA(MATCH(Y$3&amp;$AK78,Asta!$AI:$AI,0)),"",INDIRECT("Asta!AG"&amp;MATCH(Y$3&amp;$AK78,Asta!$AI:$AI,0))))</f>
        <v/>
      </c>
      <c r="AB78" s="23">
        <f t="shared" si="142"/>
        <v>5</v>
      </c>
      <c r="AC78" s="9" t="str">
        <f ca="1">IF(AB78="","",IF(ISNA(MATCH(AB$3&amp;$AK78,Asta!$AI:$AI,0)),"",INDIRECT("Asta!AA"&amp;MATCH(AB$3&amp;$AK78,Asta!$AI:$AI,0))))</f>
        <v/>
      </c>
      <c r="AD78" s="9" t="str">
        <f ca="1">IF(AC78="","",IF(ISNA(MATCH(AB$3&amp;$AK78,Asta!$AI:$AI,0)),"",INDIRECT("Asta!AG"&amp;MATCH(AB$3&amp;$AK78,Asta!$AI:$AI,0))))</f>
        <v/>
      </c>
      <c r="AE78" s="23">
        <f t="shared" si="143"/>
        <v>5</v>
      </c>
      <c r="AF78" s="9" t="str">
        <f ca="1">IF(AE78="","",IF(ISNA(MATCH(AE$3&amp;$AK78,Asta!$AI:$AI,0)),"",INDIRECT("Asta!AA"&amp;MATCH(AE$3&amp;$AK78,Asta!$AI:$AI,0))))</f>
        <v/>
      </c>
      <c r="AG78" s="9" t="str">
        <f ca="1">IF(AF78="","",IF(ISNA(MATCH(AE$3&amp;$AK78,Asta!$AI:$AI,0)),"",INDIRECT("Asta!AG"&amp;MATCH(AE$3&amp;$AK78,Asta!$AI:$AI,0))))</f>
        <v/>
      </c>
      <c r="AH78" s="23">
        <f t="shared" si="144"/>
        <v>5</v>
      </c>
      <c r="AI78" s="9" t="str">
        <f ca="1">IF(AH78="","",IF(ISNA(MATCH(AH$3&amp;$AK78,Asta!$AI:$AI,0)),"",INDIRECT("Asta!AA"&amp;MATCH(AH$3&amp;$AK78,Asta!$AI:$AI,0))))</f>
        <v/>
      </c>
      <c r="AJ78" s="9" t="str">
        <f ca="1">IF(AI78="","",IF(ISNA(MATCH(AH$3&amp;$AK78,Asta!$AI:$AI,0)),"",INDIRECT("Asta!AG"&amp;MATCH(AH$3&amp;$AK78,Asta!$AI:$AI,0))))</f>
        <v/>
      </c>
      <c r="AK78" s="23">
        <f t="shared" si="145"/>
        <v>5</v>
      </c>
      <c r="AM78" s="221"/>
      <c r="AN78" s="231" t="str">
        <f ca="1">IF(Giocatori!E85=0,"",Giocatori!E85)</f>
        <v/>
      </c>
      <c r="AO78" s="221"/>
      <c r="AP78" s="231" t="str">
        <f ca="1">IF(Giocatori!H85=0,"",Giocatori!H85)</f>
        <v>FREY</v>
      </c>
      <c r="AQ78" s="221"/>
      <c r="AR78" s="231" t="str">
        <f ca="1">IF(Giocatori!K85=0,"",Giocatori!K85)</f>
        <v>GUSTAFSON</v>
      </c>
      <c r="AS78" s="221"/>
      <c r="AT78" s="231" t="str">
        <f ca="1">IF(Giocatori!N85=0,"",Giocatori!N85)</f>
        <v>PETAGNA</v>
      </c>
      <c r="AU78" s="221"/>
      <c r="AV78" s="231" t="str">
        <f ca="1">IF(Giocatori!Q85=0,"",Giocatori!Q85)</f>
        <v/>
      </c>
      <c r="AX78" t="str">
        <f t="shared" ca="1" si="120"/>
        <v/>
      </c>
      <c r="AY78" s="7">
        <f t="shared" ca="1" si="97"/>
        <v>65</v>
      </c>
      <c r="AZ78" s="7">
        <f t="shared" ca="1" si="121"/>
        <v>0</v>
      </c>
      <c r="BA78" s="4" t="str">
        <f t="shared" ca="1" si="122"/>
        <v/>
      </c>
      <c r="BB78" t="str">
        <f t="shared" ca="1" si="123"/>
        <v>FREY</v>
      </c>
      <c r="BC78" s="7">
        <f t="shared" ca="1" si="108"/>
        <v>78</v>
      </c>
      <c r="BD78" s="7" t="str">
        <f t="shared" ca="1" si="124"/>
        <v>FREY</v>
      </c>
      <c r="BE78" s="4" t="str">
        <f t="shared" ca="1" si="125"/>
        <v/>
      </c>
      <c r="BF78" t="str">
        <f t="shared" ca="1" si="126"/>
        <v>GUSTAFSON</v>
      </c>
      <c r="BG78" s="7">
        <f t="shared" ca="1" si="109"/>
        <v>78</v>
      </c>
      <c r="BH78" s="7" t="str">
        <f t="shared" ca="1" si="127"/>
        <v>GUSTAFSON</v>
      </c>
      <c r="BI78" s="4" t="str">
        <f t="shared" ca="1" si="128"/>
        <v/>
      </c>
      <c r="BJ78" t="str">
        <f t="shared" ca="1" si="129"/>
        <v>PETAGNA</v>
      </c>
      <c r="BK78" s="7">
        <f t="shared" ca="1" si="110"/>
        <v>78</v>
      </c>
      <c r="BL78" s="7" t="str">
        <f t="shared" ca="1" si="130"/>
        <v>PETAGNA</v>
      </c>
      <c r="BM78" s="4" t="str">
        <f t="shared" ca="1" si="131"/>
        <v/>
      </c>
      <c r="BN78" t="str">
        <f t="shared" ca="1" si="132"/>
        <v/>
      </c>
      <c r="BO78" s="7">
        <f t="shared" ca="1" si="133"/>
        <v>1</v>
      </c>
      <c r="BP78" s="7">
        <f t="shared" ca="1" si="134"/>
        <v>0</v>
      </c>
    </row>
    <row r="79" spans="1:68" ht="14.25">
      <c r="A79" s="23">
        <f t="shared" si="146"/>
        <v>6</v>
      </c>
      <c r="B79" s="9" t="str">
        <f ca="1">IF(A79="","",IF(ISNA(MATCH(A$3&amp;$AK79,Asta!$AI:$AI,0)),"",INDIRECT("Asta!AA"&amp;MATCH(A$3&amp;$AK79,Asta!$AI:$AI,0))))</f>
        <v/>
      </c>
      <c r="C79" s="9" t="str">
        <f ca="1">IF(B79="","",IF(ISNA(MATCH(A$3&amp;$AK79,Asta!$AI:$AI,0)),"",INDIRECT("Asta!AG"&amp;MATCH(A$3&amp;$AK79,Asta!$AI:$AI,0))))</f>
        <v/>
      </c>
      <c r="D79" s="23">
        <f t="shared" si="119"/>
        <v>6</v>
      </c>
      <c r="E79" s="9" t="str">
        <f ca="1">IF(D79="","",IF(ISNA(MATCH(D$3&amp;$AK79,Asta!$AI:$AI,0)),"",INDIRECT("Asta!AA"&amp;MATCH(D$3&amp;$AK79,Asta!$AI:$AI,0))))</f>
        <v/>
      </c>
      <c r="F79" s="9" t="str">
        <f ca="1">IF(E79="","",IF(ISNA(MATCH(D$3&amp;$AK79,Asta!$AI:$AI,0)),"",INDIRECT("Asta!AG"&amp;MATCH(D$3&amp;$AK79,Asta!$AI:$AI,0))))</f>
        <v/>
      </c>
      <c r="G79" s="23">
        <f t="shared" si="135"/>
        <v>6</v>
      </c>
      <c r="H79" s="9" t="str">
        <f ca="1">IF(G79="","",IF(ISNA(MATCH(G$3&amp;$AK79,Asta!$AI:$AI,0)),"",INDIRECT("Asta!AA"&amp;MATCH(G$3&amp;$AK79,Asta!$AI:$AI,0))))</f>
        <v/>
      </c>
      <c r="I79" s="9" t="str">
        <f ca="1">IF(H79="","",IF(ISNA(MATCH(G$3&amp;$AK79,Asta!$AI:$AI,0)),"",INDIRECT("Asta!AG"&amp;MATCH(G$3&amp;$AK79,Asta!$AI:$AI,0))))</f>
        <v/>
      </c>
      <c r="J79" s="23">
        <f t="shared" si="136"/>
        <v>6</v>
      </c>
      <c r="K79" s="9" t="str">
        <f ca="1">IF(J79="","",IF(ISNA(MATCH(J$3&amp;$AK79,Asta!$AI:$AI,0)),"",INDIRECT("Asta!AA"&amp;MATCH(J$3&amp;$AK79,Asta!$AI:$AI,0))))</f>
        <v/>
      </c>
      <c r="L79" s="9" t="str">
        <f ca="1">IF(K79="","",IF(ISNA(MATCH(J$3&amp;$AK79,Asta!$AI:$AI,0)),"",INDIRECT("Asta!AG"&amp;MATCH(J$3&amp;$AK79,Asta!$AI:$AI,0))))</f>
        <v/>
      </c>
      <c r="M79" s="23">
        <f t="shared" si="137"/>
        <v>6</v>
      </c>
      <c r="N79" s="9" t="str">
        <f ca="1">IF(M79="","",IF(ISNA(MATCH(M$3&amp;$AK79,Asta!$AI:$AI,0)),"",INDIRECT("Asta!AA"&amp;MATCH(M$3&amp;$AK79,Asta!$AI:$AI,0))))</f>
        <v/>
      </c>
      <c r="O79" s="9" t="str">
        <f ca="1">IF(N79="","",IF(ISNA(MATCH(M$3&amp;$AK79,Asta!$AI:$AI,0)),"",INDIRECT("Asta!AG"&amp;MATCH(M$3&amp;$AK79,Asta!$AI:$AI,0))))</f>
        <v/>
      </c>
      <c r="P79" s="23">
        <f t="shared" si="138"/>
        <v>6</v>
      </c>
      <c r="Q79" s="9" t="str">
        <f ca="1">IF(P79="","",IF(ISNA(MATCH(P$3&amp;$AK79,Asta!$AI:$AI,0)),"",INDIRECT("Asta!AA"&amp;MATCH(P$3&amp;$AK79,Asta!$AI:$AI,0))))</f>
        <v/>
      </c>
      <c r="R79" s="9" t="str">
        <f ca="1">IF(Q79="","",IF(ISNA(MATCH(P$3&amp;$AK79,Asta!$AI:$AI,0)),"",INDIRECT("Asta!AG"&amp;MATCH(P$3&amp;$AK79,Asta!$AI:$AI,0))))</f>
        <v/>
      </c>
      <c r="S79" s="23">
        <f t="shared" si="139"/>
        <v>6</v>
      </c>
      <c r="T79" s="9" t="str">
        <f ca="1">IF(S79="","",IF(ISNA(MATCH(S$3&amp;$AK79,Asta!$AI:$AI,0)),"",INDIRECT("Asta!AA"&amp;MATCH(S$3&amp;$AK79,Asta!$AI:$AI,0))))</f>
        <v/>
      </c>
      <c r="U79" s="9" t="str">
        <f ca="1">IF(T79="","",IF(ISNA(MATCH(S$3&amp;$AK79,Asta!$AI:$AI,0)),"",INDIRECT("Asta!AG"&amp;MATCH(S$3&amp;$AK79,Asta!$AI:$AI,0))))</f>
        <v/>
      </c>
      <c r="V79" s="23">
        <f t="shared" si="140"/>
        <v>6</v>
      </c>
      <c r="W79" s="9" t="str">
        <f ca="1">IF(V79="","",IF(ISNA(MATCH(V$3&amp;$AK79,Asta!$AI:$AI,0)),"",INDIRECT("Asta!AA"&amp;MATCH(V$3&amp;$AK79,Asta!$AI:$AI,0))))</f>
        <v/>
      </c>
      <c r="X79" s="9" t="str">
        <f ca="1">IF(W79="","",IF(ISNA(MATCH(V$3&amp;$AK79,Asta!$AI:$AI,0)),"",INDIRECT("Asta!AG"&amp;MATCH(V$3&amp;$AK79,Asta!$AI:$AI,0))))</f>
        <v/>
      </c>
      <c r="Y79" s="23">
        <f t="shared" si="141"/>
        <v>6</v>
      </c>
      <c r="Z79" s="9" t="str">
        <f ca="1">IF(Y79="","",IF(ISNA(MATCH(Y$3&amp;$AK79,Asta!$AI:$AI,0)),"",INDIRECT("Asta!AA"&amp;MATCH(Y$3&amp;$AK79,Asta!$AI:$AI,0))))</f>
        <v/>
      </c>
      <c r="AA79" s="9" t="str">
        <f ca="1">IF(Z79="","",IF(ISNA(MATCH(Y$3&amp;$AK79,Asta!$AI:$AI,0)),"",INDIRECT("Asta!AG"&amp;MATCH(Y$3&amp;$AK79,Asta!$AI:$AI,0))))</f>
        <v/>
      </c>
      <c r="AB79" s="23">
        <f t="shared" si="142"/>
        <v>6</v>
      </c>
      <c r="AC79" s="9" t="str">
        <f ca="1">IF(AB79="","",IF(ISNA(MATCH(AB$3&amp;$AK79,Asta!$AI:$AI,0)),"",INDIRECT("Asta!AA"&amp;MATCH(AB$3&amp;$AK79,Asta!$AI:$AI,0))))</f>
        <v/>
      </c>
      <c r="AD79" s="9" t="str">
        <f ca="1">IF(AC79="","",IF(ISNA(MATCH(AB$3&amp;$AK79,Asta!$AI:$AI,0)),"",INDIRECT("Asta!AG"&amp;MATCH(AB$3&amp;$AK79,Asta!$AI:$AI,0))))</f>
        <v/>
      </c>
      <c r="AE79" s="23">
        <f t="shared" si="143"/>
        <v>6</v>
      </c>
      <c r="AF79" s="9" t="str">
        <f ca="1">IF(AE79="","",IF(ISNA(MATCH(AE$3&amp;$AK79,Asta!$AI:$AI,0)),"",INDIRECT("Asta!AA"&amp;MATCH(AE$3&amp;$AK79,Asta!$AI:$AI,0))))</f>
        <v/>
      </c>
      <c r="AG79" s="9" t="str">
        <f ca="1">IF(AF79="","",IF(ISNA(MATCH(AE$3&amp;$AK79,Asta!$AI:$AI,0)),"",INDIRECT("Asta!AG"&amp;MATCH(AE$3&amp;$AK79,Asta!$AI:$AI,0))))</f>
        <v/>
      </c>
      <c r="AH79" s="23">
        <f t="shared" si="144"/>
        <v>6</v>
      </c>
      <c r="AI79" s="9" t="str">
        <f ca="1">IF(AH79="","",IF(ISNA(MATCH(AH$3&amp;$AK79,Asta!$AI:$AI,0)),"",INDIRECT("Asta!AA"&amp;MATCH(AH$3&amp;$AK79,Asta!$AI:$AI,0))))</f>
        <v/>
      </c>
      <c r="AJ79" s="9" t="str">
        <f ca="1">IF(AI79="","",IF(ISNA(MATCH(AH$3&amp;$AK79,Asta!$AI:$AI,0)),"",INDIRECT("Asta!AG"&amp;MATCH(AH$3&amp;$AK79,Asta!$AI:$AI,0))))</f>
        <v/>
      </c>
      <c r="AK79" s="23">
        <f t="shared" si="145"/>
        <v>6</v>
      </c>
      <c r="AM79" s="221"/>
      <c r="AN79" s="231" t="str">
        <f ca="1">IF(Giocatori!E86=0,"",Giocatori!E86)</f>
        <v/>
      </c>
      <c r="AO79" s="221"/>
      <c r="AP79" s="231" t="str">
        <f ca="1">IF(Giocatori!H86=0,"",Giocatori!H86)</f>
        <v>GAMBERINI</v>
      </c>
      <c r="AQ79" s="221"/>
      <c r="AR79" s="231" t="str">
        <f ca="1">IF(Giocatori!K86=0,"",Giocatori!K86)</f>
        <v>HAAS</v>
      </c>
      <c r="AS79" s="221"/>
      <c r="AT79" s="231" t="str">
        <f ca="1">IF(Giocatori!N86=0,"",Giocatori!N86)</f>
        <v>PETKOVIC</v>
      </c>
      <c r="AU79" s="221"/>
      <c r="AV79" s="231" t="str">
        <f ca="1">IF(Giocatori!Q86=0,"",Giocatori!Q86)</f>
        <v/>
      </c>
      <c r="AX79" t="str">
        <f t="shared" ca="1" si="120"/>
        <v/>
      </c>
      <c r="AY79" s="7">
        <f t="shared" ca="1" si="97"/>
        <v>65</v>
      </c>
      <c r="AZ79" s="7">
        <f t="shared" ca="1" si="121"/>
        <v>0</v>
      </c>
      <c r="BA79" s="4" t="str">
        <f t="shared" ca="1" si="122"/>
        <v/>
      </c>
      <c r="BB79" t="str">
        <f t="shared" ca="1" si="123"/>
        <v>GAMBERINI</v>
      </c>
      <c r="BC79" s="7">
        <f t="shared" ca="1" si="108"/>
        <v>79</v>
      </c>
      <c r="BD79" s="7" t="str">
        <f t="shared" ca="1" si="124"/>
        <v>GAMBERINI</v>
      </c>
      <c r="BE79" s="4" t="str">
        <f t="shared" ca="1" si="125"/>
        <v/>
      </c>
      <c r="BF79" t="str">
        <f t="shared" ca="1" si="126"/>
        <v>HAAS</v>
      </c>
      <c r="BG79" s="7">
        <f t="shared" ca="1" si="109"/>
        <v>79</v>
      </c>
      <c r="BH79" s="7" t="str">
        <f t="shared" ca="1" si="127"/>
        <v>HAAS</v>
      </c>
      <c r="BI79" s="4" t="str">
        <f t="shared" ca="1" si="128"/>
        <v/>
      </c>
      <c r="BJ79" t="str">
        <f t="shared" ca="1" si="129"/>
        <v>PETKOVIC</v>
      </c>
      <c r="BK79" s="7">
        <f t="shared" ca="1" si="110"/>
        <v>79</v>
      </c>
      <c r="BL79" s="7" t="str">
        <f t="shared" ca="1" si="130"/>
        <v>PETKOVIC</v>
      </c>
      <c r="BM79" s="4" t="str">
        <f t="shared" ca="1" si="131"/>
        <v/>
      </c>
      <c r="BN79" t="str">
        <f t="shared" ca="1" si="132"/>
        <v/>
      </c>
      <c r="BO79" s="7">
        <f t="shared" ca="1" si="133"/>
        <v>1</v>
      </c>
      <c r="BP79" s="7">
        <f t="shared" ca="1" si="134"/>
        <v>0</v>
      </c>
    </row>
    <row r="80" spans="1:68" ht="14.25">
      <c r="A80" s="23">
        <f t="shared" si="146"/>
        <v>7</v>
      </c>
      <c r="B80" s="9" t="str">
        <f ca="1">IF(A80="","",IF(ISNA(MATCH(A$3&amp;$AK80,Asta!$AI:$AI,0)),"",INDIRECT("Asta!AA"&amp;MATCH(A$3&amp;$AK80,Asta!$AI:$AI,0))))</f>
        <v/>
      </c>
      <c r="C80" s="9" t="str">
        <f ca="1">IF(B80="","",IF(ISNA(MATCH(A$3&amp;$AK80,Asta!$AI:$AI,0)),"",INDIRECT("Asta!AG"&amp;MATCH(A$3&amp;$AK80,Asta!$AI:$AI,0))))</f>
        <v/>
      </c>
      <c r="D80" s="23">
        <f t="shared" si="119"/>
        <v>7</v>
      </c>
      <c r="E80" s="9" t="str">
        <f ca="1">IF(D80="","",IF(ISNA(MATCH(D$3&amp;$AK80,Asta!$AI:$AI,0)),"",INDIRECT("Asta!AA"&amp;MATCH(D$3&amp;$AK80,Asta!$AI:$AI,0))))</f>
        <v/>
      </c>
      <c r="F80" s="9" t="str">
        <f ca="1">IF(E80="","",IF(ISNA(MATCH(D$3&amp;$AK80,Asta!$AI:$AI,0)),"",INDIRECT("Asta!AG"&amp;MATCH(D$3&amp;$AK80,Asta!$AI:$AI,0))))</f>
        <v/>
      </c>
      <c r="G80" s="23">
        <f t="shared" si="135"/>
        <v>7</v>
      </c>
      <c r="H80" s="9" t="str">
        <f ca="1">IF(G80="","",IF(ISNA(MATCH(G$3&amp;$AK80,Asta!$AI:$AI,0)),"",INDIRECT("Asta!AA"&amp;MATCH(G$3&amp;$AK80,Asta!$AI:$AI,0))))</f>
        <v/>
      </c>
      <c r="I80" s="9" t="str">
        <f ca="1">IF(H80="","",IF(ISNA(MATCH(G$3&amp;$AK80,Asta!$AI:$AI,0)),"",INDIRECT("Asta!AG"&amp;MATCH(G$3&amp;$AK80,Asta!$AI:$AI,0))))</f>
        <v/>
      </c>
      <c r="J80" s="23">
        <f t="shared" si="136"/>
        <v>7</v>
      </c>
      <c r="K80" s="9" t="str">
        <f ca="1">IF(J80="","",IF(ISNA(MATCH(J$3&amp;$AK80,Asta!$AI:$AI,0)),"",INDIRECT("Asta!AA"&amp;MATCH(J$3&amp;$AK80,Asta!$AI:$AI,0))))</f>
        <v/>
      </c>
      <c r="L80" s="9" t="str">
        <f ca="1">IF(K80="","",IF(ISNA(MATCH(J$3&amp;$AK80,Asta!$AI:$AI,0)),"",INDIRECT("Asta!AG"&amp;MATCH(J$3&amp;$AK80,Asta!$AI:$AI,0))))</f>
        <v/>
      </c>
      <c r="M80" s="23">
        <f t="shared" si="137"/>
        <v>7</v>
      </c>
      <c r="N80" s="9" t="str">
        <f ca="1">IF(M80="","",IF(ISNA(MATCH(M$3&amp;$AK80,Asta!$AI:$AI,0)),"",INDIRECT("Asta!AA"&amp;MATCH(M$3&amp;$AK80,Asta!$AI:$AI,0))))</f>
        <v/>
      </c>
      <c r="O80" s="9" t="str">
        <f ca="1">IF(N80="","",IF(ISNA(MATCH(M$3&amp;$AK80,Asta!$AI:$AI,0)),"",INDIRECT("Asta!AG"&amp;MATCH(M$3&amp;$AK80,Asta!$AI:$AI,0))))</f>
        <v/>
      </c>
      <c r="P80" s="23">
        <f t="shared" si="138"/>
        <v>7</v>
      </c>
      <c r="Q80" s="9" t="str">
        <f ca="1">IF(P80="","",IF(ISNA(MATCH(P$3&amp;$AK80,Asta!$AI:$AI,0)),"",INDIRECT("Asta!AA"&amp;MATCH(P$3&amp;$AK80,Asta!$AI:$AI,0))))</f>
        <v/>
      </c>
      <c r="R80" s="9" t="str">
        <f ca="1">IF(Q80="","",IF(ISNA(MATCH(P$3&amp;$AK80,Asta!$AI:$AI,0)),"",INDIRECT("Asta!AG"&amp;MATCH(P$3&amp;$AK80,Asta!$AI:$AI,0))))</f>
        <v/>
      </c>
      <c r="S80" s="23">
        <f t="shared" si="139"/>
        <v>7</v>
      </c>
      <c r="T80" s="9" t="str">
        <f ca="1">IF(S80="","",IF(ISNA(MATCH(S$3&amp;$AK80,Asta!$AI:$AI,0)),"",INDIRECT("Asta!AA"&amp;MATCH(S$3&amp;$AK80,Asta!$AI:$AI,0))))</f>
        <v/>
      </c>
      <c r="U80" s="9" t="str">
        <f ca="1">IF(T80="","",IF(ISNA(MATCH(S$3&amp;$AK80,Asta!$AI:$AI,0)),"",INDIRECT("Asta!AG"&amp;MATCH(S$3&amp;$AK80,Asta!$AI:$AI,0))))</f>
        <v/>
      </c>
      <c r="V80" s="23">
        <f t="shared" si="140"/>
        <v>7</v>
      </c>
      <c r="W80" s="9" t="str">
        <f ca="1">IF(V80="","",IF(ISNA(MATCH(V$3&amp;$AK80,Asta!$AI:$AI,0)),"",INDIRECT("Asta!AA"&amp;MATCH(V$3&amp;$AK80,Asta!$AI:$AI,0))))</f>
        <v/>
      </c>
      <c r="X80" s="9" t="str">
        <f ca="1">IF(W80="","",IF(ISNA(MATCH(V$3&amp;$AK80,Asta!$AI:$AI,0)),"",INDIRECT("Asta!AG"&amp;MATCH(V$3&amp;$AK80,Asta!$AI:$AI,0))))</f>
        <v/>
      </c>
      <c r="Y80" s="23">
        <f t="shared" si="141"/>
        <v>7</v>
      </c>
      <c r="Z80" s="9" t="str">
        <f ca="1">IF(Y80="","",IF(ISNA(MATCH(Y$3&amp;$AK80,Asta!$AI:$AI,0)),"",INDIRECT("Asta!AA"&amp;MATCH(Y$3&amp;$AK80,Asta!$AI:$AI,0))))</f>
        <v/>
      </c>
      <c r="AA80" s="9" t="str">
        <f ca="1">IF(Z80="","",IF(ISNA(MATCH(Y$3&amp;$AK80,Asta!$AI:$AI,0)),"",INDIRECT("Asta!AG"&amp;MATCH(Y$3&amp;$AK80,Asta!$AI:$AI,0))))</f>
        <v/>
      </c>
      <c r="AB80" s="23">
        <f t="shared" si="142"/>
        <v>7</v>
      </c>
      <c r="AC80" s="9" t="str">
        <f ca="1">IF(AB80="","",IF(ISNA(MATCH(AB$3&amp;$AK80,Asta!$AI:$AI,0)),"",INDIRECT("Asta!AA"&amp;MATCH(AB$3&amp;$AK80,Asta!$AI:$AI,0))))</f>
        <v/>
      </c>
      <c r="AD80" s="9" t="str">
        <f ca="1">IF(AC80="","",IF(ISNA(MATCH(AB$3&amp;$AK80,Asta!$AI:$AI,0)),"",INDIRECT("Asta!AG"&amp;MATCH(AB$3&amp;$AK80,Asta!$AI:$AI,0))))</f>
        <v/>
      </c>
      <c r="AE80" s="23">
        <f t="shared" si="143"/>
        <v>7</v>
      </c>
      <c r="AF80" s="9" t="str">
        <f ca="1">IF(AE80="","",IF(ISNA(MATCH(AE$3&amp;$AK80,Asta!$AI:$AI,0)),"",INDIRECT("Asta!AA"&amp;MATCH(AE$3&amp;$AK80,Asta!$AI:$AI,0))))</f>
        <v/>
      </c>
      <c r="AG80" s="9" t="str">
        <f ca="1">IF(AF80="","",IF(ISNA(MATCH(AE$3&amp;$AK80,Asta!$AI:$AI,0)),"",INDIRECT("Asta!AG"&amp;MATCH(AE$3&amp;$AK80,Asta!$AI:$AI,0))))</f>
        <v/>
      </c>
      <c r="AH80" s="23">
        <f t="shared" si="144"/>
        <v>7</v>
      </c>
      <c r="AI80" s="9" t="str">
        <f ca="1">IF(AH80="","",IF(ISNA(MATCH(AH$3&amp;$AK80,Asta!$AI:$AI,0)),"",INDIRECT("Asta!AA"&amp;MATCH(AH$3&amp;$AK80,Asta!$AI:$AI,0))))</f>
        <v/>
      </c>
      <c r="AJ80" s="9" t="str">
        <f ca="1">IF(AI80="","",IF(ISNA(MATCH(AH$3&amp;$AK80,Asta!$AI:$AI,0)),"",INDIRECT("Asta!AG"&amp;MATCH(AH$3&amp;$AK80,Asta!$AI:$AI,0))))</f>
        <v/>
      </c>
      <c r="AK80" s="23">
        <f t="shared" si="145"/>
        <v>7</v>
      </c>
      <c r="AM80" s="221"/>
      <c r="AN80" s="231" t="str">
        <f ca="1">IF(Giocatori!E87=0,"",Giocatori!E87)</f>
        <v/>
      </c>
      <c r="AO80" s="221"/>
      <c r="AP80" s="231" t="str">
        <f ca="1">IF(Giocatori!H87=0,"",Giocatori!H87)</f>
        <v>GASPAR</v>
      </c>
      <c r="AQ80" s="221"/>
      <c r="AR80" s="231" t="str">
        <f ca="1">IF(Giocatori!K87=0,"",Giocatori!K87)</f>
        <v>HAGI</v>
      </c>
      <c r="AS80" s="221"/>
      <c r="AT80" s="231" t="str">
        <f ca="1">IF(Giocatori!N87=0,"",Giocatori!N87)</f>
        <v>PINAMONTI</v>
      </c>
      <c r="AU80" s="221"/>
      <c r="AV80" s="231" t="str">
        <f ca="1">IF(Giocatori!Q87=0,"",Giocatori!Q87)</f>
        <v/>
      </c>
      <c r="AX80" t="str">
        <f t="shared" ca="1" si="120"/>
        <v/>
      </c>
      <c r="AY80" s="7">
        <f t="shared" ca="1" si="97"/>
        <v>65</v>
      </c>
      <c r="AZ80" s="7">
        <f t="shared" ca="1" si="121"/>
        <v>0</v>
      </c>
      <c r="BA80" s="4" t="str">
        <f t="shared" ca="1" si="122"/>
        <v/>
      </c>
      <c r="BB80" t="str">
        <f t="shared" ca="1" si="123"/>
        <v>GASPAR</v>
      </c>
      <c r="BC80" s="7">
        <f t="shared" ca="1" si="108"/>
        <v>80</v>
      </c>
      <c r="BD80" s="7" t="str">
        <f t="shared" ca="1" si="124"/>
        <v>GASPAR</v>
      </c>
      <c r="BE80" s="4" t="str">
        <f t="shared" ca="1" si="125"/>
        <v/>
      </c>
      <c r="BF80" t="str">
        <f t="shared" ca="1" si="126"/>
        <v>HAGI</v>
      </c>
      <c r="BG80" s="7">
        <f t="shared" ca="1" si="109"/>
        <v>80</v>
      </c>
      <c r="BH80" s="7" t="str">
        <f t="shared" ca="1" si="127"/>
        <v>HAGI</v>
      </c>
      <c r="BI80" s="4" t="str">
        <f t="shared" ca="1" si="128"/>
        <v/>
      </c>
      <c r="BJ80" t="str">
        <f t="shared" ca="1" si="129"/>
        <v>PINAMONTI</v>
      </c>
      <c r="BK80" s="7">
        <f t="shared" ca="1" si="110"/>
        <v>80</v>
      </c>
      <c r="BL80" s="7" t="str">
        <f t="shared" ca="1" si="130"/>
        <v>PINAMONTI</v>
      </c>
      <c r="BM80" s="4" t="str">
        <f t="shared" ca="1" si="131"/>
        <v/>
      </c>
      <c r="BN80" t="str">
        <f t="shared" ca="1" si="132"/>
        <v/>
      </c>
      <c r="BO80" s="7">
        <f t="shared" ca="1" si="133"/>
        <v>1</v>
      </c>
      <c r="BP80" s="7">
        <f t="shared" ca="1" si="134"/>
        <v>0</v>
      </c>
    </row>
    <row r="81" spans="1:68" ht="14.25">
      <c r="A81" s="23">
        <f t="shared" si="146"/>
        <v>8</v>
      </c>
      <c r="B81" s="9" t="str">
        <f ca="1">IF(A81="","",IF(ISNA(MATCH(A$3&amp;$AK81,Asta!$AI:$AI,0)),"",INDIRECT("Asta!AA"&amp;MATCH(A$3&amp;$AK81,Asta!$AI:$AI,0))))</f>
        <v/>
      </c>
      <c r="C81" s="9" t="str">
        <f ca="1">IF(B81="","",IF(ISNA(MATCH(A$3&amp;$AK81,Asta!$AI:$AI,0)),"",INDIRECT("Asta!AG"&amp;MATCH(A$3&amp;$AK81,Asta!$AI:$AI,0))))</f>
        <v/>
      </c>
      <c r="D81" s="23">
        <f t="shared" si="119"/>
        <v>8</v>
      </c>
      <c r="E81" s="9" t="str">
        <f ca="1">IF(D81="","",IF(ISNA(MATCH(D$3&amp;$AK81,Asta!$AI:$AI,0)),"",INDIRECT("Asta!AA"&amp;MATCH(D$3&amp;$AK81,Asta!$AI:$AI,0))))</f>
        <v/>
      </c>
      <c r="F81" s="9" t="str">
        <f ca="1">IF(E81="","",IF(ISNA(MATCH(D$3&amp;$AK81,Asta!$AI:$AI,0)),"",INDIRECT("Asta!AG"&amp;MATCH(D$3&amp;$AK81,Asta!$AI:$AI,0))))</f>
        <v/>
      </c>
      <c r="G81" s="23">
        <f>D81</f>
        <v>8</v>
      </c>
      <c r="H81" s="9" t="str">
        <f ca="1">IF(G81="","",IF(ISNA(MATCH(G$3&amp;$AK81,Asta!$AI:$AI,0)),"",INDIRECT("Asta!AA"&amp;MATCH(G$3&amp;$AK81,Asta!$AI:$AI,0))))</f>
        <v/>
      </c>
      <c r="I81" s="9" t="str">
        <f ca="1">IF(H81="","",IF(ISNA(MATCH(G$3&amp;$AK81,Asta!$AI:$AI,0)),"",INDIRECT("Asta!AG"&amp;MATCH(G$3&amp;$AK81,Asta!$AI:$AI,0))))</f>
        <v/>
      </c>
      <c r="J81" s="23">
        <f>G81</f>
        <v>8</v>
      </c>
      <c r="K81" s="9" t="str">
        <f ca="1">IF(J81="","",IF(ISNA(MATCH(J$3&amp;$AK81,Asta!$AI:$AI,0)),"",INDIRECT("Asta!AA"&amp;MATCH(J$3&amp;$AK81,Asta!$AI:$AI,0))))</f>
        <v/>
      </c>
      <c r="L81" s="9" t="str">
        <f ca="1">IF(K81="","",IF(ISNA(MATCH(J$3&amp;$AK81,Asta!$AI:$AI,0)),"",INDIRECT("Asta!AG"&amp;MATCH(J$3&amp;$AK81,Asta!$AI:$AI,0))))</f>
        <v/>
      </c>
      <c r="M81" s="23">
        <f>J81</f>
        <v>8</v>
      </c>
      <c r="N81" s="9" t="str">
        <f ca="1">IF(M81="","",IF(ISNA(MATCH(M$3&amp;$AK81,Asta!$AI:$AI,0)),"",INDIRECT("Asta!AA"&amp;MATCH(M$3&amp;$AK81,Asta!$AI:$AI,0))))</f>
        <v/>
      </c>
      <c r="O81" s="9" t="str">
        <f ca="1">IF(N81="","",IF(ISNA(MATCH(M$3&amp;$AK81,Asta!$AI:$AI,0)),"",INDIRECT("Asta!AG"&amp;MATCH(M$3&amp;$AK81,Asta!$AI:$AI,0))))</f>
        <v/>
      </c>
      <c r="P81" s="23">
        <f>M81</f>
        <v>8</v>
      </c>
      <c r="Q81" s="9" t="str">
        <f ca="1">IF(P81="","",IF(ISNA(MATCH(P$3&amp;$AK81,Asta!$AI:$AI,0)),"",INDIRECT("Asta!AA"&amp;MATCH(P$3&amp;$AK81,Asta!$AI:$AI,0))))</f>
        <v/>
      </c>
      <c r="R81" s="9" t="str">
        <f ca="1">IF(Q81="","",IF(ISNA(MATCH(P$3&amp;$AK81,Asta!$AI:$AI,0)),"",INDIRECT("Asta!AG"&amp;MATCH(P$3&amp;$AK81,Asta!$AI:$AI,0))))</f>
        <v/>
      </c>
      <c r="S81" s="23">
        <f>P81</f>
        <v>8</v>
      </c>
      <c r="T81" s="9" t="str">
        <f ca="1">IF(S81="","",IF(ISNA(MATCH(S$3&amp;$AK81,Asta!$AI:$AI,0)),"",INDIRECT("Asta!AA"&amp;MATCH(S$3&amp;$AK81,Asta!$AI:$AI,0))))</f>
        <v/>
      </c>
      <c r="U81" s="9" t="str">
        <f ca="1">IF(T81="","",IF(ISNA(MATCH(S$3&amp;$AK81,Asta!$AI:$AI,0)),"",INDIRECT("Asta!AG"&amp;MATCH(S$3&amp;$AK81,Asta!$AI:$AI,0))))</f>
        <v/>
      </c>
      <c r="V81" s="23">
        <f>S81</f>
        <v>8</v>
      </c>
      <c r="W81" s="9" t="str">
        <f ca="1">IF(V81="","",IF(ISNA(MATCH(V$3&amp;$AK81,Asta!$AI:$AI,0)),"",INDIRECT("Asta!AA"&amp;MATCH(V$3&amp;$AK81,Asta!$AI:$AI,0))))</f>
        <v/>
      </c>
      <c r="X81" s="9" t="str">
        <f ca="1">IF(W81="","",IF(ISNA(MATCH(V$3&amp;$AK81,Asta!$AI:$AI,0)),"",INDIRECT("Asta!AG"&amp;MATCH(V$3&amp;$AK81,Asta!$AI:$AI,0))))</f>
        <v/>
      </c>
      <c r="Y81" s="23">
        <f>V81</f>
        <v>8</v>
      </c>
      <c r="Z81" s="9" t="str">
        <f ca="1">IF(Y81="","",IF(ISNA(MATCH(Y$3&amp;$AK81,Asta!$AI:$AI,0)),"",INDIRECT("Asta!AA"&amp;MATCH(Y$3&amp;$AK81,Asta!$AI:$AI,0))))</f>
        <v/>
      </c>
      <c r="AA81" s="9" t="str">
        <f ca="1">IF(Z81="","",IF(ISNA(MATCH(Y$3&amp;$AK81,Asta!$AI:$AI,0)),"",INDIRECT("Asta!AG"&amp;MATCH(Y$3&amp;$AK81,Asta!$AI:$AI,0))))</f>
        <v/>
      </c>
      <c r="AB81" s="23">
        <f>Y81</f>
        <v>8</v>
      </c>
      <c r="AC81" s="9" t="str">
        <f ca="1">IF(AB81="","",IF(ISNA(MATCH(AB$3&amp;$AK81,Asta!$AI:$AI,0)),"",INDIRECT("Asta!AA"&amp;MATCH(AB$3&amp;$AK81,Asta!$AI:$AI,0))))</f>
        <v/>
      </c>
      <c r="AD81" s="9" t="str">
        <f ca="1">IF(AC81="","",IF(ISNA(MATCH(AB$3&amp;$AK81,Asta!$AI:$AI,0)),"",INDIRECT("Asta!AG"&amp;MATCH(AB$3&amp;$AK81,Asta!$AI:$AI,0))))</f>
        <v/>
      </c>
      <c r="AE81" s="23">
        <f>AB81</f>
        <v>8</v>
      </c>
      <c r="AF81" s="9" t="str">
        <f ca="1">IF(AE81="","",IF(ISNA(MATCH(AE$3&amp;$AK81,Asta!$AI:$AI,0)),"",INDIRECT("Asta!AA"&amp;MATCH(AE$3&amp;$AK81,Asta!$AI:$AI,0))))</f>
        <v/>
      </c>
      <c r="AG81" s="9" t="str">
        <f ca="1">IF(AF81="","",IF(ISNA(MATCH(AE$3&amp;$AK81,Asta!$AI:$AI,0)),"",INDIRECT("Asta!AG"&amp;MATCH(AE$3&amp;$AK81,Asta!$AI:$AI,0))))</f>
        <v/>
      </c>
      <c r="AH81" s="23">
        <f>AE81</f>
        <v>8</v>
      </c>
      <c r="AI81" s="9" t="str">
        <f ca="1">IF(AH81="","",IF(ISNA(MATCH(AH$3&amp;$AK81,Asta!$AI:$AI,0)),"",INDIRECT("Asta!AA"&amp;MATCH(AH$3&amp;$AK81,Asta!$AI:$AI,0))))</f>
        <v/>
      </c>
      <c r="AJ81" s="9" t="str">
        <f ca="1">IF(AI81="","",IF(ISNA(MATCH(AH$3&amp;$AK81,Asta!$AI:$AI,0)),"",INDIRECT("Asta!AG"&amp;MATCH(AH$3&amp;$AK81,Asta!$AI:$AI,0))))</f>
        <v/>
      </c>
      <c r="AK81" s="23">
        <f>AH81</f>
        <v>8</v>
      </c>
      <c r="AM81" s="221"/>
      <c r="AN81" s="231" t="str">
        <f ca="1">IF(Giocatori!E88=0,"",Giocatori!E88)</f>
        <v/>
      </c>
      <c r="AO81" s="221"/>
      <c r="AP81" s="231" t="str">
        <f ca="1">IF(Giocatori!H88=0,"",Giocatori!H88)</f>
        <v>GAZZOLA</v>
      </c>
      <c r="AQ81" s="221"/>
      <c r="AR81" s="231" t="str">
        <f ca="1">IF(Giocatori!K88=0,"",Giocatori!K88)</f>
        <v>HALLFREDSSON</v>
      </c>
      <c r="AS81" s="221"/>
      <c r="AT81" s="231" t="str">
        <f ca="1">IF(Giocatori!N88=0,"",Giocatori!N88)</f>
        <v>PJACA</v>
      </c>
      <c r="AU81" s="221"/>
      <c r="AV81" s="231" t="str">
        <f ca="1">IF(Giocatori!Q88=0,"",Giocatori!Q88)</f>
        <v/>
      </c>
      <c r="AX81" t="str">
        <f t="shared" ca="1" si="120"/>
        <v/>
      </c>
      <c r="AY81" s="7">
        <f t="shared" ca="1" si="97"/>
        <v>65</v>
      </c>
      <c r="AZ81" s="7">
        <f t="shared" ca="1" si="121"/>
        <v>0</v>
      </c>
      <c r="BA81" s="4" t="str">
        <f t="shared" ca="1" si="122"/>
        <v/>
      </c>
      <c r="BB81" t="str">
        <f t="shared" ca="1" si="123"/>
        <v>GAZZOLA</v>
      </c>
      <c r="BC81" s="7">
        <f t="shared" ca="1" si="108"/>
        <v>81</v>
      </c>
      <c r="BD81" s="7" t="str">
        <f t="shared" ca="1" si="124"/>
        <v>GAZZOLA</v>
      </c>
      <c r="BE81" s="4" t="str">
        <f t="shared" ca="1" si="125"/>
        <v/>
      </c>
      <c r="BF81" t="str">
        <f t="shared" ca="1" si="126"/>
        <v>HALLFREDSSON</v>
      </c>
      <c r="BG81" s="7">
        <f t="shared" ca="1" si="109"/>
        <v>81</v>
      </c>
      <c r="BH81" s="7" t="str">
        <f t="shared" ca="1" si="127"/>
        <v>HALLFREDSSON</v>
      </c>
      <c r="BI81" s="4" t="str">
        <f t="shared" ca="1" si="128"/>
        <v/>
      </c>
      <c r="BJ81" t="str">
        <f t="shared" ca="1" si="129"/>
        <v>PJACA</v>
      </c>
      <c r="BK81" s="7">
        <f t="shared" ca="1" si="110"/>
        <v>81</v>
      </c>
      <c r="BL81" s="7" t="str">
        <f t="shared" ca="1" si="130"/>
        <v>PJACA</v>
      </c>
      <c r="BM81" s="4" t="str">
        <f t="shared" ca="1" si="131"/>
        <v/>
      </c>
      <c r="BN81" t="str">
        <f t="shared" ca="1" si="132"/>
        <v/>
      </c>
      <c r="BO81" s="7">
        <f t="shared" ca="1" si="133"/>
        <v>1</v>
      </c>
      <c r="BP81" s="7">
        <f t="shared" ca="1" si="134"/>
        <v>0</v>
      </c>
    </row>
    <row r="82" spans="1:68" ht="14.25">
      <c r="A82" s="23">
        <f t="shared" si="146"/>
        <v>9</v>
      </c>
      <c r="B82" s="9" t="str">
        <f ca="1">IF(A82="","",IF(ISNA(MATCH(A$3&amp;$AK82,Asta!$AI:$AI,0)),"",INDIRECT("Asta!AA"&amp;MATCH(A$3&amp;$AK82,Asta!$AI:$AI,0))))</f>
        <v/>
      </c>
      <c r="C82" s="9" t="str">
        <f ca="1">IF(B82="","",IF(ISNA(MATCH(A$3&amp;$AK82,Asta!$AI:$AI,0)),"",INDIRECT("Asta!AG"&amp;MATCH(A$3&amp;$AK82,Asta!$AI:$AI,0))))</f>
        <v/>
      </c>
      <c r="D82" s="23">
        <f t="shared" si="119"/>
        <v>9</v>
      </c>
      <c r="E82" s="9" t="str">
        <f ca="1">IF(D82="","",IF(ISNA(MATCH(D$3&amp;$AK82,Asta!$AI:$AI,0)),"",INDIRECT("Asta!AA"&amp;MATCH(D$3&amp;$AK82,Asta!$AI:$AI,0))))</f>
        <v/>
      </c>
      <c r="F82" s="9" t="str">
        <f ca="1">IF(E82="","",IF(ISNA(MATCH(D$3&amp;$AK82,Asta!$AI:$AI,0)),"",INDIRECT("Asta!AG"&amp;MATCH(D$3&amp;$AK82,Asta!$AI:$AI,0))))</f>
        <v/>
      </c>
      <c r="G82" s="23">
        <f t="shared" ref="G82:G87" si="147">D82</f>
        <v>9</v>
      </c>
      <c r="H82" s="9" t="str">
        <f ca="1">IF(G82="","",IF(ISNA(MATCH(G$3&amp;$AK82,Asta!$AI:$AI,0)),"",INDIRECT("Asta!AA"&amp;MATCH(G$3&amp;$AK82,Asta!$AI:$AI,0))))</f>
        <v/>
      </c>
      <c r="I82" s="9" t="str">
        <f ca="1">IF(H82="","",IF(ISNA(MATCH(G$3&amp;$AK82,Asta!$AI:$AI,0)),"",INDIRECT("Asta!AG"&amp;MATCH(G$3&amp;$AK82,Asta!$AI:$AI,0))))</f>
        <v/>
      </c>
      <c r="J82" s="23">
        <f t="shared" ref="J82:J87" si="148">G82</f>
        <v>9</v>
      </c>
      <c r="K82" s="9" t="str">
        <f ca="1">IF(J82="","",IF(ISNA(MATCH(J$3&amp;$AK82,Asta!$AI:$AI,0)),"",INDIRECT("Asta!AA"&amp;MATCH(J$3&amp;$AK82,Asta!$AI:$AI,0))))</f>
        <v/>
      </c>
      <c r="L82" s="9" t="str">
        <f ca="1">IF(K82="","",IF(ISNA(MATCH(J$3&amp;$AK82,Asta!$AI:$AI,0)),"",INDIRECT("Asta!AG"&amp;MATCH(J$3&amp;$AK82,Asta!$AI:$AI,0))))</f>
        <v/>
      </c>
      <c r="M82" s="23">
        <f t="shared" ref="M82:M87" si="149">J82</f>
        <v>9</v>
      </c>
      <c r="N82" s="9" t="str">
        <f ca="1">IF(M82="","",IF(ISNA(MATCH(M$3&amp;$AK82,Asta!$AI:$AI,0)),"",INDIRECT("Asta!AA"&amp;MATCH(M$3&amp;$AK82,Asta!$AI:$AI,0))))</f>
        <v/>
      </c>
      <c r="O82" s="9" t="str">
        <f ca="1">IF(N82="","",IF(ISNA(MATCH(M$3&amp;$AK82,Asta!$AI:$AI,0)),"",INDIRECT("Asta!AG"&amp;MATCH(M$3&amp;$AK82,Asta!$AI:$AI,0))))</f>
        <v/>
      </c>
      <c r="P82" s="23">
        <f t="shared" ref="P82:P87" si="150">M82</f>
        <v>9</v>
      </c>
      <c r="Q82" s="9" t="str">
        <f ca="1">IF(P82="","",IF(ISNA(MATCH(P$3&amp;$AK82,Asta!$AI:$AI,0)),"",INDIRECT("Asta!AA"&amp;MATCH(P$3&amp;$AK82,Asta!$AI:$AI,0))))</f>
        <v/>
      </c>
      <c r="R82" s="9" t="str">
        <f ca="1">IF(Q82="","",IF(ISNA(MATCH(P$3&amp;$AK82,Asta!$AI:$AI,0)),"",INDIRECT("Asta!AG"&amp;MATCH(P$3&amp;$AK82,Asta!$AI:$AI,0))))</f>
        <v/>
      </c>
      <c r="S82" s="23">
        <f t="shared" ref="S82:S87" si="151">P82</f>
        <v>9</v>
      </c>
      <c r="T82" s="9" t="str">
        <f ca="1">IF(S82="","",IF(ISNA(MATCH(S$3&amp;$AK82,Asta!$AI:$AI,0)),"",INDIRECT("Asta!AA"&amp;MATCH(S$3&amp;$AK82,Asta!$AI:$AI,0))))</f>
        <v/>
      </c>
      <c r="U82" s="9" t="str">
        <f ca="1">IF(T82="","",IF(ISNA(MATCH(S$3&amp;$AK82,Asta!$AI:$AI,0)),"",INDIRECT("Asta!AG"&amp;MATCH(S$3&amp;$AK82,Asta!$AI:$AI,0))))</f>
        <v/>
      </c>
      <c r="V82" s="23">
        <f t="shared" ref="V82:V87" si="152">S82</f>
        <v>9</v>
      </c>
      <c r="W82" s="9" t="str">
        <f ca="1">IF(V82="","",IF(ISNA(MATCH(V$3&amp;$AK82,Asta!$AI:$AI,0)),"",INDIRECT("Asta!AA"&amp;MATCH(V$3&amp;$AK82,Asta!$AI:$AI,0))))</f>
        <v/>
      </c>
      <c r="X82" s="9" t="str">
        <f ca="1">IF(W82="","",IF(ISNA(MATCH(V$3&amp;$AK82,Asta!$AI:$AI,0)),"",INDIRECT("Asta!AG"&amp;MATCH(V$3&amp;$AK82,Asta!$AI:$AI,0))))</f>
        <v/>
      </c>
      <c r="Y82" s="23">
        <f t="shared" ref="Y82:Y87" si="153">V82</f>
        <v>9</v>
      </c>
      <c r="Z82" s="9" t="str">
        <f ca="1">IF(Y82="","",IF(ISNA(MATCH(Y$3&amp;$AK82,Asta!$AI:$AI,0)),"",INDIRECT("Asta!AA"&amp;MATCH(Y$3&amp;$AK82,Asta!$AI:$AI,0))))</f>
        <v/>
      </c>
      <c r="AA82" s="9" t="str">
        <f ca="1">IF(Z82="","",IF(ISNA(MATCH(Y$3&amp;$AK82,Asta!$AI:$AI,0)),"",INDIRECT("Asta!AG"&amp;MATCH(Y$3&amp;$AK82,Asta!$AI:$AI,0))))</f>
        <v/>
      </c>
      <c r="AB82" s="23">
        <f t="shared" ref="AB82:AB87" si="154">Y82</f>
        <v>9</v>
      </c>
      <c r="AC82" s="9" t="str">
        <f ca="1">IF(AB82="","",IF(ISNA(MATCH(AB$3&amp;$AK82,Asta!$AI:$AI,0)),"",INDIRECT("Asta!AA"&amp;MATCH(AB$3&amp;$AK82,Asta!$AI:$AI,0))))</f>
        <v/>
      </c>
      <c r="AD82" s="9" t="str">
        <f ca="1">IF(AC82="","",IF(ISNA(MATCH(AB$3&amp;$AK82,Asta!$AI:$AI,0)),"",INDIRECT("Asta!AG"&amp;MATCH(AB$3&amp;$AK82,Asta!$AI:$AI,0))))</f>
        <v/>
      </c>
      <c r="AE82" s="23">
        <f t="shared" ref="AE82:AE87" si="155">AB82</f>
        <v>9</v>
      </c>
      <c r="AF82" s="9" t="str">
        <f ca="1">IF(AE82="","",IF(ISNA(MATCH(AE$3&amp;$AK82,Asta!$AI:$AI,0)),"",INDIRECT("Asta!AA"&amp;MATCH(AE$3&amp;$AK82,Asta!$AI:$AI,0))))</f>
        <v/>
      </c>
      <c r="AG82" s="9" t="str">
        <f ca="1">IF(AF82="","",IF(ISNA(MATCH(AE$3&amp;$AK82,Asta!$AI:$AI,0)),"",INDIRECT("Asta!AG"&amp;MATCH(AE$3&amp;$AK82,Asta!$AI:$AI,0))))</f>
        <v/>
      </c>
      <c r="AH82" s="23">
        <f t="shared" ref="AH82:AH87" si="156">AE82</f>
        <v>9</v>
      </c>
      <c r="AI82" s="9" t="str">
        <f ca="1">IF(AH82="","",IF(ISNA(MATCH(AH$3&amp;$AK82,Asta!$AI:$AI,0)),"",INDIRECT("Asta!AA"&amp;MATCH(AH$3&amp;$AK82,Asta!$AI:$AI,0))))</f>
        <v/>
      </c>
      <c r="AJ82" s="9" t="str">
        <f ca="1">IF(AI82="","",IF(ISNA(MATCH(AH$3&amp;$AK82,Asta!$AI:$AI,0)),"",INDIRECT("Asta!AG"&amp;MATCH(AH$3&amp;$AK82,Asta!$AI:$AI,0))))</f>
        <v/>
      </c>
      <c r="AK82" s="23">
        <f>AH82</f>
        <v>9</v>
      </c>
      <c r="AM82" s="221"/>
      <c r="AN82" s="231" t="str">
        <f ca="1">IF(Giocatori!E89=0,"",Giocatori!E89)</f>
        <v/>
      </c>
      <c r="AO82" s="221"/>
      <c r="AP82" s="231" t="str">
        <f ca="1">IF(Giocatori!H89=0,"",Giocatori!H89)</f>
        <v>GENTILETTI</v>
      </c>
      <c r="AQ82" s="221"/>
      <c r="AR82" s="231" t="str">
        <f ca="1">IF(Giocatori!K89=0,"",Giocatori!K89)</f>
        <v>HAMSIK</v>
      </c>
      <c r="AS82" s="221"/>
      <c r="AT82" s="231" t="str">
        <f ca="1">IF(Giocatori!N89=0,"",Giocatori!N89)</f>
        <v>POLITANO</v>
      </c>
      <c r="AU82" s="221"/>
      <c r="AV82" s="231" t="str">
        <f ca="1">IF(Giocatori!Q89=0,"",Giocatori!Q89)</f>
        <v/>
      </c>
      <c r="AX82" t="str">
        <f t="shared" ca="1" si="120"/>
        <v/>
      </c>
      <c r="AY82" s="7">
        <f t="shared" ca="1" si="97"/>
        <v>65</v>
      </c>
      <c r="AZ82" s="7">
        <f t="shared" ca="1" si="121"/>
        <v>0</v>
      </c>
      <c r="BA82" s="4" t="str">
        <f t="shared" ref="BA82:BA91" ca="1" si="157">IF(Z14=0,"",Z14)</f>
        <v/>
      </c>
      <c r="BB82" t="str">
        <f t="shared" ca="1" si="123"/>
        <v>GENTILETTI</v>
      </c>
      <c r="BC82" s="7">
        <f t="shared" ca="1" si="108"/>
        <v>82</v>
      </c>
      <c r="BD82" s="7" t="str">
        <f t="shared" ca="1" si="124"/>
        <v>GENTILETTI</v>
      </c>
      <c r="BE82" s="4" t="str">
        <f t="shared" ref="BE82:BE91" ca="1" si="158">IF(Z30=0,"",Z30)</f>
        <v/>
      </c>
      <c r="BF82" t="str">
        <f t="shared" ca="1" si="126"/>
        <v>HAMSIK</v>
      </c>
      <c r="BG82" s="7">
        <f t="shared" ca="1" si="109"/>
        <v>82</v>
      </c>
      <c r="BH82" s="7" t="str">
        <f t="shared" ca="1" si="127"/>
        <v>HAMSIK</v>
      </c>
      <c r="BI82" s="4" t="str">
        <f t="shared" ref="BI82:BI89" ca="1" si="159">IF(AF46=0,"",AF46)</f>
        <v/>
      </c>
      <c r="BJ82" t="str">
        <f t="shared" ca="1" si="129"/>
        <v>POLITANO</v>
      </c>
      <c r="BK82" s="7">
        <f t="shared" ca="1" si="110"/>
        <v>82</v>
      </c>
      <c r="BL82" s="7" t="str">
        <f t="shared" ca="1" si="130"/>
        <v>POLITANO</v>
      </c>
      <c r="BM82" s="4" t="str">
        <f t="shared" ca="1" si="131"/>
        <v/>
      </c>
      <c r="BN82" t="str">
        <f t="shared" ca="1" si="132"/>
        <v/>
      </c>
      <c r="BO82" s="7">
        <f t="shared" ca="1" si="133"/>
        <v>1</v>
      </c>
      <c r="BP82" s="7">
        <f t="shared" ca="1" si="134"/>
        <v>0</v>
      </c>
    </row>
    <row r="83" spans="1:68" ht="14.25">
      <c r="A83" s="23">
        <f t="shared" si="146"/>
        <v>10</v>
      </c>
      <c r="B83" s="9" t="str">
        <f ca="1">IF(A83="","",IF(ISNA(MATCH(A$3&amp;$AK83,Asta!$AI:$AI,0)),"",INDIRECT("Asta!AA"&amp;MATCH(A$3&amp;$AK83,Asta!$AI:$AI,0))))</f>
        <v/>
      </c>
      <c r="C83" s="9" t="str">
        <f ca="1">IF(B83="","",IF(ISNA(MATCH(A$3&amp;$AK83,Asta!$AI:$AI,0)),"",INDIRECT("Asta!AG"&amp;MATCH(A$3&amp;$AK83,Asta!$AI:$AI,0))))</f>
        <v/>
      </c>
      <c r="D83" s="23">
        <f t="shared" si="119"/>
        <v>10</v>
      </c>
      <c r="E83" s="9" t="str">
        <f ca="1">IF(D83="","",IF(ISNA(MATCH(D$3&amp;$AK83,Asta!$AI:$AI,0)),"",INDIRECT("Asta!AA"&amp;MATCH(D$3&amp;$AK83,Asta!$AI:$AI,0))))</f>
        <v/>
      </c>
      <c r="F83" s="9" t="str">
        <f ca="1">IF(E83="","",IF(ISNA(MATCH(D$3&amp;$AK83,Asta!$AI:$AI,0)),"",INDIRECT("Asta!AG"&amp;MATCH(D$3&amp;$AK83,Asta!$AI:$AI,0))))</f>
        <v/>
      </c>
      <c r="G83" s="23">
        <f t="shared" si="147"/>
        <v>10</v>
      </c>
      <c r="H83" s="9" t="str">
        <f ca="1">IF(G83="","",IF(ISNA(MATCH(G$3&amp;$AK83,Asta!$AI:$AI,0)),"",INDIRECT("Asta!AA"&amp;MATCH(G$3&amp;$AK83,Asta!$AI:$AI,0))))</f>
        <v/>
      </c>
      <c r="I83" s="9" t="str">
        <f ca="1">IF(H83="","",IF(ISNA(MATCH(G$3&amp;$AK83,Asta!$AI:$AI,0)),"",INDIRECT("Asta!AG"&amp;MATCH(G$3&amp;$AK83,Asta!$AI:$AI,0))))</f>
        <v/>
      </c>
      <c r="J83" s="23">
        <f t="shared" si="148"/>
        <v>10</v>
      </c>
      <c r="K83" s="9" t="str">
        <f ca="1">IF(J83="","",IF(ISNA(MATCH(J$3&amp;$AK83,Asta!$AI:$AI,0)),"",INDIRECT("Asta!AA"&amp;MATCH(J$3&amp;$AK83,Asta!$AI:$AI,0))))</f>
        <v/>
      </c>
      <c r="L83" s="9" t="str">
        <f ca="1">IF(K83="","",IF(ISNA(MATCH(J$3&amp;$AK83,Asta!$AI:$AI,0)),"",INDIRECT("Asta!AG"&amp;MATCH(J$3&amp;$AK83,Asta!$AI:$AI,0))))</f>
        <v/>
      </c>
      <c r="M83" s="23">
        <f t="shared" si="149"/>
        <v>10</v>
      </c>
      <c r="N83" s="9" t="str">
        <f ca="1">IF(M83="","",IF(ISNA(MATCH(M$3&amp;$AK83,Asta!$AI:$AI,0)),"",INDIRECT("Asta!AA"&amp;MATCH(M$3&amp;$AK83,Asta!$AI:$AI,0))))</f>
        <v/>
      </c>
      <c r="O83" s="9" t="str">
        <f ca="1">IF(N83="","",IF(ISNA(MATCH(M$3&amp;$AK83,Asta!$AI:$AI,0)),"",INDIRECT("Asta!AG"&amp;MATCH(M$3&amp;$AK83,Asta!$AI:$AI,0))))</f>
        <v/>
      </c>
      <c r="P83" s="23">
        <f t="shared" si="150"/>
        <v>10</v>
      </c>
      <c r="Q83" s="9" t="str">
        <f ca="1">IF(P83="","",IF(ISNA(MATCH(P$3&amp;$AK83,Asta!$AI:$AI,0)),"",INDIRECT("Asta!AA"&amp;MATCH(P$3&amp;$AK83,Asta!$AI:$AI,0))))</f>
        <v/>
      </c>
      <c r="R83" s="9" t="str">
        <f ca="1">IF(Q83="","",IF(ISNA(MATCH(P$3&amp;$AK83,Asta!$AI:$AI,0)),"",INDIRECT("Asta!AG"&amp;MATCH(P$3&amp;$AK83,Asta!$AI:$AI,0))))</f>
        <v/>
      </c>
      <c r="S83" s="23">
        <f t="shared" si="151"/>
        <v>10</v>
      </c>
      <c r="T83" s="9" t="str">
        <f ca="1">IF(S83="","",IF(ISNA(MATCH(S$3&amp;$AK83,Asta!$AI:$AI,0)),"",INDIRECT("Asta!AA"&amp;MATCH(S$3&amp;$AK83,Asta!$AI:$AI,0))))</f>
        <v/>
      </c>
      <c r="U83" s="9" t="str">
        <f ca="1">IF(T83="","",IF(ISNA(MATCH(S$3&amp;$AK83,Asta!$AI:$AI,0)),"",INDIRECT("Asta!AG"&amp;MATCH(S$3&amp;$AK83,Asta!$AI:$AI,0))))</f>
        <v/>
      </c>
      <c r="V83" s="23">
        <f t="shared" si="152"/>
        <v>10</v>
      </c>
      <c r="W83" s="9" t="str">
        <f ca="1">IF(V83="","",IF(ISNA(MATCH(V$3&amp;$AK83,Asta!$AI:$AI,0)),"",INDIRECT("Asta!AA"&amp;MATCH(V$3&amp;$AK83,Asta!$AI:$AI,0))))</f>
        <v/>
      </c>
      <c r="X83" s="9" t="str">
        <f ca="1">IF(W83="","",IF(ISNA(MATCH(V$3&amp;$AK83,Asta!$AI:$AI,0)),"",INDIRECT("Asta!AG"&amp;MATCH(V$3&amp;$AK83,Asta!$AI:$AI,0))))</f>
        <v/>
      </c>
      <c r="Y83" s="23">
        <f t="shared" si="153"/>
        <v>10</v>
      </c>
      <c r="Z83" s="9" t="str">
        <f ca="1">IF(Y83="","",IF(ISNA(MATCH(Y$3&amp;$AK83,Asta!$AI:$AI,0)),"",INDIRECT("Asta!AA"&amp;MATCH(Y$3&amp;$AK83,Asta!$AI:$AI,0))))</f>
        <v/>
      </c>
      <c r="AA83" s="9" t="str">
        <f ca="1">IF(Z83="","",IF(ISNA(MATCH(Y$3&amp;$AK83,Asta!$AI:$AI,0)),"",INDIRECT("Asta!AG"&amp;MATCH(Y$3&amp;$AK83,Asta!$AI:$AI,0))))</f>
        <v/>
      </c>
      <c r="AB83" s="23">
        <f t="shared" si="154"/>
        <v>10</v>
      </c>
      <c r="AC83" s="9" t="str">
        <f ca="1">IF(AB83="","",IF(ISNA(MATCH(AB$3&amp;$AK83,Asta!$AI:$AI,0)),"",INDIRECT("Asta!AA"&amp;MATCH(AB$3&amp;$AK83,Asta!$AI:$AI,0))))</f>
        <v/>
      </c>
      <c r="AD83" s="9" t="str">
        <f ca="1">IF(AC83="","",IF(ISNA(MATCH(AB$3&amp;$AK83,Asta!$AI:$AI,0)),"",INDIRECT("Asta!AG"&amp;MATCH(AB$3&amp;$AK83,Asta!$AI:$AI,0))))</f>
        <v/>
      </c>
      <c r="AE83" s="23">
        <f t="shared" si="155"/>
        <v>10</v>
      </c>
      <c r="AF83" s="9" t="str">
        <f ca="1">IF(AE83="","",IF(ISNA(MATCH(AE$3&amp;$AK83,Asta!$AI:$AI,0)),"",INDIRECT("Asta!AA"&amp;MATCH(AE$3&amp;$AK83,Asta!$AI:$AI,0))))</f>
        <v/>
      </c>
      <c r="AG83" s="9" t="str">
        <f ca="1">IF(AF83="","",IF(ISNA(MATCH(AE$3&amp;$AK83,Asta!$AI:$AI,0)),"",INDIRECT("Asta!AG"&amp;MATCH(AE$3&amp;$AK83,Asta!$AI:$AI,0))))</f>
        <v/>
      </c>
      <c r="AH83" s="23">
        <f t="shared" si="156"/>
        <v>10</v>
      </c>
      <c r="AI83" s="9" t="str">
        <f ca="1">IF(AH83="","",IF(ISNA(MATCH(AH$3&amp;$AK83,Asta!$AI:$AI,0)),"",INDIRECT("Asta!AA"&amp;MATCH(AH$3&amp;$AK83,Asta!$AI:$AI,0))))</f>
        <v/>
      </c>
      <c r="AJ83" s="9" t="str">
        <f ca="1">IF(AI83="","",IF(ISNA(MATCH(AH$3&amp;$AK83,Asta!$AI:$AI,0)),"",INDIRECT("Asta!AG"&amp;MATCH(AH$3&amp;$AK83,Asta!$AI:$AI,0))))</f>
        <v/>
      </c>
      <c r="AK83" s="23">
        <f>AH83</f>
        <v>10</v>
      </c>
      <c r="AM83" s="221"/>
      <c r="AN83" s="231" t="str">
        <f ca="1">IF(Giocatori!E90=0,"",Giocatori!E90)</f>
        <v/>
      </c>
      <c r="AO83" s="221"/>
      <c r="AP83" s="231" t="str">
        <f ca="1">IF(Giocatori!H90=0,"",Giocatori!H90)</f>
        <v>GHOULAM</v>
      </c>
      <c r="AQ83" s="221"/>
      <c r="AR83" s="231" t="str">
        <f ca="1">IF(Giocatori!K90=0,"",Giocatori!K90)</f>
        <v>HETEMAJ</v>
      </c>
      <c r="AS83" s="221"/>
      <c r="AT83" s="231" t="str">
        <f ca="1">IF(Giocatori!N90=0,"",Giocatori!N90)</f>
        <v>PUCCIARELLI</v>
      </c>
      <c r="AU83" s="221"/>
      <c r="AV83" s="231" t="str">
        <f ca="1">IF(Giocatori!Q90=0,"",Giocatori!Q90)</f>
        <v/>
      </c>
      <c r="AX83" t="str">
        <f t="shared" ca="1" si="120"/>
        <v/>
      </c>
      <c r="AY83" s="7">
        <f t="shared" ca="1" si="97"/>
        <v>65</v>
      </c>
      <c r="AZ83" s="7">
        <f t="shared" ca="1" si="121"/>
        <v>0</v>
      </c>
      <c r="BA83" s="4" t="str">
        <f t="shared" ca="1" si="157"/>
        <v/>
      </c>
      <c r="BB83" t="str">
        <f t="shared" ca="1" si="123"/>
        <v>GHOULAM</v>
      </c>
      <c r="BC83" s="7">
        <f t="shared" ca="1" si="108"/>
        <v>83</v>
      </c>
      <c r="BD83" s="7" t="str">
        <f t="shared" ca="1" si="124"/>
        <v>GHOULAM</v>
      </c>
      <c r="BE83" s="4" t="str">
        <f t="shared" ca="1" si="158"/>
        <v/>
      </c>
      <c r="BF83" t="str">
        <f t="shared" ca="1" si="126"/>
        <v>HETEMAJ</v>
      </c>
      <c r="BG83" s="7">
        <f t="shared" ca="1" si="109"/>
        <v>83</v>
      </c>
      <c r="BH83" s="7" t="str">
        <f t="shared" ca="1" si="127"/>
        <v>HETEMAJ</v>
      </c>
      <c r="BI83" s="4" t="str">
        <f t="shared" ca="1" si="159"/>
        <v/>
      </c>
      <c r="BJ83" t="str">
        <f t="shared" ca="1" si="129"/>
        <v>PUCCIARELLI</v>
      </c>
      <c r="BK83" s="7">
        <f t="shared" ca="1" si="110"/>
        <v>83</v>
      </c>
      <c r="BL83" s="7" t="str">
        <f t="shared" ca="1" si="130"/>
        <v>PUCCIARELLI</v>
      </c>
      <c r="BM83" s="4" t="str">
        <f t="shared" ca="1" si="131"/>
        <v/>
      </c>
      <c r="BN83" t="str">
        <f t="shared" ca="1" si="132"/>
        <v/>
      </c>
      <c r="BO83" s="7">
        <f t="shared" ca="1" si="133"/>
        <v>1</v>
      </c>
      <c r="BP83" s="7">
        <f t="shared" ca="1" si="134"/>
        <v>0</v>
      </c>
    </row>
    <row r="84" spans="1:68" ht="14.25">
      <c r="A84" s="23">
        <v>1</v>
      </c>
      <c r="B84" s="9" t="str">
        <f ca="1">IF(A84="","",IF(ISNA(MATCH(A$3&amp;$AK84,Asta!$AJ:$AJ,0)),"",INDIRECT("Asta!AA"&amp;MATCH(A$3&amp;$AK84,Asta!$AJ:$AJ,0))))</f>
        <v/>
      </c>
      <c r="C84" s="9" t="str">
        <f ca="1">IF(B84="","",IF(ISNA(MATCH(A$3&amp;$AK84,Asta!$AJ:$AJ,0)),"",INDIRECT("Asta!AH"&amp;MATCH(A$3&amp;$AK84,Asta!$AJ:$AJ,0))))</f>
        <v/>
      </c>
      <c r="D84" s="23">
        <f t="shared" si="119"/>
        <v>1</v>
      </c>
      <c r="E84" s="9" t="str">
        <f ca="1">IF(D84="","",IF(ISNA(MATCH(D$3&amp;$AK84,Asta!$AJ:$AJ,0)),"",INDIRECT("Asta!AA"&amp;MATCH(D$3&amp;$AK84,Asta!$AJ:$AJ,0))))</f>
        <v/>
      </c>
      <c r="F84" s="9" t="str">
        <f ca="1">IF(E84="","",IF(ISNA(MATCH(D$3&amp;$AK84,Asta!$AJ:$AJ,0)),"",INDIRECT("Asta!AH"&amp;MATCH(D$3&amp;$AK84,Asta!$AJ:$AJ,0))))</f>
        <v/>
      </c>
      <c r="G84" s="23">
        <f t="shared" si="147"/>
        <v>1</v>
      </c>
      <c r="H84" s="9" t="str">
        <f ca="1">IF(G84="","",IF(ISNA(MATCH(G$3&amp;$AK84,Asta!$AJ:$AJ,0)),"",INDIRECT("Asta!AA"&amp;MATCH(G$3&amp;$AK84,Asta!$AJ:$AJ,0))))</f>
        <v/>
      </c>
      <c r="I84" s="9" t="str">
        <f ca="1">IF(H84="","",IF(ISNA(MATCH(G$3&amp;$AK84,Asta!$AJ:$AJ,0)),"",INDIRECT("Asta!AH"&amp;MATCH(G$3&amp;$AK84,Asta!$AJ:$AJ,0))))</f>
        <v/>
      </c>
      <c r="J84" s="23">
        <f t="shared" si="148"/>
        <v>1</v>
      </c>
      <c r="K84" s="9" t="str">
        <f ca="1">IF(J84="","",IF(ISNA(MATCH(J$3&amp;$AK84,Asta!$AJ:$AJ,0)),"",INDIRECT("Asta!AA"&amp;MATCH(J$3&amp;$AK84,Asta!$AJ:$AJ,0))))</f>
        <v/>
      </c>
      <c r="L84" s="9" t="str">
        <f ca="1">IF(K84="","",IF(ISNA(MATCH(J$3&amp;$AK84,Asta!$AJ:$AJ,0)),"",INDIRECT("Asta!AH"&amp;MATCH(J$3&amp;$AK84,Asta!$AJ:$AJ,0))))</f>
        <v/>
      </c>
      <c r="M84" s="23">
        <f t="shared" si="149"/>
        <v>1</v>
      </c>
      <c r="N84" s="9" t="str">
        <f ca="1">IF(M84="","",IF(ISNA(MATCH(M$3&amp;$AK84,Asta!$AJ:$AJ,0)),"",INDIRECT("Asta!AA"&amp;MATCH(M$3&amp;$AK84,Asta!$AJ:$AJ,0))))</f>
        <v/>
      </c>
      <c r="O84" s="9" t="str">
        <f ca="1">IF(N84="","",IF(ISNA(MATCH(M$3&amp;$AK84,Asta!$AJ:$AJ,0)),"",INDIRECT("Asta!AH"&amp;MATCH(M$3&amp;$AK84,Asta!$AJ:$AJ,0))))</f>
        <v/>
      </c>
      <c r="P84" s="23">
        <f t="shared" si="150"/>
        <v>1</v>
      </c>
      <c r="Q84" s="9" t="str">
        <f ca="1">IF(P84="","",IF(ISNA(MATCH(P$3&amp;$AK84,Asta!$AJ:$AJ,0)),"",INDIRECT("Asta!AA"&amp;MATCH(P$3&amp;$AK84,Asta!$AJ:$AJ,0))))</f>
        <v/>
      </c>
      <c r="R84" s="9" t="str">
        <f ca="1">IF(Q84="","",IF(ISNA(MATCH(P$3&amp;$AK84,Asta!$AJ:$AJ,0)),"",INDIRECT("Asta!AH"&amp;MATCH(P$3&amp;$AK84,Asta!$AJ:$AJ,0))))</f>
        <v/>
      </c>
      <c r="S84" s="23">
        <f t="shared" si="151"/>
        <v>1</v>
      </c>
      <c r="T84" s="9" t="str">
        <f ca="1">IF(S84="","",IF(ISNA(MATCH(S$3&amp;$AK84,Asta!$AJ:$AJ,0)),"",INDIRECT("Asta!AA"&amp;MATCH(S$3&amp;$AK84,Asta!$AJ:$AJ,0))))</f>
        <v/>
      </c>
      <c r="U84" s="9" t="str">
        <f ca="1">IF(T84="","",IF(ISNA(MATCH(S$3&amp;$AK84,Asta!$AJ:$AJ,0)),"",INDIRECT("Asta!AH"&amp;MATCH(S$3&amp;$AK84,Asta!$AJ:$AJ,0))))</f>
        <v/>
      </c>
      <c r="V84" s="23">
        <f t="shared" si="152"/>
        <v>1</v>
      </c>
      <c r="W84" s="9" t="str">
        <f ca="1">IF(V84="","",IF(ISNA(MATCH(V$3&amp;$AK84,Asta!$AJ:$AJ,0)),"",INDIRECT("Asta!AA"&amp;MATCH(V$3&amp;$AK84,Asta!$AJ:$AJ,0))))</f>
        <v/>
      </c>
      <c r="X84" s="9" t="str">
        <f ca="1">IF(W84="","",IF(ISNA(MATCH(V$3&amp;$AK84,Asta!$AJ:$AJ,0)),"",INDIRECT("Asta!AH"&amp;MATCH(V$3&amp;$AK84,Asta!$AJ:$AJ,0))))</f>
        <v/>
      </c>
      <c r="Y84" s="23">
        <f t="shared" si="153"/>
        <v>1</v>
      </c>
      <c r="Z84" s="9" t="str">
        <f ca="1">IF(Y84="","",IF(ISNA(MATCH(Y$3&amp;$AK84,Asta!$AJ:$AJ,0)),"",INDIRECT("Asta!AA"&amp;MATCH(Y$3&amp;$AK84,Asta!$AJ:$AJ,0))))</f>
        <v/>
      </c>
      <c r="AA84" s="9" t="str">
        <f ca="1">IF(Z84="","",IF(ISNA(MATCH(Y$3&amp;$AK84,Asta!$AJ:$AJ,0)),"",INDIRECT("Asta!AH"&amp;MATCH(Y$3&amp;$AK84,Asta!$AJ:$AJ,0))))</f>
        <v/>
      </c>
      <c r="AB84" s="23">
        <f t="shared" si="154"/>
        <v>1</v>
      </c>
      <c r="AC84" s="9" t="str">
        <f ca="1">IF(AB84="","",IF(ISNA(MATCH(AB$3&amp;$AK84,Asta!$AJ:$AJ,0)),"",INDIRECT("Asta!AA"&amp;MATCH(AB$3&amp;$AK84,Asta!$AJ:$AJ,0))))</f>
        <v/>
      </c>
      <c r="AD84" s="9" t="str">
        <f ca="1">IF(AC84="","",IF(ISNA(MATCH(AB$3&amp;$AK84,Asta!$AJ:$AJ,0)),"",INDIRECT("Asta!AH"&amp;MATCH(AB$3&amp;$AK84,Asta!$AJ:$AJ,0))))</f>
        <v/>
      </c>
      <c r="AE84" s="23">
        <f t="shared" si="155"/>
        <v>1</v>
      </c>
      <c r="AF84" s="9" t="str">
        <f ca="1">IF(AE84="","",IF(ISNA(MATCH(AE$3&amp;$AK84,Asta!$AJ:$AJ,0)),"",INDIRECT("Asta!AA"&amp;MATCH(AE$3&amp;$AK84,Asta!$AJ:$AJ,0))))</f>
        <v/>
      </c>
      <c r="AG84" s="9" t="str">
        <f ca="1">IF(AF84="","",IF(ISNA(MATCH(AE$3&amp;$AK84,Asta!$AJ:$AJ,0)),"",INDIRECT("Asta!AH"&amp;MATCH(AE$3&amp;$AK84,Asta!$AJ:$AJ,0))))</f>
        <v/>
      </c>
      <c r="AH84" s="23">
        <f t="shared" si="156"/>
        <v>1</v>
      </c>
      <c r="AI84" s="9" t="str">
        <f ca="1">IF(AH84="","",IF(ISNA(MATCH(AH$3&amp;$AK84,Asta!$AJ:$AJ,0)),"",INDIRECT("Asta!AA"&amp;MATCH(AH$3&amp;$AK84,Asta!$AJ:$AJ,0))))</f>
        <v/>
      </c>
      <c r="AJ84" s="9" t="str">
        <f ca="1">IF(AI84="","",IF(ISNA(MATCH(AH$3&amp;$AK84,Asta!$AJ:$AJ,0)),"",INDIRECT("Asta!AH"&amp;MATCH(AH$3&amp;$AK84,Asta!$AJ:$AJ,0))))</f>
        <v/>
      </c>
      <c r="AK84" s="23">
        <f t="shared" ref="AK84:AK93" si="160">AH84</f>
        <v>1</v>
      </c>
      <c r="AM84" s="221"/>
      <c r="AN84" s="231" t="str">
        <f ca="1">IF(Giocatori!E91=0,"",Giocatori!E91)</f>
        <v/>
      </c>
      <c r="AO84" s="221"/>
      <c r="AP84" s="231" t="str">
        <f ca="1">IF(Giocatori!H91=0,"",Giocatori!H91)</f>
        <v>GOBBI</v>
      </c>
      <c r="AQ84" s="221"/>
      <c r="AR84" s="231" t="str">
        <f ca="1">IF(Giocatori!K91=0,"",Giocatori!K91)</f>
        <v>IAGO FALQUE</v>
      </c>
      <c r="AS84" s="221"/>
      <c r="AT84" s="231" t="str">
        <f ca="1">IF(Giocatori!N91=0,"",Giocatori!N91)</f>
        <v>PUSCAS</v>
      </c>
      <c r="AU84" s="221"/>
      <c r="AV84" s="231" t="str">
        <f ca="1">IF(Giocatori!Q91=0,"",Giocatori!Q91)</f>
        <v/>
      </c>
      <c r="AX84" t="str">
        <f t="shared" ca="1" si="120"/>
        <v/>
      </c>
      <c r="AY84" s="7">
        <f t="shared" ca="1" si="97"/>
        <v>65</v>
      </c>
      <c r="AZ84" s="7">
        <f t="shared" ca="1" si="121"/>
        <v>0</v>
      </c>
      <c r="BA84" s="4" t="str">
        <f t="shared" ca="1" si="157"/>
        <v/>
      </c>
      <c r="BB84" t="str">
        <f t="shared" ca="1" si="123"/>
        <v>GOBBI</v>
      </c>
      <c r="BC84" s="7">
        <f t="shared" ca="1" si="108"/>
        <v>84</v>
      </c>
      <c r="BD84" s="7" t="str">
        <f t="shared" ca="1" si="124"/>
        <v>GOBBI</v>
      </c>
      <c r="BE84" s="4" t="str">
        <f t="shared" ca="1" si="158"/>
        <v/>
      </c>
      <c r="BF84" t="str">
        <f t="shared" ca="1" si="126"/>
        <v>IAGO FALQUE</v>
      </c>
      <c r="BG84" s="7">
        <f t="shared" ca="1" si="109"/>
        <v>84</v>
      </c>
      <c r="BH84" s="7" t="str">
        <f t="shared" ca="1" si="127"/>
        <v>IAGO FALQUE</v>
      </c>
      <c r="BI84" s="4" t="str">
        <f t="shared" ca="1" si="159"/>
        <v/>
      </c>
      <c r="BJ84" t="str">
        <f t="shared" ca="1" si="129"/>
        <v>PUSCAS</v>
      </c>
      <c r="BK84" s="7">
        <f t="shared" ca="1" si="110"/>
        <v>84</v>
      </c>
      <c r="BL84" s="7" t="str">
        <f t="shared" ca="1" si="130"/>
        <v>PUSCAS</v>
      </c>
      <c r="BM84" s="4" t="str">
        <f t="shared" ref="BM84:BM93" ca="1" si="161">IF(Z30=0,"",Z30)</f>
        <v/>
      </c>
      <c r="BN84" t="str">
        <f t="shared" ca="1" si="132"/>
        <v/>
      </c>
      <c r="BO84" s="7">
        <f t="shared" ca="1" si="133"/>
        <v>1</v>
      </c>
      <c r="BP84" s="7">
        <f t="shared" ca="1" si="134"/>
        <v>0</v>
      </c>
    </row>
    <row r="85" spans="1:68" ht="14.25">
      <c r="A85" s="23">
        <f t="shared" si="146"/>
        <v>2</v>
      </c>
      <c r="B85" s="9" t="str">
        <f ca="1">IF(A85="","",IF(ISNA(MATCH(A$3&amp;$AK85,Asta!$AJ:$AJ,0)),"",INDIRECT("Asta!AA"&amp;MATCH(A$3&amp;$AK85,Asta!$AJ:$AJ,0))))</f>
        <v/>
      </c>
      <c r="C85" s="9" t="str">
        <f ca="1">IF(B85="","",IF(ISNA(MATCH(A$3&amp;$AK85,Asta!$AJ:$AJ,0)),"",INDIRECT("Asta!AH"&amp;MATCH(A$3&amp;$AK85,Asta!$AJ:$AJ,0))))</f>
        <v/>
      </c>
      <c r="D85" s="23">
        <f t="shared" si="119"/>
        <v>2</v>
      </c>
      <c r="E85" s="9" t="str">
        <f ca="1">IF(D85="","",IF(ISNA(MATCH(D$3&amp;$AK85,Asta!$AJ:$AJ,0)),"",INDIRECT("Asta!AA"&amp;MATCH(D$3&amp;$AK85,Asta!$AJ:$AJ,0))))</f>
        <v/>
      </c>
      <c r="F85" s="9" t="str">
        <f ca="1">IF(E85="","",IF(ISNA(MATCH(D$3&amp;$AK85,Asta!$AJ:$AJ,0)),"",INDIRECT("Asta!AH"&amp;MATCH(D$3&amp;$AK85,Asta!$AJ:$AJ,0))))</f>
        <v/>
      </c>
      <c r="G85" s="23">
        <f t="shared" si="147"/>
        <v>2</v>
      </c>
      <c r="H85" s="9" t="str">
        <f ca="1">IF(G85="","",IF(ISNA(MATCH(G$3&amp;$AK85,Asta!$AJ:$AJ,0)),"",INDIRECT("Asta!AA"&amp;MATCH(G$3&amp;$AK85,Asta!$AJ:$AJ,0))))</f>
        <v/>
      </c>
      <c r="I85" s="9" t="str">
        <f ca="1">IF(H85="","",IF(ISNA(MATCH(G$3&amp;$AK85,Asta!$AJ:$AJ,0)),"",INDIRECT("Asta!AH"&amp;MATCH(G$3&amp;$AK85,Asta!$AJ:$AJ,0))))</f>
        <v/>
      </c>
      <c r="J85" s="23">
        <f t="shared" si="148"/>
        <v>2</v>
      </c>
      <c r="K85" s="9" t="str">
        <f ca="1">IF(J85="","",IF(ISNA(MATCH(J$3&amp;$AK85,Asta!$AJ:$AJ,0)),"",INDIRECT("Asta!AA"&amp;MATCH(J$3&amp;$AK85,Asta!$AJ:$AJ,0))))</f>
        <v/>
      </c>
      <c r="L85" s="9" t="str">
        <f ca="1">IF(K85="","",IF(ISNA(MATCH(J$3&amp;$AK85,Asta!$AJ:$AJ,0)),"",INDIRECT("Asta!AH"&amp;MATCH(J$3&amp;$AK85,Asta!$AJ:$AJ,0))))</f>
        <v/>
      </c>
      <c r="M85" s="23">
        <f t="shared" si="149"/>
        <v>2</v>
      </c>
      <c r="N85" s="9" t="str">
        <f ca="1">IF(M85="","",IF(ISNA(MATCH(M$3&amp;$AK85,Asta!$AJ:$AJ,0)),"",INDIRECT("Asta!AA"&amp;MATCH(M$3&amp;$AK85,Asta!$AJ:$AJ,0))))</f>
        <v/>
      </c>
      <c r="O85" s="9" t="str">
        <f ca="1">IF(N85="","",IF(ISNA(MATCH(M$3&amp;$AK85,Asta!$AJ:$AJ,0)),"",INDIRECT("Asta!AH"&amp;MATCH(M$3&amp;$AK85,Asta!$AJ:$AJ,0))))</f>
        <v/>
      </c>
      <c r="P85" s="23">
        <f t="shared" si="150"/>
        <v>2</v>
      </c>
      <c r="Q85" s="9" t="str">
        <f ca="1">IF(P85="","",IF(ISNA(MATCH(P$3&amp;$AK85,Asta!$AJ:$AJ,0)),"",INDIRECT("Asta!AA"&amp;MATCH(P$3&amp;$AK85,Asta!$AJ:$AJ,0))))</f>
        <v/>
      </c>
      <c r="R85" s="9" t="str">
        <f ca="1">IF(Q85="","",IF(ISNA(MATCH(P$3&amp;$AK85,Asta!$AJ:$AJ,0)),"",INDIRECT("Asta!AH"&amp;MATCH(P$3&amp;$AK85,Asta!$AJ:$AJ,0))))</f>
        <v/>
      </c>
      <c r="S85" s="23">
        <f t="shared" si="151"/>
        <v>2</v>
      </c>
      <c r="T85" s="9" t="str">
        <f ca="1">IF(S85="","",IF(ISNA(MATCH(S$3&amp;$AK85,Asta!$AJ:$AJ,0)),"",INDIRECT("Asta!AA"&amp;MATCH(S$3&amp;$AK85,Asta!$AJ:$AJ,0))))</f>
        <v/>
      </c>
      <c r="U85" s="9" t="str">
        <f ca="1">IF(T85="","",IF(ISNA(MATCH(S$3&amp;$AK85,Asta!$AJ:$AJ,0)),"",INDIRECT("Asta!AH"&amp;MATCH(S$3&amp;$AK85,Asta!$AJ:$AJ,0))))</f>
        <v/>
      </c>
      <c r="V85" s="23">
        <f t="shared" si="152"/>
        <v>2</v>
      </c>
      <c r="W85" s="9" t="str">
        <f ca="1">IF(V85="","",IF(ISNA(MATCH(V$3&amp;$AK85,Asta!$AJ:$AJ,0)),"",INDIRECT("Asta!AA"&amp;MATCH(V$3&amp;$AK85,Asta!$AJ:$AJ,0))))</f>
        <v/>
      </c>
      <c r="X85" s="9" t="str">
        <f ca="1">IF(W85="","",IF(ISNA(MATCH(V$3&amp;$AK85,Asta!$AJ:$AJ,0)),"",INDIRECT("Asta!AH"&amp;MATCH(V$3&amp;$AK85,Asta!$AJ:$AJ,0))))</f>
        <v/>
      </c>
      <c r="Y85" s="23">
        <f t="shared" si="153"/>
        <v>2</v>
      </c>
      <c r="Z85" s="9" t="str">
        <f ca="1">IF(Y85="","",IF(ISNA(MATCH(Y$3&amp;$AK85,Asta!$AJ:$AJ,0)),"",INDIRECT("Asta!AA"&amp;MATCH(Y$3&amp;$AK85,Asta!$AJ:$AJ,0))))</f>
        <v/>
      </c>
      <c r="AA85" s="9" t="str">
        <f ca="1">IF(Z85="","",IF(ISNA(MATCH(Y$3&amp;$AK85,Asta!$AJ:$AJ,0)),"",INDIRECT("Asta!AH"&amp;MATCH(Y$3&amp;$AK85,Asta!$AJ:$AJ,0))))</f>
        <v/>
      </c>
      <c r="AB85" s="23">
        <f t="shared" si="154"/>
        <v>2</v>
      </c>
      <c r="AC85" s="9" t="str">
        <f ca="1">IF(AB85="","",IF(ISNA(MATCH(AB$3&amp;$AK85,Asta!$AJ:$AJ,0)),"",INDIRECT("Asta!AA"&amp;MATCH(AB$3&amp;$AK85,Asta!$AJ:$AJ,0))))</f>
        <v/>
      </c>
      <c r="AD85" s="9" t="str">
        <f ca="1">IF(AC85="","",IF(ISNA(MATCH(AB$3&amp;$AK85,Asta!$AJ:$AJ,0)),"",INDIRECT("Asta!AH"&amp;MATCH(AB$3&amp;$AK85,Asta!$AJ:$AJ,0))))</f>
        <v/>
      </c>
      <c r="AE85" s="23">
        <f t="shared" si="155"/>
        <v>2</v>
      </c>
      <c r="AF85" s="9" t="str">
        <f ca="1">IF(AE85="","",IF(ISNA(MATCH(AE$3&amp;$AK85,Asta!$AJ:$AJ,0)),"",INDIRECT("Asta!AA"&amp;MATCH(AE$3&amp;$AK85,Asta!$AJ:$AJ,0))))</f>
        <v/>
      </c>
      <c r="AG85" s="9" t="str">
        <f ca="1">IF(AF85="","",IF(ISNA(MATCH(AE$3&amp;$AK85,Asta!$AJ:$AJ,0)),"",INDIRECT("Asta!AH"&amp;MATCH(AE$3&amp;$AK85,Asta!$AJ:$AJ,0))))</f>
        <v/>
      </c>
      <c r="AH85" s="23">
        <f t="shared" si="156"/>
        <v>2</v>
      </c>
      <c r="AI85" s="9" t="str">
        <f ca="1">IF(AH85="","",IF(ISNA(MATCH(AH$3&amp;$AK85,Asta!$AJ:$AJ,0)),"",INDIRECT("Asta!AA"&amp;MATCH(AH$3&amp;$AK85,Asta!$AJ:$AJ,0))))</f>
        <v/>
      </c>
      <c r="AJ85" s="9" t="str">
        <f ca="1">IF(AI85="","",IF(ISNA(MATCH(AH$3&amp;$AK85,Asta!$AJ:$AJ,0)),"",INDIRECT("Asta!AH"&amp;MATCH(AH$3&amp;$AK85,Asta!$AJ:$AJ,0))))</f>
        <v/>
      </c>
      <c r="AK85" s="23">
        <f t="shared" si="160"/>
        <v>2</v>
      </c>
      <c r="AM85" s="221"/>
      <c r="AN85" s="231" t="str">
        <f ca="1">IF(Giocatori!E92=0,"",Giocatori!E92)</f>
        <v/>
      </c>
      <c r="AO85" s="221"/>
      <c r="AP85" s="231" t="str">
        <f ca="1">IF(Giocatori!H92=0,"",Giocatori!H92)</f>
        <v>GOLDANIGA</v>
      </c>
      <c r="AQ85" s="221"/>
      <c r="AR85" s="231" t="str">
        <f ca="1">IF(Giocatori!K92=0,"",Giocatori!K92)</f>
        <v>ILICIC</v>
      </c>
      <c r="AS85" s="221"/>
      <c r="AT85" s="231" t="str">
        <f ca="1">IF(Giocatori!N92=0,"",Giocatori!N92)</f>
        <v>QUAGLIARELLA</v>
      </c>
      <c r="AU85" s="221"/>
      <c r="AV85" s="231" t="str">
        <f ca="1">IF(Giocatori!Q92=0,"",Giocatori!Q92)</f>
        <v/>
      </c>
      <c r="AX85" t="str">
        <f t="shared" ca="1" si="120"/>
        <v/>
      </c>
      <c r="AY85" s="7">
        <f t="shared" ca="1" si="97"/>
        <v>65</v>
      </c>
      <c r="AZ85" s="7">
        <f t="shared" ca="1" si="121"/>
        <v>0</v>
      </c>
      <c r="BA85" s="4" t="str">
        <f t="shared" ca="1" si="157"/>
        <v/>
      </c>
      <c r="BB85" t="str">
        <f t="shared" ca="1" si="123"/>
        <v>GOLDANIGA</v>
      </c>
      <c r="BC85" s="7">
        <f t="shared" ca="1" si="108"/>
        <v>85</v>
      </c>
      <c r="BD85" s="7" t="str">
        <f t="shared" ca="1" si="124"/>
        <v>GOLDANIGA</v>
      </c>
      <c r="BE85" s="4" t="str">
        <f t="shared" ca="1" si="158"/>
        <v/>
      </c>
      <c r="BF85" t="str">
        <f t="shared" ca="1" si="126"/>
        <v>ILICIC</v>
      </c>
      <c r="BG85" s="7">
        <f t="shared" ca="1" si="109"/>
        <v>85</v>
      </c>
      <c r="BH85" s="7" t="str">
        <f t="shared" ca="1" si="127"/>
        <v>ILICIC</v>
      </c>
      <c r="BI85" s="4" t="str">
        <f t="shared" ca="1" si="159"/>
        <v/>
      </c>
      <c r="BJ85" t="str">
        <f t="shared" ca="1" si="129"/>
        <v>QUAGLIARELLA</v>
      </c>
      <c r="BK85" s="7">
        <f t="shared" ca="1" si="110"/>
        <v>85</v>
      </c>
      <c r="BL85" s="7" t="str">
        <f t="shared" ca="1" si="130"/>
        <v>QUAGLIARELLA</v>
      </c>
      <c r="BM85" s="4" t="str">
        <f t="shared" ca="1" si="161"/>
        <v/>
      </c>
      <c r="BN85" t="str">
        <f t="shared" ca="1" si="132"/>
        <v/>
      </c>
      <c r="BO85" s="7">
        <f t="shared" ca="1" si="133"/>
        <v>1</v>
      </c>
      <c r="BP85" s="7">
        <f t="shared" ca="1" si="134"/>
        <v>0</v>
      </c>
    </row>
    <row r="86" spans="1:68" ht="14.25">
      <c r="A86" s="23">
        <f t="shared" si="146"/>
        <v>3</v>
      </c>
      <c r="B86" s="9" t="str">
        <f ca="1">IF(A86="","",IF(ISNA(MATCH(A$3&amp;$AK86,Asta!$AJ:$AJ,0)),"",INDIRECT("Asta!AA"&amp;MATCH(A$3&amp;$AK86,Asta!$AJ:$AJ,0))))</f>
        <v/>
      </c>
      <c r="C86" s="9" t="str">
        <f ca="1">IF(B86="","",IF(ISNA(MATCH(A$3&amp;$AK86,Asta!$AJ:$AJ,0)),"",INDIRECT("Asta!AH"&amp;MATCH(A$3&amp;$AK86,Asta!$AJ:$AJ,0))))</f>
        <v/>
      </c>
      <c r="D86" s="23">
        <f t="shared" si="119"/>
        <v>3</v>
      </c>
      <c r="E86" s="9" t="str">
        <f ca="1">IF(D86="","",IF(ISNA(MATCH(D$3&amp;$AK86,Asta!$AJ:$AJ,0)),"",INDIRECT("Asta!AA"&amp;MATCH(D$3&amp;$AK86,Asta!$AJ:$AJ,0))))</f>
        <v/>
      </c>
      <c r="F86" s="9" t="str">
        <f ca="1">IF(E86="","",IF(ISNA(MATCH(D$3&amp;$AK86,Asta!$AJ:$AJ,0)),"",INDIRECT("Asta!AH"&amp;MATCH(D$3&amp;$AK86,Asta!$AJ:$AJ,0))))</f>
        <v/>
      </c>
      <c r="G86" s="23">
        <f t="shared" si="147"/>
        <v>3</v>
      </c>
      <c r="H86" s="9" t="str">
        <f ca="1">IF(G86="","",IF(ISNA(MATCH(G$3&amp;$AK86,Asta!$AJ:$AJ,0)),"",INDIRECT("Asta!AA"&amp;MATCH(G$3&amp;$AK86,Asta!$AJ:$AJ,0))))</f>
        <v/>
      </c>
      <c r="I86" s="9" t="str">
        <f ca="1">IF(H86="","",IF(ISNA(MATCH(G$3&amp;$AK86,Asta!$AJ:$AJ,0)),"",INDIRECT("Asta!AH"&amp;MATCH(G$3&amp;$AK86,Asta!$AJ:$AJ,0))))</f>
        <v/>
      </c>
      <c r="J86" s="23">
        <f t="shared" si="148"/>
        <v>3</v>
      </c>
      <c r="K86" s="9" t="str">
        <f ca="1">IF(J86="","",IF(ISNA(MATCH(J$3&amp;$AK86,Asta!$AJ:$AJ,0)),"",INDIRECT("Asta!AA"&amp;MATCH(J$3&amp;$AK86,Asta!$AJ:$AJ,0))))</f>
        <v/>
      </c>
      <c r="L86" s="9" t="str">
        <f ca="1">IF(K86="","",IF(ISNA(MATCH(J$3&amp;$AK86,Asta!$AJ:$AJ,0)),"",INDIRECT("Asta!AH"&amp;MATCH(J$3&amp;$AK86,Asta!$AJ:$AJ,0))))</f>
        <v/>
      </c>
      <c r="M86" s="23">
        <f t="shared" si="149"/>
        <v>3</v>
      </c>
      <c r="N86" s="9" t="str">
        <f ca="1">IF(M86="","",IF(ISNA(MATCH(M$3&amp;$AK86,Asta!$AJ:$AJ,0)),"",INDIRECT("Asta!AA"&amp;MATCH(M$3&amp;$AK86,Asta!$AJ:$AJ,0))))</f>
        <v/>
      </c>
      <c r="O86" s="9" t="str">
        <f ca="1">IF(N86="","",IF(ISNA(MATCH(M$3&amp;$AK86,Asta!$AJ:$AJ,0)),"",INDIRECT("Asta!AH"&amp;MATCH(M$3&amp;$AK86,Asta!$AJ:$AJ,0))))</f>
        <v/>
      </c>
      <c r="P86" s="23">
        <f t="shared" si="150"/>
        <v>3</v>
      </c>
      <c r="Q86" s="9" t="str">
        <f ca="1">IF(P86="","",IF(ISNA(MATCH(P$3&amp;$AK86,Asta!$AJ:$AJ,0)),"",INDIRECT("Asta!AA"&amp;MATCH(P$3&amp;$AK86,Asta!$AJ:$AJ,0))))</f>
        <v/>
      </c>
      <c r="R86" s="9" t="str">
        <f ca="1">IF(Q86="","",IF(ISNA(MATCH(P$3&amp;$AK86,Asta!$AJ:$AJ,0)),"",INDIRECT("Asta!AH"&amp;MATCH(P$3&amp;$AK86,Asta!$AJ:$AJ,0))))</f>
        <v/>
      </c>
      <c r="S86" s="23">
        <f t="shared" si="151"/>
        <v>3</v>
      </c>
      <c r="T86" s="9" t="str">
        <f ca="1">IF(S86="","",IF(ISNA(MATCH(S$3&amp;$AK86,Asta!$AJ:$AJ,0)),"",INDIRECT("Asta!AA"&amp;MATCH(S$3&amp;$AK86,Asta!$AJ:$AJ,0))))</f>
        <v/>
      </c>
      <c r="U86" s="9" t="str">
        <f ca="1">IF(T86="","",IF(ISNA(MATCH(S$3&amp;$AK86,Asta!$AJ:$AJ,0)),"",INDIRECT("Asta!AH"&amp;MATCH(S$3&amp;$AK86,Asta!$AJ:$AJ,0))))</f>
        <v/>
      </c>
      <c r="V86" s="23">
        <f t="shared" si="152"/>
        <v>3</v>
      </c>
      <c r="W86" s="9" t="str">
        <f ca="1">IF(V86="","",IF(ISNA(MATCH(V$3&amp;$AK86,Asta!$AJ:$AJ,0)),"",INDIRECT("Asta!AA"&amp;MATCH(V$3&amp;$AK86,Asta!$AJ:$AJ,0))))</f>
        <v/>
      </c>
      <c r="X86" s="9" t="str">
        <f ca="1">IF(W86="","",IF(ISNA(MATCH(V$3&amp;$AK86,Asta!$AJ:$AJ,0)),"",INDIRECT("Asta!AH"&amp;MATCH(V$3&amp;$AK86,Asta!$AJ:$AJ,0))))</f>
        <v/>
      </c>
      <c r="Y86" s="23">
        <f t="shared" si="153"/>
        <v>3</v>
      </c>
      <c r="Z86" s="9" t="str">
        <f ca="1">IF(Y86="","",IF(ISNA(MATCH(Y$3&amp;$AK86,Asta!$AJ:$AJ,0)),"",INDIRECT("Asta!AA"&amp;MATCH(Y$3&amp;$AK86,Asta!$AJ:$AJ,0))))</f>
        <v/>
      </c>
      <c r="AA86" s="9" t="str">
        <f ca="1">IF(Z86="","",IF(ISNA(MATCH(Y$3&amp;$AK86,Asta!$AJ:$AJ,0)),"",INDIRECT("Asta!AH"&amp;MATCH(Y$3&amp;$AK86,Asta!$AJ:$AJ,0))))</f>
        <v/>
      </c>
      <c r="AB86" s="23">
        <f t="shared" si="154"/>
        <v>3</v>
      </c>
      <c r="AC86" s="9" t="str">
        <f ca="1">IF(AB86="","",IF(ISNA(MATCH(AB$3&amp;$AK86,Asta!$AJ:$AJ,0)),"",INDIRECT("Asta!AA"&amp;MATCH(AB$3&amp;$AK86,Asta!$AJ:$AJ,0))))</f>
        <v/>
      </c>
      <c r="AD86" s="9" t="str">
        <f ca="1">IF(AC86="","",IF(ISNA(MATCH(AB$3&amp;$AK86,Asta!$AJ:$AJ,0)),"",INDIRECT("Asta!AH"&amp;MATCH(AB$3&amp;$AK86,Asta!$AJ:$AJ,0))))</f>
        <v/>
      </c>
      <c r="AE86" s="23">
        <f t="shared" si="155"/>
        <v>3</v>
      </c>
      <c r="AF86" s="9" t="str">
        <f ca="1">IF(AE86="","",IF(ISNA(MATCH(AE$3&amp;$AK86,Asta!$AJ:$AJ,0)),"",INDIRECT("Asta!AA"&amp;MATCH(AE$3&amp;$AK86,Asta!$AJ:$AJ,0))))</f>
        <v/>
      </c>
      <c r="AG86" s="9" t="str">
        <f ca="1">IF(AF86="","",IF(ISNA(MATCH(AE$3&amp;$AK86,Asta!$AJ:$AJ,0)),"",INDIRECT("Asta!AH"&amp;MATCH(AE$3&amp;$AK86,Asta!$AJ:$AJ,0))))</f>
        <v/>
      </c>
      <c r="AH86" s="23">
        <f t="shared" si="156"/>
        <v>3</v>
      </c>
      <c r="AI86" s="9" t="str">
        <f ca="1">IF(AH86="","",IF(ISNA(MATCH(AH$3&amp;$AK86,Asta!$AJ:$AJ,0)),"",INDIRECT("Asta!AA"&amp;MATCH(AH$3&amp;$AK86,Asta!$AJ:$AJ,0))))</f>
        <v/>
      </c>
      <c r="AJ86" s="9" t="str">
        <f ca="1">IF(AI86="","",IF(ISNA(MATCH(AH$3&amp;$AK86,Asta!$AJ:$AJ,0)),"",INDIRECT("Asta!AH"&amp;MATCH(AH$3&amp;$AK86,Asta!$AJ:$AJ,0))))</f>
        <v/>
      </c>
      <c r="AK86" s="23">
        <f t="shared" si="160"/>
        <v>3</v>
      </c>
      <c r="AM86" s="221"/>
      <c r="AN86" s="231" t="str">
        <f ca="1">IF(Giocatori!E93=0,"",Giocatori!E93)</f>
        <v/>
      </c>
      <c r="AO86" s="221"/>
      <c r="AP86" s="231" t="str">
        <f ca="1">IF(Giocatori!H93=0,"",Giocatori!H93)</f>
        <v>GOMEZ G</v>
      </c>
      <c r="AQ86" s="221"/>
      <c r="AR86" s="231" t="str">
        <f ca="1">IF(Giocatori!K93=0,"",Giocatori!K93)</f>
        <v>INGELSSON</v>
      </c>
      <c r="AS86" s="221"/>
      <c r="AT86" s="231" t="str">
        <f ca="1">IF(Giocatori!N93=0,"",Giocatori!N93)</f>
        <v>RAGUSA</v>
      </c>
      <c r="AU86" s="221"/>
      <c r="AV86" s="231" t="str">
        <f ca="1">IF(Giocatori!Q93=0,"",Giocatori!Q93)</f>
        <v/>
      </c>
      <c r="AX86" t="str">
        <f t="shared" ca="1" si="120"/>
        <v/>
      </c>
      <c r="AY86" s="7">
        <f t="shared" ca="1" si="97"/>
        <v>65</v>
      </c>
      <c r="AZ86" s="7">
        <f t="shared" ca="1" si="121"/>
        <v>0</v>
      </c>
      <c r="BA86" s="4" t="str">
        <f t="shared" ca="1" si="157"/>
        <v/>
      </c>
      <c r="BB86" t="str">
        <f t="shared" ca="1" si="123"/>
        <v>GOMEZ G</v>
      </c>
      <c r="BC86" s="7">
        <f t="shared" ca="1" si="108"/>
        <v>86</v>
      </c>
      <c r="BD86" s="7" t="str">
        <f t="shared" ca="1" si="124"/>
        <v>GOMEZ G</v>
      </c>
      <c r="BE86" s="4" t="str">
        <f t="shared" ca="1" si="158"/>
        <v/>
      </c>
      <c r="BF86" t="str">
        <f t="shared" ca="1" si="126"/>
        <v>INGELSSON</v>
      </c>
      <c r="BG86" s="7">
        <f t="shared" ca="1" si="109"/>
        <v>86</v>
      </c>
      <c r="BH86" s="7" t="str">
        <f t="shared" ca="1" si="127"/>
        <v>INGELSSON</v>
      </c>
      <c r="BI86" s="4" t="str">
        <f t="shared" ca="1" si="159"/>
        <v/>
      </c>
      <c r="BJ86" t="str">
        <f t="shared" ca="1" si="129"/>
        <v>RAGUSA</v>
      </c>
      <c r="BK86" s="7">
        <f t="shared" ca="1" si="110"/>
        <v>86</v>
      </c>
      <c r="BL86" s="7" t="str">
        <f t="shared" ca="1" si="130"/>
        <v>RAGUSA</v>
      </c>
      <c r="BM86" s="4" t="str">
        <f t="shared" ca="1" si="161"/>
        <v/>
      </c>
      <c r="BN86" t="str">
        <f t="shared" ca="1" si="132"/>
        <v/>
      </c>
      <c r="BO86" s="7">
        <f t="shared" ca="1" si="133"/>
        <v>1</v>
      </c>
      <c r="BP86" s="7">
        <f t="shared" ca="1" si="134"/>
        <v>0</v>
      </c>
    </row>
    <row r="87" spans="1:68" ht="14.25">
      <c r="A87" s="23">
        <f t="shared" si="146"/>
        <v>4</v>
      </c>
      <c r="B87" s="9" t="str">
        <f ca="1">IF(A87="","",IF(ISNA(MATCH(A$3&amp;$AK87,Asta!$AJ:$AJ,0)),"",INDIRECT("Asta!AA"&amp;MATCH(A$3&amp;$AK87,Asta!$AJ:$AJ,0))))</f>
        <v/>
      </c>
      <c r="C87" s="9" t="str">
        <f ca="1">IF(B87="","",IF(ISNA(MATCH(A$3&amp;$AK87,Asta!$AJ:$AJ,0)),"",INDIRECT("Asta!AH"&amp;MATCH(A$3&amp;$AK87,Asta!$AJ:$AJ,0))))</f>
        <v/>
      </c>
      <c r="D87" s="23">
        <f t="shared" si="119"/>
        <v>4</v>
      </c>
      <c r="E87" s="9" t="str">
        <f ca="1">IF(D87="","",IF(ISNA(MATCH(D$3&amp;$AK87,Asta!$AJ:$AJ,0)),"",INDIRECT("Asta!AA"&amp;MATCH(D$3&amp;$AK87,Asta!$AJ:$AJ,0))))</f>
        <v/>
      </c>
      <c r="F87" s="9" t="str">
        <f ca="1">IF(E87="","",IF(ISNA(MATCH(D$3&amp;$AK87,Asta!$AJ:$AJ,0)),"",INDIRECT("Asta!AH"&amp;MATCH(D$3&amp;$AK87,Asta!$AJ:$AJ,0))))</f>
        <v/>
      </c>
      <c r="G87" s="23">
        <f t="shared" si="147"/>
        <v>4</v>
      </c>
      <c r="H87" s="9" t="str">
        <f ca="1">IF(G87="","",IF(ISNA(MATCH(G$3&amp;$AK87,Asta!$AJ:$AJ,0)),"",INDIRECT("Asta!AA"&amp;MATCH(G$3&amp;$AK87,Asta!$AJ:$AJ,0))))</f>
        <v/>
      </c>
      <c r="I87" s="9" t="str">
        <f ca="1">IF(H87="","",IF(ISNA(MATCH(G$3&amp;$AK87,Asta!$AJ:$AJ,0)),"",INDIRECT("Asta!AH"&amp;MATCH(G$3&amp;$AK87,Asta!$AJ:$AJ,0))))</f>
        <v/>
      </c>
      <c r="J87" s="23">
        <f t="shared" si="148"/>
        <v>4</v>
      </c>
      <c r="K87" s="9" t="str">
        <f ca="1">IF(J87="","",IF(ISNA(MATCH(J$3&amp;$AK87,Asta!$AJ:$AJ,0)),"",INDIRECT("Asta!AA"&amp;MATCH(J$3&amp;$AK87,Asta!$AJ:$AJ,0))))</f>
        <v/>
      </c>
      <c r="L87" s="9" t="str">
        <f ca="1">IF(K87="","",IF(ISNA(MATCH(J$3&amp;$AK87,Asta!$AJ:$AJ,0)),"",INDIRECT("Asta!AH"&amp;MATCH(J$3&amp;$AK87,Asta!$AJ:$AJ,0))))</f>
        <v/>
      </c>
      <c r="M87" s="23">
        <f t="shared" si="149"/>
        <v>4</v>
      </c>
      <c r="N87" s="9" t="str">
        <f ca="1">IF(M87="","",IF(ISNA(MATCH(M$3&amp;$AK87,Asta!$AJ:$AJ,0)),"",INDIRECT("Asta!AA"&amp;MATCH(M$3&amp;$AK87,Asta!$AJ:$AJ,0))))</f>
        <v/>
      </c>
      <c r="O87" s="9" t="str">
        <f ca="1">IF(N87="","",IF(ISNA(MATCH(M$3&amp;$AK87,Asta!$AJ:$AJ,0)),"",INDIRECT("Asta!AH"&amp;MATCH(M$3&amp;$AK87,Asta!$AJ:$AJ,0))))</f>
        <v/>
      </c>
      <c r="P87" s="23">
        <f t="shared" si="150"/>
        <v>4</v>
      </c>
      <c r="Q87" s="9" t="str">
        <f ca="1">IF(P87="","",IF(ISNA(MATCH(P$3&amp;$AK87,Asta!$AJ:$AJ,0)),"",INDIRECT("Asta!AA"&amp;MATCH(P$3&amp;$AK87,Asta!$AJ:$AJ,0))))</f>
        <v/>
      </c>
      <c r="R87" s="9" t="str">
        <f ca="1">IF(Q87="","",IF(ISNA(MATCH(P$3&amp;$AK87,Asta!$AJ:$AJ,0)),"",INDIRECT("Asta!AH"&amp;MATCH(P$3&amp;$AK87,Asta!$AJ:$AJ,0))))</f>
        <v/>
      </c>
      <c r="S87" s="23">
        <f t="shared" si="151"/>
        <v>4</v>
      </c>
      <c r="T87" s="9" t="str">
        <f ca="1">IF(S87="","",IF(ISNA(MATCH(S$3&amp;$AK87,Asta!$AJ:$AJ,0)),"",INDIRECT("Asta!AA"&amp;MATCH(S$3&amp;$AK87,Asta!$AJ:$AJ,0))))</f>
        <v/>
      </c>
      <c r="U87" s="9" t="str">
        <f ca="1">IF(T87="","",IF(ISNA(MATCH(S$3&amp;$AK87,Asta!$AJ:$AJ,0)),"",INDIRECT("Asta!AH"&amp;MATCH(S$3&amp;$AK87,Asta!$AJ:$AJ,0))))</f>
        <v/>
      </c>
      <c r="V87" s="23">
        <f t="shared" si="152"/>
        <v>4</v>
      </c>
      <c r="W87" s="9" t="str">
        <f ca="1">IF(V87="","",IF(ISNA(MATCH(V$3&amp;$AK87,Asta!$AJ:$AJ,0)),"",INDIRECT("Asta!AA"&amp;MATCH(V$3&amp;$AK87,Asta!$AJ:$AJ,0))))</f>
        <v/>
      </c>
      <c r="X87" s="9" t="str">
        <f ca="1">IF(W87="","",IF(ISNA(MATCH(V$3&amp;$AK87,Asta!$AJ:$AJ,0)),"",INDIRECT("Asta!AH"&amp;MATCH(V$3&amp;$AK87,Asta!$AJ:$AJ,0))))</f>
        <v/>
      </c>
      <c r="Y87" s="23">
        <f t="shared" si="153"/>
        <v>4</v>
      </c>
      <c r="Z87" s="9" t="str">
        <f ca="1">IF(Y87="","",IF(ISNA(MATCH(Y$3&amp;$AK87,Asta!$AJ:$AJ,0)),"",INDIRECT("Asta!AA"&amp;MATCH(Y$3&amp;$AK87,Asta!$AJ:$AJ,0))))</f>
        <v/>
      </c>
      <c r="AA87" s="9" t="str">
        <f ca="1">IF(Z87="","",IF(ISNA(MATCH(Y$3&amp;$AK87,Asta!$AJ:$AJ,0)),"",INDIRECT("Asta!AH"&amp;MATCH(Y$3&amp;$AK87,Asta!$AJ:$AJ,0))))</f>
        <v/>
      </c>
      <c r="AB87" s="23">
        <f t="shared" si="154"/>
        <v>4</v>
      </c>
      <c r="AC87" s="9" t="str">
        <f ca="1">IF(AB87="","",IF(ISNA(MATCH(AB$3&amp;$AK87,Asta!$AJ:$AJ,0)),"",INDIRECT("Asta!AA"&amp;MATCH(AB$3&amp;$AK87,Asta!$AJ:$AJ,0))))</f>
        <v/>
      </c>
      <c r="AD87" s="9" t="str">
        <f ca="1">IF(AC87="","",IF(ISNA(MATCH(AB$3&amp;$AK87,Asta!$AJ:$AJ,0)),"",INDIRECT("Asta!AH"&amp;MATCH(AB$3&amp;$AK87,Asta!$AJ:$AJ,0))))</f>
        <v/>
      </c>
      <c r="AE87" s="23">
        <f t="shared" si="155"/>
        <v>4</v>
      </c>
      <c r="AF87" s="9" t="str">
        <f ca="1">IF(AE87="","",IF(ISNA(MATCH(AE$3&amp;$AK87,Asta!$AJ:$AJ,0)),"",INDIRECT("Asta!AA"&amp;MATCH(AE$3&amp;$AK87,Asta!$AJ:$AJ,0))))</f>
        <v/>
      </c>
      <c r="AG87" s="9" t="str">
        <f ca="1">IF(AF87="","",IF(ISNA(MATCH(AE$3&amp;$AK87,Asta!$AJ:$AJ,0)),"",INDIRECT("Asta!AH"&amp;MATCH(AE$3&amp;$AK87,Asta!$AJ:$AJ,0))))</f>
        <v/>
      </c>
      <c r="AH87" s="23">
        <f t="shared" si="156"/>
        <v>4</v>
      </c>
      <c r="AI87" s="9" t="str">
        <f ca="1">IF(AH87="","",IF(ISNA(MATCH(AH$3&amp;$AK87,Asta!$AJ:$AJ,0)),"",INDIRECT("Asta!AA"&amp;MATCH(AH$3&amp;$AK87,Asta!$AJ:$AJ,0))))</f>
        <v/>
      </c>
      <c r="AJ87" s="9" t="str">
        <f ca="1">IF(AI87="","",IF(ISNA(MATCH(AH$3&amp;$AK87,Asta!$AJ:$AJ,0)),"",INDIRECT("Asta!AH"&amp;MATCH(AH$3&amp;$AK87,Asta!$AJ:$AJ,0))))</f>
        <v/>
      </c>
      <c r="AK87" s="23">
        <f t="shared" si="160"/>
        <v>4</v>
      </c>
      <c r="AM87" s="221"/>
      <c r="AN87" s="231" t="str">
        <f ca="1">IF(Giocatori!E94=0,"",Giocatori!E94)</f>
        <v/>
      </c>
      <c r="AO87" s="221"/>
      <c r="AP87" s="231" t="str">
        <f ca="1">IF(Giocatori!H94=0,"",Giocatori!H94)</f>
        <v>GONZALEZ G</v>
      </c>
      <c r="AQ87" s="221"/>
      <c r="AR87" s="231" t="str">
        <f ca="1">IF(Giocatori!K94=0,"",Giocatori!K94)</f>
        <v>IONITA</v>
      </c>
      <c r="AS87" s="221"/>
      <c r="AT87" s="231" t="str">
        <f ca="1">IF(Giocatori!N94=0,"",Giocatori!N94)</f>
        <v>RICCI</v>
      </c>
      <c r="AU87" s="221"/>
      <c r="AV87" s="231" t="str">
        <f ca="1">IF(Giocatori!Q94=0,"",Giocatori!Q94)</f>
        <v/>
      </c>
      <c r="AX87" t="str">
        <f t="shared" ca="1" si="120"/>
        <v/>
      </c>
      <c r="AY87" s="7">
        <f t="shared" ca="1" si="97"/>
        <v>65</v>
      </c>
      <c r="AZ87" s="7">
        <f t="shared" ca="1" si="121"/>
        <v>0</v>
      </c>
      <c r="BA87" s="4" t="str">
        <f t="shared" ca="1" si="157"/>
        <v/>
      </c>
      <c r="BB87" t="str">
        <f t="shared" ca="1" si="123"/>
        <v>GONZALEZ G</v>
      </c>
      <c r="BC87" s="7">
        <f t="shared" ca="1" si="108"/>
        <v>87</v>
      </c>
      <c r="BD87" s="7" t="str">
        <f t="shared" ca="1" si="124"/>
        <v>GONZALEZ G</v>
      </c>
      <c r="BE87" s="4" t="str">
        <f t="shared" ca="1" si="158"/>
        <v/>
      </c>
      <c r="BF87" t="str">
        <f t="shared" ca="1" si="126"/>
        <v>IONITA</v>
      </c>
      <c r="BG87" s="7">
        <f t="shared" ca="1" si="109"/>
        <v>87</v>
      </c>
      <c r="BH87" s="7" t="str">
        <f t="shared" ca="1" si="127"/>
        <v>IONITA</v>
      </c>
      <c r="BI87" s="4" t="str">
        <f t="shared" ca="1" si="159"/>
        <v/>
      </c>
      <c r="BJ87" t="str">
        <f t="shared" ca="1" si="129"/>
        <v>RICCI</v>
      </c>
      <c r="BK87" s="7">
        <f t="shared" ca="1" si="110"/>
        <v>87</v>
      </c>
      <c r="BL87" s="7" t="str">
        <f t="shared" ca="1" si="130"/>
        <v>RICCI</v>
      </c>
      <c r="BM87" s="4" t="str">
        <f t="shared" ca="1" si="161"/>
        <v/>
      </c>
      <c r="BN87" t="str">
        <f t="shared" ca="1" si="132"/>
        <v/>
      </c>
      <c r="BO87" s="7">
        <f t="shared" ca="1" si="133"/>
        <v>1</v>
      </c>
      <c r="BP87" s="7">
        <f t="shared" ca="1" si="134"/>
        <v>0</v>
      </c>
    </row>
    <row r="88" spans="1:68" ht="14.25">
      <c r="A88" s="23">
        <f t="shared" si="146"/>
        <v>5</v>
      </c>
      <c r="B88" s="9" t="str">
        <f ca="1">IF(A88="","",IF(ISNA(MATCH(A$3&amp;$AK88,Asta!$AJ:$AJ,0)),"",INDIRECT("Asta!AA"&amp;MATCH(A$3&amp;$AK88,Asta!$AJ:$AJ,0))))</f>
        <v/>
      </c>
      <c r="C88" s="9" t="str">
        <f ca="1">IF(B88="","",IF(ISNA(MATCH(A$3&amp;$AK88,Asta!$AJ:$AJ,0)),"",INDIRECT("Asta!AH"&amp;MATCH(A$3&amp;$AK88,Asta!$AJ:$AJ,0))))</f>
        <v/>
      </c>
      <c r="D88" s="23">
        <f t="shared" si="119"/>
        <v>5</v>
      </c>
      <c r="E88" s="9" t="str">
        <f ca="1">IF(D88="","",IF(ISNA(MATCH(D$3&amp;$AK88,Asta!$AJ:$AJ,0)),"",INDIRECT("Asta!AA"&amp;MATCH(D$3&amp;$AK88,Asta!$AJ:$AJ,0))))</f>
        <v/>
      </c>
      <c r="F88" s="9" t="str">
        <f ca="1">IF(E88="","",IF(ISNA(MATCH(D$3&amp;$AK88,Asta!$AJ:$AJ,0)),"",INDIRECT("Asta!AH"&amp;MATCH(D$3&amp;$AK88,Asta!$AJ:$AJ,0))))</f>
        <v/>
      </c>
      <c r="G88" s="23">
        <f t="shared" ref="G88:G93" si="162">D88</f>
        <v>5</v>
      </c>
      <c r="H88" s="9" t="str">
        <f ca="1">IF(G88="","",IF(ISNA(MATCH(G$3&amp;$AK88,Asta!$AJ:$AJ,0)),"",INDIRECT("Asta!AA"&amp;MATCH(G$3&amp;$AK88,Asta!$AJ:$AJ,0))))</f>
        <v/>
      </c>
      <c r="I88" s="9" t="str">
        <f ca="1">IF(H88="","",IF(ISNA(MATCH(G$3&amp;$AK88,Asta!$AJ:$AJ,0)),"",INDIRECT("Asta!AH"&amp;MATCH(G$3&amp;$AK88,Asta!$AJ:$AJ,0))))</f>
        <v/>
      </c>
      <c r="J88" s="23">
        <f t="shared" ref="J88:J93" si="163">G88</f>
        <v>5</v>
      </c>
      <c r="K88" s="9" t="str">
        <f ca="1">IF(J88="","",IF(ISNA(MATCH(J$3&amp;$AK88,Asta!$AJ:$AJ,0)),"",INDIRECT("Asta!AA"&amp;MATCH(J$3&amp;$AK88,Asta!$AJ:$AJ,0))))</f>
        <v/>
      </c>
      <c r="L88" s="9" t="str">
        <f ca="1">IF(K88="","",IF(ISNA(MATCH(J$3&amp;$AK88,Asta!$AJ:$AJ,0)),"",INDIRECT("Asta!AH"&amp;MATCH(J$3&amp;$AK88,Asta!$AJ:$AJ,0))))</f>
        <v/>
      </c>
      <c r="M88" s="23">
        <f t="shared" ref="M88:M93" si="164">J88</f>
        <v>5</v>
      </c>
      <c r="N88" s="9" t="str">
        <f ca="1">IF(M88="","",IF(ISNA(MATCH(M$3&amp;$AK88,Asta!$AJ:$AJ,0)),"",INDIRECT("Asta!AA"&amp;MATCH(M$3&amp;$AK88,Asta!$AJ:$AJ,0))))</f>
        <v/>
      </c>
      <c r="O88" s="9" t="str">
        <f ca="1">IF(N88="","",IF(ISNA(MATCH(M$3&amp;$AK88,Asta!$AJ:$AJ,0)),"",INDIRECT("Asta!AH"&amp;MATCH(M$3&amp;$AK88,Asta!$AJ:$AJ,0))))</f>
        <v/>
      </c>
      <c r="P88" s="23">
        <f t="shared" ref="P88:P93" si="165">M88</f>
        <v>5</v>
      </c>
      <c r="Q88" s="9" t="str">
        <f ca="1">IF(P88="","",IF(ISNA(MATCH(P$3&amp;$AK88,Asta!$AJ:$AJ,0)),"",INDIRECT("Asta!AA"&amp;MATCH(P$3&amp;$AK88,Asta!$AJ:$AJ,0))))</f>
        <v/>
      </c>
      <c r="R88" s="9" t="str">
        <f ca="1">IF(Q88="","",IF(ISNA(MATCH(P$3&amp;$AK88,Asta!$AJ:$AJ,0)),"",INDIRECT("Asta!AH"&amp;MATCH(P$3&amp;$AK88,Asta!$AJ:$AJ,0))))</f>
        <v/>
      </c>
      <c r="S88" s="23">
        <f t="shared" ref="S88:S93" si="166">P88</f>
        <v>5</v>
      </c>
      <c r="T88" s="9" t="str">
        <f ca="1">IF(S88="","",IF(ISNA(MATCH(S$3&amp;$AK88,Asta!$AJ:$AJ,0)),"",INDIRECT("Asta!AA"&amp;MATCH(S$3&amp;$AK88,Asta!$AJ:$AJ,0))))</f>
        <v/>
      </c>
      <c r="U88" s="9" t="str">
        <f ca="1">IF(T88="","",IF(ISNA(MATCH(S$3&amp;$AK88,Asta!$AJ:$AJ,0)),"",INDIRECT("Asta!AH"&amp;MATCH(S$3&amp;$AK88,Asta!$AJ:$AJ,0))))</f>
        <v/>
      </c>
      <c r="V88" s="23">
        <f t="shared" ref="V88:V93" si="167">S88</f>
        <v>5</v>
      </c>
      <c r="W88" s="9" t="str">
        <f ca="1">IF(V88="","",IF(ISNA(MATCH(V$3&amp;$AK88,Asta!$AJ:$AJ,0)),"",INDIRECT("Asta!AA"&amp;MATCH(V$3&amp;$AK88,Asta!$AJ:$AJ,0))))</f>
        <v/>
      </c>
      <c r="X88" s="9" t="str">
        <f ca="1">IF(W88="","",IF(ISNA(MATCH(V$3&amp;$AK88,Asta!$AJ:$AJ,0)),"",INDIRECT("Asta!AH"&amp;MATCH(V$3&amp;$AK88,Asta!$AJ:$AJ,0))))</f>
        <v/>
      </c>
      <c r="Y88" s="23">
        <f t="shared" ref="Y88:Y93" si="168">V88</f>
        <v>5</v>
      </c>
      <c r="Z88" s="9" t="str">
        <f ca="1">IF(Y88="","",IF(ISNA(MATCH(Y$3&amp;$AK88,Asta!$AJ:$AJ,0)),"",INDIRECT("Asta!AA"&amp;MATCH(Y$3&amp;$AK88,Asta!$AJ:$AJ,0))))</f>
        <v/>
      </c>
      <c r="AA88" s="9" t="str">
        <f ca="1">IF(Z88="","",IF(ISNA(MATCH(Y$3&amp;$AK88,Asta!$AJ:$AJ,0)),"",INDIRECT("Asta!AH"&amp;MATCH(Y$3&amp;$AK88,Asta!$AJ:$AJ,0))))</f>
        <v/>
      </c>
      <c r="AB88" s="23">
        <f t="shared" ref="AB88:AB93" si="169">Y88</f>
        <v>5</v>
      </c>
      <c r="AC88" s="9" t="str">
        <f ca="1">IF(AB88="","",IF(ISNA(MATCH(AB$3&amp;$AK88,Asta!$AJ:$AJ,0)),"",INDIRECT("Asta!AA"&amp;MATCH(AB$3&amp;$AK88,Asta!$AJ:$AJ,0))))</f>
        <v/>
      </c>
      <c r="AD88" s="9" t="str">
        <f ca="1">IF(AC88="","",IF(ISNA(MATCH(AB$3&amp;$AK88,Asta!$AJ:$AJ,0)),"",INDIRECT("Asta!AH"&amp;MATCH(AB$3&amp;$AK88,Asta!$AJ:$AJ,0))))</f>
        <v/>
      </c>
      <c r="AE88" s="23">
        <f t="shared" ref="AE88:AE93" si="170">AB88</f>
        <v>5</v>
      </c>
      <c r="AF88" s="9" t="str">
        <f ca="1">IF(AE88="","",IF(ISNA(MATCH(AE$3&amp;$AK88,Asta!$AJ:$AJ,0)),"",INDIRECT("Asta!AA"&amp;MATCH(AE$3&amp;$AK88,Asta!$AJ:$AJ,0))))</f>
        <v/>
      </c>
      <c r="AG88" s="9" t="str">
        <f ca="1">IF(AF88="","",IF(ISNA(MATCH(AE$3&amp;$AK88,Asta!$AJ:$AJ,0)),"",INDIRECT("Asta!AH"&amp;MATCH(AE$3&amp;$AK88,Asta!$AJ:$AJ,0))))</f>
        <v/>
      </c>
      <c r="AH88" s="23">
        <f t="shared" ref="AH88:AH93" si="171">AE88</f>
        <v>5</v>
      </c>
      <c r="AI88" s="9" t="str">
        <f ca="1">IF(AH88="","",IF(ISNA(MATCH(AH$3&amp;$AK88,Asta!$AJ:$AJ,0)),"",INDIRECT("Asta!AA"&amp;MATCH(AH$3&amp;$AK88,Asta!$AJ:$AJ,0))))</f>
        <v/>
      </c>
      <c r="AJ88" s="9" t="str">
        <f ca="1">IF(AI88="","",IF(ISNA(MATCH(AH$3&amp;$AK88,Asta!$AJ:$AJ,0)),"",INDIRECT("Asta!AH"&amp;MATCH(AH$3&amp;$AK88,Asta!$AJ:$AJ,0))))</f>
        <v/>
      </c>
      <c r="AK88" s="23">
        <f t="shared" si="160"/>
        <v>5</v>
      </c>
      <c r="AM88" s="221"/>
      <c r="AN88" s="231" t="str">
        <f ca="1">IF(Giocatori!E95=0,"",Giocatori!E95)</f>
        <v/>
      </c>
      <c r="AO88" s="221"/>
      <c r="AP88" s="231" t="str">
        <f ca="1">IF(Giocatori!H95=0,"",Giocatori!H95)</f>
        <v>GOSENS</v>
      </c>
      <c r="AQ88" s="221"/>
      <c r="AR88" s="231" t="str">
        <f ca="1">IF(Giocatori!K95=0,"",Giocatori!K95)</f>
        <v>IZCO</v>
      </c>
      <c r="AS88" s="221"/>
      <c r="AT88" s="231" t="str">
        <f ca="1">IF(Giocatori!N95=0,"",Giocatori!N95)</f>
        <v>SADIQ</v>
      </c>
      <c r="AU88" s="221"/>
      <c r="AV88" s="231" t="str">
        <f ca="1">IF(Giocatori!Q95=0,"",Giocatori!Q95)</f>
        <v/>
      </c>
      <c r="AX88" t="str">
        <f t="shared" ca="1" si="120"/>
        <v/>
      </c>
      <c r="AY88" s="7">
        <f t="shared" ca="1" si="97"/>
        <v>65</v>
      </c>
      <c r="AZ88" s="7">
        <f t="shared" ca="1" si="121"/>
        <v>0</v>
      </c>
      <c r="BA88" s="4" t="str">
        <f t="shared" ca="1" si="157"/>
        <v/>
      </c>
      <c r="BB88" t="str">
        <f t="shared" ca="1" si="123"/>
        <v>GOSENS</v>
      </c>
      <c r="BC88" s="7">
        <f t="shared" ca="1" si="108"/>
        <v>88</v>
      </c>
      <c r="BD88" s="7" t="str">
        <f t="shared" ca="1" si="124"/>
        <v>GOSENS</v>
      </c>
      <c r="BE88" s="4" t="str">
        <f t="shared" ca="1" si="158"/>
        <v/>
      </c>
      <c r="BF88" t="str">
        <f t="shared" ca="1" si="126"/>
        <v>IZCO</v>
      </c>
      <c r="BG88" s="7">
        <f t="shared" ca="1" si="109"/>
        <v>88</v>
      </c>
      <c r="BH88" s="7" t="str">
        <f t="shared" ca="1" si="127"/>
        <v>IZCO</v>
      </c>
      <c r="BI88" s="4" t="str">
        <f t="shared" ca="1" si="159"/>
        <v/>
      </c>
      <c r="BJ88" t="str">
        <f t="shared" ca="1" si="129"/>
        <v>SADIQ</v>
      </c>
      <c r="BK88" s="7">
        <f t="shared" ca="1" si="110"/>
        <v>88</v>
      </c>
      <c r="BL88" s="7" t="str">
        <f t="shared" ca="1" si="130"/>
        <v>SADIQ</v>
      </c>
      <c r="BM88" s="4" t="str">
        <f t="shared" ca="1" si="161"/>
        <v/>
      </c>
      <c r="BN88" t="str">
        <f t="shared" ca="1" si="132"/>
        <v/>
      </c>
      <c r="BO88" s="7">
        <f t="shared" ca="1" si="133"/>
        <v>1</v>
      </c>
      <c r="BP88" s="7">
        <f t="shared" ca="1" si="134"/>
        <v>0</v>
      </c>
    </row>
    <row r="89" spans="1:68" ht="14.25">
      <c r="A89" s="23">
        <f t="shared" si="146"/>
        <v>6</v>
      </c>
      <c r="B89" s="9" t="str">
        <f ca="1">IF(A89="","",IF(ISNA(MATCH(A$3&amp;$AK89,Asta!$AJ:$AJ,0)),"",INDIRECT("Asta!AA"&amp;MATCH(A$3&amp;$AK89,Asta!$AJ:$AJ,0))))</f>
        <v/>
      </c>
      <c r="C89" s="9" t="str">
        <f ca="1">IF(B89="","",IF(ISNA(MATCH(A$3&amp;$AK89,Asta!$AJ:$AJ,0)),"",INDIRECT("Asta!AH"&amp;MATCH(A$3&amp;$AK89,Asta!$AJ:$AJ,0))))</f>
        <v/>
      </c>
      <c r="D89" s="23">
        <f t="shared" si="119"/>
        <v>6</v>
      </c>
      <c r="E89" s="9" t="str">
        <f ca="1">IF(D89="","",IF(ISNA(MATCH(D$3&amp;$AK89,Asta!$AJ:$AJ,0)),"",INDIRECT("Asta!AA"&amp;MATCH(D$3&amp;$AK89,Asta!$AJ:$AJ,0))))</f>
        <v/>
      </c>
      <c r="F89" s="9" t="str">
        <f ca="1">IF(E89="","",IF(ISNA(MATCH(D$3&amp;$AK89,Asta!$AJ:$AJ,0)),"",INDIRECT("Asta!AH"&amp;MATCH(D$3&amp;$AK89,Asta!$AJ:$AJ,0))))</f>
        <v/>
      </c>
      <c r="G89" s="23">
        <f t="shared" si="162"/>
        <v>6</v>
      </c>
      <c r="H89" s="9" t="str">
        <f ca="1">IF(G89="","",IF(ISNA(MATCH(G$3&amp;$AK89,Asta!$AJ:$AJ,0)),"",INDIRECT("Asta!AA"&amp;MATCH(G$3&amp;$AK89,Asta!$AJ:$AJ,0))))</f>
        <v/>
      </c>
      <c r="I89" s="9" t="str">
        <f ca="1">IF(H89="","",IF(ISNA(MATCH(G$3&amp;$AK89,Asta!$AJ:$AJ,0)),"",INDIRECT("Asta!AH"&amp;MATCH(G$3&amp;$AK89,Asta!$AJ:$AJ,0))))</f>
        <v/>
      </c>
      <c r="J89" s="23">
        <f t="shared" si="163"/>
        <v>6</v>
      </c>
      <c r="K89" s="9" t="str">
        <f ca="1">IF(J89="","",IF(ISNA(MATCH(J$3&amp;$AK89,Asta!$AJ:$AJ,0)),"",INDIRECT("Asta!AA"&amp;MATCH(J$3&amp;$AK89,Asta!$AJ:$AJ,0))))</f>
        <v/>
      </c>
      <c r="L89" s="9" t="str">
        <f ca="1">IF(K89="","",IF(ISNA(MATCH(J$3&amp;$AK89,Asta!$AJ:$AJ,0)),"",INDIRECT("Asta!AH"&amp;MATCH(J$3&amp;$AK89,Asta!$AJ:$AJ,0))))</f>
        <v/>
      </c>
      <c r="M89" s="23">
        <f t="shared" si="164"/>
        <v>6</v>
      </c>
      <c r="N89" s="9" t="str">
        <f ca="1">IF(M89="","",IF(ISNA(MATCH(M$3&amp;$AK89,Asta!$AJ:$AJ,0)),"",INDIRECT("Asta!AA"&amp;MATCH(M$3&amp;$AK89,Asta!$AJ:$AJ,0))))</f>
        <v/>
      </c>
      <c r="O89" s="9" t="str">
        <f ca="1">IF(N89="","",IF(ISNA(MATCH(M$3&amp;$AK89,Asta!$AJ:$AJ,0)),"",INDIRECT("Asta!AH"&amp;MATCH(M$3&amp;$AK89,Asta!$AJ:$AJ,0))))</f>
        <v/>
      </c>
      <c r="P89" s="23">
        <f t="shared" si="165"/>
        <v>6</v>
      </c>
      <c r="Q89" s="9" t="str">
        <f ca="1">IF(P89="","",IF(ISNA(MATCH(P$3&amp;$AK89,Asta!$AJ:$AJ,0)),"",INDIRECT("Asta!AA"&amp;MATCH(P$3&amp;$AK89,Asta!$AJ:$AJ,0))))</f>
        <v/>
      </c>
      <c r="R89" s="9" t="str">
        <f ca="1">IF(Q89="","",IF(ISNA(MATCH(P$3&amp;$AK89,Asta!$AJ:$AJ,0)),"",INDIRECT("Asta!AH"&amp;MATCH(P$3&amp;$AK89,Asta!$AJ:$AJ,0))))</f>
        <v/>
      </c>
      <c r="S89" s="23">
        <f t="shared" si="166"/>
        <v>6</v>
      </c>
      <c r="T89" s="9" t="str">
        <f ca="1">IF(S89="","",IF(ISNA(MATCH(S$3&amp;$AK89,Asta!$AJ:$AJ,0)),"",INDIRECT("Asta!AA"&amp;MATCH(S$3&amp;$AK89,Asta!$AJ:$AJ,0))))</f>
        <v/>
      </c>
      <c r="U89" s="9" t="str">
        <f ca="1">IF(T89="","",IF(ISNA(MATCH(S$3&amp;$AK89,Asta!$AJ:$AJ,0)),"",INDIRECT("Asta!AH"&amp;MATCH(S$3&amp;$AK89,Asta!$AJ:$AJ,0))))</f>
        <v/>
      </c>
      <c r="V89" s="23">
        <f t="shared" si="167"/>
        <v>6</v>
      </c>
      <c r="W89" s="9" t="str">
        <f ca="1">IF(V89="","",IF(ISNA(MATCH(V$3&amp;$AK89,Asta!$AJ:$AJ,0)),"",INDIRECT("Asta!AA"&amp;MATCH(V$3&amp;$AK89,Asta!$AJ:$AJ,0))))</f>
        <v/>
      </c>
      <c r="X89" s="9" t="str">
        <f ca="1">IF(W89="","",IF(ISNA(MATCH(V$3&amp;$AK89,Asta!$AJ:$AJ,0)),"",INDIRECT("Asta!AH"&amp;MATCH(V$3&amp;$AK89,Asta!$AJ:$AJ,0))))</f>
        <v/>
      </c>
      <c r="Y89" s="23">
        <f t="shared" si="168"/>
        <v>6</v>
      </c>
      <c r="Z89" s="9" t="str">
        <f ca="1">IF(Y89="","",IF(ISNA(MATCH(Y$3&amp;$AK89,Asta!$AJ:$AJ,0)),"",INDIRECT("Asta!AA"&amp;MATCH(Y$3&amp;$AK89,Asta!$AJ:$AJ,0))))</f>
        <v/>
      </c>
      <c r="AA89" s="9" t="str">
        <f ca="1">IF(Z89="","",IF(ISNA(MATCH(Y$3&amp;$AK89,Asta!$AJ:$AJ,0)),"",INDIRECT("Asta!AH"&amp;MATCH(Y$3&amp;$AK89,Asta!$AJ:$AJ,0))))</f>
        <v/>
      </c>
      <c r="AB89" s="23">
        <f t="shared" si="169"/>
        <v>6</v>
      </c>
      <c r="AC89" s="9" t="str">
        <f ca="1">IF(AB89="","",IF(ISNA(MATCH(AB$3&amp;$AK89,Asta!$AJ:$AJ,0)),"",INDIRECT("Asta!AA"&amp;MATCH(AB$3&amp;$AK89,Asta!$AJ:$AJ,0))))</f>
        <v/>
      </c>
      <c r="AD89" s="9" t="str">
        <f ca="1">IF(AC89="","",IF(ISNA(MATCH(AB$3&amp;$AK89,Asta!$AJ:$AJ,0)),"",INDIRECT("Asta!AH"&amp;MATCH(AB$3&amp;$AK89,Asta!$AJ:$AJ,0))))</f>
        <v/>
      </c>
      <c r="AE89" s="23">
        <f t="shared" si="170"/>
        <v>6</v>
      </c>
      <c r="AF89" s="9" t="str">
        <f ca="1">IF(AE89="","",IF(ISNA(MATCH(AE$3&amp;$AK89,Asta!$AJ:$AJ,0)),"",INDIRECT("Asta!AA"&amp;MATCH(AE$3&amp;$AK89,Asta!$AJ:$AJ,0))))</f>
        <v/>
      </c>
      <c r="AG89" s="9" t="str">
        <f ca="1">IF(AF89="","",IF(ISNA(MATCH(AE$3&amp;$AK89,Asta!$AJ:$AJ,0)),"",INDIRECT("Asta!AH"&amp;MATCH(AE$3&amp;$AK89,Asta!$AJ:$AJ,0))))</f>
        <v/>
      </c>
      <c r="AH89" s="23">
        <f t="shared" si="171"/>
        <v>6</v>
      </c>
      <c r="AI89" s="9" t="str">
        <f ca="1">IF(AH89="","",IF(ISNA(MATCH(AH$3&amp;$AK89,Asta!$AJ:$AJ,0)),"",INDIRECT("Asta!AA"&amp;MATCH(AH$3&amp;$AK89,Asta!$AJ:$AJ,0))))</f>
        <v/>
      </c>
      <c r="AJ89" s="9" t="str">
        <f ca="1">IF(AI89="","",IF(ISNA(MATCH(AH$3&amp;$AK89,Asta!$AJ:$AJ,0)),"",INDIRECT("Asta!AH"&amp;MATCH(AH$3&amp;$AK89,Asta!$AJ:$AJ,0))))</f>
        <v/>
      </c>
      <c r="AK89" s="23">
        <f t="shared" si="160"/>
        <v>6</v>
      </c>
      <c r="AM89" s="221"/>
      <c r="AN89" s="231" t="str">
        <f ca="1">IF(Giocatori!E96=0,"",Giocatori!E96)</f>
        <v/>
      </c>
      <c r="AO89" s="221"/>
      <c r="AP89" s="231" t="str">
        <f ca="1">IF(Giocatori!H96=0,"",Giocatori!H96)</f>
        <v>GRAVILLON</v>
      </c>
      <c r="AQ89" s="221"/>
      <c r="AR89" s="231" t="str">
        <f ca="1">IF(Giocatori!K96=0,"",Giocatori!K96)</f>
        <v>JANKTO</v>
      </c>
      <c r="AS89" s="221"/>
      <c r="AT89" s="231" t="str">
        <f ca="1">IF(Giocatori!N96=0,"",Giocatori!N96)</f>
        <v>SALCEDO MORA</v>
      </c>
      <c r="AU89" s="221"/>
      <c r="AV89" s="231" t="str">
        <f ca="1">IF(Giocatori!Q96=0,"",Giocatori!Q96)</f>
        <v/>
      </c>
      <c r="AX89" t="str">
        <f t="shared" ca="1" si="120"/>
        <v/>
      </c>
      <c r="AY89" s="7">
        <f t="shared" ca="1" si="97"/>
        <v>65</v>
      </c>
      <c r="AZ89" s="7">
        <f t="shared" ca="1" si="121"/>
        <v>0</v>
      </c>
      <c r="BA89" s="4" t="str">
        <f t="shared" ca="1" si="157"/>
        <v/>
      </c>
      <c r="BB89" t="str">
        <f t="shared" ca="1" si="123"/>
        <v>GRAVILLON</v>
      </c>
      <c r="BC89" s="7">
        <f t="shared" ca="1" si="108"/>
        <v>89</v>
      </c>
      <c r="BD89" s="7" t="str">
        <f t="shared" ca="1" si="124"/>
        <v>GRAVILLON</v>
      </c>
      <c r="BE89" s="4" t="str">
        <f t="shared" ca="1" si="158"/>
        <v/>
      </c>
      <c r="BF89" t="str">
        <f t="shared" ca="1" si="126"/>
        <v>JANKTO</v>
      </c>
      <c r="BG89" s="7">
        <f t="shared" ca="1" si="109"/>
        <v>89</v>
      </c>
      <c r="BH89" s="7" t="str">
        <f t="shared" ca="1" si="127"/>
        <v>JANKTO</v>
      </c>
      <c r="BI89" s="4" t="str">
        <f t="shared" ca="1" si="159"/>
        <v/>
      </c>
      <c r="BJ89" t="str">
        <f t="shared" ca="1" si="129"/>
        <v>SALCEDO MORA</v>
      </c>
      <c r="BK89" s="7">
        <f t="shared" ca="1" si="110"/>
        <v>89</v>
      </c>
      <c r="BL89" s="7" t="str">
        <f t="shared" ca="1" si="130"/>
        <v>SALCEDO MORA</v>
      </c>
      <c r="BM89" s="4" t="str">
        <f t="shared" ca="1" si="161"/>
        <v/>
      </c>
      <c r="BN89" t="str">
        <f t="shared" ca="1" si="132"/>
        <v/>
      </c>
      <c r="BO89" s="7">
        <f t="shared" ca="1" si="133"/>
        <v>1</v>
      </c>
      <c r="BP89" s="7">
        <f t="shared" ca="1" si="134"/>
        <v>0</v>
      </c>
    </row>
    <row r="90" spans="1:68" ht="14.25">
      <c r="A90" s="23">
        <f t="shared" si="146"/>
        <v>7</v>
      </c>
      <c r="B90" s="9" t="str">
        <f ca="1">IF(A90="","",IF(ISNA(MATCH(A$3&amp;$AK90,Asta!$AJ:$AJ,0)),"",INDIRECT("Asta!AA"&amp;MATCH(A$3&amp;$AK90,Asta!$AJ:$AJ,0))))</f>
        <v/>
      </c>
      <c r="C90" s="9" t="str">
        <f ca="1">IF(B90="","",IF(ISNA(MATCH(A$3&amp;$AK90,Asta!$AJ:$AJ,0)),"",INDIRECT("Asta!AH"&amp;MATCH(A$3&amp;$AK90,Asta!$AJ:$AJ,0))))</f>
        <v/>
      </c>
      <c r="D90" s="23">
        <f t="shared" si="119"/>
        <v>7</v>
      </c>
      <c r="E90" s="9" t="str">
        <f ca="1">IF(D90="","",IF(ISNA(MATCH(D$3&amp;$AK90,Asta!$AJ:$AJ,0)),"",INDIRECT("Asta!AA"&amp;MATCH(D$3&amp;$AK90,Asta!$AJ:$AJ,0))))</f>
        <v/>
      </c>
      <c r="F90" s="9" t="str">
        <f ca="1">IF(E90="","",IF(ISNA(MATCH(D$3&amp;$AK90,Asta!$AJ:$AJ,0)),"",INDIRECT("Asta!AH"&amp;MATCH(D$3&amp;$AK90,Asta!$AJ:$AJ,0))))</f>
        <v/>
      </c>
      <c r="G90" s="23">
        <f t="shared" si="162"/>
        <v>7</v>
      </c>
      <c r="H90" s="9" t="str">
        <f ca="1">IF(G90="","",IF(ISNA(MATCH(G$3&amp;$AK90,Asta!$AJ:$AJ,0)),"",INDIRECT("Asta!AA"&amp;MATCH(G$3&amp;$AK90,Asta!$AJ:$AJ,0))))</f>
        <v/>
      </c>
      <c r="I90" s="9" t="str">
        <f ca="1">IF(H90="","",IF(ISNA(MATCH(G$3&amp;$AK90,Asta!$AJ:$AJ,0)),"",INDIRECT("Asta!AH"&amp;MATCH(G$3&amp;$AK90,Asta!$AJ:$AJ,0))))</f>
        <v/>
      </c>
      <c r="J90" s="23">
        <f t="shared" si="163"/>
        <v>7</v>
      </c>
      <c r="K90" s="9" t="str">
        <f ca="1">IF(J90="","",IF(ISNA(MATCH(J$3&amp;$AK90,Asta!$AJ:$AJ,0)),"",INDIRECT("Asta!AA"&amp;MATCH(J$3&amp;$AK90,Asta!$AJ:$AJ,0))))</f>
        <v/>
      </c>
      <c r="L90" s="9" t="str">
        <f ca="1">IF(K90="","",IF(ISNA(MATCH(J$3&amp;$AK90,Asta!$AJ:$AJ,0)),"",INDIRECT("Asta!AH"&amp;MATCH(J$3&amp;$AK90,Asta!$AJ:$AJ,0))))</f>
        <v/>
      </c>
      <c r="M90" s="23">
        <f t="shared" si="164"/>
        <v>7</v>
      </c>
      <c r="N90" s="9" t="str">
        <f ca="1">IF(M90="","",IF(ISNA(MATCH(M$3&amp;$AK90,Asta!$AJ:$AJ,0)),"",INDIRECT("Asta!AA"&amp;MATCH(M$3&amp;$AK90,Asta!$AJ:$AJ,0))))</f>
        <v/>
      </c>
      <c r="O90" s="9" t="str">
        <f ca="1">IF(N90="","",IF(ISNA(MATCH(M$3&amp;$AK90,Asta!$AJ:$AJ,0)),"",INDIRECT("Asta!AH"&amp;MATCH(M$3&amp;$AK90,Asta!$AJ:$AJ,0))))</f>
        <v/>
      </c>
      <c r="P90" s="23">
        <f t="shared" si="165"/>
        <v>7</v>
      </c>
      <c r="Q90" s="9" t="str">
        <f ca="1">IF(P90="","",IF(ISNA(MATCH(P$3&amp;$AK90,Asta!$AJ:$AJ,0)),"",INDIRECT("Asta!AA"&amp;MATCH(P$3&amp;$AK90,Asta!$AJ:$AJ,0))))</f>
        <v/>
      </c>
      <c r="R90" s="9" t="str">
        <f ca="1">IF(Q90="","",IF(ISNA(MATCH(P$3&amp;$AK90,Asta!$AJ:$AJ,0)),"",INDIRECT("Asta!AH"&amp;MATCH(P$3&amp;$AK90,Asta!$AJ:$AJ,0))))</f>
        <v/>
      </c>
      <c r="S90" s="23">
        <f t="shared" si="166"/>
        <v>7</v>
      </c>
      <c r="T90" s="9" t="str">
        <f ca="1">IF(S90="","",IF(ISNA(MATCH(S$3&amp;$AK90,Asta!$AJ:$AJ,0)),"",INDIRECT("Asta!AA"&amp;MATCH(S$3&amp;$AK90,Asta!$AJ:$AJ,0))))</f>
        <v/>
      </c>
      <c r="U90" s="9" t="str">
        <f ca="1">IF(T90="","",IF(ISNA(MATCH(S$3&amp;$AK90,Asta!$AJ:$AJ,0)),"",INDIRECT("Asta!AH"&amp;MATCH(S$3&amp;$AK90,Asta!$AJ:$AJ,0))))</f>
        <v/>
      </c>
      <c r="V90" s="23">
        <f t="shared" si="167"/>
        <v>7</v>
      </c>
      <c r="W90" s="9" t="str">
        <f ca="1">IF(V90="","",IF(ISNA(MATCH(V$3&amp;$AK90,Asta!$AJ:$AJ,0)),"",INDIRECT("Asta!AA"&amp;MATCH(V$3&amp;$AK90,Asta!$AJ:$AJ,0))))</f>
        <v/>
      </c>
      <c r="X90" s="9" t="str">
        <f ca="1">IF(W90="","",IF(ISNA(MATCH(V$3&amp;$AK90,Asta!$AJ:$AJ,0)),"",INDIRECT("Asta!AH"&amp;MATCH(V$3&amp;$AK90,Asta!$AJ:$AJ,0))))</f>
        <v/>
      </c>
      <c r="Y90" s="23">
        <f t="shared" si="168"/>
        <v>7</v>
      </c>
      <c r="Z90" s="9" t="str">
        <f ca="1">IF(Y90="","",IF(ISNA(MATCH(Y$3&amp;$AK90,Asta!$AJ:$AJ,0)),"",INDIRECT("Asta!AA"&amp;MATCH(Y$3&amp;$AK90,Asta!$AJ:$AJ,0))))</f>
        <v/>
      </c>
      <c r="AA90" s="9" t="str">
        <f ca="1">IF(Z90="","",IF(ISNA(MATCH(Y$3&amp;$AK90,Asta!$AJ:$AJ,0)),"",INDIRECT("Asta!AH"&amp;MATCH(Y$3&amp;$AK90,Asta!$AJ:$AJ,0))))</f>
        <v/>
      </c>
      <c r="AB90" s="23">
        <f t="shared" si="169"/>
        <v>7</v>
      </c>
      <c r="AC90" s="9" t="str">
        <f ca="1">IF(AB90="","",IF(ISNA(MATCH(AB$3&amp;$AK90,Asta!$AJ:$AJ,0)),"",INDIRECT("Asta!AA"&amp;MATCH(AB$3&amp;$AK90,Asta!$AJ:$AJ,0))))</f>
        <v/>
      </c>
      <c r="AD90" s="9" t="str">
        <f ca="1">IF(AC90="","",IF(ISNA(MATCH(AB$3&amp;$AK90,Asta!$AJ:$AJ,0)),"",INDIRECT("Asta!AH"&amp;MATCH(AB$3&amp;$AK90,Asta!$AJ:$AJ,0))))</f>
        <v/>
      </c>
      <c r="AE90" s="23">
        <f t="shared" si="170"/>
        <v>7</v>
      </c>
      <c r="AF90" s="9" t="str">
        <f ca="1">IF(AE90="","",IF(ISNA(MATCH(AE$3&amp;$AK90,Asta!$AJ:$AJ,0)),"",INDIRECT("Asta!AA"&amp;MATCH(AE$3&amp;$AK90,Asta!$AJ:$AJ,0))))</f>
        <v/>
      </c>
      <c r="AG90" s="9" t="str">
        <f ca="1">IF(AF90="","",IF(ISNA(MATCH(AE$3&amp;$AK90,Asta!$AJ:$AJ,0)),"",INDIRECT("Asta!AH"&amp;MATCH(AE$3&amp;$AK90,Asta!$AJ:$AJ,0))))</f>
        <v/>
      </c>
      <c r="AH90" s="23">
        <f t="shared" si="171"/>
        <v>7</v>
      </c>
      <c r="AI90" s="9" t="str">
        <f ca="1">IF(AH90="","",IF(ISNA(MATCH(AH$3&amp;$AK90,Asta!$AJ:$AJ,0)),"",INDIRECT("Asta!AA"&amp;MATCH(AH$3&amp;$AK90,Asta!$AJ:$AJ,0))))</f>
        <v/>
      </c>
      <c r="AJ90" s="9" t="str">
        <f ca="1">IF(AI90="","",IF(ISNA(MATCH(AH$3&amp;$AK90,Asta!$AJ:$AJ,0)),"",INDIRECT("Asta!AH"&amp;MATCH(AH$3&amp;$AK90,Asta!$AJ:$AJ,0))))</f>
        <v/>
      </c>
      <c r="AK90" s="23">
        <f t="shared" si="160"/>
        <v>7</v>
      </c>
      <c r="AM90" s="221"/>
      <c r="AN90" s="231" t="str">
        <f ca="1">IF(Giocatori!E97=0,"",Giocatori!E97)</f>
        <v/>
      </c>
      <c r="AO90" s="221"/>
      <c r="AP90" s="231" t="str">
        <f ca="1">IF(Giocatori!H97=0,"",Giocatori!H97)</f>
        <v>GYAMFI</v>
      </c>
      <c r="AQ90" s="221"/>
      <c r="AR90" s="231" t="str">
        <f ca="1">IF(Giocatori!K97=0,"",Giocatori!K97)</f>
        <v>JOAO MARIO</v>
      </c>
      <c r="AS90" s="221"/>
      <c r="AT90" s="231" t="str">
        <f ca="1">IF(Giocatori!N97=0,"",Giocatori!N97)</f>
        <v>SAU</v>
      </c>
      <c r="AU90" s="221"/>
      <c r="AV90" s="231" t="str">
        <f ca="1">IF(Giocatori!Q97=0,"",Giocatori!Q97)</f>
        <v/>
      </c>
      <c r="AX90" t="str">
        <f t="shared" ca="1" si="120"/>
        <v/>
      </c>
      <c r="AY90" s="7">
        <f t="shared" ca="1" si="97"/>
        <v>65</v>
      </c>
      <c r="AZ90" s="7">
        <f t="shared" ca="1" si="121"/>
        <v>0</v>
      </c>
      <c r="BA90" s="4" t="str">
        <f t="shared" ca="1" si="157"/>
        <v/>
      </c>
      <c r="BB90" t="str">
        <f t="shared" ca="1" si="123"/>
        <v>GYAMFI</v>
      </c>
      <c r="BC90" s="7">
        <f t="shared" ca="1" si="108"/>
        <v>90</v>
      </c>
      <c r="BD90" s="7" t="str">
        <f t="shared" ca="1" si="124"/>
        <v>GYAMFI</v>
      </c>
      <c r="BE90" s="4" t="str">
        <f t="shared" ca="1" si="158"/>
        <v/>
      </c>
      <c r="BF90" t="str">
        <f t="shared" ca="1" si="126"/>
        <v>JOAO MARIO</v>
      </c>
      <c r="BG90" s="7">
        <f t="shared" ca="1" si="109"/>
        <v>90</v>
      </c>
      <c r="BH90" s="7" t="str">
        <f t="shared" ca="1" si="127"/>
        <v>JOAO MARIO</v>
      </c>
      <c r="BI90" s="4" t="str">
        <f ca="1">IF(AI46=0,"",AI46)</f>
        <v/>
      </c>
      <c r="BJ90" t="str">
        <f t="shared" ca="1" si="129"/>
        <v>SAU</v>
      </c>
      <c r="BK90" s="7">
        <f t="shared" ca="1" si="110"/>
        <v>90</v>
      </c>
      <c r="BL90" s="7" t="str">
        <f t="shared" ca="1" si="130"/>
        <v>SAU</v>
      </c>
      <c r="BM90" s="4" t="str">
        <f t="shared" ca="1" si="161"/>
        <v/>
      </c>
      <c r="BN90" t="str">
        <f t="shared" ca="1" si="132"/>
        <v/>
      </c>
      <c r="BO90" s="7">
        <f t="shared" ca="1" si="133"/>
        <v>1</v>
      </c>
      <c r="BP90" s="7">
        <f t="shared" ca="1" si="134"/>
        <v>0</v>
      </c>
    </row>
    <row r="91" spans="1:68" ht="14.25">
      <c r="A91" s="23">
        <f t="shared" si="146"/>
        <v>8</v>
      </c>
      <c r="B91" s="9" t="str">
        <f ca="1">IF(A91="","",IF(ISNA(MATCH(A$3&amp;$AK91,Asta!$AJ:$AJ,0)),"",INDIRECT("Asta!AA"&amp;MATCH(A$3&amp;$AK91,Asta!$AJ:$AJ,0))))</f>
        <v/>
      </c>
      <c r="C91" s="9" t="str">
        <f ca="1">IF(B91="","",IF(ISNA(MATCH(A$3&amp;$AK91,Asta!$AJ:$AJ,0)),"",INDIRECT("Asta!AH"&amp;MATCH(A$3&amp;$AK91,Asta!$AJ:$AJ,0))))</f>
        <v/>
      </c>
      <c r="D91" s="23">
        <f t="shared" si="119"/>
        <v>8</v>
      </c>
      <c r="E91" s="9" t="str">
        <f ca="1">IF(D91="","",IF(ISNA(MATCH(D$3&amp;$AK91,Asta!$AJ:$AJ,0)),"",INDIRECT("Asta!AA"&amp;MATCH(D$3&amp;$AK91,Asta!$AJ:$AJ,0))))</f>
        <v/>
      </c>
      <c r="F91" s="9" t="str">
        <f ca="1">IF(E91="","",IF(ISNA(MATCH(D$3&amp;$AK91,Asta!$AJ:$AJ,0)),"",INDIRECT("Asta!AH"&amp;MATCH(D$3&amp;$AK91,Asta!$AJ:$AJ,0))))</f>
        <v/>
      </c>
      <c r="G91" s="23">
        <f t="shared" si="162"/>
        <v>8</v>
      </c>
      <c r="H91" s="9" t="str">
        <f ca="1">IF(G91="","",IF(ISNA(MATCH(G$3&amp;$AK91,Asta!$AJ:$AJ,0)),"",INDIRECT("Asta!AA"&amp;MATCH(G$3&amp;$AK91,Asta!$AJ:$AJ,0))))</f>
        <v/>
      </c>
      <c r="I91" s="9" t="str">
        <f ca="1">IF(H91="","",IF(ISNA(MATCH(G$3&amp;$AK91,Asta!$AJ:$AJ,0)),"",INDIRECT("Asta!AH"&amp;MATCH(G$3&amp;$AK91,Asta!$AJ:$AJ,0))))</f>
        <v/>
      </c>
      <c r="J91" s="23">
        <f t="shared" si="163"/>
        <v>8</v>
      </c>
      <c r="K91" s="9" t="str">
        <f ca="1">IF(J91="","",IF(ISNA(MATCH(J$3&amp;$AK91,Asta!$AJ:$AJ,0)),"",INDIRECT("Asta!AA"&amp;MATCH(J$3&amp;$AK91,Asta!$AJ:$AJ,0))))</f>
        <v/>
      </c>
      <c r="L91" s="9" t="str">
        <f ca="1">IF(K91="","",IF(ISNA(MATCH(J$3&amp;$AK91,Asta!$AJ:$AJ,0)),"",INDIRECT("Asta!AH"&amp;MATCH(J$3&amp;$AK91,Asta!$AJ:$AJ,0))))</f>
        <v/>
      </c>
      <c r="M91" s="23">
        <f t="shared" si="164"/>
        <v>8</v>
      </c>
      <c r="N91" s="9" t="str">
        <f ca="1">IF(M91="","",IF(ISNA(MATCH(M$3&amp;$AK91,Asta!$AJ:$AJ,0)),"",INDIRECT("Asta!AA"&amp;MATCH(M$3&amp;$AK91,Asta!$AJ:$AJ,0))))</f>
        <v/>
      </c>
      <c r="O91" s="9" t="str">
        <f ca="1">IF(N91="","",IF(ISNA(MATCH(M$3&amp;$AK91,Asta!$AJ:$AJ,0)),"",INDIRECT("Asta!AH"&amp;MATCH(M$3&amp;$AK91,Asta!$AJ:$AJ,0))))</f>
        <v/>
      </c>
      <c r="P91" s="23">
        <f t="shared" si="165"/>
        <v>8</v>
      </c>
      <c r="Q91" s="9" t="str">
        <f ca="1">IF(P91="","",IF(ISNA(MATCH(P$3&amp;$AK91,Asta!$AJ:$AJ,0)),"",INDIRECT("Asta!AA"&amp;MATCH(P$3&amp;$AK91,Asta!$AJ:$AJ,0))))</f>
        <v/>
      </c>
      <c r="R91" s="9" t="str">
        <f ca="1">IF(Q91="","",IF(ISNA(MATCH(P$3&amp;$AK91,Asta!$AJ:$AJ,0)),"",INDIRECT("Asta!AH"&amp;MATCH(P$3&amp;$AK91,Asta!$AJ:$AJ,0))))</f>
        <v/>
      </c>
      <c r="S91" s="23">
        <f t="shared" si="166"/>
        <v>8</v>
      </c>
      <c r="T91" s="9" t="str">
        <f ca="1">IF(S91="","",IF(ISNA(MATCH(S$3&amp;$AK91,Asta!$AJ:$AJ,0)),"",INDIRECT("Asta!AA"&amp;MATCH(S$3&amp;$AK91,Asta!$AJ:$AJ,0))))</f>
        <v/>
      </c>
      <c r="U91" s="9" t="str">
        <f ca="1">IF(T91="","",IF(ISNA(MATCH(S$3&amp;$AK91,Asta!$AJ:$AJ,0)),"",INDIRECT("Asta!AH"&amp;MATCH(S$3&amp;$AK91,Asta!$AJ:$AJ,0))))</f>
        <v/>
      </c>
      <c r="V91" s="23">
        <f t="shared" si="167"/>
        <v>8</v>
      </c>
      <c r="W91" s="9" t="str">
        <f ca="1">IF(V91="","",IF(ISNA(MATCH(V$3&amp;$AK91,Asta!$AJ:$AJ,0)),"",INDIRECT("Asta!AA"&amp;MATCH(V$3&amp;$AK91,Asta!$AJ:$AJ,0))))</f>
        <v/>
      </c>
      <c r="X91" s="9" t="str">
        <f ca="1">IF(W91="","",IF(ISNA(MATCH(V$3&amp;$AK91,Asta!$AJ:$AJ,0)),"",INDIRECT("Asta!AH"&amp;MATCH(V$3&amp;$AK91,Asta!$AJ:$AJ,0))))</f>
        <v/>
      </c>
      <c r="Y91" s="23">
        <f t="shared" si="168"/>
        <v>8</v>
      </c>
      <c r="Z91" s="9" t="str">
        <f ca="1">IF(Y91="","",IF(ISNA(MATCH(Y$3&amp;$AK91,Asta!$AJ:$AJ,0)),"",INDIRECT("Asta!AA"&amp;MATCH(Y$3&amp;$AK91,Asta!$AJ:$AJ,0))))</f>
        <v/>
      </c>
      <c r="AA91" s="9" t="str">
        <f ca="1">IF(Z91="","",IF(ISNA(MATCH(Y$3&amp;$AK91,Asta!$AJ:$AJ,0)),"",INDIRECT("Asta!AH"&amp;MATCH(Y$3&amp;$AK91,Asta!$AJ:$AJ,0))))</f>
        <v/>
      </c>
      <c r="AB91" s="23">
        <f t="shared" si="169"/>
        <v>8</v>
      </c>
      <c r="AC91" s="9" t="str">
        <f ca="1">IF(AB91="","",IF(ISNA(MATCH(AB$3&amp;$AK91,Asta!$AJ:$AJ,0)),"",INDIRECT("Asta!AA"&amp;MATCH(AB$3&amp;$AK91,Asta!$AJ:$AJ,0))))</f>
        <v/>
      </c>
      <c r="AD91" s="9" t="str">
        <f ca="1">IF(AC91="","",IF(ISNA(MATCH(AB$3&amp;$AK91,Asta!$AJ:$AJ,0)),"",INDIRECT("Asta!AH"&amp;MATCH(AB$3&amp;$AK91,Asta!$AJ:$AJ,0))))</f>
        <v/>
      </c>
      <c r="AE91" s="23">
        <f t="shared" si="170"/>
        <v>8</v>
      </c>
      <c r="AF91" s="9" t="str">
        <f ca="1">IF(AE91="","",IF(ISNA(MATCH(AE$3&amp;$AK91,Asta!$AJ:$AJ,0)),"",INDIRECT("Asta!AA"&amp;MATCH(AE$3&amp;$AK91,Asta!$AJ:$AJ,0))))</f>
        <v/>
      </c>
      <c r="AG91" s="9" t="str">
        <f ca="1">IF(AF91="","",IF(ISNA(MATCH(AE$3&amp;$AK91,Asta!$AJ:$AJ,0)),"",INDIRECT("Asta!AH"&amp;MATCH(AE$3&amp;$AK91,Asta!$AJ:$AJ,0))))</f>
        <v/>
      </c>
      <c r="AH91" s="23">
        <f t="shared" si="171"/>
        <v>8</v>
      </c>
      <c r="AI91" s="9" t="str">
        <f ca="1">IF(AH91="","",IF(ISNA(MATCH(AH$3&amp;$AK91,Asta!$AJ:$AJ,0)),"",INDIRECT("Asta!AA"&amp;MATCH(AH$3&amp;$AK91,Asta!$AJ:$AJ,0))))</f>
        <v/>
      </c>
      <c r="AJ91" s="9" t="str">
        <f ca="1">IF(AI91="","",IF(ISNA(MATCH(AH$3&amp;$AK91,Asta!$AJ:$AJ,0)),"",INDIRECT("Asta!AH"&amp;MATCH(AH$3&amp;$AK91,Asta!$AJ:$AJ,0))))</f>
        <v/>
      </c>
      <c r="AK91" s="23">
        <f t="shared" si="160"/>
        <v>8</v>
      </c>
      <c r="AM91" s="221"/>
      <c r="AN91" s="231" t="str">
        <f ca="1">IF(Giocatori!E98=0,"",Giocatori!E98)</f>
        <v/>
      </c>
      <c r="AO91" s="221"/>
      <c r="AP91" s="231" t="str">
        <f ca="1">IF(Giocatori!H98=0,"",Giocatori!H98)</f>
        <v>HATEBOER</v>
      </c>
      <c r="AQ91" s="221"/>
      <c r="AR91" s="231" t="str">
        <f ca="1">IF(Giocatori!K98=0,"",Giocatori!K98)</f>
        <v>JOAO PEDRO</v>
      </c>
      <c r="AS91" s="221"/>
      <c r="AT91" s="231" t="str">
        <f ca="1">IF(Giocatori!N98=0,"",Giocatori!N98)</f>
        <v>SCAMACCA</v>
      </c>
      <c r="AU91" s="221"/>
      <c r="AV91" s="231" t="str">
        <f ca="1">IF(Giocatori!Q98=0,"",Giocatori!Q98)</f>
        <v/>
      </c>
      <c r="AX91" t="str">
        <f t="shared" ca="1" si="120"/>
        <v/>
      </c>
      <c r="AY91" s="7">
        <f t="shared" ca="1" si="97"/>
        <v>65</v>
      </c>
      <c r="AZ91" s="7">
        <f t="shared" ca="1" si="121"/>
        <v>0</v>
      </c>
      <c r="BA91" s="4" t="str">
        <f t="shared" ca="1" si="157"/>
        <v/>
      </c>
      <c r="BB91" t="str">
        <f t="shared" ca="1" si="123"/>
        <v>HATEBOER</v>
      </c>
      <c r="BC91" s="7">
        <f t="shared" ca="1" si="108"/>
        <v>91</v>
      </c>
      <c r="BD91" s="7" t="str">
        <f t="shared" ca="1" si="124"/>
        <v>HATEBOER</v>
      </c>
      <c r="BE91" s="4" t="str">
        <f t="shared" ca="1" si="158"/>
        <v/>
      </c>
      <c r="BF91" t="str">
        <f t="shared" ca="1" si="126"/>
        <v>JOAO PEDRO</v>
      </c>
      <c r="BG91" s="7">
        <f t="shared" ca="1" si="109"/>
        <v>91</v>
      </c>
      <c r="BH91" s="7" t="str">
        <f t="shared" ca="1" si="127"/>
        <v>JOAO PEDRO</v>
      </c>
      <c r="BI91" s="4" t="str">
        <f ca="1">IF(AI47=0,"",AI47)</f>
        <v/>
      </c>
      <c r="BJ91" t="str">
        <f t="shared" ca="1" si="129"/>
        <v>SCAMACCA</v>
      </c>
      <c r="BK91" s="7">
        <f t="shared" ca="1" si="110"/>
        <v>91</v>
      </c>
      <c r="BL91" s="7" t="str">
        <f t="shared" ca="1" si="130"/>
        <v>SCAMACCA</v>
      </c>
      <c r="BM91" s="4" t="str">
        <f t="shared" ca="1" si="161"/>
        <v/>
      </c>
      <c r="BN91" t="str">
        <f t="shared" ca="1" si="132"/>
        <v/>
      </c>
      <c r="BO91" s="7">
        <f t="shared" ca="1" si="133"/>
        <v>1</v>
      </c>
      <c r="BP91" s="7">
        <f t="shared" ca="1" si="134"/>
        <v>0</v>
      </c>
    </row>
    <row r="92" spans="1:68" ht="14.25">
      <c r="A92" s="23">
        <f t="shared" si="146"/>
        <v>9</v>
      </c>
      <c r="B92" s="9" t="str">
        <f ca="1">IF(A92="","",IF(ISNA(MATCH(A$3&amp;$AK92,Asta!$AJ:$AJ,0)),"",INDIRECT("Asta!AA"&amp;MATCH(A$3&amp;$AK92,Asta!$AJ:$AJ,0))))</f>
        <v/>
      </c>
      <c r="C92" s="9" t="str">
        <f ca="1">IF(B92="","",IF(ISNA(MATCH(A$3&amp;$AK92,Asta!$AJ:$AJ,0)),"",INDIRECT("Asta!AH"&amp;MATCH(A$3&amp;$AK92,Asta!$AJ:$AJ,0))))</f>
        <v/>
      </c>
      <c r="D92" s="23">
        <f t="shared" si="119"/>
        <v>9</v>
      </c>
      <c r="E92" s="9" t="str">
        <f ca="1">IF(D92="","",IF(ISNA(MATCH(D$3&amp;$AK92,Asta!$AJ:$AJ,0)),"",INDIRECT("Asta!AA"&amp;MATCH(D$3&amp;$AK92,Asta!$AJ:$AJ,0))))</f>
        <v/>
      </c>
      <c r="F92" s="9" t="str">
        <f ca="1">IF(E92="","",IF(ISNA(MATCH(D$3&amp;$AK92,Asta!$AJ:$AJ,0)),"",INDIRECT("Asta!AH"&amp;MATCH(D$3&amp;$AK92,Asta!$AJ:$AJ,0))))</f>
        <v/>
      </c>
      <c r="G92" s="23">
        <f t="shared" si="162"/>
        <v>9</v>
      </c>
      <c r="H92" s="9" t="str">
        <f ca="1">IF(G92="","",IF(ISNA(MATCH(G$3&amp;$AK92,Asta!$AJ:$AJ,0)),"",INDIRECT("Asta!AA"&amp;MATCH(G$3&amp;$AK92,Asta!$AJ:$AJ,0))))</f>
        <v/>
      </c>
      <c r="I92" s="9" t="str">
        <f ca="1">IF(H92="","",IF(ISNA(MATCH(G$3&amp;$AK92,Asta!$AJ:$AJ,0)),"",INDIRECT("Asta!AH"&amp;MATCH(G$3&amp;$AK92,Asta!$AJ:$AJ,0))))</f>
        <v/>
      </c>
      <c r="J92" s="23">
        <f t="shared" si="163"/>
        <v>9</v>
      </c>
      <c r="K92" s="9" t="str">
        <f ca="1">IF(J92="","",IF(ISNA(MATCH(J$3&amp;$AK92,Asta!$AJ:$AJ,0)),"",INDIRECT("Asta!AA"&amp;MATCH(J$3&amp;$AK92,Asta!$AJ:$AJ,0))))</f>
        <v/>
      </c>
      <c r="L92" s="9" t="str">
        <f ca="1">IF(K92="","",IF(ISNA(MATCH(J$3&amp;$AK92,Asta!$AJ:$AJ,0)),"",INDIRECT("Asta!AH"&amp;MATCH(J$3&amp;$AK92,Asta!$AJ:$AJ,0))))</f>
        <v/>
      </c>
      <c r="M92" s="23">
        <f t="shared" si="164"/>
        <v>9</v>
      </c>
      <c r="N92" s="9" t="str">
        <f ca="1">IF(M92="","",IF(ISNA(MATCH(M$3&amp;$AK92,Asta!$AJ:$AJ,0)),"",INDIRECT("Asta!AA"&amp;MATCH(M$3&amp;$AK92,Asta!$AJ:$AJ,0))))</f>
        <v/>
      </c>
      <c r="O92" s="9" t="str">
        <f ca="1">IF(N92="","",IF(ISNA(MATCH(M$3&amp;$AK92,Asta!$AJ:$AJ,0)),"",INDIRECT("Asta!AH"&amp;MATCH(M$3&amp;$AK92,Asta!$AJ:$AJ,0))))</f>
        <v/>
      </c>
      <c r="P92" s="23">
        <f t="shared" si="165"/>
        <v>9</v>
      </c>
      <c r="Q92" s="9" t="str">
        <f ca="1">IF(P92="","",IF(ISNA(MATCH(P$3&amp;$AK92,Asta!$AJ:$AJ,0)),"",INDIRECT("Asta!AA"&amp;MATCH(P$3&amp;$AK92,Asta!$AJ:$AJ,0))))</f>
        <v/>
      </c>
      <c r="R92" s="9" t="str">
        <f ca="1">IF(Q92="","",IF(ISNA(MATCH(P$3&amp;$AK92,Asta!$AJ:$AJ,0)),"",INDIRECT("Asta!AH"&amp;MATCH(P$3&amp;$AK92,Asta!$AJ:$AJ,0))))</f>
        <v/>
      </c>
      <c r="S92" s="23">
        <f t="shared" si="166"/>
        <v>9</v>
      </c>
      <c r="T92" s="9" t="str">
        <f ca="1">IF(S92="","",IF(ISNA(MATCH(S$3&amp;$AK92,Asta!$AJ:$AJ,0)),"",INDIRECT("Asta!AA"&amp;MATCH(S$3&amp;$AK92,Asta!$AJ:$AJ,0))))</f>
        <v/>
      </c>
      <c r="U92" s="9" t="str">
        <f ca="1">IF(T92="","",IF(ISNA(MATCH(S$3&amp;$AK92,Asta!$AJ:$AJ,0)),"",INDIRECT("Asta!AH"&amp;MATCH(S$3&amp;$AK92,Asta!$AJ:$AJ,0))))</f>
        <v/>
      </c>
      <c r="V92" s="23">
        <f t="shared" si="167"/>
        <v>9</v>
      </c>
      <c r="W92" s="9" t="str">
        <f ca="1">IF(V92="","",IF(ISNA(MATCH(V$3&amp;$AK92,Asta!$AJ:$AJ,0)),"",INDIRECT("Asta!AA"&amp;MATCH(V$3&amp;$AK92,Asta!$AJ:$AJ,0))))</f>
        <v/>
      </c>
      <c r="X92" s="9" t="str">
        <f ca="1">IF(W92="","",IF(ISNA(MATCH(V$3&amp;$AK92,Asta!$AJ:$AJ,0)),"",INDIRECT("Asta!AH"&amp;MATCH(V$3&amp;$AK92,Asta!$AJ:$AJ,0))))</f>
        <v/>
      </c>
      <c r="Y92" s="23">
        <f t="shared" si="168"/>
        <v>9</v>
      </c>
      <c r="Z92" s="9" t="str">
        <f ca="1">IF(Y92="","",IF(ISNA(MATCH(Y$3&amp;$AK92,Asta!$AJ:$AJ,0)),"",INDIRECT("Asta!AA"&amp;MATCH(Y$3&amp;$AK92,Asta!$AJ:$AJ,0))))</f>
        <v/>
      </c>
      <c r="AA92" s="9" t="str">
        <f ca="1">IF(Z92="","",IF(ISNA(MATCH(Y$3&amp;$AK92,Asta!$AJ:$AJ,0)),"",INDIRECT("Asta!AH"&amp;MATCH(Y$3&amp;$AK92,Asta!$AJ:$AJ,0))))</f>
        <v/>
      </c>
      <c r="AB92" s="23">
        <f t="shared" si="169"/>
        <v>9</v>
      </c>
      <c r="AC92" s="9" t="str">
        <f ca="1">IF(AB92="","",IF(ISNA(MATCH(AB$3&amp;$AK92,Asta!$AJ:$AJ,0)),"",INDIRECT("Asta!AA"&amp;MATCH(AB$3&amp;$AK92,Asta!$AJ:$AJ,0))))</f>
        <v/>
      </c>
      <c r="AD92" s="9" t="str">
        <f ca="1">IF(AC92="","",IF(ISNA(MATCH(AB$3&amp;$AK92,Asta!$AJ:$AJ,0)),"",INDIRECT("Asta!AH"&amp;MATCH(AB$3&amp;$AK92,Asta!$AJ:$AJ,0))))</f>
        <v/>
      </c>
      <c r="AE92" s="23">
        <f t="shared" si="170"/>
        <v>9</v>
      </c>
      <c r="AF92" s="9" t="str">
        <f ca="1">IF(AE92="","",IF(ISNA(MATCH(AE$3&amp;$AK92,Asta!$AJ:$AJ,0)),"",INDIRECT("Asta!AA"&amp;MATCH(AE$3&amp;$AK92,Asta!$AJ:$AJ,0))))</f>
        <v/>
      </c>
      <c r="AG92" s="9" t="str">
        <f ca="1">IF(AF92="","",IF(ISNA(MATCH(AE$3&amp;$AK92,Asta!$AJ:$AJ,0)),"",INDIRECT("Asta!AH"&amp;MATCH(AE$3&amp;$AK92,Asta!$AJ:$AJ,0))))</f>
        <v/>
      </c>
      <c r="AH92" s="23">
        <f t="shared" si="171"/>
        <v>9</v>
      </c>
      <c r="AI92" s="9" t="str">
        <f ca="1">IF(AH92="","",IF(ISNA(MATCH(AH$3&amp;$AK92,Asta!$AJ:$AJ,0)),"",INDIRECT("Asta!AA"&amp;MATCH(AH$3&amp;$AK92,Asta!$AJ:$AJ,0))))</f>
        <v/>
      </c>
      <c r="AJ92" s="9" t="str">
        <f ca="1">IF(AI92="","",IF(ISNA(MATCH(AH$3&amp;$AK92,Asta!$AJ:$AJ,0)),"",INDIRECT("Asta!AH"&amp;MATCH(AH$3&amp;$AK92,Asta!$AJ:$AJ,0))))</f>
        <v/>
      </c>
      <c r="AK92" s="23">
        <f t="shared" si="160"/>
        <v>9</v>
      </c>
      <c r="AM92" s="221"/>
      <c r="AN92" s="231" t="str">
        <f ca="1">IF(Giocatori!E99=0,"",Giocatori!E99)</f>
        <v/>
      </c>
      <c r="AO92" s="221"/>
      <c r="AP92" s="231" t="str">
        <f ca="1">IF(Giocatori!H99=0,"",Giocatori!H99)</f>
        <v>HECTOR MORENO</v>
      </c>
      <c r="AQ92" s="221"/>
      <c r="AR92" s="231" t="str">
        <f ca="1">IF(Giocatori!K99=0,"",Giocatori!K99)</f>
        <v>JOAO SCHMIDT</v>
      </c>
      <c r="AS92" s="221"/>
      <c r="AT92" s="231" t="str">
        <f ca="1">IF(Giocatori!N99=0,"",Giocatori!N99)</f>
        <v>SCHICK</v>
      </c>
      <c r="AU92" s="221"/>
      <c r="AV92" s="231" t="str">
        <f ca="1">IF(Giocatori!Q99=0,"",Giocatori!Q99)</f>
        <v/>
      </c>
      <c r="AX92" t="str">
        <f t="shared" ca="1" si="120"/>
        <v/>
      </c>
      <c r="AY92" s="7">
        <f t="shared" ca="1" si="97"/>
        <v>65</v>
      </c>
      <c r="AZ92" s="7">
        <f t="shared" ca="1" si="121"/>
        <v>0</v>
      </c>
      <c r="BA92" s="4" t="str">
        <f ca="1">IF(AC14=0,"",AC14)</f>
        <v/>
      </c>
      <c r="BB92" t="str">
        <f t="shared" ca="1" si="123"/>
        <v>HECTOR MORENO</v>
      </c>
      <c r="BC92" s="7">
        <f t="shared" ca="1" si="108"/>
        <v>92</v>
      </c>
      <c r="BD92" s="7" t="str">
        <f t="shared" ca="1" si="124"/>
        <v>HECTOR MORENO</v>
      </c>
      <c r="BE92" s="4" t="str">
        <f ca="1">IF(AC30=0,"",AC30)</f>
        <v/>
      </c>
      <c r="BF92" t="str">
        <f t="shared" ca="1" si="126"/>
        <v>JOAO SCHMIDT</v>
      </c>
      <c r="BG92" s="7">
        <f t="shared" ca="1" si="109"/>
        <v>92</v>
      </c>
      <c r="BH92" s="7" t="str">
        <f t="shared" ca="1" si="127"/>
        <v>JOAO SCHMIDT</v>
      </c>
      <c r="BI92" s="4" t="str">
        <f ca="1">IF(AI48=0,"",AI48)</f>
        <v/>
      </c>
      <c r="BJ92" t="str">
        <f t="shared" ca="1" si="129"/>
        <v>SCHICK</v>
      </c>
      <c r="BK92" s="7">
        <f t="shared" ca="1" si="110"/>
        <v>92</v>
      </c>
      <c r="BL92" s="7" t="str">
        <f t="shared" ca="1" si="130"/>
        <v>SCHICK</v>
      </c>
      <c r="BM92" s="4" t="str">
        <f t="shared" ca="1" si="161"/>
        <v/>
      </c>
      <c r="BN92" t="str">
        <f t="shared" ca="1" si="132"/>
        <v/>
      </c>
      <c r="BO92" s="7">
        <f t="shared" ca="1" si="133"/>
        <v>1</v>
      </c>
      <c r="BP92" s="7">
        <f t="shared" ca="1" si="134"/>
        <v>0</v>
      </c>
    </row>
    <row r="93" spans="1:68" ht="14.25">
      <c r="A93" s="23">
        <f t="shared" si="146"/>
        <v>10</v>
      </c>
      <c r="B93" s="9" t="str">
        <f ca="1">IF(A93="","",IF(ISNA(MATCH(A$3&amp;$AK93,Asta!$AJ:$AJ,0)),"",INDIRECT("Asta!AA"&amp;MATCH(A$3&amp;$AK93,Asta!$AJ:$AJ,0))))</f>
        <v/>
      </c>
      <c r="C93" s="9" t="str">
        <f ca="1">IF(B93="","",IF(ISNA(MATCH(A$3&amp;$AK93,Asta!$AJ:$AJ,0)),"",INDIRECT("Asta!AH"&amp;MATCH(A$3&amp;$AK93,Asta!$AJ:$AJ,0))))</f>
        <v/>
      </c>
      <c r="D93" s="23">
        <f t="shared" si="119"/>
        <v>10</v>
      </c>
      <c r="E93" s="9" t="str">
        <f ca="1">IF(D93="","",IF(ISNA(MATCH(D$3&amp;$AK93,Asta!$AJ:$AJ,0)),"",INDIRECT("Asta!AA"&amp;MATCH(D$3&amp;$AK93,Asta!$AJ:$AJ,0))))</f>
        <v/>
      </c>
      <c r="F93" s="9" t="str">
        <f ca="1">IF(E93="","",IF(ISNA(MATCH(D$3&amp;$AK93,Asta!$AJ:$AJ,0)),"",INDIRECT("Asta!AH"&amp;MATCH(D$3&amp;$AK93,Asta!$AJ:$AJ,0))))</f>
        <v/>
      </c>
      <c r="G93" s="23">
        <f t="shared" si="162"/>
        <v>10</v>
      </c>
      <c r="H93" s="9" t="str">
        <f ca="1">IF(G93="","",IF(ISNA(MATCH(G$3&amp;$AK93,Asta!$AJ:$AJ,0)),"",INDIRECT("Asta!AA"&amp;MATCH(G$3&amp;$AK93,Asta!$AJ:$AJ,0))))</f>
        <v/>
      </c>
      <c r="I93" s="9" t="str">
        <f ca="1">IF(H93="","",IF(ISNA(MATCH(G$3&amp;$AK93,Asta!$AJ:$AJ,0)),"",INDIRECT("Asta!AH"&amp;MATCH(G$3&amp;$AK93,Asta!$AJ:$AJ,0))))</f>
        <v/>
      </c>
      <c r="J93" s="23">
        <f t="shared" si="163"/>
        <v>10</v>
      </c>
      <c r="K93" s="9" t="str">
        <f ca="1">IF(J93="","",IF(ISNA(MATCH(J$3&amp;$AK93,Asta!$AJ:$AJ,0)),"",INDIRECT("Asta!AA"&amp;MATCH(J$3&amp;$AK93,Asta!$AJ:$AJ,0))))</f>
        <v/>
      </c>
      <c r="L93" s="9" t="str">
        <f ca="1">IF(K93="","",IF(ISNA(MATCH(J$3&amp;$AK93,Asta!$AJ:$AJ,0)),"",INDIRECT("Asta!AH"&amp;MATCH(J$3&amp;$AK93,Asta!$AJ:$AJ,0))))</f>
        <v/>
      </c>
      <c r="M93" s="23">
        <f t="shared" si="164"/>
        <v>10</v>
      </c>
      <c r="N93" s="9" t="str">
        <f ca="1">IF(M93="","",IF(ISNA(MATCH(M$3&amp;$AK93,Asta!$AJ:$AJ,0)),"",INDIRECT("Asta!AA"&amp;MATCH(M$3&amp;$AK93,Asta!$AJ:$AJ,0))))</f>
        <v/>
      </c>
      <c r="O93" s="9" t="str">
        <f ca="1">IF(N93="","",IF(ISNA(MATCH(M$3&amp;$AK93,Asta!$AJ:$AJ,0)),"",INDIRECT("Asta!AH"&amp;MATCH(M$3&amp;$AK93,Asta!$AJ:$AJ,0))))</f>
        <v/>
      </c>
      <c r="P93" s="23">
        <f t="shared" si="165"/>
        <v>10</v>
      </c>
      <c r="Q93" s="9" t="str">
        <f ca="1">IF(P93="","",IF(ISNA(MATCH(P$3&amp;$AK93,Asta!$AJ:$AJ,0)),"",INDIRECT("Asta!AA"&amp;MATCH(P$3&amp;$AK93,Asta!$AJ:$AJ,0))))</f>
        <v/>
      </c>
      <c r="R93" s="9" t="str">
        <f ca="1">IF(Q93="","",IF(ISNA(MATCH(P$3&amp;$AK93,Asta!$AJ:$AJ,0)),"",INDIRECT("Asta!AH"&amp;MATCH(P$3&amp;$AK93,Asta!$AJ:$AJ,0))))</f>
        <v/>
      </c>
      <c r="S93" s="23">
        <f t="shared" si="166"/>
        <v>10</v>
      </c>
      <c r="T93" s="9" t="str">
        <f ca="1">IF(S93="","",IF(ISNA(MATCH(S$3&amp;$AK93,Asta!$AJ:$AJ,0)),"",INDIRECT("Asta!AA"&amp;MATCH(S$3&amp;$AK93,Asta!$AJ:$AJ,0))))</f>
        <v/>
      </c>
      <c r="U93" s="9" t="str">
        <f ca="1">IF(T93="","",IF(ISNA(MATCH(S$3&amp;$AK93,Asta!$AJ:$AJ,0)),"",INDIRECT("Asta!AH"&amp;MATCH(S$3&amp;$AK93,Asta!$AJ:$AJ,0))))</f>
        <v/>
      </c>
      <c r="V93" s="23">
        <f t="shared" si="167"/>
        <v>10</v>
      </c>
      <c r="W93" s="9" t="str">
        <f ca="1">IF(V93="","",IF(ISNA(MATCH(V$3&amp;$AK93,Asta!$AJ:$AJ,0)),"",INDIRECT("Asta!AA"&amp;MATCH(V$3&amp;$AK93,Asta!$AJ:$AJ,0))))</f>
        <v/>
      </c>
      <c r="X93" s="9" t="str">
        <f ca="1">IF(W93="","",IF(ISNA(MATCH(V$3&amp;$AK93,Asta!$AJ:$AJ,0)),"",INDIRECT("Asta!AH"&amp;MATCH(V$3&amp;$AK93,Asta!$AJ:$AJ,0))))</f>
        <v/>
      </c>
      <c r="Y93" s="23">
        <f t="shared" si="168"/>
        <v>10</v>
      </c>
      <c r="Z93" s="9" t="str">
        <f ca="1">IF(Y93="","",IF(ISNA(MATCH(Y$3&amp;$AK93,Asta!$AJ:$AJ,0)),"",INDIRECT("Asta!AA"&amp;MATCH(Y$3&amp;$AK93,Asta!$AJ:$AJ,0))))</f>
        <v/>
      </c>
      <c r="AA93" s="9" t="str">
        <f ca="1">IF(Z93="","",IF(ISNA(MATCH(Y$3&amp;$AK93,Asta!$AJ:$AJ,0)),"",INDIRECT("Asta!AH"&amp;MATCH(Y$3&amp;$AK93,Asta!$AJ:$AJ,0))))</f>
        <v/>
      </c>
      <c r="AB93" s="23">
        <f t="shared" si="169"/>
        <v>10</v>
      </c>
      <c r="AC93" s="9" t="str">
        <f ca="1">IF(AB93="","",IF(ISNA(MATCH(AB$3&amp;$AK93,Asta!$AJ:$AJ,0)),"",INDIRECT("Asta!AA"&amp;MATCH(AB$3&amp;$AK93,Asta!$AJ:$AJ,0))))</f>
        <v/>
      </c>
      <c r="AD93" s="9" t="str">
        <f ca="1">IF(AC93="","",IF(ISNA(MATCH(AB$3&amp;$AK93,Asta!$AJ:$AJ,0)),"",INDIRECT("Asta!AH"&amp;MATCH(AB$3&amp;$AK93,Asta!$AJ:$AJ,0))))</f>
        <v/>
      </c>
      <c r="AE93" s="23">
        <f t="shared" si="170"/>
        <v>10</v>
      </c>
      <c r="AF93" s="9" t="str">
        <f ca="1">IF(AE93="","",IF(ISNA(MATCH(AE$3&amp;$AK93,Asta!$AJ:$AJ,0)),"",INDIRECT("Asta!AA"&amp;MATCH(AE$3&amp;$AK93,Asta!$AJ:$AJ,0))))</f>
        <v/>
      </c>
      <c r="AG93" s="9" t="str">
        <f ca="1">IF(AF93="","",IF(ISNA(MATCH(AE$3&amp;$AK93,Asta!$AJ:$AJ,0)),"",INDIRECT("Asta!AH"&amp;MATCH(AE$3&amp;$AK93,Asta!$AJ:$AJ,0))))</f>
        <v/>
      </c>
      <c r="AH93" s="23">
        <f t="shared" si="171"/>
        <v>10</v>
      </c>
      <c r="AI93" s="9" t="str">
        <f ca="1">IF(AH93="","",IF(ISNA(MATCH(AH$3&amp;$AK93,Asta!$AJ:$AJ,0)),"",INDIRECT("Asta!AA"&amp;MATCH(AH$3&amp;$AK93,Asta!$AJ:$AJ,0))))</f>
        <v/>
      </c>
      <c r="AJ93" s="9" t="str">
        <f ca="1">IF(AI93="","",IF(ISNA(MATCH(AH$3&amp;$AK93,Asta!$AJ:$AJ,0)),"",INDIRECT("Asta!AH"&amp;MATCH(AH$3&amp;$AK93,Asta!$AJ:$AJ,0))))</f>
        <v/>
      </c>
      <c r="AK93" s="23">
        <f t="shared" si="160"/>
        <v>10</v>
      </c>
      <c r="AM93" s="221"/>
      <c r="AN93" s="231" t="str">
        <f ca="1">IF(Giocatori!E100=0,"",Giocatori!E100)</f>
        <v/>
      </c>
      <c r="AO93" s="221"/>
      <c r="AP93" s="231" t="str">
        <f ca="1">IF(Giocatori!H100=0,"",Giocatori!H100)</f>
        <v>HELANDER</v>
      </c>
      <c r="AQ93" s="221"/>
      <c r="AR93" s="231" t="str">
        <f ca="1">IF(Giocatori!K100=0,"",Giocatori!K100)</f>
        <v>JORGINHO</v>
      </c>
      <c r="AS93" s="221"/>
      <c r="AT93" s="231" t="str">
        <f ca="1">IF(Giocatori!N100=0,"",Giocatori!N100)</f>
        <v>SIMEONE</v>
      </c>
      <c r="AU93" s="221"/>
      <c r="AV93" s="231" t="str">
        <f ca="1">IF(Giocatori!Q100=0,"",Giocatori!Q100)</f>
        <v/>
      </c>
      <c r="AX93" t="str">
        <f t="shared" ca="1" si="120"/>
        <v/>
      </c>
      <c r="AY93" s="7">
        <f t="shared" ca="1" si="97"/>
        <v>65</v>
      </c>
      <c r="AZ93" s="7">
        <f t="shared" ca="1" si="121"/>
        <v>0</v>
      </c>
      <c r="BA93" s="4" t="str">
        <f ca="1">IF(AC15=0,"",AC15)</f>
        <v/>
      </c>
      <c r="BB93" t="str">
        <f t="shared" ca="1" si="123"/>
        <v>HELANDER</v>
      </c>
      <c r="BC93" s="7">
        <f t="shared" ca="1" si="108"/>
        <v>93</v>
      </c>
      <c r="BD93" s="7" t="str">
        <f t="shared" ca="1" si="124"/>
        <v>HELANDER</v>
      </c>
      <c r="BE93" s="4" t="str">
        <f ca="1">IF(AC31=0,"",AC31)</f>
        <v/>
      </c>
      <c r="BF93" t="str">
        <f t="shared" ca="1" si="126"/>
        <v>JORGINHO</v>
      </c>
      <c r="BG93" s="7">
        <f t="shared" ca="1" si="109"/>
        <v>93</v>
      </c>
      <c r="BH93" s="7" t="str">
        <f t="shared" ca="1" si="127"/>
        <v>JORGINHO</v>
      </c>
      <c r="BI93" s="4" t="str">
        <f ca="1">IF(AI49=0,"",AI49)</f>
        <v/>
      </c>
      <c r="BJ93" t="str">
        <f t="shared" ca="1" si="129"/>
        <v>SIMEONE</v>
      </c>
      <c r="BK93" s="7">
        <f t="shared" ca="1" si="110"/>
        <v>93</v>
      </c>
      <c r="BL93" s="7" t="str">
        <f t="shared" ca="1" si="130"/>
        <v>SIMEONE</v>
      </c>
      <c r="BM93" s="4" t="str">
        <f t="shared" ca="1" si="161"/>
        <v/>
      </c>
      <c r="BN93" t="str">
        <f t="shared" ca="1" si="132"/>
        <v/>
      </c>
      <c r="BO93" s="7">
        <f t="shared" ca="1" si="133"/>
        <v>1</v>
      </c>
      <c r="BP93" s="7">
        <f t="shared" ca="1" si="134"/>
        <v>0</v>
      </c>
    </row>
    <row r="94" spans="1:68" ht="14.25">
      <c r="B94" s="24" t="str">
        <f>"Totale "&amp;A73</f>
        <v>Totale Trattative</v>
      </c>
      <c r="C94" s="25">
        <f ca="1">SUM(C74:C93)</f>
        <v>0</v>
      </c>
      <c r="E94" s="24" t="str">
        <f>"Totale "&amp;E73</f>
        <v xml:space="preserve">Totale </v>
      </c>
      <c r="F94" s="25">
        <f ca="1">SUM(F74:F93)</f>
        <v>0</v>
      </c>
      <c r="H94" s="24" t="str">
        <f>"Totale "&amp;H73</f>
        <v xml:space="preserve">Totale </v>
      </c>
      <c r="I94" s="25">
        <f ca="1">SUM(I74:I93)</f>
        <v>0</v>
      </c>
      <c r="J94" s="24"/>
      <c r="K94" s="24" t="str">
        <f>"Totale "&amp;J73</f>
        <v>Totale Trattative</v>
      </c>
      <c r="L94" s="25">
        <f ca="1">SUM(L74:L93)</f>
        <v>0</v>
      </c>
      <c r="N94" s="24" t="str">
        <f>"Totale "&amp;N73</f>
        <v xml:space="preserve">Totale </v>
      </c>
      <c r="O94" s="25">
        <f ca="1">SUM(O74:O93)</f>
        <v>0</v>
      </c>
      <c r="Q94" s="24" t="str">
        <f>"Totale "&amp;Q73</f>
        <v xml:space="preserve">Totale </v>
      </c>
      <c r="R94" s="25">
        <f ca="1">SUM(R74:R93)</f>
        <v>0</v>
      </c>
      <c r="T94" s="24" t="str">
        <f>"Totale "&amp;T73</f>
        <v xml:space="preserve">Totale </v>
      </c>
      <c r="U94" s="25">
        <f ca="1">SUM(U74:U93)</f>
        <v>0</v>
      </c>
      <c r="W94" s="24" t="str">
        <f>"Totale "&amp;W73</f>
        <v xml:space="preserve">Totale </v>
      </c>
      <c r="X94" s="25">
        <f ca="1">SUM(X74:X93)</f>
        <v>0</v>
      </c>
      <c r="Z94" s="24" t="str">
        <f>"Totale "&amp;Z73</f>
        <v xml:space="preserve">Totale </v>
      </c>
      <c r="AA94" s="25">
        <f ca="1">SUM(AA74:AA93)</f>
        <v>0</v>
      </c>
      <c r="AC94" s="24" t="str">
        <f>"Totale "&amp;AC73</f>
        <v xml:space="preserve">Totale </v>
      </c>
      <c r="AD94" s="25">
        <f ca="1">SUM(AD74:AD93)</f>
        <v>0</v>
      </c>
      <c r="AF94" s="24" t="str">
        <f>"Totale "&amp;AF73</f>
        <v xml:space="preserve">Totale </v>
      </c>
      <c r="AG94" s="25">
        <f ca="1">SUM(AG74:AG93)</f>
        <v>0</v>
      </c>
      <c r="AI94" s="24" t="str">
        <f>"Totale "&amp;AI73</f>
        <v xml:space="preserve">Totale </v>
      </c>
      <c r="AJ94" s="25">
        <f ca="1">SUM(AJ74:AJ93)</f>
        <v>0</v>
      </c>
      <c r="AM94" s="221"/>
      <c r="AN94" s="231" t="str">
        <f ca="1">IF(Giocatori!E102=0,"",Giocatori!E102)</f>
        <v/>
      </c>
      <c r="AO94" s="221"/>
      <c r="AP94" s="231" t="str">
        <f ca="1">IF(Giocatori!H102=0,"",Giocatori!H102)</f>
        <v>HOWEDES</v>
      </c>
      <c r="AQ94" s="221"/>
      <c r="AR94" s="231" t="str">
        <f ca="1">IF(Giocatori!K102=0,"",Giocatori!K102)</f>
        <v>KESSIE'</v>
      </c>
      <c r="AS94" s="221"/>
      <c r="AT94" s="231" t="str">
        <f ca="1">IF(Giocatori!N102=0,"",Giocatori!N102)</f>
        <v>STEPINSKI</v>
      </c>
      <c r="AU94" s="221"/>
      <c r="AV94" s="231" t="str">
        <f ca="1">IF(Giocatori!Q102=0,"",Giocatori!Q102)</f>
        <v/>
      </c>
      <c r="AX94" t="str">
        <f t="shared" ca="1" si="120"/>
        <v/>
      </c>
      <c r="AY94" s="7">
        <f t="shared" ca="1" si="97"/>
        <v>65</v>
      </c>
      <c r="AZ94" s="7">
        <f t="shared" ca="1" si="121"/>
        <v>0</v>
      </c>
      <c r="BA94" s="4" t="str">
        <f t="shared" ref="BA94:BA100" ca="1" si="172">IF(AC17=0,"",AC17)</f>
        <v/>
      </c>
      <c r="BB94" t="str">
        <f t="shared" ca="1" si="123"/>
        <v>HOWEDES</v>
      </c>
      <c r="BC94" s="7">
        <f t="shared" ca="1" si="108"/>
        <v>94</v>
      </c>
      <c r="BD94" s="7" t="str">
        <f t="shared" ca="1" si="124"/>
        <v>HOWEDES</v>
      </c>
      <c r="BE94" s="4" t="str">
        <f t="shared" ref="BE94:BE100" ca="1" si="173">IF(AC33=0,"",AC33)</f>
        <v/>
      </c>
      <c r="BF94" t="str">
        <f t="shared" ca="1" si="126"/>
        <v>KESSIE'</v>
      </c>
      <c r="BG94" s="7">
        <f t="shared" ca="1" si="109"/>
        <v>94</v>
      </c>
      <c r="BH94" s="7" t="str">
        <f t="shared" ca="1" si="127"/>
        <v>KESSIE'</v>
      </c>
      <c r="BI94" s="4" t="str">
        <f ca="1">IF(AI51=0,"",AI51)</f>
        <v/>
      </c>
      <c r="BJ94" t="str">
        <f t="shared" ca="1" si="129"/>
        <v>STEPINSKI</v>
      </c>
      <c r="BK94" s="7">
        <f t="shared" ca="1" si="110"/>
        <v>94</v>
      </c>
      <c r="BL94" s="7" t="str">
        <f t="shared" ca="1" si="130"/>
        <v>STEPINSKI</v>
      </c>
      <c r="BM94" s="4" t="str">
        <f t="shared" ref="BM94:BM102" ca="1" si="174">IF(AC31=0,"",AC31)</f>
        <v/>
      </c>
      <c r="BN94" t="str">
        <f t="shared" ca="1" si="132"/>
        <v/>
      </c>
      <c r="BO94" s="7">
        <f t="shared" ca="1" si="133"/>
        <v>1</v>
      </c>
      <c r="BP94" s="7">
        <f t="shared" ca="1" si="134"/>
        <v>0</v>
      </c>
    </row>
    <row r="95" spans="1:68" ht="14.25">
      <c r="AM95" s="221"/>
      <c r="AN95" s="231" t="str">
        <f ca="1">IF(Giocatori!E103=0,"",Giocatori!E103)</f>
        <v/>
      </c>
      <c r="AO95" s="221"/>
      <c r="AP95" s="231" t="str">
        <f ca="1">IF(Giocatori!H103=0,"",Giocatori!H103)</f>
        <v>HRISTOV</v>
      </c>
      <c r="AQ95" s="221"/>
      <c r="AR95" s="231" t="str">
        <f ca="1">IF(Giocatori!K103=0,"",Giocatori!K103)</f>
        <v>KHEDIRA</v>
      </c>
      <c r="AS95" s="221"/>
      <c r="AT95" s="231" t="str">
        <f ca="1">IF(Giocatori!N103=0,"",Giocatori!N103)</f>
        <v>SUSO</v>
      </c>
      <c r="AU95" s="221"/>
      <c r="AV95" s="231" t="str">
        <f ca="1">IF(Giocatori!Q103=0,"",Giocatori!Q103)</f>
        <v/>
      </c>
      <c r="AX95" t="str">
        <f t="shared" ca="1" si="120"/>
        <v/>
      </c>
      <c r="AY95" s="7">
        <f t="shared" ca="1" si="97"/>
        <v>65</v>
      </c>
      <c r="AZ95" s="7">
        <f t="shared" ca="1" si="121"/>
        <v>0</v>
      </c>
      <c r="BA95" s="4" t="str">
        <f t="shared" ca="1" si="172"/>
        <v/>
      </c>
      <c r="BB95" t="str">
        <f t="shared" ca="1" si="123"/>
        <v>HRISTOV</v>
      </c>
      <c r="BC95" s="7">
        <f t="shared" ca="1" si="108"/>
        <v>95</v>
      </c>
      <c r="BD95" s="7" t="str">
        <f t="shared" ca="1" si="124"/>
        <v>HRISTOV</v>
      </c>
      <c r="BE95" s="4" t="str">
        <f t="shared" ca="1" si="173"/>
        <v/>
      </c>
      <c r="BF95" t="str">
        <f t="shared" ca="1" si="126"/>
        <v>KHEDIRA</v>
      </c>
      <c r="BG95" s="7">
        <f t="shared" ca="1" si="109"/>
        <v>95</v>
      </c>
      <c r="BH95" s="7" t="str">
        <f t="shared" ca="1" si="127"/>
        <v>KHEDIRA</v>
      </c>
      <c r="BI95" s="4" t="str">
        <f ca="1">IF(AI52=0,"",AI52)</f>
        <v/>
      </c>
      <c r="BJ95" t="str">
        <f t="shared" ca="1" si="129"/>
        <v>SUSO</v>
      </c>
      <c r="BK95" s="7">
        <f t="shared" ca="1" si="110"/>
        <v>95</v>
      </c>
      <c r="BL95" s="7" t="str">
        <f t="shared" ca="1" si="130"/>
        <v>SUSO</v>
      </c>
      <c r="BM95" s="4" t="str">
        <f t="shared" ca="1" si="174"/>
        <v/>
      </c>
      <c r="BN95" t="str">
        <f t="shared" ca="1" si="132"/>
        <v/>
      </c>
      <c r="BO95" s="7">
        <f t="shared" ca="1" si="133"/>
        <v>1</v>
      </c>
      <c r="BP95" s="7">
        <f t="shared" ca="1" si="134"/>
        <v>0</v>
      </c>
    </row>
    <row r="96" spans="1:68" ht="14.25">
      <c r="AM96" s="221"/>
      <c r="AN96" s="231" t="str">
        <f ca="1">IF(Giocatori!E104=0,"",Giocatori!E104)</f>
        <v/>
      </c>
      <c r="AO96" s="221"/>
      <c r="AP96" s="231" t="str">
        <f ca="1">IF(Giocatori!H104=0,"",Giocatori!H104)</f>
        <v>HYSAJ</v>
      </c>
      <c r="AQ96" s="221"/>
      <c r="AR96" s="231" t="str">
        <f ca="1">IF(Giocatori!K104=0,"",Giocatori!K104)</f>
        <v>KRAGL</v>
      </c>
      <c r="AS96" s="221"/>
      <c r="AT96" s="231" t="str">
        <f ca="1">IF(Giocatori!N104=0,"",Giocatori!N104)</f>
        <v>TAARABT</v>
      </c>
      <c r="AU96" s="221"/>
      <c r="AV96" s="231" t="str">
        <f ca="1">IF(Giocatori!Q104=0,"",Giocatori!Q104)</f>
        <v/>
      </c>
      <c r="AX96" t="str">
        <f t="shared" ca="1" si="120"/>
        <v/>
      </c>
      <c r="AY96" s="7">
        <f t="shared" ca="1" si="97"/>
        <v>65</v>
      </c>
      <c r="AZ96" s="7">
        <f t="shared" ca="1" si="121"/>
        <v>0</v>
      </c>
      <c r="BA96" s="4" t="str">
        <f t="shared" ca="1" si="172"/>
        <v/>
      </c>
      <c r="BB96" t="str">
        <f t="shared" ca="1" si="123"/>
        <v>HYSAJ</v>
      </c>
      <c r="BC96" s="7">
        <f t="shared" ca="1" si="108"/>
        <v>96</v>
      </c>
      <c r="BD96" s="7" t="str">
        <f t="shared" ca="1" si="124"/>
        <v>HYSAJ</v>
      </c>
      <c r="BE96" s="4" t="str">
        <f t="shared" ca="1" si="173"/>
        <v/>
      </c>
      <c r="BF96" t="str">
        <f t="shared" ca="1" si="126"/>
        <v>KRAGL</v>
      </c>
      <c r="BG96" s="7">
        <f t="shared" ca="1" si="109"/>
        <v>96</v>
      </c>
      <c r="BH96" s="7" t="str">
        <f t="shared" ca="1" si="127"/>
        <v>KRAGL</v>
      </c>
      <c r="BI96" s="4" t="str">
        <f ca="1">IF(AI53=0,"",AI53)</f>
        <v/>
      </c>
      <c r="BJ96" t="str">
        <f t="shared" ca="1" si="129"/>
        <v>TAARABT</v>
      </c>
      <c r="BK96" s="7">
        <f t="shared" ca="1" si="110"/>
        <v>96</v>
      </c>
      <c r="BL96" s="7" t="str">
        <f t="shared" ca="1" si="130"/>
        <v>TAARABT</v>
      </c>
      <c r="BM96" s="4" t="str">
        <f t="shared" ca="1" si="174"/>
        <v/>
      </c>
      <c r="BN96" t="str">
        <f t="shared" ca="1" si="132"/>
        <v/>
      </c>
      <c r="BO96" s="7">
        <f t="shared" ca="1" si="133"/>
        <v>1</v>
      </c>
      <c r="BP96" s="7">
        <f t="shared" ca="1" si="134"/>
        <v>0</v>
      </c>
    </row>
    <row r="97" spans="39:68" ht="14.25">
      <c r="AM97" s="221"/>
      <c r="AN97" s="231" t="str">
        <f ca="1">IF(Giocatori!E105=0,"",Giocatori!E105)</f>
        <v/>
      </c>
      <c r="AO97" s="221"/>
      <c r="AP97" s="231" t="str">
        <f ca="1">IF(Giocatori!H105=0,"",Giocatori!H105)</f>
        <v>IZZO</v>
      </c>
      <c r="AQ97" s="221"/>
      <c r="AR97" s="231" t="str">
        <f ca="1">IF(Giocatori!K105=0,"",Giocatori!K105)</f>
        <v>KREJCI</v>
      </c>
      <c r="AS97" s="221"/>
      <c r="AT97" s="231" t="str">
        <f ca="1">IF(Giocatori!N105=0,"",Giocatori!N105)</f>
        <v>THEREAU</v>
      </c>
      <c r="AU97" s="221"/>
      <c r="AV97" s="231" t="str">
        <f ca="1">IF(Giocatori!Q105=0,"",Giocatori!Q105)</f>
        <v/>
      </c>
      <c r="AX97" t="str">
        <f t="shared" ca="1" si="120"/>
        <v/>
      </c>
      <c r="AY97" s="7">
        <f t="shared" ca="1" si="97"/>
        <v>65</v>
      </c>
      <c r="AZ97" s="7">
        <f t="shared" ca="1" si="121"/>
        <v>0</v>
      </c>
      <c r="BA97" s="4" t="str">
        <f t="shared" ca="1" si="172"/>
        <v/>
      </c>
      <c r="BB97" t="str">
        <f t="shared" ca="1" si="123"/>
        <v>IZZO</v>
      </c>
      <c r="BC97" s="7">
        <f t="shared" ca="1" si="108"/>
        <v>97</v>
      </c>
      <c r="BD97" s="7" t="str">
        <f t="shared" ca="1" si="124"/>
        <v>IZZO</v>
      </c>
      <c r="BE97" s="4" t="str">
        <f t="shared" ca="1" si="173"/>
        <v/>
      </c>
      <c r="BF97" t="str">
        <f t="shared" ca="1" si="126"/>
        <v>KREJCI</v>
      </c>
      <c r="BG97" s="7">
        <f t="shared" ca="1" si="109"/>
        <v>97</v>
      </c>
      <c r="BH97" s="7" t="str">
        <f t="shared" ca="1" si="127"/>
        <v>KREJCI</v>
      </c>
      <c r="BJ97" t="str">
        <f t="shared" ca="1" si="129"/>
        <v>THEREAU</v>
      </c>
      <c r="BK97" s="7">
        <f t="shared" ca="1" si="110"/>
        <v>97</v>
      </c>
      <c r="BL97" s="7" t="str">
        <f t="shared" ca="1" si="130"/>
        <v>THEREAU</v>
      </c>
      <c r="BM97" s="4" t="str">
        <f t="shared" ca="1" si="174"/>
        <v/>
      </c>
      <c r="BN97" t="str">
        <f t="shared" ca="1" si="132"/>
        <v/>
      </c>
      <c r="BO97" s="7">
        <f t="shared" ca="1" si="133"/>
        <v>1</v>
      </c>
      <c r="BP97" s="7">
        <f t="shared" ca="1" si="134"/>
        <v>0</v>
      </c>
    </row>
    <row r="98" spans="39:68" ht="14.25">
      <c r="AM98" s="221"/>
      <c r="AN98" s="231" t="str">
        <f ca="1">IF(Giocatori!E106=0,"",Giocatori!E106)</f>
        <v/>
      </c>
      <c r="AO98" s="221"/>
      <c r="AP98" s="231" t="str">
        <f ca="1">IF(Giocatori!H106=0,"",Giocatori!H106)</f>
        <v>JAROSZYNSKI</v>
      </c>
      <c r="AQ98" s="221"/>
      <c r="AR98" s="231" t="str">
        <f ca="1">IF(Giocatori!K106=0,"",Giocatori!K106)</f>
        <v>KURTIC</v>
      </c>
      <c r="AS98" s="221"/>
      <c r="AT98" s="231" t="str">
        <f ca="1">IF(Giocatori!N106=0,"",Giocatori!N106)</f>
        <v>TONEV</v>
      </c>
      <c r="AU98" s="221"/>
      <c r="AV98" s="231" t="str">
        <f ca="1">IF(Giocatori!Q106=0,"",Giocatori!Q106)</f>
        <v/>
      </c>
      <c r="AX98" t="str">
        <f t="shared" ca="1" si="120"/>
        <v/>
      </c>
      <c r="AY98" s="7">
        <f t="shared" ca="1" si="97"/>
        <v>65</v>
      </c>
      <c r="AZ98" s="7">
        <f t="shared" ca="1" si="121"/>
        <v>0</v>
      </c>
      <c r="BA98" s="4" t="str">
        <f t="shared" ca="1" si="172"/>
        <v/>
      </c>
      <c r="BB98" t="str">
        <f t="shared" ca="1" si="123"/>
        <v>JAROSZYNSKI</v>
      </c>
      <c r="BC98" s="7">
        <f t="shared" ca="1" si="108"/>
        <v>98</v>
      </c>
      <c r="BD98" s="7" t="str">
        <f t="shared" ca="1" si="124"/>
        <v>JAROSZYNSKI</v>
      </c>
      <c r="BE98" s="4" t="str">
        <f t="shared" ca="1" si="173"/>
        <v/>
      </c>
      <c r="BF98" t="str">
        <f t="shared" ca="1" si="126"/>
        <v>KURTIC</v>
      </c>
      <c r="BG98" s="7">
        <f t="shared" ca="1" si="109"/>
        <v>98</v>
      </c>
      <c r="BH98" s="7" t="str">
        <f t="shared" ca="1" si="127"/>
        <v>KURTIC</v>
      </c>
      <c r="BJ98" t="str">
        <f t="shared" ca="1" si="129"/>
        <v>TONEV</v>
      </c>
      <c r="BK98" s="7">
        <f t="shared" ca="1" si="110"/>
        <v>98</v>
      </c>
      <c r="BL98" s="7" t="str">
        <f t="shared" ca="1" si="130"/>
        <v>TONEV</v>
      </c>
      <c r="BM98" s="4" t="str">
        <f t="shared" ca="1" si="174"/>
        <v/>
      </c>
      <c r="BN98" t="str">
        <f t="shared" ca="1" si="132"/>
        <v/>
      </c>
      <c r="BO98" s="7">
        <f t="shared" ca="1" si="133"/>
        <v>1</v>
      </c>
      <c r="BP98" s="7">
        <f t="shared" ca="1" si="134"/>
        <v>0</v>
      </c>
    </row>
    <row r="99" spans="39:68" ht="14.25">
      <c r="AM99" s="221"/>
      <c r="AN99" s="231" t="str">
        <f ca="1">IF(Giocatori!E107=0,"",Giocatori!E107)</f>
        <v/>
      </c>
      <c r="AO99" s="221"/>
      <c r="AP99" s="231" t="str">
        <f ca="1">IF(Giocatori!H107=0,"",Giocatori!H107)</f>
        <v>JUAN JESUS</v>
      </c>
      <c r="AQ99" s="221"/>
      <c r="AR99" s="231" t="str">
        <f ca="1">IF(Giocatori!K107=0,"",Giocatori!K107)</f>
        <v>LAXALT</v>
      </c>
      <c r="AS99" s="221"/>
      <c r="AT99" s="231" t="str">
        <f ca="1">IF(Giocatori!N107=0,"",Giocatori!N107)</f>
        <v>TROTTA</v>
      </c>
      <c r="AU99" s="221"/>
      <c r="AV99" s="231" t="str">
        <f ca="1">IF(Giocatori!Q107=0,"",Giocatori!Q107)</f>
        <v/>
      </c>
      <c r="AX99" t="str">
        <f t="shared" ca="1" si="120"/>
        <v/>
      </c>
      <c r="AY99" s="7">
        <f t="shared" ca="1" si="97"/>
        <v>65</v>
      </c>
      <c r="AZ99" s="7">
        <f t="shared" ca="1" si="121"/>
        <v>0</v>
      </c>
      <c r="BA99" s="4" t="str">
        <f t="shared" ca="1" si="172"/>
        <v/>
      </c>
      <c r="BB99" t="str">
        <f t="shared" ca="1" si="123"/>
        <v>JUAN JESUS</v>
      </c>
      <c r="BC99" s="7">
        <f t="shared" ca="1" si="108"/>
        <v>99</v>
      </c>
      <c r="BD99" s="7" t="str">
        <f t="shared" ca="1" si="124"/>
        <v>JUAN JESUS</v>
      </c>
      <c r="BE99" s="4" t="str">
        <f t="shared" ca="1" si="173"/>
        <v/>
      </c>
      <c r="BF99" t="str">
        <f t="shared" ca="1" si="126"/>
        <v>LAXALT</v>
      </c>
      <c r="BG99" s="7">
        <f t="shared" ca="1" si="109"/>
        <v>99</v>
      </c>
      <c r="BH99" s="7" t="str">
        <f t="shared" ca="1" si="127"/>
        <v>LAXALT</v>
      </c>
      <c r="BJ99" t="str">
        <f t="shared" ca="1" si="129"/>
        <v>TROTTA</v>
      </c>
      <c r="BK99" s="7">
        <f t="shared" ca="1" si="110"/>
        <v>99</v>
      </c>
      <c r="BL99" s="7" t="str">
        <f t="shared" ca="1" si="130"/>
        <v>TROTTA</v>
      </c>
      <c r="BM99" s="4" t="str">
        <f t="shared" ca="1" si="174"/>
        <v/>
      </c>
      <c r="BN99" t="str">
        <f t="shared" ca="1" si="132"/>
        <v/>
      </c>
      <c r="BO99" s="7">
        <f t="shared" ca="1" si="133"/>
        <v>1</v>
      </c>
      <c r="BP99" s="7">
        <f t="shared" ca="1" si="134"/>
        <v>0</v>
      </c>
    </row>
    <row r="100" spans="39:68" ht="14.25">
      <c r="AM100" s="221"/>
      <c r="AN100" s="231" t="str">
        <f ca="1">IF(Giocatori!E108=0,"",Giocatori!E108)</f>
        <v/>
      </c>
      <c r="AO100" s="221"/>
      <c r="AP100" s="231" t="str">
        <f ca="1">IF(Giocatori!H108=0,"",Giocatori!H108)</f>
        <v>KARSDORP</v>
      </c>
      <c r="AQ100" s="221"/>
      <c r="AR100" s="231" t="str">
        <f ca="1">IF(Giocatori!K108=0,"",Giocatori!K108)</f>
        <v>LAZOVIC</v>
      </c>
      <c r="AS100" s="221"/>
      <c r="AT100" s="231" t="str">
        <f ca="1">IF(Giocatori!N108=0,"",Giocatori!N108)</f>
        <v>TUMMINELLO</v>
      </c>
      <c r="AU100" s="221"/>
      <c r="AV100" s="231" t="str">
        <f ca="1">IF(Giocatori!Q108=0,"",Giocatori!Q108)</f>
        <v/>
      </c>
      <c r="AX100" t="str">
        <f t="shared" ca="1" si="120"/>
        <v/>
      </c>
      <c r="AY100" s="7">
        <f t="shared" ca="1" si="97"/>
        <v>65</v>
      </c>
      <c r="AZ100" s="7">
        <f t="shared" ca="1" si="121"/>
        <v>0</v>
      </c>
      <c r="BA100" s="4" t="str">
        <f t="shared" ca="1" si="172"/>
        <v/>
      </c>
      <c r="BB100" t="str">
        <f t="shared" ca="1" si="123"/>
        <v>KARSDORP</v>
      </c>
      <c r="BC100" s="7">
        <f t="shared" ca="1" si="108"/>
        <v>100</v>
      </c>
      <c r="BD100" s="7" t="str">
        <f t="shared" ca="1" si="124"/>
        <v>KARSDORP</v>
      </c>
      <c r="BE100" s="4" t="str">
        <f t="shared" ca="1" si="173"/>
        <v/>
      </c>
      <c r="BF100" t="str">
        <f t="shared" ca="1" si="126"/>
        <v>LAZOVIC</v>
      </c>
      <c r="BG100" s="7">
        <f t="shared" ca="1" si="109"/>
        <v>100</v>
      </c>
      <c r="BH100" s="7" t="str">
        <f t="shared" ca="1" si="127"/>
        <v>LAZOVIC</v>
      </c>
      <c r="BJ100" t="str">
        <f t="shared" ca="1" si="129"/>
        <v>TUMMINELLO</v>
      </c>
      <c r="BK100" s="7">
        <f t="shared" ca="1" si="110"/>
        <v>100</v>
      </c>
      <c r="BL100" s="7" t="str">
        <f t="shared" ca="1" si="130"/>
        <v>TUMMINELLO</v>
      </c>
      <c r="BM100" s="4" t="str">
        <f t="shared" ca="1" si="174"/>
        <v/>
      </c>
      <c r="BN100" t="str">
        <f t="shared" ca="1" si="132"/>
        <v/>
      </c>
      <c r="BO100" s="7">
        <f t="shared" ca="1" si="133"/>
        <v>1</v>
      </c>
      <c r="BP100" s="7">
        <f t="shared" ca="1" si="134"/>
        <v>0</v>
      </c>
    </row>
    <row r="101" spans="39:68" ht="14.25">
      <c r="AM101" s="221"/>
      <c r="AN101" s="231" t="str">
        <f ca="1">IF(Giocatori!E109=0,"",Giocatori!E109)</f>
        <v/>
      </c>
      <c r="AO101" s="221"/>
      <c r="AP101" s="231" t="str">
        <f ca="1">IF(Giocatori!H109=0,"",Giocatori!H109)</f>
        <v>KEITA C</v>
      </c>
      <c r="AQ101" s="221"/>
      <c r="AR101" s="231" t="str">
        <f ca="1">IF(Giocatori!K109=0,"",Giocatori!K109)</f>
        <v>LAZZARI M</v>
      </c>
      <c r="AS101" s="221"/>
      <c r="AT101" s="231" t="str">
        <f ca="1">IF(Giocatori!N109=0,"",Giocatori!N109)</f>
        <v>VERDE</v>
      </c>
      <c r="AU101" s="221"/>
      <c r="AV101" s="231" t="str">
        <f ca="1">IF(Giocatori!Q109=0,"",Giocatori!Q109)</f>
        <v/>
      </c>
      <c r="AX101" t="str">
        <f t="shared" ca="1" si="120"/>
        <v/>
      </c>
      <c r="AY101" s="7">
        <f t="shared" ca="1" si="97"/>
        <v>65</v>
      </c>
      <c r="AZ101" s="7">
        <f t="shared" ca="1" si="121"/>
        <v>0</v>
      </c>
      <c r="BA101" s="4" t="str">
        <f t="shared" ref="BA101:BA110" si="175">IF(AF13=0,"",AF13)</f>
        <v/>
      </c>
      <c r="BB101" t="str">
        <f t="shared" ca="1" si="123"/>
        <v>KEITA C</v>
      </c>
      <c r="BC101" s="7">
        <f t="shared" ca="1" si="108"/>
        <v>101</v>
      </c>
      <c r="BD101" s="7" t="str">
        <f t="shared" ca="1" si="124"/>
        <v>KEITA C</v>
      </c>
      <c r="BE101" s="4" t="str">
        <f t="shared" ref="BE101:BE110" ca="1" si="176">IF(AF30=0,"",AF30)</f>
        <v/>
      </c>
      <c r="BF101" t="str">
        <f t="shared" ca="1" si="126"/>
        <v>LAZZARI M</v>
      </c>
      <c r="BG101" s="7">
        <f t="shared" ca="1" si="109"/>
        <v>101</v>
      </c>
      <c r="BH101" s="7" t="str">
        <f t="shared" ca="1" si="127"/>
        <v>LAZZARI M</v>
      </c>
      <c r="BJ101" t="str">
        <f t="shared" ca="1" si="129"/>
        <v>VERDE</v>
      </c>
      <c r="BK101" s="7">
        <f t="shared" ca="1" si="110"/>
        <v>101</v>
      </c>
      <c r="BL101" s="7" t="str">
        <f t="shared" ca="1" si="130"/>
        <v>VERDE</v>
      </c>
      <c r="BM101" s="4" t="str">
        <f t="shared" ca="1" si="174"/>
        <v/>
      </c>
      <c r="BN101" t="str">
        <f t="shared" ca="1" si="132"/>
        <v/>
      </c>
      <c r="BO101" s="7">
        <f t="shared" ca="1" si="133"/>
        <v>1</v>
      </c>
      <c r="BP101" s="7">
        <f t="shared" ca="1" si="134"/>
        <v>0</v>
      </c>
    </row>
    <row r="102" spans="39:68" ht="14.25">
      <c r="AM102" s="221"/>
      <c r="AN102" s="231" t="str">
        <f ca="1">IF(Giocatori!E110=0,"",Giocatori!E110)</f>
        <v/>
      </c>
      <c r="AO102" s="221"/>
      <c r="AP102" s="231" t="str">
        <f ca="1">IF(Giocatori!H110=0,"",Giocatori!H110)</f>
        <v>KOLAROV</v>
      </c>
      <c r="AQ102" s="221"/>
      <c r="AR102" s="231" t="str">
        <f ca="1">IF(Giocatori!K110=0,"",Giocatori!K110)</f>
        <v>LINETTY</v>
      </c>
      <c r="AS102" s="221"/>
      <c r="AT102" s="231" t="str">
        <f ca="1">IF(Giocatori!N110=0,"",Giocatori!N110)</f>
        <v>VERDI</v>
      </c>
      <c r="AU102" s="221"/>
      <c r="AV102" s="231" t="str">
        <f ca="1">IF(Giocatori!Q110=0,"",Giocatori!Q110)</f>
        <v/>
      </c>
      <c r="AX102" t="str">
        <f t="shared" ca="1" si="120"/>
        <v/>
      </c>
      <c r="AY102" s="7">
        <f t="shared" ca="1" si="97"/>
        <v>65</v>
      </c>
      <c r="AZ102" s="7">
        <f t="shared" ca="1" si="121"/>
        <v>0</v>
      </c>
      <c r="BA102" s="4" t="str">
        <f t="shared" ca="1" si="175"/>
        <v/>
      </c>
      <c r="BB102" t="str">
        <f t="shared" ca="1" si="123"/>
        <v>KOLAROV</v>
      </c>
      <c r="BC102" s="7">
        <f t="shared" ca="1" si="108"/>
        <v>102</v>
      </c>
      <c r="BD102" s="7" t="str">
        <f t="shared" ca="1" si="124"/>
        <v>KOLAROV</v>
      </c>
      <c r="BE102" s="4" t="str">
        <f t="shared" ca="1" si="176"/>
        <v/>
      </c>
      <c r="BF102" t="str">
        <f t="shared" ca="1" si="126"/>
        <v>LINETTY</v>
      </c>
      <c r="BG102" s="7">
        <f t="shared" ca="1" si="109"/>
        <v>102</v>
      </c>
      <c r="BH102" s="7" t="str">
        <f t="shared" ca="1" si="127"/>
        <v>LINETTY</v>
      </c>
      <c r="BJ102" t="str">
        <f t="shared" ca="1" si="129"/>
        <v>VERDI</v>
      </c>
      <c r="BK102" s="7">
        <f t="shared" ca="1" si="110"/>
        <v>102</v>
      </c>
      <c r="BL102" s="7" t="str">
        <f t="shared" ca="1" si="130"/>
        <v>VERDI</v>
      </c>
      <c r="BM102" s="4" t="str">
        <f t="shared" ca="1" si="174"/>
        <v/>
      </c>
      <c r="BN102" t="str">
        <f t="shared" ca="1" si="132"/>
        <v/>
      </c>
      <c r="BO102" s="7">
        <f t="shared" ca="1" si="133"/>
        <v>1</v>
      </c>
      <c r="BP102" s="7">
        <f t="shared" ca="1" si="134"/>
        <v>0</v>
      </c>
    </row>
    <row r="103" spans="39:68" ht="14.25">
      <c r="AM103" s="221"/>
      <c r="AN103" s="231" t="str">
        <f ca="1">IF(Giocatori!E111=0,"",Giocatori!E111)</f>
        <v/>
      </c>
      <c r="AO103" s="221"/>
      <c r="AP103" s="231" t="str">
        <f ca="1">IF(Giocatori!H111=0,"",Giocatori!H111)</f>
        <v>KONATE</v>
      </c>
      <c r="AQ103" s="221"/>
      <c r="AR103" s="231" t="str">
        <f ca="1">IF(Giocatori!K111=0,"",Giocatori!K111)</f>
        <v>LJAJIC</v>
      </c>
      <c r="AS103" s="221"/>
      <c r="AT103" s="231" t="str">
        <f ca="1">IF(Giocatori!N111=0,"",Giocatori!N111)</f>
        <v>VIDO</v>
      </c>
      <c r="AU103" s="221"/>
      <c r="AV103" s="231" t="str">
        <f ca="1">IF(Giocatori!Q111=0,"",Giocatori!Q111)</f>
        <v/>
      </c>
      <c r="AX103" t="str">
        <f t="shared" ca="1" si="120"/>
        <v/>
      </c>
      <c r="AY103" s="7">
        <f t="shared" ca="1" si="97"/>
        <v>65</v>
      </c>
      <c r="AZ103" s="7">
        <f t="shared" ca="1" si="121"/>
        <v>0</v>
      </c>
      <c r="BA103" s="4" t="str">
        <f t="shared" ca="1" si="175"/>
        <v/>
      </c>
      <c r="BB103" t="str">
        <f t="shared" ca="1" si="123"/>
        <v>KONATE</v>
      </c>
      <c r="BC103" s="7">
        <f t="shared" ca="1" si="108"/>
        <v>103</v>
      </c>
      <c r="BD103" s="7" t="str">
        <f t="shared" ca="1" si="124"/>
        <v>KONATE</v>
      </c>
      <c r="BE103" s="4" t="str">
        <f t="shared" ca="1" si="176"/>
        <v/>
      </c>
      <c r="BF103" t="str">
        <f t="shared" ca="1" si="126"/>
        <v>LJAJIC</v>
      </c>
      <c r="BG103" s="7">
        <f t="shared" ca="1" si="109"/>
        <v>103</v>
      </c>
      <c r="BH103" s="7" t="str">
        <f t="shared" ca="1" si="127"/>
        <v>LJAJIC</v>
      </c>
      <c r="BJ103" t="str">
        <f t="shared" ca="1" si="129"/>
        <v>VIDO</v>
      </c>
      <c r="BK103" s="7">
        <f t="shared" ca="1" si="110"/>
        <v>103</v>
      </c>
      <c r="BL103" s="7" t="str">
        <f t="shared" ca="1" si="130"/>
        <v>VIDO</v>
      </c>
      <c r="BM103" s="4" t="str">
        <f t="shared" ref="BM103:BM112" ca="1" si="177">IF(AF30=0,"",AF30)</f>
        <v/>
      </c>
      <c r="BN103" t="str">
        <f t="shared" ca="1" si="132"/>
        <v/>
      </c>
      <c r="BO103" s="7">
        <f t="shared" ca="1" si="133"/>
        <v>1</v>
      </c>
      <c r="BP103" s="7">
        <f t="shared" ca="1" si="134"/>
        <v>0</v>
      </c>
    </row>
    <row r="104" spans="39:68" ht="14.25">
      <c r="AM104" s="221"/>
      <c r="AN104" s="231" t="str">
        <f ca="1">IF(Giocatori!E112=0,"",Giocatori!E112)</f>
        <v/>
      </c>
      <c r="AO104" s="221"/>
      <c r="AP104" s="231" t="str">
        <f ca="1">IF(Giocatori!H112=0,"",Giocatori!H112)</f>
        <v>KOULIBALY</v>
      </c>
      <c r="AQ104" s="221"/>
      <c r="AR104" s="231" t="str">
        <f ca="1">IF(Giocatori!K112=0,"",Giocatori!K112)</f>
        <v>LOCATELLI M</v>
      </c>
      <c r="AS104" s="221"/>
      <c r="AT104" s="231" t="str">
        <f ca="1">IF(Giocatori!N112=0,"",Giocatori!N112)</f>
        <v>ZAPATA D</v>
      </c>
      <c r="AU104" s="221"/>
      <c r="AV104" s="231" t="str">
        <f ca="1">IF(Giocatori!Q112=0,"",Giocatori!Q112)</f>
        <v/>
      </c>
      <c r="AX104" t="str">
        <f t="shared" ca="1" si="120"/>
        <v/>
      </c>
      <c r="AY104" s="7">
        <f t="shared" ca="1" si="97"/>
        <v>65</v>
      </c>
      <c r="AZ104" s="7">
        <f t="shared" ca="1" si="121"/>
        <v>0</v>
      </c>
      <c r="BA104" s="4" t="str">
        <f t="shared" ca="1" si="175"/>
        <v/>
      </c>
      <c r="BB104" t="str">
        <f t="shared" ca="1" si="123"/>
        <v>KOULIBALY</v>
      </c>
      <c r="BC104" s="7">
        <f t="shared" ca="1" si="108"/>
        <v>104</v>
      </c>
      <c r="BD104" s="7" t="str">
        <f t="shared" ca="1" si="124"/>
        <v>KOULIBALY</v>
      </c>
      <c r="BE104" s="4" t="str">
        <f t="shared" ca="1" si="176"/>
        <v/>
      </c>
      <c r="BF104" t="str">
        <f t="shared" ca="1" si="126"/>
        <v>LOCATELLI M</v>
      </c>
      <c r="BG104" s="7">
        <f t="shared" ca="1" si="109"/>
        <v>104</v>
      </c>
      <c r="BH104" s="7" t="str">
        <f t="shared" ca="1" si="127"/>
        <v>LOCATELLI M</v>
      </c>
      <c r="BJ104" t="str">
        <f t="shared" ca="1" si="129"/>
        <v>ZAPATA D</v>
      </c>
      <c r="BK104" s="7">
        <f t="shared" ca="1" si="110"/>
        <v>104</v>
      </c>
      <c r="BL104" s="7" t="str">
        <f t="shared" ca="1" si="130"/>
        <v>ZAPATA D</v>
      </c>
      <c r="BM104" s="4" t="str">
        <f t="shared" ca="1" si="177"/>
        <v/>
      </c>
      <c r="BN104" t="str">
        <f t="shared" ca="1" si="132"/>
        <v/>
      </c>
      <c r="BO104" s="7">
        <f t="shared" ca="1" si="133"/>
        <v>1</v>
      </c>
      <c r="BP104" s="7">
        <f t="shared" ca="1" si="134"/>
        <v>0</v>
      </c>
    </row>
    <row r="105" spans="39:68" ht="14.25">
      <c r="AM105" s="221"/>
      <c r="AN105" s="231" t="str">
        <f ca="1">IF(Giocatori!E113=0,"",Giocatori!E113)</f>
        <v/>
      </c>
      <c r="AO105" s="221"/>
      <c r="AP105" s="231" t="str">
        <f ca="1">IF(Giocatori!H113=0,"",Giocatori!H113)</f>
        <v>KRAFTH</v>
      </c>
      <c r="AQ105" s="221"/>
      <c r="AR105" s="231" t="str">
        <f ca="1">IF(Giocatori!K113=0,"",Giocatori!K113)</f>
        <v>LUCAS LEIVA</v>
      </c>
      <c r="AS105" s="221"/>
      <c r="AT105" s="231" t="str">
        <f ca="1">IF(Giocatori!N113=0,"",Giocatori!N113)</f>
        <v/>
      </c>
      <c r="AU105" s="221"/>
      <c r="AV105" s="231" t="str">
        <f ca="1">IF(Giocatori!Q113=0,"",Giocatori!Q113)</f>
        <v/>
      </c>
      <c r="AX105" t="str">
        <f t="shared" ca="1" si="120"/>
        <v/>
      </c>
      <c r="AY105" s="7">
        <f t="shared" ca="1" si="97"/>
        <v>65</v>
      </c>
      <c r="AZ105" s="7">
        <f t="shared" ca="1" si="121"/>
        <v>0</v>
      </c>
      <c r="BA105" s="4" t="str">
        <f t="shared" ca="1" si="175"/>
        <v/>
      </c>
      <c r="BB105" t="str">
        <f t="shared" ca="1" si="123"/>
        <v>KRAFTH</v>
      </c>
      <c r="BC105" s="7">
        <f t="shared" ca="1" si="108"/>
        <v>105</v>
      </c>
      <c r="BD105" s="7" t="str">
        <f t="shared" ca="1" si="124"/>
        <v>KRAFTH</v>
      </c>
      <c r="BE105" s="4" t="str">
        <f t="shared" ca="1" si="176"/>
        <v/>
      </c>
      <c r="BF105" t="str">
        <f t="shared" ca="1" si="126"/>
        <v>LUCAS LEIVA</v>
      </c>
      <c r="BG105" s="7">
        <f t="shared" ca="1" si="109"/>
        <v>105</v>
      </c>
      <c r="BH105" s="7" t="str">
        <f t="shared" ca="1" si="127"/>
        <v>LUCAS LEIVA</v>
      </c>
      <c r="BJ105" t="str">
        <f t="shared" ca="1" si="129"/>
        <v/>
      </c>
      <c r="BK105" s="7">
        <f t="shared" ca="1" si="110"/>
        <v>104</v>
      </c>
      <c r="BL105" s="7">
        <f t="shared" ca="1" si="130"/>
        <v>0</v>
      </c>
      <c r="BM105" s="4" t="str">
        <f t="shared" ca="1" si="177"/>
        <v/>
      </c>
      <c r="BN105" t="str">
        <f t="shared" ca="1" si="132"/>
        <v/>
      </c>
      <c r="BO105" s="7">
        <f t="shared" ref="BO105:BO136" ca="1" si="178">ROW()-COUNTBLANK(INDIRECT("$BI$2:BI"&amp;ROW()))</f>
        <v>1</v>
      </c>
      <c r="BP105" s="7">
        <f t="shared" ca="1" si="134"/>
        <v>0</v>
      </c>
    </row>
    <row r="106" spans="39:68" ht="14.25">
      <c r="AM106" s="221"/>
      <c r="AN106" s="231" t="str">
        <f ca="1">IF(Giocatori!E114=0,"",Giocatori!E114)</f>
        <v/>
      </c>
      <c r="AO106" s="221"/>
      <c r="AP106" s="231" t="str">
        <f ca="1">IF(Giocatori!H114=0,"",Giocatori!H114)</f>
        <v>LAURINI</v>
      </c>
      <c r="AQ106" s="221"/>
      <c r="AR106" s="231" t="str">
        <f ca="1">IF(Giocatori!K114=0,"",Giocatori!K114)</f>
        <v>LUIS ALBERTO</v>
      </c>
      <c r="AS106" s="221"/>
      <c r="AT106" s="231" t="str">
        <f ca="1">IF(Giocatori!N114=0,"",Giocatori!N114)</f>
        <v/>
      </c>
      <c r="AU106" s="221"/>
      <c r="AV106" s="231" t="str">
        <f ca="1">IF(Giocatori!Q114=0,"",Giocatori!Q114)</f>
        <v/>
      </c>
      <c r="AX106" t="str">
        <f t="shared" ref="AX106:AX137" ca="1" si="179">IF(ISNA(VLOOKUP(AN106,$AW$2:$AW$199,1,FALSE)),AN106,"")</f>
        <v/>
      </c>
      <c r="AY106" s="7">
        <f t="shared" ca="1" si="97"/>
        <v>65</v>
      </c>
      <c r="AZ106" s="7">
        <f t="shared" ref="AZ106:AZ137" ca="1" si="180">IF(ISERROR(INDEX($AX$2:$AX$199,MATCH(ROW(),$AY$2:$AY$199,FALSE))),0,INDEX($AX$2:$AX$199,MATCH(ROW(),$AY$2:$AY$199,FALSE)))</f>
        <v>0</v>
      </c>
      <c r="BA106" s="4" t="str">
        <f t="shared" ca="1" si="175"/>
        <v/>
      </c>
      <c r="BB106" t="str">
        <f t="shared" ref="BB106:BB137" ca="1" si="181">IF(ISNA(VLOOKUP(AP106,$BA$2:$BA$199,1,FALSE)),AP106,"")</f>
        <v>LAURINI</v>
      </c>
      <c r="BC106" s="7">
        <f t="shared" ca="1" si="108"/>
        <v>106</v>
      </c>
      <c r="BD106" s="7" t="str">
        <f t="shared" ref="BD106:BD137" ca="1" si="182">IF(ISERROR(INDEX($BB$2:$BB$199,MATCH(ROW(),$BC$2:$BC$199,FALSE))),0,INDEX($BB$2:$BB$199,MATCH(ROW(),$BC$2:$BC$199,FALSE)))</f>
        <v>LAURINI</v>
      </c>
      <c r="BE106" s="4" t="str">
        <f t="shared" ca="1" si="176"/>
        <v/>
      </c>
      <c r="BF106" t="str">
        <f t="shared" ref="BF106:BF137" ca="1" si="183">IF(ISNA(VLOOKUP(AR106,$BE$2:$BE$199,1,FALSE)),AR106,"")</f>
        <v>LUIS ALBERTO</v>
      </c>
      <c r="BG106" s="7">
        <f t="shared" ca="1" si="109"/>
        <v>106</v>
      </c>
      <c r="BH106" s="7" t="str">
        <f t="shared" ref="BH106:BH137" ca="1" si="184">IF(ISERROR(INDEX($BF$2:$BF$199,MATCH(ROW(),$BG$2:$BG$199,FALSE))),0,INDEX($BF$2:$BF$199,MATCH(ROW(),$BG$2:$BG$199,FALSE)))</f>
        <v>LUIS ALBERTO</v>
      </c>
      <c r="BJ106" t="str">
        <f t="shared" ref="BJ106:BJ137" ca="1" si="185">IF(ISNA(VLOOKUP(AT106,$BI$2:$BI$199,1,FALSE)),AT106,"")</f>
        <v/>
      </c>
      <c r="BK106" s="7">
        <f t="shared" ca="1" si="110"/>
        <v>104</v>
      </c>
      <c r="BL106" s="7">
        <f t="shared" ref="BL106:BL137" ca="1" si="186">IF(ISERROR(INDEX($BJ$2:$BJ$199,MATCH(ROW(),$BK$2:$BK$199,FALSE))),0,INDEX($BJ$2:$BJ$199,MATCH(ROW(),$BK$2:$BK$199,FALSE)))</f>
        <v>0</v>
      </c>
      <c r="BM106" s="4" t="str">
        <f t="shared" ca="1" si="177"/>
        <v/>
      </c>
      <c r="BN106" t="str">
        <f t="shared" ref="BN106:BN137" ca="1" si="187">IF(ISNA(VLOOKUP(AV106,$BM$2:$BM$199,1,FALSE)),AV106,"")</f>
        <v/>
      </c>
      <c r="BO106" s="7">
        <f t="shared" ca="1" si="178"/>
        <v>1</v>
      </c>
      <c r="BP106" s="7">
        <f t="shared" ref="BP106:BP137" ca="1" si="188">IF(ISERROR(INDEX($BN$2:$BN$199,MATCH(ROW(),$BO$2:$BO$199,FALSE))),0,INDEX($BN$2:$BN$199,MATCH(ROW(),$BO$2:$BO$199,FALSE)))</f>
        <v>0</v>
      </c>
    </row>
    <row r="107" spans="39:68" ht="14.25">
      <c r="AM107" s="221"/>
      <c r="AN107" s="231" t="str">
        <f ca="1">IF(Giocatori!E115=0,"",Giocatori!E115)</f>
        <v/>
      </c>
      <c r="AO107" s="221"/>
      <c r="AP107" s="231" t="str">
        <f ca="1">IF(Giocatori!H115=0,"",Giocatori!H115)</f>
        <v>LAZAAR</v>
      </c>
      <c r="AQ107" s="221"/>
      <c r="AR107" s="231" t="str">
        <f ca="1">IF(Giocatori!K115=0,"",Giocatori!K115)</f>
        <v>LULIC</v>
      </c>
      <c r="AS107" s="221"/>
      <c r="AT107" s="231" t="str">
        <f ca="1">IF(Giocatori!N115=0,"",Giocatori!N115)</f>
        <v/>
      </c>
      <c r="AU107" s="221"/>
      <c r="AV107" s="231" t="str">
        <f ca="1">IF(Giocatori!Q115=0,"",Giocatori!Q115)</f>
        <v/>
      </c>
      <c r="AX107" t="str">
        <f t="shared" ca="1" si="179"/>
        <v/>
      </c>
      <c r="AY107" s="7">
        <f t="shared" ca="1" si="97"/>
        <v>65</v>
      </c>
      <c r="AZ107" s="7">
        <f t="shared" ca="1" si="180"/>
        <v>0</v>
      </c>
      <c r="BA107" s="4" t="str">
        <f t="shared" ca="1" si="175"/>
        <v/>
      </c>
      <c r="BB107" t="str">
        <f t="shared" ca="1" si="181"/>
        <v>LAZAAR</v>
      </c>
      <c r="BC107" s="7">
        <f t="shared" ca="1" si="108"/>
        <v>107</v>
      </c>
      <c r="BD107" s="7" t="str">
        <f t="shared" ca="1" si="182"/>
        <v>LAZAAR</v>
      </c>
      <c r="BE107" s="4" t="str">
        <f t="shared" ca="1" si="176"/>
        <v/>
      </c>
      <c r="BF107" t="str">
        <f t="shared" ca="1" si="183"/>
        <v>LULIC</v>
      </c>
      <c r="BG107" s="7">
        <f t="shared" ca="1" si="109"/>
        <v>107</v>
      </c>
      <c r="BH107" s="7" t="str">
        <f t="shared" ca="1" si="184"/>
        <v>LULIC</v>
      </c>
      <c r="BJ107" t="str">
        <f t="shared" ca="1" si="185"/>
        <v/>
      </c>
      <c r="BK107" s="7">
        <f t="shared" ca="1" si="110"/>
        <v>104</v>
      </c>
      <c r="BL107" s="7">
        <f t="shared" ca="1" si="186"/>
        <v>0</v>
      </c>
      <c r="BM107" s="4" t="str">
        <f t="shared" ca="1" si="177"/>
        <v/>
      </c>
      <c r="BN107" t="str">
        <f t="shared" ca="1" si="187"/>
        <v/>
      </c>
      <c r="BO107" s="7">
        <f t="shared" ca="1" si="178"/>
        <v>1</v>
      </c>
      <c r="BP107" s="7">
        <f t="shared" ca="1" si="188"/>
        <v>0</v>
      </c>
    </row>
    <row r="108" spans="39:68" ht="14.25">
      <c r="AM108" s="221"/>
      <c r="AN108" s="231" t="str">
        <f ca="1">IF(Giocatori!E116=0,"",Giocatori!E116)</f>
        <v/>
      </c>
      <c r="AO108" s="221"/>
      <c r="AP108" s="231" t="str">
        <f ca="1">IF(Giocatori!H116=0,"",Giocatori!H116)</f>
        <v>LETIZIA</v>
      </c>
      <c r="AQ108" s="221"/>
      <c r="AR108" s="231" t="str">
        <f ca="1">IF(Giocatori!K116=0,"",Giocatori!K116)</f>
        <v>MAGNANELLI</v>
      </c>
      <c r="AS108" s="221"/>
      <c r="AT108" s="231" t="str">
        <f ca="1">IF(Giocatori!N116=0,"",Giocatori!N116)</f>
        <v/>
      </c>
      <c r="AU108" s="221"/>
      <c r="AV108" s="231" t="str">
        <f ca="1">IF(Giocatori!Q116=0,"",Giocatori!Q116)</f>
        <v/>
      </c>
      <c r="AX108" t="str">
        <f t="shared" ca="1" si="179"/>
        <v/>
      </c>
      <c r="AY108" s="7">
        <f t="shared" ca="1" si="97"/>
        <v>65</v>
      </c>
      <c r="AZ108" s="7">
        <f t="shared" ca="1" si="180"/>
        <v>0</v>
      </c>
      <c r="BA108" s="4" t="str">
        <f t="shared" ca="1" si="175"/>
        <v/>
      </c>
      <c r="BB108" t="str">
        <f t="shared" ca="1" si="181"/>
        <v>LETIZIA</v>
      </c>
      <c r="BC108" s="7">
        <f t="shared" ca="1" si="108"/>
        <v>108</v>
      </c>
      <c r="BD108" s="7" t="str">
        <f t="shared" ca="1" si="182"/>
        <v>LETIZIA</v>
      </c>
      <c r="BE108" s="4" t="str">
        <f t="shared" ca="1" si="176"/>
        <v/>
      </c>
      <c r="BF108" t="str">
        <f t="shared" ca="1" si="183"/>
        <v>MAGNANELLI</v>
      </c>
      <c r="BG108" s="7">
        <f t="shared" ca="1" si="109"/>
        <v>108</v>
      </c>
      <c r="BH108" s="7" t="str">
        <f t="shared" ca="1" si="184"/>
        <v>MAGNANELLI</v>
      </c>
      <c r="BJ108" t="str">
        <f t="shared" ca="1" si="185"/>
        <v/>
      </c>
      <c r="BK108" s="7">
        <f t="shared" ca="1" si="110"/>
        <v>104</v>
      </c>
      <c r="BL108" s="7">
        <f t="shared" ca="1" si="186"/>
        <v>0</v>
      </c>
      <c r="BM108" s="4" t="str">
        <f t="shared" ca="1" si="177"/>
        <v/>
      </c>
      <c r="BN108" t="str">
        <f t="shared" ca="1" si="187"/>
        <v/>
      </c>
      <c r="BO108" s="7">
        <f t="shared" ca="1" si="178"/>
        <v>1</v>
      </c>
      <c r="BP108" s="7">
        <f t="shared" ca="1" si="188"/>
        <v>0</v>
      </c>
    </row>
    <row r="109" spans="39:68" ht="14.25">
      <c r="AM109" s="221"/>
      <c r="AN109" s="231" t="str">
        <f ca="1">IF(Giocatori!E117=0,"",Giocatori!E117)</f>
        <v/>
      </c>
      <c r="AO109" s="221"/>
      <c r="AP109" s="231" t="str">
        <f ca="1">IF(Giocatori!H117=0,"",Giocatori!H117)</f>
        <v>LETSCHERT</v>
      </c>
      <c r="AQ109" s="221"/>
      <c r="AR109" s="231" t="str">
        <f ca="1">IF(Giocatori!K117=0,"",Giocatori!K117)</f>
        <v>MALLE'</v>
      </c>
      <c r="AS109" s="221"/>
      <c r="AT109" s="231" t="str">
        <f ca="1">IF(Giocatori!N117=0,"",Giocatori!N117)</f>
        <v/>
      </c>
      <c r="AU109" s="221"/>
      <c r="AV109" s="231" t="str">
        <f ca="1">IF(Giocatori!Q117=0,"",Giocatori!Q117)</f>
        <v/>
      </c>
      <c r="AX109" t="str">
        <f t="shared" ca="1" si="179"/>
        <v/>
      </c>
      <c r="AY109" s="7">
        <f t="shared" ca="1" si="97"/>
        <v>65</v>
      </c>
      <c r="AZ109" s="7">
        <f t="shared" ca="1" si="180"/>
        <v>0</v>
      </c>
      <c r="BA109" s="4" t="str">
        <f t="shared" ca="1" si="175"/>
        <v/>
      </c>
      <c r="BB109" t="str">
        <f t="shared" ca="1" si="181"/>
        <v>LETSCHERT</v>
      </c>
      <c r="BC109" s="7">
        <f t="shared" ca="1" si="108"/>
        <v>109</v>
      </c>
      <c r="BD109" s="7" t="str">
        <f t="shared" ca="1" si="182"/>
        <v>LETSCHERT</v>
      </c>
      <c r="BE109" s="4" t="str">
        <f t="shared" ca="1" si="176"/>
        <v/>
      </c>
      <c r="BF109" t="str">
        <f t="shared" ca="1" si="183"/>
        <v>MALLE'</v>
      </c>
      <c r="BG109" s="7">
        <f t="shared" ca="1" si="109"/>
        <v>109</v>
      </c>
      <c r="BH109" s="7" t="str">
        <f t="shared" ca="1" si="184"/>
        <v>MALLE'</v>
      </c>
      <c r="BJ109" t="str">
        <f t="shared" ca="1" si="185"/>
        <v/>
      </c>
      <c r="BK109" s="7">
        <f t="shared" ca="1" si="110"/>
        <v>104</v>
      </c>
      <c r="BL109" s="7">
        <f t="shared" ca="1" si="186"/>
        <v>0</v>
      </c>
      <c r="BM109" s="4" t="str">
        <f t="shared" ca="1" si="177"/>
        <v/>
      </c>
      <c r="BN109" t="str">
        <f t="shared" ca="1" si="187"/>
        <v/>
      </c>
      <c r="BO109" s="7">
        <f t="shared" ca="1" si="178"/>
        <v>1</v>
      </c>
      <c r="BP109" s="7">
        <f t="shared" ca="1" si="188"/>
        <v>0</v>
      </c>
    </row>
    <row r="110" spans="39:68" ht="14.25">
      <c r="AM110" s="221"/>
      <c r="AN110" s="231" t="str">
        <f ca="1">IF(Giocatori!E118=0,"",Giocatori!E118)</f>
        <v/>
      </c>
      <c r="AO110" s="221"/>
      <c r="AP110" s="231" t="str">
        <f ca="1">IF(Giocatori!H118=0,"",Giocatori!H118)</f>
        <v>LICHTSTEINER</v>
      </c>
      <c r="AQ110" s="221"/>
      <c r="AR110" s="231" t="str">
        <f ca="1">IF(Giocatori!K118=0,"",Giocatori!K118)</f>
        <v>MANDRAGORA</v>
      </c>
      <c r="AS110" s="221"/>
      <c r="AT110" s="231" t="str">
        <f ca="1">IF(Giocatori!N118=0,"",Giocatori!N118)</f>
        <v/>
      </c>
      <c r="AU110" s="221"/>
      <c r="AV110" s="231" t="str">
        <f ca="1">IF(Giocatori!Q118=0,"",Giocatori!Q118)</f>
        <v/>
      </c>
      <c r="AX110" t="str">
        <f t="shared" ca="1" si="179"/>
        <v/>
      </c>
      <c r="AY110" s="7">
        <f t="shared" ca="1" si="97"/>
        <v>65</v>
      </c>
      <c r="AZ110" s="7">
        <f t="shared" ca="1" si="180"/>
        <v>0</v>
      </c>
      <c r="BA110" s="4" t="str">
        <f t="shared" ca="1" si="175"/>
        <v/>
      </c>
      <c r="BB110" t="str">
        <f t="shared" ca="1" si="181"/>
        <v>LICHTSTEINER</v>
      </c>
      <c r="BC110" s="7">
        <f t="shared" ca="1" si="108"/>
        <v>110</v>
      </c>
      <c r="BD110" s="7" t="str">
        <f t="shared" ca="1" si="182"/>
        <v>LICHTSTEINER</v>
      </c>
      <c r="BE110" s="4" t="str">
        <f t="shared" ca="1" si="176"/>
        <v/>
      </c>
      <c r="BF110" t="str">
        <f t="shared" ca="1" si="183"/>
        <v>MANDRAGORA</v>
      </c>
      <c r="BG110" s="7">
        <f t="shared" ca="1" si="109"/>
        <v>110</v>
      </c>
      <c r="BH110" s="7" t="str">
        <f t="shared" ca="1" si="184"/>
        <v>MANDRAGORA</v>
      </c>
      <c r="BJ110" t="str">
        <f t="shared" ca="1" si="185"/>
        <v/>
      </c>
      <c r="BK110" s="7">
        <f t="shared" ca="1" si="110"/>
        <v>104</v>
      </c>
      <c r="BL110" s="7">
        <f t="shared" ca="1" si="186"/>
        <v>0</v>
      </c>
      <c r="BM110" s="4" t="str">
        <f t="shared" ca="1" si="177"/>
        <v/>
      </c>
      <c r="BN110" t="str">
        <f t="shared" ca="1" si="187"/>
        <v/>
      </c>
      <c r="BO110" s="7">
        <f t="shared" ca="1" si="178"/>
        <v>1</v>
      </c>
      <c r="BP110" s="7">
        <f t="shared" ca="1" si="188"/>
        <v>0</v>
      </c>
    </row>
    <row r="111" spans="39:68" ht="14.25">
      <c r="AM111" s="221"/>
      <c r="AN111" s="231" t="str">
        <f ca="1">IF(Giocatori!E119=0,"",Giocatori!E119)</f>
        <v/>
      </c>
      <c r="AO111" s="221"/>
      <c r="AP111" s="231" t="str">
        <f ca="1">IF(Giocatori!H119=0,"",Giocatori!H119)</f>
        <v>LIROLA</v>
      </c>
      <c r="AQ111" s="221"/>
      <c r="AR111" s="231" t="str">
        <f ca="1">IF(Giocatori!K119=0,"",Giocatori!K119)</f>
        <v>MARCHISIO</v>
      </c>
      <c r="AS111" s="221"/>
      <c r="AT111" s="231" t="str">
        <f ca="1">IF(Giocatori!N119=0,"",Giocatori!N119)</f>
        <v/>
      </c>
      <c r="AU111" s="221"/>
      <c r="AV111" s="231" t="str">
        <f ca="1">IF(Giocatori!Q119=0,"",Giocatori!Q119)</f>
        <v/>
      </c>
      <c r="AX111" t="str">
        <f t="shared" ca="1" si="179"/>
        <v/>
      </c>
      <c r="AY111" s="7">
        <f t="shared" ca="1" si="97"/>
        <v>65</v>
      </c>
      <c r="AZ111" s="7">
        <f t="shared" ca="1" si="180"/>
        <v>0</v>
      </c>
      <c r="BA111" s="4" t="str">
        <f t="shared" ref="BA111:BA120" ca="1" si="189">IF(AI14=0,"",AI14)</f>
        <v/>
      </c>
      <c r="BB111" t="str">
        <f t="shared" ca="1" si="181"/>
        <v>LIROLA</v>
      </c>
      <c r="BC111" s="7">
        <f t="shared" ca="1" si="108"/>
        <v>111</v>
      </c>
      <c r="BD111" s="7" t="str">
        <f t="shared" ca="1" si="182"/>
        <v>LIROLA</v>
      </c>
      <c r="BE111" s="4" t="str">
        <f t="shared" ref="BE111:BE120" ca="1" si="190">IF(AI30=0,"",AI30)</f>
        <v/>
      </c>
      <c r="BF111" t="str">
        <f t="shared" ca="1" si="183"/>
        <v>MARCHISIO</v>
      </c>
      <c r="BG111" s="7">
        <f t="shared" ca="1" si="109"/>
        <v>111</v>
      </c>
      <c r="BH111" s="7" t="str">
        <f t="shared" ca="1" si="184"/>
        <v>MARCHISIO</v>
      </c>
      <c r="BJ111" t="str">
        <f t="shared" ca="1" si="185"/>
        <v/>
      </c>
      <c r="BK111" s="7">
        <f t="shared" ca="1" si="110"/>
        <v>104</v>
      </c>
      <c r="BL111" s="7">
        <f t="shared" ca="1" si="186"/>
        <v>0</v>
      </c>
      <c r="BM111" s="4" t="str">
        <f t="shared" ca="1" si="177"/>
        <v/>
      </c>
      <c r="BN111" t="str">
        <f t="shared" ca="1" si="187"/>
        <v/>
      </c>
      <c r="BO111" s="7">
        <f t="shared" ca="1" si="178"/>
        <v>1</v>
      </c>
      <c r="BP111" s="7">
        <f t="shared" ca="1" si="188"/>
        <v>0</v>
      </c>
    </row>
    <row r="112" spans="39:68" ht="14.25">
      <c r="AM112" s="221"/>
      <c r="AN112" s="231" t="str">
        <f ca="1">IF(Giocatori!E120=0,"",Giocatori!E120)</f>
        <v/>
      </c>
      <c r="AO112" s="221"/>
      <c r="AP112" s="231" t="str">
        <f ca="1">IF(Giocatori!H120=0,"",Giocatori!H120)</f>
        <v>LUCIONI</v>
      </c>
      <c r="AQ112" s="221"/>
      <c r="AR112" s="231" t="str">
        <f ca="1">IF(Giocatori!K120=0,"",Giocatori!K120)</f>
        <v>MATUIDI</v>
      </c>
      <c r="AS112" s="221"/>
      <c r="AT112" s="231" t="str">
        <f ca="1">IF(Giocatori!N120=0,"",Giocatori!N120)</f>
        <v/>
      </c>
      <c r="AU112" s="221"/>
      <c r="AV112" s="231" t="str">
        <f ca="1">IF(Giocatori!Q120=0,"",Giocatori!Q120)</f>
        <v/>
      </c>
      <c r="AX112" t="str">
        <f t="shared" ca="1" si="179"/>
        <v/>
      </c>
      <c r="AY112" s="7">
        <f t="shared" ca="1" si="97"/>
        <v>65</v>
      </c>
      <c r="AZ112" s="7">
        <f t="shared" ca="1" si="180"/>
        <v>0</v>
      </c>
      <c r="BA112" s="4" t="str">
        <f t="shared" ca="1" si="189"/>
        <v/>
      </c>
      <c r="BB112" t="str">
        <f t="shared" ca="1" si="181"/>
        <v>LUCIONI</v>
      </c>
      <c r="BC112" s="7">
        <f t="shared" ca="1" si="108"/>
        <v>112</v>
      </c>
      <c r="BD112" s="7" t="str">
        <f t="shared" ca="1" si="182"/>
        <v>LUCIONI</v>
      </c>
      <c r="BE112" s="4" t="str">
        <f t="shared" ca="1" si="190"/>
        <v/>
      </c>
      <c r="BF112" t="str">
        <f t="shared" ca="1" si="183"/>
        <v>MATUIDI</v>
      </c>
      <c r="BG112" s="7">
        <f t="shared" ca="1" si="109"/>
        <v>112</v>
      </c>
      <c r="BH112" s="7" t="str">
        <f t="shared" ca="1" si="184"/>
        <v>MATUIDI</v>
      </c>
      <c r="BJ112" t="str">
        <f t="shared" ca="1" si="185"/>
        <v/>
      </c>
      <c r="BK112" s="7">
        <f t="shared" ca="1" si="110"/>
        <v>104</v>
      </c>
      <c r="BL112" s="7">
        <f t="shared" ca="1" si="186"/>
        <v>0</v>
      </c>
      <c r="BM112" s="4" t="str">
        <f t="shared" ca="1" si="177"/>
        <v/>
      </c>
      <c r="BN112" t="str">
        <f t="shared" ca="1" si="187"/>
        <v/>
      </c>
      <c r="BO112" s="7">
        <f t="shared" ca="1" si="178"/>
        <v>1</v>
      </c>
      <c r="BP112" s="7">
        <f t="shared" ca="1" si="188"/>
        <v>0</v>
      </c>
    </row>
    <row r="113" spans="39:68" ht="14.25">
      <c r="AM113" s="221"/>
      <c r="AN113" s="231" t="str">
        <f ca="1">IF(Giocatori!E121=0,"",Giocatori!E121)</f>
        <v/>
      </c>
      <c r="AO113" s="221"/>
      <c r="AP113" s="231" t="str">
        <f ca="1">IF(Giocatori!H121=0,"",Giocatori!H121)</f>
        <v>LUKAKU</v>
      </c>
      <c r="AQ113" s="221"/>
      <c r="AR113" s="231" t="str">
        <f ca="1">IF(Giocatori!K121=0,"",Giocatori!K121)</f>
        <v>MAURI J</v>
      </c>
      <c r="AS113" s="221"/>
      <c r="AT113" s="231" t="str">
        <f ca="1">IF(Giocatori!N121=0,"",Giocatori!N121)</f>
        <v/>
      </c>
      <c r="AU113" s="221"/>
      <c r="AV113" s="231" t="str">
        <f ca="1">IF(Giocatori!Q121=0,"",Giocatori!Q121)</f>
        <v/>
      </c>
      <c r="AX113" t="str">
        <f t="shared" ca="1" si="179"/>
        <v/>
      </c>
      <c r="AY113" s="7">
        <f t="shared" ca="1" si="97"/>
        <v>65</v>
      </c>
      <c r="AZ113" s="7">
        <f t="shared" ca="1" si="180"/>
        <v>0</v>
      </c>
      <c r="BA113" s="4" t="str">
        <f t="shared" ca="1" si="189"/>
        <v/>
      </c>
      <c r="BB113" t="str">
        <f t="shared" ca="1" si="181"/>
        <v>LUKAKU</v>
      </c>
      <c r="BC113" s="7">
        <f t="shared" ca="1" si="108"/>
        <v>113</v>
      </c>
      <c r="BD113" s="7" t="str">
        <f t="shared" ca="1" si="182"/>
        <v>LUKAKU</v>
      </c>
      <c r="BE113" s="4" t="str">
        <f t="shared" ca="1" si="190"/>
        <v/>
      </c>
      <c r="BF113" t="str">
        <f t="shared" ca="1" si="183"/>
        <v>MAURI J</v>
      </c>
      <c r="BG113" s="7">
        <f t="shared" ca="1" si="109"/>
        <v>113</v>
      </c>
      <c r="BH113" s="7" t="str">
        <f t="shared" ca="1" si="184"/>
        <v>MAURI J</v>
      </c>
      <c r="BJ113" t="str">
        <f t="shared" ca="1" si="185"/>
        <v/>
      </c>
      <c r="BK113" s="7">
        <f t="shared" ca="1" si="110"/>
        <v>104</v>
      </c>
      <c r="BL113" s="7">
        <f t="shared" ca="1" si="186"/>
        <v>0</v>
      </c>
      <c r="BM113" s="4" t="str">
        <f t="shared" ref="BM113:BM122" ca="1" si="191">IF(AI30=0,"",AI30)</f>
        <v/>
      </c>
      <c r="BN113" t="str">
        <f t="shared" ca="1" si="187"/>
        <v/>
      </c>
      <c r="BO113" s="7">
        <f t="shared" ca="1" si="178"/>
        <v>1</v>
      </c>
      <c r="BP113" s="7">
        <f t="shared" ca="1" si="188"/>
        <v>0</v>
      </c>
    </row>
    <row r="114" spans="39:68" ht="14.25">
      <c r="AM114" s="221"/>
      <c r="AN114" s="231" t="str">
        <f ca="1">IF(Giocatori!E122=0,"",Giocatori!E122)</f>
        <v/>
      </c>
      <c r="AO114" s="221"/>
      <c r="AP114" s="231" t="str">
        <f ca="1">IF(Giocatori!H122=0,"",Giocatori!H122)</f>
        <v>LYANCO</v>
      </c>
      <c r="AQ114" s="221"/>
      <c r="AR114" s="231" t="str">
        <f ca="1">IF(Giocatori!K122=0,"",Giocatori!K122)</f>
        <v>MAZZITELLI</v>
      </c>
      <c r="AS114" s="221"/>
      <c r="AT114" s="231" t="str">
        <f ca="1">IF(Giocatori!N122=0,"",Giocatori!N122)</f>
        <v/>
      </c>
      <c r="AU114" s="221"/>
      <c r="AV114" s="231" t="str">
        <f ca="1">IF(Giocatori!Q122=0,"",Giocatori!Q122)</f>
        <v/>
      </c>
      <c r="AX114" t="str">
        <f t="shared" ca="1" si="179"/>
        <v/>
      </c>
      <c r="AY114" s="7">
        <f t="shared" ca="1" si="97"/>
        <v>65</v>
      </c>
      <c r="AZ114" s="7">
        <f t="shared" ca="1" si="180"/>
        <v>0</v>
      </c>
      <c r="BA114" s="4" t="str">
        <f t="shared" ca="1" si="189"/>
        <v/>
      </c>
      <c r="BB114" t="str">
        <f t="shared" ca="1" si="181"/>
        <v>LYANCO</v>
      </c>
      <c r="BC114" s="7">
        <f t="shared" ca="1" si="108"/>
        <v>114</v>
      </c>
      <c r="BD114" s="7" t="str">
        <f t="shared" ca="1" si="182"/>
        <v>LYANCO</v>
      </c>
      <c r="BE114" s="4" t="str">
        <f t="shared" ca="1" si="190"/>
        <v/>
      </c>
      <c r="BF114" t="str">
        <f t="shared" ca="1" si="183"/>
        <v>MAZZITELLI</v>
      </c>
      <c r="BG114" s="7">
        <f t="shared" ca="1" si="109"/>
        <v>114</v>
      </c>
      <c r="BH114" s="7" t="str">
        <f t="shared" ca="1" si="184"/>
        <v>MAZZITELLI</v>
      </c>
      <c r="BJ114" t="str">
        <f t="shared" ca="1" si="185"/>
        <v/>
      </c>
      <c r="BK114" s="7">
        <f t="shared" ca="1" si="110"/>
        <v>104</v>
      </c>
      <c r="BL114" s="7">
        <f t="shared" ca="1" si="186"/>
        <v>0</v>
      </c>
      <c r="BM114" s="4" t="str">
        <f t="shared" ca="1" si="191"/>
        <v/>
      </c>
      <c r="BN114" t="str">
        <f t="shared" ca="1" si="187"/>
        <v/>
      </c>
      <c r="BO114" s="7">
        <f t="shared" ca="1" si="178"/>
        <v>1</v>
      </c>
      <c r="BP114" s="7">
        <f t="shared" ca="1" si="188"/>
        <v>0</v>
      </c>
    </row>
    <row r="115" spans="39:68" ht="14.25">
      <c r="AM115" s="221"/>
      <c r="AN115" s="231" t="str">
        <f ca="1">IF(Giocatori!E123=0,"",Giocatori!E123)</f>
        <v/>
      </c>
      <c r="AO115" s="221"/>
      <c r="AP115" s="231" t="str">
        <f ca="1">IF(Giocatori!H123=0,"",Giocatori!H123)</f>
        <v>MAGGIO</v>
      </c>
      <c r="AQ115" s="221"/>
      <c r="AR115" s="231" t="str">
        <f ca="1">IF(Giocatori!K123=0,"",Giocatori!K123)</f>
        <v>MELARA</v>
      </c>
      <c r="AS115" s="221"/>
      <c r="AT115" s="231" t="str">
        <f ca="1">IF(Giocatori!N123=0,"",Giocatori!N123)</f>
        <v/>
      </c>
      <c r="AU115" s="221"/>
      <c r="AV115" s="231" t="str">
        <f ca="1">IF(Giocatori!Q123=0,"",Giocatori!Q123)</f>
        <v/>
      </c>
      <c r="AX115" t="str">
        <f t="shared" ca="1" si="179"/>
        <v/>
      </c>
      <c r="AY115" s="7">
        <f t="shared" ca="1" si="97"/>
        <v>65</v>
      </c>
      <c r="AZ115" s="7">
        <f t="shared" ca="1" si="180"/>
        <v>0</v>
      </c>
      <c r="BA115" s="4" t="str">
        <f t="shared" ca="1" si="189"/>
        <v/>
      </c>
      <c r="BB115" t="str">
        <f t="shared" ca="1" si="181"/>
        <v>MAGGIO</v>
      </c>
      <c r="BC115" s="7">
        <f t="shared" ca="1" si="108"/>
        <v>115</v>
      </c>
      <c r="BD115" s="7" t="str">
        <f t="shared" ca="1" si="182"/>
        <v>MAGGIO</v>
      </c>
      <c r="BE115" s="4" t="str">
        <f t="shared" ca="1" si="190"/>
        <v/>
      </c>
      <c r="BF115" t="str">
        <f t="shared" ca="1" si="183"/>
        <v>MELARA</v>
      </c>
      <c r="BG115" s="7">
        <f t="shared" ca="1" si="109"/>
        <v>115</v>
      </c>
      <c r="BH115" s="7" t="str">
        <f t="shared" ca="1" si="184"/>
        <v>MELARA</v>
      </c>
      <c r="BJ115" t="str">
        <f t="shared" ca="1" si="185"/>
        <v/>
      </c>
      <c r="BK115" s="7">
        <f t="shared" ca="1" si="110"/>
        <v>104</v>
      </c>
      <c r="BL115" s="7">
        <f t="shared" ca="1" si="186"/>
        <v>0</v>
      </c>
      <c r="BM115" s="4" t="str">
        <f t="shared" ca="1" si="191"/>
        <v/>
      </c>
      <c r="BN115" t="str">
        <f t="shared" ca="1" si="187"/>
        <v/>
      </c>
      <c r="BO115" s="7">
        <f t="shared" ca="1" si="178"/>
        <v>1</v>
      </c>
      <c r="BP115" s="7">
        <f t="shared" ca="1" si="188"/>
        <v>0</v>
      </c>
    </row>
    <row r="116" spans="39:68" ht="14.25">
      <c r="AM116" s="221"/>
      <c r="AN116" s="231" t="str">
        <f ca="1">IF(Giocatori!E124=0,"",Giocatori!E124)</f>
        <v/>
      </c>
      <c r="AO116" s="221"/>
      <c r="AP116" s="231" t="str">
        <f ca="1">IF(Giocatori!H124=0,"",Giocatori!H124)</f>
        <v>MAIETTA</v>
      </c>
      <c r="AQ116" s="221"/>
      <c r="AR116" s="231" t="str">
        <f ca="1">IF(Giocatori!K124=0,"",Giocatori!K124)</f>
        <v>MELEGONI</v>
      </c>
      <c r="AS116" s="221"/>
      <c r="AT116" s="231" t="str">
        <f ca="1">IF(Giocatori!N124=0,"",Giocatori!N124)</f>
        <v/>
      </c>
      <c r="AU116" s="221"/>
      <c r="AV116" s="231" t="str">
        <f ca="1">IF(Giocatori!Q124=0,"",Giocatori!Q124)</f>
        <v/>
      </c>
      <c r="AX116" t="str">
        <f t="shared" ca="1" si="179"/>
        <v/>
      </c>
      <c r="AY116" s="7">
        <f t="shared" ca="1" si="97"/>
        <v>65</v>
      </c>
      <c r="AZ116" s="7">
        <f t="shared" ca="1" si="180"/>
        <v>0</v>
      </c>
      <c r="BA116" s="4" t="str">
        <f t="shared" ca="1" si="189"/>
        <v/>
      </c>
      <c r="BB116" t="str">
        <f t="shared" ca="1" si="181"/>
        <v>MAIETTA</v>
      </c>
      <c r="BC116" s="7">
        <f t="shared" ca="1" si="108"/>
        <v>116</v>
      </c>
      <c r="BD116" s="7" t="str">
        <f t="shared" ca="1" si="182"/>
        <v>MAIETTA</v>
      </c>
      <c r="BE116" s="4" t="str">
        <f t="shared" ca="1" si="190"/>
        <v/>
      </c>
      <c r="BF116" t="str">
        <f t="shared" ca="1" si="183"/>
        <v>MELEGONI</v>
      </c>
      <c r="BG116" s="7">
        <f t="shared" ca="1" si="109"/>
        <v>116</v>
      </c>
      <c r="BH116" s="7" t="str">
        <f t="shared" ca="1" si="184"/>
        <v>MELEGONI</v>
      </c>
      <c r="BJ116" t="str">
        <f t="shared" ca="1" si="185"/>
        <v/>
      </c>
      <c r="BK116" s="7">
        <f t="shared" ca="1" si="110"/>
        <v>104</v>
      </c>
      <c r="BL116" s="7">
        <f t="shared" ca="1" si="186"/>
        <v>0</v>
      </c>
      <c r="BM116" s="4" t="str">
        <f t="shared" ca="1" si="191"/>
        <v/>
      </c>
      <c r="BN116" t="str">
        <f t="shared" ca="1" si="187"/>
        <v/>
      </c>
      <c r="BO116" s="7">
        <f t="shared" ca="1" si="178"/>
        <v>1</v>
      </c>
      <c r="BP116" s="7">
        <f t="shared" ca="1" si="188"/>
        <v>0</v>
      </c>
    </row>
    <row r="117" spans="39:68" ht="14.25">
      <c r="AM117" s="221"/>
      <c r="AN117" s="231" t="str">
        <f ca="1">IF(Giocatori!E125=0,"",Giocatori!E125)</f>
        <v/>
      </c>
      <c r="AO117" s="221"/>
      <c r="AP117" s="231" t="str">
        <f ca="1">IF(Giocatori!H125=0,"",Giocatori!H125)</f>
        <v>MAKSIMOVIC</v>
      </c>
      <c r="AQ117" s="221"/>
      <c r="AR117" s="231" t="str">
        <f ca="1">IF(Giocatori!K125=0,"",Giocatori!K125)</f>
        <v>MEMUSHAJ</v>
      </c>
      <c r="AS117" s="221"/>
      <c r="AT117" s="231" t="str">
        <f ca="1">IF(Giocatori!N125=0,"",Giocatori!N125)</f>
        <v/>
      </c>
      <c r="AU117" s="221"/>
      <c r="AV117" s="231" t="str">
        <f ca="1">IF(Giocatori!Q125=0,"",Giocatori!Q125)</f>
        <v/>
      </c>
      <c r="AX117" t="str">
        <f t="shared" ca="1" si="179"/>
        <v/>
      </c>
      <c r="AY117" s="7">
        <f t="shared" ca="1" si="97"/>
        <v>65</v>
      </c>
      <c r="AZ117" s="7">
        <f t="shared" ca="1" si="180"/>
        <v>0</v>
      </c>
      <c r="BA117" s="4" t="str">
        <f t="shared" ca="1" si="189"/>
        <v/>
      </c>
      <c r="BB117" t="str">
        <f t="shared" ca="1" si="181"/>
        <v>MAKSIMOVIC</v>
      </c>
      <c r="BC117" s="7">
        <f t="shared" ca="1" si="108"/>
        <v>117</v>
      </c>
      <c r="BD117" s="7" t="str">
        <f t="shared" ca="1" si="182"/>
        <v>MAKSIMOVIC</v>
      </c>
      <c r="BE117" s="4" t="str">
        <f t="shared" ca="1" si="190"/>
        <v/>
      </c>
      <c r="BF117" t="str">
        <f t="shared" ca="1" si="183"/>
        <v>MEMUSHAJ</v>
      </c>
      <c r="BG117" s="7">
        <f t="shared" ca="1" si="109"/>
        <v>117</v>
      </c>
      <c r="BH117" s="7" t="str">
        <f t="shared" ca="1" si="184"/>
        <v>MEMUSHAJ</v>
      </c>
      <c r="BJ117" t="str">
        <f t="shared" ca="1" si="185"/>
        <v/>
      </c>
      <c r="BK117" s="7">
        <f t="shared" ca="1" si="110"/>
        <v>104</v>
      </c>
      <c r="BL117" s="7">
        <f t="shared" ca="1" si="186"/>
        <v>0</v>
      </c>
      <c r="BM117" s="4" t="str">
        <f t="shared" ca="1" si="191"/>
        <v/>
      </c>
      <c r="BN117" t="str">
        <f t="shared" ca="1" si="187"/>
        <v/>
      </c>
      <c r="BO117" s="7">
        <f t="shared" ca="1" si="178"/>
        <v>1</v>
      </c>
      <c r="BP117" s="7">
        <f t="shared" ca="1" si="188"/>
        <v>0</v>
      </c>
    </row>
    <row r="118" spans="39:68" ht="14.25">
      <c r="AM118" s="221"/>
      <c r="AN118" s="231" t="str">
        <f ca="1">IF(Giocatori!E126=0,"",Giocatori!E126)</f>
        <v/>
      </c>
      <c r="AO118" s="221"/>
      <c r="AP118" s="231" t="str">
        <f ca="1">IF(Giocatori!H126=0,"",Giocatori!H126)</f>
        <v>MANCINI G</v>
      </c>
      <c r="AQ118" s="221"/>
      <c r="AR118" s="231" t="str">
        <f ca="1">IF(Giocatori!K126=0,"",Giocatori!K126)</f>
        <v>MIGUEL VELOSO</v>
      </c>
      <c r="AS118" s="221"/>
      <c r="AT118" s="231" t="str">
        <f ca="1">IF(Giocatori!N126=0,"",Giocatori!N126)</f>
        <v/>
      </c>
      <c r="AU118" s="221"/>
      <c r="AV118" s="231" t="str">
        <f ca="1">IF(Giocatori!Q126=0,"",Giocatori!Q126)</f>
        <v/>
      </c>
      <c r="AX118" t="str">
        <f t="shared" ca="1" si="179"/>
        <v/>
      </c>
      <c r="AY118" s="7">
        <f t="shared" ca="1" si="97"/>
        <v>65</v>
      </c>
      <c r="AZ118" s="7">
        <f t="shared" ca="1" si="180"/>
        <v>0</v>
      </c>
      <c r="BA118" s="4" t="str">
        <f t="shared" ca="1" si="189"/>
        <v/>
      </c>
      <c r="BB118" t="str">
        <f t="shared" ca="1" si="181"/>
        <v>MANCINI G</v>
      </c>
      <c r="BC118" s="7">
        <f t="shared" ca="1" si="108"/>
        <v>118</v>
      </c>
      <c r="BD118" s="7" t="str">
        <f t="shared" ca="1" si="182"/>
        <v>MANCINI G</v>
      </c>
      <c r="BE118" s="4" t="str">
        <f t="shared" ca="1" si="190"/>
        <v/>
      </c>
      <c r="BF118" t="str">
        <f t="shared" ca="1" si="183"/>
        <v>MIGUEL VELOSO</v>
      </c>
      <c r="BG118" s="7">
        <f t="shared" ca="1" si="109"/>
        <v>118</v>
      </c>
      <c r="BH118" s="7" t="str">
        <f t="shared" ca="1" si="184"/>
        <v>MIGUEL VELOSO</v>
      </c>
      <c r="BJ118" t="str">
        <f t="shared" ca="1" si="185"/>
        <v/>
      </c>
      <c r="BK118" s="7">
        <f t="shared" ca="1" si="110"/>
        <v>104</v>
      </c>
      <c r="BL118" s="7">
        <f t="shared" ca="1" si="186"/>
        <v>0</v>
      </c>
      <c r="BM118" s="4" t="str">
        <f t="shared" ca="1" si="191"/>
        <v/>
      </c>
      <c r="BN118" t="str">
        <f t="shared" ca="1" si="187"/>
        <v/>
      </c>
      <c r="BO118" s="7">
        <f t="shared" ca="1" si="178"/>
        <v>1</v>
      </c>
      <c r="BP118" s="7">
        <f t="shared" ca="1" si="188"/>
        <v>0</v>
      </c>
    </row>
    <row r="119" spans="39:68" ht="14.25">
      <c r="AM119" s="221"/>
      <c r="AN119" s="231" t="str">
        <f ca="1">IF(Giocatori!E127=0,"",Giocatori!E127)</f>
        <v/>
      </c>
      <c r="AO119" s="221"/>
      <c r="AP119" s="231" t="str">
        <f ca="1">IF(Giocatori!H127=0,"",Giocatori!H127)</f>
        <v>MANOLAS</v>
      </c>
      <c r="AQ119" s="221"/>
      <c r="AR119" s="231" t="str">
        <f ca="1">IF(Giocatori!K127=0,"",Giocatori!K127)</f>
        <v>MILINKOVIC-SAVIC</v>
      </c>
      <c r="AS119" s="221"/>
      <c r="AT119" s="231" t="str">
        <f ca="1">IF(Giocatori!N127=0,"",Giocatori!N127)</f>
        <v/>
      </c>
      <c r="AU119" s="221"/>
      <c r="AV119" s="231" t="str">
        <f ca="1">IF(Giocatori!Q127=0,"",Giocatori!Q127)</f>
        <v/>
      </c>
      <c r="AX119" t="str">
        <f t="shared" ca="1" si="179"/>
        <v/>
      </c>
      <c r="AY119" s="7">
        <f t="shared" ca="1" si="97"/>
        <v>65</v>
      </c>
      <c r="AZ119" s="7">
        <f t="shared" ca="1" si="180"/>
        <v>0</v>
      </c>
      <c r="BA119" s="4" t="str">
        <f t="shared" ca="1" si="189"/>
        <v/>
      </c>
      <c r="BB119" t="str">
        <f t="shared" ca="1" si="181"/>
        <v>MANOLAS</v>
      </c>
      <c r="BC119" s="7">
        <f t="shared" ca="1" si="108"/>
        <v>119</v>
      </c>
      <c r="BD119" s="7" t="str">
        <f t="shared" ca="1" si="182"/>
        <v>MANOLAS</v>
      </c>
      <c r="BE119" s="4" t="str">
        <f t="shared" ca="1" si="190"/>
        <v/>
      </c>
      <c r="BF119" t="str">
        <f t="shared" ca="1" si="183"/>
        <v>MILINKOVIC-SAVIC</v>
      </c>
      <c r="BG119" s="7">
        <f t="shared" ca="1" si="109"/>
        <v>119</v>
      </c>
      <c r="BH119" s="7" t="str">
        <f t="shared" ca="1" si="184"/>
        <v>MILINKOVIC-SAVIC</v>
      </c>
      <c r="BJ119" t="str">
        <f t="shared" ca="1" si="185"/>
        <v/>
      </c>
      <c r="BK119" s="7">
        <f t="shared" ca="1" si="110"/>
        <v>104</v>
      </c>
      <c r="BL119" s="7">
        <f t="shared" ca="1" si="186"/>
        <v>0</v>
      </c>
      <c r="BM119" s="4" t="str">
        <f t="shared" ca="1" si="191"/>
        <v/>
      </c>
      <c r="BN119" t="str">
        <f t="shared" ca="1" si="187"/>
        <v/>
      </c>
      <c r="BO119" s="7">
        <f t="shared" ca="1" si="178"/>
        <v>1</v>
      </c>
      <c r="BP119" s="7">
        <f t="shared" ca="1" si="188"/>
        <v>0</v>
      </c>
    </row>
    <row r="120" spans="39:68" ht="14.25">
      <c r="AM120" s="221"/>
      <c r="AN120" s="231" t="str">
        <f ca="1">IF(Giocatori!E128=0,"",Giocatori!E128)</f>
        <v/>
      </c>
      <c r="AO120" s="221"/>
      <c r="AP120" s="231" t="str">
        <f ca="1">IF(Giocatori!H128=0,"",Giocatori!H128)</f>
        <v>MARIO RUI</v>
      </c>
      <c r="AQ120" s="221"/>
      <c r="AR120" s="231" t="str">
        <f ca="1">IF(Giocatori!K128=0,"",Giocatori!K128)</f>
        <v>MISSIROLI</v>
      </c>
      <c r="AS120" s="221"/>
      <c r="AT120" s="231" t="str">
        <f ca="1">IF(Giocatori!N128=0,"",Giocatori!N128)</f>
        <v/>
      </c>
      <c r="AU120" s="221"/>
      <c r="AV120" s="231" t="str">
        <f ca="1">IF(Giocatori!Q128=0,"",Giocatori!Q128)</f>
        <v/>
      </c>
      <c r="AX120" t="str">
        <f t="shared" ca="1" si="179"/>
        <v/>
      </c>
      <c r="AY120" s="7">
        <f t="shared" ca="1" si="97"/>
        <v>65</v>
      </c>
      <c r="AZ120" s="7">
        <f t="shared" ca="1" si="180"/>
        <v>0</v>
      </c>
      <c r="BA120" s="4" t="str">
        <f t="shared" ca="1" si="189"/>
        <v/>
      </c>
      <c r="BB120" t="str">
        <f t="shared" ca="1" si="181"/>
        <v>MARIO RUI</v>
      </c>
      <c r="BC120" s="7">
        <f t="shared" ca="1" si="108"/>
        <v>120</v>
      </c>
      <c r="BD120" s="7" t="str">
        <f t="shared" ca="1" si="182"/>
        <v>MARIO RUI</v>
      </c>
      <c r="BE120" s="4" t="str">
        <f t="shared" ca="1" si="190"/>
        <v/>
      </c>
      <c r="BF120" t="str">
        <f t="shared" ca="1" si="183"/>
        <v>MISSIROLI</v>
      </c>
      <c r="BG120" s="7">
        <f t="shared" ca="1" si="109"/>
        <v>120</v>
      </c>
      <c r="BH120" s="7" t="str">
        <f t="shared" ca="1" si="184"/>
        <v>MISSIROLI</v>
      </c>
      <c r="BJ120" t="str">
        <f t="shared" ca="1" si="185"/>
        <v/>
      </c>
      <c r="BK120" s="7">
        <f t="shared" ca="1" si="110"/>
        <v>104</v>
      </c>
      <c r="BL120" s="7">
        <f t="shared" ca="1" si="186"/>
        <v>0</v>
      </c>
      <c r="BM120" s="4" t="str">
        <f t="shared" ca="1" si="191"/>
        <v/>
      </c>
      <c r="BN120" t="str">
        <f t="shared" ca="1" si="187"/>
        <v/>
      </c>
      <c r="BO120" s="7">
        <f t="shared" ca="1" si="178"/>
        <v>1</v>
      </c>
      <c r="BP120" s="7">
        <f t="shared" ca="1" si="188"/>
        <v>0</v>
      </c>
    </row>
    <row r="121" spans="39:68" ht="14.25">
      <c r="AM121" s="221"/>
      <c r="AN121" s="231" t="str">
        <f ca="1">IF(Giocatori!E129=0,"",Giocatori!E129)</f>
        <v/>
      </c>
      <c r="AO121" s="221"/>
      <c r="AP121" s="231" t="str">
        <f ca="1">IF(Giocatori!H129=0,"",Giocatori!H129)</f>
        <v>MARTELLA</v>
      </c>
      <c r="AQ121" s="221"/>
      <c r="AR121" s="231" t="str">
        <f ca="1">IF(Giocatori!K129=0,"",Giocatori!K129)</f>
        <v>MONTOLIVO</v>
      </c>
      <c r="AS121" s="221"/>
      <c r="AT121" s="231" t="str">
        <f ca="1">IF(Giocatori!N129=0,"",Giocatori!N129)</f>
        <v/>
      </c>
      <c r="AU121" s="221"/>
      <c r="AV121" s="231" t="str">
        <f ca="1">IF(Giocatori!Q129=0,"",Giocatori!Q129)</f>
        <v/>
      </c>
      <c r="AX121" t="str">
        <f t="shared" ca="1" si="179"/>
        <v/>
      </c>
      <c r="AY121" s="7">
        <f t="shared" ca="1" si="97"/>
        <v>65</v>
      </c>
      <c r="AZ121" s="7">
        <f t="shared" ca="1" si="180"/>
        <v>0</v>
      </c>
      <c r="BB121" t="str">
        <f t="shared" ca="1" si="181"/>
        <v>MARTELLA</v>
      </c>
      <c r="BC121" s="7">
        <f t="shared" ca="1" si="108"/>
        <v>121</v>
      </c>
      <c r="BD121" s="7" t="str">
        <f t="shared" ca="1" si="182"/>
        <v>MARTELLA</v>
      </c>
      <c r="BF121" t="str">
        <f t="shared" ca="1" si="183"/>
        <v>MONTOLIVO</v>
      </c>
      <c r="BG121" s="7">
        <f t="shared" ca="1" si="109"/>
        <v>121</v>
      </c>
      <c r="BH121" s="7" t="str">
        <f t="shared" ca="1" si="184"/>
        <v>MONTOLIVO</v>
      </c>
      <c r="BJ121" t="str">
        <f t="shared" ca="1" si="185"/>
        <v/>
      </c>
      <c r="BK121" s="7">
        <f t="shared" ca="1" si="110"/>
        <v>104</v>
      </c>
      <c r="BL121" s="7">
        <f t="shared" ca="1" si="186"/>
        <v>0</v>
      </c>
      <c r="BM121" s="4" t="str">
        <f t="shared" ca="1" si="191"/>
        <v/>
      </c>
      <c r="BN121" t="str">
        <f t="shared" ca="1" si="187"/>
        <v/>
      </c>
      <c r="BO121" s="7">
        <f t="shared" ca="1" si="178"/>
        <v>1</v>
      </c>
      <c r="BP121" s="7">
        <f t="shared" ca="1" si="188"/>
        <v>0</v>
      </c>
    </row>
    <row r="122" spans="39:68" ht="14.25">
      <c r="AM122" s="221"/>
      <c r="AN122" s="231" t="str">
        <f ca="1">IF(Giocatori!E130=0,"",Giocatori!E130)</f>
        <v/>
      </c>
      <c r="AO122" s="221"/>
      <c r="AP122" s="231" t="str">
        <f ca="1">IF(Giocatori!H130=0,"",Giocatori!H130)</f>
        <v>MARUSIC</v>
      </c>
      <c r="AQ122" s="221"/>
      <c r="AR122" s="231" t="str">
        <f ca="1">IF(Giocatori!K130=0,"",Giocatori!K130)</f>
        <v>MORA</v>
      </c>
      <c r="AS122" s="221"/>
      <c r="AT122" s="231" t="str">
        <f ca="1">IF(Giocatori!N130=0,"",Giocatori!N130)</f>
        <v/>
      </c>
      <c r="AU122" s="221"/>
      <c r="AV122" s="231" t="str">
        <f ca="1">IF(Giocatori!Q130=0,"",Giocatori!Q130)</f>
        <v/>
      </c>
      <c r="AX122" t="str">
        <f t="shared" ca="1" si="179"/>
        <v/>
      </c>
      <c r="AY122" s="7">
        <f t="shared" ca="1" si="97"/>
        <v>65</v>
      </c>
      <c r="AZ122" s="7">
        <f t="shared" ca="1" si="180"/>
        <v>0</v>
      </c>
      <c r="BB122" t="str">
        <f t="shared" ca="1" si="181"/>
        <v>MARUSIC</v>
      </c>
      <c r="BC122" s="7">
        <f t="shared" ca="1" si="108"/>
        <v>122</v>
      </c>
      <c r="BD122" s="7" t="str">
        <f t="shared" ca="1" si="182"/>
        <v>MARUSIC</v>
      </c>
      <c r="BF122" t="str">
        <f t="shared" ca="1" si="183"/>
        <v>MORA</v>
      </c>
      <c r="BG122" s="7">
        <f t="shared" ca="1" si="109"/>
        <v>122</v>
      </c>
      <c r="BH122" s="7" t="str">
        <f t="shared" ca="1" si="184"/>
        <v>MORA</v>
      </c>
      <c r="BJ122" t="str">
        <f t="shared" ca="1" si="185"/>
        <v/>
      </c>
      <c r="BK122" s="7">
        <f t="shared" ca="1" si="110"/>
        <v>104</v>
      </c>
      <c r="BL122" s="7">
        <f t="shared" ca="1" si="186"/>
        <v>0</v>
      </c>
      <c r="BM122" s="4" t="str">
        <f t="shared" ca="1" si="191"/>
        <v/>
      </c>
      <c r="BN122" t="str">
        <f t="shared" ca="1" si="187"/>
        <v/>
      </c>
      <c r="BO122" s="7">
        <f t="shared" ca="1" si="178"/>
        <v>1</v>
      </c>
      <c r="BP122" s="7">
        <f t="shared" ca="1" si="188"/>
        <v>0</v>
      </c>
    </row>
    <row r="123" spans="39:68" ht="14.25">
      <c r="AM123" s="221"/>
      <c r="AN123" s="231" t="str">
        <f ca="1">IF(Giocatori!E131=0,"",Giocatori!E131)</f>
        <v/>
      </c>
      <c r="AO123" s="221"/>
      <c r="AP123" s="231" t="str">
        <f ca="1">IF(Giocatori!H131=0,"",Giocatori!H131)</f>
        <v>MASIELLO A</v>
      </c>
      <c r="AQ123" s="221"/>
      <c r="AR123" s="231" t="str">
        <f ca="1">IF(Giocatori!K131=0,"",Giocatori!K131)</f>
        <v>MURGIA</v>
      </c>
      <c r="AS123" s="221"/>
      <c r="AT123" s="231" t="str">
        <f ca="1">IF(Giocatori!N131=0,"",Giocatori!N131)</f>
        <v/>
      </c>
      <c r="AU123" s="221"/>
      <c r="AV123" s="231" t="str">
        <f ca="1">IF(Giocatori!Q131=0,"",Giocatori!Q131)</f>
        <v/>
      </c>
      <c r="AX123" t="str">
        <f t="shared" ca="1" si="179"/>
        <v/>
      </c>
      <c r="AY123" s="7">
        <f t="shared" ca="1" si="97"/>
        <v>65</v>
      </c>
      <c r="AZ123" s="7">
        <f t="shared" ca="1" si="180"/>
        <v>0</v>
      </c>
      <c r="BB123" t="str">
        <f t="shared" ca="1" si="181"/>
        <v>MASIELLO A</v>
      </c>
      <c r="BC123" s="7">
        <f t="shared" ca="1" si="108"/>
        <v>123</v>
      </c>
      <c r="BD123" s="7" t="str">
        <f t="shared" ca="1" si="182"/>
        <v>MASIELLO A</v>
      </c>
      <c r="BF123" t="str">
        <f t="shared" ca="1" si="183"/>
        <v>MURGIA</v>
      </c>
      <c r="BG123" s="7">
        <f t="shared" ca="1" si="109"/>
        <v>123</v>
      </c>
      <c r="BH123" s="7" t="str">
        <f t="shared" ca="1" si="184"/>
        <v>MURGIA</v>
      </c>
      <c r="BJ123" t="str">
        <f t="shared" ca="1" si="185"/>
        <v/>
      </c>
      <c r="BK123" s="7">
        <f t="shared" ca="1" si="110"/>
        <v>104</v>
      </c>
      <c r="BL123" s="7">
        <f t="shared" ca="1" si="186"/>
        <v>0</v>
      </c>
      <c r="BN123" t="str">
        <f t="shared" ca="1" si="187"/>
        <v/>
      </c>
      <c r="BO123" s="7">
        <f t="shared" ca="1" si="178"/>
        <v>1</v>
      </c>
      <c r="BP123" s="7">
        <f t="shared" ca="1" si="188"/>
        <v>0</v>
      </c>
    </row>
    <row r="124" spans="39:68" ht="14.25">
      <c r="AM124" s="221"/>
      <c r="AN124" s="231" t="str">
        <f ca="1">IF(Giocatori!E132=0,"",Giocatori!E132)</f>
        <v/>
      </c>
      <c r="AO124" s="221"/>
      <c r="AP124" s="231" t="str">
        <f ca="1">IF(Giocatori!H132=0,"",Giocatori!H132)</f>
        <v>MASINA</v>
      </c>
      <c r="AQ124" s="221"/>
      <c r="AR124" s="231" t="str">
        <f ca="1">IF(Giocatori!K132=0,"",Giocatori!K132)</f>
        <v>NAGY</v>
      </c>
      <c r="AS124" s="221"/>
      <c r="AT124" s="231" t="str">
        <f ca="1">IF(Giocatori!N132=0,"",Giocatori!N132)</f>
        <v/>
      </c>
      <c r="AU124" s="221"/>
      <c r="AV124" s="231" t="str">
        <f ca="1">IF(Giocatori!Q132=0,"",Giocatori!Q132)</f>
        <v/>
      </c>
      <c r="AX124" t="str">
        <f t="shared" ca="1" si="179"/>
        <v/>
      </c>
      <c r="AY124" s="7">
        <f t="shared" ca="1" si="97"/>
        <v>65</v>
      </c>
      <c r="AZ124" s="7">
        <f t="shared" ca="1" si="180"/>
        <v>0</v>
      </c>
      <c r="BB124" t="str">
        <f t="shared" ca="1" si="181"/>
        <v>MASINA</v>
      </c>
      <c r="BC124" s="7">
        <f t="shared" ca="1" si="108"/>
        <v>124</v>
      </c>
      <c r="BD124" s="7" t="str">
        <f t="shared" ca="1" si="182"/>
        <v>MASINA</v>
      </c>
      <c r="BF124" t="str">
        <f t="shared" ca="1" si="183"/>
        <v>NAGY</v>
      </c>
      <c r="BG124" s="7">
        <f t="shared" ca="1" si="109"/>
        <v>124</v>
      </c>
      <c r="BH124" s="7" t="str">
        <f t="shared" ca="1" si="184"/>
        <v>NAGY</v>
      </c>
      <c r="BJ124" t="str">
        <f t="shared" ca="1" si="185"/>
        <v/>
      </c>
      <c r="BK124" s="7">
        <f t="shared" ca="1" si="110"/>
        <v>104</v>
      </c>
      <c r="BL124" s="7">
        <f t="shared" ca="1" si="186"/>
        <v>0</v>
      </c>
      <c r="BN124" t="str">
        <f t="shared" ca="1" si="187"/>
        <v/>
      </c>
      <c r="BO124" s="7">
        <f t="shared" ca="1" si="178"/>
        <v>1</v>
      </c>
      <c r="BP124" s="7">
        <f t="shared" ca="1" si="188"/>
        <v>0</v>
      </c>
    </row>
    <row r="125" spans="39:68" ht="14.25">
      <c r="AM125" s="221"/>
      <c r="AN125" s="231" t="str">
        <f ca="1">IF(Giocatori!E133=0,"",Giocatori!E133)</f>
        <v/>
      </c>
      <c r="AO125" s="221"/>
      <c r="AP125" s="231" t="str">
        <f ca="1">IF(Giocatori!H133=0,"",Giocatori!H133)</f>
        <v>MATTIELLO</v>
      </c>
      <c r="AQ125" s="221"/>
      <c r="AR125" s="231" t="str">
        <f ca="1">IF(Giocatori!K133=0,"",Giocatori!K133)</f>
        <v>NAINGGOLAN</v>
      </c>
      <c r="AS125" s="221"/>
      <c r="AT125" s="231" t="str">
        <f ca="1">IF(Giocatori!N133=0,"",Giocatori!N133)</f>
        <v/>
      </c>
      <c r="AU125" s="221"/>
      <c r="AV125" s="231" t="str">
        <f ca="1">IF(Giocatori!Q133=0,"",Giocatori!Q133)</f>
        <v/>
      </c>
      <c r="AX125" t="str">
        <f t="shared" ca="1" si="179"/>
        <v/>
      </c>
      <c r="AY125" s="7">
        <f t="shared" ca="1" si="97"/>
        <v>65</v>
      </c>
      <c r="AZ125" s="7">
        <f t="shared" ca="1" si="180"/>
        <v>0</v>
      </c>
      <c r="BB125" t="str">
        <f t="shared" ca="1" si="181"/>
        <v>MATTIELLO</v>
      </c>
      <c r="BC125" s="7">
        <f t="shared" ca="1" si="108"/>
        <v>125</v>
      </c>
      <c r="BD125" s="7" t="str">
        <f t="shared" ca="1" si="182"/>
        <v>MATTIELLO</v>
      </c>
      <c r="BF125" t="str">
        <f t="shared" ca="1" si="183"/>
        <v>NAINGGOLAN</v>
      </c>
      <c r="BG125" s="7">
        <f t="shared" ca="1" si="109"/>
        <v>125</v>
      </c>
      <c r="BH125" s="7" t="str">
        <f t="shared" ca="1" si="184"/>
        <v>NAINGGOLAN</v>
      </c>
      <c r="BJ125" t="str">
        <f t="shared" ca="1" si="185"/>
        <v/>
      </c>
      <c r="BK125" s="7">
        <f t="shared" ca="1" si="110"/>
        <v>104</v>
      </c>
      <c r="BL125" s="7">
        <f t="shared" ca="1" si="186"/>
        <v>0</v>
      </c>
      <c r="BN125" t="str">
        <f t="shared" ca="1" si="187"/>
        <v/>
      </c>
      <c r="BO125" s="7">
        <f t="shared" ca="1" si="178"/>
        <v>1</v>
      </c>
      <c r="BP125" s="7">
        <f t="shared" ca="1" si="188"/>
        <v>0</v>
      </c>
    </row>
    <row r="126" spans="39:68" ht="14.25">
      <c r="AM126" s="221"/>
      <c r="AN126" s="231" t="str">
        <f ca="1">IF(Giocatori!E134=0,"",Giocatori!E134)</f>
        <v/>
      </c>
      <c r="AO126" s="221"/>
      <c r="AP126" s="231" t="str">
        <f ca="1">IF(Giocatori!H134=0,"",Giocatori!H134)</f>
        <v>MBAYE</v>
      </c>
      <c r="AQ126" s="221"/>
      <c r="AR126" s="231" t="str">
        <f ca="1">IF(Giocatori!K134=0,"",Giocatori!K134)</f>
        <v>NALINI</v>
      </c>
      <c r="AS126" s="221"/>
      <c r="AT126" s="231" t="str">
        <f ca="1">IF(Giocatori!N134=0,"",Giocatori!N134)</f>
        <v/>
      </c>
      <c r="AU126" s="221"/>
      <c r="AV126" s="231" t="str">
        <f ca="1">IF(Giocatori!Q134=0,"",Giocatori!Q134)</f>
        <v/>
      </c>
      <c r="AX126" t="str">
        <f t="shared" ca="1" si="179"/>
        <v/>
      </c>
      <c r="AY126" s="7">
        <f t="shared" ca="1" si="97"/>
        <v>65</v>
      </c>
      <c r="AZ126" s="7">
        <f t="shared" ca="1" si="180"/>
        <v>0</v>
      </c>
      <c r="BB126" t="str">
        <f t="shared" ca="1" si="181"/>
        <v>MBAYE</v>
      </c>
      <c r="BC126" s="7">
        <f t="shared" ca="1" si="108"/>
        <v>126</v>
      </c>
      <c r="BD126" s="7" t="str">
        <f t="shared" ca="1" si="182"/>
        <v>MBAYE</v>
      </c>
      <c r="BF126" t="str">
        <f t="shared" ca="1" si="183"/>
        <v>NALINI</v>
      </c>
      <c r="BG126" s="7">
        <f t="shared" ca="1" si="109"/>
        <v>126</v>
      </c>
      <c r="BH126" s="7" t="str">
        <f t="shared" ca="1" si="184"/>
        <v>NALINI</v>
      </c>
      <c r="BJ126" t="str">
        <f t="shared" ca="1" si="185"/>
        <v/>
      </c>
      <c r="BK126" s="7">
        <f t="shared" ca="1" si="110"/>
        <v>104</v>
      </c>
      <c r="BL126" s="7">
        <f t="shared" ca="1" si="186"/>
        <v>0</v>
      </c>
      <c r="BN126" t="str">
        <f t="shared" ca="1" si="187"/>
        <v/>
      </c>
      <c r="BO126" s="7">
        <f t="shared" ca="1" si="178"/>
        <v>1</v>
      </c>
      <c r="BP126" s="7">
        <f t="shared" ca="1" si="188"/>
        <v>0</v>
      </c>
    </row>
    <row r="127" spans="39:68" ht="14.25">
      <c r="AM127" s="221"/>
      <c r="AN127" s="231" t="str">
        <f ca="1">IF(Giocatori!E135=0,"",Giocatori!E135)</f>
        <v/>
      </c>
      <c r="AO127" s="221"/>
      <c r="AP127" s="231" t="str">
        <f ca="1">IF(Giocatori!H135=0,"",Giocatori!H135)</f>
        <v>MIANGUE</v>
      </c>
      <c r="AQ127" s="221"/>
      <c r="AR127" s="231" t="str">
        <f ca="1">IF(Giocatori!K135=0,"",Giocatori!K135)</f>
        <v>OBI</v>
      </c>
      <c r="AS127" s="221"/>
      <c r="AT127" s="231" t="str">
        <f ca="1">IF(Giocatori!N135=0,"",Giocatori!N135)</f>
        <v/>
      </c>
      <c r="AU127" s="221"/>
      <c r="AV127" s="231" t="str">
        <f ca="1">IF(Giocatori!Q135=0,"",Giocatori!Q135)</f>
        <v/>
      </c>
      <c r="AX127" t="str">
        <f t="shared" ca="1" si="179"/>
        <v/>
      </c>
      <c r="AY127" s="7">
        <f t="shared" ca="1" si="97"/>
        <v>65</v>
      </c>
      <c r="AZ127" s="7">
        <f t="shared" ca="1" si="180"/>
        <v>0</v>
      </c>
      <c r="BB127" t="str">
        <f t="shared" ca="1" si="181"/>
        <v>MIANGUE</v>
      </c>
      <c r="BC127" s="7">
        <f t="shared" ca="1" si="108"/>
        <v>127</v>
      </c>
      <c r="BD127" s="7" t="str">
        <f t="shared" ca="1" si="182"/>
        <v>MIANGUE</v>
      </c>
      <c r="BF127" t="str">
        <f t="shared" ca="1" si="183"/>
        <v>OBI</v>
      </c>
      <c r="BG127" s="7">
        <f t="shared" ca="1" si="109"/>
        <v>127</v>
      </c>
      <c r="BH127" s="7" t="str">
        <f t="shared" ca="1" si="184"/>
        <v>OBI</v>
      </c>
      <c r="BJ127" t="str">
        <f t="shared" ca="1" si="185"/>
        <v/>
      </c>
      <c r="BK127" s="7">
        <f t="shared" ca="1" si="110"/>
        <v>104</v>
      </c>
      <c r="BL127" s="7">
        <f t="shared" ca="1" si="186"/>
        <v>0</v>
      </c>
      <c r="BN127" t="str">
        <f t="shared" ca="1" si="187"/>
        <v/>
      </c>
      <c r="BO127" s="7">
        <f t="shared" ca="1" si="178"/>
        <v>1</v>
      </c>
      <c r="BP127" s="7">
        <f t="shared" ca="1" si="188"/>
        <v>0</v>
      </c>
    </row>
    <row r="128" spans="39:68" ht="14.25">
      <c r="AM128" s="221"/>
      <c r="AN128" s="231" t="str">
        <f ca="1">IF(Giocatori!E136=0,"",Giocatori!E136)</f>
        <v/>
      </c>
      <c r="AO128" s="221"/>
      <c r="AP128" s="231" t="str">
        <f ca="1">IF(Giocatori!H136=0,"",Giocatori!H136)</f>
        <v>MIGLIORE</v>
      </c>
      <c r="AQ128" s="221"/>
      <c r="AR128" s="231" t="str">
        <f ca="1">IF(Giocatori!K136=0,"",Giocatori!K136)</f>
        <v>OMEONGA</v>
      </c>
      <c r="AS128" s="221"/>
      <c r="AT128" s="231" t="str">
        <f ca="1">IF(Giocatori!N136=0,"",Giocatori!N136)</f>
        <v/>
      </c>
      <c r="AU128" s="221"/>
      <c r="AV128" s="231" t="str">
        <f ca="1">IF(Giocatori!Q136=0,"",Giocatori!Q136)</f>
        <v/>
      </c>
      <c r="AX128" t="str">
        <f t="shared" ca="1" si="179"/>
        <v/>
      </c>
      <c r="AY128" s="7">
        <f t="shared" ca="1" si="97"/>
        <v>65</v>
      </c>
      <c r="AZ128" s="7">
        <f t="shared" ca="1" si="180"/>
        <v>0</v>
      </c>
      <c r="BB128" t="str">
        <f t="shared" ca="1" si="181"/>
        <v>MIGLIORE</v>
      </c>
      <c r="BC128" s="7">
        <f t="shared" ca="1" si="108"/>
        <v>128</v>
      </c>
      <c r="BD128" s="7" t="str">
        <f t="shared" ca="1" si="182"/>
        <v>MIGLIORE</v>
      </c>
      <c r="BF128" t="str">
        <f t="shared" ca="1" si="183"/>
        <v>OMEONGA</v>
      </c>
      <c r="BG128" s="7">
        <f t="shared" ca="1" si="109"/>
        <v>128</v>
      </c>
      <c r="BH128" s="7" t="str">
        <f t="shared" ca="1" si="184"/>
        <v>OMEONGA</v>
      </c>
      <c r="BJ128" t="str">
        <f t="shared" ca="1" si="185"/>
        <v/>
      </c>
      <c r="BK128" s="7">
        <f t="shared" ca="1" si="110"/>
        <v>104</v>
      </c>
      <c r="BL128" s="7">
        <f t="shared" ca="1" si="186"/>
        <v>0</v>
      </c>
      <c r="BN128" t="str">
        <f t="shared" ca="1" si="187"/>
        <v/>
      </c>
      <c r="BO128" s="7">
        <f t="shared" ca="1" si="178"/>
        <v>1</v>
      </c>
      <c r="BP128" s="7">
        <f t="shared" ca="1" si="188"/>
        <v>0</v>
      </c>
    </row>
    <row r="129" spans="39:68" ht="14.25">
      <c r="AM129" s="221"/>
      <c r="AN129" s="231" t="str">
        <f ca="1">IF(Giocatori!E137=0,"",Giocatori!E137)</f>
        <v/>
      </c>
      <c r="AO129" s="221"/>
      <c r="AP129" s="231" t="str">
        <f ca="1">IF(Giocatori!H137=0,"",Giocatori!H137)</f>
        <v>MIKULIC</v>
      </c>
      <c r="AQ129" s="221"/>
      <c r="AR129" s="231" t="str">
        <f ca="1">IF(Giocatori!K137=0,"",Giocatori!K137)</f>
        <v>PADOIN</v>
      </c>
      <c r="AS129" s="221"/>
      <c r="AT129" s="231" t="str">
        <f ca="1">IF(Giocatori!N137=0,"",Giocatori!N137)</f>
        <v/>
      </c>
      <c r="AU129" s="221"/>
      <c r="AV129" s="231" t="str">
        <f ca="1">IF(Giocatori!Q137=0,"",Giocatori!Q137)</f>
        <v/>
      </c>
      <c r="AX129" t="str">
        <f t="shared" ca="1" si="179"/>
        <v/>
      </c>
      <c r="AY129" s="7">
        <f t="shared" ca="1" si="97"/>
        <v>65</v>
      </c>
      <c r="AZ129" s="7">
        <f t="shared" ca="1" si="180"/>
        <v>0</v>
      </c>
      <c r="BB129" t="str">
        <f t="shared" ca="1" si="181"/>
        <v>MIKULIC</v>
      </c>
      <c r="BC129" s="7">
        <f t="shared" ca="1" si="108"/>
        <v>129</v>
      </c>
      <c r="BD129" s="7" t="str">
        <f t="shared" ca="1" si="182"/>
        <v>MIKULIC</v>
      </c>
      <c r="BF129" t="str">
        <f t="shared" ca="1" si="183"/>
        <v>PADOIN</v>
      </c>
      <c r="BG129" s="7">
        <f t="shared" ca="1" si="109"/>
        <v>129</v>
      </c>
      <c r="BH129" s="7" t="str">
        <f t="shared" ca="1" si="184"/>
        <v>PADOIN</v>
      </c>
      <c r="BJ129" t="str">
        <f t="shared" ca="1" si="185"/>
        <v/>
      </c>
      <c r="BK129" s="7">
        <f t="shared" ca="1" si="110"/>
        <v>104</v>
      </c>
      <c r="BL129" s="7">
        <f t="shared" ca="1" si="186"/>
        <v>0</v>
      </c>
      <c r="BN129" t="str">
        <f t="shared" ca="1" si="187"/>
        <v/>
      </c>
      <c r="BO129" s="7">
        <f t="shared" ca="1" si="178"/>
        <v>1</v>
      </c>
      <c r="BP129" s="7">
        <f t="shared" ca="1" si="188"/>
        <v>0</v>
      </c>
    </row>
    <row r="130" spans="39:68" ht="14.25">
      <c r="AM130" s="221"/>
      <c r="AN130" s="231" t="str">
        <f ca="1">IF(Giocatori!E138=0,"",Giocatori!E138)</f>
        <v/>
      </c>
      <c r="AO130" s="221"/>
      <c r="AP130" s="231" t="str">
        <f ca="1">IF(Giocatori!H138=0,"",Giocatori!H138)</f>
        <v>MILENKOVIC</v>
      </c>
      <c r="AQ130" s="221"/>
      <c r="AR130" s="231" t="str">
        <f ca="1">IF(Giocatori!K138=0,"",Giocatori!K138)</f>
        <v>PAROLO</v>
      </c>
      <c r="AS130" s="221"/>
      <c r="AT130" s="231" t="str">
        <f ca="1">IF(Giocatori!N138=0,"",Giocatori!N138)</f>
        <v/>
      </c>
      <c r="AU130" s="221"/>
      <c r="AV130" s="231" t="str">
        <f ca="1">IF(Giocatori!Q138=0,"",Giocatori!Q138)</f>
        <v/>
      </c>
      <c r="AX130" t="str">
        <f t="shared" ca="1" si="179"/>
        <v/>
      </c>
      <c r="AY130" s="7">
        <f t="shared" ref="AY130:AY193" ca="1" si="192">ROW()-COUNTBLANK(INDIRECT("$AX$2:AX"&amp;ROW()))</f>
        <v>65</v>
      </c>
      <c r="AZ130" s="7">
        <f t="shared" ca="1" si="180"/>
        <v>0</v>
      </c>
      <c r="BB130" t="str">
        <f t="shared" ca="1" si="181"/>
        <v>MILENKOVIC</v>
      </c>
      <c r="BC130" s="7">
        <f t="shared" ca="1" si="108"/>
        <v>130</v>
      </c>
      <c r="BD130" s="7" t="str">
        <f t="shared" ca="1" si="182"/>
        <v>MILENKOVIC</v>
      </c>
      <c r="BF130" t="str">
        <f t="shared" ca="1" si="183"/>
        <v>PAROLO</v>
      </c>
      <c r="BG130" s="7">
        <f t="shared" ca="1" si="109"/>
        <v>130</v>
      </c>
      <c r="BH130" s="7" t="str">
        <f t="shared" ca="1" si="184"/>
        <v>PAROLO</v>
      </c>
      <c r="BJ130" t="str">
        <f t="shared" ca="1" si="185"/>
        <v/>
      </c>
      <c r="BK130" s="7">
        <f t="shared" ca="1" si="110"/>
        <v>104</v>
      </c>
      <c r="BL130" s="7">
        <f t="shared" ca="1" si="186"/>
        <v>0</v>
      </c>
      <c r="BN130" t="str">
        <f t="shared" ca="1" si="187"/>
        <v/>
      </c>
      <c r="BO130" s="7">
        <f t="shared" ca="1" si="178"/>
        <v>1</v>
      </c>
      <c r="BP130" s="7">
        <f t="shared" ca="1" si="188"/>
        <v>0</v>
      </c>
    </row>
    <row r="131" spans="39:68" ht="14.25">
      <c r="AM131" s="221"/>
      <c r="AN131" s="231" t="str">
        <f ca="1">IF(Giocatori!E139=0,"",Giocatori!E139)</f>
        <v/>
      </c>
      <c r="AO131" s="221"/>
      <c r="AP131" s="231" t="str">
        <f ca="1">IF(Giocatori!H139=0,"",Giocatori!H139)</f>
        <v>MIRANDA</v>
      </c>
      <c r="AQ131" s="221"/>
      <c r="AR131" s="231" t="str">
        <f ca="1">IF(Giocatori!K139=0,"",Giocatori!K139)</f>
        <v>PELLEGRINI</v>
      </c>
      <c r="AS131" s="221"/>
      <c r="AT131" s="231" t="str">
        <f ca="1">IF(Giocatori!N139=0,"",Giocatori!N139)</f>
        <v/>
      </c>
      <c r="AU131" s="221"/>
      <c r="AV131" s="231" t="str">
        <f ca="1">IF(Giocatori!Q139=0,"",Giocatori!Q139)</f>
        <v/>
      </c>
      <c r="AX131" t="str">
        <f t="shared" ca="1" si="179"/>
        <v/>
      </c>
      <c r="AY131" s="7">
        <f t="shared" ca="1" si="192"/>
        <v>65</v>
      </c>
      <c r="AZ131" s="7">
        <f t="shared" ca="1" si="180"/>
        <v>0</v>
      </c>
      <c r="BB131" t="str">
        <f t="shared" ca="1" si="181"/>
        <v>MIRANDA</v>
      </c>
      <c r="BC131" s="7">
        <f t="shared" ref="BC131:BC194" ca="1" si="193">ROW()-COUNTBLANK(INDIRECT("$BB$2:BB"&amp;ROW()))</f>
        <v>131</v>
      </c>
      <c r="BD131" s="7" t="str">
        <f t="shared" ca="1" si="182"/>
        <v>MIRANDA</v>
      </c>
      <c r="BF131" t="str">
        <f t="shared" ca="1" si="183"/>
        <v>PELLEGRINI</v>
      </c>
      <c r="BG131" s="7">
        <f t="shared" ref="BG131:BG194" ca="1" si="194">ROW()-COUNTBLANK(INDIRECT("$BF$2:BF"&amp;ROW()))</f>
        <v>131</v>
      </c>
      <c r="BH131" s="7" t="str">
        <f t="shared" ca="1" si="184"/>
        <v>PELLEGRINI</v>
      </c>
      <c r="BJ131" t="str">
        <f t="shared" ca="1" si="185"/>
        <v/>
      </c>
      <c r="BK131" s="7">
        <f t="shared" ref="BK131:BK194" ca="1" si="195">ROW()-COUNTBLANK(INDIRECT("$BJ$2:BJ"&amp;ROW()))</f>
        <v>104</v>
      </c>
      <c r="BL131" s="7">
        <f t="shared" ca="1" si="186"/>
        <v>0</v>
      </c>
      <c r="BN131" t="str">
        <f t="shared" ca="1" si="187"/>
        <v/>
      </c>
      <c r="BO131" s="7">
        <f t="shared" ca="1" si="178"/>
        <v>1</v>
      </c>
      <c r="BP131" s="7">
        <f t="shared" ca="1" si="188"/>
        <v>0</v>
      </c>
    </row>
    <row r="132" spans="39:68" ht="14.25">
      <c r="AM132" s="221"/>
      <c r="AN132" s="231" t="str">
        <f ca="1">IF(Giocatori!E140=0,"",Giocatori!E140)</f>
        <v/>
      </c>
      <c r="AO132" s="221"/>
      <c r="AP132" s="231" t="str">
        <f ca="1">IF(Giocatori!H140=0,"",Giocatori!H140)</f>
        <v>MOLINARO</v>
      </c>
      <c r="AQ132" s="221"/>
      <c r="AR132" s="231" t="str">
        <f ca="1">IF(Giocatori!K140=0,"",Giocatori!K140)</f>
        <v>PERISIC</v>
      </c>
      <c r="AS132" s="221"/>
      <c r="AT132" s="231" t="str">
        <f ca="1">IF(Giocatori!N140=0,"",Giocatori!N140)</f>
        <v/>
      </c>
      <c r="AU132" s="221"/>
      <c r="AV132" s="231" t="str">
        <f ca="1">IF(Giocatori!Q140=0,"",Giocatori!Q140)</f>
        <v/>
      </c>
      <c r="AX132" t="str">
        <f t="shared" ca="1" si="179"/>
        <v/>
      </c>
      <c r="AY132" s="7">
        <f t="shared" ca="1" si="192"/>
        <v>65</v>
      </c>
      <c r="AZ132" s="7">
        <f t="shared" ca="1" si="180"/>
        <v>0</v>
      </c>
      <c r="BB132" t="str">
        <f t="shared" ca="1" si="181"/>
        <v>MOLINARO</v>
      </c>
      <c r="BC132" s="7">
        <f t="shared" ca="1" si="193"/>
        <v>132</v>
      </c>
      <c r="BD132" s="7" t="str">
        <f t="shared" ca="1" si="182"/>
        <v>MOLINARO</v>
      </c>
      <c r="BF132" t="str">
        <f t="shared" ca="1" si="183"/>
        <v>PERISIC</v>
      </c>
      <c r="BG132" s="7">
        <f t="shared" ca="1" si="194"/>
        <v>132</v>
      </c>
      <c r="BH132" s="7" t="str">
        <f t="shared" ca="1" si="184"/>
        <v>PERISIC</v>
      </c>
      <c r="BJ132" t="str">
        <f t="shared" ca="1" si="185"/>
        <v/>
      </c>
      <c r="BK132" s="7">
        <f t="shared" ca="1" si="195"/>
        <v>104</v>
      </c>
      <c r="BL132" s="7">
        <f t="shared" ca="1" si="186"/>
        <v>0</v>
      </c>
      <c r="BN132" t="str">
        <f t="shared" ca="1" si="187"/>
        <v/>
      </c>
      <c r="BO132" s="7">
        <f t="shared" ca="1" si="178"/>
        <v>1</v>
      </c>
      <c r="BP132" s="7">
        <f t="shared" ca="1" si="188"/>
        <v>0</v>
      </c>
    </row>
    <row r="133" spans="39:68" ht="14.25">
      <c r="AM133" s="221"/>
      <c r="AN133" s="231" t="str">
        <f ca="1">IF(Giocatori!E141=0,"",Giocatori!E141)</f>
        <v/>
      </c>
      <c r="AO133" s="221"/>
      <c r="AP133" s="231" t="str">
        <f ca="1">IF(Giocatori!H141=0,"",Giocatori!H141)</f>
        <v>MORETTI</v>
      </c>
      <c r="AQ133" s="221"/>
      <c r="AR133" s="231" t="str">
        <f ca="1">IF(Giocatori!K141=0,"",Giocatori!K141)</f>
        <v>PEROTTI</v>
      </c>
      <c r="AS133" s="221"/>
      <c r="AT133" s="231" t="str">
        <f ca="1">IF(Giocatori!N141=0,"",Giocatori!N141)</f>
        <v/>
      </c>
      <c r="AU133" s="221"/>
      <c r="AV133" s="231" t="str">
        <f ca="1">IF(Giocatori!Q141=0,"",Giocatori!Q141)</f>
        <v/>
      </c>
      <c r="AX133" t="str">
        <f t="shared" ca="1" si="179"/>
        <v/>
      </c>
      <c r="AY133" s="7">
        <f t="shared" ca="1" si="192"/>
        <v>65</v>
      </c>
      <c r="AZ133" s="7">
        <f t="shared" ca="1" si="180"/>
        <v>0</v>
      </c>
      <c r="BB133" t="str">
        <f t="shared" ca="1" si="181"/>
        <v>MORETTI</v>
      </c>
      <c r="BC133" s="7">
        <f t="shared" ca="1" si="193"/>
        <v>133</v>
      </c>
      <c r="BD133" s="7" t="str">
        <f t="shared" ca="1" si="182"/>
        <v>MORETTI</v>
      </c>
      <c r="BF133" t="str">
        <f t="shared" ca="1" si="183"/>
        <v>PEROTTI</v>
      </c>
      <c r="BG133" s="7">
        <f t="shared" ca="1" si="194"/>
        <v>133</v>
      </c>
      <c r="BH133" s="7" t="str">
        <f t="shared" ca="1" si="184"/>
        <v>PEROTTI</v>
      </c>
      <c r="BJ133" t="str">
        <f t="shared" ca="1" si="185"/>
        <v/>
      </c>
      <c r="BK133" s="7">
        <f t="shared" ca="1" si="195"/>
        <v>104</v>
      </c>
      <c r="BL133" s="7">
        <f t="shared" ca="1" si="186"/>
        <v>0</v>
      </c>
      <c r="BN133" t="str">
        <f t="shared" ca="1" si="187"/>
        <v/>
      </c>
      <c r="BO133" s="7">
        <f t="shared" ca="1" si="178"/>
        <v>1</v>
      </c>
      <c r="BP133" s="7">
        <f t="shared" ca="1" si="188"/>
        <v>0</v>
      </c>
    </row>
    <row r="134" spans="39:68" ht="14.25">
      <c r="AM134" s="221"/>
      <c r="AN134" s="231" t="str">
        <f ca="1">IF(Giocatori!E142=0,"",Giocatori!E142)</f>
        <v/>
      </c>
      <c r="AO134" s="221"/>
      <c r="AP134" s="231" t="str">
        <f ca="1">IF(Giocatori!H142=0,"",Giocatori!H142)</f>
        <v>MURRU</v>
      </c>
      <c r="AQ134" s="221"/>
      <c r="AR134" s="231" t="str">
        <f ca="1">IF(Giocatori!K142=0,"",Giocatori!K142)</f>
        <v>PJANIC</v>
      </c>
      <c r="AS134" s="221"/>
      <c r="AT134" s="231" t="str">
        <f ca="1">IF(Giocatori!N142=0,"",Giocatori!N142)</f>
        <v/>
      </c>
      <c r="AU134" s="221"/>
      <c r="AV134" s="231" t="str">
        <f ca="1">IF(Giocatori!Q142=0,"",Giocatori!Q142)</f>
        <v/>
      </c>
      <c r="AX134" t="str">
        <f t="shared" ca="1" si="179"/>
        <v/>
      </c>
      <c r="AY134" s="7">
        <f t="shared" ca="1" si="192"/>
        <v>65</v>
      </c>
      <c r="AZ134" s="7">
        <f t="shared" ca="1" si="180"/>
        <v>0</v>
      </c>
      <c r="BB134" t="str">
        <f t="shared" ca="1" si="181"/>
        <v>MURRU</v>
      </c>
      <c r="BC134" s="7">
        <f t="shared" ca="1" si="193"/>
        <v>134</v>
      </c>
      <c r="BD134" s="7" t="str">
        <f t="shared" ca="1" si="182"/>
        <v>MURRU</v>
      </c>
      <c r="BF134" t="str">
        <f t="shared" ca="1" si="183"/>
        <v>PJANIC</v>
      </c>
      <c r="BG134" s="7">
        <f t="shared" ca="1" si="194"/>
        <v>134</v>
      </c>
      <c r="BH134" s="7" t="str">
        <f t="shared" ca="1" si="184"/>
        <v>PJANIC</v>
      </c>
      <c r="BJ134" t="str">
        <f t="shared" ca="1" si="185"/>
        <v/>
      </c>
      <c r="BK134" s="7">
        <f t="shared" ca="1" si="195"/>
        <v>104</v>
      </c>
      <c r="BL134" s="7">
        <f t="shared" ca="1" si="186"/>
        <v>0</v>
      </c>
      <c r="BN134" t="str">
        <f t="shared" ca="1" si="187"/>
        <v/>
      </c>
      <c r="BO134" s="7">
        <f t="shared" ca="1" si="178"/>
        <v>1</v>
      </c>
      <c r="BP134" s="7">
        <f t="shared" ca="1" si="188"/>
        <v>0</v>
      </c>
    </row>
    <row r="135" spans="39:68" ht="14.25">
      <c r="AM135" s="221"/>
      <c r="AN135" s="231" t="str">
        <f ca="1">IF(Giocatori!E143=0,"",Giocatori!E143)</f>
        <v/>
      </c>
      <c r="AO135" s="221"/>
      <c r="AP135" s="231" t="str">
        <f ca="1">IF(Giocatori!H143=0,"",Giocatori!H143)</f>
        <v>MUSACCHIO</v>
      </c>
      <c r="AQ135" s="221"/>
      <c r="AR135" s="231" t="str">
        <f ca="1">IF(Giocatori!K143=0,"",Giocatori!K143)</f>
        <v>POLI</v>
      </c>
      <c r="AS135" s="221"/>
      <c r="AT135" s="231" t="str">
        <f ca="1">IF(Giocatori!N143=0,"",Giocatori!N143)</f>
        <v/>
      </c>
      <c r="AU135" s="221"/>
      <c r="AV135" s="231" t="str">
        <f ca="1">IF(Giocatori!Q143=0,"",Giocatori!Q143)</f>
        <v/>
      </c>
      <c r="AX135" t="str">
        <f t="shared" ca="1" si="179"/>
        <v/>
      </c>
      <c r="AY135" s="7">
        <f t="shared" ca="1" si="192"/>
        <v>65</v>
      </c>
      <c r="AZ135" s="7">
        <f t="shared" ca="1" si="180"/>
        <v>0</v>
      </c>
      <c r="BB135" t="str">
        <f t="shared" ca="1" si="181"/>
        <v>MUSACCHIO</v>
      </c>
      <c r="BC135" s="7">
        <f t="shared" ca="1" si="193"/>
        <v>135</v>
      </c>
      <c r="BD135" s="7" t="str">
        <f t="shared" ca="1" si="182"/>
        <v>MUSACCHIO</v>
      </c>
      <c r="BF135" t="str">
        <f t="shared" ca="1" si="183"/>
        <v>POLI</v>
      </c>
      <c r="BG135" s="7">
        <f t="shared" ca="1" si="194"/>
        <v>135</v>
      </c>
      <c r="BH135" s="7" t="str">
        <f t="shared" ca="1" si="184"/>
        <v>POLI</v>
      </c>
      <c r="BJ135" t="str">
        <f t="shared" ca="1" si="185"/>
        <v/>
      </c>
      <c r="BK135" s="7">
        <f t="shared" ca="1" si="195"/>
        <v>104</v>
      </c>
      <c r="BL135" s="7">
        <f t="shared" ca="1" si="186"/>
        <v>0</v>
      </c>
      <c r="BN135" t="str">
        <f t="shared" ca="1" si="187"/>
        <v/>
      </c>
      <c r="BO135" s="7">
        <f t="shared" ca="1" si="178"/>
        <v>1</v>
      </c>
      <c r="BP135" s="7">
        <f t="shared" ca="1" si="188"/>
        <v>0</v>
      </c>
    </row>
    <row r="136" spans="39:68" ht="14.25">
      <c r="AM136" s="221"/>
      <c r="AN136" s="231" t="str">
        <f ca="1">IF(Giocatori!E144=0,"",Giocatori!E144)</f>
        <v/>
      </c>
      <c r="AO136" s="221"/>
      <c r="AP136" s="231" t="str">
        <f ca="1">IF(Giocatori!H144=0,"",Giocatori!H144)</f>
        <v>NAGATOMO</v>
      </c>
      <c r="AQ136" s="221"/>
      <c r="AR136" s="231" t="str">
        <f ca="1">IF(Giocatori!K144=0,"",Giocatori!K144)</f>
        <v>PRAET</v>
      </c>
      <c r="AS136" s="221"/>
      <c r="AT136" s="231" t="str">
        <f ca="1">IF(Giocatori!N144=0,"",Giocatori!N144)</f>
        <v/>
      </c>
      <c r="AU136" s="221"/>
      <c r="AV136" s="231" t="str">
        <f ca="1">IF(Giocatori!Q144=0,"",Giocatori!Q144)</f>
        <v/>
      </c>
      <c r="AX136" t="str">
        <f t="shared" ca="1" si="179"/>
        <v/>
      </c>
      <c r="AY136" s="7">
        <f t="shared" ca="1" si="192"/>
        <v>65</v>
      </c>
      <c r="AZ136" s="7">
        <f t="shared" ca="1" si="180"/>
        <v>0</v>
      </c>
      <c r="BB136" t="str">
        <f t="shared" ca="1" si="181"/>
        <v>NAGATOMO</v>
      </c>
      <c r="BC136" s="7">
        <f t="shared" ca="1" si="193"/>
        <v>136</v>
      </c>
      <c r="BD136" s="7" t="str">
        <f t="shared" ca="1" si="182"/>
        <v>NAGATOMO</v>
      </c>
      <c r="BF136" t="str">
        <f t="shared" ca="1" si="183"/>
        <v>PRAET</v>
      </c>
      <c r="BG136" s="7">
        <f t="shared" ca="1" si="194"/>
        <v>136</v>
      </c>
      <c r="BH136" s="7" t="str">
        <f t="shared" ca="1" si="184"/>
        <v>PRAET</v>
      </c>
      <c r="BJ136" t="str">
        <f t="shared" ca="1" si="185"/>
        <v/>
      </c>
      <c r="BK136" s="7">
        <f t="shared" ca="1" si="195"/>
        <v>104</v>
      </c>
      <c r="BL136" s="7">
        <f t="shared" ca="1" si="186"/>
        <v>0</v>
      </c>
      <c r="BN136" t="str">
        <f t="shared" ca="1" si="187"/>
        <v/>
      </c>
      <c r="BO136" s="7">
        <f t="shared" ca="1" si="178"/>
        <v>1</v>
      </c>
      <c r="BP136" s="7">
        <f t="shared" ca="1" si="188"/>
        <v>0</v>
      </c>
    </row>
    <row r="137" spans="39:68" ht="14.25">
      <c r="AM137" s="221"/>
      <c r="AN137" s="231" t="str">
        <f ca="1">IF(Giocatori!E145=0,"",Giocatori!E145)</f>
        <v/>
      </c>
      <c r="AO137" s="221"/>
      <c r="AP137" s="231" t="str">
        <f ca="1">IF(Giocatori!H145=0,"",Giocatori!H145)</f>
        <v>N'KOULOU</v>
      </c>
      <c r="AQ137" s="221"/>
      <c r="AR137" s="231" t="str">
        <f ca="1">IF(Giocatori!K145=0,"",Giocatori!K145)</f>
        <v>PULGAR</v>
      </c>
      <c r="AS137" s="221"/>
      <c r="AT137" s="231" t="str">
        <f ca="1">IF(Giocatori!N145=0,"",Giocatori!N145)</f>
        <v/>
      </c>
      <c r="AU137" s="221"/>
      <c r="AV137" s="231" t="str">
        <f ca="1">IF(Giocatori!Q145=0,"",Giocatori!Q145)</f>
        <v/>
      </c>
      <c r="AX137" t="str">
        <f t="shared" ca="1" si="179"/>
        <v/>
      </c>
      <c r="AY137" s="7">
        <f t="shared" ca="1" si="192"/>
        <v>65</v>
      </c>
      <c r="AZ137" s="7">
        <f t="shared" ca="1" si="180"/>
        <v>0</v>
      </c>
      <c r="BB137" t="str">
        <f t="shared" ca="1" si="181"/>
        <v>N'KOULOU</v>
      </c>
      <c r="BC137" s="7">
        <f t="shared" ca="1" si="193"/>
        <v>137</v>
      </c>
      <c r="BD137" s="7" t="str">
        <f t="shared" ca="1" si="182"/>
        <v>N'KOULOU</v>
      </c>
      <c r="BF137" t="str">
        <f t="shared" ca="1" si="183"/>
        <v>PULGAR</v>
      </c>
      <c r="BG137" s="7">
        <f t="shared" ca="1" si="194"/>
        <v>137</v>
      </c>
      <c r="BH137" s="7" t="str">
        <f t="shared" ca="1" si="184"/>
        <v>PULGAR</v>
      </c>
      <c r="BJ137" t="str">
        <f t="shared" ca="1" si="185"/>
        <v/>
      </c>
      <c r="BK137" s="7">
        <f t="shared" ca="1" si="195"/>
        <v>104</v>
      </c>
      <c r="BL137" s="7">
        <f t="shared" ca="1" si="186"/>
        <v>0</v>
      </c>
      <c r="BN137" t="str">
        <f t="shared" ca="1" si="187"/>
        <v/>
      </c>
      <c r="BO137" s="7">
        <f t="shared" ref="BO137:BO168" ca="1" si="196">ROW()-COUNTBLANK(INDIRECT("$BI$2:BI"&amp;ROW()))</f>
        <v>1</v>
      </c>
      <c r="BP137" s="7">
        <f t="shared" ca="1" si="188"/>
        <v>0</v>
      </c>
    </row>
    <row r="138" spans="39:68" ht="14.25">
      <c r="AM138" s="221"/>
      <c r="AN138" s="231" t="str">
        <f ca="1">IF(Giocatori!E146=0,"",Giocatori!E146)</f>
        <v/>
      </c>
      <c r="AO138" s="221"/>
      <c r="AP138" s="231" t="str">
        <f ca="1">IF(Giocatori!H146=0,"",Giocatori!H146)</f>
        <v>NUYTINCK</v>
      </c>
      <c r="AQ138" s="221"/>
      <c r="AR138" s="231" t="str">
        <f ca="1">IF(Giocatori!K146=0,"",Giocatori!K146)</f>
        <v>RADOVANOVIC</v>
      </c>
      <c r="AS138" s="221"/>
      <c r="AT138" s="231" t="str">
        <f ca="1">IF(Giocatori!N146=0,"",Giocatori!N146)</f>
        <v/>
      </c>
      <c r="AU138" s="221"/>
      <c r="AV138" s="231" t="str">
        <f ca="1">IF(Giocatori!Q146=0,"",Giocatori!Q146)</f>
        <v/>
      </c>
      <c r="AX138" t="str">
        <f t="shared" ref="AX138:AX169" ca="1" si="197">IF(ISNA(VLOOKUP(AN138,$AW$2:$AW$199,1,FALSE)),AN138,"")</f>
        <v/>
      </c>
      <c r="AY138" s="7">
        <f t="shared" ca="1" si="192"/>
        <v>65</v>
      </c>
      <c r="AZ138" s="7">
        <f t="shared" ref="AZ138:AZ169" ca="1" si="198">IF(ISERROR(INDEX($AX$2:$AX$199,MATCH(ROW(),$AY$2:$AY$199,FALSE))),0,INDEX($AX$2:$AX$199,MATCH(ROW(),$AY$2:$AY$199,FALSE)))</f>
        <v>0</v>
      </c>
      <c r="BB138" t="str">
        <f t="shared" ref="BB138:BB169" ca="1" si="199">IF(ISNA(VLOOKUP(AP138,$BA$2:$BA$199,1,FALSE)),AP138,"")</f>
        <v>NUYTINCK</v>
      </c>
      <c r="BC138" s="7">
        <f t="shared" ca="1" si="193"/>
        <v>138</v>
      </c>
      <c r="BD138" s="7" t="str">
        <f t="shared" ref="BD138:BD169" ca="1" si="200">IF(ISERROR(INDEX($BB$2:$BB$199,MATCH(ROW(),$BC$2:$BC$199,FALSE))),0,INDEX($BB$2:$BB$199,MATCH(ROW(),$BC$2:$BC$199,FALSE)))</f>
        <v>NUYTINCK</v>
      </c>
      <c r="BF138" t="str">
        <f t="shared" ref="BF138:BF169" ca="1" si="201">IF(ISNA(VLOOKUP(AR138,$BE$2:$BE$199,1,FALSE)),AR138,"")</f>
        <v>RADOVANOVIC</v>
      </c>
      <c r="BG138" s="7">
        <f t="shared" ca="1" si="194"/>
        <v>138</v>
      </c>
      <c r="BH138" s="7" t="str">
        <f t="shared" ref="BH138:BH169" ca="1" si="202">IF(ISERROR(INDEX($BF$2:$BF$199,MATCH(ROW(),$BG$2:$BG$199,FALSE))),0,INDEX($BF$2:$BF$199,MATCH(ROW(),$BG$2:$BG$199,FALSE)))</f>
        <v>RADOVANOVIC</v>
      </c>
      <c r="BJ138" t="str">
        <f t="shared" ref="BJ138:BJ169" ca="1" si="203">IF(ISNA(VLOOKUP(AT138,$BI$2:$BI$199,1,FALSE)),AT138,"")</f>
        <v/>
      </c>
      <c r="BK138" s="7">
        <f t="shared" ca="1" si="195"/>
        <v>104</v>
      </c>
      <c r="BL138" s="7">
        <f t="shared" ref="BL138:BL169" ca="1" si="204">IF(ISERROR(INDEX($BJ$2:$BJ$199,MATCH(ROW(),$BK$2:$BK$199,FALSE))),0,INDEX($BJ$2:$BJ$199,MATCH(ROW(),$BK$2:$BK$199,FALSE)))</f>
        <v>0</v>
      </c>
      <c r="BN138" t="str">
        <f t="shared" ref="BN138:BN169" ca="1" si="205">IF(ISNA(VLOOKUP(AV138,$BM$2:$BM$199,1,FALSE)),AV138,"")</f>
        <v/>
      </c>
      <c r="BO138" s="7">
        <f t="shared" ca="1" si="196"/>
        <v>1</v>
      </c>
      <c r="BP138" s="7">
        <f t="shared" ref="BP138:BP169" ca="1" si="206">IF(ISERROR(INDEX($BN$2:$BN$199,MATCH(ROW(),$BO$2:$BO$199,FALSE))),0,INDEX($BN$2:$BN$199,MATCH(ROW(),$BO$2:$BO$199,FALSE)))</f>
        <v>0</v>
      </c>
    </row>
    <row r="139" spans="39:68" ht="14.25">
      <c r="AM139" s="221"/>
      <c r="AN139" s="231" t="str">
        <f ca="1">IF(Giocatori!E147=0,"",Giocatori!E147)</f>
        <v/>
      </c>
      <c r="AO139" s="221"/>
      <c r="AP139" s="231" t="str">
        <f ca="1">IF(Giocatori!H147=0,"",Giocatori!H147)</f>
        <v>OIKONOMOU</v>
      </c>
      <c r="AQ139" s="221"/>
      <c r="AR139" s="231" t="str">
        <f ca="1">IF(Giocatori!K147=0,"",Giocatori!K147)</f>
        <v>RAMIREZ</v>
      </c>
      <c r="AS139" s="221"/>
      <c r="AT139" s="231" t="str">
        <f ca="1">IF(Giocatori!N147=0,"",Giocatori!N147)</f>
        <v/>
      </c>
      <c r="AU139" s="221"/>
      <c r="AV139" s="231" t="str">
        <f ca="1">IF(Giocatori!Q147=0,"",Giocatori!Q147)</f>
        <v/>
      </c>
      <c r="AX139" t="str">
        <f t="shared" ca="1" si="197"/>
        <v/>
      </c>
      <c r="AY139" s="7">
        <f t="shared" ca="1" si="192"/>
        <v>65</v>
      </c>
      <c r="AZ139" s="7">
        <f t="shared" ca="1" si="198"/>
        <v>0</v>
      </c>
      <c r="BB139" t="str">
        <f t="shared" ca="1" si="199"/>
        <v>OIKONOMOU</v>
      </c>
      <c r="BC139" s="7">
        <f t="shared" ca="1" si="193"/>
        <v>139</v>
      </c>
      <c r="BD139" s="7" t="str">
        <f t="shared" ca="1" si="200"/>
        <v>OIKONOMOU</v>
      </c>
      <c r="BF139" t="str">
        <f t="shared" ca="1" si="201"/>
        <v>RAMIREZ</v>
      </c>
      <c r="BG139" s="7">
        <f t="shared" ca="1" si="194"/>
        <v>139</v>
      </c>
      <c r="BH139" s="7" t="str">
        <f t="shared" ca="1" si="202"/>
        <v>RAMIREZ</v>
      </c>
      <c r="BJ139" t="str">
        <f t="shared" ca="1" si="203"/>
        <v/>
      </c>
      <c r="BK139" s="7">
        <f t="shared" ca="1" si="195"/>
        <v>104</v>
      </c>
      <c r="BL139" s="7">
        <f t="shared" ca="1" si="204"/>
        <v>0</v>
      </c>
      <c r="BN139" t="str">
        <f t="shared" ca="1" si="205"/>
        <v/>
      </c>
      <c r="BO139" s="7">
        <f t="shared" ca="1" si="196"/>
        <v>1</v>
      </c>
      <c r="BP139" s="7">
        <f t="shared" ca="1" si="206"/>
        <v>0</v>
      </c>
    </row>
    <row r="140" spans="39:68" ht="14.25">
      <c r="AM140" s="221"/>
      <c r="AN140" s="231" t="str">
        <f ca="1">IF(Giocatori!E148=0,"",Giocatori!E148)</f>
        <v/>
      </c>
      <c r="AO140" s="221"/>
      <c r="AP140" s="231" t="str">
        <f ca="1">IF(Giocatori!H148=0,"",Giocatori!H148)</f>
        <v>OLIVERA M</v>
      </c>
      <c r="AQ140" s="221"/>
      <c r="AR140" s="231" t="str">
        <f ca="1">IF(Giocatori!K148=0,"",Giocatori!K148)</f>
        <v>RIGONI L</v>
      </c>
      <c r="AS140" s="221"/>
      <c r="AT140" s="231" t="str">
        <f ca="1">IF(Giocatori!N148=0,"",Giocatori!N148)</f>
        <v/>
      </c>
      <c r="AU140" s="221"/>
      <c r="AV140" s="231" t="str">
        <f ca="1">IF(Giocatori!Q148=0,"",Giocatori!Q148)</f>
        <v/>
      </c>
      <c r="AX140" t="str">
        <f t="shared" ca="1" si="197"/>
        <v/>
      </c>
      <c r="AY140" s="7">
        <f t="shared" ca="1" si="192"/>
        <v>65</v>
      </c>
      <c r="AZ140" s="7">
        <f t="shared" ca="1" si="198"/>
        <v>0</v>
      </c>
      <c r="BB140" t="str">
        <f t="shared" ca="1" si="199"/>
        <v>OLIVERA M</v>
      </c>
      <c r="BC140" s="7">
        <f t="shared" ca="1" si="193"/>
        <v>140</v>
      </c>
      <c r="BD140" s="7" t="str">
        <f t="shared" ca="1" si="200"/>
        <v>OLIVERA M</v>
      </c>
      <c r="BF140" t="str">
        <f t="shared" ca="1" si="201"/>
        <v>RIGONI L</v>
      </c>
      <c r="BG140" s="7">
        <f t="shared" ca="1" si="194"/>
        <v>140</v>
      </c>
      <c r="BH140" s="7" t="str">
        <f t="shared" ca="1" si="202"/>
        <v>RIGONI L</v>
      </c>
      <c r="BJ140" t="str">
        <f t="shared" ca="1" si="203"/>
        <v/>
      </c>
      <c r="BK140" s="7">
        <f t="shared" ca="1" si="195"/>
        <v>104</v>
      </c>
      <c r="BL140" s="7">
        <f t="shared" ca="1" si="204"/>
        <v>0</v>
      </c>
      <c r="BN140" t="str">
        <f t="shared" ca="1" si="205"/>
        <v/>
      </c>
      <c r="BO140" s="7">
        <f t="shared" ca="1" si="196"/>
        <v>1</v>
      </c>
      <c r="BP140" s="7">
        <f t="shared" ca="1" si="206"/>
        <v>0</v>
      </c>
    </row>
    <row r="141" spans="39:68" ht="14.25">
      <c r="AM141" s="221"/>
      <c r="AN141" s="231" t="str">
        <f ca="1">IF(Giocatori!E149=0,"",Giocatori!E149)</f>
        <v/>
      </c>
      <c r="AO141" s="221"/>
      <c r="AP141" s="231" t="str">
        <f ca="1">IF(Giocatori!H149=0,"",Giocatori!H149)</f>
        <v>PALETTA</v>
      </c>
      <c r="AQ141" s="221"/>
      <c r="AR141" s="231" t="str">
        <f ca="1">IF(Giocatori!K149=0,"",Giocatori!K149)</f>
        <v>RIGONI N</v>
      </c>
      <c r="AS141" s="221"/>
      <c r="AT141" s="231" t="str">
        <f ca="1">IF(Giocatori!N149=0,"",Giocatori!N149)</f>
        <v/>
      </c>
      <c r="AU141" s="221"/>
      <c r="AV141" s="231" t="str">
        <f ca="1">IF(Giocatori!Q149=0,"",Giocatori!Q149)</f>
        <v/>
      </c>
      <c r="AX141" t="str">
        <f t="shared" ca="1" si="197"/>
        <v/>
      </c>
      <c r="AY141" s="7">
        <f t="shared" ca="1" si="192"/>
        <v>65</v>
      </c>
      <c r="AZ141" s="7">
        <f t="shared" ca="1" si="198"/>
        <v>0</v>
      </c>
      <c r="BB141" t="str">
        <f t="shared" ca="1" si="199"/>
        <v>PALETTA</v>
      </c>
      <c r="BC141" s="7">
        <f t="shared" ca="1" si="193"/>
        <v>141</v>
      </c>
      <c r="BD141" s="7" t="str">
        <f t="shared" ca="1" si="200"/>
        <v>PALETTA</v>
      </c>
      <c r="BF141" t="str">
        <f t="shared" ca="1" si="201"/>
        <v>RIGONI N</v>
      </c>
      <c r="BG141" s="7">
        <f t="shared" ca="1" si="194"/>
        <v>141</v>
      </c>
      <c r="BH141" s="7" t="str">
        <f t="shared" ca="1" si="202"/>
        <v>RIGONI N</v>
      </c>
      <c r="BJ141" t="str">
        <f t="shared" ca="1" si="203"/>
        <v/>
      </c>
      <c r="BK141" s="7">
        <f t="shared" ca="1" si="195"/>
        <v>104</v>
      </c>
      <c r="BL141" s="7">
        <f t="shared" ca="1" si="204"/>
        <v>0</v>
      </c>
      <c r="BN141" t="str">
        <f t="shared" ca="1" si="205"/>
        <v/>
      </c>
      <c r="BO141" s="7">
        <f t="shared" ca="1" si="196"/>
        <v>1</v>
      </c>
      <c r="BP141" s="7">
        <f t="shared" ca="1" si="206"/>
        <v>0</v>
      </c>
    </row>
    <row r="142" spans="39:68" ht="14.25">
      <c r="AM142" s="221"/>
      <c r="AN142" s="231" t="str">
        <f ca="1">IF(Giocatori!E150=0,"",Giocatori!E150)</f>
        <v/>
      </c>
      <c r="AO142" s="221"/>
      <c r="AP142" s="231" t="str">
        <f ca="1">IF(Giocatori!H150=0,"",Giocatori!H150)</f>
        <v>PALOMINO</v>
      </c>
      <c r="AQ142" s="221"/>
      <c r="AR142" s="231" t="str">
        <f ca="1">IF(Giocatori!K150=0,"",Giocatori!K150)</f>
        <v>RINCON</v>
      </c>
      <c r="AS142" s="221"/>
      <c r="AT142" s="231" t="str">
        <f ca="1">IF(Giocatori!N150=0,"",Giocatori!N150)</f>
        <v/>
      </c>
      <c r="AU142" s="221"/>
      <c r="AV142" s="231" t="str">
        <f ca="1">IF(Giocatori!Q150=0,"",Giocatori!Q150)</f>
        <v/>
      </c>
      <c r="AX142" t="str">
        <f t="shared" ca="1" si="197"/>
        <v/>
      </c>
      <c r="AY142" s="7">
        <f t="shared" ca="1" si="192"/>
        <v>65</v>
      </c>
      <c r="AZ142" s="7">
        <f t="shared" ca="1" si="198"/>
        <v>0</v>
      </c>
      <c r="BB142" t="str">
        <f t="shared" ca="1" si="199"/>
        <v>PALOMINO</v>
      </c>
      <c r="BC142" s="7">
        <f t="shared" ca="1" si="193"/>
        <v>142</v>
      </c>
      <c r="BD142" s="7" t="str">
        <f t="shared" ca="1" si="200"/>
        <v>PALOMINO</v>
      </c>
      <c r="BF142" t="str">
        <f t="shared" ca="1" si="201"/>
        <v>RINCON</v>
      </c>
      <c r="BG142" s="7">
        <f t="shared" ca="1" si="194"/>
        <v>142</v>
      </c>
      <c r="BH142" s="7" t="str">
        <f t="shared" ca="1" si="202"/>
        <v>RINCON</v>
      </c>
      <c r="BJ142" t="str">
        <f t="shared" ca="1" si="203"/>
        <v/>
      </c>
      <c r="BK142" s="7">
        <f t="shared" ca="1" si="195"/>
        <v>104</v>
      </c>
      <c r="BL142" s="7">
        <f t="shared" ca="1" si="204"/>
        <v>0</v>
      </c>
      <c r="BN142" t="str">
        <f t="shared" ca="1" si="205"/>
        <v/>
      </c>
      <c r="BO142" s="7">
        <f t="shared" ca="1" si="196"/>
        <v>1</v>
      </c>
      <c r="BP142" s="7">
        <f t="shared" ca="1" si="206"/>
        <v>0</v>
      </c>
    </row>
    <row r="143" spans="39:68" ht="14.25">
      <c r="AM143" s="221"/>
      <c r="AN143" s="231" t="str">
        <f ca="1">IF(Giocatori!E151=0,"",Giocatori!E151)</f>
        <v/>
      </c>
      <c r="AO143" s="221"/>
      <c r="AP143" s="231" t="str">
        <f ca="1">IF(Giocatori!H151=0,"",Giocatori!H151)</f>
        <v>PATRIC</v>
      </c>
      <c r="AQ143" s="221"/>
      <c r="AR143" s="231" t="str">
        <f ca="1">IF(Giocatori!K151=0,"",Giocatori!K151)</f>
        <v>RIZZO</v>
      </c>
      <c r="AS143" s="221"/>
      <c r="AT143" s="231" t="str">
        <f ca="1">IF(Giocatori!N151=0,"",Giocatori!N151)</f>
        <v/>
      </c>
      <c r="AU143" s="221"/>
      <c r="AV143" s="231" t="str">
        <f ca="1">IF(Giocatori!Q151=0,"",Giocatori!Q151)</f>
        <v/>
      </c>
      <c r="AX143" t="str">
        <f t="shared" ca="1" si="197"/>
        <v/>
      </c>
      <c r="AY143" s="7">
        <f t="shared" ca="1" si="192"/>
        <v>65</v>
      </c>
      <c r="AZ143" s="7">
        <f t="shared" ca="1" si="198"/>
        <v>0</v>
      </c>
      <c r="BB143" t="str">
        <f t="shared" ca="1" si="199"/>
        <v>PATRIC</v>
      </c>
      <c r="BC143" s="7">
        <f t="shared" ca="1" si="193"/>
        <v>143</v>
      </c>
      <c r="BD143" s="7" t="str">
        <f t="shared" ca="1" si="200"/>
        <v>PATRIC</v>
      </c>
      <c r="BF143" t="str">
        <f t="shared" ca="1" si="201"/>
        <v>RIZZO</v>
      </c>
      <c r="BG143" s="7">
        <f t="shared" ca="1" si="194"/>
        <v>143</v>
      </c>
      <c r="BH143" s="7" t="str">
        <f t="shared" ca="1" si="202"/>
        <v>RIZZO</v>
      </c>
      <c r="BJ143" t="str">
        <f t="shared" ca="1" si="203"/>
        <v/>
      </c>
      <c r="BK143" s="7">
        <f t="shared" ca="1" si="195"/>
        <v>104</v>
      </c>
      <c r="BL143" s="7">
        <f t="shared" ca="1" si="204"/>
        <v>0</v>
      </c>
      <c r="BN143" t="str">
        <f t="shared" ca="1" si="205"/>
        <v/>
      </c>
      <c r="BO143" s="7">
        <f t="shared" ca="1" si="196"/>
        <v>1</v>
      </c>
      <c r="BP143" s="7">
        <f t="shared" ca="1" si="206"/>
        <v>0</v>
      </c>
    </row>
    <row r="144" spans="39:68" ht="14.25">
      <c r="AM144" s="221"/>
      <c r="AN144" s="231" t="str">
        <f ca="1">IF(Giocatori!E152=0,"",Giocatori!E152)</f>
        <v/>
      </c>
      <c r="AO144" s="221"/>
      <c r="AP144" s="231" t="str">
        <f ca="1">IF(Giocatori!H152=0,"",Giocatori!H152)</f>
        <v>PAVLOVIC</v>
      </c>
      <c r="AQ144" s="221"/>
      <c r="AR144" s="231" t="str">
        <f ca="1">IF(Giocatori!K152=0,"",Giocatori!K152)</f>
        <v>RODRIGUEZ T</v>
      </c>
      <c r="AS144" s="221"/>
      <c r="AT144" s="231" t="str">
        <f ca="1">IF(Giocatori!N152=0,"",Giocatori!N152)</f>
        <v/>
      </c>
      <c r="AU144" s="221"/>
      <c r="AV144" s="231" t="str">
        <f ca="1">IF(Giocatori!Q152=0,"",Giocatori!Q152)</f>
        <v/>
      </c>
      <c r="AX144" t="str">
        <f t="shared" ca="1" si="197"/>
        <v/>
      </c>
      <c r="AY144" s="7">
        <f t="shared" ca="1" si="192"/>
        <v>65</v>
      </c>
      <c r="AZ144" s="7">
        <f t="shared" ca="1" si="198"/>
        <v>0</v>
      </c>
      <c r="BB144" t="str">
        <f t="shared" ca="1" si="199"/>
        <v>PAVLOVIC</v>
      </c>
      <c r="BC144" s="7">
        <f t="shared" ca="1" si="193"/>
        <v>144</v>
      </c>
      <c r="BD144" s="7" t="str">
        <f t="shared" ca="1" si="200"/>
        <v>PAVLOVIC</v>
      </c>
      <c r="BF144" t="str">
        <f t="shared" ca="1" si="201"/>
        <v>RODRIGUEZ T</v>
      </c>
      <c r="BG144" s="7">
        <f t="shared" ca="1" si="194"/>
        <v>144</v>
      </c>
      <c r="BH144" s="7" t="str">
        <f t="shared" ca="1" si="202"/>
        <v>RODRIGUEZ T</v>
      </c>
      <c r="BJ144" t="str">
        <f t="shared" ca="1" si="203"/>
        <v/>
      </c>
      <c r="BK144" s="7">
        <f t="shared" ca="1" si="195"/>
        <v>104</v>
      </c>
      <c r="BL144" s="7">
        <f t="shared" ca="1" si="204"/>
        <v>0</v>
      </c>
      <c r="BN144" t="str">
        <f t="shared" ca="1" si="205"/>
        <v/>
      </c>
      <c r="BO144" s="7">
        <f t="shared" ca="1" si="196"/>
        <v>1</v>
      </c>
      <c r="BP144" s="7">
        <f t="shared" ca="1" si="206"/>
        <v>0</v>
      </c>
    </row>
    <row r="145" spans="39:68" ht="14.25">
      <c r="AM145" s="221"/>
      <c r="AN145" s="231" t="str">
        <f ca="1">IF(Giocatori!E153=0,"",Giocatori!E153)</f>
        <v/>
      </c>
      <c r="AO145" s="221"/>
      <c r="AP145" s="231" t="str">
        <f ca="1">IF(Giocatori!H153=0,"",Giocatori!H153)</f>
        <v>PELUSO</v>
      </c>
      <c r="AQ145" s="221"/>
      <c r="AR145" s="231" t="str">
        <f ca="1">IF(Giocatori!K153=0,"",Giocatori!K153)</f>
        <v>ROG</v>
      </c>
      <c r="AS145" s="221"/>
      <c r="AT145" s="231" t="str">
        <f ca="1">IF(Giocatori!N153=0,"",Giocatori!N153)</f>
        <v/>
      </c>
      <c r="AU145" s="221"/>
      <c r="AV145" s="231" t="str">
        <f ca="1">IF(Giocatori!Q153=0,"",Giocatori!Q153)</f>
        <v/>
      </c>
      <c r="AX145" t="str">
        <f t="shared" ca="1" si="197"/>
        <v/>
      </c>
      <c r="AY145" s="7">
        <f t="shared" ca="1" si="192"/>
        <v>65</v>
      </c>
      <c r="AZ145" s="7">
        <f t="shared" ca="1" si="198"/>
        <v>0</v>
      </c>
      <c r="BB145" t="str">
        <f t="shared" ca="1" si="199"/>
        <v>PELUSO</v>
      </c>
      <c r="BC145" s="7">
        <f t="shared" ca="1" si="193"/>
        <v>145</v>
      </c>
      <c r="BD145" s="7" t="str">
        <f t="shared" ca="1" si="200"/>
        <v>PELUSO</v>
      </c>
      <c r="BF145" t="str">
        <f t="shared" ca="1" si="201"/>
        <v>ROG</v>
      </c>
      <c r="BG145" s="7">
        <f t="shared" ca="1" si="194"/>
        <v>145</v>
      </c>
      <c r="BH145" s="7" t="str">
        <f t="shared" ca="1" si="202"/>
        <v>ROG</v>
      </c>
      <c r="BJ145" t="str">
        <f t="shared" ca="1" si="203"/>
        <v/>
      </c>
      <c r="BK145" s="7">
        <f t="shared" ca="1" si="195"/>
        <v>104</v>
      </c>
      <c r="BL145" s="7">
        <f t="shared" ca="1" si="204"/>
        <v>0</v>
      </c>
      <c r="BN145" t="str">
        <f t="shared" ca="1" si="205"/>
        <v/>
      </c>
      <c r="BO145" s="7">
        <f t="shared" ca="1" si="196"/>
        <v>1</v>
      </c>
      <c r="BP145" s="7">
        <f t="shared" ca="1" si="206"/>
        <v>0</v>
      </c>
    </row>
    <row r="146" spans="39:68" ht="14.25">
      <c r="AM146" s="221"/>
      <c r="AN146" s="231" t="str">
        <f ca="1">IF(Giocatori!E154=0,"",Giocatori!E154)</f>
        <v/>
      </c>
      <c r="AO146" s="221"/>
      <c r="AP146" s="231" t="str">
        <f ca="1">IF(Giocatori!H154=0,"",Giocatori!H154)</f>
        <v>PEZZELLA GER</v>
      </c>
      <c r="AQ146" s="221"/>
      <c r="AR146" s="231" t="str">
        <f ca="1">IF(Giocatori!K154=0,"",Giocatori!K154)</f>
        <v>ROHDEN</v>
      </c>
      <c r="AS146" s="221"/>
      <c r="AT146" s="231" t="str">
        <f ca="1">IF(Giocatori!N154=0,"",Giocatori!N154)</f>
        <v/>
      </c>
      <c r="AU146" s="221"/>
      <c r="AV146" s="231" t="str">
        <f ca="1">IF(Giocatori!Q154=0,"",Giocatori!Q154)</f>
        <v/>
      </c>
      <c r="AX146" t="str">
        <f t="shared" ca="1" si="197"/>
        <v/>
      </c>
      <c r="AY146" s="7">
        <f t="shared" ca="1" si="192"/>
        <v>65</v>
      </c>
      <c r="AZ146" s="7">
        <f t="shared" ca="1" si="198"/>
        <v>0</v>
      </c>
      <c r="BB146" t="str">
        <f t="shared" ca="1" si="199"/>
        <v>PEZZELLA GER</v>
      </c>
      <c r="BC146" s="7">
        <f t="shared" ca="1" si="193"/>
        <v>146</v>
      </c>
      <c r="BD146" s="7" t="str">
        <f t="shared" ca="1" si="200"/>
        <v>PEZZELLA GER</v>
      </c>
      <c r="BF146" t="str">
        <f t="shared" ca="1" si="201"/>
        <v>ROHDEN</v>
      </c>
      <c r="BG146" s="7">
        <f t="shared" ca="1" si="194"/>
        <v>146</v>
      </c>
      <c r="BH146" s="7" t="str">
        <f t="shared" ca="1" si="202"/>
        <v>ROHDEN</v>
      </c>
      <c r="BJ146" t="str">
        <f t="shared" ca="1" si="203"/>
        <v/>
      </c>
      <c r="BK146" s="7">
        <f t="shared" ca="1" si="195"/>
        <v>104</v>
      </c>
      <c r="BL146" s="7">
        <f t="shared" ca="1" si="204"/>
        <v>0</v>
      </c>
      <c r="BN146" t="str">
        <f t="shared" ca="1" si="205"/>
        <v/>
      </c>
      <c r="BO146" s="7">
        <f t="shared" ca="1" si="196"/>
        <v>1</v>
      </c>
      <c r="BP146" s="7">
        <f t="shared" ca="1" si="206"/>
        <v>0</v>
      </c>
    </row>
    <row r="147" spans="39:68" ht="14.25">
      <c r="AM147" s="221"/>
      <c r="AN147" s="231" t="str">
        <f ca="1">IF(Giocatori!E155=0,"",Giocatori!E155)</f>
        <v/>
      </c>
      <c r="AO147" s="221"/>
      <c r="AP147" s="231" t="str">
        <f ca="1">IF(Giocatori!H155=0,"",Giocatori!H155)</f>
        <v>PEZZELLA GIU</v>
      </c>
      <c r="AQ147" s="221"/>
      <c r="AR147" s="231" t="str">
        <f ca="1">IF(Giocatori!K155=0,"",Giocatori!K155)</f>
        <v>ROMERO</v>
      </c>
      <c r="AS147" s="221"/>
      <c r="AT147" s="231" t="str">
        <f ca="1">IF(Giocatori!N155=0,"",Giocatori!N155)</f>
        <v/>
      </c>
      <c r="AU147" s="221"/>
      <c r="AV147" s="231" t="str">
        <f ca="1">IF(Giocatori!Q155=0,"",Giocatori!Q155)</f>
        <v/>
      </c>
      <c r="AX147" t="str">
        <f t="shared" ca="1" si="197"/>
        <v/>
      </c>
      <c r="AY147" s="7">
        <f t="shared" ca="1" si="192"/>
        <v>65</v>
      </c>
      <c r="AZ147" s="7">
        <f t="shared" ca="1" si="198"/>
        <v>0</v>
      </c>
      <c r="BB147" t="str">
        <f t="shared" ca="1" si="199"/>
        <v>PEZZELLA GIU</v>
      </c>
      <c r="BC147" s="7">
        <f t="shared" ca="1" si="193"/>
        <v>147</v>
      </c>
      <c r="BD147" s="7" t="str">
        <f t="shared" ca="1" si="200"/>
        <v>PEZZELLA GIU</v>
      </c>
      <c r="BF147" t="str">
        <f t="shared" ca="1" si="201"/>
        <v>ROMERO</v>
      </c>
      <c r="BG147" s="7">
        <f t="shared" ca="1" si="194"/>
        <v>147</v>
      </c>
      <c r="BH147" s="7" t="str">
        <f t="shared" ca="1" si="202"/>
        <v>ROMERO</v>
      </c>
      <c r="BJ147" t="str">
        <f t="shared" ca="1" si="203"/>
        <v/>
      </c>
      <c r="BK147" s="7">
        <f t="shared" ca="1" si="195"/>
        <v>104</v>
      </c>
      <c r="BL147" s="7">
        <f t="shared" ca="1" si="204"/>
        <v>0</v>
      </c>
      <c r="BN147" t="str">
        <f t="shared" ca="1" si="205"/>
        <v/>
      </c>
      <c r="BO147" s="7">
        <f t="shared" ca="1" si="196"/>
        <v>1</v>
      </c>
      <c r="BP147" s="7">
        <f t="shared" ca="1" si="206"/>
        <v>0</v>
      </c>
    </row>
    <row r="148" spans="39:68" ht="14.25">
      <c r="AM148" s="221"/>
      <c r="AN148" s="231" t="str">
        <f ca="1">IF(Giocatori!E156=0,"",Giocatori!E156)</f>
        <v/>
      </c>
      <c r="AO148" s="221"/>
      <c r="AP148" s="231" t="str">
        <f ca="1">IF(Giocatori!H156=0,"",Giocatori!H156)</f>
        <v>PISACANE</v>
      </c>
      <c r="AQ148" s="221"/>
      <c r="AR148" s="231" t="str">
        <f ca="1">IF(Giocatori!K156=0,"",Giocatori!K156)</f>
        <v>SANCHEZ</v>
      </c>
      <c r="AS148" s="221"/>
      <c r="AT148" s="231" t="str">
        <f ca="1">IF(Giocatori!N156=0,"",Giocatori!N156)</f>
        <v/>
      </c>
      <c r="AU148" s="221"/>
      <c r="AV148" s="231" t="str">
        <f ca="1">IF(Giocatori!Q156=0,"",Giocatori!Q156)</f>
        <v/>
      </c>
      <c r="AX148" t="str">
        <f t="shared" ca="1" si="197"/>
        <v/>
      </c>
      <c r="AY148" s="7">
        <f t="shared" ca="1" si="192"/>
        <v>65</v>
      </c>
      <c r="AZ148" s="7">
        <f t="shared" ca="1" si="198"/>
        <v>0</v>
      </c>
      <c r="BB148" t="str">
        <f t="shared" ca="1" si="199"/>
        <v>PISACANE</v>
      </c>
      <c r="BC148" s="7">
        <f t="shared" ca="1" si="193"/>
        <v>148</v>
      </c>
      <c r="BD148" s="7" t="str">
        <f t="shared" ca="1" si="200"/>
        <v>PISACANE</v>
      </c>
      <c r="BF148" t="str">
        <f t="shared" ca="1" si="201"/>
        <v>SANCHEZ</v>
      </c>
      <c r="BG148" s="7">
        <f t="shared" ca="1" si="194"/>
        <v>148</v>
      </c>
      <c r="BH148" s="7" t="str">
        <f t="shared" ca="1" si="202"/>
        <v>SANCHEZ</v>
      </c>
      <c r="BJ148" t="str">
        <f t="shared" ca="1" si="203"/>
        <v/>
      </c>
      <c r="BK148" s="7">
        <f t="shared" ca="1" si="195"/>
        <v>104</v>
      </c>
      <c r="BL148" s="7">
        <f t="shared" ca="1" si="204"/>
        <v>0</v>
      </c>
      <c r="BN148" t="str">
        <f t="shared" ca="1" si="205"/>
        <v/>
      </c>
      <c r="BO148" s="7">
        <f t="shared" ca="1" si="196"/>
        <v>1</v>
      </c>
      <c r="BP148" s="7">
        <f t="shared" ca="1" si="206"/>
        <v>0</v>
      </c>
    </row>
    <row r="149" spans="39:68" ht="14.25">
      <c r="AM149" s="221"/>
      <c r="AN149" s="231" t="str">
        <f ca="1">IF(Giocatori!E157=0,"",Giocatori!E157)</f>
        <v/>
      </c>
      <c r="AO149" s="221"/>
      <c r="AP149" s="231" t="str">
        <f ca="1">IF(Giocatori!H157=0,"",Giocatori!H157)</f>
        <v>RADU</v>
      </c>
      <c r="AQ149" s="221"/>
      <c r="AR149" s="231" t="str">
        <f ca="1">IF(Giocatori!K157=0,"",Giocatori!K157)</f>
        <v>SAPONARA</v>
      </c>
      <c r="AS149" s="221"/>
      <c r="AT149" s="231" t="str">
        <f ca="1">IF(Giocatori!N157=0,"",Giocatori!N157)</f>
        <v/>
      </c>
      <c r="AU149" s="221"/>
      <c r="AV149" s="231" t="str">
        <f ca="1">IF(Giocatori!Q157=0,"",Giocatori!Q157)</f>
        <v/>
      </c>
      <c r="AX149" t="str">
        <f t="shared" ca="1" si="197"/>
        <v/>
      </c>
      <c r="AY149" s="7">
        <f t="shared" ca="1" si="192"/>
        <v>65</v>
      </c>
      <c r="AZ149" s="7">
        <f t="shared" ca="1" si="198"/>
        <v>0</v>
      </c>
      <c r="BB149" t="str">
        <f t="shared" ca="1" si="199"/>
        <v>RADU</v>
      </c>
      <c r="BC149" s="7">
        <f t="shared" ca="1" si="193"/>
        <v>149</v>
      </c>
      <c r="BD149" s="7" t="str">
        <f t="shared" ca="1" si="200"/>
        <v>RADU</v>
      </c>
      <c r="BF149" t="str">
        <f t="shared" ca="1" si="201"/>
        <v>SAPONARA</v>
      </c>
      <c r="BG149" s="7">
        <f t="shared" ca="1" si="194"/>
        <v>149</v>
      </c>
      <c r="BH149" s="7" t="str">
        <f t="shared" ca="1" si="202"/>
        <v>SAPONARA</v>
      </c>
      <c r="BJ149" t="str">
        <f t="shared" ca="1" si="203"/>
        <v/>
      </c>
      <c r="BK149" s="7">
        <f t="shared" ca="1" si="195"/>
        <v>104</v>
      </c>
      <c r="BL149" s="7">
        <f t="shared" ca="1" si="204"/>
        <v>0</v>
      </c>
      <c r="BN149" t="str">
        <f t="shared" ca="1" si="205"/>
        <v/>
      </c>
      <c r="BO149" s="7">
        <f t="shared" ca="1" si="196"/>
        <v>1</v>
      </c>
      <c r="BP149" s="7">
        <f t="shared" ca="1" si="206"/>
        <v>0</v>
      </c>
    </row>
    <row r="150" spans="39:68" ht="14.25">
      <c r="AM150" s="221"/>
      <c r="AN150" s="231" t="str">
        <f ca="1">IF(Giocatori!E158=0,"",Giocatori!E158)</f>
        <v/>
      </c>
      <c r="AO150" s="221"/>
      <c r="AP150" s="231" t="str">
        <f ca="1">IF(Giocatori!H158=0,"",Giocatori!H158)</f>
        <v>RANOCCHIA</v>
      </c>
      <c r="AQ150" s="221"/>
      <c r="AR150" s="231" t="str">
        <f ca="1">IF(Giocatori!K158=0,"",Giocatori!K158)</f>
        <v>SCHIATTARELLA</v>
      </c>
      <c r="AS150" s="221"/>
      <c r="AT150" s="231" t="str">
        <f ca="1">IF(Giocatori!N158=0,"",Giocatori!N158)</f>
        <v/>
      </c>
      <c r="AU150" s="221"/>
      <c r="AV150" s="231" t="str">
        <f ca="1">IF(Giocatori!Q158=0,"",Giocatori!Q158)</f>
        <v/>
      </c>
      <c r="AX150" t="str">
        <f t="shared" ca="1" si="197"/>
        <v/>
      </c>
      <c r="AY150" s="7">
        <f t="shared" ca="1" si="192"/>
        <v>65</v>
      </c>
      <c r="AZ150" s="7">
        <f t="shared" ca="1" si="198"/>
        <v>0</v>
      </c>
      <c r="BB150" t="str">
        <f t="shared" ca="1" si="199"/>
        <v>RANOCCHIA</v>
      </c>
      <c r="BC150" s="7">
        <f t="shared" ca="1" si="193"/>
        <v>150</v>
      </c>
      <c r="BD150" s="7" t="str">
        <f t="shared" ca="1" si="200"/>
        <v>RANOCCHIA</v>
      </c>
      <c r="BF150" t="str">
        <f t="shared" ca="1" si="201"/>
        <v>SCHIATTARELLA</v>
      </c>
      <c r="BG150" s="7">
        <f t="shared" ca="1" si="194"/>
        <v>150</v>
      </c>
      <c r="BH150" s="7" t="str">
        <f t="shared" ca="1" si="202"/>
        <v>SCHIATTARELLA</v>
      </c>
      <c r="BJ150" t="str">
        <f t="shared" ca="1" si="203"/>
        <v/>
      </c>
      <c r="BK150" s="7">
        <f t="shared" ca="1" si="195"/>
        <v>104</v>
      </c>
      <c r="BL150" s="7">
        <f t="shared" ca="1" si="204"/>
        <v>0</v>
      </c>
      <c r="BN150" t="str">
        <f t="shared" ca="1" si="205"/>
        <v/>
      </c>
      <c r="BO150" s="7">
        <f t="shared" ca="1" si="196"/>
        <v>1</v>
      </c>
      <c r="BP150" s="7">
        <f t="shared" ca="1" si="206"/>
        <v>0</v>
      </c>
    </row>
    <row r="151" spans="39:68" ht="14.25">
      <c r="AM151" s="221"/>
      <c r="AN151" s="231" t="str">
        <f ca="1">IF(Giocatori!E159=0,"",Giocatori!E159)</f>
        <v/>
      </c>
      <c r="AO151" s="221"/>
      <c r="AP151" s="231" t="str">
        <f ca="1">IF(Giocatori!H159=0,"",Giocatori!H159)</f>
        <v>REGINI</v>
      </c>
      <c r="AQ151" s="221"/>
      <c r="AR151" s="231" t="str">
        <f ca="1">IF(Giocatori!K159=0,"",Giocatori!K159)</f>
        <v>SCHIAVON</v>
      </c>
      <c r="AS151" s="221"/>
      <c r="AT151" s="231" t="str">
        <f ca="1">IF(Giocatori!N159=0,"",Giocatori!N159)</f>
        <v/>
      </c>
      <c r="AU151" s="221"/>
      <c r="AV151" s="231" t="str">
        <f ca="1">IF(Giocatori!Q159=0,"",Giocatori!Q159)</f>
        <v/>
      </c>
      <c r="AX151" t="str">
        <f t="shared" ca="1" si="197"/>
        <v/>
      </c>
      <c r="AY151" s="7">
        <f t="shared" ca="1" si="192"/>
        <v>65</v>
      </c>
      <c r="AZ151" s="7">
        <f t="shared" ca="1" si="198"/>
        <v>0</v>
      </c>
      <c r="BB151" t="str">
        <f t="shared" ca="1" si="199"/>
        <v>REGINI</v>
      </c>
      <c r="BC151" s="7">
        <f t="shared" ca="1" si="193"/>
        <v>151</v>
      </c>
      <c r="BD151" s="7" t="str">
        <f t="shared" ca="1" si="200"/>
        <v>REGINI</v>
      </c>
      <c r="BF151" t="str">
        <f t="shared" ca="1" si="201"/>
        <v>SCHIAVON</v>
      </c>
      <c r="BG151" s="7">
        <f t="shared" ca="1" si="194"/>
        <v>151</v>
      </c>
      <c r="BH151" s="7" t="str">
        <f t="shared" ca="1" si="202"/>
        <v>SCHIAVON</v>
      </c>
      <c r="BJ151" t="str">
        <f t="shared" ca="1" si="203"/>
        <v/>
      </c>
      <c r="BK151" s="7">
        <f t="shared" ca="1" si="195"/>
        <v>104</v>
      </c>
      <c r="BL151" s="7">
        <f t="shared" ca="1" si="204"/>
        <v>0</v>
      </c>
      <c r="BN151" t="str">
        <f t="shared" ca="1" si="205"/>
        <v/>
      </c>
      <c r="BO151" s="7">
        <f t="shared" ca="1" si="196"/>
        <v>1</v>
      </c>
      <c r="BP151" s="7">
        <f t="shared" ca="1" si="206"/>
        <v>0</v>
      </c>
    </row>
    <row r="152" spans="39:68" ht="14.25">
      <c r="AM152" s="221"/>
      <c r="AN152" s="231" t="str">
        <f ca="1">IF(Giocatori!E160=0,"",Giocatori!E160)</f>
        <v/>
      </c>
      <c r="AO152" s="221"/>
      <c r="AP152" s="231" t="str">
        <f ca="1">IF(Giocatori!H160=0,"",Giocatori!H160)</f>
        <v>RODRIGUEZ R</v>
      </c>
      <c r="AQ152" s="221"/>
      <c r="AR152" s="231" t="str">
        <f ca="1">IF(Giocatori!K160=0,"",Giocatori!K160)</f>
        <v>SENSI</v>
      </c>
      <c r="AS152" s="221"/>
      <c r="AT152" s="231" t="str">
        <f ca="1">IF(Giocatori!N160=0,"",Giocatori!N160)</f>
        <v/>
      </c>
      <c r="AU152" s="221"/>
      <c r="AV152" s="231" t="str">
        <f ca="1">IF(Giocatori!Q160=0,"",Giocatori!Q160)</f>
        <v/>
      </c>
      <c r="AX152" t="str">
        <f t="shared" ca="1" si="197"/>
        <v/>
      </c>
      <c r="AY152" s="7">
        <f t="shared" ca="1" si="192"/>
        <v>65</v>
      </c>
      <c r="AZ152" s="7">
        <f t="shared" ca="1" si="198"/>
        <v>0</v>
      </c>
      <c r="BB152" t="str">
        <f t="shared" ca="1" si="199"/>
        <v>RODRIGUEZ R</v>
      </c>
      <c r="BC152" s="7">
        <f t="shared" ca="1" si="193"/>
        <v>152</v>
      </c>
      <c r="BD152" s="7" t="str">
        <f t="shared" ca="1" si="200"/>
        <v>RODRIGUEZ R</v>
      </c>
      <c r="BF152" t="str">
        <f t="shared" ca="1" si="201"/>
        <v>SENSI</v>
      </c>
      <c r="BG152" s="7">
        <f t="shared" ca="1" si="194"/>
        <v>152</v>
      </c>
      <c r="BH152" s="7" t="str">
        <f t="shared" ca="1" si="202"/>
        <v>SENSI</v>
      </c>
      <c r="BJ152" t="str">
        <f t="shared" ca="1" si="203"/>
        <v/>
      </c>
      <c r="BK152" s="7">
        <f t="shared" ca="1" si="195"/>
        <v>104</v>
      </c>
      <c r="BL152" s="7">
        <f t="shared" ca="1" si="204"/>
        <v>0</v>
      </c>
      <c r="BN152" t="str">
        <f t="shared" ca="1" si="205"/>
        <v/>
      </c>
      <c r="BO152" s="7">
        <f t="shared" ca="1" si="196"/>
        <v>1</v>
      </c>
      <c r="BP152" s="7">
        <f t="shared" ca="1" si="206"/>
        <v>0</v>
      </c>
    </row>
    <row r="153" spans="39:68" ht="14.25">
      <c r="AM153" s="221"/>
      <c r="AN153" s="231" t="str">
        <f ca="1">IF(Giocatori!E161=0,"",Giocatori!E161)</f>
        <v/>
      </c>
      <c r="AO153" s="221"/>
      <c r="AP153" s="231" t="str">
        <f ca="1">IF(Giocatori!H161=0,"",Giocatori!H161)</f>
        <v>ROGERIO</v>
      </c>
      <c r="AQ153" s="221"/>
      <c r="AR153" s="231" t="str">
        <f ca="1">IF(Giocatori!K161=0,"",Giocatori!K161)</f>
        <v>SPINAZZOLA</v>
      </c>
      <c r="AS153" s="221"/>
      <c r="AT153" s="231" t="str">
        <f ca="1">IF(Giocatori!N161=0,"",Giocatori!N161)</f>
        <v/>
      </c>
      <c r="AU153" s="221"/>
      <c r="AV153" s="231" t="str">
        <f ca="1">IF(Giocatori!Q161=0,"",Giocatori!Q161)</f>
        <v/>
      </c>
      <c r="AX153" t="str">
        <f t="shared" ca="1" si="197"/>
        <v/>
      </c>
      <c r="AY153" s="7">
        <f t="shared" ca="1" si="192"/>
        <v>65</v>
      </c>
      <c r="AZ153" s="7">
        <f t="shared" ca="1" si="198"/>
        <v>0</v>
      </c>
      <c r="BB153" t="str">
        <f t="shared" ca="1" si="199"/>
        <v>ROGERIO</v>
      </c>
      <c r="BC153" s="7">
        <f t="shared" ca="1" si="193"/>
        <v>153</v>
      </c>
      <c r="BD153" s="7" t="str">
        <f t="shared" ca="1" si="200"/>
        <v>ROGERIO</v>
      </c>
      <c r="BF153" t="str">
        <f t="shared" ca="1" si="201"/>
        <v>SPINAZZOLA</v>
      </c>
      <c r="BG153" s="7">
        <f t="shared" ca="1" si="194"/>
        <v>153</v>
      </c>
      <c r="BH153" s="7" t="str">
        <f t="shared" ca="1" si="202"/>
        <v>SPINAZZOLA</v>
      </c>
      <c r="BJ153" t="str">
        <f t="shared" ca="1" si="203"/>
        <v/>
      </c>
      <c r="BK153" s="7">
        <f t="shared" ca="1" si="195"/>
        <v>104</v>
      </c>
      <c r="BL153" s="7">
        <f t="shared" ca="1" si="204"/>
        <v>0</v>
      </c>
      <c r="BN153" t="str">
        <f t="shared" ca="1" si="205"/>
        <v/>
      </c>
      <c r="BO153" s="7">
        <f t="shared" ca="1" si="196"/>
        <v>1</v>
      </c>
      <c r="BP153" s="7">
        <f t="shared" ca="1" si="206"/>
        <v>0</v>
      </c>
    </row>
    <row r="154" spans="39:68" ht="14.25">
      <c r="AM154" s="221"/>
      <c r="AN154" s="231" t="str">
        <f ca="1">IF(Giocatori!E162=0,"",Giocatori!E162)</f>
        <v/>
      </c>
      <c r="AO154" s="221"/>
      <c r="AP154" s="231" t="str">
        <f ca="1">IF(Giocatori!H162=0,"",Giocatori!H162)</f>
        <v>ROMAGNA</v>
      </c>
      <c r="AQ154" s="221"/>
      <c r="AR154" s="231" t="str">
        <f ca="1">IF(Giocatori!K162=0,"",Giocatori!K162)</f>
        <v>STOIAN</v>
      </c>
      <c r="AS154" s="221"/>
      <c r="AT154" s="231" t="str">
        <f ca="1">IF(Giocatori!N162=0,"",Giocatori!N162)</f>
        <v/>
      </c>
      <c r="AU154" s="221"/>
      <c r="AV154" s="231" t="str">
        <f ca="1">IF(Giocatori!Q162=0,"",Giocatori!Q162)</f>
        <v/>
      </c>
      <c r="AX154" t="str">
        <f t="shared" ca="1" si="197"/>
        <v/>
      </c>
      <c r="AY154" s="7">
        <f t="shared" ca="1" si="192"/>
        <v>65</v>
      </c>
      <c r="AZ154" s="7">
        <f t="shared" ca="1" si="198"/>
        <v>0</v>
      </c>
      <c r="BB154" t="str">
        <f t="shared" ca="1" si="199"/>
        <v>ROMAGNA</v>
      </c>
      <c r="BC154" s="7">
        <f t="shared" ca="1" si="193"/>
        <v>154</v>
      </c>
      <c r="BD154" s="7" t="str">
        <f t="shared" ca="1" si="200"/>
        <v>ROMAGNA</v>
      </c>
      <c r="BF154" t="str">
        <f t="shared" ca="1" si="201"/>
        <v>STOIAN</v>
      </c>
      <c r="BG154" s="7">
        <f t="shared" ca="1" si="194"/>
        <v>154</v>
      </c>
      <c r="BH154" s="7" t="str">
        <f t="shared" ca="1" si="202"/>
        <v>STOIAN</v>
      </c>
      <c r="BJ154" t="str">
        <f t="shared" ca="1" si="203"/>
        <v/>
      </c>
      <c r="BK154" s="7">
        <f t="shared" ca="1" si="195"/>
        <v>104</v>
      </c>
      <c r="BL154" s="7">
        <f t="shared" ca="1" si="204"/>
        <v>0</v>
      </c>
      <c r="BN154" t="str">
        <f t="shared" ca="1" si="205"/>
        <v/>
      </c>
      <c r="BO154" s="7">
        <f t="shared" ca="1" si="196"/>
        <v>1</v>
      </c>
      <c r="BP154" s="7">
        <f t="shared" ca="1" si="206"/>
        <v>0</v>
      </c>
    </row>
    <row r="155" spans="39:68" ht="14.25">
      <c r="AM155" s="221"/>
      <c r="AN155" s="231" t="str">
        <f ca="1">IF(Giocatori!E163=0,"",Giocatori!E163)</f>
        <v/>
      </c>
      <c r="AO155" s="221"/>
      <c r="AP155" s="231" t="str">
        <f ca="1">IF(Giocatori!H163=0,"",Giocatori!H163)</f>
        <v>ROMAGNOLI A</v>
      </c>
      <c r="AQ155" s="221"/>
      <c r="AR155" s="231" t="str">
        <f ca="1">IF(Giocatori!K163=0,"",Giocatori!K163)</f>
        <v>STROOTMAN</v>
      </c>
      <c r="AS155" s="221"/>
      <c r="AT155" s="231" t="str">
        <f ca="1">IF(Giocatori!N163=0,"",Giocatori!N163)</f>
        <v/>
      </c>
      <c r="AU155" s="221"/>
      <c r="AV155" s="231" t="str">
        <f ca="1">IF(Giocatori!Q163=0,"",Giocatori!Q163)</f>
        <v/>
      </c>
      <c r="AX155" t="str">
        <f t="shared" ca="1" si="197"/>
        <v/>
      </c>
      <c r="AY155" s="7">
        <f t="shared" ca="1" si="192"/>
        <v>65</v>
      </c>
      <c r="AZ155" s="7">
        <f t="shared" ca="1" si="198"/>
        <v>0</v>
      </c>
      <c r="BB155" t="str">
        <f t="shared" ca="1" si="199"/>
        <v>ROMAGNOLI A</v>
      </c>
      <c r="BC155" s="7">
        <f t="shared" ca="1" si="193"/>
        <v>155</v>
      </c>
      <c r="BD155" s="7" t="str">
        <f t="shared" ca="1" si="200"/>
        <v>ROMAGNOLI A</v>
      </c>
      <c r="BF155" t="str">
        <f t="shared" ca="1" si="201"/>
        <v>STROOTMAN</v>
      </c>
      <c r="BG155" s="7">
        <f t="shared" ca="1" si="194"/>
        <v>155</v>
      </c>
      <c r="BH155" s="7" t="str">
        <f t="shared" ca="1" si="202"/>
        <v>STROOTMAN</v>
      </c>
      <c r="BJ155" t="str">
        <f t="shared" ca="1" si="203"/>
        <v/>
      </c>
      <c r="BK155" s="7">
        <f t="shared" ca="1" si="195"/>
        <v>104</v>
      </c>
      <c r="BL155" s="7">
        <f t="shared" ca="1" si="204"/>
        <v>0</v>
      </c>
      <c r="BN155" t="str">
        <f t="shared" ca="1" si="205"/>
        <v/>
      </c>
      <c r="BO155" s="7">
        <f t="shared" ca="1" si="196"/>
        <v>1</v>
      </c>
      <c r="BP155" s="7">
        <f t="shared" ca="1" si="206"/>
        <v>0</v>
      </c>
    </row>
    <row r="156" spans="39:68" ht="14.25">
      <c r="AM156" s="221"/>
      <c r="AN156" s="231" t="str">
        <f ca="1">IF(Giocatori!E164=0,"",Giocatori!E164)</f>
        <v/>
      </c>
      <c r="AO156" s="221"/>
      <c r="AP156" s="231" t="str">
        <f ca="1">IF(Giocatori!H164=0,"",Giocatori!H164)</f>
        <v>ROMULO</v>
      </c>
      <c r="AQ156" s="221"/>
      <c r="AR156" s="231" t="str">
        <f ca="1">IF(Giocatori!K164=0,"",Giocatori!K164)</f>
        <v>STURARO</v>
      </c>
      <c r="AS156" s="221"/>
      <c r="AT156" s="231" t="str">
        <f ca="1">IF(Giocatori!N164=0,"",Giocatori!N164)</f>
        <v/>
      </c>
      <c r="AU156" s="221"/>
      <c r="AV156" s="231" t="str">
        <f ca="1">IF(Giocatori!Q164=0,"",Giocatori!Q164)</f>
        <v/>
      </c>
      <c r="AX156" t="str">
        <f t="shared" ca="1" si="197"/>
        <v/>
      </c>
      <c r="AY156" s="7">
        <f t="shared" ca="1" si="192"/>
        <v>65</v>
      </c>
      <c r="AZ156" s="7">
        <f t="shared" ca="1" si="198"/>
        <v>0</v>
      </c>
      <c r="BB156" t="str">
        <f t="shared" ca="1" si="199"/>
        <v>ROMULO</v>
      </c>
      <c r="BC156" s="7">
        <f t="shared" ca="1" si="193"/>
        <v>156</v>
      </c>
      <c r="BD156" s="7" t="str">
        <f t="shared" ca="1" si="200"/>
        <v>ROMULO</v>
      </c>
      <c r="BF156" t="str">
        <f t="shared" ca="1" si="201"/>
        <v>STURARO</v>
      </c>
      <c r="BG156" s="7">
        <f t="shared" ca="1" si="194"/>
        <v>156</v>
      </c>
      <c r="BH156" s="7" t="str">
        <f t="shared" ca="1" si="202"/>
        <v>STURARO</v>
      </c>
      <c r="BJ156" t="str">
        <f t="shared" ca="1" si="203"/>
        <v/>
      </c>
      <c r="BK156" s="7">
        <f t="shared" ca="1" si="195"/>
        <v>104</v>
      </c>
      <c r="BL156" s="7">
        <f t="shared" ca="1" si="204"/>
        <v>0</v>
      </c>
      <c r="BN156" t="str">
        <f t="shared" ca="1" si="205"/>
        <v/>
      </c>
      <c r="BO156" s="7">
        <f t="shared" ca="1" si="196"/>
        <v>1</v>
      </c>
      <c r="BP156" s="7">
        <f t="shared" ca="1" si="206"/>
        <v>0</v>
      </c>
    </row>
    <row r="157" spans="39:68" ht="14.25">
      <c r="AM157" s="221"/>
      <c r="AN157" s="231" t="str">
        <f ca="1">IF(Giocatori!E165=0,"",Giocatori!E165)</f>
        <v/>
      </c>
      <c r="AO157" s="221"/>
      <c r="AP157" s="231" t="str">
        <f ca="1">IF(Giocatori!H165=0,"",Giocatori!H165)</f>
        <v>ROSI</v>
      </c>
      <c r="AQ157" s="221"/>
      <c r="AR157" s="231" t="str">
        <f ca="1">IF(Giocatori!K165=0,"",Giocatori!K165)</f>
        <v>SULJIC</v>
      </c>
      <c r="AS157" s="221"/>
      <c r="AT157" s="231" t="str">
        <f ca="1">IF(Giocatori!N165=0,"",Giocatori!N165)</f>
        <v/>
      </c>
      <c r="AU157" s="221"/>
      <c r="AV157" s="231" t="str">
        <f ca="1">IF(Giocatori!Q165=0,"",Giocatori!Q165)</f>
        <v/>
      </c>
      <c r="AX157" t="str">
        <f t="shared" ca="1" si="197"/>
        <v/>
      </c>
      <c r="AY157" s="7">
        <f t="shared" ca="1" si="192"/>
        <v>65</v>
      </c>
      <c r="AZ157" s="7">
        <f t="shared" ca="1" si="198"/>
        <v>0</v>
      </c>
      <c r="BB157" t="str">
        <f t="shared" ca="1" si="199"/>
        <v>ROSI</v>
      </c>
      <c r="BC157" s="7">
        <f t="shared" ca="1" si="193"/>
        <v>157</v>
      </c>
      <c r="BD157" s="7" t="str">
        <f t="shared" ca="1" si="200"/>
        <v>ROSI</v>
      </c>
      <c r="BF157" t="str">
        <f t="shared" ca="1" si="201"/>
        <v>SULJIC</v>
      </c>
      <c r="BG157" s="7">
        <f t="shared" ca="1" si="194"/>
        <v>157</v>
      </c>
      <c r="BH157" s="7" t="str">
        <f t="shared" ca="1" si="202"/>
        <v>SULJIC</v>
      </c>
      <c r="BJ157" t="str">
        <f t="shared" ca="1" si="203"/>
        <v/>
      </c>
      <c r="BK157" s="7">
        <f t="shared" ca="1" si="195"/>
        <v>104</v>
      </c>
      <c r="BL157" s="7">
        <f t="shared" ca="1" si="204"/>
        <v>0</v>
      </c>
      <c r="BN157" t="str">
        <f t="shared" ca="1" si="205"/>
        <v/>
      </c>
      <c r="BO157" s="7">
        <f t="shared" ca="1" si="196"/>
        <v>1</v>
      </c>
      <c r="BP157" s="7">
        <f t="shared" ca="1" si="206"/>
        <v>0</v>
      </c>
    </row>
    <row r="158" spans="39:68" ht="14.25">
      <c r="AM158" s="221"/>
      <c r="AN158" s="231" t="str">
        <f ca="1">IF(Giocatori!E166=0,"",Giocatori!E166)</f>
        <v/>
      </c>
      <c r="AO158" s="221"/>
      <c r="AP158" s="231" t="str">
        <f ca="1">IF(Giocatori!H166=0,"",Giocatori!H166)</f>
        <v>ROSSETTINI</v>
      </c>
      <c r="AQ158" s="221"/>
      <c r="AR158" s="231" t="str">
        <f ca="1">IF(Giocatori!K166=0,"",Giocatori!K166)</f>
        <v>TAIDER</v>
      </c>
      <c r="AS158" s="221"/>
      <c r="AT158" s="231" t="str">
        <f ca="1">IF(Giocatori!N166=0,"",Giocatori!N166)</f>
        <v/>
      </c>
      <c r="AU158" s="221"/>
      <c r="AV158" s="231" t="str">
        <f ca="1">IF(Giocatori!Q166=0,"",Giocatori!Q166)</f>
        <v/>
      </c>
      <c r="AX158" t="str">
        <f t="shared" ca="1" si="197"/>
        <v/>
      </c>
      <c r="AY158" s="7">
        <f t="shared" ca="1" si="192"/>
        <v>65</v>
      </c>
      <c r="AZ158" s="7">
        <f t="shared" ca="1" si="198"/>
        <v>0</v>
      </c>
      <c r="BB158" t="str">
        <f t="shared" ca="1" si="199"/>
        <v>ROSSETTINI</v>
      </c>
      <c r="BC158" s="7">
        <f t="shared" ca="1" si="193"/>
        <v>158</v>
      </c>
      <c r="BD158" s="7" t="str">
        <f t="shared" ca="1" si="200"/>
        <v>ROSSETTINI</v>
      </c>
      <c r="BF158" t="str">
        <f t="shared" ca="1" si="201"/>
        <v>TAIDER</v>
      </c>
      <c r="BG158" s="7">
        <f t="shared" ca="1" si="194"/>
        <v>158</v>
      </c>
      <c r="BH158" s="7" t="str">
        <f t="shared" ca="1" si="202"/>
        <v>TAIDER</v>
      </c>
      <c r="BJ158" t="str">
        <f t="shared" ca="1" si="203"/>
        <v/>
      </c>
      <c r="BK158" s="7">
        <f t="shared" ca="1" si="195"/>
        <v>104</v>
      </c>
      <c r="BL158" s="7">
        <f t="shared" ca="1" si="204"/>
        <v>0</v>
      </c>
      <c r="BN158" t="str">
        <f t="shared" ca="1" si="205"/>
        <v/>
      </c>
      <c r="BO158" s="7">
        <f t="shared" ca="1" si="196"/>
        <v>1</v>
      </c>
      <c r="BP158" s="7">
        <f t="shared" ca="1" si="206"/>
        <v>0</v>
      </c>
    </row>
    <row r="159" spans="39:68" ht="14.25">
      <c r="AM159" s="221"/>
      <c r="AN159" s="231" t="str">
        <f ca="1">IF(Giocatori!E167=0,"",Giocatori!E167)</f>
        <v/>
      </c>
      <c r="AO159" s="221"/>
      <c r="AP159" s="231" t="str">
        <f ca="1">IF(Giocatori!H167=0,"",Giocatori!H167)</f>
        <v>RUGANI</v>
      </c>
      <c r="AQ159" s="221"/>
      <c r="AR159" s="231" t="str">
        <f ca="1">IF(Giocatori!K167=0,"",Giocatori!K167)</f>
        <v>TORREIRA</v>
      </c>
      <c r="AS159" s="221"/>
      <c r="AT159" s="231" t="str">
        <f ca="1">IF(Giocatori!N167=0,"",Giocatori!N167)</f>
        <v/>
      </c>
      <c r="AU159" s="221"/>
      <c r="AV159" s="231" t="str">
        <f ca="1">IF(Giocatori!Q167=0,"",Giocatori!Q167)</f>
        <v/>
      </c>
      <c r="AX159" t="str">
        <f t="shared" ca="1" si="197"/>
        <v/>
      </c>
      <c r="AY159" s="7">
        <f t="shared" ca="1" si="192"/>
        <v>65</v>
      </c>
      <c r="AZ159" s="7">
        <f t="shared" ca="1" si="198"/>
        <v>0</v>
      </c>
      <c r="BB159" t="str">
        <f t="shared" ca="1" si="199"/>
        <v>RUGANI</v>
      </c>
      <c r="BC159" s="7">
        <f t="shared" ca="1" si="193"/>
        <v>159</v>
      </c>
      <c r="BD159" s="7" t="str">
        <f t="shared" ca="1" si="200"/>
        <v>RUGANI</v>
      </c>
      <c r="BF159" t="str">
        <f t="shared" ca="1" si="201"/>
        <v>TORREIRA</v>
      </c>
      <c r="BG159" s="7">
        <f t="shared" ca="1" si="194"/>
        <v>159</v>
      </c>
      <c r="BH159" s="7" t="str">
        <f t="shared" ca="1" si="202"/>
        <v>TORREIRA</v>
      </c>
      <c r="BJ159" t="str">
        <f t="shared" ca="1" si="203"/>
        <v/>
      </c>
      <c r="BK159" s="7">
        <f t="shared" ca="1" si="195"/>
        <v>104</v>
      </c>
      <c r="BL159" s="7">
        <f t="shared" ca="1" si="204"/>
        <v>0</v>
      </c>
      <c r="BN159" t="str">
        <f t="shared" ca="1" si="205"/>
        <v/>
      </c>
      <c r="BO159" s="7">
        <f t="shared" ca="1" si="196"/>
        <v>1</v>
      </c>
      <c r="BP159" s="7">
        <f t="shared" ca="1" si="206"/>
        <v>0</v>
      </c>
    </row>
    <row r="160" spans="39:68" ht="14.25">
      <c r="AM160" s="221"/>
      <c r="AN160" s="231" t="str">
        <f ca="1">IF(Giocatori!E168=0,"",Giocatori!E168)</f>
        <v/>
      </c>
      <c r="AO160" s="221"/>
      <c r="AP160" s="231" t="str">
        <f ca="1">IF(Giocatori!H168=0,"",Giocatori!H168)</f>
        <v>SALA</v>
      </c>
      <c r="AQ160" s="221"/>
      <c r="AR160" s="231" t="str">
        <f ca="1">IF(Giocatori!K168=0,"",Giocatori!K168)</f>
        <v>UNDER</v>
      </c>
      <c r="AS160" s="221"/>
      <c r="AT160" s="231" t="str">
        <f ca="1">IF(Giocatori!N168=0,"",Giocatori!N168)</f>
        <v/>
      </c>
      <c r="AU160" s="221"/>
      <c r="AV160" s="231" t="str">
        <f ca="1">IF(Giocatori!Q168=0,"",Giocatori!Q168)</f>
        <v/>
      </c>
      <c r="AX160" t="str">
        <f t="shared" ca="1" si="197"/>
        <v/>
      </c>
      <c r="AY160" s="7">
        <f t="shared" ca="1" si="192"/>
        <v>65</v>
      </c>
      <c r="AZ160" s="7">
        <f t="shared" ca="1" si="198"/>
        <v>0</v>
      </c>
      <c r="BB160" t="str">
        <f t="shared" ca="1" si="199"/>
        <v>SALA</v>
      </c>
      <c r="BC160" s="7">
        <f t="shared" ca="1" si="193"/>
        <v>160</v>
      </c>
      <c r="BD160" s="7" t="str">
        <f t="shared" ca="1" si="200"/>
        <v>SALA</v>
      </c>
      <c r="BF160" t="str">
        <f t="shared" ca="1" si="201"/>
        <v>UNDER</v>
      </c>
      <c r="BG160" s="7">
        <f t="shared" ca="1" si="194"/>
        <v>160</v>
      </c>
      <c r="BH160" s="7" t="str">
        <f t="shared" ca="1" si="202"/>
        <v>UNDER</v>
      </c>
      <c r="BJ160" t="str">
        <f t="shared" ca="1" si="203"/>
        <v/>
      </c>
      <c r="BK160" s="7">
        <f t="shared" ca="1" si="195"/>
        <v>104</v>
      </c>
      <c r="BL160" s="7">
        <f t="shared" ca="1" si="204"/>
        <v>0</v>
      </c>
      <c r="BN160" t="str">
        <f t="shared" ca="1" si="205"/>
        <v/>
      </c>
      <c r="BO160" s="7">
        <f t="shared" ca="1" si="196"/>
        <v>1</v>
      </c>
      <c r="BP160" s="7">
        <f t="shared" ca="1" si="206"/>
        <v>0</v>
      </c>
    </row>
    <row r="161" spans="39:68" ht="14.25">
      <c r="AM161" s="221"/>
      <c r="AN161" s="231" t="str">
        <f ca="1">IF(Giocatori!E169=0,"",Giocatori!E169)</f>
        <v/>
      </c>
      <c r="AO161" s="221"/>
      <c r="AP161" s="231" t="str">
        <f ca="1">IF(Giocatori!H169=0,"",Giocatori!H169)</f>
        <v>SALAMON</v>
      </c>
      <c r="AQ161" s="221"/>
      <c r="AR161" s="231" t="str">
        <f ca="1">IF(Giocatori!K169=0,"",Giocatori!K169)</f>
        <v>VALDIFIORI</v>
      </c>
      <c r="AS161" s="221"/>
      <c r="AT161" s="231" t="str">
        <f ca="1">IF(Giocatori!N169=0,"",Giocatori!N169)</f>
        <v/>
      </c>
      <c r="AU161" s="221"/>
      <c r="AV161" s="231" t="str">
        <f ca="1">IF(Giocatori!Q169=0,"",Giocatori!Q169)</f>
        <v/>
      </c>
      <c r="AX161" t="str">
        <f t="shared" ca="1" si="197"/>
        <v/>
      </c>
      <c r="AY161" s="7">
        <f t="shared" ca="1" si="192"/>
        <v>65</v>
      </c>
      <c r="AZ161" s="7">
        <f t="shared" ca="1" si="198"/>
        <v>0</v>
      </c>
      <c r="BB161" t="str">
        <f t="shared" ca="1" si="199"/>
        <v>SALAMON</v>
      </c>
      <c r="BC161" s="7">
        <f t="shared" ca="1" si="193"/>
        <v>161</v>
      </c>
      <c r="BD161" s="7" t="str">
        <f t="shared" ca="1" si="200"/>
        <v>SALAMON</v>
      </c>
      <c r="BF161" t="str">
        <f t="shared" ca="1" si="201"/>
        <v>VALDIFIORI</v>
      </c>
      <c r="BG161" s="7">
        <f t="shared" ca="1" si="194"/>
        <v>161</v>
      </c>
      <c r="BH161" s="7" t="str">
        <f t="shared" ca="1" si="202"/>
        <v>VALDIFIORI</v>
      </c>
      <c r="BJ161" t="str">
        <f t="shared" ca="1" si="203"/>
        <v/>
      </c>
      <c r="BK161" s="7">
        <f t="shared" ca="1" si="195"/>
        <v>104</v>
      </c>
      <c r="BL161" s="7">
        <f t="shared" ca="1" si="204"/>
        <v>0</v>
      </c>
      <c r="BN161" t="str">
        <f t="shared" ca="1" si="205"/>
        <v/>
      </c>
      <c r="BO161" s="7">
        <f t="shared" ca="1" si="196"/>
        <v>1</v>
      </c>
      <c r="BP161" s="7">
        <f t="shared" ca="1" si="206"/>
        <v>0</v>
      </c>
    </row>
    <row r="162" spans="39:68" ht="14.25">
      <c r="AM162" s="221"/>
      <c r="AN162" s="231" t="str">
        <f ca="1">IF(Giocatori!E170=0,"",Giocatori!E170)</f>
        <v/>
      </c>
      <c r="AO162" s="221"/>
      <c r="AP162" s="231" t="str">
        <f ca="1">IF(Giocatori!H170=0,"",Giocatori!H170)</f>
        <v>SAMIR</v>
      </c>
      <c r="AQ162" s="221"/>
      <c r="AR162" s="231" t="str">
        <f ca="1">IF(Giocatori!K170=0,"",Giocatori!K170)</f>
        <v>VALENCIA</v>
      </c>
      <c r="AS162" s="221"/>
      <c r="AT162" s="231" t="str">
        <f ca="1">IF(Giocatori!N170=0,"",Giocatori!N170)</f>
        <v/>
      </c>
      <c r="AU162" s="221"/>
      <c r="AV162" s="231" t="str">
        <f ca="1">IF(Giocatori!Q170=0,"",Giocatori!Q170)</f>
        <v/>
      </c>
      <c r="AX162" t="str">
        <f t="shared" ca="1" si="197"/>
        <v/>
      </c>
      <c r="AY162" s="7">
        <f t="shared" ca="1" si="192"/>
        <v>65</v>
      </c>
      <c r="AZ162" s="7">
        <f t="shared" ca="1" si="198"/>
        <v>0</v>
      </c>
      <c r="BB162" t="str">
        <f t="shared" ca="1" si="199"/>
        <v>SAMIR</v>
      </c>
      <c r="BC162" s="7">
        <f t="shared" ca="1" si="193"/>
        <v>162</v>
      </c>
      <c r="BD162" s="7" t="str">
        <f t="shared" ca="1" si="200"/>
        <v>SAMIR</v>
      </c>
      <c r="BF162" t="str">
        <f t="shared" ca="1" si="201"/>
        <v>VALENCIA</v>
      </c>
      <c r="BG162" s="7">
        <f t="shared" ca="1" si="194"/>
        <v>162</v>
      </c>
      <c r="BH162" s="7" t="str">
        <f t="shared" ca="1" si="202"/>
        <v>VALENCIA</v>
      </c>
      <c r="BJ162" t="str">
        <f t="shared" ca="1" si="203"/>
        <v/>
      </c>
      <c r="BK162" s="7">
        <f t="shared" ca="1" si="195"/>
        <v>104</v>
      </c>
      <c r="BL162" s="7">
        <f t="shared" ca="1" si="204"/>
        <v>0</v>
      </c>
      <c r="BN162" t="str">
        <f t="shared" ca="1" si="205"/>
        <v/>
      </c>
      <c r="BO162" s="7">
        <f t="shared" ca="1" si="196"/>
        <v>1</v>
      </c>
      <c r="BP162" s="7">
        <f t="shared" ca="1" si="206"/>
        <v>0</v>
      </c>
    </row>
    <row r="163" spans="39:68" ht="14.25">
      <c r="AM163" s="221"/>
      <c r="AN163" s="231" t="str">
        <f ca="1">IF(Giocatori!E171=0,"",Giocatori!E171)</f>
        <v/>
      </c>
      <c r="AO163" s="221"/>
      <c r="AP163" s="231" t="str">
        <f ca="1">IF(Giocatori!H171=0,"",Giocatori!H171)</f>
        <v>SAMPIRISI</v>
      </c>
      <c r="AQ163" s="221"/>
      <c r="AR163" s="231" t="str">
        <f ca="1">IF(Giocatori!K171=0,"",Giocatori!K171)</f>
        <v>VALOTI</v>
      </c>
      <c r="AS163" s="221"/>
      <c r="AT163" s="231" t="str">
        <f ca="1">IF(Giocatori!N171=0,"",Giocatori!N171)</f>
        <v/>
      </c>
      <c r="AU163" s="221"/>
      <c r="AV163" s="231" t="str">
        <f ca="1">IF(Giocatori!Q171=0,"",Giocatori!Q171)</f>
        <v/>
      </c>
      <c r="AX163" t="str">
        <f t="shared" ca="1" si="197"/>
        <v/>
      </c>
      <c r="AY163" s="7">
        <f t="shared" ca="1" si="192"/>
        <v>65</v>
      </c>
      <c r="AZ163" s="7">
        <f t="shared" ca="1" si="198"/>
        <v>0</v>
      </c>
      <c r="BB163" t="str">
        <f t="shared" ca="1" si="199"/>
        <v>SAMPIRISI</v>
      </c>
      <c r="BC163" s="7">
        <f t="shared" ca="1" si="193"/>
        <v>163</v>
      </c>
      <c r="BD163" s="7" t="str">
        <f t="shared" ca="1" si="200"/>
        <v>SAMPIRISI</v>
      </c>
      <c r="BF163" t="str">
        <f t="shared" ca="1" si="201"/>
        <v>VALOTI</v>
      </c>
      <c r="BG163" s="7">
        <f t="shared" ca="1" si="194"/>
        <v>163</v>
      </c>
      <c r="BH163" s="7" t="str">
        <f t="shared" ca="1" si="202"/>
        <v>VALOTI</v>
      </c>
      <c r="BJ163" t="str">
        <f t="shared" ca="1" si="203"/>
        <v/>
      </c>
      <c r="BK163" s="7">
        <f t="shared" ca="1" si="195"/>
        <v>104</v>
      </c>
      <c r="BL163" s="7">
        <f t="shared" ca="1" si="204"/>
        <v>0</v>
      </c>
      <c r="BN163" t="str">
        <f t="shared" ca="1" si="205"/>
        <v/>
      </c>
      <c r="BO163" s="7">
        <f t="shared" ca="1" si="196"/>
        <v>1</v>
      </c>
      <c r="BP163" s="7">
        <f t="shared" ca="1" si="206"/>
        <v>0</v>
      </c>
    </row>
    <row r="164" spans="39:68" ht="14.25">
      <c r="AM164" s="221"/>
      <c r="AN164" s="231" t="str">
        <f ca="1">IF(Giocatori!E172=0,"",Giocatori!E172)</f>
        <v/>
      </c>
      <c r="AO164" s="221"/>
      <c r="AP164" s="231" t="str">
        <f ca="1">IF(Giocatori!H172=0,"",Giocatori!H172)</f>
        <v>SANTON</v>
      </c>
      <c r="AQ164" s="221"/>
      <c r="AR164" s="231" t="str">
        <f ca="1">IF(Giocatori!K172=0,"",Giocatori!K172)</f>
        <v>VECINO</v>
      </c>
      <c r="AS164" s="221"/>
      <c r="AT164" s="231" t="str">
        <f ca="1">IF(Giocatori!N172=0,"",Giocatori!N172)</f>
        <v/>
      </c>
      <c r="AU164" s="221"/>
      <c r="AV164" s="231" t="str">
        <f ca="1">IF(Giocatori!Q172=0,"",Giocatori!Q172)</f>
        <v/>
      </c>
      <c r="AX164" t="str">
        <f t="shared" ca="1" si="197"/>
        <v/>
      </c>
      <c r="AY164" s="7">
        <f t="shared" ca="1" si="192"/>
        <v>65</v>
      </c>
      <c r="AZ164" s="7">
        <f t="shared" ca="1" si="198"/>
        <v>0</v>
      </c>
      <c r="BB164" t="str">
        <f t="shared" ca="1" si="199"/>
        <v>SANTON</v>
      </c>
      <c r="BC164" s="7">
        <f t="shared" ca="1" si="193"/>
        <v>164</v>
      </c>
      <c r="BD164" s="7" t="str">
        <f t="shared" ca="1" si="200"/>
        <v>SANTON</v>
      </c>
      <c r="BF164" t="str">
        <f t="shared" ca="1" si="201"/>
        <v>VECINO</v>
      </c>
      <c r="BG164" s="7">
        <f t="shared" ca="1" si="194"/>
        <v>164</v>
      </c>
      <c r="BH164" s="7" t="str">
        <f t="shared" ca="1" si="202"/>
        <v>VECINO</v>
      </c>
      <c r="BJ164" t="str">
        <f t="shared" ca="1" si="203"/>
        <v/>
      </c>
      <c r="BK164" s="7">
        <f t="shared" ca="1" si="195"/>
        <v>104</v>
      </c>
      <c r="BL164" s="7">
        <f t="shared" ca="1" si="204"/>
        <v>0</v>
      </c>
      <c r="BN164" t="str">
        <f t="shared" ca="1" si="205"/>
        <v/>
      </c>
      <c r="BO164" s="7">
        <f t="shared" ca="1" si="196"/>
        <v>1</v>
      </c>
      <c r="BP164" s="7">
        <f t="shared" ca="1" si="206"/>
        <v>0</v>
      </c>
    </row>
    <row r="165" spans="39:68" ht="14.25">
      <c r="AM165" s="221"/>
      <c r="AN165" s="231" t="str">
        <f ca="1">IF(Giocatori!E173=0,"",Giocatori!E173)</f>
        <v/>
      </c>
      <c r="AO165" s="221"/>
      <c r="AP165" s="231" t="str">
        <f ca="1">IF(Giocatori!H173=0,"",Giocatori!H173)</f>
        <v>SILVESTRE</v>
      </c>
      <c r="AQ165" s="221"/>
      <c r="AR165" s="231" t="str">
        <f ca="1">IF(Giocatori!K173=0,"",Giocatori!K173)</f>
        <v>VERETOUT</v>
      </c>
      <c r="AS165" s="221"/>
      <c r="AT165" s="231" t="str">
        <f ca="1">IF(Giocatori!N173=0,"",Giocatori!N173)</f>
        <v/>
      </c>
      <c r="AU165" s="221"/>
      <c r="AV165" s="231" t="str">
        <f ca="1">IF(Giocatori!Q173=0,"",Giocatori!Q173)</f>
        <v/>
      </c>
      <c r="AX165" t="str">
        <f t="shared" ca="1" si="197"/>
        <v/>
      </c>
      <c r="AY165" s="7">
        <f t="shared" ca="1" si="192"/>
        <v>65</v>
      </c>
      <c r="AZ165" s="7">
        <f t="shared" ca="1" si="198"/>
        <v>0</v>
      </c>
      <c r="BB165" t="str">
        <f t="shared" ca="1" si="199"/>
        <v>SILVESTRE</v>
      </c>
      <c r="BC165" s="7">
        <f t="shared" ca="1" si="193"/>
        <v>165</v>
      </c>
      <c r="BD165" s="7" t="str">
        <f t="shared" ca="1" si="200"/>
        <v>SILVESTRE</v>
      </c>
      <c r="BF165" t="str">
        <f t="shared" ca="1" si="201"/>
        <v>VERETOUT</v>
      </c>
      <c r="BG165" s="7">
        <f t="shared" ca="1" si="194"/>
        <v>165</v>
      </c>
      <c r="BH165" s="7" t="str">
        <f t="shared" ca="1" si="202"/>
        <v>VERETOUT</v>
      </c>
      <c r="BJ165" t="str">
        <f t="shared" ca="1" si="203"/>
        <v/>
      </c>
      <c r="BK165" s="7">
        <f t="shared" ca="1" si="195"/>
        <v>104</v>
      </c>
      <c r="BL165" s="7">
        <f t="shared" ca="1" si="204"/>
        <v>0</v>
      </c>
      <c r="BN165" t="str">
        <f t="shared" ca="1" si="205"/>
        <v/>
      </c>
      <c r="BO165" s="7">
        <f t="shared" ca="1" si="196"/>
        <v>1</v>
      </c>
      <c r="BP165" s="7">
        <f t="shared" ca="1" si="206"/>
        <v>0</v>
      </c>
    </row>
    <row r="166" spans="39:68" ht="14.25">
      <c r="AM166" s="221"/>
      <c r="AN166" s="231" t="str">
        <f ca="1">IF(Giocatori!E174=0,"",Giocatori!E174)</f>
        <v/>
      </c>
      <c r="AO166" s="221"/>
      <c r="AP166" s="231" t="str">
        <f ca="1">IF(Giocatori!H174=0,"",Giocatori!H174)</f>
        <v>SIMIC S</v>
      </c>
      <c r="AQ166" s="221"/>
      <c r="AR166" s="231" t="str">
        <f ca="1">IF(Giocatori!K174=0,"",Giocatori!K174)</f>
        <v>VERRE</v>
      </c>
      <c r="AS166" s="221"/>
      <c r="AT166" s="231" t="str">
        <f ca="1">IF(Giocatori!N174=0,"",Giocatori!N174)</f>
        <v/>
      </c>
      <c r="AU166" s="221"/>
      <c r="AV166" s="231" t="str">
        <f ca="1">IF(Giocatori!Q174=0,"",Giocatori!Q174)</f>
        <v/>
      </c>
      <c r="AX166" t="str">
        <f t="shared" ca="1" si="197"/>
        <v/>
      </c>
      <c r="AY166" s="7">
        <f t="shared" ca="1" si="192"/>
        <v>65</v>
      </c>
      <c r="AZ166" s="7">
        <f t="shared" ca="1" si="198"/>
        <v>0</v>
      </c>
      <c r="BB166" t="str">
        <f t="shared" ca="1" si="199"/>
        <v>SIMIC S</v>
      </c>
      <c r="BC166" s="7">
        <f t="shared" ca="1" si="193"/>
        <v>166</v>
      </c>
      <c r="BD166" s="7" t="str">
        <f t="shared" ca="1" si="200"/>
        <v>SIMIC S</v>
      </c>
      <c r="BF166" t="str">
        <f t="shared" ca="1" si="201"/>
        <v>VERRE</v>
      </c>
      <c r="BG166" s="7">
        <f t="shared" ca="1" si="194"/>
        <v>166</v>
      </c>
      <c r="BH166" s="7" t="str">
        <f t="shared" ca="1" si="202"/>
        <v>VERRE</v>
      </c>
      <c r="BJ166" t="str">
        <f t="shared" ca="1" si="203"/>
        <v/>
      </c>
      <c r="BK166" s="7">
        <f t="shared" ca="1" si="195"/>
        <v>104</v>
      </c>
      <c r="BL166" s="7">
        <f t="shared" ca="1" si="204"/>
        <v>0</v>
      </c>
      <c r="BN166" t="str">
        <f t="shared" ca="1" si="205"/>
        <v/>
      </c>
      <c r="BO166" s="7">
        <f t="shared" ca="1" si="196"/>
        <v>1</v>
      </c>
      <c r="BP166" s="7">
        <f t="shared" ca="1" si="206"/>
        <v>0</v>
      </c>
    </row>
    <row r="167" spans="39:68" ht="14.25">
      <c r="AM167" s="221"/>
      <c r="AN167" s="231" t="str">
        <f ca="1">IF(Giocatori!E175=0,"",Giocatori!E175)</f>
        <v/>
      </c>
      <c r="AO167" s="221"/>
      <c r="AP167" s="231" t="str">
        <f ca="1">IF(Giocatori!H175=0,"",Giocatori!H175)</f>
        <v>SKRINIAR</v>
      </c>
      <c r="AQ167" s="221"/>
      <c r="AR167" s="231" t="str">
        <f ca="1">IF(Giocatori!K175=0,"",Giocatori!K175)</f>
        <v>VIOLA</v>
      </c>
      <c r="AS167" s="221"/>
      <c r="AT167" s="231" t="str">
        <f ca="1">IF(Giocatori!N175=0,"",Giocatori!N175)</f>
        <v/>
      </c>
      <c r="AU167" s="221"/>
      <c r="AV167" s="231" t="str">
        <f ca="1">IF(Giocatori!Q175=0,"",Giocatori!Q175)</f>
        <v/>
      </c>
      <c r="AX167" t="str">
        <f t="shared" ca="1" si="197"/>
        <v/>
      </c>
      <c r="AY167" s="7">
        <f t="shared" ca="1" si="192"/>
        <v>65</v>
      </c>
      <c r="AZ167" s="7">
        <f t="shared" ca="1" si="198"/>
        <v>0</v>
      </c>
      <c r="BB167" t="str">
        <f t="shared" ca="1" si="199"/>
        <v>SKRINIAR</v>
      </c>
      <c r="BC167" s="7">
        <f t="shared" ca="1" si="193"/>
        <v>167</v>
      </c>
      <c r="BD167" s="7" t="str">
        <f t="shared" ca="1" si="200"/>
        <v>SKRINIAR</v>
      </c>
      <c r="BF167" t="str">
        <f t="shared" ca="1" si="201"/>
        <v>VIOLA</v>
      </c>
      <c r="BG167" s="7">
        <f t="shared" ca="1" si="194"/>
        <v>167</v>
      </c>
      <c r="BH167" s="7" t="str">
        <f t="shared" ca="1" si="202"/>
        <v>VIOLA</v>
      </c>
      <c r="BJ167" t="str">
        <f t="shared" ca="1" si="203"/>
        <v/>
      </c>
      <c r="BK167" s="7">
        <f t="shared" ca="1" si="195"/>
        <v>104</v>
      </c>
      <c r="BL167" s="7">
        <f t="shared" ca="1" si="204"/>
        <v>0</v>
      </c>
      <c r="BN167" t="str">
        <f t="shared" ca="1" si="205"/>
        <v/>
      </c>
      <c r="BO167" s="7">
        <f t="shared" ca="1" si="196"/>
        <v>1</v>
      </c>
      <c r="BP167" s="7">
        <f t="shared" ca="1" si="206"/>
        <v>0</v>
      </c>
    </row>
    <row r="168" spans="39:68" ht="14.25">
      <c r="AM168" s="221"/>
      <c r="AN168" s="231" t="str">
        <f ca="1">IF(Giocatori!E176=0,"",Giocatori!E176)</f>
        <v/>
      </c>
      <c r="AO168" s="221"/>
      <c r="AP168" s="231" t="str">
        <f ca="1">IF(Giocatori!H176=0,"",Giocatori!H176)</f>
        <v>SOUPRAYEN</v>
      </c>
      <c r="AQ168" s="221"/>
      <c r="AR168" s="231" t="str">
        <f ca="1">IF(Giocatori!K176=0,"",Giocatori!K176)</f>
        <v>VITALE</v>
      </c>
      <c r="AS168" s="221"/>
      <c r="AT168" s="231" t="str">
        <f ca="1">IF(Giocatori!N176=0,"",Giocatori!N176)</f>
        <v/>
      </c>
      <c r="AU168" s="221"/>
      <c r="AV168" s="231" t="str">
        <f ca="1">IF(Giocatori!Q176=0,"",Giocatori!Q176)</f>
        <v/>
      </c>
      <c r="AX168" t="str">
        <f t="shared" ca="1" si="197"/>
        <v/>
      </c>
      <c r="AY168" s="7">
        <f t="shared" ca="1" si="192"/>
        <v>65</v>
      </c>
      <c r="AZ168" s="7">
        <f t="shared" ca="1" si="198"/>
        <v>0</v>
      </c>
      <c r="BB168" t="str">
        <f t="shared" ca="1" si="199"/>
        <v>SOUPRAYEN</v>
      </c>
      <c r="BC168" s="7">
        <f t="shared" ca="1" si="193"/>
        <v>168</v>
      </c>
      <c r="BD168" s="7" t="str">
        <f t="shared" ca="1" si="200"/>
        <v>SOUPRAYEN</v>
      </c>
      <c r="BF168" t="str">
        <f t="shared" ca="1" si="201"/>
        <v>VITALE</v>
      </c>
      <c r="BG168" s="7">
        <f t="shared" ca="1" si="194"/>
        <v>168</v>
      </c>
      <c r="BH168" s="7" t="str">
        <f t="shared" ca="1" si="202"/>
        <v>VITALE</v>
      </c>
      <c r="BJ168" t="str">
        <f t="shared" ca="1" si="203"/>
        <v/>
      </c>
      <c r="BK168" s="7">
        <f t="shared" ca="1" si="195"/>
        <v>104</v>
      </c>
      <c r="BL168" s="7">
        <f t="shared" ca="1" si="204"/>
        <v>0</v>
      </c>
      <c r="BN168" t="str">
        <f t="shared" ca="1" si="205"/>
        <v/>
      </c>
      <c r="BO168" s="7">
        <f t="shared" ca="1" si="196"/>
        <v>1</v>
      </c>
      <c r="BP168" s="7">
        <f t="shared" ca="1" si="206"/>
        <v>0</v>
      </c>
    </row>
    <row r="169" spans="39:68" ht="14.25">
      <c r="AM169" s="221"/>
      <c r="AN169" s="231" t="str">
        <f ca="1">IF(Giocatori!E177=0,"",Giocatori!E177)</f>
        <v/>
      </c>
      <c r="AO169" s="221"/>
      <c r="AP169" s="231" t="str">
        <f ca="1">IF(Giocatori!H177=0,"",Giocatori!H177)</f>
        <v>SPOLLI</v>
      </c>
      <c r="AQ169" s="221"/>
      <c r="AR169" s="231" t="str">
        <f ca="1">IF(Giocatori!K177=0,"",Giocatori!K177)</f>
        <v>VIVIANI</v>
      </c>
      <c r="AS169" s="221"/>
      <c r="AT169" s="231" t="str">
        <f ca="1">IF(Giocatori!N177=0,"",Giocatori!N177)</f>
        <v/>
      </c>
      <c r="AU169" s="221"/>
      <c r="AV169" s="231" t="str">
        <f ca="1">IF(Giocatori!Q177=0,"",Giocatori!Q177)</f>
        <v/>
      </c>
      <c r="AX169" t="str">
        <f t="shared" ca="1" si="197"/>
        <v/>
      </c>
      <c r="AY169" s="7">
        <f t="shared" ca="1" si="192"/>
        <v>65</v>
      </c>
      <c r="AZ169" s="7">
        <f t="shared" ca="1" si="198"/>
        <v>0</v>
      </c>
      <c r="BB169" t="str">
        <f t="shared" ca="1" si="199"/>
        <v>SPOLLI</v>
      </c>
      <c r="BC169" s="7">
        <f t="shared" ca="1" si="193"/>
        <v>169</v>
      </c>
      <c r="BD169" s="7" t="str">
        <f t="shared" ca="1" si="200"/>
        <v>SPOLLI</v>
      </c>
      <c r="BF169" t="str">
        <f t="shared" ca="1" si="201"/>
        <v>VIVIANI</v>
      </c>
      <c r="BG169" s="7">
        <f t="shared" ca="1" si="194"/>
        <v>169</v>
      </c>
      <c r="BH169" s="7" t="str">
        <f t="shared" ca="1" si="202"/>
        <v>VIVIANI</v>
      </c>
      <c r="BJ169" t="str">
        <f t="shared" ca="1" si="203"/>
        <v/>
      </c>
      <c r="BK169" s="7">
        <f t="shared" ca="1" si="195"/>
        <v>104</v>
      </c>
      <c r="BL169" s="7">
        <f t="shared" ca="1" si="204"/>
        <v>0</v>
      </c>
      <c r="BN169" t="str">
        <f t="shared" ca="1" si="205"/>
        <v/>
      </c>
      <c r="BO169" s="7">
        <f t="shared" ref="BO169:BO200" ca="1" si="207">ROW()-COUNTBLANK(INDIRECT("$BI$2:BI"&amp;ROW()))</f>
        <v>1</v>
      </c>
      <c r="BP169" s="7">
        <f t="shared" ca="1" si="206"/>
        <v>0</v>
      </c>
    </row>
    <row r="170" spans="39:68" ht="14.25">
      <c r="AM170" s="221"/>
      <c r="AN170" s="231" t="str">
        <f ca="1">IF(Giocatori!E178=0,"",Giocatori!E178)</f>
        <v/>
      </c>
      <c r="AO170" s="221"/>
      <c r="AP170" s="231" t="str">
        <f ca="1">IF(Giocatori!H178=0,"",Giocatori!H178)</f>
        <v>STRINIC</v>
      </c>
      <c r="AQ170" s="221"/>
      <c r="AR170" s="231" t="str">
        <f ca="1">IF(Giocatori!K178=0,"",Giocatori!K178)</f>
        <v>ZACCAGNI</v>
      </c>
      <c r="AS170" s="221"/>
      <c r="AT170" s="231" t="str">
        <f ca="1">IF(Giocatori!N178=0,"",Giocatori!N178)</f>
        <v/>
      </c>
      <c r="AU170" s="221"/>
      <c r="AV170" s="231" t="str">
        <f ca="1">IF(Giocatori!Q178=0,"",Giocatori!Q178)</f>
        <v/>
      </c>
      <c r="AX170" t="str">
        <f t="shared" ref="AX170:AX201" ca="1" si="208">IF(ISNA(VLOOKUP(AN170,$AW$2:$AW$199,1,FALSE)),AN170,"")</f>
        <v/>
      </c>
      <c r="AY170" s="7">
        <f t="shared" ca="1" si="192"/>
        <v>65</v>
      </c>
      <c r="AZ170" s="7">
        <f t="shared" ref="AZ170:AZ201" ca="1" si="209">IF(ISERROR(INDEX($AX$2:$AX$199,MATCH(ROW(),$AY$2:$AY$199,FALSE))),0,INDEX($AX$2:$AX$199,MATCH(ROW(),$AY$2:$AY$199,FALSE)))</f>
        <v>0</v>
      </c>
      <c r="BB170" t="str">
        <f t="shared" ref="BB170:BB201" ca="1" si="210">IF(ISNA(VLOOKUP(AP170,$BA$2:$BA$199,1,FALSE)),AP170,"")</f>
        <v>STRINIC</v>
      </c>
      <c r="BC170" s="7">
        <f t="shared" ca="1" si="193"/>
        <v>170</v>
      </c>
      <c r="BD170" s="7" t="str">
        <f t="shared" ref="BD170:BD201" ca="1" si="211">IF(ISERROR(INDEX($BB$2:$BB$199,MATCH(ROW(),$BC$2:$BC$199,FALSE))),0,INDEX($BB$2:$BB$199,MATCH(ROW(),$BC$2:$BC$199,FALSE)))</f>
        <v>STRINIC</v>
      </c>
      <c r="BF170" t="str">
        <f t="shared" ref="BF170:BF201" ca="1" si="212">IF(ISNA(VLOOKUP(AR170,$BE$2:$BE$199,1,FALSE)),AR170,"")</f>
        <v>ZACCAGNI</v>
      </c>
      <c r="BG170" s="7">
        <f t="shared" ca="1" si="194"/>
        <v>170</v>
      </c>
      <c r="BH170" s="7" t="str">
        <f t="shared" ref="BH170:BH201" ca="1" si="213">IF(ISERROR(INDEX($BF$2:$BF$199,MATCH(ROW(),$BG$2:$BG$199,FALSE))),0,INDEX($BF$2:$BF$199,MATCH(ROW(),$BG$2:$BG$199,FALSE)))</f>
        <v>ZACCAGNI</v>
      </c>
      <c r="BJ170" t="str">
        <f t="shared" ref="BJ170:BJ201" ca="1" si="214">IF(ISNA(VLOOKUP(AT170,$BI$2:$BI$199,1,FALSE)),AT170,"")</f>
        <v/>
      </c>
      <c r="BK170" s="7">
        <f t="shared" ca="1" si="195"/>
        <v>104</v>
      </c>
      <c r="BL170" s="7">
        <f t="shared" ref="BL170:BL201" ca="1" si="215">IF(ISERROR(INDEX($BJ$2:$BJ$199,MATCH(ROW(),$BK$2:$BK$199,FALSE))),0,INDEX($BJ$2:$BJ$199,MATCH(ROW(),$BK$2:$BK$199,FALSE)))</f>
        <v>0</v>
      </c>
      <c r="BN170" t="str">
        <f t="shared" ref="BN170:BN201" ca="1" si="216">IF(ISNA(VLOOKUP(AV170,$BM$2:$BM$199,1,FALSE)),AV170,"")</f>
        <v/>
      </c>
      <c r="BO170" s="7">
        <f t="shared" ca="1" si="207"/>
        <v>1</v>
      </c>
      <c r="BP170" s="7">
        <f t="shared" ref="BP170:BP201" ca="1" si="217">IF(ISERROR(INDEX($BN$2:$BN$199,MATCH(ROW(),$BO$2:$BO$199,FALSE))),0,INDEX($BN$2:$BN$199,MATCH(ROW(),$BO$2:$BO$199,FALSE)))</f>
        <v>0</v>
      </c>
    </row>
    <row r="171" spans="39:68" ht="14.25">
      <c r="AM171" s="221"/>
      <c r="AN171" s="231" t="str">
        <f ca="1">IF(Giocatori!E179=0,"",Giocatori!E179)</f>
        <v/>
      </c>
      <c r="AO171" s="221"/>
      <c r="AP171" s="231" t="str">
        <f ca="1">IF(Giocatori!H179=0,"",Giocatori!H179)</f>
        <v>STRYGER LARSEN</v>
      </c>
      <c r="AQ171" s="221"/>
      <c r="AR171" s="231" t="str">
        <f ca="1">IF(Giocatori!K179=0,"",Giocatori!K179)</f>
        <v>ZANELLATO</v>
      </c>
      <c r="AS171" s="221"/>
      <c r="AT171" s="231" t="str">
        <f ca="1">IF(Giocatori!N179=0,"",Giocatori!N179)</f>
        <v/>
      </c>
      <c r="AU171" s="221"/>
      <c r="AV171" s="231" t="str">
        <f ca="1">IF(Giocatori!Q179=0,"",Giocatori!Q179)</f>
        <v/>
      </c>
      <c r="AX171" t="str">
        <f t="shared" ca="1" si="208"/>
        <v/>
      </c>
      <c r="AY171" s="7">
        <f t="shared" ca="1" si="192"/>
        <v>65</v>
      </c>
      <c r="AZ171" s="7">
        <f t="shared" ca="1" si="209"/>
        <v>0</v>
      </c>
      <c r="BB171" t="str">
        <f t="shared" ca="1" si="210"/>
        <v>STRYGER LARSEN</v>
      </c>
      <c r="BC171" s="7">
        <f t="shared" ca="1" si="193"/>
        <v>171</v>
      </c>
      <c r="BD171" s="7" t="str">
        <f t="shared" ca="1" si="211"/>
        <v>STRYGER LARSEN</v>
      </c>
      <c r="BF171" t="str">
        <f t="shared" ca="1" si="212"/>
        <v>ZANELLATO</v>
      </c>
      <c r="BG171" s="7">
        <f t="shared" ca="1" si="194"/>
        <v>171</v>
      </c>
      <c r="BH171" s="7" t="str">
        <f t="shared" ca="1" si="213"/>
        <v>ZANELLATO</v>
      </c>
      <c r="BJ171" t="str">
        <f t="shared" ca="1" si="214"/>
        <v/>
      </c>
      <c r="BK171" s="7">
        <f t="shared" ca="1" si="195"/>
        <v>104</v>
      </c>
      <c r="BL171" s="7">
        <f t="shared" ca="1" si="215"/>
        <v>0</v>
      </c>
      <c r="BN171" t="str">
        <f t="shared" ca="1" si="216"/>
        <v/>
      </c>
      <c r="BO171" s="7">
        <f t="shared" ca="1" si="207"/>
        <v>1</v>
      </c>
      <c r="BP171" s="7">
        <f t="shared" ca="1" si="217"/>
        <v>0</v>
      </c>
    </row>
    <row r="172" spans="39:68" ht="14.25">
      <c r="AM172" s="221"/>
      <c r="AN172" s="231" t="str">
        <f ca="1">IF(Giocatori!E180=0,"",Giocatori!E180)</f>
        <v/>
      </c>
      <c r="AO172" s="221"/>
      <c r="AP172" s="231" t="str">
        <f ca="1">IF(Giocatori!H180=0,"",Giocatori!H180)</f>
        <v>TOLOI</v>
      </c>
      <c r="AQ172" s="221"/>
      <c r="AR172" s="231" t="str">
        <f ca="1">IF(Giocatori!K180=0,"",Giocatori!K180)</f>
        <v>ZEKHNINI</v>
      </c>
      <c r="AS172" s="221"/>
      <c r="AT172" s="231" t="str">
        <f ca="1">IF(Giocatori!N180=0,"",Giocatori!N180)</f>
        <v/>
      </c>
      <c r="AU172" s="221"/>
      <c r="AV172" s="231" t="str">
        <f ca="1">IF(Giocatori!Q180=0,"",Giocatori!Q180)</f>
        <v/>
      </c>
      <c r="AX172" t="str">
        <f t="shared" ca="1" si="208"/>
        <v/>
      </c>
      <c r="AY172" s="7">
        <f t="shared" ca="1" si="192"/>
        <v>65</v>
      </c>
      <c r="AZ172" s="7">
        <f t="shared" ca="1" si="209"/>
        <v>0</v>
      </c>
      <c r="BB172" t="str">
        <f t="shared" ca="1" si="210"/>
        <v>TOLOI</v>
      </c>
      <c r="BC172" s="7">
        <f t="shared" ca="1" si="193"/>
        <v>172</v>
      </c>
      <c r="BD172" s="7" t="str">
        <f t="shared" ca="1" si="211"/>
        <v>TOLOI</v>
      </c>
      <c r="BF172" t="str">
        <f t="shared" ca="1" si="212"/>
        <v>ZEKHNINI</v>
      </c>
      <c r="BG172" s="7">
        <f t="shared" ca="1" si="194"/>
        <v>172</v>
      </c>
      <c r="BH172" s="7" t="str">
        <f t="shared" ca="1" si="213"/>
        <v>ZEKHNINI</v>
      </c>
      <c r="BJ172" t="str">
        <f t="shared" ca="1" si="214"/>
        <v/>
      </c>
      <c r="BK172" s="7">
        <f t="shared" ca="1" si="195"/>
        <v>104</v>
      </c>
      <c r="BL172" s="7">
        <f t="shared" ca="1" si="215"/>
        <v>0</v>
      </c>
      <c r="BN172" t="str">
        <f t="shared" ca="1" si="216"/>
        <v/>
      </c>
      <c r="BO172" s="7">
        <f t="shared" ca="1" si="207"/>
        <v>1</v>
      </c>
      <c r="BP172" s="7">
        <f t="shared" ca="1" si="217"/>
        <v>0</v>
      </c>
    </row>
    <row r="173" spans="39:68" ht="14.25">
      <c r="AM173" s="221"/>
      <c r="AN173" s="231" t="str">
        <f ca="1">IF(Giocatori!E181=0,"",Giocatori!E181)</f>
        <v/>
      </c>
      <c r="AO173" s="221"/>
      <c r="AP173" s="231" t="str">
        <f ca="1">IF(Giocatori!H181=0,"",Giocatori!H181)</f>
        <v>TOMIC</v>
      </c>
      <c r="AQ173" s="221"/>
      <c r="AR173" s="231" t="str">
        <f ca="1">IF(Giocatori!K181=0,"",Giocatori!K181)</f>
        <v>ZIELINSKI</v>
      </c>
      <c r="AS173" s="221"/>
      <c r="AT173" s="231" t="str">
        <f ca="1">IF(Giocatori!N181=0,"",Giocatori!N181)</f>
        <v/>
      </c>
      <c r="AU173" s="221"/>
      <c r="AV173" s="231" t="str">
        <f ca="1">IF(Giocatori!Q181=0,"",Giocatori!Q181)</f>
        <v/>
      </c>
      <c r="AX173" t="str">
        <f t="shared" ca="1" si="208"/>
        <v/>
      </c>
      <c r="AY173" s="7">
        <f t="shared" ca="1" si="192"/>
        <v>65</v>
      </c>
      <c r="AZ173" s="7">
        <f t="shared" ca="1" si="209"/>
        <v>0</v>
      </c>
      <c r="BB173" t="str">
        <f t="shared" ca="1" si="210"/>
        <v>TOMIC</v>
      </c>
      <c r="BC173" s="7">
        <f t="shared" ca="1" si="193"/>
        <v>173</v>
      </c>
      <c r="BD173" s="7" t="str">
        <f t="shared" ca="1" si="211"/>
        <v>TOMIC</v>
      </c>
      <c r="BF173" t="str">
        <f t="shared" ca="1" si="212"/>
        <v>ZIELINSKI</v>
      </c>
      <c r="BG173" s="7">
        <f t="shared" ca="1" si="194"/>
        <v>173</v>
      </c>
      <c r="BH173" s="7" t="str">
        <f t="shared" ca="1" si="213"/>
        <v>ZIELINSKI</v>
      </c>
      <c r="BJ173" t="str">
        <f t="shared" ca="1" si="214"/>
        <v/>
      </c>
      <c r="BK173" s="7">
        <f t="shared" ca="1" si="195"/>
        <v>104</v>
      </c>
      <c r="BL173" s="7">
        <f t="shared" ca="1" si="215"/>
        <v>0</v>
      </c>
      <c r="BN173" t="str">
        <f t="shared" ca="1" si="216"/>
        <v/>
      </c>
      <c r="BO173" s="7">
        <f t="shared" ca="1" si="207"/>
        <v>1</v>
      </c>
      <c r="BP173" s="7">
        <f t="shared" ca="1" si="217"/>
        <v>0</v>
      </c>
    </row>
    <row r="174" spans="39:68" ht="14.25">
      <c r="AM174" s="221"/>
      <c r="AN174" s="231" t="str">
        <f ca="1">IF(Giocatori!E182=0,"",Giocatori!E182)</f>
        <v/>
      </c>
      <c r="AO174" s="221"/>
      <c r="AP174" s="231" t="str">
        <f ca="1">IF(Giocatori!H182=0,"",Giocatori!H182)</f>
        <v>TOMOVIC</v>
      </c>
      <c r="AQ174" s="221"/>
      <c r="AR174" s="231" t="str">
        <f ca="1">IF(Giocatori!K182=0,"",Giocatori!K182)</f>
        <v>ZUCULINI B</v>
      </c>
      <c r="AS174" s="221"/>
      <c r="AT174" s="231" t="str">
        <f ca="1">IF(Giocatori!N182=0,"",Giocatori!N182)</f>
        <v/>
      </c>
      <c r="AU174" s="221"/>
      <c r="AV174" s="231" t="str">
        <f ca="1">IF(Giocatori!Q182=0,"",Giocatori!Q182)</f>
        <v/>
      </c>
      <c r="AX174" t="str">
        <f t="shared" ca="1" si="208"/>
        <v/>
      </c>
      <c r="AY174" s="7">
        <f t="shared" ca="1" si="192"/>
        <v>65</v>
      </c>
      <c r="AZ174" s="7">
        <f t="shared" ca="1" si="209"/>
        <v>0</v>
      </c>
      <c r="BB174" t="str">
        <f t="shared" ca="1" si="210"/>
        <v>TOMOVIC</v>
      </c>
      <c r="BC174" s="7">
        <f t="shared" ca="1" si="193"/>
        <v>174</v>
      </c>
      <c r="BD174" s="7" t="str">
        <f t="shared" ca="1" si="211"/>
        <v>TOMOVIC</v>
      </c>
      <c r="BF174" t="str">
        <f t="shared" ca="1" si="212"/>
        <v>ZUCULINI B</v>
      </c>
      <c r="BG174" s="7">
        <f t="shared" ca="1" si="194"/>
        <v>174</v>
      </c>
      <c r="BH174" s="7" t="str">
        <f t="shared" ca="1" si="213"/>
        <v>ZUCULINI B</v>
      </c>
      <c r="BJ174" t="str">
        <f t="shared" ca="1" si="214"/>
        <v/>
      </c>
      <c r="BK174" s="7">
        <f t="shared" ca="1" si="195"/>
        <v>104</v>
      </c>
      <c r="BL174" s="7">
        <f t="shared" ca="1" si="215"/>
        <v>0</v>
      </c>
      <c r="BN174" t="str">
        <f t="shared" ca="1" si="216"/>
        <v/>
      </c>
      <c r="BO174" s="7">
        <f t="shared" ca="1" si="207"/>
        <v>1</v>
      </c>
      <c r="BP174" s="7">
        <f t="shared" ca="1" si="217"/>
        <v>0</v>
      </c>
    </row>
    <row r="175" spans="39:68" ht="14.25">
      <c r="AM175" s="221"/>
      <c r="AN175" s="231" t="str">
        <f ca="1">IF(Giocatori!E183=0,"",Giocatori!E183)</f>
        <v/>
      </c>
      <c r="AO175" s="221"/>
      <c r="AP175" s="231" t="str">
        <f ca="1">IF(Giocatori!H183=0,"",Giocatori!H183)</f>
        <v>TONELLI</v>
      </c>
      <c r="AQ175" s="221"/>
      <c r="AR175" s="231" t="str">
        <f ca="1">IF(Giocatori!K183=0,"",Giocatori!K183)</f>
        <v>ZUCULINI F</v>
      </c>
      <c r="AS175" s="221"/>
      <c r="AT175" s="231" t="str">
        <f ca="1">IF(Giocatori!N183=0,"",Giocatori!N183)</f>
        <v/>
      </c>
      <c r="AU175" s="221"/>
      <c r="AV175" s="231" t="str">
        <f ca="1">IF(Giocatori!Q183=0,"",Giocatori!Q183)</f>
        <v/>
      </c>
      <c r="AX175" t="str">
        <f t="shared" ca="1" si="208"/>
        <v/>
      </c>
      <c r="AY175" s="7">
        <f t="shared" ca="1" si="192"/>
        <v>65</v>
      </c>
      <c r="AZ175" s="7">
        <f t="shared" ca="1" si="209"/>
        <v>0</v>
      </c>
      <c r="BB175" t="str">
        <f t="shared" ca="1" si="210"/>
        <v>TONELLI</v>
      </c>
      <c r="BC175" s="7">
        <f t="shared" ca="1" si="193"/>
        <v>175</v>
      </c>
      <c r="BD175" s="7" t="str">
        <f t="shared" ca="1" si="211"/>
        <v>TONELLI</v>
      </c>
      <c r="BF175" t="str">
        <f t="shared" ca="1" si="212"/>
        <v>ZUCULINI F</v>
      </c>
      <c r="BG175" s="7">
        <f t="shared" ca="1" si="194"/>
        <v>175</v>
      </c>
      <c r="BH175" s="7" t="str">
        <f t="shared" ca="1" si="213"/>
        <v>ZUCULINI F</v>
      </c>
      <c r="BJ175" t="str">
        <f t="shared" ca="1" si="214"/>
        <v/>
      </c>
      <c r="BK175" s="7">
        <f t="shared" ca="1" si="195"/>
        <v>104</v>
      </c>
      <c r="BL175" s="7">
        <f t="shared" ca="1" si="215"/>
        <v>0</v>
      </c>
      <c r="BN175" t="str">
        <f t="shared" ca="1" si="216"/>
        <v/>
      </c>
      <c r="BO175" s="7">
        <f t="shared" ca="1" si="207"/>
        <v>1</v>
      </c>
      <c r="BP175" s="7">
        <f t="shared" ca="1" si="217"/>
        <v>0</v>
      </c>
    </row>
    <row r="176" spans="39:68" ht="14.25">
      <c r="AM176" s="221"/>
      <c r="AN176" s="231" t="str">
        <f ca="1">IF(Giocatori!E184=0,"",Giocatori!E184)</f>
        <v/>
      </c>
      <c r="AO176" s="221"/>
      <c r="AP176" s="231" t="str">
        <f ca="1">IF(Giocatori!H184=0,"",Giocatori!H184)</f>
        <v>TOROSIDIS</v>
      </c>
      <c r="AQ176" s="221"/>
      <c r="AR176" s="231" t="str">
        <f ca="1">IF(Giocatori!K184=0,"",Giocatori!K184)</f>
        <v/>
      </c>
      <c r="AS176" s="221"/>
      <c r="AT176" s="231" t="str">
        <f ca="1">IF(Giocatori!N184=0,"",Giocatori!N184)</f>
        <v/>
      </c>
      <c r="AU176" s="221"/>
      <c r="AV176" s="231" t="str">
        <f ca="1">IF(Giocatori!Q184=0,"",Giocatori!Q184)</f>
        <v/>
      </c>
      <c r="AX176" t="str">
        <f t="shared" ca="1" si="208"/>
        <v/>
      </c>
      <c r="AY176" s="7">
        <f t="shared" ca="1" si="192"/>
        <v>65</v>
      </c>
      <c r="AZ176" s="7">
        <f t="shared" ca="1" si="209"/>
        <v>0</v>
      </c>
      <c r="BB176" t="str">
        <f t="shared" ca="1" si="210"/>
        <v>TOROSIDIS</v>
      </c>
      <c r="BC176" s="7">
        <f t="shared" ca="1" si="193"/>
        <v>176</v>
      </c>
      <c r="BD176" s="7" t="str">
        <f t="shared" ca="1" si="211"/>
        <v>TOROSIDIS</v>
      </c>
      <c r="BF176" t="str">
        <f t="shared" ca="1" si="212"/>
        <v/>
      </c>
      <c r="BG176" s="7">
        <f t="shared" ca="1" si="194"/>
        <v>175</v>
      </c>
      <c r="BH176" s="7">
        <f t="shared" ca="1" si="213"/>
        <v>0</v>
      </c>
      <c r="BJ176" t="str">
        <f t="shared" ca="1" si="214"/>
        <v/>
      </c>
      <c r="BK176" s="7">
        <f t="shared" ca="1" si="195"/>
        <v>104</v>
      </c>
      <c r="BL176" s="7">
        <f t="shared" ca="1" si="215"/>
        <v>0</v>
      </c>
      <c r="BN176" t="str">
        <f t="shared" ca="1" si="216"/>
        <v/>
      </c>
      <c r="BO176" s="7">
        <f t="shared" ca="1" si="207"/>
        <v>1</v>
      </c>
      <c r="BP176" s="7">
        <f t="shared" ca="1" si="217"/>
        <v>0</v>
      </c>
    </row>
    <row r="177" spans="39:68" ht="14.25">
      <c r="AM177" s="221"/>
      <c r="AN177" s="231" t="str">
        <f ca="1">IF(Giocatori!E185=0,"",Giocatori!E185)</f>
        <v/>
      </c>
      <c r="AO177" s="221"/>
      <c r="AP177" s="231" t="str">
        <f ca="1">IF(Giocatori!H185=0,"",Giocatori!H185)</f>
        <v>VAISANEN</v>
      </c>
      <c r="AQ177" s="221"/>
      <c r="AR177" s="231" t="str">
        <f ca="1">IF(Giocatori!K185=0,"",Giocatori!K185)</f>
        <v/>
      </c>
      <c r="AS177" s="221"/>
      <c r="AT177" s="231" t="str">
        <f ca="1">IF(Giocatori!N185=0,"",Giocatori!N185)</f>
        <v/>
      </c>
      <c r="AU177" s="221"/>
      <c r="AV177" s="231" t="str">
        <f ca="1">IF(Giocatori!Q185=0,"",Giocatori!Q185)</f>
        <v/>
      </c>
      <c r="AX177" t="str">
        <f t="shared" ca="1" si="208"/>
        <v/>
      </c>
      <c r="AY177" s="7">
        <f t="shared" ca="1" si="192"/>
        <v>65</v>
      </c>
      <c r="AZ177" s="7">
        <f t="shared" ca="1" si="209"/>
        <v>0</v>
      </c>
      <c r="BB177" t="str">
        <f t="shared" ca="1" si="210"/>
        <v>VAISANEN</v>
      </c>
      <c r="BC177" s="7">
        <f t="shared" ca="1" si="193"/>
        <v>177</v>
      </c>
      <c r="BD177" s="7" t="str">
        <f t="shared" ca="1" si="211"/>
        <v>VAISANEN</v>
      </c>
      <c r="BF177" t="str">
        <f t="shared" ca="1" si="212"/>
        <v/>
      </c>
      <c r="BG177" s="7">
        <f t="shared" ca="1" si="194"/>
        <v>175</v>
      </c>
      <c r="BH177" s="7">
        <f t="shared" ca="1" si="213"/>
        <v>0</v>
      </c>
      <c r="BJ177" t="str">
        <f t="shared" ca="1" si="214"/>
        <v/>
      </c>
      <c r="BK177" s="7">
        <f t="shared" ca="1" si="195"/>
        <v>104</v>
      </c>
      <c r="BL177" s="7">
        <f t="shared" ca="1" si="215"/>
        <v>0</v>
      </c>
      <c r="BN177" t="str">
        <f t="shared" ca="1" si="216"/>
        <v/>
      </c>
      <c r="BO177" s="7">
        <f t="shared" ca="1" si="207"/>
        <v>1</v>
      </c>
      <c r="BP177" s="7">
        <f t="shared" ca="1" si="217"/>
        <v>0</v>
      </c>
    </row>
    <row r="178" spans="39:68" ht="14.25">
      <c r="AM178" s="221"/>
      <c r="AN178" s="231" t="str">
        <f ca="1">IF(Giocatori!E186=0,"",Giocatori!E186)</f>
        <v/>
      </c>
      <c r="AO178" s="221"/>
      <c r="AP178" s="231" t="str">
        <f ca="1">IF(Giocatori!H186=0,"",Giocatori!H186)</f>
        <v>VAN DER WIEL</v>
      </c>
      <c r="AQ178" s="221"/>
      <c r="AR178" s="231" t="str">
        <f ca="1">IF(Giocatori!K186=0,"",Giocatori!K186)</f>
        <v/>
      </c>
      <c r="AS178" s="221"/>
      <c r="AT178" s="231" t="str">
        <f ca="1">IF(Giocatori!N186=0,"",Giocatori!N186)</f>
        <v/>
      </c>
      <c r="AU178" s="221"/>
      <c r="AV178" s="231" t="str">
        <f ca="1">IF(Giocatori!Q186=0,"",Giocatori!Q186)</f>
        <v/>
      </c>
      <c r="AX178" t="str">
        <f t="shared" ca="1" si="208"/>
        <v/>
      </c>
      <c r="AY178" s="7">
        <f t="shared" ca="1" si="192"/>
        <v>65</v>
      </c>
      <c r="AZ178" s="7">
        <f t="shared" ca="1" si="209"/>
        <v>0</v>
      </c>
      <c r="BB178" t="str">
        <f t="shared" ca="1" si="210"/>
        <v>VAN DER WIEL</v>
      </c>
      <c r="BC178" s="7">
        <f t="shared" ca="1" si="193"/>
        <v>178</v>
      </c>
      <c r="BD178" s="7" t="str">
        <f t="shared" ca="1" si="211"/>
        <v>VAN DER WIEL</v>
      </c>
      <c r="BF178" t="str">
        <f t="shared" ca="1" si="212"/>
        <v/>
      </c>
      <c r="BG178" s="7">
        <f t="shared" ca="1" si="194"/>
        <v>175</v>
      </c>
      <c r="BH178" s="7">
        <f t="shared" ca="1" si="213"/>
        <v>0</v>
      </c>
      <c r="BJ178" t="str">
        <f t="shared" ca="1" si="214"/>
        <v/>
      </c>
      <c r="BK178" s="7">
        <f t="shared" ca="1" si="195"/>
        <v>104</v>
      </c>
      <c r="BL178" s="7">
        <f t="shared" ca="1" si="215"/>
        <v>0</v>
      </c>
      <c r="BN178" t="str">
        <f t="shared" ca="1" si="216"/>
        <v/>
      </c>
      <c r="BO178" s="7">
        <f t="shared" ca="1" si="207"/>
        <v>1</v>
      </c>
      <c r="BP178" s="7">
        <f t="shared" ca="1" si="217"/>
        <v>0</v>
      </c>
    </row>
    <row r="179" spans="39:68" ht="14.25">
      <c r="AM179" s="221"/>
      <c r="AN179" s="231" t="str">
        <f ca="1">IF(Giocatori!E187=0,"",Giocatori!E187)</f>
        <v/>
      </c>
      <c r="AO179" s="221"/>
      <c r="AP179" s="231" t="str">
        <f ca="1">IF(Giocatori!H187=0,"",Giocatori!H187)</f>
        <v>VANHEUSDEN</v>
      </c>
      <c r="AQ179" s="221"/>
      <c r="AR179" s="231" t="str">
        <f ca="1">IF(Giocatori!K187=0,"",Giocatori!K187)</f>
        <v/>
      </c>
      <c r="AS179" s="221"/>
      <c r="AT179" s="231" t="str">
        <f ca="1">IF(Giocatori!N187=0,"",Giocatori!N187)</f>
        <v/>
      </c>
      <c r="AU179" s="221"/>
      <c r="AV179" s="231" t="str">
        <f ca="1">IF(Giocatori!Q187=0,"",Giocatori!Q187)</f>
        <v/>
      </c>
      <c r="AX179" t="str">
        <f t="shared" ca="1" si="208"/>
        <v/>
      </c>
      <c r="AY179" s="7">
        <f t="shared" ca="1" si="192"/>
        <v>65</v>
      </c>
      <c r="AZ179" s="7">
        <f t="shared" ca="1" si="209"/>
        <v>0</v>
      </c>
      <c r="BB179" t="str">
        <f t="shared" ca="1" si="210"/>
        <v>VANHEUSDEN</v>
      </c>
      <c r="BC179" s="7">
        <f t="shared" ca="1" si="193"/>
        <v>179</v>
      </c>
      <c r="BD179" s="7" t="str">
        <f t="shared" ca="1" si="211"/>
        <v>VANHEUSDEN</v>
      </c>
      <c r="BF179" t="str">
        <f t="shared" ca="1" si="212"/>
        <v/>
      </c>
      <c r="BG179" s="7">
        <f t="shared" ca="1" si="194"/>
        <v>175</v>
      </c>
      <c r="BH179" s="7">
        <f t="shared" ca="1" si="213"/>
        <v>0</v>
      </c>
      <c r="BJ179" t="str">
        <f t="shared" ca="1" si="214"/>
        <v/>
      </c>
      <c r="BK179" s="7">
        <f t="shared" ca="1" si="195"/>
        <v>104</v>
      </c>
      <c r="BL179" s="7">
        <f t="shared" ca="1" si="215"/>
        <v>0</v>
      </c>
      <c r="BN179" t="str">
        <f t="shared" ca="1" si="216"/>
        <v/>
      </c>
      <c r="BO179" s="7">
        <f t="shared" ca="1" si="207"/>
        <v>1</v>
      </c>
      <c r="BP179" s="7">
        <f t="shared" ca="1" si="217"/>
        <v>0</v>
      </c>
    </row>
    <row r="180" spans="39:68" ht="14.25">
      <c r="AM180" s="221"/>
      <c r="AN180" s="231" t="str">
        <f ca="1">IF(Giocatori!E188=0,"",Giocatori!E188)</f>
        <v/>
      </c>
      <c r="AO180" s="221"/>
      <c r="AP180" s="231" t="str">
        <f ca="1">IF(Giocatori!H188=0,"",Giocatori!H188)</f>
        <v>VENUTI</v>
      </c>
      <c r="AQ180" s="221"/>
      <c r="AR180" s="231" t="str">
        <f ca="1">IF(Giocatori!K188=0,"",Giocatori!K188)</f>
        <v/>
      </c>
      <c r="AS180" s="221"/>
      <c r="AT180" s="231" t="str">
        <f ca="1">IF(Giocatori!N188=0,"",Giocatori!N188)</f>
        <v/>
      </c>
      <c r="AU180" s="221"/>
      <c r="AV180" s="231" t="str">
        <f ca="1">IF(Giocatori!Q188=0,"",Giocatori!Q188)</f>
        <v/>
      </c>
      <c r="AX180" t="str">
        <f t="shared" ca="1" si="208"/>
        <v/>
      </c>
      <c r="AY180" s="7">
        <f t="shared" ca="1" si="192"/>
        <v>65</v>
      </c>
      <c r="AZ180" s="7">
        <f t="shared" ca="1" si="209"/>
        <v>0</v>
      </c>
      <c r="BB180" t="str">
        <f t="shared" ca="1" si="210"/>
        <v>VENUTI</v>
      </c>
      <c r="BC180" s="7">
        <f t="shared" ca="1" si="193"/>
        <v>180</v>
      </c>
      <c r="BD180" s="7" t="str">
        <f t="shared" ca="1" si="211"/>
        <v>VENUTI</v>
      </c>
      <c r="BF180" t="str">
        <f t="shared" ca="1" si="212"/>
        <v/>
      </c>
      <c r="BG180" s="7">
        <f t="shared" ca="1" si="194"/>
        <v>175</v>
      </c>
      <c r="BH180" s="7">
        <f t="shared" ca="1" si="213"/>
        <v>0</v>
      </c>
      <c r="BJ180" t="str">
        <f t="shared" ca="1" si="214"/>
        <v/>
      </c>
      <c r="BK180" s="7">
        <f t="shared" ca="1" si="195"/>
        <v>104</v>
      </c>
      <c r="BL180" s="7">
        <f t="shared" ca="1" si="215"/>
        <v>0</v>
      </c>
      <c r="BN180" t="str">
        <f t="shared" ca="1" si="216"/>
        <v/>
      </c>
      <c r="BO180" s="7">
        <f t="shared" ca="1" si="207"/>
        <v>1</v>
      </c>
      <c r="BP180" s="7">
        <f t="shared" ca="1" si="217"/>
        <v>0</v>
      </c>
    </row>
    <row r="181" spans="39:68" ht="14.25">
      <c r="AM181" s="221"/>
      <c r="AN181" s="231" t="str">
        <f ca="1">IF(Giocatori!E189=0,"",Giocatori!E189)</f>
        <v/>
      </c>
      <c r="AO181" s="221"/>
      <c r="AP181" s="231" t="str">
        <f ca="1">IF(Giocatori!H189=0,"",Giocatori!H189)</f>
        <v>VICARI</v>
      </c>
      <c r="AQ181" s="221"/>
      <c r="AR181" s="231" t="str">
        <f ca="1">IF(Giocatori!K189=0,"",Giocatori!K189)</f>
        <v/>
      </c>
      <c r="AS181" s="221"/>
      <c r="AT181" s="231" t="str">
        <f ca="1">IF(Giocatori!N189=0,"",Giocatori!N189)</f>
        <v/>
      </c>
      <c r="AU181" s="221"/>
      <c r="AV181" s="231" t="str">
        <f ca="1">IF(Giocatori!Q189=0,"",Giocatori!Q189)</f>
        <v/>
      </c>
      <c r="AX181" t="str">
        <f t="shared" ca="1" si="208"/>
        <v/>
      </c>
      <c r="AY181" s="7">
        <f t="shared" ca="1" si="192"/>
        <v>65</v>
      </c>
      <c r="AZ181" s="7">
        <f t="shared" ca="1" si="209"/>
        <v>0</v>
      </c>
      <c r="BB181" t="str">
        <f t="shared" ca="1" si="210"/>
        <v>VICARI</v>
      </c>
      <c r="BC181" s="7">
        <f t="shared" ca="1" si="193"/>
        <v>181</v>
      </c>
      <c r="BD181" s="7" t="str">
        <f t="shared" ca="1" si="211"/>
        <v>VICARI</v>
      </c>
      <c r="BF181" t="str">
        <f t="shared" ca="1" si="212"/>
        <v/>
      </c>
      <c r="BG181" s="7">
        <f t="shared" ca="1" si="194"/>
        <v>175</v>
      </c>
      <c r="BH181" s="7">
        <f t="shared" ca="1" si="213"/>
        <v>0</v>
      </c>
      <c r="BJ181" t="str">
        <f t="shared" ca="1" si="214"/>
        <v/>
      </c>
      <c r="BK181" s="7">
        <f t="shared" ca="1" si="195"/>
        <v>104</v>
      </c>
      <c r="BL181" s="7">
        <f t="shared" ca="1" si="215"/>
        <v>0</v>
      </c>
      <c r="BN181" t="str">
        <f t="shared" ca="1" si="216"/>
        <v/>
      </c>
      <c r="BO181" s="7">
        <f t="shared" ca="1" si="207"/>
        <v>1</v>
      </c>
      <c r="BP181" s="7">
        <f t="shared" ca="1" si="217"/>
        <v>0</v>
      </c>
    </row>
    <row r="182" spans="39:68" ht="14.25">
      <c r="AM182" s="221"/>
      <c r="AN182" s="231" t="str">
        <f ca="1">IF(Giocatori!E190=0,"",Giocatori!E190)</f>
        <v/>
      </c>
      <c r="AO182" s="221"/>
      <c r="AP182" s="231" t="str">
        <f ca="1">IF(Giocatori!H190=0,"",Giocatori!H190)</f>
        <v>VITOR HUGO</v>
      </c>
      <c r="AQ182" s="221"/>
      <c r="AR182" s="231" t="str">
        <f ca="1">IF(Giocatori!K190=0,"",Giocatori!K190)</f>
        <v/>
      </c>
      <c r="AS182" s="221"/>
      <c r="AT182" s="231" t="str">
        <f ca="1">IF(Giocatori!N190=0,"",Giocatori!N190)</f>
        <v/>
      </c>
      <c r="AU182" s="221"/>
      <c r="AV182" s="231" t="str">
        <f ca="1">IF(Giocatori!Q190=0,"",Giocatori!Q190)</f>
        <v/>
      </c>
      <c r="AX182" t="str">
        <f t="shared" ca="1" si="208"/>
        <v/>
      </c>
      <c r="AY182" s="7">
        <f t="shared" ca="1" si="192"/>
        <v>65</v>
      </c>
      <c r="AZ182" s="7">
        <f t="shared" ca="1" si="209"/>
        <v>0</v>
      </c>
      <c r="BB182" t="str">
        <f t="shared" ca="1" si="210"/>
        <v>VITOR HUGO</v>
      </c>
      <c r="BC182" s="7">
        <f t="shared" ca="1" si="193"/>
        <v>182</v>
      </c>
      <c r="BD182" s="7" t="str">
        <f t="shared" ca="1" si="211"/>
        <v>VITOR HUGO</v>
      </c>
      <c r="BF182" t="str">
        <f t="shared" ca="1" si="212"/>
        <v/>
      </c>
      <c r="BG182" s="7">
        <f t="shared" ca="1" si="194"/>
        <v>175</v>
      </c>
      <c r="BH182" s="7">
        <f t="shared" ca="1" si="213"/>
        <v>0</v>
      </c>
      <c r="BJ182" t="str">
        <f t="shared" ca="1" si="214"/>
        <v/>
      </c>
      <c r="BK182" s="7">
        <f t="shared" ca="1" si="195"/>
        <v>104</v>
      </c>
      <c r="BL182" s="7">
        <f t="shared" ca="1" si="215"/>
        <v>0</v>
      </c>
      <c r="BN182" t="str">
        <f t="shared" ca="1" si="216"/>
        <v/>
      </c>
      <c r="BO182" s="7">
        <f t="shared" ca="1" si="207"/>
        <v>1</v>
      </c>
      <c r="BP182" s="7">
        <f t="shared" ca="1" si="217"/>
        <v>0</v>
      </c>
    </row>
    <row r="183" spans="39:68" ht="14.25">
      <c r="AM183" s="221"/>
      <c r="AN183" s="231" t="str">
        <f ca="1">IF(Giocatori!E191=0,"",Giocatori!E191)</f>
        <v/>
      </c>
      <c r="AO183" s="221"/>
      <c r="AP183" s="231" t="str">
        <f ca="1">IF(Giocatori!H191=0,"",Giocatori!H191)</f>
        <v>WALLACE</v>
      </c>
      <c r="AQ183" s="221"/>
      <c r="AR183" s="231" t="str">
        <f ca="1">IF(Giocatori!K191=0,"",Giocatori!K191)</f>
        <v/>
      </c>
      <c r="AS183" s="221"/>
      <c r="AT183" s="231" t="str">
        <f ca="1">IF(Giocatori!N191=0,"",Giocatori!N191)</f>
        <v/>
      </c>
      <c r="AU183" s="221"/>
      <c r="AV183" s="231" t="str">
        <f ca="1">IF(Giocatori!Q191=0,"",Giocatori!Q191)</f>
        <v/>
      </c>
      <c r="AX183" t="str">
        <f t="shared" ca="1" si="208"/>
        <v/>
      </c>
      <c r="AY183" s="7">
        <f t="shared" ca="1" si="192"/>
        <v>65</v>
      </c>
      <c r="AZ183" s="7">
        <f t="shared" ca="1" si="209"/>
        <v>0</v>
      </c>
      <c r="BB183" t="str">
        <f t="shared" ca="1" si="210"/>
        <v>WALLACE</v>
      </c>
      <c r="BC183" s="7">
        <f t="shared" ca="1" si="193"/>
        <v>183</v>
      </c>
      <c r="BD183" s="7" t="str">
        <f t="shared" ca="1" si="211"/>
        <v>WALLACE</v>
      </c>
      <c r="BF183" t="str">
        <f t="shared" ca="1" si="212"/>
        <v/>
      </c>
      <c r="BG183" s="7">
        <f t="shared" ca="1" si="194"/>
        <v>175</v>
      </c>
      <c r="BH183" s="7">
        <f t="shared" ca="1" si="213"/>
        <v>0</v>
      </c>
      <c r="BJ183" t="str">
        <f t="shared" ca="1" si="214"/>
        <v/>
      </c>
      <c r="BK183" s="7">
        <f t="shared" ca="1" si="195"/>
        <v>104</v>
      </c>
      <c r="BL183" s="7">
        <f t="shared" ca="1" si="215"/>
        <v>0</v>
      </c>
      <c r="BN183" t="str">
        <f t="shared" ca="1" si="216"/>
        <v/>
      </c>
      <c r="BO183" s="7">
        <f t="shared" ca="1" si="207"/>
        <v>1</v>
      </c>
      <c r="BP183" s="7">
        <f t="shared" ca="1" si="217"/>
        <v>0</v>
      </c>
    </row>
    <row r="184" spans="39:68" ht="14.25">
      <c r="AM184" s="221"/>
      <c r="AN184" s="231" t="str">
        <f ca="1">IF(Giocatori!E192=0,"",Giocatori!E192)</f>
        <v/>
      </c>
      <c r="AO184" s="221"/>
      <c r="AP184" s="231" t="str">
        <f ca="1">IF(Giocatori!H192=0,"",Giocatori!H192)</f>
        <v>WIDMER</v>
      </c>
      <c r="AQ184" s="221"/>
      <c r="AR184" s="231" t="str">
        <f ca="1">IF(Giocatori!K192=0,"",Giocatori!K192)</f>
        <v/>
      </c>
      <c r="AS184" s="221"/>
      <c r="AT184" s="231" t="str">
        <f ca="1">IF(Giocatori!N192=0,"",Giocatori!N192)</f>
        <v/>
      </c>
      <c r="AU184" s="221"/>
      <c r="AV184" s="231" t="str">
        <f ca="1">IF(Giocatori!Q192=0,"",Giocatori!Q192)</f>
        <v/>
      </c>
      <c r="AX184" t="str">
        <f t="shared" ca="1" si="208"/>
        <v/>
      </c>
      <c r="AY184" s="7">
        <f t="shared" ca="1" si="192"/>
        <v>65</v>
      </c>
      <c r="AZ184" s="7">
        <f t="shared" ca="1" si="209"/>
        <v>0</v>
      </c>
      <c r="BB184" t="str">
        <f t="shared" ca="1" si="210"/>
        <v>WIDMER</v>
      </c>
      <c r="BC184" s="7">
        <f t="shared" ca="1" si="193"/>
        <v>184</v>
      </c>
      <c r="BD184" s="7" t="str">
        <f t="shared" ca="1" si="211"/>
        <v>WIDMER</v>
      </c>
      <c r="BF184" t="str">
        <f t="shared" ca="1" si="212"/>
        <v/>
      </c>
      <c r="BG184" s="7">
        <f t="shared" ca="1" si="194"/>
        <v>175</v>
      </c>
      <c r="BH184" s="7">
        <f t="shared" ca="1" si="213"/>
        <v>0</v>
      </c>
      <c r="BJ184" t="str">
        <f t="shared" ca="1" si="214"/>
        <v/>
      </c>
      <c r="BK184" s="7">
        <f t="shared" ca="1" si="195"/>
        <v>104</v>
      </c>
      <c r="BL184" s="7">
        <f t="shared" ca="1" si="215"/>
        <v>0</v>
      </c>
      <c r="BN184" t="str">
        <f t="shared" ca="1" si="216"/>
        <v/>
      </c>
      <c r="BO184" s="7">
        <f t="shared" ca="1" si="207"/>
        <v>1</v>
      </c>
      <c r="BP184" s="7">
        <f t="shared" ca="1" si="217"/>
        <v>0</v>
      </c>
    </row>
    <row r="185" spans="39:68" ht="14.25">
      <c r="AM185" s="221"/>
      <c r="AN185" s="231" t="str">
        <f ca="1">IF(Giocatori!E193=0,"",Giocatori!E193)</f>
        <v/>
      </c>
      <c r="AO185" s="221"/>
      <c r="AP185" s="231" t="str">
        <f ca="1">IF(Giocatori!H193=0,"",Giocatori!H193)</f>
        <v>ZAPATA C</v>
      </c>
      <c r="AQ185" s="221"/>
      <c r="AR185" s="231" t="str">
        <f ca="1">IF(Giocatori!K193=0,"",Giocatori!K193)</f>
        <v/>
      </c>
      <c r="AS185" s="221"/>
      <c r="AT185" s="231" t="str">
        <f ca="1">IF(Giocatori!N193=0,"",Giocatori!N193)</f>
        <v/>
      </c>
      <c r="AU185" s="221"/>
      <c r="AV185" s="231" t="str">
        <f ca="1">IF(Giocatori!Q193=0,"",Giocatori!Q193)</f>
        <v/>
      </c>
      <c r="AX185" t="str">
        <f t="shared" ca="1" si="208"/>
        <v/>
      </c>
      <c r="AY185" s="7">
        <f t="shared" ca="1" si="192"/>
        <v>65</v>
      </c>
      <c r="AZ185" s="7">
        <f t="shared" ca="1" si="209"/>
        <v>0</v>
      </c>
      <c r="BB185" t="str">
        <f t="shared" ca="1" si="210"/>
        <v>ZAPATA C</v>
      </c>
      <c r="BC185" s="7">
        <f t="shared" ca="1" si="193"/>
        <v>185</v>
      </c>
      <c r="BD185" s="7" t="str">
        <f t="shared" ca="1" si="211"/>
        <v>ZAPATA C</v>
      </c>
      <c r="BF185" t="str">
        <f t="shared" ca="1" si="212"/>
        <v/>
      </c>
      <c r="BG185" s="7">
        <f t="shared" ca="1" si="194"/>
        <v>175</v>
      </c>
      <c r="BH185" s="7">
        <f t="shared" ca="1" si="213"/>
        <v>0</v>
      </c>
      <c r="BJ185" t="str">
        <f t="shared" ca="1" si="214"/>
        <v/>
      </c>
      <c r="BK185" s="7">
        <f t="shared" ca="1" si="195"/>
        <v>104</v>
      </c>
      <c r="BL185" s="7">
        <f t="shared" ca="1" si="215"/>
        <v>0</v>
      </c>
      <c r="BN185" t="str">
        <f t="shared" ca="1" si="216"/>
        <v/>
      </c>
      <c r="BO185" s="7">
        <f t="shared" ca="1" si="207"/>
        <v>1</v>
      </c>
      <c r="BP185" s="7">
        <f t="shared" ca="1" si="217"/>
        <v>0</v>
      </c>
    </row>
    <row r="186" spans="39:68" ht="14.25">
      <c r="AM186" s="221"/>
      <c r="AN186" s="231" t="str">
        <f ca="1">IF(Giocatori!E194=0,"",Giocatori!E194)</f>
        <v/>
      </c>
      <c r="AO186" s="221"/>
      <c r="AP186" s="231" t="str">
        <f ca="1">IF(Giocatori!H194=0,"",Giocatori!H194)</f>
        <v>ZUKANOVIC</v>
      </c>
      <c r="AQ186" s="221"/>
      <c r="AR186" s="231" t="str">
        <f ca="1">IF(Giocatori!K194=0,"",Giocatori!K194)</f>
        <v/>
      </c>
      <c r="AS186" s="221"/>
      <c r="AT186" s="231" t="str">
        <f ca="1">IF(Giocatori!N194=0,"",Giocatori!N194)</f>
        <v/>
      </c>
      <c r="AU186" s="221"/>
      <c r="AV186" s="231" t="str">
        <f ca="1">IF(Giocatori!Q194=0,"",Giocatori!Q194)</f>
        <v/>
      </c>
      <c r="AX186" t="str">
        <f t="shared" ca="1" si="208"/>
        <v/>
      </c>
      <c r="AY186" s="7">
        <f t="shared" ca="1" si="192"/>
        <v>65</v>
      </c>
      <c r="AZ186" s="7">
        <f t="shared" ca="1" si="209"/>
        <v>0</v>
      </c>
      <c r="BB186" t="str">
        <f t="shared" ca="1" si="210"/>
        <v>ZUKANOVIC</v>
      </c>
      <c r="BC186" s="7">
        <f t="shared" ca="1" si="193"/>
        <v>186</v>
      </c>
      <c r="BD186" s="7" t="str">
        <f t="shared" ca="1" si="211"/>
        <v>ZUKANOVIC</v>
      </c>
      <c r="BF186" t="str">
        <f t="shared" ca="1" si="212"/>
        <v/>
      </c>
      <c r="BG186" s="7">
        <f t="shared" ca="1" si="194"/>
        <v>175</v>
      </c>
      <c r="BH186" s="7">
        <f t="shared" ca="1" si="213"/>
        <v>0</v>
      </c>
      <c r="BJ186" t="str">
        <f t="shared" ca="1" si="214"/>
        <v/>
      </c>
      <c r="BK186" s="7">
        <f t="shared" ca="1" si="195"/>
        <v>104</v>
      </c>
      <c r="BL186" s="7">
        <f t="shared" ca="1" si="215"/>
        <v>0</v>
      </c>
      <c r="BN186" t="str">
        <f t="shared" ca="1" si="216"/>
        <v/>
      </c>
      <c r="BO186" s="7">
        <f t="shared" ca="1" si="207"/>
        <v>1</v>
      </c>
      <c r="BP186" s="7">
        <f t="shared" ca="1" si="217"/>
        <v>0</v>
      </c>
    </row>
    <row r="187" spans="39:68" ht="14.25">
      <c r="AM187" s="221"/>
      <c r="AN187" s="231" t="str">
        <f ca="1">IF(Giocatori!E195=0,"",Giocatori!E195)</f>
        <v/>
      </c>
      <c r="AO187" s="221"/>
      <c r="AP187" s="231" t="str">
        <f ca="1">IF(Giocatori!H195=0,"",Giocatori!H195)</f>
        <v/>
      </c>
      <c r="AQ187" s="221"/>
      <c r="AR187" s="231" t="str">
        <f ca="1">IF(Giocatori!K195=0,"",Giocatori!K195)</f>
        <v/>
      </c>
      <c r="AS187" s="221"/>
      <c r="AT187" s="231" t="str">
        <f ca="1">IF(Giocatori!N195=0,"",Giocatori!N195)</f>
        <v/>
      </c>
      <c r="AU187" s="221"/>
      <c r="AV187" s="231" t="str">
        <f ca="1">IF(Giocatori!Q195=0,"",Giocatori!Q195)</f>
        <v/>
      </c>
      <c r="AX187" t="str">
        <f t="shared" ca="1" si="208"/>
        <v/>
      </c>
      <c r="AY187" s="7">
        <f t="shared" ca="1" si="192"/>
        <v>65</v>
      </c>
      <c r="AZ187" s="7">
        <f t="shared" ca="1" si="209"/>
        <v>0</v>
      </c>
      <c r="BB187" t="str">
        <f t="shared" ca="1" si="210"/>
        <v/>
      </c>
      <c r="BC187" s="7">
        <f t="shared" ca="1" si="193"/>
        <v>186</v>
      </c>
      <c r="BD187" s="7">
        <f t="shared" ca="1" si="211"/>
        <v>0</v>
      </c>
      <c r="BF187" t="str">
        <f t="shared" ca="1" si="212"/>
        <v/>
      </c>
      <c r="BG187" s="7">
        <f t="shared" ca="1" si="194"/>
        <v>175</v>
      </c>
      <c r="BH187" s="7">
        <f t="shared" ca="1" si="213"/>
        <v>0</v>
      </c>
      <c r="BJ187" t="str">
        <f t="shared" ca="1" si="214"/>
        <v/>
      </c>
      <c r="BK187" s="7">
        <f t="shared" ca="1" si="195"/>
        <v>104</v>
      </c>
      <c r="BL187" s="7">
        <f t="shared" ca="1" si="215"/>
        <v>0</v>
      </c>
      <c r="BN187" t="str">
        <f t="shared" ca="1" si="216"/>
        <v/>
      </c>
      <c r="BO187" s="7">
        <f t="shared" ca="1" si="207"/>
        <v>1</v>
      </c>
      <c r="BP187" s="7">
        <f t="shared" ca="1" si="217"/>
        <v>0</v>
      </c>
    </row>
    <row r="188" spans="39:68" ht="14.25">
      <c r="AM188" s="221"/>
      <c r="AN188" s="231" t="str">
        <f ca="1">IF(Giocatori!E196=0,"",Giocatori!E196)</f>
        <v/>
      </c>
      <c r="AO188" s="221"/>
      <c r="AP188" s="231" t="str">
        <f ca="1">IF(Giocatori!H196=0,"",Giocatori!H196)</f>
        <v/>
      </c>
      <c r="AQ188" s="221"/>
      <c r="AR188" s="231" t="str">
        <f ca="1">IF(Giocatori!K196=0,"",Giocatori!K196)</f>
        <v/>
      </c>
      <c r="AS188" s="221"/>
      <c r="AT188" s="231" t="str">
        <f ca="1">IF(Giocatori!N196=0,"",Giocatori!N196)</f>
        <v/>
      </c>
      <c r="AU188" s="221"/>
      <c r="AV188" s="231" t="str">
        <f ca="1">IF(Giocatori!Q196=0,"",Giocatori!Q196)</f>
        <v/>
      </c>
      <c r="AX188" t="str">
        <f t="shared" ca="1" si="208"/>
        <v/>
      </c>
      <c r="AY188" s="7">
        <f t="shared" ca="1" si="192"/>
        <v>65</v>
      </c>
      <c r="AZ188" s="7">
        <f t="shared" ca="1" si="209"/>
        <v>0</v>
      </c>
      <c r="BB188" t="str">
        <f t="shared" ca="1" si="210"/>
        <v/>
      </c>
      <c r="BC188" s="7">
        <f t="shared" ca="1" si="193"/>
        <v>186</v>
      </c>
      <c r="BD188" s="7">
        <f t="shared" ca="1" si="211"/>
        <v>0</v>
      </c>
      <c r="BF188" t="str">
        <f t="shared" ca="1" si="212"/>
        <v/>
      </c>
      <c r="BG188" s="7">
        <f t="shared" ca="1" si="194"/>
        <v>175</v>
      </c>
      <c r="BH188" s="7">
        <f t="shared" ca="1" si="213"/>
        <v>0</v>
      </c>
      <c r="BJ188" t="str">
        <f t="shared" ca="1" si="214"/>
        <v/>
      </c>
      <c r="BK188" s="7">
        <f t="shared" ca="1" si="195"/>
        <v>104</v>
      </c>
      <c r="BL188" s="7">
        <f t="shared" ca="1" si="215"/>
        <v>0</v>
      </c>
      <c r="BN188" t="str">
        <f t="shared" ca="1" si="216"/>
        <v/>
      </c>
      <c r="BO188" s="7">
        <f t="shared" ca="1" si="207"/>
        <v>1</v>
      </c>
      <c r="BP188" s="7">
        <f t="shared" ca="1" si="217"/>
        <v>0</v>
      </c>
    </row>
    <row r="189" spans="39:68" ht="14.25">
      <c r="AM189" s="221"/>
      <c r="AN189" s="231" t="str">
        <f ca="1">IF(Giocatori!E197=0,"",Giocatori!E197)</f>
        <v/>
      </c>
      <c r="AO189" s="221"/>
      <c r="AP189" s="231" t="str">
        <f ca="1">IF(Giocatori!H197=0,"",Giocatori!H197)</f>
        <v/>
      </c>
      <c r="AQ189" s="221"/>
      <c r="AR189" s="231" t="str">
        <f ca="1">IF(Giocatori!K197=0,"",Giocatori!K197)</f>
        <v/>
      </c>
      <c r="AS189" s="221"/>
      <c r="AT189" s="231" t="str">
        <f ca="1">IF(Giocatori!N197=0,"",Giocatori!N197)</f>
        <v/>
      </c>
      <c r="AU189" s="221"/>
      <c r="AV189" s="231" t="str">
        <f ca="1">IF(Giocatori!Q197=0,"",Giocatori!Q197)</f>
        <v/>
      </c>
      <c r="AX189" t="str">
        <f t="shared" ca="1" si="208"/>
        <v/>
      </c>
      <c r="AY189" s="7">
        <f t="shared" ca="1" si="192"/>
        <v>65</v>
      </c>
      <c r="AZ189" s="7">
        <f t="shared" ca="1" si="209"/>
        <v>0</v>
      </c>
      <c r="BB189" t="str">
        <f t="shared" ca="1" si="210"/>
        <v/>
      </c>
      <c r="BC189" s="7">
        <f t="shared" ca="1" si="193"/>
        <v>186</v>
      </c>
      <c r="BD189" s="7">
        <f t="shared" ca="1" si="211"/>
        <v>0</v>
      </c>
      <c r="BF189" t="str">
        <f t="shared" ca="1" si="212"/>
        <v/>
      </c>
      <c r="BG189" s="7">
        <f t="shared" ca="1" si="194"/>
        <v>175</v>
      </c>
      <c r="BH189" s="7">
        <f t="shared" ca="1" si="213"/>
        <v>0</v>
      </c>
      <c r="BJ189" t="str">
        <f t="shared" ca="1" si="214"/>
        <v/>
      </c>
      <c r="BK189" s="7">
        <f t="shared" ca="1" si="195"/>
        <v>104</v>
      </c>
      <c r="BL189" s="7">
        <f t="shared" ca="1" si="215"/>
        <v>0</v>
      </c>
      <c r="BN189" t="str">
        <f t="shared" ca="1" si="216"/>
        <v/>
      </c>
      <c r="BO189" s="7">
        <f t="shared" ca="1" si="207"/>
        <v>1</v>
      </c>
      <c r="BP189" s="7">
        <f t="shared" ca="1" si="217"/>
        <v>0</v>
      </c>
    </row>
    <row r="190" spans="39:68" ht="14.25">
      <c r="AM190" s="221"/>
      <c r="AN190" s="231" t="str">
        <f ca="1">IF(Giocatori!E198=0,"",Giocatori!E198)</f>
        <v/>
      </c>
      <c r="AO190" s="221"/>
      <c r="AP190" s="231" t="str">
        <f ca="1">IF(Giocatori!H198=0,"",Giocatori!H198)</f>
        <v/>
      </c>
      <c r="AQ190" s="221"/>
      <c r="AR190" s="231" t="str">
        <f ca="1">IF(Giocatori!K198=0,"",Giocatori!K198)</f>
        <v/>
      </c>
      <c r="AS190" s="221"/>
      <c r="AT190" s="231" t="str">
        <f ca="1">IF(Giocatori!N198=0,"",Giocatori!N198)</f>
        <v/>
      </c>
      <c r="AU190" s="221"/>
      <c r="AV190" s="231" t="str">
        <f ca="1">IF(Giocatori!Q198=0,"",Giocatori!Q198)</f>
        <v/>
      </c>
      <c r="AX190" t="str">
        <f t="shared" ca="1" si="208"/>
        <v/>
      </c>
      <c r="AY190" s="7">
        <f t="shared" ca="1" si="192"/>
        <v>65</v>
      </c>
      <c r="AZ190" s="7">
        <f t="shared" ca="1" si="209"/>
        <v>0</v>
      </c>
      <c r="BB190" t="str">
        <f t="shared" ca="1" si="210"/>
        <v/>
      </c>
      <c r="BC190" s="7">
        <f t="shared" ca="1" si="193"/>
        <v>186</v>
      </c>
      <c r="BD190" s="7">
        <f t="shared" ca="1" si="211"/>
        <v>0</v>
      </c>
      <c r="BF190" t="str">
        <f t="shared" ca="1" si="212"/>
        <v/>
      </c>
      <c r="BG190" s="7">
        <f t="shared" ca="1" si="194"/>
        <v>175</v>
      </c>
      <c r="BH190" s="7">
        <f t="shared" ca="1" si="213"/>
        <v>0</v>
      </c>
      <c r="BJ190" t="str">
        <f t="shared" ca="1" si="214"/>
        <v/>
      </c>
      <c r="BK190" s="7">
        <f t="shared" ca="1" si="195"/>
        <v>104</v>
      </c>
      <c r="BL190" s="7">
        <f t="shared" ca="1" si="215"/>
        <v>0</v>
      </c>
      <c r="BN190" t="str">
        <f t="shared" ca="1" si="216"/>
        <v/>
      </c>
      <c r="BO190" s="7">
        <f t="shared" ca="1" si="207"/>
        <v>1</v>
      </c>
      <c r="BP190" s="7">
        <f t="shared" ca="1" si="217"/>
        <v>0</v>
      </c>
    </row>
    <row r="191" spans="39:68" ht="14.25">
      <c r="AM191" s="221"/>
      <c r="AN191" s="231" t="str">
        <f ca="1">IF(Giocatori!E199=0,"",Giocatori!E199)</f>
        <v/>
      </c>
      <c r="AO191" s="221"/>
      <c r="AP191" s="231" t="str">
        <f ca="1">IF(Giocatori!H199=0,"",Giocatori!H199)</f>
        <v/>
      </c>
      <c r="AQ191" s="221"/>
      <c r="AR191" s="231" t="str">
        <f ca="1">IF(Giocatori!K199=0,"",Giocatori!K199)</f>
        <v/>
      </c>
      <c r="AS191" s="221"/>
      <c r="AT191" s="231" t="str">
        <f ca="1">IF(Giocatori!N199=0,"",Giocatori!N199)</f>
        <v/>
      </c>
      <c r="AU191" s="221"/>
      <c r="AV191" s="231" t="str">
        <f ca="1">IF(Giocatori!Q199=0,"",Giocatori!Q199)</f>
        <v/>
      </c>
      <c r="AX191" t="str">
        <f t="shared" ca="1" si="208"/>
        <v/>
      </c>
      <c r="AY191" s="7">
        <f t="shared" ca="1" si="192"/>
        <v>65</v>
      </c>
      <c r="AZ191" s="7">
        <f t="shared" ca="1" si="209"/>
        <v>0</v>
      </c>
      <c r="BB191" t="str">
        <f t="shared" ca="1" si="210"/>
        <v/>
      </c>
      <c r="BC191" s="7">
        <f t="shared" ca="1" si="193"/>
        <v>186</v>
      </c>
      <c r="BD191" s="7">
        <f t="shared" ca="1" si="211"/>
        <v>0</v>
      </c>
      <c r="BF191" t="str">
        <f t="shared" ca="1" si="212"/>
        <v/>
      </c>
      <c r="BG191" s="7">
        <f t="shared" ca="1" si="194"/>
        <v>175</v>
      </c>
      <c r="BH191" s="7">
        <f t="shared" ca="1" si="213"/>
        <v>0</v>
      </c>
      <c r="BJ191" t="str">
        <f t="shared" ca="1" si="214"/>
        <v/>
      </c>
      <c r="BK191" s="7">
        <f t="shared" ca="1" si="195"/>
        <v>104</v>
      </c>
      <c r="BL191" s="7">
        <f t="shared" ca="1" si="215"/>
        <v>0</v>
      </c>
      <c r="BN191" t="str">
        <f t="shared" ca="1" si="216"/>
        <v/>
      </c>
      <c r="BO191" s="7">
        <f t="shared" ca="1" si="207"/>
        <v>1</v>
      </c>
      <c r="BP191" s="7">
        <f t="shared" ca="1" si="217"/>
        <v>0</v>
      </c>
    </row>
    <row r="192" spans="39:68" ht="14.25">
      <c r="AM192" s="221"/>
      <c r="AN192" s="231" t="str">
        <f ca="1">IF(Giocatori!E200=0,"",Giocatori!E200)</f>
        <v/>
      </c>
      <c r="AO192" s="221"/>
      <c r="AP192" s="231" t="str">
        <f ca="1">IF(Giocatori!H200=0,"",Giocatori!H200)</f>
        <v/>
      </c>
      <c r="AQ192" s="221"/>
      <c r="AR192" s="231" t="str">
        <f ca="1">IF(Giocatori!K200=0,"",Giocatori!K200)</f>
        <v/>
      </c>
      <c r="AS192" s="221"/>
      <c r="AT192" s="231" t="str">
        <f ca="1">IF(Giocatori!N200=0,"",Giocatori!N200)</f>
        <v/>
      </c>
      <c r="AU192" s="221"/>
      <c r="AV192" s="231" t="str">
        <f ca="1">IF(Giocatori!Q200=0,"",Giocatori!Q200)</f>
        <v/>
      </c>
      <c r="AX192" t="str">
        <f t="shared" ca="1" si="208"/>
        <v/>
      </c>
      <c r="AY192" s="7">
        <f t="shared" ca="1" si="192"/>
        <v>65</v>
      </c>
      <c r="AZ192" s="7">
        <f t="shared" ca="1" si="209"/>
        <v>0</v>
      </c>
      <c r="BB192" t="str">
        <f t="shared" ca="1" si="210"/>
        <v/>
      </c>
      <c r="BC192" s="7">
        <f t="shared" ca="1" si="193"/>
        <v>186</v>
      </c>
      <c r="BD192" s="7">
        <f t="shared" ca="1" si="211"/>
        <v>0</v>
      </c>
      <c r="BF192" t="str">
        <f t="shared" ca="1" si="212"/>
        <v/>
      </c>
      <c r="BG192" s="7">
        <f t="shared" ca="1" si="194"/>
        <v>175</v>
      </c>
      <c r="BH192" s="7">
        <f t="shared" ca="1" si="213"/>
        <v>0</v>
      </c>
      <c r="BJ192" t="str">
        <f t="shared" ca="1" si="214"/>
        <v/>
      </c>
      <c r="BK192" s="7">
        <f t="shared" ca="1" si="195"/>
        <v>104</v>
      </c>
      <c r="BL192" s="7">
        <f t="shared" ca="1" si="215"/>
        <v>0</v>
      </c>
      <c r="BN192" t="str">
        <f t="shared" ca="1" si="216"/>
        <v/>
      </c>
      <c r="BO192" s="7">
        <f t="shared" ca="1" si="207"/>
        <v>1</v>
      </c>
      <c r="BP192" s="7">
        <f t="shared" ca="1" si="217"/>
        <v>0</v>
      </c>
    </row>
    <row r="193" spans="39:68" ht="14.25">
      <c r="AM193" s="221"/>
      <c r="AN193" s="231" t="str">
        <f ca="1">IF(Giocatori!E201=0,"",Giocatori!E201)</f>
        <v/>
      </c>
      <c r="AO193" s="221"/>
      <c r="AP193" s="231" t="str">
        <f ca="1">IF(Giocatori!H201=0,"",Giocatori!H201)</f>
        <v/>
      </c>
      <c r="AQ193" s="221"/>
      <c r="AR193" s="231" t="str">
        <f ca="1">IF(Giocatori!K201=0,"",Giocatori!K201)</f>
        <v/>
      </c>
      <c r="AS193" s="221"/>
      <c r="AT193" s="231" t="str">
        <f ca="1">IF(Giocatori!N201=0,"",Giocatori!N201)</f>
        <v/>
      </c>
      <c r="AU193" s="221"/>
      <c r="AV193" s="231" t="str">
        <f ca="1">IF(Giocatori!Q201=0,"",Giocatori!Q201)</f>
        <v/>
      </c>
      <c r="AX193" t="str">
        <f t="shared" ca="1" si="208"/>
        <v/>
      </c>
      <c r="AY193" s="7">
        <f t="shared" ca="1" si="192"/>
        <v>65</v>
      </c>
      <c r="AZ193" s="7">
        <f t="shared" ca="1" si="209"/>
        <v>0</v>
      </c>
      <c r="BB193" t="str">
        <f t="shared" ca="1" si="210"/>
        <v/>
      </c>
      <c r="BC193" s="7">
        <f t="shared" ca="1" si="193"/>
        <v>186</v>
      </c>
      <c r="BD193" s="7">
        <f t="shared" ca="1" si="211"/>
        <v>0</v>
      </c>
      <c r="BF193" t="str">
        <f t="shared" ca="1" si="212"/>
        <v/>
      </c>
      <c r="BG193" s="7">
        <f t="shared" ca="1" si="194"/>
        <v>175</v>
      </c>
      <c r="BH193" s="7">
        <f t="shared" ca="1" si="213"/>
        <v>0</v>
      </c>
      <c r="BJ193" t="str">
        <f t="shared" ca="1" si="214"/>
        <v/>
      </c>
      <c r="BK193" s="7">
        <f t="shared" ca="1" si="195"/>
        <v>104</v>
      </c>
      <c r="BL193" s="7">
        <f t="shared" ca="1" si="215"/>
        <v>0</v>
      </c>
      <c r="BN193" t="str">
        <f t="shared" ca="1" si="216"/>
        <v/>
      </c>
      <c r="BO193" s="7">
        <f t="shared" ca="1" si="207"/>
        <v>1</v>
      </c>
      <c r="BP193" s="7">
        <f t="shared" ca="1" si="217"/>
        <v>0</v>
      </c>
    </row>
    <row r="194" spans="39:68" ht="14.25">
      <c r="AM194" s="221"/>
      <c r="AN194" s="231" t="str">
        <f ca="1">IF(Giocatori!E202=0,"",Giocatori!E202)</f>
        <v/>
      </c>
      <c r="AO194" s="221"/>
      <c r="AP194" s="231" t="str">
        <f ca="1">IF(Giocatori!H202=0,"",Giocatori!H202)</f>
        <v/>
      </c>
      <c r="AQ194" s="221"/>
      <c r="AR194" s="231" t="str">
        <f ca="1">IF(Giocatori!K202=0,"",Giocatori!K202)</f>
        <v/>
      </c>
      <c r="AS194" s="221"/>
      <c r="AT194" s="231" t="str">
        <f ca="1">IF(Giocatori!N202=0,"",Giocatori!N202)</f>
        <v/>
      </c>
      <c r="AU194" s="221"/>
      <c r="AV194" s="231" t="str">
        <f ca="1">IF(Giocatori!Q202=0,"",Giocatori!Q202)</f>
        <v/>
      </c>
      <c r="AX194" t="str">
        <f t="shared" ca="1" si="208"/>
        <v/>
      </c>
      <c r="AY194" s="7">
        <f t="shared" ref="AY194:AY219" ca="1" si="218">ROW()-COUNTBLANK(INDIRECT("$AX$2:AX"&amp;ROW()))</f>
        <v>65</v>
      </c>
      <c r="AZ194" s="7">
        <f t="shared" ca="1" si="209"/>
        <v>0</v>
      </c>
      <c r="BB194" t="str">
        <f t="shared" ca="1" si="210"/>
        <v/>
      </c>
      <c r="BC194" s="7">
        <f t="shared" ca="1" si="193"/>
        <v>186</v>
      </c>
      <c r="BD194" s="7">
        <f t="shared" ca="1" si="211"/>
        <v>0</v>
      </c>
      <c r="BF194" t="str">
        <f t="shared" ca="1" si="212"/>
        <v/>
      </c>
      <c r="BG194" s="7">
        <f t="shared" ca="1" si="194"/>
        <v>175</v>
      </c>
      <c r="BH194" s="7">
        <f t="shared" ca="1" si="213"/>
        <v>0</v>
      </c>
      <c r="BJ194" t="str">
        <f t="shared" ca="1" si="214"/>
        <v/>
      </c>
      <c r="BK194" s="7">
        <f t="shared" ca="1" si="195"/>
        <v>104</v>
      </c>
      <c r="BL194" s="7">
        <f t="shared" ca="1" si="215"/>
        <v>0</v>
      </c>
      <c r="BN194" t="str">
        <f t="shared" ca="1" si="216"/>
        <v/>
      </c>
      <c r="BO194" s="7">
        <f t="shared" ca="1" si="207"/>
        <v>1</v>
      </c>
      <c r="BP194" s="7">
        <f t="shared" ca="1" si="217"/>
        <v>0</v>
      </c>
    </row>
    <row r="195" spans="39:68" ht="14.25">
      <c r="AM195" s="221"/>
      <c r="AN195" s="231" t="str">
        <f ca="1">IF(Giocatori!E203=0,"",Giocatori!E203)</f>
        <v/>
      </c>
      <c r="AO195" s="221"/>
      <c r="AP195" s="231" t="str">
        <f ca="1">IF(Giocatori!H203=0,"",Giocatori!H203)</f>
        <v/>
      </c>
      <c r="AQ195" s="221"/>
      <c r="AR195" s="231" t="str">
        <f ca="1">IF(Giocatori!K203=0,"",Giocatori!K203)</f>
        <v/>
      </c>
      <c r="AS195" s="221"/>
      <c r="AT195" s="231" t="str">
        <f ca="1">IF(Giocatori!N203=0,"",Giocatori!N203)</f>
        <v/>
      </c>
      <c r="AU195" s="221"/>
      <c r="AV195" s="231" t="str">
        <f ca="1">IF(Giocatori!Q203=0,"",Giocatori!Q203)</f>
        <v/>
      </c>
      <c r="AX195" t="str">
        <f t="shared" ca="1" si="208"/>
        <v/>
      </c>
      <c r="AY195" s="7">
        <f t="shared" ca="1" si="218"/>
        <v>65</v>
      </c>
      <c r="AZ195" s="7">
        <f t="shared" ca="1" si="209"/>
        <v>0</v>
      </c>
      <c r="BB195" t="str">
        <f t="shared" ca="1" si="210"/>
        <v/>
      </c>
      <c r="BC195" s="7">
        <f t="shared" ref="BC195:BC219" ca="1" si="219">ROW()-COUNTBLANK(INDIRECT("$BB$2:BB"&amp;ROW()))</f>
        <v>186</v>
      </c>
      <c r="BD195" s="7">
        <f t="shared" ca="1" si="211"/>
        <v>0</v>
      </c>
      <c r="BF195" t="str">
        <f t="shared" ca="1" si="212"/>
        <v/>
      </c>
      <c r="BG195" s="7">
        <f t="shared" ref="BG195:BG219" ca="1" si="220">ROW()-COUNTBLANK(INDIRECT("$BF$2:BF"&amp;ROW()))</f>
        <v>175</v>
      </c>
      <c r="BH195" s="7">
        <f t="shared" ca="1" si="213"/>
        <v>0</v>
      </c>
      <c r="BJ195" t="str">
        <f t="shared" ca="1" si="214"/>
        <v/>
      </c>
      <c r="BK195" s="7">
        <f t="shared" ref="BK195:BK219" ca="1" si="221">ROW()-COUNTBLANK(INDIRECT("$BJ$2:BJ"&amp;ROW()))</f>
        <v>104</v>
      </c>
      <c r="BL195" s="7">
        <f t="shared" ca="1" si="215"/>
        <v>0</v>
      </c>
      <c r="BN195" t="str">
        <f t="shared" ca="1" si="216"/>
        <v/>
      </c>
      <c r="BO195" s="7">
        <f t="shared" ca="1" si="207"/>
        <v>1</v>
      </c>
      <c r="BP195" s="7">
        <f t="shared" ca="1" si="217"/>
        <v>0</v>
      </c>
    </row>
    <row r="196" spans="39:68" ht="14.25">
      <c r="AM196" s="221"/>
      <c r="AN196" s="231" t="str">
        <f ca="1">IF(Giocatori!E204=0,"",Giocatori!E204)</f>
        <v/>
      </c>
      <c r="AO196" s="221"/>
      <c r="AP196" s="231" t="str">
        <f ca="1">IF(Giocatori!H204=0,"",Giocatori!H204)</f>
        <v/>
      </c>
      <c r="AQ196" s="221"/>
      <c r="AR196" s="231" t="str">
        <f ca="1">IF(Giocatori!K204=0,"",Giocatori!K204)</f>
        <v/>
      </c>
      <c r="AS196" s="221"/>
      <c r="AT196" s="231" t="str">
        <f ca="1">IF(Giocatori!N204=0,"",Giocatori!N204)</f>
        <v/>
      </c>
      <c r="AU196" s="221"/>
      <c r="AV196" s="231" t="str">
        <f ca="1">IF(Giocatori!Q204=0,"",Giocatori!Q204)</f>
        <v/>
      </c>
      <c r="AX196" t="str">
        <f t="shared" ca="1" si="208"/>
        <v/>
      </c>
      <c r="AY196" s="7">
        <f t="shared" ca="1" si="218"/>
        <v>65</v>
      </c>
      <c r="AZ196" s="7">
        <f t="shared" ca="1" si="209"/>
        <v>0</v>
      </c>
      <c r="BB196" t="str">
        <f t="shared" ca="1" si="210"/>
        <v/>
      </c>
      <c r="BC196" s="7">
        <f t="shared" ca="1" si="219"/>
        <v>186</v>
      </c>
      <c r="BD196" s="7">
        <f t="shared" ca="1" si="211"/>
        <v>0</v>
      </c>
      <c r="BF196" t="str">
        <f t="shared" ca="1" si="212"/>
        <v/>
      </c>
      <c r="BG196" s="7">
        <f t="shared" ca="1" si="220"/>
        <v>175</v>
      </c>
      <c r="BH196" s="7">
        <f t="shared" ca="1" si="213"/>
        <v>0</v>
      </c>
      <c r="BJ196" t="str">
        <f t="shared" ca="1" si="214"/>
        <v/>
      </c>
      <c r="BK196" s="7">
        <f t="shared" ca="1" si="221"/>
        <v>104</v>
      </c>
      <c r="BL196" s="7">
        <f t="shared" ca="1" si="215"/>
        <v>0</v>
      </c>
      <c r="BN196" t="str">
        <f t="shared" ca="1" si="216"/>
        <v/>
      </c>
      <c r="BO196" s="7">
        <f t="shared" ca="1" si="207"/>
        <v>1</v>
      </c>
      <c r="BP196" s="7">
        <f t="shared" ca="1" si="217"/>
        <v>0</v>
      </c>
    </row>
    <row r="197" spans="39:68" ht="14.25">
      <c r="AM197" s="221"/>
      <c r="AN197" s="231" t="str">
        <f ca="1">IF(Giocatori!E205=0,"",Giocatori!E205)</f>
        <v/>
      </c>
      <c r="AO197" s="221"/>
      <c r="AP197" s="231" t="str">
        <f ca="1">IF(Giocatori!H205=0,"",Giocatori!H205)</f>
        <v/>
      </c>
      <c r="AQ197" s="221"/>
      <c r="AR197" s="231" t="str">
        <f ca="1">IF(Giocatori!K205=0,"",Giocatori!K205)</f>
        <v/>
      </c>
      <c r="AS197" s="221"/>
      <c r="AT197" s="231" t="str">
        <f ca="1">IF(Giocatori!N205=0,"",Giocatori!N205)</f>
        <v/>
      </c>
      <c r="AU197" s="221"/>
      <c r="AV197" s="231" t="str">
        <f ca="1">IF(Giocatori!Q205=0,"",Giocatori!Q205)</f>
        <v/>
      </c>
      <c r="AX197" t="str">
        <f t="shared" ca="1" si="208"/>
        <v/>
      </c>
      <c r="AY197" s="7">
        <f t="shared" ca="1" si="218"/>
        <v>65</v>
      </c>
      <c r="AZ197" s="7">
        <f t="shared" ca="1" si="209"/>
        <v>0</v>
      </c>
      <c r="BB197" t="str">
        <f t="shared" ca="1" si="210"/>
        <v/>
      </c>
      <c r="BC197" s="7">
        <f t="shared" ca="1" si="219"/>
        <v>186</v>
      </c>
      <c r="BD197" s="7">
        <f t="shared" ca="1" si="211"/>
        <v>0</v>
      </c>
      <c r="BF197" t="str">
        <f t="shared" ca="1" si="212"/>
        <v/>
      </c>
      <c r="BG197" s="7">
        <f t="shared" ca="1" si="220"/>
        <v>175</v>
      </c>
      <c r="BH197" s="7">
        <f t="shared" ca="1" si="213"/>
        <v>0</v>
      </c>
      <c r="BJ197" t="str">
        <f t="shared" ca="1" si="214"/>
        <v/>
      </c>
      <c r="BK197" s="7">
        <f t="shared" ca="1" si="221"/>
        <v>104</v>
      </c>
      <c r="BL197" s="7">
        <f t="shared" ca="1" si="215"/>
        <v>0</v>
      </c>
      <c r="BN197" t="str">
        <f t="shared" ca="1" si="216"/>
        <v/>
      </c>
      <c r="BO197" s="7">
        <f t="shared" ca="1" si="207"/>
        <v>1</v>
      </c>
      <c r="BP197" s="7">
        <f t="shared" ca="1" si="217"/>
        <v>0</v>
      </c>
    </row>
    <row r="198" spans="39:68" ht="14.25">
      <c r="AM198" s="221"/>
      <c r="AN198" s="231" t="str">
        <f ca="1">IF(Giocatori!E206=0,"",Giocatori!E206)</f>
        <v/>
      </c>
      <c r="AO198" s="221"/>
      <c r="AP198" s="231" t="str">
        <f ca="1">IF(Giocatori!H206=0,"",Giocatori!H206)</f>
        <v/>
      </c>
      <c r="AQ198" s="221"/>
      <c r="AR198" s="231" t="str">
        <f ca="1">IF(Giocatori!K206=0,"",Giocatori!K206)</f>
        <v/>
      </c>
      <c r="AS198" s="221"/>
      <c r="AT198" s="231" t="str">
        <f ca="1">IF(Giocatori!N206=0,"",Giocatori!N206)</f>
        <v/>
      </c>
      <c r="AU198" s="221"/>
      <c r="AV198" s="231" t="str">
        <f ca="1">IF(Giocatori!Q206=0,"",Giocatori!Q206)</f>
        <v/>
      </c>
      <c r="AX198" t="str">
        <f t="shared" ca="1" si="208"/>
        <v/>
      </c>
      <c r="AY198" s="7">
        <f t="shared" ca="1" si="218"/>
        <v>65</v>
      </c>
      <c r="AZ198" s="7">
        <f t="shared" ca="1" si="209"/>
        <v>0</v>
      </c>
      <c r="BB198" t="str">
        <f t="shared" ca="1" si="210"/>
        <v/>
      </c>
      <c r="BC198" s="7">
        <f t="shared" ca="1" si="219"/>
        <v>186</v>
      </c>
      <c r="BD198" s="7">
        <f t="shared" ca="1" si="211"/>
        <v>0</v>
      </c>
      <c r="BF198" t="str">
        <f t="shared" ca="1" si="212"/>
        <v/>
      </c>
      <c r="BG198" s="7">
        <f t="shared" ca="1" si="220"/>
        <v>175</v>
      </c>
      <c r="BH198" s="7">
        <f t="shared" ca="1" si="213"/>
        <v>0</v>
      </c>
      <c r="BJ198" t="str">
        <f t="shared" ca="1" si="214"/>
        <v/>
      </c>
      <c r="BK198" s="7">
        <f t="shared" ca="1" si="221"/>
        <v>104</v>
      </c>
      <c r="BL198" s="7">
        <f t="shared" ca="1" si="215"/>
        <v>0</v>
      </c>
      <c r="BN198" t="str">
        <f t="shared" ca="1" si="216"/>
        <v/>
      </c>
      <c r="BO198" s="7">
        <f t="shared" ca="1" si="207"/>
        <v>1</v>
      </c>
      <c r="BP198" s="7">
        <f t="shared" ca="1" si="217"/>
        <v>0</v>
      </c>
    </row>
    <row r="199" spans="39:68" ht="14.25">
      <c r="AM199" s="221"/>
      <c r="AN199" s="231" t="str">
        <f ca="1">IF(Giocatori!E207=0,"",Giocatori!E207)</f>
        <v/>
      </c>
      <c r="AO199" s="221"/>
      <c r="AP199" s="231" t="str">
        <f ca="1">IF(Giocatori!H207=0,"",Giocatori!H207)</f>
        <v/>
      </c>
      <c r="AQ199" s="221"/>
      <c r="AR199" s="231" t="str">
        <f ca="1">IF(Giocatori!K207=0,"",Giocatori!K207)</f>
        <v/>
      </c>
      <c r="AS199" s="221"/>
      <c r="AT199" s="231" t="str">
        <f ca="1">IF(Giocatori!N207=0,"",Giocatori!N207)</f>
        <v/>
      </c>
      <c r="AU199" s="221"/>
      <c r="AV199" s="231" t="str">
        <f ca="1">IF(Giocatori!Q207=0,"",Giocatori!Q207)</f>
        <v/>
      </c>
      <c r="AX199" t="str">
        <f t="shared" ca="1" si="208"/>
        <v/>
      </c>
      <c r="AY199" s="7">
        <f t="shared" ca="1" si="218"/>
        <v>65</v>
      </c>
      <c r="AZ199" s="7">
        <f t="shared" ca="1" si="209"/>
        <v>0</v>
      </c>
      <c r="BB199" t="str">
        <f t="shared" ca="1" si="210"/>
        <v/>
      </c>
      <c r="BC199" s="7">
        <f t="shared" ca="1" si="219"/>
        <v>186</v>
      </c>
      <c r="BD199" s="7">
        <f t="shared" ca="1" si="211"/>
        <v>0</v>
      </c>
      <c r="BF199" t="str">
        <f t="shared" ca="1" si="212"/>
        <v/>
      </c>
      <c r="BG199" s="7">
        <f t="shared" ca="1" si="220"/>
        <v>175</v>
      </c>
      <c r="BH199" s="7">
        <f t="shared" ca="1" si="213"/>
        <v>0</v>
      </c>
      <c r="BJ199" t="str">
        <f t="shared" ca="1" si="214"/>
        <v/>
      </c>
      <c r="BK199" s="7">
        <f t="shared" ca="1" si="221"/>
        <v>104</v>
      </c>
      <c r="BL199" s="7">
        <f t="shared" ca="1" si="215"/>
        <v>0</v>
      </c>
      <c r="BN199" t="str">
        <f t="shared" ca="1" si="216"/>
        <v/>
      </c>
      <c r="BO199" s="7">
        <f t="shared" ca="1" si="207"/>
        <v>1</v>
      </c>
      <c r="BP199" s="7">
        <f t="shared" ca="1" si="217"/>
        <v>0</v>
      </c>
    </row>
    <row r="200" spans="39:68" ht="14.25">
      <c r="AM200" s="221"/>
      <c r="AN200" s="231" t="str">
        <f ca="1">IF(Giocatori!E208=0,"",Giocatori!E208)</f>
        <v/>
      </c>
      <c r="AO200" s="221"/>
      <c r="AP200" s="231" t="str">
        <f ca="1">IF(Giocatori!H208=0,"",Giocatori!H208)</f>
        <v/>
      </c>
      <c r="AQ200" s="221"/>
      <c r="AR200" s="231" t="str">
        <f ca="1">IF(Giocatori!K208=0,"",Giocatori!K208)</f>
        <v/>
      </c>
      <c r="AS200" s="221"/>
      <c r="AT200" s="231" t="str">
        <f ca="1">IF(Giocatori!N208=0,"",Giocatori!N208)</f>
        <v/>
      </c>
      <c r="AU200" s="221"/>
      <c r="AV200" s="231" t="str">
        <f ca="1">IF(Giocatori!Q208=0,"",Giocatori!Q208)</f>
        <v/>
      </c>
      <c r="AX200" t="str">
        <f t="shared" ca="1" si="208"/>
        <v/>
      </c>
      <c r="AY200" s="7">
        <f t="shared" ca="1" si="218"/>
        <v>65</v>
      </c>
      <c r="AZ200" s="7">
        <f t="shared" ca="1" si="209"/>
        <v>0</v>
      </c>
      <c r="BB200" t="str">
        <f t="shared" ca="1" si="210"/>
        <v/>
      </c>
      <c r="BC200" s="7">
        <f t="shared" ca="1" si="219"/>
        <v>186</v>
      </c>
      <c r="BD200" s="7">
        <f t="shared" ca="1" si="211"/>
        <v>0</v>
      </c>
      <c r="BF200" t="str">
        <f t="shared" ca="1" si="212"/>
        <v/>
      </c>
      <c r="BG200" s="7">
        <f t="shared" ca="1" si="220"/>
        <v>175</v>
      </c>
      <c r="BH200" s="7">
        <f t="shared" ca="1" si="213"/>
        <v>0</v>
      </c>
      <c r="BJ200" t="str">
        <f t="shared" ca="1" si="214"/>
        <v/>
      </c>
      <c r="BK200" s="7">
        <f t="shared" ca="1" si="221"/>
        <v>104</v>
      </c>
      <c r="BL200" s="7">
        <f t="shared" ca="1" si="215"/>
        <v>0</v>
      </c>
      <c r="BN200" t="str">
        <f t="shared" ca="1" si="216"/>
        <v/>
      </c>
      <c r="BO200" s="7">
        <f t="shared" ca="1" si="207"/>
        <v>1</v>
      </c>
      <c r="BP200" s="7">
        <f t="shared" ca="1" si="217"/>
        <v>0</v>
      </c>
    </row>
    <row r="201" spans="39:68" ht="14.25">
      <c r="AM201" s="221"/>
      <c r="AN201" s="231" t="str">
        <f ca="1">IF(Giocatori!E209=0,"",Giocatori!E209)</f>
        <v/>
      </c>
      <c r="AO201" s="221"/>
      <c r="AP201" s="231" t="str">
        <f ca="1">IF(Giocatori!H209=0,"",Giocatori!H209)</f>
        <v/>
      </c>
      <c r="AQ201" s="221"/>
      <c r="AR201" s="231" t="str">
        <f ca="1">IF(Giocatori!K209=0,"",Giocatori!K209)</f>
        <v/>
      </c>
      <c r="AS201" s="221"/>
      <c r="AT201" s="231" t="str">
        <f ca="1">IF(Giocatori!N209=0,"",Giocatori!N209)</f>
        <v/>
      </c>
      <c r="AU201" s="221"/>
      <c r="AV201" s="231" t="str">
        <f ca="1">IF(Giocatori!Q209=0,"",Giocatori!Q209)</f>
        <v/>
      </c>
      <c r="AX201" t="str">
        <f t="shared" ca="1" si="208"/>
        <v/>
      </c>
      <c r="AY201" s="7">
        <f t="shared" ca="1" si="218"/>
        <v>65</v>
      </c>
      <c r="AZ201" s="7">
        <f t="shared" ca="1" si="209"/>
        <v>0</v>
      </c>
      <c r="BB201" t="str">
        <f t="shared" ca="1" si="210"/>
        <v/>
      </c>
      <c r="BC201" s="7">
        <f t="shared" ca="1" si="219"/>
        <v>186</v>
      </c>
      <c r="BD201" s="7">
        <f t="shared" ca="1" si="211"/>
        <v>0</v>
      </c>
      <c r="BF201" t="str">
        <f t="shared" ca="1" si="212"/>
        <v/>
      </c>
      <c r="BG201" s="7">
        <f t="shared" ca="1" si="220"/>
        <v>175</v>
      </c>
      <c r="BH201" s="7">
        <f t="shared" ca="1" si="213"/>
        <v>0</v>
      </c>
      <c r="BJ201" t="str">
        <f t="shared" ca="1" si="214"/>
        <v/>
      </c>
      <c r="BK201" s="7">
        <f t="shared" ca="1" si="221"/>
        <v>104</v>
      </c>
      <c r="BL201" s="7">
        <f t="shared" ca="1" si="215"/>
        <v>0</v>
      </c>
      <c r="BN201" t="str">
        <f t="shared" ca="1" si="216"/>
        <v/>
      </c>
      <c r="BO201" s="7">
        <f t="shared" ref="BO201:BO219" ca="1" si="222">ROW()-COUNTBLANK(INDIRECT("$BI$2:BI"&amp;ROW()))</f>
        <v>1</v>
      </c>
      <c r="BP201" s="7">
        <f t="shared" ca="1" si="217"/>
        <v>0</v>
      </c>
    </row>
    <row r="202" spans="39:68" ht="14.25">
      <c r="AM202" s="221"/>
      <c r="AN202" s="231" t="str">
        <f ca="1">IF(Giocatori!E210=0,"",Giocatori!E210)</f>
        <v/>
      </c>
      <c r="AO202" s="221"/>
      <c r="AP202" s="231" t="str">
        <f ca="1">IF(Giocatori!H210=0,"",Giocatori!H210)</f>
        <v/>
      </c>
      <c r="AQ202" s="221"/>
      <c r="AR202" s="231" t="str">
        <f ca="1">IF(Giocatori!K210=0,"",Giocatori!K210)</f>
        <v/>
      </c>
      <c r="AS202" s="221"/>
      <c r="AT202" s="231" t="str">
        <f ca="1">IF(Giocatori!N210=0,"",Giocatori!N210)</f>
        <v/>
      </c>
      <c r="AU202" s="221"/>
      <c r="AV202" s="231" t="str">
        <f ca="1">IF(Giocatori!Q210=0,"",Giocatori!Q210)</f>
        <v/>
      </c>
      <c r="AX202" t="str">
        <f t="shared" ref="AX202:AX219" ca="1" si="223">IF(ISNA(VLOOKUP(AN202,$AW$2:$AW$199,1,FALSE)),AN202,"")</f>
        <v/>
      </c>
      <c r="AY202" s="7">
        <f t="shared" ca="1" si="218"/>
        <v>65</v>
      </c>
      <c r="AZ202" s="7">
        <f t="shared" ref="AZ202:AZ219" ca="1" si="224">IF(ISERROR(INDEX($AX$2:$AX$199,MATCH(ROW(),$AY$2:$AY$199,FALSE))),0,INDEX($AX$2:$AX$199,MATCH(ROW(),$AY$2:$AY$199,FALSE)))</f>
        <v>0</v>
      </c>
      <c r="BB202" t="str">
        <f t="shared" ref="BB202:BB219" ca="1" si="225">IF(ISNA(VLOOKUP(AP202,$BA$2:$BA$199,1,FALSE)),AP202,"")</f>
        <v/>
      </c>
      <c r="BC202" s="7">
        <f t="shared" ca="1" si="219"/>
        <v>186</v>
      </c>
      <c r="BD202" s="7">
        <f t="shared" ref="BD202:BD219" ca="1" si="226">IF(ISERROR(INDEX($BB$2:$BB$199,MATCH(ROW(),$BC$2:$BC$199,FALSE))),0,INDEX($BB$2:$BB$199,MATCH(ROW(),$BC$2:$BC$199,FALSE)))</f>
        <v>0</v>
      </c>
      <c r="BF202" t="str">
        <f t="shared" ref="BF202:BF219" ca="1" si="227">IF(ISNA(VLOOKUP(AR202,$BE$2:$BE$199,1,FALSE)),AR202,"")</f>
        <v/>
      </c>
      <c r="BG202" s="7">
        <f t="shared" ca="1" si="220"/>
        <v>175</v>
      </c>
      <c r="BH202" s="7">
        <f t="shared" ref="BH202:BH219" ca="1" si="228">IF(ISERROR(INDEX($BF$2:$BF$199,MATCH(ROW(),$BG$2:$BG$199,FALSE))),0,INDEX($BF$2:$BF$199,MATCH(ROW(),$BG$2:$BG$199,FALSE)))</f>
        <v>0</v>
      </c>
      <c r="BJ202" t="str">
        <f t="shared" ref="BJ202:BJ219" ca="1" si="229">IF(ISNA(VLOOKUP(AT202,$BI$2:$BI$199,1,FALSE)),AT202,"")</f>
        <v/>
      </c>
      <c r="BK202" s="7">
        <f t="shared" ca="1" si="221"/>
        <v>104</v>
      </c>
      <c r="BL202" s="7">
        <f t="shared" ref="BL202:BL219" ca="1" si="230">IF(ISERROR(INDEX($BJ$2:$BJ$199,MATCH(ROW(),$BK$2:$BK$199,FALSE))),0,INDEX($BJ$2:$BJ$199,MATCH(ROW(),$BK$2:$BK$199,FALSE)))</f>
        <v>0</v>
      </c>
      <c r="BN202" t="str">
        <f t="shared" ref="BN202:BN219" ca="1" si="231">IF(ISNA(VLOOKUP(AV202,$BM$2:$BM$199,1,FALSE)),AV202,"")</f>
        <v/>
      </c>
      <c r="BO202" s="7">
        <f t="shared" ca="1" si="222"/>
        <v>1</v>
      </c>
      <c r="BP202" s="7">
        <f t="shared" ref="BP202:BP219" ca="1" si="232">IF(ISERROR(INDEX($BN$2:$BN$199,MATCH(ROW(),$BO$2:$BO$199,FALSE))),0,INDEX($BN$2:$BN$199,MATCH(ROW(),$BO$2:$BO$199,FALSE)))</f>
        <v>0</v>
      </c>
    </row>
    <row r="203" spans="39:68" ht="14.25">
      <c r="AM203" s="221"/>
      <c r="AN203" s="231" t="str">
        <f ca="1">IF(Giocatori!E211=0,"",Giocatori!E211)</f>
        <v/>
      </c>
      <c r="AO203" s="221"/>
      <c r="AP203" s="231" t="str">
        <f ca="1">IF(Giocatori!H211=0,"",Giocatori!H211)</f>
        <v/>
      </c>
      <c r="AQ203" s="221"/>
      <c r="AR203" s="231" t="str">
        <f ca="1">IF(Giocatori!K211=0,"",Giocatori!K211)</f>
        <v/>
      </c>
      <c r="AS203" s="221"/>
      <c r="AT203" s="231" t="str">
        <f ca="1">IF(Giocatori!N211=0,"",Giocatori!N211)</f>
        <v/>
      </c>
      <c r="AU203" s="221"/>
      <c r="AV203" s="231" t="str">
        <f ca="1">IF(Giocatori!Q211=0,"",Giocatori!Q211)</f>
        <v/>
      </c>
      <c r="AX203" t="str">
        <f t="shared" ca="1" si="223"/>
        <v/>
      </c>
      <c r="AY203" s="7">
        <f t="shared" ca="1" si="218"/>
        <v>65</v>
      </c>
      <c r="AZ203" s="7">
        <f t="shared" ca="1" si="224"/>
        <v>0</v>
      </c>
      <c r="BB203" t="str">
        <f t="shared" ca="1" si="225"/>
        <v/>
      </c>
      <c r="BC203" s="7">
        <f t="shared" ca="1" si="219"/>
        <v>186</v>
      </c>
      <c r="BD203" s="7">
        <f t="shared" ca="1" si="226"/>
        <v>0</v>
      </c>
      <c r="BF203" t="str">
        <f t="shared" ca="1" si="227"/>
        <v/>
      </c>
      <c r="BG203" s="7">
        <f t="shared" ca="1" si="220"/>
        <v>175</v>
      </c>
      <c r="BH203" s="7">
        <f t="shared" ca="1" si="228"/>
        <v>0</v>
      </c>
      <c r="BJ203" t="str">
        <f t="shared" ca="1" si="229"/>
        <v/>
      </c>
      <c r="BK203" s="7">
        <f t="shared" ca="1" si="221"/>
        <v>104</v>
      </c>
      <c r="BL203" s="7">
        <f t="shared" ca="1" si="230"/>
        <v>0</v>
      </c>
      <c r="BN203" t="str">
        <f t="shared" ca="1" si="231"/>
        <v/>
      </c>
      <c r="BO203" s="7">
        <f t="shared" ca="1" si="222"/>
        <v>1</v>
      </c>
      <c r="BP203" s="7">
        <f t="shared" ca="1" si="232"/>
        <v>0</v>
      </c>
    </row>
    <row r="204" spans="39:68" ht="14.25">
      <c r="AM204" s="221"/>
      <c r="AN204" s="231" t="str">
        <f ca="1">IF(Giocatori!E212=0,"",Giocatori!E212)</f>
        <v/>
      </c>
      <c r="AO204" s="221"/>
      <c r="AP204" s="231" t="str">
        <f ca="1">IF(Giocatori!H212=0,"",Giocatori!H212)</f>
        <v/>
      </c>
      <c r="AQ204" s="221"/>
      <c r="AR204" s="231" t="str">
        <f ca="1">IF(Giocatori!K212=0,"",Giocatori!K212)</f>
        <v/>
      </c>
      <c r="AS204" s="221"/>
      <c r="AT204" s="231" t="str">
        <f ca="1">IF(Giocatori!N212=0,"",Giocatori!N212)</f>
        <v/>
      </c>
      <c r="AU204" s="221"/>
      <c r="AV204" s="231" t="str">
        <f ca="1">IF(Giocatori!Q212=0,"",Giocatori!Q212)</f>
        <v/>
      </c>
      <c r="AX204" t="str">
        <f t="shared" ca="1" si="223"/>
        <v/>
      </c>
      <c r="AY204" s="7">
        <f t="shared" ca="1" si="218"/>
        <v>65</v>
      </c>
      <c r="AZ204" s="7">
        <f t="shared" ca="1" si="224"/>
        <v>0</v>
      </c>
      <c r="BB204" t="str">
        <f t="shared" ca="1" si="225"/>
        <v/>
      </c>
      <c r="BC204" s="7">
        <f t="shared" ca="1" si="219"/>
        <v>186</v>
      </c>
      <c r="BD204" s="7">
        <f t="shared" ca="1" si="226"/>
        <v>0</v>
      </c>
      <c r="BF204" t="str">
        <f t="shared" ca="1" si="227"/>
        <v/>
      </c>
      <c r="BG204" s="7">
        <f t="shared" ca="1" si="220"/>
        <v>175</v>
      </c>
      <c r="BH204" s="7">
        <f t="shared" ca="1" si="228"/>
        <v>0</v>
      </c>
      <c r="BJ204" t="str">
        <f t="shared" ca="1" si="229"/>
        <v/>
      </c>
      <c r="BK204" s="7">
        <f t="shared" ca="1" si="221"/>
        <v>104</v>
      </c>
      <c r="BL204" s="7">
        <f t="shared" ca="1" si="230"/>
        <v>0</v>
      </c>
      <c r="BN204" t="str">
        <f t="shared" ca="1" si="231"/>
        <v/>
      </c>
      <c r="BO204" s="7">
        <f t="shared" ca="1" si="222"/>
        <v>1</v>
      </c>
      <c r="BP204" s="7">
        <f t="shared" ca="1" si="232"/>
        <v>0</v>
      </c>
    </row>
    <row r="205" spans="39:68" ht="14.25">
      <c r="AM205" s="221"/>
      <c r="AN205" s="231" t="str">
        <f ca="1">IF(Giocatori!E213=0,"",Giocatori!E213)</f>
        <v/>
      </c>
      <c r="AO205" s="221"/>
      <c r="AP205" s="231" t="str">
        <f ca="1">IF(Giocatori!H213=0,"",Giocatori!H213)</f>
        <v/>
      </c>
      <c r="AQ205" s="221"/>
      <c r="AR205" s="231" t="str">
        <f ca="1">IF(Giocatori!K213=0,"",Giocatori!K213)</f>
        <v/>
      </c>
      <c r="AS205" s="221"/>
      <c r="AT205" s="231" t="str">
        <f ca="1">IF(Giocatori!N213=0,"",Giocatori!N213)</f>
        <v/>
      </c>
      <c r="AU205" s="221"/>
      <c r="AV205" s="231" t="str">
        <f ca="1">IF(Giocatori!Q213=0,"",Giocatori!Q213)</f>
        <v/>
      </c>
      <c r="AX205" t="str">
        <f t="shared" ca="1" si="223"/>
        <v/>
      </c>
      <c r="AY205" s="7">
        <f t="shared" ca="1" si="218"/>
        <v>65</v>
      </c>
      <c r="AZ205" s="7">
        <f t="shared" ca="1" si="224"/>
        <v>0</v>
      </c>
      <c r="BB205" t="str">
        <f t="shared" ca="1" si="225"/>
        <v/>
      </c>
      <c r="BC205" s="7">
        <f t="shared" ca="1" si="219"/>
        <v>186</v>
      </c>
      <c r="BD205" s="7">
        <f t="shared" ca="1" si="226"/>
        <v>0</v>
      </c>
      <c r="BF205" t="str">
        <f t="shared" ca="1" si="227"/>
        <v/>
      </c>
      <c r="BG205" s="7">
        <f t="shared" ca="1" si="220"/>
        <v>175</v>
      </c>
      <c r="BH205" s="7">
        <f t="shared" ca="1" si="228"/>
        <v>0</v>
      </c>
      <c r="BJ205" t="str">
        <f t="shared" ca="1" si="229"/>
        <v/>
      </c>
      <c r="BK205" s="7">
        <f t="shared" ca="1" si="221"/>
        <v>104</v>
      </c>
      <c r="BL205" s="7">
        <f t="shared" ca="1" si="230"/>
        <v>0</v>
      </c>
      <c r="BN205" t="str">
        <f t="shared" ca="1" si="231"/>
        <v/>
      </c>
      <c r="BO205" s="7">
        <f t="shared" ca="1" si="222"/>
        <v>1</v>
      </c>
      <c r="BP205" s="7">
        <f t="shared" ca="1" si="232"/>
        <v>0</v>
      </c>
    </row>
    <row r="206" spans="39:68" ht="14.25">
      <c r="AM206" s="221"/>
      <c r="AN206" s="231" t="str">
        <f ca="1">IF(Giocatori!E214=0,"",Giocatori!E214)</f>
        <v/>
      </c>
      <c r="AO206" s="221"/>
      <c r="AP206" s="231" t="str">
        <f ca="1">IF(Giocatori!H214=0,"",Giocatori!H214)</f>
        <v/>
      </c>
      <c r="AQ206" s="221"/>
      <c r="AR206" s="231" t="str">
        <f ca="1">IF(Giocatori!K214=0,"",Giocatori!K214)</f>
        <v/>
      </c>
      <c r="AS206" s="221"/>
      <c r="AT206" s="231" t="str">
        <f ca="1">IF(Giocatori!N214=0,"",Giocatori!N214)</f>
        <v/>
      </c>
      <c r="AU206" s="221"/>
      <c r="AV206" s="231" t="str">
        <f ca="1">IF(Giocatori!Q214=0,"",Giocatori!Q214)</f>
        <v/>
      </c>
      <c r="AX206" t="str">
        <f t="shared" ca="1" si="223"/>
        <v/>
      </c>
      <c r="AY206" s="7">
        <f t="shared" ca="1" si="218"/>
        <v>65</v>
      </c>
      <c r="AZ206" s="7">
        <f t="shared" ca="1" si="224"/>
        <v>0</v>
      </c>
      <c r="BB206" t="str">
        <f t="shared" ca="1" si="225"/>
        <v/>
      </c>
      <c r="BC206" s="7">
        <f t="shared" ca="1" si="219"/>
        <v>186</v>
      </c>
      <c r="BD206" s="7">
        <f t="shared" ca="1" si="226"/>
        <v>0</v>
      </c>
      <c r="BF206" t="str">
        <f t="shared" ca="1" si="227"/>
        <v/>
      </c>
      <c r="BG206" s="7">
        <f t="shared" ca="1" si="220"/>
        <v>175</v>
      </c>
      <c r="BH206" s="7">
        <f t="shared" ca="1" si="228"/>
        <v>0</v>
      </c>
      <c r="BJ206" t="str">
        <f t="shared" ca="1" si="229"/>
        <v/>
      </c>
      <c r="BK206" s="7">
        <f t="shared" ca="1" si="221"/>
        <v>104</v>
      </c>
      <c r="BL206" s="7">
        <f t="shared" ca="1" si="230"/>
        <v>0</v>
      </c>
      <c r="BN206" t="str">
        <f t="shared" ca="1" si="231"/>
        <v/>
      </c>
      <c r="BO206" s="7">
        <f t="shared" ca="1" si="222"/>
        <v>1</v>
      </c>
      <c r="BP206" s="7">
        <f t="shared" ca="1" si="232"/>
        <v>0</v>
      </c>
    </row>
    <row r="207" spans="39:68" ht="14.25">
      <c r="AM207" s="221"/>
      <c r="AN207" s="231" t="str">
        <f ca="1">IF(Giocatori!E215=0,"",Giocatori!E215)</f>
        <v/>
      </c>
      <c r="AO207" s="221"/>
      <c r="AP207" s="231" t="str">
        <f ca="1">IF(Giocatori!H215=0,"",Giocatori!H215)</f>
        <v/>
      </c>
      <c r="AQ207" s="221"/>
      <c r="AR207" s="231" t="str">
        <f ca="1">IF(Giocatori!K215=0,"",Giocatori!K215)</f>
        <v/>
      </c>
      <c r="AS207" s="221"/>
      <c r="AT207" s="231" t="str">
        <f ca="1">IF(Giocatori!N215=0,"",Giocatori!N215)</f>
        <v/>
      </c>
      <c r="AU207" s="221"/>
      <c r="AV207" s="231" t="str">
        <f ca="1">IF(Giocatori!Q215=0,"",Giocatori!Q215)</f>
        <v/>
      </c>
      <c r="AX207" t="str">
        <f t="shared" ca="1" si="223"/>
        <v/>
      </c>
      <c r="AY207" s="7">
        <f t="shared" ca="1" si="218"/>
        <v>65</v>
      </c>
      <c r="AZ207" s="7">
        <f t="shared" ca="1" si="224"/>
        <v>0</v>
      </c>
      <c r="BB207" t="str">
        <f t="shared" ca="1" si="225"/>
        <v/>
      </c>
      <c r="BC207" s="7">
        <f t="shared" ca="1" si="219"/>
        <v>186</v>
      </c>
      <c r="BD207" s="7">
        <f t="shared" ca="1" si="226"/>
        <v>0</v>
      </c>
      <c r="BF207" t="str">
        <f t="shared" ca="1" si="227"/>
        <v/>
      </c>
      <c r="BG207" s="7">
        <f t="shared" ca="1" si="220"/>
        <v>175</v>
      </c>
      <c r="BH207" s="7">
        <f t="shared" ca="1" si="228"/>
        <v>0</v>
      </c>
      <c r="BJ207" t="str">
        <f t="shared" ca="1" si="229"/>
        <v/>
      </c>
      <c r="BK207" s="7">
        <f t="shared" ca="1" si="221"/>
        <v>104</v>
      </c>
      <c r="BL207" s="7">
        <f t="shared" ca="1" si="230"/>
        <v>0</v>
      </c>
      <c r="BN207" t="str">
        <f t="shared" ca="1" si="231"/>
        <v/>
      </c>
      <c r="BO207" s="7">
        <f t="shared" ca="1" si="222"/>
        <v>1</v>
      </c>
      <c r="BP207" s="7">
        <f t="shared" ca="1" si="232"/>
        <v>0</v>
      </c>
    </row>
    <row r="208" spans="39:68" ht="14.25">
      <c r="AM208" s="221"/>
      <c r="AN208" s="231" t="str">
        <f ca="1">IF(Giocatori!E216=0,"",Giocatori!E216)</f>
        <v/>
      </c>
      <c r="AO208" s="221"/>
      <c r="AP208" s="231" t="str">
        <f ca="1">IF(Giocatori!H216=0,"",Giocatori!H216)</f>
        <v/>
      </c>
      <c r="AQ208" s="221"/>
      <c r="AR208" s="231" t="str">
        <f ca="1">IF(Giocatori!K216=0,"",Giocatori!K216)</f>
        <v/>
      </c>
      <c r="AS208" s="221"/>
      <c r="AT208" s="231" t="str">
        <f ca="1">IF(Giocatori!N216=0,"",Giocatori!N216)</f>
        <v/>
      </c>
      <c r="AU208" s="221"/>
      <c r="AV208" s="231" t="str">
        <f ca="1">IF(Giocatori!Q216=0,"",Giocatori!Q216)</f>
        <v/>
      </c>
      <c r="AX208" t="str">
        <f t="shared" ca="1" si="223"/>
        <v/>
      </c>
      <c r="AY208" s="7">
        <f t="shared" ca="1" si="218"/>
        <v>65</v>
      </c>
      <c r="AZ208" s="7">
        <f t="shared" ca="1" si="224"/>
        <v>0</v>
      </c>
      <c r="BB208" t="str">
        <f t="shared" ca="1" si="225"/>
        <v/>
      </c>
      <c r="BC208" s="7">
        <f t="shared" ca="1" si="219"/>
        <v>186</v>
      </c>
      <c r="BD208" s="7">
        <f t="shared" ca="1" si="226"/>
        <v>0</v>
      </c>
      <c r="BF208" t="str">
        <f t="shared" ca="1" si="227"/>
        <v/>
      </c>
      <c r="BG208" s="7">
        <f t="shared" ca="1" si="220"/>
        <v>175</v>
      </c>
      <c r="BH208" s="7">
        <f t="shared" ca="1" si="228"/>
        <v>0</v>
      </c>
      <c r="BJ208" t="str">
        <f t="shared" ca="1" si="229"/>
        <v/>
      </c>
      <c r="BK208" s="7">
        <f t="shared" ca="1" si="221"/>
        <v>104</v>
      </c>
      <c r="BL208" s="7">
        <f t="shared" ca="1" si="230"/>
        <v>0</v>
      </c>
      <c r="BN208" t="str">
        <f t="shared" ca="1" si="231"/>
        <v/>
      </c>
      <c r="BO208" s="7">
        <f t="shared" ca="1" si="222"/>
        <v>1</v>
      </c>
      <c r="BP208" s="7">
        <f t="shared" ca="1" si="232"/>
        <v>0</v>
      </c>
    </row>
    <row r="209" spans="39:68" ht="14.25">
      <c r="AM209" s="221"/>
      <c r="AN209" s="231" t="str">
        <f ca="1">IF(Giocatori!E217=0,"",Giocatori!E217)</f>
        <v/>
      </c>
      <c r="AO209" s="221"/>
      <c r="AP209" s="231" t="str">
        <f ca="1">IF(Giocatori!H217=0,"",Giocatori!H217)</f>
        <v/>
      </c>
      <c r="AQ209" s="221"/>
      <c r="AR209" s="231" t="str">
        <f ca="1">IF(Giocatori!K217=0,"",Giocatori!K217)</f>
        <v/>
      </c>
      <c r="AS209" s="221"/>
      <c r="AT209" s="231" t="str">
        <f ca="1">IF(Giocatori!N217=0,"",Giocatori!N217)</f>
        <v/>
      </c>
      <c r="AU209" s="221"/>
      <c r="AV209" s="231" t="str">
        <f ca="1">IF(Giocatori!Q217=0,"",Giocatori!Q217)</f>
        <v/>
      </c>
      <c r="AX209" t="str">
        <f t="shared" ca="1" si="223"/>
        <v/>
      </c>
      <c r="AY209" s="7">
        <f t="shared" ca="1" si="218"/>
        <v>65</v>
      </c>
      <c r="AZ209" s="7">
        <f t="shared" ca="1" si="224"/>
        <v>0</v>
      </c>
      <c r="BB209" t="str">
        <f t="shared" ca="1" si="225"/>
        <v/>
      </c>
      <c r="BC209" s="7">
        <f t="shared" ca="1" si="219"/>
        <v>186</v>
      </c>
      <c r="BD209" s="7">
        <f t="shared" ca="1" si="226"/>
        <v>0</v>
      </c>
      <c r="BF209" t="str">
        <f t="shared" ca="1" si="227"/>
        <v/>
      </c>
      <c r="BG209" s="7">
        <f t="shared" ca="1" si="220"/>
        <v>175</v>
      </c>
      <c r="BH209" s="7">
        <f t="shared" ca="1" si="228"/>
        <v>0</v>
      </c>
      <c r="BJ209" t="str">
        <f t="shared" ca="1" si="229"/>
        <v/>
      </c>
      <c r="BK209" s="7">
        <f t="shared" ca="1" si="221"/>
        <v>104</v>
      </c>
      <c r="BL209" s="7">
        <f t="shared" ca="1" si="230"/>
        <v>0</v>
      </c>
      <c r="BN209" t="str">
        <f t="shared" ca="1" si="231"/>
        <v/>
      </c>
      <c r="BO209" s="7">
        <f t="shared" ca="1" si="222"/>
        <v>1</v>
      </c>
      <c r="BP209" s="7">
        <f t="shared" ca="1" si="232"/>
        <v>0</v>
      </c>
    </row>
    <row r="210" spans="39:68" ht="14.25">
      <c r="AM210" s="221"/>
      <c r="AN210" s="231" t="str">
        <f ca="1">IF(Giocatori!E218=0,"",Giocatori!E218)</f>
        <v/>
      </c>
      <c r="AO210" s="221"/>
      <c r="AP210" s="231" t="str">
        <f ca="1">IF(Giocatori!H218=0,"",Giocatori!H218)</f>
        <v/>
      </c>
      <c r="AQ210" s="221"/>
      <c r="AR210" s="231" t="str">
        <f ca="1">IF(Giocatori!K218=0,"",Giocatori!K218)</f>
        <v/>
      </c>
      <c r="AS210" s="221"/>
      <c r="AT210" s="231" t="str">
        <f ca="1">IF(Giocatori!N218=0,"",Giocatori!N218)</f>
        <v/>
      </c>
      <c r="AU210" s="221"/>
      <c r="AV210" s="231" t="str">
        <f ca="1">IF(Giocatori!Q218=0,"",Giocatori!Q218)</f>
        <v/>
      </c>
      <c r="AX210" t="str">
        <f t="shared" ca="1" si="223"/>
        <v/>
      </c>
      <c r="AY210" s="7">
        <f t="shared" ca="1" si="218"/>
        <v>65</v>
      </c>
      <c r="AZ210" s="7">
        <f t="shared" ca="1" si="224"/>
        <v>0</v>
      </c>
      <c r="BB210" t="str">
        <f t="shared" ca="1" si="225"/>
        <v/>
      </c>
      <c r="BC210" s="7">
        <f t="shared" ca="1" si="219"/>
        <v>186</v>
      </c>
      <c r="BD210" s="7">
        <f t="shared" ca="1" si="226"/>
        <v>0</v>
      </c>
      <c r="BF210" t="str">
        <f t="shared" ca="1" si="227"/>
        <v/>
      </c>
      <c r="BG210" s="7">
        <f t="shared" ca="1" si="220"/>
        <v>175</v>
      </c>
      <c r="BH210" s="7">
        <f t="shared" ca="1" si="228"/>
        <v>0</v>
      </c>
      <c r="BJ210" t="str">
        <f t="shared" ca="1" si="229"/>
        <v/>
      </c>
      <c r="BK210" s="7">
        <f t="shared" ca="1" si="221"/>
        <v>104</v>
      </c>
      <c r="BL210" s="7">
        <f t="shared" ca="1" si="230"/>
        <v>0</v>
      </c>
      <c r="BN210" t="str">
        <f t="shared" ca="1" si="231"/>
        <v/>
      </c>
      <c r="BO210" s="7">
        <f t="shared" ca="1" si="222"/>
        <v>1</v>
      </c>
      <c r="BP210" s="7">
        <f t="shared" ca="1" si="232"/>
        <v>0</v>
      </c>
    </row>
    <row r="211" spans="39:68" ht="14.25">
      <c r="AM211" s="221"/>
      <c r="AN211" s="231" t="str">
        <f ca="1">IF(Giocatori!E219=0,"",Giocatori!E219)</f>
        <v/>
      </c>
      <c r="AO211" s="221"/>
      <c r="AP211" s="231" t="str">
        <f ca="1">IF(Giocatori!H219=0,"",Giocatori!H219)</f>
        <v/>
      </c>
      <c r="AQ211" s="221"/>
      <c r="AR211" s="231" t="str">
        <f ca="1">IF(Giocatori!K219=0,"",Giocatori!K219)</f>
        <v/>
      </c>
      <c r="AS211" s="221"/>
      <c r="AT211" s="231" t="str">
        <f ca="1">IF(Giocatori!N219=0,"",Giocatori!N219)</f>
        <v/>
      </c>
      <c r="AU211" s="221"/>
      <c r="AV211" s="231" t="str">
        <f ca="1">IF(Giocatori!Q219=0,"",Giocatori!Q219)</f>
        <v/>
      </c>
      <c r="AX211" t="str">
        <f t="shared" ca="1" si="223"/>
        <v/>
      </c>
      <c r="AY211" s="7">
        <f t="shared" ca="1" si="218"/>
        <v>65</v>
      </c>
      <c r="AZ211" s="7">
        <f t="shared" ca="1" si="224"/>
        <v>0</v>
      </c>
      <c r="BB211" t="str">
        <f t="shared" ca="1" si="225"/>
        <v/>
      </c>
      <c r="BC211" s="7">
        <f t="shared" ca="1" si="219"/>
        <v>186</v>
      </c>
      <c r="BD211" s="7">
        <f t="shared" ca="1" si="226"/>
        <v>0</v>
      </c>
      <c r="BF211" t="str">
        <f t="shared" ca="1" si="227"/>
        <v/>
      </c>
      <c r="BG211" s="7">
        <f t="shared" ca="1" si="220"/>
        <v>175</v>
      </c>
      <c r="BH211" s="7">
        <f t="shared" ca="1" si="228"/>
        <v>0</v>
      </c>
      <c r="BJ211" t="str">
        <f t="shared" ca="1" si="229"/>
        <v/>
      </c>
      <c r="BK211" s="7">
        <f t="shared" ca="1" si="221"/>
        <v>104</v>
      </c>
      <c r="BL211" s="7">
        <f t="shared" ca="1" si="230"/>
        <v>0</v>
      </c>
      <c r="BN211" t="str">
        <f t="shared" ca="1" si="231"/>
        <v/>
      </c>
      <c r="BO211" s="7">
        <f t="shared" ca="1" si="222"/>
        <v>1</v>
      </c>
      <c r="BP211" s="7">
        <f t="shared" ca="1" si="232"/>
        <v>0</v>
      </c>
    </row>
    <row r="212" spans="39:68" ht="14.25">
      <c r="AM212" s="221"/>
      <c r="AN212" s="231" t="str">
        <f ca="1">IF(Giocatori!E220=0,"",Giocatori!E220)</f>
        <v/>
      </c>
      <c r="AO212" s="221"/>
      <c r="AP212" s="231" t="str">
        <f ca="1">IF(Giocatori!H220=0,"",Giocatori!H220)</f>
        <v/>
      </c>
      <c r="AQ212" s="221"/>
      <c r="AR212" s="231" t="str">
        <f ca="1">IF(Giocatori!K220=0,"",Giocatori!K220)</f>
        <v/>
      </c>
      <c r="AS212" s="221"/>
      <c r="AT212" s="231" t="str">
        <f ca="1">IF(Giocatori!N220=0,"",Giocatori!N220)</f>
        <v/>
      </c>
      <c r="AU212" s="221"/>
      <c r="AV212" s="231" t="str">
        <f ca="1">IF(Giocatori!Q220=0,"",Giocatori!Q220)</f>
        <v/>
      </c>
      <c r="AX212" t="str">
        <f t="shared" ca="1" si="223"/>
        <v/>
      </c>
      <c r="AY212" s="7">
        <f t="shared" ca="1" si="218"/>
        <v>65</v>
      </c>
      <c r="AZ212" s="7">
        <f t="shared" ca="1" si="224"/>
        <v>0</v>
      </c>
      <c r="BB212" t="str">
        <f t="shared" ca="1" si="225"/>
        <v/>
      </c>
      <c r="BC212" s="7">
        <f t="shared" ca="1" si="219"/>
        <v>186</v>
      </c>
      <c r="BD212" s="7">
        <f t="shared" ca="1" si="226"/>
        <v>0</v>
      </c>
      <c r="BF212" t="str">
        <f t="shared" ca="1" si="227"/>
        <v/>
      </c>
      <c r="BG212" s="7">
        <f t="shared" ca="1" si="220"/>
        <v>175</v>
      </c>
      <c r="BH212" s="7">
        <f t="shared" ca="1" si="228"/>
        <v>0</v>
      </c>
      <c r="BJ212" t="str">
        <f t="shared" ca="1" si="229"/>
        <v/>
      </c>
      <c r="BK212" s="7">
        <f t="shared" ca="1" si="221"/>
        <v>104</v>
      </c>
      <c r="BL212" s="7">
        <f t="shared" ca="1" si="230"/>
        <v>0</v>
      </c>
      <c r="BN212" t="str">
        <f t="shared" ca="1" si="231"/>
        <v/>
      </c>
      <c r="BO212" s="7">
        <f t="shared" ca="1" si="222"/>
        <v>1</v>
      </c>
      <c r="BP212" s="7">
        <f t="shared" ca="1" si="232"/>
        <v>0</v>
      </c>
    </row>
    <row r="213" spans="39:68" ht="14.25">
      <c r="AM213" s="221"/>
      <c r="AN213" s="231" t="str">
        <f ca="1">IF(Giocatori!E221=0,"",Giocatori!E221)</f>
        <v/>
      </c>
      <c r="AO213" s="221"/>
      <c r="AP213" s="231" t="str">
        <f ca="1">IF(Giocatori!H221=0,"",Giocatori!H221)</f>
        <v/>
      </c>
      <c r="AQ213" s="221"/>
      <c r="AR213" s="231" t="str">
        <f ca="1">IF(Giocatori!K221=0,"",Giocatori!K221)</f>
        <v/>
      </c>
      <c r="AS213" s="221"/>
      <c r="AT213" s="231" t="str">
        <f ca="1">IF(Giocatori!N221=0,"",Giocatori!N221)</f>
        <v/>
      </c>
      <c r="AU213" s="221"/>
      <c r="AV213" s="231" t="str">
        <f ca="1">IF(Giocatori!Q221=0,"",Giocatori!Q221)</f>
        <v/>
      </c>
      <c r="AX213" t="str">
        <f t="shared" ca="1" si="223"/>
        <v/>
      </c>
      <c r="AY213" s="7">
        <f t="shared" ca="1" si="218"/>
        <v>65</v>
      </c>
      <c r="AZ213" s="7">
        <f t="shared" ca="1" si="224"/>
        <v>0</v>
      </c>
      <c r="BB213" t="str">
        <f t="shared" ca="1" si="225"/>
        <v/>
      </c>
      <c r="BC213" s="7">
        <f t="shared" ca="1" si="219"/>
        <v>186</v>
      </c>
      <c r="BD213" s="7">
        <f t="shared" ca="1" si="226"/>
        <v>0</v>
      </c>
      <c r="BF213" t="str">
        <f t="shared" ca="1" si="227"/>
        <v/>
      </c>
      <c r="BG213" s="7">
        <f t="shared" ca="1" si="220"/>
        <v>175</v>
      </c>
      <c r="BH213" s="7">
        <f t="shared" ca="1" si="228"/>
        <v>0</v>
      </c>
      <c r="BJ213" t="str">
        <f t="shared" ca="1" si="229"/>
        <v/>
      </c>
      <c r="BK213" s="7">
        <f t="shared" ca="1" si="221"/>
        <v>104</v>
      </c>
      <c r="BL213" s="7">
        <f t="shared" ca="1" si="230"/>
        <v>0</v>
      </c>
      <c r="BN213" t="str">
        <f t="shared" ca="1" si="231"/>
        <v/>
      </c>
      <c r="BO213" s="7">
        <f t="shared" ca="1" si="222"/>
        <v>1</v>
      </c>
      <c r="BP213" s="7">
        <f t="shared" ca="1" si="232"/>
        <v>0</v>
      </c>
    </row>
    <row r="214" spans="39:68" ht="14.25">
      <c r="AM214" s="221"/>
      <c r="AN214" s="231" t="str">
        <f ca="1">IF(Giocatori!E222=0,"",Giocatori!E222)</f>
        <v/>
      </c>
      <c r="AO214" s="221"/>
      <c r="AP214" s="231" t="str">
        <f ca="1">IF(Giocatori!H222=0,"",Giocatori!H222)</f>
        <v/>
      </c>
      <c r="AQ214" s="221"/>
      <c r="AR214" s="231" t="str">
        <f ca="1">IF(Giocatori!K222=0,"",Giocatori!K222)</f>
        <v/>
      </c>
      <c r="AS214" s="221"/>
      <c r="AT214" s="231" t="str">
        <f ca="1">IF(Giocatori!N222=0,"",Giocatori!N222)</f>
        <v/>
      </c>
      <c r="AU214" s="221"/>
      <c r="AV214" s="231" t="str">
        <f ca="1">IF(Giocatori!Q222=0,"",Giocatori!Q222)</f>
        <v/>
      </c>
      <c r="AX214" t="str">
        <f t="shared" ca="1" si="223"/>
        <v/>
      </c>
      <c r="AY214" s="7">
        <f t="shared" ca="1" si="218"/>
        <v>65</v>
      </c>
      <c r="AZ214" s="7">
        <f t="shared" ca="1" si="224"/>
        <v>0</v>
      </c>
      <c r="BB214" t="str">
        <f t="shared" ca="1" si="225"/>
        <v/>
      </c>
      <c r="BC214" s="7">
        <f t="shared" ca="1" si="219"/>
        <v>186</v>
      </c>
      <c r="BD214" s="7">
        <f t="shared" ca="1" si="226"/>
        <v>0</v>
      </c>
      <c r="BF214" t="str">
        <f t="shared" ca="1" si="227"/>
        <v/>
      </c>
      <c r="BG214" s="7">
        <f t="shared" ca="1" si="220"/>
        <v>175</v>
      </c>
      <c r="BH214" s="7">
        <f t="shared" ca="1" si="228"/>
        <v>0</v>
      </c>
      <c r="BJ214" t="str">
        <f t="shared" ca="1" si="229"/>
        <v/>
      </c>
      <c r="BK214" s="7">
        <f t="shared" ca="1" si="221"/>
        <v>104</v>
      </c>
      <c r="BL214" s="7">
        <f t="shared" ca="1" si="230"/>
        <v>0</v>
      </c>
      <c r="BN214" t="str">
        <f t="shared" ca="1" si="231"/>
        <v/>
      </c>
      <c r="BO214" s="7">
        <f t="shared" ca="1" si="222"/>
        <v>1</v>
      </c>
      <c r="BP214" s="7">
        <f t="shared" ca="1" si="232"/>
        <v>0</v>
      </c>
    </row>
    <row r="215" spans="39:68" ht="14.25">
      <c r="AM215" s="221"/>
      <c r="AN215" s="231" t="str">
        <f ca="1">IF(Giocatori!E223=0,"",Giocatori!E223)</f>
        <v/>
      </c>
      <c r="AO215" s="221"/>
      <c r="AP215" s="231" t="str">
        <f ca="1">IF(Giocatori!H223=0,"",Giocatori!H223)</f>
        <v/>
      </c>
      <c r="AQ215" s="221"/>
      <c r="AR215" s="231" t="str">
        <f ca="1">IF(Giocatori!K223=0,"",Giocatori!K223)</f>
        <v/>
      </c>
      <c r="AS215" s="221"/>
      <c r="AT215" s="231" t="str">
        <f ca="1">IF(Giocatori!N223=0,"",Giocatori!N223)</f>
        <v/>
      </c>
      <c r="AU215" s="221"/>
      <c r="AV215" s="231" t="str">
        <f ca="1">IF(Giocatori!Q223=0,"",Giocatori!Q223)</f>
        <v/>
      </c>
      <c r="AX215" t="str">
        <f t="shared" ca="1" si="223"/>
        <v/>
      </c>
      <c r="AY215" s="7">
        <f t="shared" ca="1" si="218"/>
        <v>65</v>
      </c>
      <c r="AZ215" s="7">
        <f t="shared" ca="1" si="224"/>
        <v>0</v>
      </c>
      <c r="BB215" t="str">
        <f t="shared" ca="1" si="225"/>
        <v/>
      </c>
      <c r="BC215" s="7">
        <f t="shared" ca="1" si="219"/>
        <v>186</v>
      </c>
      <c r="BD215" s="7">
        <f t="shared" ca="1" si="226"/>
        <v>0</v>
      </c>
      <c r="BF215" t="str">
        <f t="shared" ca="1" si="227"/>
        <v/>
      </c>
      <c r="BG215" s="7">
        <f t="shared" ca="1" si="220"/>
        <v>175</v>
      </c>
      <c r="BH215" s="7">
        <f t="shared" ca="1" si="228"/>
        <v>0</v>
      </c>
      <c r="BJ215" t="str">
        <f t="shared" ca="1" si="229"/>
        <v/>
      </c>
      <c r="BK215" s="7">
        <f t="shared" ca="1" si="221"/>
        <v>104</v>
      </c>
      <c r="BL215" s="7">
        <f t="shared" ca="1" si="230"/>
        <v>0</v>
      </c>
      <c r="BN215" t="str">
        <f t="shared" ca="1" si="231"/>
        <v/>
      </c>
      <c r="BO215" s="7">
        <f t="shared" ca="1" si="222"/>
        <v>1</v>
      </c>
      <c r="BP215" s="7">
        <f t="shared" ca="1" si="232"/>
        <v>0</v>
      </c>
    </row>
    <row r="216" spans="39:68" ht="14.25">
      <c r="AM216" s="221"/>
      <c r="AN216" s="231" t="str">
        <f ca="1">IF(Giocatori!E224=0,"",Giocatori!E224)</f>
        <v/>
      </c>
      <c r="AO216" s="221"/>
      <c r="AP216" s="231" t="str">
        <f ca="1">IF(Giocatori!H224=0,"",Giocatori!H224)</f>
        <v/>
      </c>
      <c r="AQ216" s="221"/>
      <c r="AR216" s="231" t="str">
        <f ca="1">IF(Giocatori!K224=0,"",Giocatori!K224)</f>
        <v/>
      </c>
      <c r="AS216" s="221"/>
      <c r="AT216" s="231" t="str">
        <f ca="1">IF(Giocatori!N224=0,"",Giocatori!N224)</f>
        <v/>
      </c>
      <c r="AU216" s="221"/>
      <c r="AV216" s="231" t="str">
        <f ca="1">IF(Giocatori!Q224=0,"",Giocatori!Q224)</f>
        <v/>
      </c>
      <c r="AX216" t="str">
        <f t="shared" ca="1" si="223"/>
        <v/>
      </c>
      <c r="AY216" s="7">
        <f t="shared" ca="1" si="218"/>
        <v>65</v>
      </c>
      <c r="AZ216" s="7">
        <f t="shared" ca="1" si="224"/>
        <v>0</v>
      </c>
      <c r="BB216" t="str">
        <f t="shared" ca="1" si="225"/>
        <v/>
      </c>
      <c r="BC216" s="7">
        <f t="shared" ca="1" si="219"/>
        <v>186</v>
      </c>
      <c r="BD216" s="7">
        <f t="shared" ca="1" si="226"/>
        <v>0</v>
      </c>
      <c r="BF216" t="str">
        <f t="shared" ca="1" si="227"/>
        <v/>
      </c>
      <c r="BG216" s="7">
        <f t="shared" ca="1" si="220"/>
        <v>175</v>
      </c>
      <c r="BH216" s="7">
        <f t="shared" ca="1" si="228"/>
        <v>0</v>
      </c>
      <c r="BJ216" t="str">
        <f t="shared" ca="1" si="229"/>
        <v/>
      </c>
      <c r="BK216" s="7">
        <f t="shared" ca="1" si="221"/>
        <v>104</v>
      </c>
      <c r="BL216" s="7">
        <f t="shared" ca="1" si="230"/>
        <v>0</v>
      </c>
      <c r="BN216" t="str">
        <f t="shared" ca="1" si="231"/>
        <v/>
      </c>
      <c r="BO216" s="7">
        <f t="shared" ca="1" si="222"/>
        <v>1</v>
      </c>
      <c r="BP216" s="7">
        <f t="shared" ca="1" si="232"/>
        <v>0</v>
      </c>
    </row>
    <row r="217" spans="39:68" ht="14.25">
      <c r="AM217" s="221"/>
      <c r="AN217" s="231" t="str">
        <f ca="1">IF(Giocatori!E225=0,"",Giocatori!E225)</f>
        <v/>
      </c>
      <c r="AO217" s="221"/>
      <c r="AP217" s="231" t="str">
        <f ca="1">IF(Giocatori!H225=0,"",Giocatori!H225)</f>
        <v/>
      </c>
      <c r="AQ217" s="221"/>
      <c r="AR217" s="231" t="str">
        <f ca="1">IF(Giocatori!K225=0,"",Giocatori!K225)</f>
        <v/>
      </c>
      <c r="AS217" s="221"/>
      <c r="AT217" s="231" t="str">
        <f ca="1">IF(Giocatori!N225=0,"",Giocatori!N225)</f>
        <v/>
      </c>
      <c r="AU217" s="221"/>
      <c r="AV217" s="231" t="str">
        <f ca="1">IF(Giocatori!Q225=0,"",Giocatori!Q225)</f>
        <v/>
      </c>
      <c r="AX217" t="str">
        <f t="shared" ca="1" si="223"/>
        <v/>
      </c>
      <c r="AY217" s="7">
        <f t="shared" ca="1" si="218"/>
        <v>65</v>
      </c>
      <c r="AZ217" s="7">
        <f t="shared" ca="1" si="224"/>
        <v>0</v>
      </c>
      <c r="BB217" t="str">
        <f t="shared" ca="1" si="225"/>
        <v/>
      </c>
      <c r="BC217" s="7">
        <f t="shared" ca="1" si="219"/>
        <v>186</v>
      </c>
      <c r="BD217" s="7">
        <f t="shared" ca="1" si="226"/>
        <v>0</v>
      </c>
      <c r="BF217" t="str">
        <f t="shared" ca="1" si="227"/>
        <v/>
      </c>
      <c r="BG217" s="7">
        <f t="shared" ca="1" si="220"/>
        <v>175</v>
      </c>
      <c r="BH217" s="7">
        <f t="shared" ca="1" si="228"/>
        <v>0</v>
      </c>
      <c r="BJ217" t="str">
        <f t="shared" ca="1" si="229"/>
        <v/>
      </c>
      <c r="BK217" s="7">
        <f t="shared" ca="1" si="221"/>
        <v>104</v>
      </c>
      <c r="BL217" s="7">
        <f t="shared" ca="1" si="230"/>
        <v>0</v>
      </c>
      <c r="BN217" t="str">
        <f t="shared" ca="1" si="231"/>
        <v/>
      </c>
      <c r="BO217" s="7">
        <f t="shared" ca="1" si="222"/>
        <v>1</v>
      </c>
      <c r="BP217" s="7">
        <f t="shared" ca="1" si="232"/>
        <v>0</v>
      </c>
    </row>
    <row r="218" spans="39:68" ht="14.25">
      <c r="AM218" s="221"/>
      <c r="AN218" s="231" t="str">
        <f ca="1">IF(Giocatori!E226=0,"",Giocatori!E226)</f>
        <v/>
      </c>
      <c r="AO218" s="221"/>
      <c r="AP218" s="231" t="str">
        <f ca="1">IF(Giocatori!H226=0,"",Giocatori!H226)</f>
        <v/>
      </c>
      <c r="AQ218" s="221"/>
      <c r="AR218" s="231" t="str">
        <f ca="1">IF(Giocatori!K226=0,"",Giocatori!K226)</f>
        <v/>
      </c>
      <c r="AS218" s="221"/>
      <c r="AT218" s="231" t="str">
        <f ca="1">IF(Giocatori!N226=0,"",Giocatori!N226)</f>
        <v/>
      </c>
      <c r="AU218" s="221"/>
      <c r="AV218" s="231" t="str">
        <f ca="1">IF(Giocatori!Q226=0,"",Giocatori!Q226)</f>
        <v/>
      </c>
      <c r="AX218" t="str">
        <f t="shared" ca="1" si="223"/>
        <v/>
      </c>
      <c r="AY218" s="7">
        <f t="shared" ca="1" si="218"/>
        <v>65</v>
      </c>
      <c r="AZ218" s="7">
        <f t="shared" ca="1" si="224"/>
        <v>0</v>
      </c>
      <c r="BB218" t="str">
        <f t="shared" ca="1" si="225"/>
        <v/>
      </c>
      <c r="BC218" s="7">
        <f t="shared" ca="1" si="219"/>
        <v>186</v>
      </c>
      <c r="BD218" s="7">
        <f t="shared" ca="1" si="226"/>
        <v>0</v>
      </c>
      <c r="BF218" t="str">
        <f t="shared" ca="1" si="227"/>
        <v/>
      </c>
      <c r="BG218" s="7">
        <f t="shared" ca="1" si="220"/>
        <v>175</v>
      </c>
      <c r="BH218" s="7">
        <f t="shared" ca="1" si="228"/>
        <v>0</v>
      </c>
      <c r="BJ218" t="str">
        <f t="shared" ca="1" si="229"/>
        <v/>
      </c>
      <c r="BK218" s="7">
        <f t="shared" ca="1" si="221"/>
        <v>104</v>
      </c>
      <c r="BL218" s="7">
        <f t="shared" ca="1" si="230"/>
        <v>0</v>
      </c>
      <c r="BN218" t="str">
        <f t="shared" ca="1" si="231"/>
        <v/>
      </c>
      <c r="BO218" s="7">
        <f t="shared" ca="1" si="222"/>
        <v>1</v>
      </c>
      <c r="BP218" s="7">
        <f t="shared" ca="1" si="232"/>
        <v>0</v>
      </c>
    </row>
    <row r="219" spans="39:68" ht="14.25">
      <c r="AM219" s="221"/>
      <c r="AO219" s="221"/>
      <c r="AP219" s="231" t="str">
        <f ca="1">IF(Giocatori!H227=0,"",Giocatori!H227)</f>
        <v/>
      </c>
      <c r="AQ219" s="221"/>
      <c r="AR219" s="231" t="str">
        <f ca="1">IF(Giocatori!K227=0,"",Giocatori!K227)</f>
        <v/>
      </c>
      <c r="AS219" s="221"/>
      <c r="AT219" s="231" t="str">
        <f ca="1">IF(Giocatori!N227=0,"",Giocatori!N227)</f>
        <v/>
      </c>
      <c r="AU219" s="221"/>
      <c r="AV219" s="231" t="str">
        <f ca="1">IF(Giocatori!Q227=0,"",Giocatori!Q227)</f>
        <v/>
      </c>
      <c r="AX219">
        <f t="shared" ca="1" si="223"/>
        <v>0</v>
      </c>
      <c r="AY219" s="7">
        <f t="shared" ca="1" si="218"/>
        <v>66</v>
      </c>
      <c r="AZ219" s="7">
        <f t="shared" ca="1" si="224"/>
        <v>0</v>
      </c>
      <c r="BB219" t="str">
        <f t="shared" ca="1" si="225"/>
        <v/>
      </c>
      <c r="BC219" s="7">
        <f t="shared" ca="1" si="219"/>
        <v>186</v>
      </c>
      <c r="BD219" s="7">
        <f t="shared" ca="1" si="226"/>
        <v>0</v>
      </c>
      <c r="BF219" t="str">
        <f t="shared" ca="1" si="227"/>
        <v/>
      </c>
      <c r="BG219" s="7">
        <f t="shared" ca="1" si="220"/>
        <v>175</v>
      </c>
      <c r="BH219" s="7">
        <f t="shared" ca="1" si="228"/>
        <v>0</v>
      </c>
      <c r="BJ219" t="str">
        <f t="shared" ca="1" si="229"/>
        <v/>
      </c>
      <c r="BK219" s="7">
        <f t="shared" ca="1" si="221"/>
        <v>104</v>
      </c>
      <c r="BL219" s="7">
        <f t="shared" ca="1" si="230"/>
        <v>0</v>
      </c>
      <c r="BN219" t="str">
        <f t="shared" ca="1" si="231"/>
        <v/>
      </c>
      <c r="BO219" s="7">
        <f t="shared" ca="1" si="222"/>
        <v>1</v>
      </c>
      <c r="BP219" s="7">
        <f t="shared" ca="1" si="232"/>
        <v>0</v>
      </c>
    </row>
  </sheetData>
  <sheetProtection selectLockedCells="1"/>
  <mergeCells count="98">
    <mergeCell ref="V2:X2"/>
    <mergeCell ref="Y2:AA2"/>
    <mergeCell ref="AB2:AD2"/>
    <mergeCell ref="A2:C2"/>
    <mergeCell ref="D2:F2"/>
    <mergeCell ref="G2:I2"/>
    <mergeCell ref="J2:L2"/>
    <mergeCell ref="M2:O2"/>
    <mergeCell ref="AE2:AG2"/>
    <mergeCell ref="AH2:AJ2"/>
    <mergeCell ref="A3:C3"/>
    <mergeCell ref="D3:F3"/>
    <mergeCell ref="G3:I3"/>
    <mergeCell ref="J3:L3"/>
    <mergeCell ref="M3:O3"/>
    <mergeCell ref="P3:R3"/>
    <mergeCell ref="S3:U3"/>
    <mergeCell ref="V3:X3"/>
    <mergeCell ref="Y3:AA3"/>
    <mergeCell ref="AB3:AD3"/>
    <mergeCell ref="AE3:AG3"/>
    <mergeCell ref="AH3:AJ3"/>
    <mergeCell ref="P2:R2"/>
    <mergeCell ref="S2:U2"/>
    <mergeCell ref="Y4:AA4"/>
    <mergeCell ref="AB4:AD4"/>
    <mergeCell ref="AE4:AG4"/>
    <mergeCell ref="AH4:AJ4"/>
    <mergeCell ref="A4:C4"/>
    <mergeCell ref="D4:F4"/>
    <mergeCell ref="G4:I4"/>
    <mergeCell ref="J4:L4"/>
    <mergeCell ref="M4:O4"/>
    <mergeCell ref="P4:R4"/>
    <mergeCell ref="V4:X4"/>
    <mergeCell ref="A13:C13"/>
    <mergeCell ref="D13:F13"/>
    <mergeCell ref="G13:I13"/>
    <mergeCell ref="J13:L13"/>
    <mergeCell ref="S4:U4"/>
    <mergeCell ref="AE13:AG13"/>
    <mergeCell ref="AH13:AJ13"/>
    <mergeCell ref="M13:O13"/>
    <mergeCell ref="P13:R13"/>
    <mergeCell ref="S13:U13"/>
    <mergeCell ref="V13:X13"/>
    <mergeCell ref="Y13:AA13"/>
    <mergeCell ref="AB13:AD13"/>
    <mergeCell ref="Y29:AA29"/>
    <mergeCell ref="AB29:AD29"/>
    <mergeCell ref="AE29:AG29"/>
    <mergeCell ref="AH29:AJ29"/>
    <mergeCell ref="A29:C29"/>
    <mergeCell ref="D29:F29"/>
    <mergeCell ref="G29:I29"/>
    <mergeCell ref="J29:L29"/>
    <mergeCell ref="M29:O29"/>
    <mergeCell ref="P29:R29"/>
    <mergeCell ref="V29:X29"/>
    <mergeCell ref="A45:C45"/>
    <mergeCell ref="D45:F45"/>
    <mergeCell ref="G45:I45"/>
    <mergeCell ref="J45:L45"/>
    <mergeCell ref="S29:U29"/>
    <mergeCell ref="AE45:AG45"/>
    <mergeCell ref="AH45:AJ45"/>
    <mergeCell ref="M45:O45"/>
    <mergeCell ref="P45:R45"/>
    <mergeCell ref="S45:U45"/>
    <mergeCell ref="V45:X45"/>
    <mergeCell ref="Y45:AA45"/>
    <mergeCell ref="AB45:AD45"/>
    <mergeCell ref="A61:B61"/>
    <mergeCell ref="C61:E61"/>
    <mergeCell ref="F60:AD60"/>
    <mergeCell ref="A63:C63"/>
    <mergeCell ref="D63:F63"/>
    <mergeCell ref="G63:I63"/>
    <mergeCell ref="M63:O63"/>
    <mergeCell ref="P63:R63"/>
    <mergeCell ref="S63:U63"/>
    <mergeCell ref="V63:X63"/>
    <mergeCell ref="Y63:AA63"/>
    <mergeCell ref="AB63:AD63"/>
    <mergeCell ref="AE63:AG63"/>
    <mergeCell ref="AH63:AJ63"/>
    <mergeCell ref="A73:C73"/>
    <mergeCell ref="D73:F73"/>
    <mergeCell ref="G73:I73"/>
    <mergeCell ref="J73:L73"/>
    <mergeCell ref="M73:O73"/>
    <mergeCell ref="AH73:AJ73"/>
    <mergeCell ref="P73:R73"/>
    <mergeCell ref="S73:U73"/>
    <mergeCell ref="V73:X73"/>
    <mergeCell ref="Y73:AA73"/>
    <mergeCell ref="AB73:AD73"/>
    <mergeCell ref="AE73:AG73"/>
  </mergeCells>
  <conditionalFormatting sqref="B5:B7 B14:B23 B30:B39 B46:B53">
    <cfRule type="expression" dxfId="473" priority="421" stopIfTrue="1">
      <formula>A$3=$AK$3</formula>
    </cfRule>
  </conditionalFormatting>
  <conditionalFormatting sqref="C5:C7 C14:C23 C30:C39 C46:C53">
    <cfRule type="expression" dxfId="472" priority="107" stopIfTrue="1">
      <formula>A$3=$AK$3</formula>
    </cfRule>
  </conditionalFormatting>
  <conditionalFormatting sqref="B12 B28 B44 B58">
    <cfRule type="expression" dxfId="471" priority="106" stopIfTrue="1">
      <formula>A$3=$AK$3</formula>
    </cfRule>
  </conditionalFormatting>
  <conditionalFormatting sqref="C12 C28 C44 C58">
    <cfRule type="expression" dxfId="470" priority="105" stopIfTrue="1">
      <formula>A$3=$AK$3</formula>
    </cfRule>
  </conditionalFormatting>
  <conditionalFormatting sqref="E5:E7 E14:E23 E30:E39 E46:E53">
    <cfRule type="expression" dxfId="469" priority="104" stopIfTrue="1">
      <formula>D$3=$AK$3</formula>
    </cfRule>
  </conditionalFormatting>
  <conditionalFormatting sqref="F5:F7 F14:F23 F30:F39 F46:F53">
    <cfRule type="expression" dxfId="468" priority="102" stopIfTrue="1">
      <formula>D$3=$AK$3</formula>
    </cfRule>
  </conditionalFormatting>
  <conditionalFormatting sqref="E12 E28 E44 E58">
    <cfRule type="expression" dxfId="467" priority="101" stopIfTrue="1">
      <formula>D$3=$AK$3</formula>
    </cfRule>
  </conditionalFormatting>
  <conditionalFormatting sqref="F12 F28 F44">
    <cfRule type="expression" dxfId="466" priority="100" stopIfTrue="1">
      <formula>D$3=$AK$3</formula>
    </cfRule>
  </conditionalFormatting>
  <conditionalFormatting sqref="H5:H7 H14:H23 H30:H39 H46:H53">
    <cfRule type="expression" dxfId="465" priority="99" stopIfTrue="1">
      <formula>G$3=$AK$3</formula>
    </cfRule>
  </conditionalFormatting>
  <conditionalFormatting sqref="I5:I7 I14:I23 I30:I39 I46:I53">
    <cfRule type="expression" dxfId="464" priority="97" stopIfTrue="1">
      <formula>G$3=$AK$3</formula>
    </cfRule>
  </conditionalFormatting>
  <conditionalFormatting sqref="H12 H28 H44 H58">
    <cfRule type="expression" dxfId="463" priority="96" stopIfTrue="1">
      <formula>G$3=$AK$3</formula>
    </cfRule>
  </conditionalFormatting>
  <conditionalFormatting sqref="I12 I28 I44">
    <cfRule type="expression" dxfId="462" priority="95" stopIfTrue="1">
      <formula>G$3=$AK$3</formula>
    </cfRule>
  </conditionalFormatting>
  <conditionalFormatting sqref="L5:L7 L14:L23 L30:L39 L46:L53">
    <cfRule type="expression" dxfId="461" priority="93" stopIfTrue="1">
      <formula>J$3=$AK$3</formula>
    </cfRule>
  </conditionalFormatting>
  <conditionalFormatting sqref="K12 K28 K44 K58">
    <cfRule type="expression" dxfId="460" priority="91" stopIfTrue="1">
      <formula>J$3=$AK$3</formula>
    </cfRule>
  </conditionalFormatting>
  <conditionalFormatting sqref="L12 L28 L44">
    <cfRule type="expression" dxfId="459" priority="90" stopIfTrue="1">
      <formula>J$3=$AK$3</formula>
    </cfRule>
  </conditionalFormatting>
  <conditionalFormatting sqref="N5:N7 N14:N23 N30:N39 N46:N53">
    <cfRule type="expression" dxfId="458" priority="89" stopIfTrue="1">
      <formula>M$3=$AK$3</formula>
    </cfRule>
  </conditionalFormatting>
  <conditionalFormatting sqref="O5:O7 O14:O23 O30:O39 O46:O53">
    <cfRule type="expression" dxfId="457" priority="87" stopIfTrue="1">
      <formula>M$3=$AK$3</formula>
    </cfRule>
  </conditionalFormatting>
  <conditionalFormatting sqref="N12 N28 N44 N58">
    <cfRule type="expression" dxfId="456" priority="86" stopIfTrue="1">
      <formula>M$3=$AK$3</formula>
    </cfRule>
  </conditionalFormatting>
  <conditionalFormatting sqref="O12 O28 O44">
    <cfRule type="expression" dxfId="455" priority="85" stopIfTrue="1">
      <formula>M$3=$AK$3</formula>
    </cfRule>
  </conditionalFormatting>
  <conditionalFormatting sqref="Q5:Q7 Q14:Q23 Q30:Q39 Q46:Q53">
    <cfRule type="expression" dxfId="454" priority="84" stopIfTrue="1">
      <formula>P$3=$AK$3</formula>
    </cfRule>
  </conditionalFormatting>
  <conditionalFormatting sqref="R5:R7 R14:R23 R30:R39 R46:R53">
    <cfRule type="expression" dxfId="453" priority="82" stopIfTrue="1">
      <formula>P$3=$AK$3</formula>
    </cfRule>
  </conditionalFormatting>
  <conditionalFormatting sqref="Q12 Q28 Q44 Q58">
    <cfRule type="expression" dxfId="452" priority="81" stopIfTrue="1">
      <formula>P$3=$AK$3</formula>
    </cfRule>
  </conditionalFormatting>
  <conditionalFormatting sqref="R12 R28 R44">
    <cfRule type="expression" dxfId="451" priority="80" stopIfTrue="1">
      <formula>P$3=$AK$3</formula>
    </cfRule>
  </conditionalFormatting>
  <conditionalFormatting sqref="T5:T7 T14:T23 T30:T39 T46:T53">
    <cfRule type="expression" dxfId="450" priority="79" stopIfTrue="1">
      <formula>S$3=$AK$3</formula>
    </cfRule>
  </conditionalFormatting>
  <conditionalFormatting sqref="U5:U7 U14:U23 U30:U39 U46:U53">
    <cfRule type="expression" dxfId="449" priority="77" stopIfTrue="1">
      <formula>S$3=$AK$3</formula>
    </cfRule>
  </conditionalFormatting>
  <conditionalFormatting sqref="T12 T28 T44 T58">
    <cfRule type="expression" dxfId="448" priority="76" stopIfTrue="1">
      <formula>S$3=$AK$3</formula>
    </cfRule>
  </conditionalFormatting>
  <conditionalFormatting sqref="U12 U28 U44">
    <cfRule type="expression" dxfId="447" priority="75" stopIfTrue="1">
      <formula>S$3=$AK$3</formula>
    </cfRule>
  </conditionalFormatting>
  <conditionalFormatting sqref="W5:W7 W14:W23 W30:W39 W46:W53">
    <cfRule type="expression" dxfId="446" priority="74" stopIfTrue="1">
      <formula>V$3=$AK$3</formula>
    </cfRule>
  </conditionalFormatting>
  <conditionalFormatting sqref="X5:X7 X14:X23 X30:X39 X46:X53">
    <cfRule type="expression" dxfId="445" priority="72" stopIfTrue="1">
      <formula>V$3=$AK$3</formula>
    </cfRule>
  </conditionalFormatting>
  <conditionalFormatting sqref="W12 W28 W44 W58">
    <cfRule type="expression" dxfId="444" priority="71" stopIfTrue="1">
      <formula>V$3=$AK$3</formula>
    </cfRule>
  </conditionalFormatting>
  <conditionalFormatting sqref="X12 X28 X44">
    <cfRule type="expression" dxfId="443" priority="70" stopIfTrue="1">
      <formula>V$3=$AK$3</formula>
    </cfRule>
  </conditionalFormatting>
  <conditionalFormatting sqref="Z5:Z7 Z14:Z23 Z30:Z39 Z46:Z53">
    <cfRule type="expression" dxfId="442" priority="69" stopIfTrue="1">
      <formula>Y$3=$AK$3</formula>
    </cfRule>
  </conditionalFormatting>
  <conditionalFormatting sqref="AA5:AA7 AA14:AA23 AA30:AA39 AA46:AA53">
    <cfRule type="expression" dxfId="441" priority="67" stopIfTrue="1">
      <formula>Y$3=$AK$3</formula>
    </cfRule>
  </conditionalFormatting>
  <conditionalFormatting sqref="Z12 Z28 Z44 Z58">
    <cfRule type="expression" dxfId="440" priority="66" stopIfTrue="1">
      <formula>Y$3=$AK$3</formula>
    </cfRule>
  </conditionalFormatting>
  <conditionalFormatting sqref="AA12 AA28 AA44">
    <cfRule type="expression" dxfId="439" priority="65" stopIfTrue="1">
      <formula>Y$3=$AK$3</formula>
    </cfRule>
  </conditionalFormatting>
  <conditionalFormatting sqref="AC5:AC7 AC14:AC23 AC30:AC39 AC46:AC53">
    <cfRule type="expression" dxfId="438" priority="64" stopIfTrue="1">
      <formula>AB$3=$AK$3</formula>
    </cfRule>
  </conditionalFormatting>
  <conditionalFormatting sqref="AD5:AD7 AD14:AD23 AD30:AD39 AD46:AD53">
    <cfRule type="expression" dxfId="437" priority="62" stopIfTrue="1">
      <formula>AB$3=$AK$3</formula>
    </cfRule>
  </conditionalFormatting>
  <conditionalFormatting sqref="AC12 AC28 AC44 AC58">
    <cfRule type="expression" dxfId="436" priority="61" stopIfTrue="1">
      <formula>AB$3=$AK$3</formula>
    </cfRule>
  </conditionalFormatting>
  <conditionalFormatting sqref="AD12 AD28 AD44">
    <cfRule type="expression" dxfId="435" priority="60" stopIfTrue="1">
      <formula>AB$3=$AK$3</formula>
    </cfRule>
  </conditionalFormatting>
  <conditionalFormatting sqref="AF5:AF7 AF14:AF23 AF30:AF39 AF46:AF53">
    <cfRule type="expression" dxfId="434" priority="59" stopIfTrue="1">
      <formula>AE$3=$AK$3</formula>
    </cfRule>
  </conditionalFormatting>
  <conditionalFormatting sqref="AG5:AG7 AG14:AG23 AG30:AG39 AG46:AG53">
    <cfRule type="expression" dxfId="433" priority="57" stopIfTrue="1">
      <formula>AE$3=$AK$3</formula>
    </cfRule>
  </conditionalFormatting>
  <conditionalFormatting sqref="AF12 AF28 AF44 AF58">
    <cfRule type="expression" dxfId="432" priority="56" stopIfTrue="1">
      <formula>AE$3=$AK$3</formula>
    </cfRule>
  </conditionalFormatting>
  <conditionalFormatting sqref="AG12 AG28 AG44">
    <cfRule type="expression" dxfId="431" priority="55" stopIfTrue="1">
      <formula>AE$3=$AK$3</formula>
    </cfRule>
  </conditionalFormatting>
  <conditionalFormatting sqref="AI5:AI7 AI14:AI23 AI30:AI39 AI46:AI53">
    <cfRule type="expression" dxfId="430" priority="54" stopIfTrue="1">
      <formula>AH$3=$AK$3</formula>
    </cfRule>
  </conditionalFormatting>
  <conditionalFormatting sqref="AJ5:AJ7 AJ14:AJ23 AJ30:AJ39 AJ46:AJ53">
    <cfRule type="expression" dxfId="429" priority="52" stopIfTrue="1">
      <formula>AH$3=$AK$3</formula>
    </cfRule>
  </conditionalFormatting>
  <conditionalFormatting sqref="AI12 AI28 AI44 AI58">
    <cfRule type="expression" dxfId="428" priority="51" stopIfTrue="1">
      <formula>AH$3=$AK$3</formula>
    </cfRule>
  </conditionalFormatting>
  <conditionalFormatting sqref="AJ12 AJ28 AJ44">
    <cfRule type="expression" dxfId="427" priority="50" stopIfTrue="1">
      <formula>AH$3=$AK$3</formula>
    </cfRule>
  </conditionalFormatting>
  <conditionalFormatting sqref="K5:K7 K14:K23 K30:K39 K46:K53">
    <cfRule type="expression" dxfId="426" priority="422" stopIfTrue="1">
      <formula>J$3=$AK$3</formula>
    </cfRule>
  </conditionalFormatting>
  <conditionalFormatting sqref="A5:AJ7 A14:AJ23 A30:AJ39 A46:AJ53">
    <cfRule type="expression" dxfId="425" priority="49" stopIfTrue="1">
      <formula>$A5=""</formula>
    </cfRule>
  </conditionalFormatting>
  <conditionalFormatting sqref="O59">
    <cfRule type="expression" dxfId="424" priority="39" stopIfTrue="1">
      <formula>M$3=$AK$3</formula>
    </cfRule>
  </conditionalFormatting>
  <conditionalFormatting sqref="B59">
    <cfRule type="expression" dxfId="423" priority="47" stopIfTrue="1">
      <formula>A$3=$AK$3</formula>
    </cfRule>
  </conditionalFormatting>
  <conditionalFormatting sqref="C59">
    <cfRule type="expression" dxfId="422" priority="46" stopIfTrue="1">
      <formula>A$3=$AK$3</formula>
    </cfRule>
  </conditionalFormatting>
  <conditionalFormatting sqref="H59">
    <cfRule type="expression" dxfId="421" priority="22" stopIfTrue="1">
      <formula>G$3=$AK$3</formula>
    </cfRule>
  </conditionalFormatting>
  <conditionalFormatting sqref="F59">
    <cfRule type="expression" dxfId="420" priority="44" stopIfTrue="1">
      <formula>D$3=$AK$3</formula>
    </cfRule>
  </conditionalFormatting>
  <conditionalFormatting sqref="K59">
    <cfRule type="expression" dxfId="419" priority="21" stopIfTrue="1">
      <formula>J$3=$AK$3</formula>
    </cfRule>
  </conditionalFormatting>
  <conditionalFormatting sqref="N59">
    <cfRule type="expression" dxfId="418" priority="20" stopIfTrue="1">
      <formula>M$3=$AK$3</formula>
    </cfRule>
  </conditionalFormatting>
  <conditionalFormatting sqref="Q59">
    <cfRule type="expression" dxfId="417" priority="19" stopIfTrue="1">
      <formula>P$3=$AK$3</formula>
    </cfRule>
  </conditionalFormatting>
  <conditionalFormatting sqref="R59">
    <cfRule type="expression" dxfId="416" priority="37" stopIfTrue="1">
      <formula>P$3=$AK$3</formula>
    </cfRule>
  </conditionalFormatting>
  <conditionalFormatting sqref="T59">
    <cfRule type="expression" dxfId="415" priority="18" stopIfTrue="1">
      <formula>S$3=$AK$3</formula>
    </cfRule>
  </conditionalFormatting>
  <conditionalFormatting sqref="U59">
    <cfRule type="expression" dxfId="414" priority="35" stopIfTrue="1">
      <formula>S$3=$AK$3</formula>
    </cfRule>
  </conditionalFormatting>
  <conditionalFormatting sqref="W59">
    <cfRule type="expression" dxfId="413" priority="17" stopIfTrue="1">
      <formula>V$3=$AK$3</formula>
    </cfRule>
  </conditionalFormatting>
  <conditionalFormatting sqref="X59">
    <cfRule type="expression" dxfId="412" priority="33" stopIfTrue="1">
      <formula>V$3=$AK$3</formula>
    </cfRule>
  </conditionalFormatting>
  <conditionalFormatting sqref="Z59">
    <cfRule type="expression" dxfId="411" priority="16" stopIfTrue="1">
      <formula>Y$3=$AK$3</formula>
    </cfRule>
  </conditionalFormatting>
  <conditionalFormatting sqref="AA59">
    <cfRule type="expression" dxfId="410" priority="31" stopIfTrue="1">
      <formula>Y$3=$AK$3</formula>
    </cfRule>
  </conditionalFormatting>
  <conditionalFormatting sqref="AC59">
    <cfRule type="expression" dxfId="409" priority="15" stopIfTrue="1">
      <formula>AB$3=$AK$3</formula>
    </cfRule>
  </conditionalFormatting>
  <conditionalFormatting sqref="AD59">
    <cfRule type="expression" dxfId="408" priority="29" stopIfTrue="1">
      <formula>AB$3=$AK$3</formula>
    </cfRule>
  </conditionalFormatting>
  <conditionalFormatting sqref="AF59">
    <cfRule type="expression" dxfId="407" priority="14" stopIfTrue="1">
      <formula>AE$3=$AK$3</formula>
    </cfRule>
  </conditionalFormatting>
  <conditionalFormatting sqref="AG59">
    <cfRule type="expression" dxfId="406" priority="27" stopIfTrue="1">
      <formula>AE$3=$AK$3</formula>
    </cfRule>
  </conditionalFormatting>
  <conditionalFormatting sqref="AI59">
    <cfRule type="expression" dxfId="405" priority="13" stopIfTrue="1">
      <formula>AH$3=$AK$3</formula>
    </cfRule>
  </conditionalFormatting>
  <conditionalFormatting sqref="AJ59">
    <cfRule type="expression" dxfId="404" priority="25" stopIfTrue="1">
      <formula>AH$3=$AK$3</formula>
    </cfRule>
  </conditionalFormatting>
  <conditionalFormatting sqref="L59">
    <cfRule type="expression" dxfId="403" priority="24" stopIfTrue="1">
      <formula>J$3=$AK$3</formula>
    </cfRule>
  </conditionalFormatting>
  <conditionalFormatting sqref="E59">
    <cfRule type="expression" dxfId="402" priority="23" stopIfTrue="1">
      <formula>D$3=$AK$3</formula>
    </cfRule>
  </conditionalFormatting>
  <conditionalFormatting sqref="I59">
    <cfRule type="expression" dxfId="401" priority="12" stopIfTrue="1">
      <formula>G$3=$AK$3</formula>
    </cfRule>
  </conditionalFormatting>
  <conditionalFormatting sqref="F58">
    <cfRule type="expression" dxfId="400" priority="11" stopIfTrue="1">
      <formula>D$3=$AK$3</formula>
    </cfRule>
  </conditionalFormatting>
  <conditionalFormatting sqref="I58">
    <cfRule type="expression" dxfId="399" priority="10" stopIfTrue="1">
      <formula>G$3=$AK$3</formula>
    </cfRule>
  </conditionalFormatting>
  <conditionalFormatting sqref="L58">
    <cfRule type="expression" dxfId="398" priority="9" stopIfTrue="1">
      <formula>J$3=$AK$3</formula>
    </cfRule>
  </conditionalFormatting>
  <conditionalFormatting sqref="O58">
    <cfRule type="expression" dxfId="397" priority="8" stopIfTrue="1">
      <formula>M$3=$AK$3</formula>
    </cfRule>
  </conditionalFormatting>
  <conditionalFormatting sqref="R58">
    <cfRule type="expression" dxfId="396" priority="7" stopIfTrue="1">
      <formula>P$3=$AK$3</formula>
    </cfRule>
  </conditionalFormatting>
  <conditionalFormatting sqref="U58">
    <cfRule type="expression" dxfId="395" priority="6" stopIfTrue="1">
      <formula>S$3=$AK$3</formula>
    </cfRule>
  </conditionalFormatting>
  <conditionalFormatting sqref="X58">
    <cfRule type="expression" dxfId="394" priority="5" stopIfTrue="1">
      <formula>V$3=$AK$3</formula>
    </cfRule>
  </conditionalFormatting>
  <conditionalFormatting sqref="AA58">
    <cfRule type="expression" dxfId="393" priority="4" stopIfTrue="1">
      <formula>Y$3=$AK$3</formula>
    </cfRule>
  </conditionalFormatting>
  <conditionalFormatting sqref="AD58">
    <cfRule type="expression" dxfId="392" priority="3" stopIfTrue="1">
      <formula>AB$3=$AK$3</formula>
    </cfRule>
  </conditionalFormatting>
  <conditionalFormatting sqref="AG58">
    <cfRule type="expression" dxfId="391" priority="2" stopIfTrue="1">
      <formula>AE$3=$AK$3</formula>
    </cfRule>
  </conditionalFormatting>
  <conditionalFormatting sqref="AJ58">
    <cfRule type="expression" dxfId="390" priority="1" stopIfTrue="1">
      <formula>AH$3=$AK$3</formula>
    </cfRule>
  </conditionalFormatting>
  <dataValidations count="7">
    <dataValidation type="list" allowBlank="1" showErrorMessage="1" error="Il giocatore inserito non esiste." sqref="E30:E39 AF30:AF39 N30:N39 B30:B39 AI30:AI39 Q30:Q39 K30:K39 H30:H39 AC30:AC39 Z30:Z39 W30:W39 T30:T39" xr:uid="{00000000-0002-0000-0200-000000000000}">
      <formula1>IF($A$1=1,IF(A30="C",ListaC,ListaT),IF(A30="C",ListaC1,ListaT1))</formula1>
      <formula2>0</formula2>
    </dataValidation>
    <dataValidation type="list" allowBlank="1" showErrorMessage="1" sqref="W64:W70 Z64:Z70 AC64:AC70 AF64:AF70 AI64:AJ70 B64:B70 E64:E70 H64:H70 K64:K70 N64:N70 Q64:Q70 T64:T70" xr:uid="{00000000-0002-0000-0200-000001000000}">
      <formula1>IF($A$1=1,ListaP,ListaP1)</formula1>
      <formula2>0</formula2>
    </dataValidation>
    <dataValidation allowBlank="1" showErrorMessage="1" sqref="B74:C93 AC74:AD93 AF74:AG93 E74:F93 H74:I93 K74:L93 N74:O93 Q74:R93 T74:U93 W74:X93 Z74:AA93 AI74:AJ93" xr:uid="{00000000-0002-0000-0200-000002000000}"/>
    <dataValidation type="list" allowBlank="1" showErrorMessage="1" error="Il giocatore inserito non esiste." sqref="AI5:AI7 E5:E7 H5:H7 K5:K7 N5:N7 Q5:Q7 T5:T7 W5:W7 Z5:Z7 AC5:AC7 AF5:AF7 B5" xr:uid="{00000000-0002-0000-0200-000003000000}">
      <formula1>IF($A$1=1,ListaP,ListaP1)</formula1>
    </dataValidation>
    <dataValidation type="list" allowBlank="1" showErrorMessage="1" error="Il giocatore inserito non esiste." sqref="B14:B23 E14:E23 H14:H23 K14:K23 N14:N23 Q14:Q23 T14:T23 W14:W23 Z14:Z23 AC14:AC23 AF14:AF23 AI14:AI23" xr:uid="{00000000-0002-0000-0200-000004000000}">
      <formula1>IF($A$1=1,ListaD,ListaD1)</formula1>
    </dataValidation>
    <dataValidation type="list" allowBlank="1" showErrorMessage="1" error="Il giocatore inserito non esiste." sqref="B46:B53 E46:E53 H46:H53 K46:K53 Q46:Q53 N46:N53 T46:T53 W46:W53 Z46:Z53 AC46:AC53 AF46:AF53 AI46:AI53" xr:uid="{00000000-0002-0000-0200-000005000000}">
      <formula1>IF($A$1=1,ListaA,ListaA1)</formula1>
    </dataValidation>
    <dataValidation type="list" allowBlank="1" showErrorMessage="1" error="Il giocatore inserito non esiste." sqref="B6 B7" xr:uid="{BC01BEC2-6B5B-48F2-AA5D-BE33554DD07B}">
      <formula1>IF($A$1=1,ListaP,ListaP1)</formula1>
    </dataValidation>
  </dataValidations>
  <pageMargins left="0.11805555555555555" right="0.11805555555555555" top="0.11805555555555555" bottom="0.11805555555555555" header="0.51180555555555551" footer="0.51180555555555551"/>
  <pageSetup paperSize="9" firstPageNumber="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19">
    <tabColor rgb="FFFFCC99"/>
  </sheetPr>
  <dimension ref="A1:C574"/>
  <sheetViews>
    <sheetView workbookViewId="0">
      <selection activeCell="C15" sqref="C15"/>
    </sheetView>
  </sheetViews>
  <sheetFormatPr defaultRowHeight="12.75"/>
  <cols>
    <col min="1" max="1" width="7" bestFit="1" customWidth="1"/>
    <col min="2" max="2" width="19.7109375" bestFit="1" customWidth="1"/>
    <col min="3" max="3" width="12.42578125" bestFit="1" customWidth="1"/>
    <col min="4" max="4" width="32.7109375" bestFit="1" customWidth="1"/>
    <col min="5" max="5" width="16" bestFit="1" customWidth="1"/>
    <col min="6" max="6" width="12.5703125" bestFit="1" customWidth="1"/>
    <col min="7" max="7" width="11.5703125" bestFit="1" customWidth="1"/>
    <col min="8" max="8" width="6.5703125" bestFit="1" customWidth="1"/>
    <col min="9" max="9" width="6.28515625" bestFit="1" customWidth="1"/>
    <col min="10" max="10" width="16" customWidth="1"/>
    <col min="11" max="11" width="17.42578125" bestFit="1" customWidth="1"/>
  </cols>
  <sheetData>
    <row r="1" spans="1:3" ht="15.75">
      <c r="A1" s="578" t="s">
        <v>1321</v>
      </c>
      <c r="B1" s="579"/>
      <c r="C1" s="580"/>
    </row>
    <row r="2" spans="1:3" ht="15">
      <c r="A2" s="223" t="s">
        <v>638</v>
      </c>
      <c r="B2" s="223" t="s">
        <v>920</v>
      </c>
      <c r="C2" s="223" t="s">
        <v>637</v>
      </c>
    </row>
    <row r="3" spans="1:3" ht="15">
      <c r="A3" s="426" t="s">
        <v>43</v>
      </c>
      <c r="B3" s="426" t="s">
        <v>393</v>
      </c>
      <c r="C3" s="426" t="s">
        <v>676</v>
      </c>
    </row>
    <row r="4" spans="1:3" ht="15">
      <c r="A4" s="426" t="s">
        <v>43</v>
      </c>
      <c r="B4" s="426" t="s">
        <v>396</v>
      </c>
      <c r="C4" s="426" t="s">
        <v>677</v>
      </c>
    </row>
    <row r="5" spans="1:3" ht="15">
      <c r="A5" s="426" t="s">
        <v>43</v>
      </c>
      <c r="B5" s="426" t="s">
        <v>310</v>
      </c>
      <c r="C5" s="426" t="s">
        <v>687</v>
      </c>
    </row>
    <row r="6" spans="1:3" ht="15">
      <c r="A6" s="426" t="s">
        <v>43</v>
      </c>
      <c r="B6" s="426" t="s">
        <v>552</v>
      </c>
      <c r="C6" s="426" t="s">
        <v>681</v>
      </c>
    </row>
    <row r="7" spans="1:3" ht="15">
      <c r="A7" s="426" t="s">
        <v>43</v>
      </c>
      <c r="B7" s="426" t="s">
        <v>358</v>
      </c>
      <c r="C7" s="426" t="s">
        <v>695</v>
      </c>
    </row>
    <row r="8" spans="1:3" ht="15">
      <c r="A8" s="426" t="s">
        <v>43</v>
      </c>
      <c r="B8" s="426" t="s">
        <v>408</v>
      </c>
      <c r="C8" s="426" t="s">
        <v>681</v>
      </c>
    </row>
    <row r="9" spans="1:3" ht="15">
      <c r="A9" s="426" t="s">
        <v>43</v>
      </c>
      <c r="B9" s="426" t="s">
        <v>401</v>
      </c>
      <c r="C9" s="426" t="s">
        <v>682</v>
      </c>
    </row>
    <row r="10" spans="1:3" ht="15">
      <c r="A10" s="426" t="s">
        <v>43</v>
      </c>
      <c r="B10" s="426" t="s">
        <v>355</v>
      </c>
      <c r="C10" s="426" t="s">
        <v>676</v>
      </c>
    </row>
    <row r="11" spans="1:3" ht="15">
      <c r="A11" s="426" t="s">
        <v>39</v>
      </c>
      <c r="B11" s="426" t="s">
        <v>483</v>
      </c>
      <c r="C11" s="426" t="s">
        <v>681</v>
      </c>
    </row>
    <row r="12" spans="1:3" ht="15">
      <c r="A12" s="426" t="s">
        <v>39</v>
      </c>
      <c r="B12" s="426" t="s">
        <v>567</v>
      </c>
      <c r="C12" s="426" t="s">
        <v>695</v>
      </c>
    </row>
    <row r="13" spans="1:3" ht="15">
      <c r="A13" s="426" t="s">
        <v>43</v>
      </c>
      <c r="B13" s="426" t="s">
        <v>328</v>
      </c>
      <c r="C13" s="426" t="s">
        <v>681</v>
      </c>
    </row>
    <row r="14" spans="1:3" ht="15">
      <c r="A14" s="426" t="s">
        <v>43</v>
      </c>
      <c r="B14" s="426" t="s">
        <v>418</v>
      </c>
      <c r="C14" s="426" t="s">
        <v>678</v>
      </c>
    </row>
    <row r="15" spans="1:3" ht="15">
      <c r="A15" s="426" t="s">
        <v>43</v>
      </c>
      <c r="B15" s="426" t="s">
        <v>476</v>
      </c>
      <c r="C15" s="426" t="s">
        <v>686</v>
      </c>
    </row>
    <row r="16" spans="1:3" ht="15">
      <c r="A16" s="426" t="s">
        <v>43</v>
      </c>
      <c r="B16" s="426" t="s">
        <v>1293</v>
      </c>
      <c r="C16" s="426" t="s">
        <v>682</v>
      </c>
    </row>
    <row r="17" spans="1:3" ht="15">
      <c r="A17" s="426" t="s">
        <v>39</v>
      </c>
      <c r="B17" s="426" t="s">
        <v>580</v>
      </c>
      <c r="C17" s="426" t="s">
        <v>677</v>
      </c>
    </row>
    <row r="18" spans="1:3" ht="15">
      <c r="A18" s="426" t="s">
        <v>43</v>
      </c>
      <c r="B18" s="426" t="s">
        <v>319</v>
      </c>
      <c r="C18" s="426" t="s">
        <v>1477</v>
      </c>
    </row>
    <row r="19" spans="1:3" ht="15">
      <c r="A19" s="426" t="s">
        <v>43</v>
      </c>
      <c r="B19" s="426" t="s">
        <v>369</v>
      </c>
      <c r="C19" s="426" t="s">
        <v>685</v>
      </c>
    </row>
    <row r="20" spans="1:3" ht="15">
      <c r="A20" s="426" t="s">
        <v>39</v>
      </c>
      <c r="B20" s="426" t="s">
        <v>340</v>
      </c>
      <c r="C20" s="426" t="s">
        <v>676</v>
      </c>
    </row>
    <row r="21" spans="1:3" ht="15">
      <c r="A21" s="426" t="s">
        <v>43</v>
      </c>
      <c r="B21" s="426" t="s">
        <v>610</v>
      </c>
      <c r="C21" s="426" t="s">
        <v>678</v>
      </c>
    </row>
    <row r="22" spans="1:3" ht="15">
      <c r="A22" s="426" t="s">
        <v>35</v>
      </c>
      <c r="B22" s="426" t="s">
        <v>316</v>
      </c>
      <c r="C22" s="426" t="s">
        <v>676</v>
      </c>
    </row>
    <row r="23" spans="1:3" ht="15">
      <c r="A23" s="426" t="s">
        <v>43</v>
      </c>
      <c r="B23" s="426" t="s">
        <v>494</v>
      </c>
      <c r="C23" s="426" t="s">
        <v>688</v>
      </c>
    </row>
    <row r="24" spans="1:3" ht="15">
      <c r="A24" s="426" t="s">
        <v>43</v>
      </c>
      <c r="B24" s="426" t="s">
        <v>509</v>
      </c>
      <c r="C24" s="426" t="s">
        <v>688</v>
      </c>
    </row>
    <row r="25" spans="1:3" ht="15">
      <c r="A25" s="426" t="s">
        <v>43</v>
      </c>
      <c r="B25" s="426" t="s">
        <v>433</v>
      </c>
      <c r="C25" s="426" t="s">
        <v>676</v>
      </c>
    </row>
    <row r="26" spans="1:3" ht="15">
      <c r="A26" s="426" t="s">
        <v>39</v>
      </c>
      <c r="B26" s="426" t="s">
        <v>1734</v>
      </c>
      <c r="C26" s="426" t="s">
        <v>676</v>
      </c>
    </row>
    <row r="27" spans="1:3" ht="15">
      <c r="A27" s="426" t="s">
        <v>39</v>
      </c>
      <c r="B27" s="426" t="s">
        <v>582</v>
      </c>
      <c r="C27" s="426" t="s">
        <v>676</v>
      </c>
    </row>
    <row r="28" spans="1:3" ht="15">
      <c r="A28" s="426" t="s">
        <v>39</v>
      </c>
      <c r="B28" s="426" t="s">
        <v>456</v>
      </c>
      <c r="C28" s="426" t="s">
        <v>682</v>
      </c>
    </row>
    <row r="29" spans="1:3" ht="15">
      <c r="A29" s="426" t="s">
        <v>39</v>
      </c>
      <c r="B29" s="426" t="s">
        <v>624</v>
      </c>
      <c r="C29" s="426" t="s">
        <v>681</v>
      </c>
    </row>
    <row r="30" spans="1:3" ht="15">
      <c r="A30" s="426" t="s">
        <v>39</v>
      </c>
      <c r="B30" s="426" t="s">
        <v>532</v>
      </c>
      <c r="C30" s="426" t="s">
        <v>687</v>
      </c>
    </row>
    <row r="31" spans="1:3" ht="15">
      <c r="A31" s="426" t="s">
        <v>43</v>
      </c>
      <c r="B31" s="426" t="s">
        <v>1780</v>
      </c>
      <c r="C31" s="426" t="s">
        <v>1674</v>
      </c>
    </row>
    <row r="32" spans="1:3" ht="15">
      <c r="A32" s="426" t="s">
        <v>43</v>
      </c>
      <c r="B32" s="426" t="s">
        <v>315</v>
      </c>
      <c r="C32" s="426" t="s">
        <v>685</v>
      </c>
    </row>
    <row r="33" spans="1:3" ht="15">
      <c r="A33" s="426" t="s">
        <v>43</v>
      </c>
      <c r="B33" s="426" t="s">
        <v>454</v>
      </c>
      <c r="C33" s="426" t="s">
        <v>681</v>
      </c>
    </row>
    <row r="34" spans="1:3" ht="15">
      <c r="A34" s="426" t="s">
        <v>35</v>
      </c>
      <c r="B34" s="426" t="s">
        <v>1294</v>
      </c>
      <c r="C34" s="426" t="s">
        <v>678</v>
      </c>
    </row>
    <row r="35" spans="1:3" ht="15">
      <c r="A35" s="426" t="s">
        <v>39</v>
      </c>
      <c r="B35" s="426" t="s">
        <v>1938</v>
      </c>
      <c r="C35" s="426" t="s">
        <v>676</v>
      </c>
    </row>
    <row r="36" spans="1:3" ht="15">
      <c r="A36" s="426" t="s">
        <v>43</v>
      </c>
      <c r="B36" s="426" t="s">
        <v>514</v>
      </c>
      <c r="C36" s="426" t="s">
        <v>684</v>
      </c>
    </row>
    <row r="37" spans="1:3" ht="15">
      <c r="A37" s="426" t="s">
        <v>43</v>
      </c>
      <c r="B37" s="426" t="s">
        <v>1778</v>
      </c>
      <c r="C37" s="426" t="s">
        <v>678</v>
      </c>
    </row>
    <row r="38" spans="1:3" ht="15">
      <c r="A38" s="426" t="s">
        <v>43</v>
      </c>
      <c r="B38" s="426" t="s">
        <v>425</v>
      </c>
      <c r="C38" s="426" t="s">
        <v>679</v>
      </c>
    </row>
    <row r="39" spans="1:3" ht="15">
      <c r="A39" s="426" t="s">
        <v>43</v>
      </c>
      <c r="B39" s="426" t="s">
        <v>1291</v>
      </c>
      <c r="C39" s="426" t="s">
        <v>692</v>
      </c>
    </row>
    <row r="40" spans="1:3" ht="15">
      <c r="A40" s="426" t="s">
        <v>43</v>
      </c>
      <c r="B40" s="426" t="s">
        <v>405</v>
      </c>
      <c r="C40" s="426" t="s">
        <v>680</v>
      </c>
    </row>
    <row r="41" spans="1:3" ht="15">
      <c r="A41" s="426" t="s">
        <v>43</v>
      </c>
      <c r="B41" s="426" t="s">
        <v>621</v>
      </c>
      <c r="C41" s="426" t="s">
        <v>691</v>
      </c>
    </row>
    <row r="42" spans="1:3" ht="15">
      <c r="A42" s="426" t="s">
        <v>43</v>
      </c>
      <c r="B42" s="426" t="s">
        <v>344</v>
      </c>
      <c r="C42" s="426" t="s">
        <v>691</v>
      </c>
    </row>
    <row r="43" spans="1:3" ht="15">
      <c r="A43" s="426" t="s">
        <v>35</v>
      </c>
      <c r="B43" s="426" t="s">
        <v>416</v>
      </c>
      <c r="C43" s="426" t="s">
        <v>681</v>
      </c>
    </row>
    <row r="44" spans="1:3" ht="15">
      <c r="A44" s="426" t="s">
        <v>39</v>
      </c>
      <c r="B44" s="426" t="s">
        <v>378</v>
      </c>
      <c r="C44" s="426" t="s">
        <v>677</v>
      </c>
    </row>
    <row r="45" spans="1:3" ht="15">
      <c r="A45" s="426" t="s">
        <v>39</v>
      </c>
      <c r="B45" s="426" t="s">
        <v>357</v>
      </c>
      <c r="C45" s="426" t="s">
        <v>678</v>
      </c>
    </row>
    <row r="46" spans="1:3" ht="15">
      <c r="A46" s="426" t="s">
        <v>39</v>
      </c>
      <c r="B46" s="426" t="s">
        <v>1735</v>
      </c>
      <c r="C46" s="426" t="s">
        <v>678</v>
      </c>
    </row>
    <row r="47" spans="1:3" ht="15">
      <c r="A47" s="426" t="s">
        <v>39</v>
      </c>
      <c r="B47" s="426" t="s">
        <v>581</v>
      </c>
      <c r="C47" s="426" t="s">
        <v>695</v>
      </c>
    </row>
    <row r="48" spans="1:3" ht="15">
      <c r="A48" s="426" t="s">
        <v>39</v>
      </c>
      <c r="B48" s="426" t="s">
        <v>493</v>
      </c>
      <c r="C48" s="426" t="s">
        <v>687</v>
      </c>
    </row>
    <row r="49" spans="1:3" ht="15">
      <c r="A49" s="426" t="s">
        <v>43</v>
      </c>
      <c r="B49" s="426" t="s">
        <v>341</v>
      </c>
      <c r="C49" s="426" t="s">
        <v>695</v>
      </c>
    </row>
    <row r="50" spans="1:3" ht="15">
      <c r="A50" s="426" t="s">
        <v>43</v>
      </c>
      <c r="B50" s="426" t="s">
        <v>365</v>
      </c>
      <c r="C50" s="426" t="s">
        <v>695</v>
      </c>
    </row>
    <row r="51" spans="1:3" ht="15">
      <c r="A51" s="426" t="s">
        <v>43</v>
      </c>
      <c r="B51" s="426" t="s">
        <v>522</v>
      </c>
      <c r="C51" s="426" t="s">
        <v>681</v>
      </c>
    </row>
    <row r="52" spans="1:3" ht="15">
      <c r="A52" s="426" t="s">
        <v>35</v>
      </c>
      <c r="B52" s="426" t="s">
        <v>356</v>
      </c>
      <c r="C52" s="426" t="s">
        <v>677</v>
      </c>
    </row>
    <row r="53" spans="1:3" ht="15">
      <c r="A53" s="426" t="s">
        <v>37</v>
      </c>
      <c r="B53" s="426" t="s">
        <v>1861</v>
      </c>
      <c r="C53" s="426" t="s">
        <v>678</v>
      </c>
    </row>
    <row r="54" spans="1:3" ht="15">
      <c r="A54" s="426" t="s">
        <v>37</v>
      </c>
      <c r="B54" s="426" t="s">
        <v>312</v>
      </c>
      <c r="C54" s="426" t="s">
        <v>676</v>
      </c>
    </row>
    <row r="55" spans="1:3" ht="15">
      <c r="A55" s="426" t="s">
        <v>37</v>
      </c>
      <c r="B55" s="426" t="s">
        <v>390</v>
      </c>
      <c r="C55" s="426" t="s">
        <v>686</v>
      </c>
    </row>
    <row r="56" spans="1:3" ht="15">
      <c r="A56" s="426" t="s">
        <v>39</v>
      </c>
      <c r="B56" s="426" t="s">
        <v>506</v>
      </c>
      <c r="C56" s="426" t="s">
        <v>700</v>
      </c>
    </row>
    <row r="57" spans="1:3" ht="15">
      <c r="A57" s="426" t="s">
        <v>39</v>
      </c>
      <c r="B57" s="426" t="s">
        <v>354</v>
      </c>
      <c r="C57" s="426" t="s">
        <v>680</v>
      </c>
    </row>
    <row r="58" spans="1:3" ht="15">
      <c r="A58" s="426" t="s">
        <v>39</v>
      </c>
      <c r="B58" s="426" t="s">
        <v>513</v>
      </c>
      <c r="C58" s="426" t="s">
        <v>676</v>
      </c>
    </row>
    <row r="59" spans="1:3" ht="15">
      <c r="A59" s="426" t="s">
        <v>39</v>
      </c>
      <c r="B59" s="426" t="s">
        <v>555</v>
      </c>
      <c r="C59" s="426" t="s">
        <v>682</v>
      </c>
    </row>
    <row r="60" spans="1:3" ht="15">
      <c r="A60" s="426" t="s">
        <v>39</v>
      </c>
      <c r="B60" s="426" t="s">
        <v>1923</v>
      </c>
      <c r="C60" s="426" t="s">
        <v>688</v>
      </c>
    </row>
    <row r="61" spans="1:3" ht="15">
      <c r="A61" s="426" t="s">
        <v>43</v>
      </c>
      <c r="B61" s="426" t="s">
        <v>1810</v>
      </c>
      <c r="C61" s="426" t="s">
        <v>684</v>
      </c>
    </row>
    <row r="62" spans="1:3" ht="15">
      <c r="A62" s="426" t="s">
        <v>43</v>
      </c>
      <c r="B62" s="426" t="s">
        <v>486</v>
      </c>
      <c r="C62" s="426" t="s">
        <v>686</v>
      </c>
    </row>
    <row r="63" spans="1:3" ht="15">
      <c r="A63" s="426" t="s">
        <v>35</v>
      </c>
      <c r="B63" s="426" t="s">
        <v>300</v>
      </c>
      <c r="C63" s="426" t="s">
        <v>695</v>
      </c>
    </row>
    <row r="64" spans="1:3" ht="15">
      <c r="A64" s="426" t="s">
        <v>37</v>
      </c>
      <c r="B64" s="426" t="s">
        <v>301</v>
      </c>
      <c r="C64" s="426" t="s">
        <v>685</v>
      </c>
    </row>
    <row r="65" spans="1:3" ht="15">
      <c r="A65" s="426" t="s">
        <v>37</v>
      </c>
      <c r="B65" s="426" t="s">
        <v>1692</v>
      </c>
      <c r="C65" s="426" t="s">
        <v>695</v>
      </c>
    </row>
    <row r="66" spans="1:3" ht="15">
      <c r="A66" s="426" t="s">
        <v>37</v>
      </c>
      <c r="B66" s="426" t="s">
        <v>523</v>
      </c>
      <c r="C66" s="426" t="s">
        <v>681</v>
      </c>
    </row>
    <row r="67" spans="1:3" ht="15">
      <c r="A67" s="426" t="s">
        <v>37</v>
      </c>
      <c r="B67" s="426" t="s">
        <v>371</v>
      </c>
      <c r="C67" s="426" t="s">
        <v>678</v>
      </c>
    </row>
    <row r="68" spans="1:3" ht="15">
      <c r="A68" s="426" t="s">
        <v>37</v>
      </c>
      <c r="B68" s="426" t="s">
        <v>429</v>
      </c>
      <c r="C68" s="426" t="s">
        <v>678</v>
      </c>
    </row>
    <row r="69" spans="1:3" ht="15">
      <c r="A69" s="426" t="s">
        <v>37</v>
      </c>
      <c r="B69" s="426" t="s">
        <v>455</v>
      </c>
      <c r="C69" s="426" t="s">
        <v>682</v>
      </c>
    </row>
    <row r="70" spans="1:3" ht="15">
      <c r="A70" s="426" t="s">
        <v>37</v>
      </c>
      <c r="B70" s="426" t="s">
        <v>417</v>
      </c>
      <c r="C70" s="426" t="s">
        <v>676</v>
      </c>
    </row>
    <row r="71" spans="1:3" ht="15">
      <c r="A71" s="426" t="s">
        <v>39</v>
      </c>
      <c r="B71" s="426" t="s">
        <v>335</v>
      </c>
      <c r="C71" s="426" t="s">
        <v>692</v>
      </c>
    </row>
    <row r="72" spans="1:3" ht="15">
      <c r="A72" s="426" t="s">
        <v>39</v>
      </c>
      <c r="B72" s="426" t="s">
        <v>1303</v>
      </c>
      <c r="C72" s="426" t="s">
        <v>678</v>
      </c>
    </row>
    <row r="73" spans="1:3" ht="15">
      <c r="A73" s="426" t="s">
        <v>39</v>
      </c>
      <c r="B73" s="426" t="s">
        <v>606</v>
      </c>
      <c r="C73" s="426" t="s">
        <v>695</v>
      </c>
    </row>
    <row r="74" spans="1:3" ht="15">
      <c r="A74" s="426" t="s">
        <v>43</v>
      </c>
      <c r="B74" s="426" t="s">
        <v>1785</v>
      </c>
      <c r="C74" s="426" t="s">
        <v>1674</v>
      </c>
    </row>
    <row r="75" spans="1:3" ht="15">
      <c r="A75" s="426" t="s">
        <v>43</v>
      </c>
      <c r="B75" s="426" t="s">
        <v>586</v>
      </c>
      <c r="C75" s="426" t="s">
        <v>685</v>
      </c>
    </row>
    <row r="76" spans="1:3" ht="15">
      <c r="A76" s="426" t="s">
        <v>43</v>
      </c>
      <c r="B76" s="426" t="s">
        <v>331</v>
      </c>
      <c r="C76" s="426" t="s">
        <v>688</v>
      </c>
    </row>
    <row r="77" spans="1:3" ht="15">
      <c r="A77" s="426" t="s">
        <v>35</v>
      </c>
      <c r="B77" s="426" t="s">
        <v>1444</v>
      </c>
      <c r="C77" s="426" t="s">
        <v>682</v>
      </c>
    </row>
    <row r="78" spans="1:3" ht="15">
      <c r="A78" s="426" t="s">
        <v>39</v>
      </c>
      <c r="B78" s="426" t="s">
        <v>398</v>
      </c>
      <c r="C78" s="426" t="s">
        <v>686</v>
      </c>
    </row>
    <row r="79" spans="1:3" ht="15">
      <c r="A79" s="426" t="s">
        <v>39</v>
      </c>
      <c r="B79" s="426" t="s">
        <v>1339</v>
      </c>
      <c r="C79" s="426" t="s">
        <v>676</v>
      </c>
    </row>
    <row r="80" spans="1:3" ht="15">
      <c r="A80" s="426" t="s">
        <v>39</v>
      </c>
      <c r="B80" s="426" t="s">
        <v>538</v>
      </c>
      <c r="C80" s="426" t="s">
        <v>682</v>
      </c>
    </row>
    <row r="81" spans="1:3" ht="15">
      <c r="A81" s="426" t="s">
        <v>39</v>
      </c>
      <c r="B81" s="426" t="s">
        <v>421</v>
      </c>
      <c r="C81" s="426" t="s">
        <v>684</v>
      </c>
    </row>
    <row r="82" spans="1:3" ht="15">
      <c r="A82" s="426" t="s">
        <v>39</v>
      </c>
      <c r="B82" s="426" t="s">
        <v>459</v>
      </c>
      <c r="C82" s="426" t="s">
        <v>684</v>
      </c>
    </row>
    <row r="83" spans="1:3" ht="15">
      <c r="A83" s="426" t="s">
        <v>39</v>
      </c>
      <c r="B83" s="426" t="s">
        <v>1925</v>
      </c>
      <c r="C83" s="426" t="s">
        <v>692</v>
      </c>
    </row>
    <row r="84" spans="1:3" ht="15">
      <c r="A84" s="426" t="s">
        <v>43</v>
      </c>
      <c r="B84" s="426" t="s">
        <v>415</v>
      </c>
      <c r="C84" s="426" t="s">
        <v>677</v>
      </c>
    </row>
    <row r="85" spans="1:3" ht="15">
      <c r="A85" s="426" t="s">
        <v>43</v>
      </c>
      <c r="B85" s="426" t="s">
        <v>1779</v>
      </c>
      <c r="C85" s="426" t="s">
        <v>684</v>
      </c>
    </row>
    <row r="86" spans="1:3" ht="15">
      <c r="A86" s="426" t="s">
        <v>43</v>
      </c>
      <c r="B86" s="426" t="s">
        <v>470</v>
      </c>
      <c r="C86" s="426" t="s">
        <v>1477</v>
      </c>
    </row>
    <row r="87" spans="1:3" ht="15">
      <c r="A87" s="426" t="s">
        <v>43</v>
      </c>
      <c r="B87" s="426" t="s">
        <v>303</v>
      </c>
      <c r="C87" s="426" t="s">
        <v>692</v>
      </c>
    </row>
    <row r="88" spans="1:3" ht="15">
      <c r="A88" s="426" t="s">
        <v>43</v>
      </c>
      <c r="B88" s="426" t="s">
        <v>507</v>
      </c>
      <c r="C88" s="426" t="s">
        <v>700</v>
      </c>
    </row>
    <row r="89" spans="1:3" ht="15">
      <c r="A89" s="426" t="s">
        <v>35</v>
      </c>
      <c r="B89" s="426" t="s">
        <v>311</v>
      </c>
      <c r="C89" s="426" t="s">
        <v>686</v>
      </c>
    </row>
    <row r="90" spans="1:3" ht="15">
      <c r="A90" s="426" t="s">
        <v>37</v>
      </c>
      <c r="B90" s="426" t="s">
        <v>539</v>
      </c>
      <c r="C90" s="426" t="s">
        <v>695</v>
      </c>
    </row>
    <row r="91" spans="1:3" ht="15">
      <c r="A91" s="426" t="s">
        <v>39</v>
      </c>
      <c r="B91" s="426" t="s">
        <v>1736</v>
      </c>
      <c r="C91" s="426" t="s">
        <v>1672</v>
      </c>
    </row>
    <row r="92" spans="1:3" ht="15">
      <c r="A92" s="426" t="s">
        <v>39</v>
      </c>
      <c r="B92" s="426" t="s">
        <v>389</v>
      </c>
      <c r="C92" s="426" t="s">
        <v>680</v>
      </c>
    </row>
    <row r="93" spans="1:3" ht="15">
      <c r="A93" s="426" t="s">
        <v>39</v>
      </c>
      <c r="B93" s="426" t="s">
        <v>600</v>
      </c>
      <c r="C93" s="426" t="s">
        <v>692</v>
      </c>
    </row>
    <row r="94" spans="1:3" ht="15">
      <c r="A94" s="426" t="s">
        <v>39</v>
      </c>
      <c r="B94" s="426" t="s">
        <v>361</v>
      </c>
      <c r="C94" s="426" t="s">
        <v>677</v>
      </c>
    </row>
    <row r="95" spans="1:3" ht="15">
      <c r="A95" s="426" t="s">
        <v>39</v>
      </c>
      <c r="B95" s="426" t="s">
        <v>463</v>
      </c>
      <c r="C95" s="426" t="s">
        <v>677</v>
      </c>
    </row>
    <row r="96" spans="1:3" ht="15">
      <c r="A96" s="426" t="s">
        <v>39</v>
      </c>
      <c r="B96" s="426" t="s">
        <v>578</v>
      </c>
      <c r="C96" s="426" t="s">
        <v>682</v>
      </c>
    </row>
    <row r="97" spans="1:3" ht="15">
      <c r="A97" s="426" t="s">
        <v>39</v>
      </c>
      <c r="B97" s="426" t="s">
        <v>333</v>
      </c>
      <c r="C97" s="426" t="s">
        <v>687</v>
      </c>
    </row>
    <row r="98" spans="1:3" ht="15">
      <c r="A98" s="426" t="s">
        <v>43</v>
      </c>
      <c r="B98" s="426" t="s">
        <v>362</v>
      </c>
      <c r="C98" s="426" t="s">
        <v>677</v>
      </c>
    </row>
    <row r="99" spans="1:3" ht="15">
      <c r="A99" s="426" t="s">
        <v>43</v>
      </c>
      <c r="B99" s="426" t="s">
        <v>1777</v>
      </c>
      <c r="C99" s="426" t="s">
        <v>1477</v>
      </c>
    </row>
    <row r="100" spans="1:3" ht="15">
      <c r="A100" s="426" t="s">
        <v>43</v>
      </c>
      <c r="B100" s="426" t="s">
        <v>1792</v>
      </c>
      <c r="C100" s="426" t="s">
        <v>681</v>
      </c>
    </row>
    <row r="101" spans="1:3" ht="15">
      <c r="A101" s="426" t="s">
        <v>43</v>
      </c>
      <c r="B101" s="426" t="s">
        <v>477</v>
      </c>
      <c r="C101" s="426" t="s">
        <v>681</v>
      </c>
    </row>
    <row r="102" spans="1:3" ht="15">
      <c r="A102" s="426" t="s">
        <v>43</v>
      </c>
      <c r="B102" s="426" t="s">
        <v>324</v>
      </c>
      <c r="C102" s="426" t="s">
        <v>701</v>
      </c>
    </row>
    <row r="103" spans="1:3" ht="15">
      <c r="A103" s="426" t="s">
        <v>43</v>
      </c>
      <c r="B103" s="426" t="s">
        <v>1299</v>
      </c>
      <c r="C103" s="426" t="s">
        <v>691</v>
      </c>
    </row>
    <row r="104" spans="1:3" ht="15">
      <c r="A104" s="426" t="s">
        <v>43</v>
      </c>
      <c r="B104" s="426" t="s">
        <v>372</v>
      </c>
      <c r="C104" s="426" t="s">
        <v>700</v>
      </c>
    </row>
    <row r="105" spans="1:3" ht="15">
      <c r="A105" s="426" t="s">
        <v>37</v>
      </c>
      <c r="B105" s="426" t="s">
        <v>380</v>
      </c>
      <c r="C105" s="426" t="s">
        <v>695</v>
      </c>
    </row>
    <row r="106" spans="1:3" ht="15">
      <c r="A106" s="426" t="s">
        <v>37</v>
      </c>
      <c r="B106" s="426" t="s">
        <v>485</v>
      </c>
      <c r="C106" s="426" t="s">
        <v>695</v>
      </c>
    </row>
    <row r="107" spans="1:3" ht="15">
      <c r="A107" s="426" t="s">
        <v>37</v>
      </c>
      <c r="B107" s="426" t="s">
        <v>500</v>
      </c>
      <c r="C107" s="426" t="s">
        <v>681</v>
      </c>
    </row>
    <row r="108" spans="1:3" ht="15">
      <c r="A108" s="426" t="s">
        <v>37</v>
      </c>
      <c r="B108" s="426" t="s">
        <v>1701</v>
      </c>
      <c r="C108" s="426" t="s">
        <v>678</v>
      </c>
    </row>
    <row r="109" spans="1:3" ht="15">
      <c r="A109" s="426" t="s">
        <v>37</v>
      </c>
      <c r="B109" s="426" t="s">
        <v>360</v>
      </c>
      <c r="C109" s="426" t="s">
        <v>676</v>
      </c>
    </row>
    <row r="110" spans="1:3" ht="15">
      <c r="A110" s="426" t="s">
        <v>37</v>
      </c>
      <c r="B110" s="426" t="s">
        <v>551</v>
      </c>
      <c r="C110" s="426" t="s">
        <v>677</v>
      </c>
    </row>
    <row r="111" spans="1:3" ht="15">
      <c r="A111" s="426" t="s">
        <v>39</v>
      </c>
      <c r="B111" s="426" t="s">
        <v>620</v>
      </c>
      <c r="C111" s="426" t="s">
        <v>677</v>
      </c>
    </row>
    <row r="112" spans="1:3" ht="15">
      <c r="A112" s="426" t="s">
        <v>39</v>
      </c>
      <c r="B112" s="426" t="s">
        <v>1737</v>
      </c>
      <c r="C112" s="426" t="s">
        <v>692</v>
      </c>
    </row>
    <row r="113" spans="1:3" ht="15">
      <c r="A113" s="426" t="s">
        <v>39</v>
      </c>
      <c r="B113" s="426" t="s">
        <v>1329</v>
      </c>
      <c r="C113" s="426" t="s">
        <v>677</v>
      </c>
    </row>
    <row r="114" spans="1:3" ht="15">
      <c r="A114" s="426" t="s">
        <v>39</v>
      </c>
      <c r="B114" s="426" t="s">
        <v>346</v>
      </c>
      <c r="C114" s="426" t="s">
        <v>678</v>
      </c>
    </row>
    <row r="115" spans="1:3" ht="15">
      <c r="A115" s="426" t="s">
        <v>39</v>
      </c>
      <c r="B115" s="426" t="s">
        <v>579</v>
      </c>
      <c r="C115" s="426" t="s">
        <v>695</v>
      </c>
    </row>
    <row r="116" spans="1:3" ht="15">
      <c r="A116" s="426" t="s">
        <v>39</v>
      </c>
      <c r="B116" s="426" t="s">
        <v>504</v>
      </c>
      <c r="C116" s="426" t="s">
        <v>684</v>
      </c>
    </row>
    <row r="117" spans="1:3" ht="15">
      <c r="A117" s="426" t="s">
        <v>43</v>
      </c>
      <c r="B117" s="426" t="s">
        <v>1843</v>
      </c>
      <c r="C117" s="426" t="s">
        <v>679</v>
      </c>
    </row>
    <row r="118" spans="1:3" ht="15">
      <c r="A118" s="426" t="s">
        <v>43</v>
      </c>
      <c r="B118" s="426" t="s">
        <v>1796</v>
      </c>
      <c r="C118" s="426" t="s">
        <v>682</v>
      </c>
    </row>
    <row r="119" spans="1:3" ht="15">
      <c r="A119" s="426" t="s">
        <v>43</v>
      </c>
      <c r="B119" s="426" t="s">
        <v>462</v>
      </c>
      <c r="C119" s="426" t="s">
        <v>678</v>
      </c>
    </row>
    <row r="120" spans="1:3" ht="15">
      <c r="A120" s="426" t="s">
        <v>43</v>
      </c>
      <c r="B120" s="426" t="s">
        <v>1787</v>
      </c>
      <c r="C120" s="426" t="s">
        <v>1672</v>
      </c>
    </row>
    <row r="121" spans="1:3" ht="15">
      <c r="A121" s="426" t="s">
        <v>43</v>
      </c>
      <c r="B121" s="426" t="s">
        <v>1781</v>
      </c>
      <c r="C121" s="426" t="s">
        <v>686</v>
      </c>
    </row>
    <row r="122" spans="1:3" ht="15.75" customHeight="1">
      <c r="A122" s="426" t="s">
        <v>35</v>
      </c>
      <c r="B122" s="426" t="s">
        <v>432</v>
      </c>
      <c r="C122" s="426" t="s">
        <v>692</v>
      </c>
    </row>
    <row r="123" spans="1:3" ht="15">
      <c r="A123" s="426" t="s">
        <v>35</v>
      </c>
      <c r="B123" s="426" t="s">
        <v>446</v>
      </c>
      <c r="C123" s="426" t="s">
        <v>688</v>
      </c>
    </row>
    <row r="124" spans="1:3" ht="15">
      <c r="A124" s="426" t="s">
        <v>35</v>
      </c>
      <c r="B124" s="426" t="s">
        <v>325</v>
      </c>
      <c r="C124" s="426" t="s">
        <v>685</v>
      </c>
    </row>
    <row r="125" spans="1:3" ht="15">
      <c r="A125" s="426" t="s">
        <v>35</v>
      </c>
      <c r="B125" s="426" t="s">
        <v>1676</v>
      </c>
      <c r="C125" s="426" t="s">
        <v>687</v>
      </c>
    </row>
    <row r="126" spans="1:3" ht="15">
      <c r="A126" s="426" t="s">
        <v>37</v>
      </c>
      <c r="B126" s="426" t="s">
        <v>625</v>
      </c>
      <c r="C126" s="426" t="s">
        <v>687</v>
      </c>
    </row>
    <row r="127" spans="1:3" ht="15">
      <c r="A127" s="426" t="s">
        <v>37</v>
      </c>
      <c r="B127" s="426" t="s">
        <v>922</v>
      </c>
      <c r="C127" s="426" t="s">
        <v>695</v>
      </c>
    </row>
    <row r="128" spans="1:3" ht="15">
      <c r="A128" s="426" t="s">
        <v>37</v>
      </c>
      <c r="B128" s="426" t="s">
        <v>1297</v>
      </c>
      <c r="C128" s="426" t="s">
        <v>678</v>
      </c>
    </row>
    <row r="129" spans="1:3" ht="15">
      <c r="A129" s="426" t="s">
        <v>37</v>
      </c>
      <c r="B129" s="426" t="s">
        <v>529</v>
      </c>
      <c r="C129" s="426" t="s">
        <v>676</v>
      </c>
    </row>
    <row r="130" spans="1:3" ht="15">
      <c r="A130" s="426" t="s">
        <v>37</v>
      </c>
      <c r="B130" s="426" t="s">
        <v>588</v>
      </c>
      <c r="C130" s="426" t="s">
        <v>676</v>
      </c>
    </row>
    <row r="131" spans="1:3" ht="15.75" customHeight="1">
      <c r="A131" s="426" t="s">
        <v>37</v>
      </c>
      <c r="B131" s="426" t="s">
        <v>1302</v>
      </c>
      <c r="C131" s="426" t="s">
        <v>686</v>
      </c>
    </row>
    <row r="132" spans="1:3" ht="15">
      <c r="A132" s="426" t="s">
        <v>39</v>
      </c>
      <c r="B132" s="426" t="s">
        <v>461</v>
      </c>
      <c r="C132" s="426" t="s">
        <v>686</v>
      </c>
    </row>
    <row r="133" spans="1:3" ht="15">
      <c r="A133" s="426" t="s">
        <v>39</v>
      </c>
      <c r="B133" s="426" t="s">
        <v>525</v>
      </c>
      <c r="C133" s="426" t="s">
        <v>686</v>
      </c>
    </row>
    <row r="134" spans="1:3" ht="15">
      <c r="A134" s="426" t="s">
        <v>39</v>
      </c>
      <c r="B134" s="426" t="s">
        <v>497</v>
      </c>
      <c r="C134" s="426" t="s">
        <v>700</v>
      </c>
    </row>
    <row r="135" spans="1:3" ht="15">
      <c r="A135" s="426" t="s">
        <v>39</v>
      </c>
      <c r="B135" s="426" t="s">
        <v>613</v>
      </c>
      <c r="C135" s="426" t="s">
        <v>691</v>
      </c>
    </row>
    <row r="136" spans="1:3" ht="15">
      <c r="A136" s="426" t="s">
        <v>39</v>
      </c>
      <c r="B136" s="426" t="s">
        <v>343</v>
      </c>
      <c r="C136" s="426" t="s">
        <v>679</v>
      </c>
    </row>
    <row r="137" spans="1:3" ht="15">
      <c r="A137" s="426" t="s">
        <v>39</v>
      </c>
      <c r="B137" s="426" t="s">
        <v>543</v>
      </c>
      <c r="C137" s="426" t="s">
        <v>676</v>
      </c>
    </row>
    <row r="138" spans="1:3" ht="15">
      <c r="A138" s="426" t="s">
        <v>39</v>
      </c>
      <c r="B138" s="426" t="s">
        <v>1740</v>
      </c>
      <c r="C138" s="426" t="s">
        <v>682</v>
      </c>
    </row>
    <row r="139" spans="1:3" ht="15">
      <c r="A139" s="426" t="s">
        <v>39</v>
      </c>
      <c r="B139" s="426" t="s">
        <v>302</v>
      </c>
      <c r="C139" s="426" t="s">
        <v>681</v>
      </c>
    </row>
    <row r="140" spans="1:3" ht="15">
      <c r="A140" s="426" t="s">
        <v>39</v>
      </c>
      <c r="B140" s="426" t="s">
        <v>1744</v>
      </c>
      <c r="C140" s="426" t="s">
        <v>695</v>
      </c>
    </row>
    <row r="141" spans="1:3" ht="15">
      <c r="A141" s="426" t="s">
        <v>39</v>
      </c>
      <c r="B141" s="426" t="s">
        <v>424</v>
      </c>
      <c r="C141" s="426" t="s">
        <v>695</v>
      </c>
    </row>
    <row r="142" spans="1:3" ht="15">
      <c r="A142" s="426" t="s">
        <v>39</v>
      </c>
      <c r="B142" s="426" t="s">
        <v>1330</v>
      </c>
      <c r="C142" s="426" t="s">
        <v>688</v>
      </c>
    </row>
    <row r="143" spans="1:3" ht="15">
      <c r="A143" s="426" t="s">
        <v>39</v>
      </c>
      <c r="B143" s="426" t="s">
        <v>1924</v>
      </c>
      <c r="C143" s="426" t="s">
        <v>686</v>
      </c>
    </row>
    <row r="144" spans="1:3" ht="15">
      <c r="A144" s="426" t="s">
        <v>43</v>
      </c>
      <c r="B144" s="426" t="s">
        <v>466</v>
      </c>
      <c r="C144" s="426" t="s">
        <v>691</v>
      </c>
    </row>
    <row r="145" spans="1:3" ht="15.75" customHeight="1">
      <c r="A145" s="426" t="s">
        <v>43</v>
      </c>
      <c r="B145" s="426" t="s">
        <v>484</v>
      </c>
      <c r="C145" s="426" t="s">
        <v>684</v>
      </c>
    </row>
    <row r="146" spans="1:3" ht="15">
      <c r="A146" s="426" t="s">
        <v>43</v>
      </c>
      <c r="B146" s="426" t="s">
        <v>441</v>
      </c>
      <c r="C146" s="426" t="s">
        <v>685</v>
      </c>
    </row>
    <row r="147" spans="1:3" ht="15">
      <c r="A147" s="426" t="s">
        <v>43</v>
      </c>
      <c r="B147" s="426" t="s">
        <v>520</v>
      </c>
      <c r="C147" s="426" t="s">
        <v>701</v>
      </c>
    </row>
    <row r="148" spans="1:3" ht="15">
      <c r="A148" s="426" t="s">
        <v>35</v>
      </c>
      <c r="B148" s="426" t="s">
        <v>379</v>
      </c>
      <c r="C148" s="426" t="s">
        <v>691</v>
      </c>
    </row>
    <row r="149" spans="1:3" ht="15">
      <c r="A149" s="426" t="s">
        <v>35</v>
      </c>
      <c r="B149" s="426" t="s">
        <v>431</v>
      </c>
      <c r="C149" s="426" t="s">
        <v>680</v>
      </c>
    </row>
    <row r="150" spans="1:3" ht="15">
      <c r="A150" s="426" t="s">
        <v>35</v>
      </c>
      <c r="B150" s="426" t="s">
        <v>392</v>
      </c>
      <c r="C150" s="426" t="s">
        <v>679</v>
      </c>
    </row>
    <row r="151" spans="1:3" ht="15">
      <c r="A151" s="426" t="s">
        <v>37</v>
      </c>
      <c r="B151" s="426" t="s">
        <v>1939</v>
      </c>
      <c r="C151" s="426" t="s">
        <v>692</v>
      </c>
    </row>
    <row r="152" spans="1:3" ht="15">
      <c r="A152" s="426" t="s">
        <v>37</v>
      </c>
      <c r="B152" s="426" t="s">
        <v>1921</v>
      </c>
      <c r="C152" s="426" t="s">
        <v>677</v>
      </c>
    </row>
    <row r="153" spans="1:3" ht="15">
      <c r="A153" s="426" t="s">
        <v>37</v>
      </c>
      <c r="B153" s="426" t="s">
        <v>1922</v>
      </c>
      <c r="C153" s="426" t="s">
        <v>687</v>
      </c>
    </row>
    <row r="154" spans="1:3" ht="15">
      <c r="A154" s="426" t="s">
        <v>37</v>
      </c>
      <c r="B154" s="426" t="s">
        <v>1693</v>
      </c>
      <c r="C154" s="426" t="s">
        <v>1674</v>
      </c>
    </row>
    <row r="155" spans="1:3" ht="15">
      <c r="A155" s="426" t="s">
        <v>37</v>
      </c>
      <c r="B155" s="426" t="s">
        <v>1700</v>
      </c>
      <c r="C155" s="426" t="s">
        <v>695</v>
      </c>
    </row>
    <row r="156" spans="1:3" ht="15">
      <c r="A156" s="426" t="s">
        <v>37</v>
      </c>
      <c r="B156" s="426" t="s">
        <v>308</v>
      </c>
      <c r="C156" s="426" t="s">
        <v>681</v>
      </c>
    </row>
    <row r="157" spans="1:3" ht="15">
      <c r="A157" s="426" t="s">
        <v>37</v>
      </c>
      <c r="B157" s="426" t="s">
        <v>599</v>
      </c>
      <c r="C157" s="426" t="s">
        <v>677</v>
      </c>
    </row>
    <row r="158" spans="1:3" ht="15">
      <c r="A158" s="426" t="s">
        <v>37</v>
      </c>
      <c r="B158" s="426" t="s">
        <v>336</v>
      </c>
      <c r="C158" s="426" t="s">
        <v>692</v>
      </c>
    </row>
    <row r="159" spans="1:3" ht="15">
      <c r="A159" s="426" t="s">
        <v>39</v>
      </c>
      <c r="B159" s="426" t="s">
        <v>407</v>
      </c>
      <c r="C159" s="426" t="s">
        <v>686</v>
      </c>
    </row>
    <row r="160" spans="1:3" ht="15">
      <c r="A160" s="426" t="s">
        <v>39</v>
      </c>
      <c r="B160" s="426" t="s">
        <v>526</v>
      </c>
      <c r="C160" s="426" t="s">
        <v>679</v>
      </c>
    </row>
    <row r="161" spans="1:3" ht="15">
      <c r="A161" s="426" t="s">
        <v>39</v>
      </c>
      <c r="B161" s="426" t="s">
        <v>527</v>
      </c>
      <c r="C161" s="426" t="s">
        <v>679</v>
      </c>
    </row>
    <row r="162" spans="1:3" ht="15">
      <c r="A162" s="426" t="s">
        <v>39</v>
      </c>
      <c r="B162" s="426" t="s">
        <v>367</v>
      </c>
      <c r="C162" s="426" t="s">
        <v>677</v>
      </c>
    </row>
    <row r="163" spans="1:3" ht="15">
      <c r="A163" s="426" t="s">
        <v>39</v>
      </c>
      <c r="B163" s="426" t="s">
        <v>556</v>
      </c>
      <c r="C163" s="426" t="s">
        <v>685</v>
      </c>
    </row>
    <row r="164" spans="1:3" ht="15">
      <c r="A164" s="426" t="s">
        <v>39</v>
      </c>
      <c r="B164" s="426" t="s">
        <v>337</v>
      </c>
      <c r="C164" s="426" t="s">
        <v>692</v>
      </c>
    </row>
    <row r="165" spans="1:3" ht="15">
      <c r="A165" s="426" t="s">
        <v>39</v>
      </c>
      <c r="B165" s="426" t="s">
        <v>1738</v>
      </c>
      <c r="C165" s="426" t="s">
        <v>687</v>
      </c>
    </row>
    <row r="166" spans="1:3" ht="15">
      <c r="A166" s="426" t="s">
        <v>39</v>
      </c>
      <c r="B166" s="426" t="s">
        <v>1739</v>
      </c>
      <c r="C166" s="426" t="s">
        <v>1674</v>
      </c>
    </row>
    <row r="167" spans="1:3" ht="15">
      <c r="A167" s="426" t="s">
        <v>43</v>
      </c>
      <c r="B167" s="426" t="s">
        <v>1292</v>
      </c>
      <c r="C167" s="426" t="s">
        <v>687</v>
      </c>
    </row>
    <row r="168" spans="1:3" ht="15">
      <c r="A168" s="426" t="s">
        <v>43</v>
      </c>
      <c r="B168" s="426" t="s">
        <v>1332</v>
      </c>
      <c r="C168" s="426" t="s">
        <v>685</v>
      </c>
    </row>
    <row r="169" spans="1:3" ht="15">
      <c r="A169" s="426" t="s">
        <v>43</v>
      </c>
      <c r="B169" s="426" t="s">
        <v>1783</v>
      </c>
      <c r="C169" s="426" t="s">
        <v>678</v>
      </c>
    </row>
    <row r="170" spans="1:3" ht="15">
      <c r="A170" s="426" t="s">
        <v>43</v>
      </c>
      <c r="B170" s="426" t="s">
        <v>480</v>
      </c>
      <c r="C170" s="426" t="s">
        <v>680</v>
      </c>
    </row>
    <row r="171" spans="1:3" ht="15">
      <c r="A171" s="426" t="s">
        <v>43</v>
      </c>
      <c r="B171" s="426" t="s">
        <v>491</v>
      </c>
      <c r="C171" s="426" t="s">
        <v>680</v>
      </c>
    </row>
    <row r="172" spans="1:3" ht="15">
      <c r="A172" s="426" t="s">
        <v>43</v>
      </c>
      <c r="B172" s="426" t="s">
        <v>1853</v>
      </c>
      <c r="C172" s="426" t="s">
        <v>1672</v>
      </c>
    </row>
    <row r="173" spans="1:3" ht="15">
      <c r="A173" s="426" t="s">
        <v>35</v>
      </c>
      <c r="B173" s="426" t="s">
        <v>1677</v>
      </c>
      <c r="C173" s="426" t="s">
        <v>700</v>
      </c>
    </row>
    <row r="174" spans="1:3" ht="15">
      <c r="A174" s="426" t="s">
        <v>35</v>
      </c>
      <c r="B174" s="426" t="s">
        <v>420</v>
      </c>
      <c r="C174" s="426" t="s">
        <v>684</v>
      </c>
    </row>
    <row r="175" spans="1:3" ht="15">
      <c r="A175" s="426" t="s">
        <v>37</v>
      </c>
      <c r="B175" s="426" t="s">
        <v>591</v>
      </c>
      <c r="C175" s="426" t="s">
        <v>684</v>
      </c>
    </row>
    <row r="176" spans="1:3" ht="15">
      <c r="A176" s="426" t="s">
        <v>37</v>
      </c>
      <c r="B176" s="426" t="s">
        <v>618</v>
      </c>
      <c r="C176" s="426" t="s">
        <v>684</v>
      </c>
    </row>
    <row r="177" spans="1:3" ht="15">
      <c r="A177" s="426" t="s">
        <v>37</v>
      </c>
      <c r="B177" s="426" t="s">
        <v>1709</v>
      </c>
      <c r="C177" s="426" t="s">
        <v>687</v>
      </c>
    </row>
    <row r="178" spans="1:3" ht="15">
      <c r="A178" s="426" t="s">
        <v>37</v>
      </c>
      <c r="B178" s="426" t="s">
        <v>568</v>
      </c>
      <c r="C178" s="426" t="s">
        <v>685</v>
      </c>
    </row>
    <row r="179" spans="1:3" ht="15">
      <c r="A179" s="426" t="s">
        <v>37</v>
      </c>
      <c r="B179" s="426" t="s">
        <v>598</v>
      </c>
      <c r="C179" s="426" t="s">
        <v>688</v>
      </c>
    </row>
    <row r="180" spans="1:3" ht="15">
      <c r="A180" s="426" t="s">
        <v>37</v>
      </c>
      <c r="B180" s="426" t="s">
        <v>1862</v>
      </c>
      <c r="C180" s="426" t="s">
        <v>695</v>
      </c>
    </row>
    <row r="181" spans="1:3" ht="15">
      <c r="A181" s="426" t="s">
        <v>37</v>
      </c>
      <c r="B181" s="426" t="s">
        <v>515</v>
      </c>
      <c r="C181" s="426" t="s">
        <v>681</v>
      </c>
    </row>
    <row r="182" spans="1:3" ht="15">
      <c r="A182" s="426" t="s">
        <v>37</v>
      </c>
      <c r="B182" s="426" t="s">
        <v>574</v>
      </c>
      <c r="C182" s="426" t="s">
        <v>682</v>
      </c>
    </row>
    <row r="183" spans="1:3" ht="15">
      <c r="A183" s="426" t="s">
        <v>37</v>
      </c>
      <c r="B183" s="426" t="s">
        <v>443</v>
      </c>
      <c r="C183" s="426" t="s">
        <v>677</v>
      </c>
    </row>
    <row r="184" spans="1:3" ht="15">
      <c r="A184" s="426" t="s">
        <v>37</v>
      </c>
      <c r="B184" s="426" t="s">
        <v>1850</v>
      </c>
      <c r="C184" s="426" t="s">
        <v>692</v>
      </c>
    </row>
    <row r="185" spans="1:3" ht="15">
      <c r="A185" s="426" t="s">
        <v>37</v>
      </c>
      <c r="B185" s="426" t="s">
        <v>317</v>
      </c>
      <c r="C185" s="426" t="s">
        <v>700</v>
      </c>
    </row>
    <row r="186" spans="1:3" ht="15">
      <c r="A186" s="426" t="s">
        <v>37</v>
      </c>
      <c r="B186" s="426" t="s">
        <v>490</v>
      </c>
      <c r="C186" s="426" t="s">
        <v>680</v>
      </c>
    </row>
    <row r="187" spans="1:3" ht="15">
      <c r="A187" s="426" t="s">
        <v>39</v>
      </c>
      <c r="B187" s="426" t="s">
        <v>604</v>
      </c>
      <c r="C187" s="426" t="s">
        <v>686</v>
      </c>
    </row>
    <row r="188" spans="1:3" ht="15">
      <c r="A188" s="426" t="s">
        <v>39</v>
      </c>
      <c r="B188" s="426" t="s">
        <v>414</v>
      </c>
      <c r="C188" s="426" t="s">
        <v>1672</v>
      </c>
    </row>
    <row r="189" spans="1:3" ht="15">
      <c r="A189" s="426" t="s">
        <v>39</v>
      </c>
      <c r="B189" s="426" t="s">
        <v>519</v>
      </c>
      <c r="C189" s="426" t="s">
        <v>691</v>
      </c>
    </row>
    <row r="190" spans="1:3" ht="15">
      <c r="A190" s="426" t="s">
        <v>39</v>
      </c>
      <c r="B190" s="426" t="s">
        <v>584</v>
      </c>
      <c r="C190" s="426" t="s">
        <v>691</v>
      </c>
    </row>
    <row r="191" spans="1:3" ht="15">
      <c r="A191" s="426" t="s">
        <v>39</v>
      </c>
      <c r="B191" s="426" t="s">
        <v>569</v>
      </c>
      <c r="C191" s="426" t="s">
        <v>679</v>
      </c>
    </row>
    <row r="192" spans="1:3" ht="15">
      <c r="A192" s="426" t="s">
        <v>39</v>
      </c>
      <c r="B192" s="426" t="s">
        <v>458</v>
      </c>
      <c r="C192" s="426" t="s">
        <v>701</v>
      </c>
    </row>
    <row r="193" spans="1:3" ht="15">
      <c r="A193" s="426" t="s">
        <v>39</v>
      </c>
      <c r="B193" s="426" t="s">
        <v>437</v>
      </c>
      <c r="C193" s="426" t="s">
        <v>681</v>
      </c>
    </row>
    <row r="194" spans="1:3" ht="15">
      <c r="A194" s="426" t="s">
        <v>39</v>
      </c>
      <c r="B194" s="426" t="s">
        <v>1296</v>
      </c>
      <c r="C194" s="426" t="s">
        <v>688</v>
      </c>
    </row>
    <row r="195" spans="1:3" ht="15">
      <c r="A195" s="426" t="s">
        <v>39</v>
      </c>
      <c r="B195" s="426" t="s">
        <v>530</v>
      </c>
      <c r="C195" s="426" t="s">
        <v>688</v>
      </c>
    </row>
    <row r="196" spans="1:3" ht="15">
      <c r="A196" s="426" t="s">
        <v>39</v>
      </c>
      <c r="B196" s="426" t="s">
        <v>616</v>
      </c>
      <c r="C196" s="426" t="s">
        <v>688</v>
      </c>
    </row>
    <row r="197" spans="1:3" ht="15">
      <c r="A197" s="426" t="s">
        <v>39</v>
      </c>
      <c r="B197" s="426" t="s">
        <v>447</v>
      </c>
      <c r="C197" s="426" t="s">
        <v>685</v>
      </c>
    </row>
    <row r="198" spans="1:3" ht="15">
      <c r="A198" s="426" t="s">
        <v>39</v>
      </c>
      <c r="B198" s="426" t="s">
        <v>1857</v>
      </c>
      <c r="C198" s="426" t="s">
        <v>1477</v>
      </c>
    </row>
    <row r="199" spans="1:3" ht="15">
      <c r="A199" s="426" t="s">
        <v>39</v>
      </c>
      <c r="B199" s="426" t="s">
        <v>482</v>
      </c>
      <c r="C199" s="426" t="s">
        <v>684</v>
      </c>
    </row>
    <row r="200" spans="1:3" ht="15">
      <c r="A200" s="426" t="s">
        <v>39</v>
      </c>
      <c r="B200" s="426" t="s">
        <v>1937</v>
      </c>
      <c r="C200" s="426" t="s">
        <v>692</v>
      </c>
    </row>
    <row r="201" spans="1:3" ht="15">
      <c r="A201" s="426" t="s">
        <v>43</v>
      </c>
      <c r="B201" s="426" t="s">
        <v>1341</v>
      </c>
      <c r="C201" s="426" t="s">
        <v>685</v>
      </c>
    </row>
    <row r="202" spans="1:3" ht="15">
      <c r="A202" s="426" t="s">
        <v>43</v>
      </c>
      <c r="B202" s="426" t="s">
        <v>489</v>
      </c>
      <c r="C202" s="426" t="s">
        <v>676</v>
      </c>
    </row>
    <row r="203" spans="1:3" ht="15">
      <c r="A203" s="426" t="s">
        <v>35</v>
      </c>
      <c r="B203" s="426" t="s">
        <v>1678</v>
      </c>
      <c r="C203" s="426" t="s">
        <v>1672</v>
      </c>
    </row>
    <row r="204" spans="1:3" ht="15">
      <c r="A204" s="426" t="s">
        <v>35</v>
      </c>
      <c r="B204" s="426" t="s">
        <v>329</v>
      </c>
      <c r="C204" s="426" t="s">
        <v>701</v>
      </c>
    </row>
    <row r="205" spans="1:3" ht="15">
      <c r="A205" s="426" t="s">
        <v>37</v>
      </c>
      <c r="B205" s="426" t="s">
        <v>1708</v>
      </c>
      <c r="C205" s="426" t="s">
        <v>1674</v>
      </c>
    </row>
    <row r="206" spans="1:3" ht="15">
      <c r="A206" s="426" t="s">
        <v>37</v>
      </c>
      <c r="B206" s="426" t="s">
        <v>1703</v>
      </c>
      <c r="C206" s="426" t="s">
        <v>684</v>
      </c>
    </row>
    <row r="207" spans="1:3" ht="15">
      <c r="A207" s="426" t="s">
        <v>37</v>
      </c>
      <c r="B207" s="426" t="s">
        <v>510</v>
      </c>
      <c r="C207" s="426" t="s">
        <v>1674</v>
      </c>
    </row>
    <row r="208" spans="1:3" ht="15">
      <c r="A208" s="426" t="s">
        <v>37</v>
      </c>
      <c r="B208" s="426" t="s">
        <v>1718</v>
      </c>
      <c r="C208" s="426" t="s">
        <v>1674</v>
      </c>
    </row>
    <row r="209" spans="1:3" ht="15">
      <c r="A209" s="426" t="s">
        <v>37</v>
      </c>
      <c r="B209" s="426" t="s">
        <v>449</v>
      </c>
      <c r="C209" s="426" t="s">
        <v>684</v>
      </c>
    </row>
    <row r="210" spans="1:3" ht="15">
      <c r="A210" s="426" t="s">
        <v>37</v>
      </c>
      <c r="B210" s="426" t="s">
        <v>345</v>
      </c>
      <c r="C210" s="426" t="s">
        <v>687</v>
      </c>
    </row>
    <row r="211" spans="1:3" ht="15">
      <c r="A211" s="426" t="s">
        <v>37</v>
      </c>
      <c r="B211" s="426" t="s">
        <v>558</v>
      </c>
      <c r="C211" s="426" t="s">
        <v>688</v>
      </c>
    </row>
    <row r="212" spans="1:3" ht="15">
      <c r="A212" s="426" t="s">
        <v>37</v>
      </c>
      <c r="B212" s="426" t="s">
        <v>521</v>
      </c>
      <c r="C212" s="426" t="s">
        <v>695</v>
      </c>
    </row>
    <row r="213" spans="1:3" ht="15">
      <c r="A213" s="426" t="s">
        <v>37</v>
      </c>
      <c r="B213" s="426" t="s">
        <v>537</v>
      </c>
      <c r="C213" s="426" t="s">
        <v>681</v>
      </c>
    </row>
    <row r="214" spans="1:3" ht="15">
      <c r="A214" s="426" t="s">
        <v>37</v>
      </c>
      <c r="B214" s="426" t="s">
        <v>353</v>
      </c>
      <c r="C214" s="426" t="s">
        <v>682</v>
      </c>
    </row>
    <row r="215" spans="1:3" ht="15">
      <c r="A215" s="426" t="s">
        <v>37</v>
      </c>
      <c r="B215" s="426" t="s">
        <v>1704</v>
      </c>
      <c r="C215" s="426" t="s">
        <v>682</v>
      </c>
    </row>
    <row r="216" spans="1:3" ht="15">
      <c r="A216" s="426" t="s">
        <v>37</v>
      </c>
      <c r="B216" s="426" t="s">
        <v>349</v>
      </c>
      <c r="C216" s="426" t="s">
        <v>676</v>
      </c>
    </row>
    <row r="217" spans="1:3" ht="15">
      <c r="A217" s="426" t="s">
        <v>37</v>
      </c>
      <c r="B217" s="426" t="s">
        <v>517</v>
      </c>
      <c r="C217" s="426" t="s">
        <v>679</v>
      </c>
    </row>
    <row r="218" spans="1:3" ht="15">
      <c r="A218" s="426" t="s">
        <v>37</v>
      </c>
      <c r="B218" s="426" t="s">
        <v>1695</v>
      </c>
      <c r="C218" s="426" t="s">
        <v>692</v>
      </c>
    </row>
    <row r="219" spans="1:3" ht="15.75" customHeight="1">
      <c r="A219" s="426" t="s">
        <v>37</v>
      </c>
      <c r="B219" s="426" t="s">
        <v>546</v>
      </c>
      <c r="C219" s="426" t="s">
        <v>691</v>
      </c>
    </row>
    <row r="220" spans="1:3" ht="15">
      <c r="A220" s="426" t="s">
        <v>37</v>
      </c>
      <c r="B220" s="426" t="s">
        <v>1696</v>
      </c>
      <c r="C220" s="426" t="s">
        <v>1672</v>
      </c>
    </row>
    <row r="221" spans="1:3" ht="15">
      <c r="A221" s="426" t="s">
        <v>37</v>
      </c>
      <c r="B221" s="426" t="s">
        <v>1697</v>
      </c>
      <c r="C221" s="426" t="s">
        <v>686</v>
      </c>
    </row>
    <row r="222" spans="1:3" ht="15">
      <c r="A222" s="426" t="s">
        <v>37</v>
      </c>
      <c r="B222" s="426" t="s">
        <v>607</v>
      </c>
      <c r="C222" s="426" t="s">
        <v>686</v>
      </c>
    </row>
    <row r="223" spans="1:3" ht="15">
      <c r="A223" s="426" t="s">
        <v>39</v>
      </c>
      <c r="B223" s="426" t="s">
        <v>395</v>
      </c>
      <c r="C223" s="426" t="s">
        <v>700</v>
      </c>
    </row>
    <row r="224" spans="1:3" ht="15">
      <c r="A224" s="426" t="s">
        <v>39</v>
      </c>
      <c r="B224" s="426" t="s">
        <v>565</v>
      </c>
      <c r="C224" s="426" t="s">
        <v>691</v>
      </c>
    </row>
    <row r="225" spans="1:3" ht="15">
      <c r="A225" s="426" t="s">
        <v>39</v>
      </c>
      <c r="B225" s="426" t="s">
        <v>487</v>
      </c>
      <c r="C225" s="426" t="s">
        <v>680</v>
      </c>
    </row>
    <row r="226" spans="1:3" ht="15">
      <c r="A226" s="426" t="s">
        <v>39</v>
      </c>
      <c r="B226" s="426" t="s">
        <v>313</v>
      </c>
      <c r="C226" s="426" t="s">
        <v>692</v>
      </c>
    </row>
    <row r="227" spans="1:3" ht="15">
      <c r="A227" s="426" t="s">
        <v>39</v>
      </c>
      <c r="B227" s="426" t="s">
        <v>1300</v>
      </c>
      <c r="C227" s="426" t="s">
        <v>679</v>
      </c>
    </row>
    <row r="228" spans="1:3" ht="15">
      <c r="A228" s="426" t="s">
        <v>39</v>
      </c>
      <c r="B228" s="426" t="s">
        <v>1856</v>
      </c>
      <c r="C228" s="426" t="s">
        <v>679</v>
      </c>
    </row>
    <row r="229" spans="1:3" ht="15">
      <c r="A229" s="426" t="s">
        <v>39</v>
      </c>
      <c r="B229" s="426" t="s">
        <v>923</v>
      </c>
      <c r="C229" s="426" t="s">
        <v>701</v>
      </c>
    </row>
    <row r="230" spans="1:3" ht="15">
      <c r="A230" s="426" t="s">
        <v>39</v>
      </c>
      <c r="B230" s="426" t="s">
        <v>605</v>
      </c>
      <c r="C230" s="426" t="s">
        <v>701</v>
      </c>
    </row>
    <row r="231" spans="1:3" ht="15">
      <c r="A231" s="426" t="s">
        <v>39</v>
      </c>
      <c r="B231" s="426" t="s">
        <v>508</v>
      </c>
      <c r="C231" s="426" t="s">
        <v>681</v>
      </c>
    </row>
    <row r="232" spans="1:3" ht="15">
      <c r="A232" s="426" t="s">
        <v>39</v>
      </c>
      <c r="B232" s="426" t="s">
        <v>1304</v>
      </c>
      <c r="C232" s="426" t="s">
        <v>688</v>
      </c>
    </row>
    <row r="233" spans="1:3" ht="15">
      <c r="A233" s="426" t="s">
        <v>39</v>
      </c>
      <c r="B233" s="426" t="s">
        <v>540</v>
      </c>
      <c r="C233" s="426" t="s">
        <v>685</v>
      </c>
    </row>
    <row r="234" spans="1:3" ht="15">
      <c r="A234" s="426" t="s">
        <v>39</v>
      </c>
      <c r="B234" s="426" t="s">
        <v>603</v>
      </c>
      <c r="C234" s="426" t="s">
        <v>685</v>
      </c>
    </row>
    <row r="235" spans="1:3" ht="15">
      <c r="A235" s="426" t="s">
        <v>39</v>
      </c>
      <c r="B235" s="426" t="s">
        <v>1741</v>
      </c>
      <c r="C235" s="426" t="s">
        <v>1477</v>
      </c>
    </row>
    <row r="236" spans="1:3" ht="15">
      <c r="A236" s="426" t="s">
        <v>39</v>
      </c>
      <c r="B236" s="426" t="s">
        <v>1344</v>
      </c>
      <c r="C236" s="426" t="s">
        <v>1477</v>
      </c>
    </row>
    <row r="237" spans="1:3" ht="15">
      <c r="A237" s="426" t="s">
        <v>39</v>
      </c>
      <c r="B237" s="426" t="s">
        <v>1859</v>
      </c>
      <c r="C237" s="426" t="s">
        <v>1674</v>
      </c>
    </row>
    <row r="238" spans="1:3" ht="15">
      <c r="A238" s="426" t="s">
        <v>43</v>
      </c>
      <c r="B238" s="426" t="s">
        <v>1793</v>
      </c>
      <c r="C238" s="426" t="s">
        <v>1674</v>
      </c>
    </row>
    <row r="239" spans="1:3" ht="15">
      <c r="A239" s="426" t="s">
        <v>43</v>
      </c>
      <c r="B239" s="426" t="s">
        <v>471</v>
      </c>
      <c r="C239" s="426" t="s">
        <v>679</v>
      </c>
    </row>
    <row r="240" spans="1:3" ht="15">
      <c r="A240" s="426" t="s">
        <v>43</v>
      </c>
      <c r="B240" s="426" t="s">
        <v>1784</v>
      </c>
      <c r="C240" s="426" t="s">
        <v>1672</v>
      </c>
    </row>
    <row r="241" spans="1:3" ht="15">
      <c r="A241" s="426" t="s">
        <v>43</v>
      </c>
      <c r="B241" s="426" t="s">
        <v>1790</v>
      </c>
      <c r="C241" s="426" t="s">
        <v>686</v>
      </c>
    </row>
    <row r="242" spans="1:3" ht="15">
      <c r="A242" s="426" t="s">
        <v>35</v>
      </c>
      <c r="B242" s="426" t="s">
        <v>373</v>
      </c>
      <c r="C242" s="426" t="s">
        <v>682</v>
      </c>
    </row>
    <row r="243" spans="1:3" ht="15">
      <c r="A243" s="426" t="s">
        <v>35</v>
      </c>
      <c r="B243" s="426" t="s">
        <v>1675</v>
      </c>
      <c r="C243" s="426" t="s">
        <v>1477</v>
      </c>
    </row>
    <row r="244" spans="1:3" ht="15">
      <c r="A244" s="426" t="s">
        <v>35</v>
      </c>
      <c r="B244" s="426" t="s">
        <v>1679</v>
      </c>
      <c r="C244" s="426" t="s">
        <v>1674</v>
      </c>
    </row>
    <row r="245" spans="1:3" ht="15">
      <c r="A245" s="426" t="s">
        <v>37</v>
      </c>
      <c r="B245" s="426" t="s">
        <v>503</v>
      </c>
      <c r="C245" s="426" t="s">
        <v>685</v>
      </c>
    </row>
    <row r="246" spans="1:3" ht="15">
      <c r="A246" s="426" t="s">
        <v>37</v>
      </c>
      <c r="B246" s="426" t="s">
        <v>1730</v>
      </c>
      <c r="C246" s="426" t="s">
        <v>1674</v>
      </c>
    </row>
    <row r="247" spans="1:3" ht="15">
      <c r="A247" s="426" t="s">
        <v>37</v>
      </c>
      <c r="B247" s="426" t="s">
        <v>478</v>
      </c>
      <c r="C247" s="426" t="s">
        <v>1674</v>
      </c>
    </row>
    <row r="248" spans="1:3" ht="15">
      <c r="A248" s="426" t="s">
        <v>37</v>
      </c>
      <c r="B248" s="426" t="s">
        <v>585</v>
      </c>
      <c r="C248" s="426" t="s">
        <v>679</v>
      </c>
    </row>
    <row r="249" spans="1:3" ht="15">
      <c r="A249" s="426" t="s">
        <v>37</v>
      </c>
      <c r="B249" s="426" t="s">
        <v>435</v>
      </c>
      <c r="C249" s="426" t="s">
        <v>1477</v>
      </c>
    </row>
    <row r="250" spans="1:3" ht="15">
      <c r="A250" s="426" t="s">
        <v>37</v>
      </c>
      <c r="B250" s="426" t="s">
        <v>475</v>
      </c>
      <c r="C250" s="426" t="s">
        <v>1477</v>
      </c>
    </row>
    <row r="251" spans="1:3" ht="15">
      <c r="A251" s="426" t="s">
        <v>37</v>
      </c>
      <c r="B251" s="426" t="s">
        <v>1283</v>
      </c>
      <c r="C251" s="426" t="s">
        <v>1477</v>
      </c>
    </row>
    <row r="252" spans="1:3" ht="15">
      <c r="A252" s="426" t="s">
        <v>37</v>
      </c>
      <c r="B252" s="426" t="s">
        <v>1721</v>
      </c>
      <c r="C252" s="426" t="s">
        <v>1477</v>
      </c>
    </row>
    <row r="253" spans="1:3" ht="15">
      <c r="A253" s="426" t="s">
        <v>37</v>
      </c>
      <c r="B253" s="426" t="s">
        <v>394</v>
      </c>
      <c r="C253" s="426" t="s">
        <v>685</v>
      </c>
    </row>
    <row r="254" spans="1:3" ht="15">
      <c r="A254" s="426" t="s">
        <v>37</v>
      </c>
      <c r="B254" s="426" t="s">
        <v>481</v>
      </c>
      <c r="C254" s="426" t="s">
        <v>688</v>
      </c>
    </row>
    <row r="255" spans="1:3" ht="15">
      <c r="A255" s="426" t="s">
        <v>37</v>
      </c>
      <c r="B255" s="426" t="s">
        <v>531</v>
      </c>
      <c r="C255" s="426" t="s">
        <v>685</v>
      </c>
    </row>
    <row r="256" spans="1:3" ht="15">
      <c r="A256" s="426" t="s">
        <v>37</v>
      </c>
      <c r="B256" s="426" t="s">
        <v>577</v>
      </c>
      <c r="C256" s="426" t="s">
        <v>688</v>
      </c>
    </row>
    <row r="257" spans="1:3" ht="15">
      <c r="A257" s="426" t="s">
        <v>37</v>
      </c>
      <c r="B257" s="426" t="s">
        <v>419</v>
      </c>
      <c r="C257" s="426" t="s">
        <v>681</v>
      </c>
    </row>
    <row r="258" spans="1:3" ht="15">
      <c r="A258" s="426" t="s">
        <v>37</v>
      </c>
      <c r="B258" s="426" t="s">
        <v>542</v>
      </c>
      <c r="C258" s="426" t="s">
        <v>681</v>
      </c>
    </row>
    <row r="259" spans="1:3" ht="15">
      <c r="A259" s="426" t="s">
        <v>37</v>
      </c>
      <c r="B259" s="426" t="s">
        <v>533</v>
      </c>
      <c r="C259" s="426" t="s">
        <v>682</v>
      </c>
    </row>
    <row r="260" spans="1:3" ht="15">
      <c r="A260" s="426" t="s">
        <v>37</v>
      </c>
      <c r="B260" s="426" t="s">
        <v>617</v>
      </c>
      <c r="C260" s="426" t="s">
        <v>682</v>
      </c>
    </row>
    <row r="261" spans="1:3" ht="15">
      <c r="A261" s="426" t="s">
        <v>37</v>
      </c>
      <c r="B261" s="426" t="s">
        <v>451</v>
      </c>
      <c r="C261" s="426" t="s">
        <v>676</v>
      </c>
    </row>
    <row r="262" spans="1:3" ht="15">
      <c r="A262" s="426" t="s">
        <v>37</v>
      </c>
      <c r="B262" s="426" t="s">
        <v>322</v>
      </c>
      <c r="C262" s="426" t="s">
        <v>677</v>
      </c>
    </row>
    <row r="263" spans="1:3" ht="15">
      <c r="A263" s="426" t="s">
        <v>37</v>
      </c>
      <c r="B263" s="426" t="s">
        <v>1337</v>
      </c>
      <c r="C263" s="426" t="s">
        <v>679</v>
      </c>
    </row>
    <row r="264" spans="1:3" ht="15">
      <c r="A264" s="426" t="s">
        <v>37</v>
      </c>
      <c r="B264" s="426" t="s">
        <v>626</v>
      </c>
      <c r="C264" s="426" t="s">
        <v>679</v>
      </c>
    </row>
    <row r="265" spans="1:3" ht="15">
      <c r="A265" s="426" t="s">
        <v>37</v>
      </c>
      <c r="B265" s="426" t="s">
        <v>1342</v>
      </c>
      <c r="C265" s="426" t="s">
        <v>692</v>
      </c>
    </row>
    <row r="266" spans="1:3" ht="15">
      <c r="A266" s="426" t="s">
        <v>37</v>
      </c>
      <c r="B266" s="426" t="s">
        <v>1706</v>
      </c>
      <c r="C266" s="426" t="s">
        <v>701</v>
      </c>
    </row>
    <row r="267" spans="1:3" ht="15">
      <c r="A267" s="426" t="s">
        <v>37</v>
      </c>
      <c r="B267" s="426" t="s">
        <v>403</v>
      </c>
      <c r="C267" s="426" t="s">
        <v>701</v>
      </c>
    </row>
    <row r="268" spans="1:3" ht="15">
      <c r="A268" s="426" t="s">
        <v>37</v>
      </c>
      <c r="B268" s="426" t="s">
        <v>1288</v>
      </c>
      <c r="C268" s="426" t="s">
        <v>700</v>
      </c>
    </row>
    <row r="269" spans="1:3" ht="15">
      <c r="A269" s="426" t="s">
        <v>37</v>
      </c>
      <c r="B269" s="426" t="s">
        <v>386</v>
      </c>
      <c r="C269" s="426" t="s">
        <v>680</v>
      </c>
    </row>
    <row r="270" spans="1:3" ht="15">
      <c r="A270" s="426" t="s">
        <v>37</v>
      </c>
      <c r="B270" s="426" t="s">
        <v>502</v>
      </c>
      <c r="C270" s="426" t="s">
        <v>680</v>
      </c>
    </row>
    <row r="271" spans="1:3" ht="15">
      <c r="A271" s="426" t="s">
        <v>37</v>
      </c>
      <c r="B271" s="426" t="s">
        <v>535</v>
      </c>
      <c r="C271" s="426" t="s">
        <v>691</v>
      </c>
    </row>
    <row r="272" spans="1:3" ht="15">
      <c r="A272" s="426" t="s">
        <v>37</v>
      </c>
      <c r="B272" s="426" t="s">
        <v>572</v>
      </c>
      <c r="C272" s="426" t="s">
        <v>700</v>
      </c>
    </row>
    <row r="273" spans="1:3" ht="15">
      <c r="A273" s="426" t="s">
        <v>37</v>
      </c>
      <c r="B273" s="426" t="s">
        <v>1282</v>
      </c>
      <c r="C273" s="426" t="s">
        <v>1672</v>
      </c>
    </row>
    <row r="274" spans="1:3" ht="15">
      <c r="A274" s="426" t="s">
        <v>37</v>
      </c>
      <c r="B274" s="426" t="s">
        <v>1699</v>
      </c>
      <c r="C274" s="426" t="s">
        <v>1672</v>
      </c>
    </row>
    <row r="275" spans="1:3" ht="15">
      <c r="A275" s="426" t="s">
        <v>37</v>
      </c>
      <c r="B275" s="426" t="s">
        <v>1694</v>
      </c>
      <c r="C275" s="426" t="s">
        <v>1672</v>
      </c>
    </row>
    <row r="276" spans="1:3" ht="15">
      <c r="A276" s="426" t="s">
        <v>37</v>
      </c>
      <c r="B276" s="426" t="s">
        <v>1702</v>
      </c>
      <c r="C276" s="426" t="s">
        <v>686</v>
      </c>
    </row>
    <row r="277" spans="1:3" ht="15">
      <c r="A277" s="426" t="s">
        <v>37</v>
      </c>
      <c r="B277" s="426" t="s">
        <v>1707</v>
      </c>
      <c r="C277" s="426" t="s">
        <v>686</v>
      </c>
    </row>
    <row r="278" spans="1:3" ht="15">
      <c r="A278" s="426" t="s">
        <v>39</v>
      </c>
      <c r="B278" s="426" t="s">
        <v>391</v>
      </c>
      <c r="C278" s="426" t="s">
        <v>1672</v>
      </c>
    </row>
    <row r="279" spans="1:3" ht="15">
      <c r="A279" s="426" t="s">
        <v>39</v>
      </c>
      <c r="B279" s="426" t="s">
        <v>444</v>
      </c>
      <c r="C279" s="426" t="s">
        <v>691</v>
      </c>
    </row>
    <row r="280" spans="1:3" ht="15">
      <c r="A280" s="426" t="s">
        <v>39</v>
      </c>
      <c r="B280" s="426" t="s">
        <v>590</v>
      </c>
      <c r="C280" s="426" t="s">
        <v>680</v>
      </c>
    </row>
    <row r="281" spans="1:3" ht="15">
      <c r="A281" s="426" t="s">
        <v>39</v>
      </c>
      <c r="B281" s="426" t="s">
        <v>575</v>
      </c>
      <c r="C281" s="426" t="s">
        <v>700</v>
      </c>
    </row>
    <row r="282" spans="1:3" ht="15">
      <c r="A282" s="426" t="s">
        <v>39</v>
      </c>
      <c r="B282" s="426" t="s">
        <v>323</v>
      </c>
      <c r="C282" s="426" t="s">
        <v>701</v>
      </c>
    </row>
    <row r="283" spans="1:3" ht="15">
      <c r="A283" s="426" t="s">
        <v>39</v>
      </c>
      <c r="B283" s="426" t="s">
        <v>595</v>
      </c>
      <c r="C283" s="426" t="s">
        <v>687</v>
      </c>
    </row>
    <row r="284" spans="1:3" ht="15">
      <c r="A284" s="426" t="s">
        <v>39</v>
      </c>
      <c r="B284" s="426" t="s">
        <v>1767</v>
      </c>
      <c r="C284" s="426" t="s">
        <v>701</v>
      </c>
    </row>
    <row r="285" spans="1:3" ht="15">
      <c r="A285" s="426" t="s">
        <v>39</v>
      </c>
      <c r="B285" s="426" t="s">
        <v>1756</v>
      </c>
      <c r="C285" s="426" t="s">
        <v>695</v>
      </c>
    </row>
    <row r="286" spans="1:3" ht="15">
      <c r="A286" s="426" t="s">
        <v>39</v>
      </c>
      <c r="B286" s="426" t="s">
        <v>479</v>
      </c>
      <c r="C286" s="426" t="s">
        <v>1477</v>
      </c>
    </row>
    <row r="287" spans="1:3" ht="15">
      <c r="A287" s="426" t="s">
        <v>39</v>
      </c>
      <c r="B287" s="426" t="s">
        <v>1748</v>
      </c>
      <c r="C287" s="426" t="s">
        <v>1477</v>
      </c>
    </row>
    <row r="288" spans="1:3" ht="15">
      <c r="A288" s="426" t="s">
        <v>39</v>
      </c>
      <c r="B288" s="426" t="s">
        <v>299</v>
      </c>
      <c r="C288" s="426" t="s">
        <v>687</v>
      </c>
    </row>
    <row r="289" spans="1:3" ht="15">
      <c r="A289" s="426" t="s">
        <v>39</v>
      </c>
      <c r="B289" s="426" t="s">
        <v>1757</v>
      </c>
      <c r="C289" s="426" t="s">
        <v>1674</v>
      </c>
    </row>
    <row r="290" spans="1:3" ht="15">
      <c r="A290" s="426" t="s">
        <v>39</v>
      </c>
      <c r="B290" s="426" t="s">
        <v>1940</v>
      </c>
      <c r="C290" s="426" t="s">
        <v>684</v>
      </c>
    </row>
    <row r="291" spans="1:3" ht="15">
      <c r="A291" s="426" t="s">
        <v>43</v>
      </c>
      <c r="B291" s="426" t="s">
        <v>1754</v>
      </c>
      <c r="C291" s="426" t="s">
        <v>679</v>
      </c>
    </row>
    <row r="292" spans="1:3" ht="15">
      <c r="A292" s="426" t="s">
        <v>43</v>
      </c>
      <c r="B292" s="426" t="s">
        <v>374</v>
      </c>
      <c r="C292" s="426" t="s">
        <v>1477</v>
      </c>
    </row>
    <row r="293" spans="1:3" ht="15">
      <c r="A293" s="426" t="s">
        <v>43</v>
      </c>
      <c r="B293" s="426" t="s">
        <v>469</v>
      </c>
      <c r="C293" s="426" t="s">
        <v>679</v>
      </c>
    </row>
    <row r="294" spans="1:3" ht="15">
      <c r="A294" s="426" t="s">
        <v>43</v>
      </c>
      <c r="B294" s="426" t="s">
        <v>450</v>
      </c>
      <c r="C294" s="426" t="s">
        <v>680</v>
      </c>
    </row>
    <row r="295" spans="1:3" ht="15">
      <c r="A295" s="426" t="s">
        <v>37</v>
      </c>
      <c r="B295" s="426" t="s">
        <v>364</v>
      </c>
      <c r="C295" s="426" t="s">
        <v>692</v>
      </c>
    </row>
    <row r="296" spans="1:3" ht="15">
      <c r="A296" s="426" t="s">
        <v>37</v>
      </c>
      <c r="B296" s="426" t="s">
        <v>1731</v>
      </c>
      <c r="C296" s="426" t="s">
        <v>1477</v>
      </c>
    </row>
    <row r="297" spans="1:3" ht="15">
      <c r="A297" s="426" t="s">
        <v>37</v>
      </c>
      <c r="B297" s="426" t="s">
        <v>1863</v>
      </c>
      <c r="C297" s="426" t="s">
        <v>1674</v>
      </c>
    </row>
    <row r="298" spans="1:3" ht="15">
      <c r="A298" s="426" t="s">
        <v>37</v>
      </c>
      <c r="B298" s="426" t="s">
        <v>453</v>
      </c>
      <c r="C298" s="426" t="s">
        <v>687</v>
      </c>
    </row>
    <row r="299" spans="1:3" ht="15">
      <c r="A299" s="426" t="s">
        <v>37</v>
      </c>
      <c r="B299" s="426" t="s">
        <v>298</v>
      </c>
      <c r="C299" s="426" t="s">
        <v>678</v>
      </c>
    </row>
    <row r="300" spans="1:3" ht="15">
      <c r="A300" s="426" t="s">
        <v>37</v>
      </c>
      <c r="B300" s="426" t="s">
        <v>562</v>
      </c>
      <c r="C300" s="426" t="s">
        <v>678</v>
      </c>
    </row>
    <row r="301" spans="1:3" ht="15">
      <c r="A301" s="426" t="s">
        <v>37</v>
      </c>
      <c r="B301" s="426" t="s">
        <v>512</v>
      </c>
      <c r="C301" s="426" t="s">
        <v>682</v>
      </c>
    </row>
    <row r="302" spans="1:3" ht="15">
      <c r="A302" s="426" t="s">
        <v>37</v>
      </c>
      <c r="B302" s="426" t="s">
        <v>309</v>
      </c>
      <c r="C302" s="426" t="s">
        <v>676</v>
      </c>
    </row>
    <row r="303" spans="1:3" ht="15">
      <c r="A303" s="426" t="s">
        <v>37</v>
      </c>
      <c r="B303" s="426" t="s">
        <v>544</v>
      </c>
      <c r="C303" s="426" t="s">
        <v>701</v>
      </c>
    </row>
    <row r="304" spans="1:3" ht="15">
      <c r="A304" s="426" t="s">
        <v>37</v>
      </c>
      <c r="B304" s="426" t="s">
        <v>592</v>
      </c>
      <c r="C304" s="426" t="s">
        <v>701</v>
      </c>
    </row>
    <row r="305" spans="1:3" ht="15">
      <c r="A305" s="426" t="s">
        <v>37</v>
      </c>
      <c r="B305" s="426" t="s">
        <v>410</v>
      </c>
      <c r="C305" s="426" t="s">
        <v>680</v>
      </c>
    </row>
    <row r="306" spans="1:3" ht="15">
      <c r="A306" s="426" t="s">
        <v>37</v>
      </c>
      <c r="B306" s="426" t="s">
        <v>440</v>
      </c>
      <c r="C306" s="426" t="s">
        <v>680</v>
      </c>
    </row>
    <row r="307" spans="1:3" ht="15">
      <c r="A307" s="426" t="s">
        <v>37</v>
      </c>
      <c r="B307" s="426" t="s">
        <v>1290</v>
      </c>
      <c r="C307" s="426" t="s">
        <v>691</v>
      </c>
    </row>
    <row r="308" spans="1:3" ht="15">
      <c r="A308" s="426" t="s">
        <v>37</v>
      </c>
      <c r="B308" s="426" t="s">
        <v>505</v>
      </c>
      <c r="C308" s="426" t="s">
        <v>691</v>
      </c>
    </row>
    <row r="309" spans="1:3" ht="15">
      <c r="A309" s="426" t="s">
        <v>39</v>
      </c>
      <c r="B309" s="426" t="s">
        <v>1745</v>
      </c>
      <c r="C309" s="426" t="s">
        <v>1672</v>
      </c>
    </row>
    <row r="310" spans="1:3" ht="15">
      <c r="A310" s="426" t="s">
        <v>39</v>
      </c>
      <c r="B310" s="426" t="s">
        <v>1755</v>
      </c>
      <c r="C310" s="426" t="s">
        <v>691</v>
      </c>
    </row>
    <row r="311" spans="1:3" ht="15">
      <c r="A311" s="426" t="s">
        <v>39</v>
      </c>
      <c r="B311" s="426" t="s">
        <v>1751</v>
      </c>
      <c r="C311" s="426" t="s">
        <v>680</v>
      </c>
    </row>
    <row r="312" spans="1:3" ht="15">
      <c r="A312" s="426" t="s">
        <v>39</v>
      </c>
      <c r="B312" s="426" t="s">
        <v>1338</v>
      </c>
      <c r="C312" s="426" t="s">
        <v>692</v>
      </c>
    </row>
    <row r="313" spans="1:3" ht="15">
      <c r="A313" s="426" t="s">
        <v>39</v>
      </c>
      <c r="B313" s="426" t="s">
        <v>488</v>
      </c>
      <c r="C313" s="426" t="s">
        <v>679</v>
      </c>
    </row>
    <row r="314" spans="1:3" ht="15">
      <c r="A314" s="426" t="s">
        <v>39</v>
      </c>
      <c r="B314" s="426" t="s">
        <v>1331</v>
      </c>
      <c r="C314" s="426" t="s">
        <v>681</v>
      </c>
    </row>
    <row r="315" spans="1:3" ht="15">
      <c r="A315" s="426" t="s">
        <v>39</v>
      </c>
      <c r="B315" s="426" t="s">
        <v>383</v>
      </c>
      <c r="C315" s="426" t="s">
        <v>688</v>
      </c>
    </row>
    <row r="316" spans="1:3" ht="15">
      <c r="A316" s="426" t="s">
        <v>39</v>
      </c>
      <c r="B316" s="426" t="s">
        <v>622</v>
      </c>
      <c r="C316" s="426" t="s">
        <v>688</v>
      </c>
    </row>
    <row r="317" spans="1:3" ht="15">
      <c r="A317" s="426" t="s">
        <v>39</v>
      </c>
      <c r="B317" s="426" t="s">
        <v>596</v>
      </c>
      <c r="C317" s="426" t="s">
        <v>1477</v>
      </c>
    </row>
    <row r="318" spans="1:3" ht="15">
      <c r="A318" s="426" t="s">
        <v>39</v>
      </c>
      <c r="B318" s="426" t="s">
        <v>619</v>
      </c>
      <c r="C318" s="426" t="s">
        <v>687</v>
      </c>
    </row>
    <row r="319" spans="1:3" ht="15">
      <c r="A319" s="426" t="s">
        <v>39</v>
      </c>
      <c r="B319" s="426" t="s">
        <v>1760</v>
      </c>
      <c r="C319" s="426" t="s">
        <v>1674</v>
      </c>
    </row>
    <row r="320" spans="1:3" ht="15">
      <c r="A320" s="426" t="s">
        <v>43</v>
      </c>
      <c r="B320" s="426" t="s">
        <v>1336</v>
      </c>
      <c r="C320" s="426" t="s">
        <v>677</v>
      </c>
    </row>
    <row r="321" spans="1:3" ht="15">
      <c r="A321" s="426" t="s">
        <v>43</v>
      </c>
      <c r="B321" s="426" t="s">
        <v>1782</v>
      </c>
      <c r="C321" s="426" t="s">
        <v>678</v>
      </c>
    </row>
    <row r="322" spans="1:3" ht="15">
      <c r="A322" s="426" t="s">
        <v>43</v>
      </c>
      <c r="B322" s="426" t="s">
        <v>614</v>
      </c>
      <c r="C322" s="426" t="s">
        <v>701</v>
      </c>
    </row>
    <row r="323" spans="1:3" ht="15">
      <c r="A323" s="426" t="s">
        <v>43</v>
      </c>
      <c r="B323" s="426" t="s">
        <v>347</v>
      </c>
      <c r="C323" s="426" t="s">
        <v>682</v>
      </c>
    </row>
    <row r="324" spans="1:3" ht="15">
      <c r="A324" s="426" t="s">
        <v>43</v>
      </c>
      <c r="B324" s="426" t="s">
        <v>1786</v>
      </c>
      <c r="C324" s="426" t="s">
        <v>679</v>
      </c>
    </row>
    <row r="325" spans="1:3" ht="15">
      <c r="A325" s="426" t="s">
        <v>37</v>
      </c>
      <c r="B325" s="426" t="s">
        <v>1941</v>
      </c>
      <c r="C325" s="426" t="s">
        <v>679</v>
      </c>
    </row>
    <row r="326" spans="1:3" ht="15">
      <c r="A326" s="426" t="s">
        <v>37</v>
      </c>
      <c r="B326" s="426" t="s">
        <v>601</v>
      </c>
      <c r="C326" s="426" t="s">
        <v>679</v>
      </c>
    </row>
    <row r="327" spans="1:3" ht="15">
      <c r="A327" s="426" t="s">
        <v>37</v>
      </c>
      <c r="B327" s="426" t="s">
        <v>1728</v>
      </c>
      <c r="C327" s="426" t="s">
        <v>1477</v>
      </c>
    </row>
    <row r="328" spans="1:3" ht="15">
      <c r="A328" s="426" t="s">
        <v>37</v>
      </c>
      <c r="B328" s="426" t="s">
        <v>321</v>
      </c>
      <c r="C328" s="426" t="s">
        <v>684</v>
      </c>
    </row>
    <row r="329" spans="1:3" ht="15">
      <c r="A329" s="426" t="s">
        <v>37</v>
      </c>
      <c r="B329" s="426" t="s">
        <v>1942</v>
      </c>
      <c r="C329" s="426" t="s">
        <v>684</v>
      </c>
    </row>
    <row r="330" spans="1:3" ht="15">
      <c r="A330" s="426" t="s">
        <v>37</v>
      </c>
      <c r="B330" s="426" t="s">
        <v>1714</v>
      </c>
      <c r="C330" s="426" t="s">
        <v>687</v>
      </c>
    </row>
    <row r="331" spans="1:3" ht="15">
      <c r="A331" s="426" t="s">
        <v>37</v>
      </c>
      <c r="B331" s="426" t="s">
        <v>553</v>
      </c>
      <c r="C331" s="426" t="s">
        <v>687</v>
      </c>
    </row>
    <row r="332" spans="1:3" ht="15">
      <c r="A332" s="426" t="s">
        <v>37</v>
      </c>
      <c r="B332" s="426" t="s">
        <v>554</v>
      </c>
      <c r="C332" s="426" t="s">
        <v>687</v>
      </c>
    </row>
    <row r="333" spans="1:3" ht="15">
      <c r="A333" s="426" t="s">
        <v>37</v>
      </c>
      <c r="B333" s="426" t="s">
        <v>547</v>
      </c>
      <c r="C333" s="426" t="s">
        <v>1477</v>
      </c>
    </row>
    <row r="334" spans="1:3" ht="15">
      <c r="A334" s="426" t="s">
        <v>37</v>
      </c>
      <c r="B334" s="426" t="s">
        <v>528</v>
      </c>
      <c r="C334" s="426" t="s">
        <v>685</v>
      </c>
    </row>
    <row r="335" spans="1:3" ht="15">
      <c r="A335" s="426" t="s">
        <v>37</v>
      </c>
      <c r="B335" s="426" t="s">
        <v>1723</v>
      </c>
      <c r="C335" s="426" t="s">
        <v>688</v>
      </c>
    </row>
    <row r="336" spans="1:3" ht="15">
      <c r="A336" s="426" t="s">
        <v>37</v>
      </c>
      <c r="B336" s="426" t="s">
        <v>566</v>
      </c>
      <c r="C336" s="426" t="s">
        <v>688</v>
      </c>
    </row>
    <row r="337" spans="1:3" ht="15">
      <c r="A337" s="426" t="s">
        <v>37</v>
      </c>
      <c r="B337" s="426" t="s">
        <v>597</v>
      </c>
      <c r="C337" s="426" t="s">
        <v>688</v>
      </c>
    </row>
    <row r="338" spans="1:3" ht="15">
      <c r="A338" s="426" t="s">
        <v>37</v>
      </c>
      <c r="B338" s="426" t="s">
        <v>467</v>
      </c>
      <c r="C338" s="426" t="s">
        <v>695</v>
      </c>
    </row>
    <row r="339" spans="1:3" ht="15">
      <c r="A339" s="426" t="s">
        <v>37</v>
      </c>
      <c r="B339" s="426" t="s">
        <v>611</v>
      </c>
      <c r="C339" s="426" t="s">
        <v>681</v>
      </c>
    </row>
    <row r="340" spans="1:3" ht="15">
      <c r="A340" s="426" t="s">
        <v>37</v>
      </c>
      <c r="B340" s="426" t="s">
        <v>330</v>
      </c>
      <c r="C340" s="426" t="s">
        <v>678</v>
      </c>
    </row>
    <row r="341" spans="1:3" ht="15">
      <c r="A341" s="426" t="s">
        <v>37</v>
      </c>
      <c r="B341" s="426" t="s">
        <v>388</v>
      </c>
      <c r="C341" s="426" t="s">
        <v>678</v>
      </c>
    </row>
    <row r="342" spans="1:3" ht="15">
      <c r="A342" s="426" t="s">
        <v>37</v>
      </c>
      <c r="B342" s="426" t="s">
        <v>623</v>
      </c>
      <c r="C342" s="426" t="s">
        <v>678</v>
      </c>
    </row>
    <row r="343" spans="1:3" ht="15">
      <c r="A343" s="426" t="s">
        <v>37</v>
      </c>
      <c r="B343" s="426" t="s">
        <v>1289</v>
      </c>
      <c r="C343" s="426" t="s">
        <v>682</v>
      </c>
    </row>
    <row r="344" spans="1:3" ht="15">
      <c r="A344" s="426" t="s">
        <v>37</v>
      </c>
      <c r="B344" s="426" t="s">
        <v>560</v>
      </c>
      <c r="C344" s="426" t="s">
        <v>677</v>
      </c>
    </row>
    <row r="345" spans="1:3" ht="15">
      <c r="A345" s="426" t="s">
        <v>37</v>
      </c>
      <c r="B345" s="426" t="s">
        <v>498</v>
      </c>
      <c r="C345" s="426" t="s">
        <v>679</v>
      </c>
    </row>
    <row r="346" spans="1:3" ht="15">
      <c r="A346" s="426" t="s">
        <v>37</v>
      </c>
      <c r="B346" s="426" t="s">
        <v>609</v>
      </c>
      <c r="C346" s="426" t="s">
        <v>692</v>
      </c>
    </row>
    <row r="347" spans="1:3" ht="15">
      <c r="A347" s="426" t="s">
        <v>37</v>
      </c>
      <c r="B347" s="426" t="s">
        <v>406</v>
      </c>
      <c r="C347" s="426" t="s">
        <v>700</v>
      </c>
    </row>
    <row r="348" spans="1:3" ht="15">
      <c r="A348" s="426" t="s">
        <v>37</v>
      </c>
      <c r="B348" s="426" t="s">
        <v>492</v>
      </c>
      <c r="C348" s="426" t="s">
        <v>691</v>
      </c>
    </row>
    <row r="349" spans="1:3" ht="15">
      <c r="A349" s="426" t="s">
        <v>37</v>
      </c>
      <c r="B349" s="426" t="s">
        <v>524</v>
      </c>
      <c r="C349" s="426" t="s">
        <v>691</v>
      </c>
    </row>
    <row r="350" spans="1:3" ht="15">
      <c r="A350" s="426" t="s">
        <v>37</v>
      </c>
      <c r="B350" s="426" t="s">
        <v>550</v>
      </c>
      <c r="C350" s="426" t="s">
        <v>691</v>
      </c>
    </row>
    <row r="351" spans="1:3" ht="15">
      <c r="A351" s="426" t="s">
        <v>37</v>
      </c>
      <c r="B351" s="426" t="s">
        <v>612</v>
      </c>
      <c r="C351" s="426" t="s">
        <v>691</v>
      </c>
    </row>
    <row r="352" spans="1:3" ht="15">
      <c r="A352" s="426" t="s">
        <v>37</v>
      </c>
      <c r="B352" s="426" t="s">
        <v>1705</v>
      </c>
      <c r="C352" s="426" t="s">
        <v>1672</v>
      </c>
    </row>
    <row r="353" spans="1:3" ht="15">
      <c r="A353" s="426" t="s">
        <v>39</v>
      </c>
      <c r="B353" s="426" t="s">
        <v>1858</v>
      </c>
      <c r="C353" s="426" t="s">
        <v>686</v>
      </c>
    </row>
    <row r="354" spans="1:3" ht="15">
      <c r="A354" s="426" t="s">
        <v>39</v>
      </c>
      <c r="B354" s="426" t="s">
        <v>1743</v>
      </c>
      <c r="C354" s="426" t="s">
        <v>1672</v>
      </c>
    </row>
    <row r="355" spans="1:3" ht="15">
      <c r="A355" s="426" t="s">
        <v>39</v>
      </c>
      <c r="B355" s="426" t="s">
        <v>327</v>
      </c>
      <c r="C355" s="426" t="s">
        <v>700</v>
      </c>
    </row>
    <row r="356" spans="1:3" ht="15">
      <c r="A356" s="426" t="s">
        <v>39</v>
      </c>
      <c r="B356" s="426" t="s">
        <v>430</v>
      </c>
      <c r="C356" s="426" t="s">
        <v>700</v>
      </c>
    </row>
    <row r="357" spans="1:3" ht="15">
      <c r="A357" s="426" t="s">
        <v>39</v>
      </c>
      <c r="B357" s="426" t="s">
        <v>587</v>
      </c>
      <c r="C357" s="426" t="s">
        <v>691</v>
      </c>
    </row>
    <row r="358" spans="1:3" ht="15">
      <c r="A358" s="426" t="s">
        <v>39</v>
      </c>
      <c r="B358" s="426" t="s">
        <v>1335</v>
      </c>
      <c r="C358" s="426" t="s">
        <v>680</v>
      </c>
    </row>
    <row r="359" spans="1:3" ht="15">
      <c r="A359" s="426" t="s">
        <v>39</v>
      </c>
      <c r="B359" s="426" t="s">
        <v>1765</v>
      </c>
      <c r="C359" s="426" t="s">
        <v>680</v>
      </c>
    </row>
    <row r="360" spans="1:3" ht="15">
      <c r="A360" s="426" t="s">
        <v>39</v>
      </c>
      <c r="B360" s="426" t="s">
        <v>501</v>
      </c>
      <c r="C360" s="426" t="s">
        <v>701</v>
      </c>
    </row>
    <row r="361" spans="1:3" ht="15">
      <c r="A361" s="426" t="s">
        <v>39</v>
      </c>
      <c r="B361" s="426" t="s">
        <v>1298</v>
      </c>
      <c r="C361" s="426" t="s">
        <v>692</v>
      </c>
    </row>
    <row r="362" spans="1:3" ht="15">
      <c r="A362" s="426" t="s">
        <v>39</v>
      </c>
      <c r="B362" s="426" t="s">
        <v>1280</v>
      </c>
      <c r="C362" s="426" t="s">
        <v>692</v>
      </c>
    </row>
    <row r="363" spans="1:3" ht="15">
      <c r="A363" s="426" t="s">
        <v>39</v>
      </c>
      <c r="B363" s="426" t="s">
        <v>608</v>
      </c>
      <c r="C363" s="426" t="s">
        <v>676</v>
      </c>
    </row>
    <row r="364" spans="1:3" ht="15">
      <c r="A364" s="426" t="s">
        <v>39</v>
      </c>
      <c r="B364" s="426" t="s">
        <v>1301</v>
      </c>
      <c r="C364" s="426" t="s">
        <v>682</v>
      </c>
    </row>
    <row r="365" spans="1:3" ht="15">
      <c r="A365" s="426" t="s">
        <v>39</v>
      </c>
      <c r="B365" s="426" t="s">
        <v>1340</v>
      </c>
      <c r="C365" s="426" t="s">
        <v>682</v>
      </c>
    </row>
    <row r="366" spans="1:3" ht="15">
      <c r="A366" s="426" t="s">
        <v>39</v>
      </c>
      <c r="B366" s="426" t="s">
        <v>1307</v>
      </c>
      <c r="C366" s="426" t="s">
        <v>678</v>
      </c>
    </row>
    <row r="367" spans="1:3" ht="15">
      <c r="A367" s="426" t="s">
        <v>39</v>
      </c>
      <c r="B367" s="426" t="s">
        <v>559</v>
      </c>
      <c r="C367" s="426" t="s">
        <v>678</v>
      </c>
    </row>
    <row r="368" spans="1:3" ht="15">
      <c r="A368" s="426" t="s">
        <v>39</v>
      </c>
      <c r="B368" s="426" t="s">
        <v>468</v>
      </c>
      <c r="C368" s="426" t="s">
        <v>681</v>
      </c>
    </row>
    <row r="369" spans="1:3" ht="15">
      <c r="A369" s="426" t="s">
        <v>39</v>
      </c>
      <c r="B369" s="426" t="s">
        <v>350</v>
      </c>
      <c r="C369" s="426" t="s">
        <v>685</v>
      </c>
    </row>
    <row r="370" spans="1:3" ht="15">
      <c r="A370" s="426" t="s">
        <v>39</v>
      </c>
      <c r="B370" s="426" t="s">
        <v>548</v>
      </c>
      <c r="C370" s="426" t="s">
        <v>685</v>
      </c>
    </row>
    <row r="371" spans="1:3" ht="15">
      <c r="A371" s="426" t="s">
        <v>39</v>
      </c>
      <c r="B371" s="426" t="s">
        <v>318</v>
      </c>
      <c r="C371" s="426" t="s">
        <v>684</v>
      </c>
    </row>
    <row r="372" spans="1:3" ht="15">
      <c r="A372" s="426" t="s">
        <v>39</v>
      </c>
      <c r="B372" s="426" t="s">
        <v>518</v>
      </c>
      <c r="C372" s="426" t="s">
        <v>684</v>
      </c>
    </row>
    <row r="373" spans="1:3" ht="15">
      <c r="A373" s="426" t="s">
        <v>39</v>
      </c>
      <c r="B373" s="426" t="s">
        <v>1809</v>
      </c>
      <c r="C373" s="426" t="s">
        <v>1674</v>
      </c>
    </row>
    <row r="374" spans="1:3" ht="15">
      <c r="A374" s="426" t="s">
        <v>39</v>
      </c>
      <c r="B374" s="426" t="s">
        <v>377</v>
      </c>
      <c r="C374" s="426" t="s">
        <v>1674</v>
      </c>
    </row>
    <row r="375" spans="1:3" ht="15">
      <c r="A375" s="426" t="s">
        <v>39</v>
      </c>
      <c r="B375" s="426" t="s">
        <v>1758</v>
      </c>
      <c r="C375" s="426" t="s">
        <v>1674</v>
      </c>
    </row>
    <row r="376" spans="1:3" ht="15">
      <c r="A376" s="426" t="s">
        <v>43</v>
      </c>
      <c r="B376" s="426" t="s">
        <v>1789</v>
      </c>
      <c r="C376" s="426" t="s">
        <v>686</v>
      </c>
    </row>
    <row r="377" spans="1:3" ht="15">
      <c r="A377" s="426" t="s">
        <v>43</v>
      </c>
      <c r="B377" s="426" t="s">
        <v>495</v>
      </c>
      <c r="C377" s="426" t="s">
        <v>685</v>
      </c>
    </row>
    <row r="378" spans="1:3" ht="15">
      <c r="A378" s="426" t="s">
        <v>35</v>
      </c>
      <c r="B378" s="426" t="s">
        <v>352</v>
      </c>
      <c r="C378" s="426" t="s">
        <v>1477</v>
      </c>
    </row>
    <row r="379" spans="1:3" ht="15">
      <c r="A379" s="426" t="s">
        <v>37</v>
      </c>
      <c r="B379" s="426" t="s">
        <v>1722</v>
      </c>
      <c r="C379" s="426" t="s">
        <v>700</v>
      </c>
    </row>
    <row r="380" spans="1:3" ht="15">
      <c r="A380" s="426" t="s">
        <v>37</v>
      </c>
      <c r="B380" s="426" t="s">
        <v>1725</v>
      </c>
      <c r="C380" s="426" t="s">
        <v>1674</v>
      </c>
    </row>
    <row r="381" spans="1:3" ht="15">
      <c r="A381" s="426" t="s">
        <v>37</v>
      </c>
      <c r="B381" s="426" t="s">
        <v>304</v>
      </c>
      <c r="C381" s="426" t="s">
        <v>684</v>
      </c>
    </row>
    <row r="382" spans="1:3" ht="15">
      <c r="A382" s="426" t="s">
        <v>37</v>
      </c>
      <c r="B382" s="426" t="s">
        <v>615</v>
      </c>
      <c r="C382" s="426" t="s">
        <v>684</v>
      </c>
    </row>
    <row r="383" spans="1:3" ht="15">
      <c r="A383" s="426" t="s">
        <v>37</v>
      </c>
      <c r="B383" s="426" t="s">
        <v>306</v>
      </c>
      <c r="C383" s="426" t="s">
        <v>701</v>
      </c>
    </row>
    <row r="384" spans="1:3" ht="15">
      <c r="A384" s="426" t="s">
        <v>37</v>
      </c>
      <c r="B384" s="426" t="s">
        <v>1831</v>
      </c>
      <c r="C384" s="426" t="s">
        <v>1477</v>
      </c>
    </row>
    <row r="385" spans="1:3" ht="15">
      <c r="A385" s="426" t="s">
        <v>37</v>
      </c>
      <c r="B385" s="426" t="s">
        <v>1286</v>
      </c>
      <c r="C385" s="426" t="s">
        <v>685</v>
      </c>
    </row>
    <row r="386" spans="1:3" ht="15">
      <c r="A386" s="426" t="s">
        <v>37</v>
      </c>
      <c r="B386" s="426" t="s">
        <v>457</v>
      </c>
      <c r="C386" s="426" t="s">
        <v>685</v>
      </c>
    </row>
    <row r="387" spans="1:3" ht="15">
      <c r="A387" s="426" t="s">
        <v>37</v>
      </c>
      <c r="B387" s="426" t="s">
        <v>496</v>
      </c>
      <c r="C387" s="426" t="s">
        <v>685</v>
      </c>
    </row>
    <row r="388" spans="1:3" ht="15">
      <c r="A388" s="426" t="s">
        <v>37</v>
      </c>
      <c r="B388" s="426" t="s">
        <v>534</v>
      </c>
      <c r="C388" s="426" t="s">
        <v>681</v>
      </c>
    </row>
    <row r="389" spans="1:3" ht="15">
      <c r="A389" s="426" t="s">
        <v>37</v>
      </c>
      <c r="B389" s="426" t="s">
        <v>1281</v>
      </c>
      <c r="C389" s="426" t="s">
        <v>678</v>
      </c>
    </row>
    <row r="390" spans="1:3" ht="15">
      <c r="A390" s="426" t="s">
        <v>37</v>
      </c>
      <c r="B390" s="426" t="s">
        <v>594</v>
      </c>
      <c r="C390" s="426" t="s">
        <v>677</v>
      </c>
    </row>
    <row r="391" spans="1:3" ht="15">
      <c r="A391" s="426" t="s">
        <v>37</v>
      </c>
      <c r="B391" s="426" t="s">
        <v>583</v>
      </c>
      <c r="C391" s="426" t="s">
        <v>679</v>
      </c>
    </row>
    <row r="392" spans="1:3" ht="15">
      <c r="A392" s="426" t="s">
        <v>37</v>
      </c>
      <c r="B392" s="426" t="s">
        <v>1698</v>
      </c>
      <c r="C392" s="426" t="s">
        <v>692</v>
      </c>
    </row>
    <row r="393" spans="1:3" ht="15">
      <c r="A393" s="426" t="s">
        <v>37</v>
      </c>
      <c r="B393" s="426" t="s">
        <v>472</v>
      </c>
      <c r="C393" s="426" t="s">
        <v>701</v>
      </c>
    </row>
    <row r="394" spans="1:3" ht="15">
      <c r="A394" s="426" t="s">
        <v>37</v>
      </c>
      <c r="B394" s="426" t="s">
        <v>397</v>
      </c>
      <c r="C394" s="426" t="s">
        <v>700</v>
      </c>
    </row>
    <row r="395" spans="1:3" ht="15">
      <c r="A395" s="426" t="s">
        <v>37</v>
      </c>
      <c r="B395" s="426" t="s">
        <v>1727</v>
      </c>
      <c r="C395" s="426" t="s">
        <v>680</v>
      </c>
    </row>
    <row r="396" spans="1:3" ht="15">
      <c r="A396" s="426" t="s">
        <v>37</v>
      </c>
      <c r="B396" s="426" t="s">
        <v>1343</v>
      </c>
      <c r="C396" s="426" t="s">
        <v>691</v>
      </c>
    </row>
    <row r="397" spans="1:3" ht="15">
      <c r="A397" s="426" t="s">
        <v>37</v>
      </c>
      <c r="B397" s="426" t="s">
        <v>1712</v>
      </c>
      <c r="C397" s="426" t="s">
        <v>1672</v>
      </c>
    </row>
    <row r="398" spans="1:3" ht="15">
      <c r="A398" s="426" t="s">
        <v>37</v>
      </c>
      <c r="B398" s="426" t="s">
        <v>1710</v>
      </c>
      <c r="C398" s="426" t="s">
        <v>686</v>
      </c>
    </row>
    <row r="399" spans="1:3" ht="15">
      <c r="A399" s="426" t="s">
        <v>39</v>
      </c>
      <c r="B399" s="426" t="s">
        <v>1746</v>
      </c>
      <c r="C399" s="426" t="s">
        <v>686</v>
      </c>
    </row>
    <row r="400" spans="1:3" ht="15">
      <c r="A400" s="426" t="s">
        <v>39</v>
      </c>
      <c r="B400" s="426" t="s">
        <v>925</v>
      </c>
      <c r="C400" s="426" t="s">
        <v>1672</v>
      </c>
    </row>
    <row r="401" spans="1:3" ht="15">
      <c r="A401" s="426" t="s">
        <v>39</v>
      </c>
      <c r="B401" s="426" t="s">
        <v>1852</v>
      </c>
      <c r="C401" s="426" t="s">
        <v>700</v>
      </c>
    </row>
    <row r="402" spans="1:3" ht="15">
      <c r="A402" s="426" t="s">
        <v>39</v>
      </c>
      <c r="B402" s="426" t="s">
        <v>404</v>
      </c>
      <c r="C402" s="426" t="s">
        <v>691</v>
      </c>
    </row>
    <row r="403" spans="1:3" ht="15">
      <c r="A403" s="426" t="s">
        <v>39</v>
      </c>
      <c r="B403" s="426" t="s">
        <v>593</v>
      </c>
      <c r="C403" s="426" t="s">
        <v>680</v>
      </c>
    </row>
    <row r="404" spans="1:3" ht="15">
      <c r="A404" s="426" t="s">
        <v>39</v>
      </c>
      <c r="B404" s="426" t="s">
        <v>1836</v>
      </c>
      <c r="C404" s="426" t="s">
        <v>676</v>
      </c>
    </row>
    <row r="405" spans="1:3" ht="15">
      <c r="A405" s="426" t="s">
        <v>39</v>
      </c>
      <c r="B405" s="426" t="s">
        <v>541</v>
      </c>
      <c r="C405" s="426" t="s">
        <v>701</v>
      </c>
    </row>
    <row r="406" spans="1:3" ht="15">
      <c r="A406" s="426" t="s">
        <v>39</v>
      </c>
      <c r="B406" s="426" t="s">
        <v>563</v>
      </c>
      <c r="C406" s="426" t="s">
        <v>682</v>
      </c>
    </row>
    <row r="407" spans="1:3" ht="15">
      <c r="A407" s="426" t="s">
        <v>39</v>
      </c>
      <c r="B407" s="426" t="s">
        <v>381</v>
      </c>
      <c r="C407" s="426" t="s">
        <v>695</v>
      </c>
    </row>
    <row r="408" spans="1:3" ht="15">
      <c r="A408" s="426" t="s">
        <v>39</v>
      </c>
      <c r="B408" s="426" t="s">
        <v>351</v>
      </c>
      <c r="C408" s="426" t="s">
        <v>688</v>
      </c>
    </row>
    <row r="409" spans="1:3" ht="15">
      <c r="A409" s="426" t="s">
        <v>39</v>
      </c>
      <c r="B409" s="426" t="s">
        <v>571</v>
      </c>
      <c r="C409" s="426" t="s">
        <v>687</v>
      </c>
    </row>
    <row r="410" spans="1:3" ht="15">
      <c r="A410" s="426" t="s">
        <v>39</v>
      </c>
      <c r="B410" s="426" t="s">
        <v>368</v>
      </c>
      <c r="C410" s="426" t="s">
        <v>684</v>
      </c>
    </row>
    <row r="411" spans="1:3" ht="15">
      <c r="A411" s="426" t="s">
        <v>39</v>
      </c>
      <c r="B411" s="426" t="s">
        <v>1860</v>
      </c>
      <c r="C411" s="426" t="s">
        <v>1674</v>
      </c>
    </row>
    <row r="412" spans="1:3" ht="15">
      <c r="A412" s="426" t="s">
        <v>39</v>
      </c>
      <c r="B412" s="426" t="s">
        <v>1932</v>
      </c>
      <c r="C412" s="426" t="s">
        <v>679</v>
      </c>
    </row>
    <row r="413" spans="1:3" ht="15">
      <c r="A413" s="426" t="s">
        <v>39</v>
      </c>
      <c r="B413" s="426" t="s">
        <v>1747</v>
      </c>
      <c r="C413" s="426" t="s">
        <v>692</v>
      </c>
    </row>
    <row r="414" spans="1:3" ht="15">
      <c r="A414" s="426" t="s">
        <v>39</v>
      </c>
      <c r="B414" s="426" t="s">
        <v>1753</v>
      </c>
      <c r="C414" s="426" t="s">
        <v>679</v>
      </c>
    </row>
    <row r="415" spans="1:3" ht="15">
      <c r="A415" s="426" t="s">
        <v>43</v>
      </c>
      <c r="B415" s="426" t="s">
        <v>1803</v>
      </c>
      <c r="C415" s="426" t="s">
        <v>700</v>
      </c>
    </row>
    <row r="416" spans="1:3" ht="15">
      <c r="A416" s="426" t="s">
        <v>43</v>
      </c>
      <c r="B416" s="426" t="s">
        <v>438</v>
      </c>
      <c r="C416" s="426" t="s">
        <v>684</v>
      </c>
    </row>
    <row r="417" spans="1:3" ht="15">
      <c r="A417" s="426" t="s">
        <v>43</v>
      </c>
      <c r="B417" s="426" t="s">
        <v>445</v>
      </c>
      <c r="C417" s="426" t="s">
        <v>687</v>
      </c>
    </row>
    <row r="418" spans="1:3" ht="15">
      <c r="A418" s="426" t="s">
        <v>43</v>
      </c>
      <c r="B418" s="426" t="s">
        <v>474</v>
      </c>
      <c r="C418" s="426" t="s">
        <v>687</v>
      </c>
    </row>
    <row r="419" spans="1:3" ht="15">
      <c r="A419" s="426" t="s">
        <v>43</v>
      </c>
      <c r="B419" s="426" t="s">
        <v>1285</v>
      </c>
      <c r="C419" s="426" t="s">
        <v>677</v>
      </c>
    </row>
    <row r="420" spans="1:3" ht="15">
      <c r="A420" s="426" t="s">
        <v>43</v>
      </c>
      <c r="B420" s="426" t="s">
        <v>1794</v>
      </c>
      <c r="C420" s="426" t="s">
        <v>688</v>
      </c>
    </row>
    <row r="421" spans="1:3" ht="15">
      <c r="A421" s="426" t="s">
        <v>43</v>
      </c>
      <c r="B421" s="426" t="s">
        <v>499</v>
      </c>
      <c r="C421" s="426" t="s">
        <v>687</v>
      </c>
    </row>
    <row r="422" spans="1:3" ht="15">
      <c r="A422" s="426" t="s">
        <v>43</v>
      </c>
      <c r="B422" s="426" t="s">
        <v>511</v>
      </c>
      <c r="C422" s="426" t="s">
        <v>701</v>
      </c>
    </row>
    <row r="423" spans="1:3" ht="15">
      <c r="A423" s="426" t="s">
        <v>43</v>
      </c>
      <c r="B423" s="426" t="s">
        <v>422</v>
      </c>
      <c r="C423" s="426" t="s">
        <v>682</v>
      </c>
    </row>
    <row r="424" spans="1:3" ht="15">
      <c r="A424" s="426" t="s">
        <v>43</v>
      </c>
      <c r="B424" s="426" t="s">
        <v>1791</v>
      </c>
      <c r="C424" s="426" t="s">
        <v>676</v>
      </c>
    </row>
    <row r="425" spans="1:3" ht="15">
      <c r="A425" s="426" t="s">
        <v>43</v>
      </c>
      <c r="B425" s="426" t="s">
        <v>1798</v>
      </c>
      <c r="C425" s="426" t="s">
        <v>691</v>
      </c>
    </row>
    <row r="426" spans="1:3" ht="15">
      <c r="A426" s="426" t="s">
        <v>43</v>
      </c>
      <c r="B426" s="426" t="s">
        <v>452</v>
      </c>
      <c r="C426" s="426" t="s">
        <v>700</v>
      </c>
    </row>
    <row r="427" spans="1:3" ht="15">
      <c r="A427" s="426" t="s">
        <v>35</v>
      </c>
      <c r="B427" s="426" t="s">
        <v>1680</v>
      </c>
      <c r="C427" s="426" t="s">
        <v>686</v>
      </c>
    </row>
    <row r="428" spans="1:3" ht="15">
      <c r="A428" s="426" t="s">
        <v>35</v>
      </c>
      <c r="B428" s="426" t="s">
        <v>332</v>
      </c>
      <c r="C428" s="426" t="s">
        <v>691</v>
      </c>
    </row>
    <row r="429" spans="1:3" ht="15">
      <c r="A429" s="426" t="s">
        <v>35</v>
      </c>
      <c r="B429" s="426" t="s">
        <v>1682</v>
      </c>
      <c r="C429" s="426" t="s">
        <v>691</v>
      </c>
    </row>
    <row r="430" spans="1:3" ht="15">
      <c r="A430" s="426" t="s">
        <v>35</v>
      </c>
      <c r="B430" s="426" t="s">
        <v>423</v>
      </c>
      <c r="C430" s="426" t="s">
        <v>680</v>
      </c>
    </row>
    <row r="431" spans="1:3" ht="15">
      <c r="A431" s="426" t="s">
        <v>35</v>
      </c>
      <c r="B431" s="426" t="s">
        <v>1687</v>
      </c>
      <c r="C431" s="426" t="s">
        <v>700</v>
      </c>
    </row>
    <row r="432" spans="1:3" ht="15">
      <c r="A432" s="426" t="s">
        <v>35</v>
      </c>
      <c r="B432" s="426" t="s">
        <v>409</v>
      </c>
      <c r="C432" s="426" t="s">
        <v>700</v>
      </c>
    </row>
    <row r="433" spans="1:3" ht="15">
      <c r="A433" s="426" t="s">
        <v>35</v>
      </c>
      <c r="B433" s="426" t="s">
        <v>342</v>
      </c>
      <c r="C433" s="426" t="s">
        <v>701</v>
      </c>
    </row>
    <row r="434" spans="1:3" ht="15">
      <c r="A434" s="426" t="s">
        <v>35</v>
      </c>
      <c r="B434" s="426" t="s">
        <v>1689</v>
      </c>
      <c r="C434" s="426" t="s">
        <v>701</v>
      </c>
    </row>
    <row r="435" spans="1:3" ht="15">
      <c r="A435" s="426" t="s">
        <v>35</v>
      </c>
      <c r="B435" s="426" t="s">
        <v>338</v>
      </c>
      <c r="C435" s="426" t="s">
        <v>692</v>
      </c>
    </row>
    <row r="436" spans="1:3" ht="15">
      <c r="A436" s="426" t="s">
        <v>35</v>
      </c>
      <c r="B436" s="426" t="s">
        <v>921</v>
      </c>
      <c r="C436" s="426" t="s">
        <v>685</v>
      </c>
    </row>
    <row r="437" spans="1:3" ht="15">
      <c r="A437" s="426" t="s">
        <v>35</v>
      </c>
      <c r="B437" s="426" t="s">
        <v>366</v>
      </c>
      <c r="C437" s="426" t="s">
        <v>679</v>
      </c>
    </row>
    <row r="438" spans="1:3" ht="15">
      <c r="A438" s="426" t="s">
        <v>35</v>
      </c>
      <c r="B438" s="426" t="s">
        <v>448</v>
      </c>
      <c r="C438" s="426" t="s">
        <v>679</v>
      </c>
    </row>
    <row r="439" spans="1:3" ht="15">
      <c r="A439" s="426" t="s">
        <v>35</v>
      </c>
      <c r="B439" s="426" t="s">
        <v>885</v>
      </c>
      <c r="C439" s="426" t="s">
        <v>677</v>
      </c>
    </row>
    <row r="440" spans="1:3" ht="15">
      <c r="A440" s="426" t="s">
        <v>35</v>
      </c>
      <c r="B440" s="426" t="s">
        <v>385</v>
      </c>
      <c r="C440" s="426" t="s">
        <v>677</v>
      </c>
    </row>
    <row r="441" spans="1:3" ht="15">
      <c r="A441" s="426" t="s">
        <v>35</v>
      </c>
      <c r="B441" s="426" t="s">
        <v>1684</v>
      </c>
      <c r="C441" s="426" t="s">
        <v>676</v>
      </c>
    </row>
    <row r="442" spans="1:3" ht="15">
      <c r="A442" s="426" t="s">
        <v>35</v>
      </c>
      <c r="B442" s="426" t="s">
        <v>886</v>
      </c>
      <c r="C442" s="426" t="s">
        <v>676</v>
      </c>
    </row>
    <row r="443" spans="1:3" ht="15">
      <c r="A443" s="426" t="s">
        <v>35</v>
      </c>
      <c r="B443" s="426" t="s">
        <v>1686</v>
      </c>
      <c r="C443" s="426" t="s">
        <v>682</v>
      </c>
    </row>
    <row r="444" spans="1:3" ht="15">
      <c r="A444" s="426" t="s">
        <v>35</v>
      </c>
      <c r="B444" s="426" t="s">
        <v>442</v>
      </c>
      <c r="C444" s="426" t="s">
        <v>682</v>
      </c>
    </row>
    <row r="445" spans="1:3" ht="15">
      <c r="A445" s="426" t="s">
        <v>35</v>
      </c>
      <c r="B445" s="426" t="s">
        <v>1867</v>
      </c>
      <c r="C445" s="426" t="s">
        <v>678</v>
      </c>
    </row>
    <row r="446" spans="1:3" ht="15">
      <c r="A446" s="426" t="s">
        <v>35</v>
      </c>
      <c r="B446" s="426" t="s">
        <v>348</v>
      </c>
      <c r="C446" s="426" t="s">
        <v>678</v>
      </c>
    </row>
    <row r="447" spans="1:3" ht="15">
      <c r="A447" s="426" t="s">
        <v>35</v>
      </c>
      <c r="B447" s="426" t="s">
        <v>434</v>
      </c>
      <c r="C447" s="426" t="s">
        <v>678</v>
      </c>
    </row>
    <row r="448" spans="1:3" ht="15">
      <c r="A448" s="426" t="s">
        <v>35</v>
      </c>
      <c r="B448" s="426" t="s">
        <v>412</v>
      </c>
      <c r="C448" s="426" t="s">
        <v>681</v>
      </c>
    </row>
    <row r="449" spans="1:3" ht="15">
      <c r="A449" s="426" t="s">
        <v>35</v>
      </c>
      <c r="B449" s="426" t="s">
        <v>426</v>
      </c>
      <c r="C449" s="426" t="s">
        <v>681</v>
      </c>
    </row>
    <row r="450" spans="1:3" ht="15">
      <c r="A450" s="426" t="s">
        <v>35</v>
      </c>
      <c r="B450" s="426" t="s">
        <v>370</v>
      </c>
      <c r="C450" s="426" t="s">
        <v>695</v>
      </c>
    </row>
    <row r="451" spans="1:3" ht="15">
      <c r="A451" s="426" t="s">
        <v>35</v>
      </c>
      <c r="B451" s="426" t="s">
        <v>428</v>
      </c>
      <c r="C451" s="426" t="s">
        <v>695</v>
      </c>
    </row>
    <row r="452" spans="1:3" ht="15">
      <c r="A452" s="426" t="s">
        <v>35</v>
      </c>
      <c r="B452" s="426" t="s">
        <v>402</v>
      </c>
      <c r="C452" s="426" t="s">
        <v>688</v>
      </c>
    </row>
    <row r="453" spans="1:3" ht="15">
      <c r="A453" s="426" t="s">
        <v>35</v>
      </c>
      <c r="B453" s="426" t="s">
        <v>439</v>
      </c>
      <c r="C453" s="426" t="s">
        <v>688</v>
      </c>
    </row>
    <row r="454" spans="1:3" ht="15">
      <c r="A454" s="426" t="s">
        <v>35</v>
      </c>
      <c r="B454" s="426" t="s">
        <v>387</v>
      </c>
      <c r="C454" s="426" t="s">
        <v>685</v>
      </c>
    </row>
    <row r="455" spans="1:3" ht="15">
      <c r="A455" s="426" t="s">
        <v>35</v>
      </c>
      <c r="B455" s="426" t="s">
        <v>1814</v>
      </c>
      <c r="C455" s="426" t="s">
        <v>1477</v>
      </c>
    </row>
    <row r="456" spans="1:3" ht="15">
      <c r="A456" s="426" t="s">
        <v>35</v>
      </c>
      <c r="B456" s="426" t="s">
        <v>1691</v>
      </c>
      <c r="C456" s="426" t="s">
        <v>1477</v>
      </c>
    </row>
    <row r="457" spans="1:3" ht="15">
      <c r="A457" s="426" t="s">
        <v>35</v>
      </c>
      <c r="B457" s="426" t="s">
        <v>359</v>
      </c>
      <c r="C457" s="426" t="s">
        <v>687</v>
      </c>
    </row>
    <row r="458" spans="1:3" ht="15">
      <c r="A458" s="426" t="s">
        <v>35</v>
      </c>
      <c r="B458" s="426" t="s">
        <v>1868</v>
      </c>
      <c r="C458" s="426" t="s">
        <v>687</v>
      </c>
    </row>
    <row r="459" spans="1:3" ht="15">
      <c r="A459" s="426" t="s">
        <v>35</v>
      </c>
      <c r="B459" s="426" t="s">
        <v>314</v>
      </c>
      <c r="C459" s="426" t="s">
        <v>684</v>
      </c>
    </row>
    <row r="460" spans="1:3" ht="15">
      <c r="A460" s="426" t="s">
        <v>35</v>
      </c>
      <c r="B460" s="426" t="s">
        <v>363</v>
      </c>
      <c r="C460" s="426" t="s">
        <v>684</v>
      </c>
    </row>
    <row r="461" spans="1:3" ht="15">
      <c r="A461" s="426" t="s">
        <v>35</v>
      </c>
      <c r="B461" s="426" t="s">
        <v>1690</v>
      </c>
      <c r="C461" s="426" t="s">
        <v>1674</v>
      </c>
    </row>
    <row r="462" spans="1:3" ht="15">
      <c r="A462" s="426" t="s">
        <v>35</v>
      </c>
      <c r="B462" s="426" t="s">
        <v>1681</v>
      </c>
      <c r="C462" s="426" t="s">
        <v>1674</v>
      </c>
    </row>
    <row r="463" spans="1:3" ht="15">
      <c r="A463" s="426" t="s">
        <v>35</v>
      </c>
      <c r="B463" s="426" t="s">
        <v>1812</v>
      </c>
      <c r="C463" s="426" t="s">
        <v>1672</v>
      </c>
    </row>
    <row r="464" spans="1:3" ht="15">
      <c r="A464" s="426" t="s">
        <v>35</v>
      </c>
      <c r="B464" s="426" t="s">
        <v>375</v>
      </c>
      <c r="C464" s="426" t="s">
        <v>685</v>
      </c>
    </row>
    <row r="465" spans="1:3" ht="15">
      <c r="A465" s="426" t="s">
        <v>35</v>
      </c>
      <c r="B465" s="426" t="s">
        <v>1920</v>
      </c>
      <c r="C465" s="426" t="s">
        <v>1672</v>
      </c>
    </row>
    <row r="466" spans="1:3" ht="15">
      <c r="A466" s="426" t="s">
        <v>35</v>
      </c>
      <c r="B466" s="426" t="s">
        <v>1934</v>
      </c>
      <c r="C466" s="426" t="s">
        <v>692</v>
      </c>
    </row>
    <row r="467" spans="1:3" ht="15">
      <c r="A467" s="426" t="s">
        <v>35</v>
      </c>
      <c r="B467" s="426" t="s">
        <v>1688</v>
      </c>
      <c r="C467" s="426" t="s">
        <v>680</v>
      </c>
    </row>
    <row r="468" spans="1:3" ht="15">
      <c r="A468" s="426" t="s">
        <v>35</v>
      </c>
      <c r="B468" s="426" t="s">
        <v>1935</v>
      </c>
      <c r="C468" s="426" t="s">
        <v>686</v>
      </c>
    </row>
    <row r="469" spans="1:3" ht="15">
      <c r="A469" s="426" t="s">
        <v>35</v>
      </c>
      <c r="B469" s="426" t="s">
        <v>1683</v>
      </c>
      <c r="C469" s="426" t="s">
        <v>1672</v>
      </c>
    </row>
    <row r="470" spans="1:3" ht="15">
      <c r="A470" s="426" t="s">
        <v>37</v>
      </c>
      <c r="B470" s="426" t="s">
        <v>1719</v>
      </c>
      <c r="C470" s="426" t="s">
        <v>684</v>
      </c>
    </row>
    <row r="471" spans="1:3" ht="15">
      <c r="A471" s="426" t="s">
        <v>37</v>
      </c>
      <c r="B471" s="426" t="s">
        <v>1933</v>
      </c>
      <c r="C471" s="426" t="s">
        <v>686</v>
      </c>
    </row>
    <row r="472" spans="1:3" ht="15">
      <c r="A472" s="426" t="s">
        <v>37</v>
      </c>
      <c r="B472" s="426" t="s">
        <v>1825</v>
      </c>
      <c r="C472" s="426" t="s">
        <v>688</v>
      </c>
    </row>
    <row r="473" spans="1:3" ht="15">
      <c r="A473" s="426" t="s">
        <v>37</v>
      </c>
      <c r="B473" s="426" t="s">
        <v>1936</v>
      </c>
      <c r="C473" s="426" t="s">
        <v>700</v>
      </c>
    </row>
    <row r="474" spans="1:3" ht="15">
      <c r="A474" s="426" t="s">
        <v>37</v>
      </c>
      <c r="B474" s="426" t="s">
        <v>1726</v>
      </c>
      <c r="C474" s="426" t="s">
        <v>680</v>
      </c>
    </row>
    <row r="475" spans="1:3" ht="15">
      <c r="A475" s="426" t="s">
        <v>37</v>
      </c>
      <c r="B475" s="426" t="s">
        <v>1866</v>
      </c>
      <c r="C475" s="426" t="s">
        <v>1674</v>
      </c>
    </row>
    <row r="476" spans="1:3" ht="15">
      <c r="A476" s="426" t="s">
        <v>37</v>
      </c>
      <c r="B476" s="426" t="s">
        <v>413</v>
      </c>
      <c r="C476" s="426" t="s">
        <v>1674</v>
      </c>
    </row>
    <row r="477" spans="1:3" ht="15">
      <c r="A477" s="426" t="s">
        <v>37</v>
      </c>
      <c r="B477" s="426" t="s">
        <v>1720</v>
      </c>
      <c r="C477" s="426" t="s">
        <v>1674</v>
      </c>
    </row>
    <row r="478" spans="1:3" ht="15">
      <c r="A478" s="426" t="s">
        <v>37</v>
      </c>
      <c r="B478" s="426" t="s">
        <v>339</v>
      </c>
      <c r="C478" s="426" t="s">
        <v>687</v>
      </c>
    </row>
    <row r="479" spans="1:3" ht="15">
      <c r="A479" s="426" t="s">
        <v>37</v>
      </c>
      <c r="B479" s="426" t="s">
        <v>1733</v>
      </c>
      <c r="C479" s="426" t="s">
        <v>1477</v>
      </c>
    </row>
    <row r="480" spans="1:3" ht="15">
      <c r="A480" s="426" t="s">
        <v>37</v>
      </c>
      <c r="B480" s="426" t="s">
        <v>1732</v>
      </c>
      <c r="C480" s="426" t="s">
        <v>1477</v>
      </c>
    </row>
    <row r="481" spans="1:3" ht="15">
      <c r="A481" s="426" t="s">
        <v>37</v>
      </c>
      <c r="B481" s="426" t="s">
        <v>326</v>
      </c>
      <c r="C481" s="426" t="s">
        <v>685</v>
      </c>
    </row>
    <row r="482" spans="1:3" ht="15">
      <c r="A482" s="426" t="s">
        <v>37</v>
      </c>
      <c r="B482" s="426" t="s">
        <v>924</v>
      </c>
      <c r="C482" s="426" t="s">
        <v>685</v>
      </c>
    </row>
    <row r="483" spans="1:3" ht="15">
      <c r="A483" s="426" t="s">
        <v>37</v>
      </c>
      <c r="B483" s="426" t="s">
        <v>1305</v>
      </c>
      <c r="C483" s="426" t="s">
        <v>688</v>
      </c>
    </row>
    <row r="484" spans="1:3" ht="15">
      <c r="A484" s="426" t="s">
        <v>37</v>
      </c>
      <c r="B484" s="426" t="s">
        <v>399</v>
      </c>
      <c r="C484" s="426" t="s">
        <v>695</v>
      </c>
    </row>
    <row r="485" spans="1:3" ht="15">
      <c r="A485" s="426" t="s">
        <v>37</v>
      </c>
      <c r="B485" s="426" t="s">
        <v>602</v>
      </c>
      <c r="C485" s="426" t="s">
        <v>681</v>
      </c>
    </row>
    <row r="486" spans="1:3" ht="15">
      <c r="A486" s="426" t="s">
        <v>37</v>
      </c>
      <c r="B486" s="426" t="s">
        <v>564</v>
      </c>
      <c r="C486" s="426" t="s">
        <v>682</v>
      </c>
    </row>
    <row r="487" spans="1:3" ht="15">
      <c r="A487" s="426" t="s">
        <v>37</v>
      </c>
      <c r="B487" s="426" t="s">
        <v>576</v>
      </c>
      <c r="C487" s="426" t="s">
        <v>677</v>
      </c>
    </row>
    <row r="488" spans="1:3" ht="15">
      <c r="A488" s="426" t="s">
        <v>37</v>
      </c>
      <c r="B488" s="426" t="s">
        <v>376</v>
      </c>
      <c r="C488" s="426" t="s">
        <v>679</v>
      </c>
    </row>
    <row r="489" spans="1:3" ht="15">
      <c r="A489" s="426" t="s">
        <v>37</v>
      </c>
      <c r="B489" s="426" t="s">
        <v>1333</v>
      </c>
      <c r="C489" s="426" t="s">
        <v>701</v>
      </c>
    </row>
    <row r="490" spans="1:3" ht="15">
      <c r="A490" s="426" t="s">
        <v>37</v>
      </c>
      <c r="B490" s="426" t="s">
        <v>1717</v>
      </c>
      <c r="C490" s="426" t="s">
        <v>680</v>
      </c>
    </row>
    <row r="491" spans="1:3" ht="15">
      <c r="A491" s="426" t="s">
        <v>37</v>
      </c>
      <c r="B491" s="426" t="s">
        <v>891</v>
      </c>
      <c r="C491" s="426" t="s">
        <v>680</v>
      </c>
    </row>
    <row r="492" spans="1:3" ht="15">
      <c r="A492" s="426" t="s">
        <v>37</v>
      </c>
      <c r="B492" s="426" t="s">
        <v>1729</v>
      </c>
      <c r="C492" s="426" t="s">
        <v>680</v>
      </c>
    </row>
    <row r="493" spans="1:3" ht="15">
      <c r="A493" s="426" t="s">
        <v>37</v>
      </c>
      <c r="B493" s="426" t="s">
        <v>589</v>
      </c>
      <c r="C493" s="426" t="s">
        <v>1477</v>
      </c>
    </row>
    <row r="494" spans="1:3" ht="15">
      <c r="A494" s="426" t="s">
        <v>37</v>
      </c>
      <c r="B494" s="426" t="s">
        <v>460</v>
      </c>
      <c r="C494" s="426" t="s">
        <v>1672</v>
      </c>
    </row>
    <row r="495" spans="1:3" ht="15">
      <c r="A495" s="426" t="s">
        <v>37</v>
      </c>
      <c r="B495" s="426" t="s">
        <v>1716</v>
      </c>
      <c r="C495" s="426" t="s">
        <v>1672</v>
      </c>
    </row>
    <row r="496" spans="1:3" ht="15">
      <c r="A496" s="426" t="s">
        <v>37</v>
      </c>
      <c r="B496" s="426" t="s">
        <v>1711</v>
      </c>
      <c r="C496" s="426" t="s">
        <v>1672</v>
      </c>
    </row>
    <row r="497" spans="1:3" ht="15">
      <c r="A497" s="426" t="s">
        <v>37</v>
      </c>
      <c r="B497" s="426" t="s">
        <v>1715</v>
      </c>
      <c r="C497" s="426" t="s">
        <v>686</v>
      </c>
    </row>
    <row r="498" spans="1:3" ht="15">
      <c r="A498" s="426" t="s">
        <v>37</v>
      </c>
      <c r="B498" s="426" t="s">
        <v>464</v>
      </c>
      <c r="C498" s="426" t="s">
        <v>686</v>
      </c>
    </row>
    <row r="499" spans="1:3" ht="15.75" customHeight="1">
      <c r="A499" s="426" t="s">
        <v>39</v>
      </c>
      <c r="B499" s="426" t="s">
        <v>1770</v>
      </c>
      <c r="C499" s="426" t="s">
        <v>1672</v>
      </c>
    </row>
    <row r="500" spans="1:3" ht="15.75" customHeight="1">
      <c r="A500" s="426" t="s">
        <v>39</v>
      </c>
      <c r="B500" s="426" t="s">
        <v>1761</v>
      </c>
      <c r="C500" s="426" t="s">
        <v>1672</v>
      </c>
    </row>
    <row r="501" spans="1:3" ht="15.75" customHeight="1">
      <c r="A501" s="426" t="s">
        <v>39</v>
      </c>
      <c r="B501" s="426" t="s">
        <v>1762</v>
      </c>
      <c r="C501" s="426" t="s">
        <v>700</v>
      </c>
    </row>
    <row r="502" spans="1:3" ht="15.75" customHeight="1">
      <c r="A502" s="426" t="s">
        <v>39</v>
      </c>
      <c r="B502" s="426" t="s">
        <v>427</v>
      </c>
      <c r="C502" s="426" t="s">
        <v>700</v>
      </c>
    </row>
    <row r="503" spans="1:3" ht="15.75" customHeight="1">
      <c r="A503" s="426" t="s">
        <v>39</v>
      </c>
      <c r="B503" s="426" t="s">
        <v>1764</v>
      </c>
      <c r="C503" s="426" t="s">
        <v>691</v>
      </c>
    </row>
    <row r="504" spans="1:3" ht="15">
      <c r="A504" s="426" t="s">
        <v>39</v>
      </c>
      <c r="B504" s="426" t="s">
        <v>561</v>
      </c>
      <c r="C504" s="426" t="s">
        <v>691</v>
      </c>
    </row>
    <row r="505" spans="1:3" ht="15">
      <c r="A505" s="426" t="s">
        <v>39</v>
      </c>
      <c r="B505" s="426" t="s">
        <v>926</v>
      </c>
      <c r="C505" s="426" t="s">
        <v>692</v>
      </c>
    </row>
    <row r="506" spans="1:3" ht="15">
      <c r="A506" s="426" t="s">
        <v>39</v>
      </c>
      <c r="B506" s="426" t="s">
        <v>400</v>
      </c>
      <c r="C506" s="426" t="s">
        <v>679</v>
      </c>
    </row>
    <row r="507" spans="1:3" ht="15">
      <c r="A507" s="426" t="s">
        <v>39</v>
      </c>
      <c r="B507" s="426" t="s">
        <v>473</v>
      </c>
      <c r="C507" s="426" t="s">
        <v>677</v>
      </c>
    </row>
    <row r="508" spans="1:3" ht="15">
      <c r="A508" s="426" t="s">
        <v>39</v>
      </c>
      <c r="B508" s="426" t="s">
        <v>1771</v>
      </c>
      <c r="C508" s="426" t="s">
        <v>701</v>
      </c>
    </row>
    <row r="509" spans="1:3" ht="15">
      <c r="A509" s="426" t="s">
        <v>39</v>
      </c>
      <c r="B509" s="426" t="s">
        <v>1837</v>
      </c>
      <c r="C509" s="426" t="s">
        <v>682</v>
      </c>
    </row>
    <row r="510" spans="1:3" ht="15">
      <c r="A510" s="426" t="s">
        <v>39</v>
      </c>
      <c r="B510" s="426" t="s">
        <v>1295</v>
      </c>
      <c r="C510" s="426" t="s">
        <v>678</v>
      </c>
    </row>
    <row r="511" spans="1:3" ht="15">
      <c r="A511" s="426" t="s">
        <v>39</v>
      </c>
      <c r="B511" s="426" t="s">
        <v>1772</v>
      </c>
      <c r="C511" s="426" t="s">
        <v>685</v>
      </c>
    </row>
    <row r="512" spans="1:3" ht="15">
      <c r="A512" s="426" t="s">
        <v>39</v>
      </c>
      <c r="B512" s="426" t="s">
        <v>1776</v>
      </c>
      <c r="C512" s="426" t="s">
        <v>1477</v>
      </c>
    </row>
    <row r="513" spans="1:3" ht="15">
      <c r="A513" s="426" t="s">
        <v>39</v>
      </c>
      <c r="B513" s="426" t="s">
        <v>1279</v>
      </c>
      <c r="C513" s="426" t="s">
        <v>687</v>
      </c>
    </row>
    <row r="514" spans="1:3" ht="15">
      <c r="A514" s="426" t="s">
        <v>39</v>
      </c>
      <c r="B514" s="426" t="s">
        <v>1763</v>
      </c>
      <c r="C514" s="426" t="s">
        <v>684</v>
      </c>
    </row>
    <row r="515" spans="1:3" ht="15">
      <c r="A515" s="426" t="s">
        <v>39</v>
      </c>
      <c r="B515" s="426" t="s">
        <v>1742</v>
      </c>
      <c r="C515" s="426" t="s">
        <v>684</v>
      </c>
    </row>
    <row r="516" spans="1:3" ht="15">
      <c r="A516" s="426" t="s">
        <v>39</v>
      </c>
      <c r="B516" s="426" t="s">
        <v>1851</v>
      </c>
      <c r="C516" s="426" t="s">
        <v>684</v>
      </c>
    </row>
    <row r="517" spans="1:3" ht="15">
      <c r="A517" s="426" t="s">
        <v>39</v>
      </c>
      <c r="B517" s="426" t="s">
        <v>1838</v>
      </c>
      <c r="C517" s="426" t="s">
        <v>701</v>
      </c>
    </row>
    <row r="518" spans="1:3" ht="15">
      <c r="A518" s="426" t="s">
        <v>39</v>
      </c>
      <c r="B518" s="426" t="s">
        <v>1840</v>
      </c>
      <c r="C518" s="426" t="s">
        <v>680</v>
      </c>
    </row>
    <row r="519" spans="1:3" ht="15">
      <c r="A519" s="426" t="s">
        <v>39</v>
      </c>
      <c r="B519" s="426" t="s">
        <v>1759</v>
      </c>
      <c r="C519" s="426" t="s">
        <v>686</v>
      </c>
    </row>
    <row r="520" spans="1:3" ht="15">
      <c r="A520" s="426" t="s">
        <v>39</v>
      </c>
      <c r="B520" s="426" t="s">
        <v>1306</v>
      </c>
      <c r="C520" s="426" t="s">
        <v>678</v>
      </c>
    </row>
    <row r="521" spans="1:3" ht="15">
      <c r="A521" s="426" t="s">
        <v>1943</v>
      </c>
      <c r="B521" s="426" t="s">
        <v>1805</v>
      </c>
      <c r="C521" s="426" t="s">
        <v>691</v>
      </c>
    </row>
    <row r="522" spans="1:3" ht="15">
      <c r="A522" s="426" t="s">
        <v>43</v>
      </c>
      <c r="B522" s="426" t="s">
        <v>1944</v>
      </c>
      <c r="C522" s="426" t="s">
        <v>679</v>
      </c>
    </row>
    <row r="523" spans="1:3" ht="15">
      <c r="A523" s="426" t="s">
        <v>43</v>
      </c>
      <c r="B523" s="426" t="s">
        <v>1799</v>
      </c>
      <c r="C523" s="426" t="s">
        <v>682</v>
      </c>
    </row>
    <row r="524" spans="1:3" ht="15">
      <c r="A524" s="426" t="s">
        <v>43</v>
      </c>
      <c r="B524" s="426" t="s">
        <v>1929</v>
      </c>
      <c r="C524" s="426" t="s">
        <v>687</v>
      </c>
    </row>
    <row r="525" spans="1:3" ht="15">
      <c r="A525" s="426" t="s">
        <v>43</v>
      </c>
      <c r="B525" s="426" t="s">
        <v>1801</v>
      </c>
      <c r="C525" s="426" t="s">
        <v>688</v>
      </c>
    </row>
    <row r="526" spans="1:3" ht="15">
      <c r="A526" s="426" t="s">
        <v>43</v>
      </c>
      <c r="B526" s="426" t="s">
        <v>1797</v>
      </c>
      <c r="C526" s="426" t="s">
        <v>701</v>
      </c>
    </row>
    <row r="527" spans="1:3" ht="15">
      <c r="A527" s="426" t="s">
        <v>43</v>
      </c>
      <c r="B527" s="426" t="s">
        <v>1287</v>
      </c>
      <c r="C527" s="426" t="s">
        <v>682</v>
      </c>
    </row>
    <row r="528" spans="1:3" ht="15">
      <c r="A528" s="426" t="s">
        <v>43</v>
      </c>
      <c r="B528" s="426" t="s">
        <v>465</v>
      </c>
      <c r="C528" s="426" t="s">
        <v>679</v>
      </c>
    </row>
    <row r="529" spans="1:3" ht="15">
      <c r="A529" s="426" t="s">
        <v>43</v>
      </c>
      <c r="B529" s="426" t="s">
        <v>1788</v>
      </c>
      <c r="C529" s="426" t="s">
        <v>679</v>
      </c>
    </row>
    <row r="530" spans="1:3" ht="15">
      <c r="A530" s="426" t="s">
        <v>43</v>
      </c>
      <c r="B530" s="426" t="s">
        <v>1795</v>
      </c>
      <c r="C530" s="426" t="s">
        <v>692</v>
      </c>
    </row>
    <row r="531" spans="1:3" ht="15">
      <c r="A531" s="426" t="s">
        <v>43</v>
      </c>
      <c r="B531" s="426" t="s">
        <v>1804</v>
      </c>
      <c r="C531" s="426" t="s">
        <v>701</v>
      </c>
    </row>
    <row r="532" spans="1:3" ht="15">
      <c r="A532" s="426" t="s">
        <v>43</v>
      </c>
      <c r="B532" s="426" t="s">
        <v>1854</v>
      </c>
      <c r="C532" s="426" t="s">
        <v>680</v>
      </c>
    </row>
    <row r="533" spans="1:3" ht="15">
      <c r="A533" s="426" t="s">
        <v>43</v>
      </c>
      <c r="B533" s="426" t="s">
        <v>1802</v>
      </c>
      <c r="C533" s="426" t="s">
        <v>691</v>
      </c>
    </row>
    <row r="534" spans="1:3" ht="15">
      <c r="A534" s="426" t="s">
        <v>43</v>
      </c>
      <c r="B534" s="426" t="s">
        <v>384</v>
      </c>
      <c r="C534" s="426" t="s">
        <v>700</v>
      </c>
    </row>
    <row r="535" spans="1:3" ht="15">
      <c r="A535" s="426" t="s">
        <v>43</v>
      </c>
      <c r="B535" s="426" t="s">
        <v>1855</v>
      </c>
      <c r="C535" s="426" t="s">
        <v>1672</v>
      </c>
    </row>
    <row r="536" spans="1:3">
      <c r="A536" s="423" t="s">
        <v>39</v>
      </c>
      <c r="B536" s="423" t="s">
        <v>1744</v>
      </c>
      <c r="C536" s="423" t="s">
        <v>750</v>
      </c>
    </row>
    <row r="537" spans="1:3">
      <c r="A537" s="423" t="s">
        <v>37</v>
      </c>
      <c r="B537" s="423" t="s">
        <v>1829</v>
      </c>
      <c r="C537" s="423" t="s">
        <v>745</v>
      </c>
    </row>
    <row r="538" spans="1:3">
      <c r="A538" s="423" t="s">
        <v>37</v>
      </c>
      <c r="B538" s="423" t="s">
        <v>1731</v>
      </c>
      <c r="C538" s="423" t="s">
        <v>1477</v>
      </c>
    </row>
    <row r="539" spans="1:3">
      <c r="A539" s="423" t="s">
        <v>39</v>
      </c>
      <c r="B539" s="423" t="s">
        <v>619</v>
      </c>
      <c r="C539" s="423" t="s">
        <v>747</v>
      </c>
    </row>
    <row r="540" spans="1:3">
      <c r="A540" s="423" t="s">
        <v>39</v>
      </c>
      <c r="B540" s="423" t="s">
        <v>1805</v>
      </c>
      <c r="C540" s="423" t="s">
        <v>736</v>
      </c>
    </row>
    <row r="541" spans="1:3">
      <c r="A541" s="423" t="s">
        <v>39</v>
      </c>
      <c r="B541" s="423" t="s">
        <v>361</v>
      </c>
      <c r="C541" s="423" t="s">
        <v>741</v>
      </c>
    </row>
    <row r="542" spans="1:3">
      <c r="A542" s="423" t="s">
        <v>39</v>
      </c>
      <c r="B542" s="423" t="s">
        <v>1757</v>
      </c>
      <c r="C542" s="423" t="s">
        <v>1478</v>
      </c>
    </row>
    <row r="543" spans="1:3">
      <c r="A543" s="423" t="s">
        <v>37</v>
      </c>
      <c r="B543" s="423" t="s">
        <v>1830</v>
      </c>
      <c r="C543" s="423" t="s">
        <v>741</v>
      </c>
    </row>
    <row r="544" spans="1:3">
      <c r="A544" s="423" t="s">
        <v>35</v>
      </c>
      <c r="B544" s="423" t="s">
        <v>442</v>
      </c>
      <c r="C544" s="423" t="s">
        <v>737</v>
      </c>
    </row>
    <row r="545" spans="1:3">
      <c r="A545" s="423" t="s">
        <v>39</v>
      </c>
      <c r="B545" s="423" t="s">
        <v>620</v>
      </c>
      <c r="C545" s="423" t="s">
        <v>741</v>
      </c>
    </row>
    <row r="546" spans="1:3">
      <c r="A546" s="423" t="s">
        <v>39</v>
      </c>
      <c r="B546" s="423" t="s">
        <v>1300</v>
      </c>
      <c r="C546" s="423" t="s">
        <v>743</v>
      </c>
    </row>
    <row r="547" spans="1:3">
      <c r="A547" s="423" t="s">
        <v>37</v>
      </c>
      <c r="B547" s="423" t="s">
        <v>1705</v>
      </c>
      <c r="C547" s="423" t="s">
        <v>1476</v>
      </c>
    </row>
    <row r="548" spans="1:3">
      <c r="A548" s="423" t="s">
        <v>43</v>
      </c>
      <c r="B548" s="423" t="s">
        <v>1793</v>
      </c>
      <c r="C548" s="423" t="s">
        <v>1478</v>
      </c>
    </row>
    <row r="549" spans="1:3">
      <c r="A549" s="423" t="s">
        <v>43</v>
      </c>
      <c r="B549" s="423" t="s">
        <v>621</v>
      </c>
      <c r="C549" s="423" t="s">
        <v>736</v>
      </c>
    </row>
    <row r="550" spans="1:3">
      <c r="A550" s="423" t="s">
        <v>39</v>
      </c>
      <c r="B550" s="423" t="s">
        <v>1737</v>
      </c>
      <c r="C550" s="423" t="s">
        <v>744</v>
      </c>
    </row>
    <row r="551" spans="1:3">
      <c r="A551" s="423" t="s">
        <v>39</v>
      </c>
      <c r="B551" s="423" t="s">
        <v>622</v>
      </c>
      <c r="C551" s="423" t="s">
        <v>742</v>
      </c>
    </row>
    <row r="552" spans="1:3">
      <c r="A552" s="423" t="s">
        <v>37</v>
      </c>
      <c r="B552" s="423" t="s">
        <v>1721</v>
      </c>
      <c r="C552" s="423" t="s">
        <v>1477</v>
      </c>
    </row>
    <row r="553" spans="1:3">
      <c r="A553" s="423" t="s">
        <v>43</v>
      </c>
      <c r="B553" s="423" t="s">
        <v>1789</v>
      </c>
      <c r="C553" s="423" t="s">
        <v>735</v>
      </c>
    </row>
    <row r="554" spans="1:3">
      <c r="A554" s="423" t="s">
        <v>39</v>
      </c>
      <c r="B554" s="423" t="s">
        <v>1769</v>
      </c>
      <c r="C554" s="423" t="s">
        <v>740</v>
      </c>
    </row>
    <row r="555" spans="1:3" ht="15.75" customHeight="1">
      <c r="A555" s="423" t="s">
        <v>39</v>
      </c>
      <c r="B555" s="423" t="s">
        <v>1743</v>
      </c>
      <c r="C555" s="423" t="s">
        <v>1476</v>
      </c>
    </row>
    <row r="556" spans="1:3">
      <c r="A556" s="423" t="s">
        <v>35</v>
      </c>
      <c r="B556" s="423" t="s">
        <v>1689</v>
      </c>
      <c r="C556" s="423" t="s">
        <v>739</v>
      </c>
    </row>
    <row r="557" spans="1:3">
      <c r="A557" s="423" t="s">
        <v>37</v>
      </c>
      <c r="B557" s="423" t="s">
        <v>1850</v>
      </c>
      <c r="C557" s="423" t="s">
        <v>744</v>
      </c>
    </row>
    <row r="558" spans="1:3">
      <c r="A558" s="423" t="s">
        <v>39</v>
      </c>
      <c r="B558" s="423" t="s">
        <v>1344</v>
      </c>
      <c r="C558" s="423" t="s">
        <v>1477</v>
      </c>
    </row>
    <row r="559" spans="1:3">
      <c r="A559" s="423" t="s">
        <v>35</v>
      </c>
      <c r="B559" s="423" t="s">
        <v>446</v>
      </c>
      <c r="C559" s="423" t="s">
        <v>742</v>
      </c>
    </row>
    <row r="560" spans="1:3">
      <c r="A560" s="423" t="s">
        <v>37</v>
      </c>
      <c r="B560" s="423" t="s">
        <v>615</v>
      </c>
      <c r="C560" s="423" t="s">
        <v>751</v>
      </c>
    </row>
    <row r="561" spans="1:3">
      <c r="A561" s="423" t="s">
        <v>37</v>
      </c>
      <c r="B561" s="423" t="s">
        <v>617</v>
      </c>
      <c r="C561" s="423" t="s">
        <v>737</v>
      </c>
    </row>
    <row r="562" spans="1:3">
      <c r="A562" s="423" t="s">
        <v>37</v>
      </c>
      <c r="B562" s="423" t="s">
        <v>618</v>
      </c>
      <c r="C562" s="423" t="s">
        <v>751</v>
      </c>
    </row>
    <row r="563" spans="1:3">
      <c r="A563" s="423" t="s">
        <v>39</v>
      </c>
      <c r="B563" s="423" t="s">
        <v>1842</v>
      </c>
      <c r="C563" s="423" t="s">
        <v>740</v>
      </c>
    </row>
    <row r="564" spans="1:3">
      <c r="A564" s="423" t="s">
        <v>39</v>
      </c>
      <c r="B564" s="423" t="s">
        <v>1758</v>
      </c>
      <c r="C564" s="423" t="s">
        <v>1478</v>
      </c>
    </row>
    <row r="565" spans="1:3">
      <c r="A565" s="423" t="s">
        <v>35</v>
      </c>
      <c r="B565" s="423" t="s">
        <v>1816</v>
      </c>
      <c r="C565" s="423" t="s">
        <v>747</v>
      </c>
    </row>
    <row r="566" spans="1:3">
      <c r="A566" s="423" t="s">
        <v>37</v>
      </c>
      <c r="B566" s="423" t="s">
        <v>623</v>
      </c>
      <c r="C566" s="423" t="s">
        <v>746</v>
      </c>
    </row>
    <row r="567" spans="1:3">
      <c r="A567" s="423" t="s">
        <v>43</v>
      </c>
      <c r="B567" s="423" t="s">
        <v>522</v>
      </c>
      <c r="C567" s="423" t="s">
        <v>749</v>
      </c>
    </row>
    <row r="568" spans="1:3">
      <c r="A568" s="423" t="s">
        <v>37</v>
      </c>
      <c r="B568" s="423" t="s">
        <v>625</v>
      </c>
      <c r="C568" s="423" t="s">
        <v>747</v>
      </c>
    </row>
    <row r="569" spans="1:3">
      <c r="A569" s="423" t="s">
        <v>39</v>
      </c>
      <c r="B569" s="423" t="s">
        <v>1747</v>
      </c>
      <c r="C569" s="423" t="s">
        <v>744</v>
      </c>
    </row>
    <row r="570" spans="1:3">
      <c r="A570" s="423" t="s">
        <v>39</v>
      </c>
      <c r="B570" s="423" t="s">
        <v>624</v>
      </c>
      <c r="C570" s="423" t="s">
        <v>749</v>
      </c>
    </row>
    <row r="571" spans="1:3">
      <c r="A571" s="423" t="s">
        <v>35</v>
      </c>
      <c r="B571" s="423" t="s">
        <v>448</v>
      </c>
      <c r="C571" s="423" t="s">
        <v>743</v>
      </c>
    </row>
    <row r="572" spans="1:3">
      <c r="A572" s="423" t="s">
        <v>39</v>
      </c>
      <c r="B572" s="423" t="s">
        <v>1859</v>
      </c>
      <c r="C572" s="423" t="s">
        <v>1478</v>
      </c>
    </row>
    <row r="573" spans="1:3">
      <c r="A573" s="423" t="s">
        <v>39</v>
      </c>
      <c r="B573" s="423" t="s">
        <v>1860</v>
      </c>
      <c r="C573" s="423" t="s">
        <v>1478</v>
      </c>
    </row>
    <row r="574" spans="1:3">
      <c r="A574" s="423" t="s">
        <v>37</v>
      </c>
      <c r="B574" s="423" t="s">
        <v>626</v>
      </c>
      <c r="C574" s="423" t="s">
        <v>743</v>
      </c>
    </row>
  </sheetData>
  <sheetProtection selectLockedCells="1" selectUnlockedCells="1"/>
  <sortState ref="A3:C574">
    <sortCondition ref="B3:B574"/>
  </sortState>
  <mergeCells count="1">
    <mergeCell ref="A1:C1"/>
  </mergeCells>
  <conditionalFormatting sqref="I1:I2 I574:I1048576 J3:J573">
    <cfRule type="duplicateValues" dxfId="7" priority="1"/>
  </conditionalFormatting>
  <pageMargins left="0.7" right="0.7" top="0.75" bottom="0.75" header="0.51180555555555551" footer="0.51180555555555551"/>
  <pageSetup paperSize="9"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0">
    <tabColor rgb="FF333333"/>
  </sheetPr>
  <dimension ref="A1:C574"/>
  <sheetViews>
    <sheetView topLeftCell="A2" workbookViewId="0">
      <selection activeCell="B4" sqref="B4"/>
    </sheetView>
  </sheetViews>
  <sheetFormatPr defaultRowHeight="12.75"/>
  <cols>
    <col min="1" max="1" width="7" bestFit="1" customWidth="1"/>
    <col min="2" max="2" width="18.5703125" bestFit="1" customWidth="1"/>
    <col min="3" max="3" width="12.42578125" bestFit="1" customWidth="1"/>
  </cols>
  <sheetData>
    <row r="1" spans="1:3" ht="15.75">
      <c r="A1" s="578" t="s">
        <v>1321</v>
      </c>
      <c r="B1" s="579"/>
      <c r="C1" s="580"/>
    </row>
    <row r="2" spans="1:3" ht="15">
      <c r="A2" s="223" t="s">
        <v>638</v>
      </c>
      <c r="B2" s="223" t="s">
        <v>920</v>
      </c>
      <c r="C2" s="223" t="s">
        <v>637</v>
      </c>
    </row>
    <row r="3" spans="1:3">
      <c r="A3" s="423" t="s">
        <v>37</v>
      </c>
      <c r="B3" s="423" t="s">
        <v>298</v>
      </c>
      <c r="C3" s="423" t="s">
        <v>746</v>
      </c>
    </row>
    <row r="4" spans="1:3">
      <c r="A4" s="423" t="s">
        <v>39</v>
      </c>
      <c r="B4" s="423" t="s">
        <v>1832</v>
      </c>
      <c r="C4" s="423" t="s">
        <v>737</v>
      </c>
    </row>
    <row r="5" spans="1:3">
      <c r="A5" s="423" t="s">
        <v>37</v>
      </c>
      <c r="B5" s="423" t="s">
        <v>301</v>
      </c>
      <c r="C5" s="423" t="s">
        <v>748</v>
      </c>
    </row>
    <row r="6" spans="1:3">
      <c r="A6" s="423" t="s">
        <v>41</v>
      </c>
      <c r="B6" s="423" t="s">
        <v>1797</v>
      </c>
      <c r="C6" s="423" t="s">
        <v>739</v>
      </c>
    </row>
    <row r="7" spans="1:3">
      <c r="A7" s="423" t="s">
        <v>39</v>
      </c>
      <c r="B7" s="423" t="s">
        <v>299</v>
      </c>
      <c r="C7" s="423" t="s">
        <v>747</v>
      </c>
    </row>
    <row r="8" spans="1:3">
      <c r="A8" s="423" t="s">
        <v>37</v>
      </c>
      <c r="B8" s="423" t="s">
        <v>1286</v>
      </c>
      <c r="C8" s="423" t="s">
        <v>748</v>
      </c>
    </row>
    <row r="9" spans="1:3">
      <c r="A9" s="423" t="s">
        <v>37</v>
      </c>
      <c r="B9" s="423" t="s">
        <v>304</v>
      </c>
      <c r="C9" s="423" t="s">
        <v>751</v>
      </c>
    </row>
    <row r="10" spans="1:3">
      <c r="A10" s="423" t="s">
        <v>39</v>
      </c>
      <c r="B10" s="423" t="s">
        <v>1833</v>
      </c>
      <c r="C10" s="423" t="s">
        <v>1476</v>
      </c>
    </row>
    <row r="11" spans="1:3">
      <c r="A11" s="423" t="s">
        <v>37</v>
      </c>
      <c r="B11" s="423" t="s">
        <v>306</v>
      </c>
      <c r="C11" s="423" t="s">
        <v>739</v>
      </c>
    </row>
    <row r="12" spans="1:3">
      <c r="A12" s="423" t="s">
        <v>41</v>
      </c>
      <c r="B12" s="423" t="s">
        <v>1340</v>
      </c>
      <c r="C12" s="423" t="s">
        <v>737</v>
      </c>
    </row>
    <row r="13" spans="1:3">
      <c r="A13" s="423" t="s">
        <v>37</v>
      </c>
      <c r="B13" s="423" t="s">
        <v>308</v>
      </c>
      <c r="C13" s="423" t="s">
        <v>749</v>
      </c>
    </row>
    <row r="14" spans="1:3">
      <c r="A14" s="423" t="s">
        <v>37</v>
      </c>
      <c r="B14" s="423" t="s">
        <v>312</v>
      </c>
      <c r="C14" s="423" t="s">
        <v>745</v>
      </c>
    </row>
    <row r="15" spans="1:3">
      <c r="A15" s="423" t="s">
        <v>35</v>
      </c>
      <c r="B15" s="423" t="s">
        <v>300</v>
      </c>
      <c r="C15" s="423" t="s">
        <v>750</v>
      </c>
    </row>
    <row r="16" spans="1:3">
      <c r="A16" s="423" t="s">
        <v>39</v>
      </c>
      <c r="B16" s="423" t="s">
        <v>302</v>
      </c>
      <c r="C16" s="423" t="s">
        <v>749</v>
      </c>
    </row>
    <row r="17" spans="1:3">
      <c r="A17" s="423" t="s">
        <v>41</v>
      </c>
      <c r="B17" s="423" t="s">
        <v>1296</v>
      </c>
      <c r="C17" s="423" t="s">
        <v>742</v>
      </c>
    </row>
    <row r="18" spans="1:3" ht="25.5">
      <c r="A18" s="423" t="s">
        <v>41</v>
      </c>
      <c r="B18" s="423" t="s">
        <v>456</v>
      </c>
      <c r="C18" s="423" t="s">
        <v>737</v>
      </c>
    </row>
    <row r="19" spans="1:3">
      <c r="A19" s="423" t="s">
        <v>37</v>
      </c>
      <c r="B19" s="423" t="s">
        <v>317</v>
      </c>
      <c r="C19" s="423" t="s">
        <v>738</v>
      </c>
    </row>
    <row r="20" spans="1:3">
      <c r="A20" s="423" t="s">
        <v>37</v>
      </c>
      <c r="B20" s="423" t="s">
        <v>321</v>
      </c>
      <c r="C20" s="423" t="s">
        <v>751</v>
      </c>
    </row>
    <row r="21" spans="1:3">
      <c r="A21" s="423" t="s">
        <v>37</v>
      </c>
      <c r="B21" s="423" t="s">
        <v>322</v>
      </c>
      <c r="C21" s="423" t="s">
        <v>741</v>
      </c>
    </row>
    <row r="22" spans="1:3">
      <c r="A22" s="423" t="s">
        <v>37</v>
      </c>
      <c r="B22" s="423" t="s">
        <v>326</v>
      </c>
      <c r="C22" s="423" t="s">
        <v>748</v>
      </c>
    </row>
    <row r="23" spans="1:3">
      <c r="A23" s="423" t="s">
        <v>43</v>
      </c>
      <c r="B23" s="423" t="s">
        <v>1777</v>
      </c>
      <c r="C23" s="423" t="s">
        <v>1477</v>
      </c>
    </row>
    <row r="24" spans="1:3">
      <c r="A24" s="423" t="s">
        <v>37</v>
      </c>
      <c r="B24" s="423" t="s">
        <v>330</v>
      </c>
      <c r="C24" s="423" t="s">
        <v>746</v>
      </c>
    </row>
    <row r="25" spans="1:3">
      <c r="A25" s="423" t="s">
        <v>39</v>
      </c>
      <c r="B25" s="423" t="s">
        <v>1926</v>
      </c>
      <c r="C25" s="423" t="s">
        <v>738</v>
      </c>
    </row>
    <row r="26" spans="1:3">
      <c r="A26" s="423" t="s">
        <v>41</v>
      </c>
      <c r="B26" s="423" t="s">
        <v>307</v>
      </c>
      <c r="C26" s="423" t="s">
        <v>747</v>
      </c>
    </row>
    <row r="27" spans="1:3">
      <c r="A27" s="423" t="s">
        <v>39</v>
      </c>
      <c r="B27" s="423" t="s">
        <v>1834</v>
      </c>
      <c r="C27" s="423" t="s">
        <v>1477</v>
      </c>
    </row>
    <row r="28" spans="1:3">
      <c r="A28" s="423" t="s">
        <v>37</v>
      </c>
      <c r="B28" s="423" t="s">
        <v>309</v>
      </c>
      <c r="C28" s="423" t="s">
        <v>745</v>
      </c>
    </row>
    <row r="29" spans="1:3">
      <c r="A29" s="423" t="s">
        <v>37</v>
      </c>
      <c r="B29" s="423" t="s">
        <v>336</v>
      </c>
      <c r="C29" s="423" t="s">
        <v>744</v>
      </c>
    </row>
    <row r="30" spans="1:3">
      <c r="A30" s="423" t="s">
        <v>37</v>
      </c>
      <c r="B30" s="423" t="s">
        <v>339</v>
      </c>
      <c r="C30" s="423" t="s">
        <v>747</v>
      </c>
    </row>
    <row r="31" spans="1:3">
      <c r="A31" s="423" t="s">
        <v>43</v>
      </c>
      <c r="B31" s="423" t="s">
        <v>303</v>
      </c>
      <c r="C31" s="423" t="s">
        <v>744</v>
      </c>
    </row>
    <row r="32" spans="1:3">
      <c r="A32" s="423" t="s">
        <v>43</v>
      </c>
      <c r="B32" s="423" t="s">
        <v>305</v>
      </c>
      <c r="C32" s="423" t="s">
        <v>746</v>
      </c>
    </row>
    <row r="33" spans="1:3">
      <c r="A33" s="423" t="s">
        <v>39</v>
      </c>
      <c r="B33" s="423" t="s">
        <v>313</v>
      </c>
      <c r="C33" s="423" t="s">
        <v>744</v>
      </c>
    </row>
    <row r="34" spans="1:3">
      <c r="A34" s="423" t="s">
        <v>41</v>
      </c>
      <c r="B34" s="423" t="s">
        <v>1284</v>
      </c>
      <c r="C34" s="423" t="s">
        <v>744</v>
      </c>
    </row>
    <row r="35" spans="1:3">
      <c r="A35" s="423" t="s">
        <v>43</v>
      </c>
      <c r="B35" s="423" t="s">
        <v>1810</v>
      </c>
      <c r="C35" s="423" t="s">
        <v>751</v>
      </c>
    </row>
    <row r="36" spans="1:3">
      <c r="A36" s="423" t="s">
        <v>43</v>
      </c>
      <c r="B36" s="423" t="s">
        <v>1844</v>
      </c>
      <c r="C36" s="423" t="s">
        <v>742</v>
      </c>
    </row>
    <row r="37" spans="1:3">
      <c r="A37" s="423" t="s">
        <v>39</v>
      </c>
      <c r="B37" s="423" t="s">
        <v>318</v>
      </c>
      <c r="C37" s="423" t="s">
        <v>751</v>
      </c>
    </row>
    <row r="38" spans="1:3">
      <c r="A38" s="423" t="s">
        <v>37</v>
      </c>
      <c r="B38" s="423" t="s">
        <v>1726</v>
      </c>
      <c r="C38" s="423" t="s">
        <v>740</v>
      </c>
    </row>
    <row r="39" spans="1:3">
      <c r="A39" s="423" t="s">
        <v>39</v>
      </c>
      <c r="B39" s="423" t="s">
        <v>1763</v>
      </c>
      <c r="C39" s="423" t="s">
        <v>751</v>
      </c>
    </row>
    <row r="40" spans="1:3">
      <c r="A40" s="423" t="s">
        <v>39</v>
      </c>
      <c r="B40" s="423" t="s">
        <v>323</v>
      </c>
      <c r="C40" s="423" t="s">
        <v>739</v>
      </c>
    </row>
    <row r="41" spans="1:3">
      <c r="A41" s="423" t="s">
        <v>39</v>
      </c>
      <c r="B41" s="423" t="s">
        <v>327</v>
      </c>
      <c r="C41" s="423" t="s">
        <v>738</v>
      </c>
    </row>
    <row r="42" spans="1:3">
      <c r="A42" s="423" t="s">
        <v>37</v>
      </c>
      <c r="B42" s="423" t="s">
        <v>345</v>
      </c>
      <c r="C42" s="423" t="s">
        <v>747</v>
      </c>
    </row>
    <row r="43" spans="1:3">
      <c r="A43" s="423" t="s">
        <v>39</v>
      </c>
      <c r="B43" s="423" t="s">
        <v>1304</v>
      </c>
      <c r="C43" s="423" t="s">
        <v>742</v>
      </c>
    </row>
    <row r="44" spans="1:3">
      <c r="A44" s="423" t="s">
        <v>37</v>
      </c>
      <c r="B44" s="423" t="s">
        <v>349</v>
      </c>
      <c r="C44" s="423" t="s">
        <v>745</v>
      </c>
    </row>
    <row r="45" spans="1:3">
      <c r="A45" s="423" t="s">
        <v>39</v>
      </c>
      <c r="B45" s="423" t="s">
        <v>333</v>
      </c>
      <c r="C45" s="423" t="s">
        <v>747</v>
      </c>
    </row>
    <row r="46" spans="1:3">
      <c r="A46" s="423" t="s">
        <v>37</v>
      </c>
      <c r="B46" s="423" t="s">
        <v>353</v>
      </c>
      <c r="C46" s="423" t="s">
        <v>737</v>
      </c>
    </row>
    <row r="47" spans="1:3">
      <c r="A47" s="423" t="s">
        <v>39</v>
      </c>
      <c r="B47" s="423" t="s">
        <v>1335</v>
      </c>
      <c r="C47" s="423" t="s">
        <v>740</v>
      </c>
    </row>
    <row r="48" spans="1:3">
      <c r="A48" s="423" t="s">
        <v>37</v>
      </c>
      <c r="B48" s="423" t="s">
        <v>1715</v>
      </c>
      <c r="C48" s="423" t="s">
        <v>735</v>
      </c>
    </row>
    <row r="49" spans="1:3">
      <c r="A49" s="423" t="s">
        <v>37</v>
      </c>
      <c r="B49" s="423" t="s">
        <v>1289</v>
      </c>
      <c r="C49" s="423" t="s">
        <v>737</v>
      </c>
    </row>
    <row r="50" spans="1:3">
      <c r="A50" s="423" t="s">
        <v>39</v>
      </c>
      <c r="B50" s="423" t="s">
        <v>1835</v>
      </c>
      <c r="C50" s="423" t="s">
        <v>742</v>
      </c>
    </row>
    <row r="51" spans="1:3" ht="25.5" customHeight="1">
      <c r="A51" s="423" t="s">
        <v>35</v>
      </c>
      <c r="B51" s="423" t="s">
        <v>1678</v>
      </c>
      <c r="C51" s="423" t="s">
        <v>1476</v>
      </c>
    </row>
    <row r="52" spans="1:3">
      <c r="A52" s="423" t="s">
        <v>43</v>
      </c>
      <c r="B52" s="423" t="s">
        <v>310</v>
      </c>
      <c r="C52" s="423" t="s">
        <v>747</v>
      </c>
    </row>
    <row r="53" spans="1:3">
      <c r="A53" s="423" t="s">
        <v>39</v>
      </c>
      <c r="B53" s="423" t="s">
        <v>337</v>
      </c>
      <c r="C53" s="423" t="s">
        <v>744</v>
      </c>
    </row>
    <row r="54" spans="1:3">
      <c r="A54" s="423" t="s">
        <v>37</v>
      </c>
      <c r="B54" s="423" t="s">
        <v>360</v>
      </c>
      <c r="C54" s="423" t="s">
        <v>745</v>
      </c>
    </row>
    <row r="55" spans="1:3">
      <c r="A55" s="423" t="s">
        <v>39</v>
      </c>
      <c r="B55" s="423" t="s">
        <v>1836</v>
      </c>
      <c r="C55" s="423" t="s">
        <v>745</v>
      </c>
    </row>
    <row r="56" spans="1:3">
      <c r="A56" s="423" t="s">
        <v>41</v>
      </c>
      <c r="B56" s="423" t="s">
        <v>315</v>
      </c>
      <c r="C56" s="423" t="s">
        <v>748</v>
      </c>
    </row>
    <row r="57" spans="1:3">
      <c r="A57" s="423" t="s">
        <v>41</v>
      </c>
      <c r="B57" s="423" t="s">
        <v>1738</v>
      </c>
      <c r="C57" s="423" t="s">
        <v>747</v>
      </c>
    </row>
    <row r="58" spans="1:3">
      <c r="A58" s="423" t="s">
        <v>37</v>
      </c>
      <c r="B58" s="423" t="s">
        <v>1723</v>
      </c>
      <c r="C58" s="423" t="s">
        <v>742</v>
      </c>
    </row>
    <row r="59" spans="1:3">
      <c r="A59" s="423" t="s">
        <v>35</v>
      </c>
      <c r="B59" s="423" t="s">
        <v>311</v>
      </c>
      <c r="C59" s="423" t="s">
        <v>735</v>
      </c>
    </row>
    <row r="60" spans="1:3">
      <c r="A60" s="423" t="s">
        <v>41</v>
      </c>
      <c r="B60" s="423" t="s">
        <v>340</v>
      </c>
      <c r="C60" s="423" t="s">
        <v>745</v>
      </c>
    </row>
    <row r="61" spans="1:3">
      <c r="A61" s="423" t="s">
        <v>35</v>
      </c>
      <c r="B61" s="423" t="s">
        <v>885</v>
      </c>
      <c r="C61" s="423" t="s">
        <v>741</v>
      </c>
    </row>
    <row r="62" spans="1:3">
      <c r="A62" s="423" t="s">
        <v>39</v>
      </c>
      <c r="B62" s="423" t="s">
        <v>343</v>
      </c>
      <c r="C62" s="423" t="s">
        <v>743</v>
      </c>
    </row>
    <row r="63" spans="1:3">
      <c r="A63" s="423" t="s">
        <v>41</v>
      </c>
      <c r="B63" s="423" t="s">
        <v>1739</v>
      </c>
      <c r="C63" s="423" t="s">
        <v>1478</v>
      </c>
    </row>
    <row r="64" spans="1:3">
      <c r="A64" s="423" t="s">
        <v>37</v>
      </c>
      <c r="B64" s="423" t="s">
        <v>1730</v>
      </c>
      <c r="C64" s="423" t="s">
        <v>1478</v>
      </c>
    </row>
    <row r="65" spans="1:3">
      <c r="A65" s="423" t="s">
        <v>39</v>
      </c>
      <c r="B65" s="423" t="s">
        <v>346</v>
      </c>
      <c r="C65" s="423" t="s">
        <v>746</v>
      </c>
    </row>
    <row r="66" spans="1:3">
      <c r="A66" s="423" t="s">
        <v>39</v>
      </c>
      <c r="B66" s="423" t="s">
        <v>350</v>
      </c>
      <c r="C66" s="423" t="s">
        <v>748</v>
      </c>
    </row>
    <row r="67" spans="1:3">
      <c r="A67" s="423" t="s">
        <v>37</v>
      </c>
      <c r="B67" s="423" t="s">
        <v>1337</v>
      </c>
      <c r="C67" s="423" t="s">
        <v>743</v>
      </c>
    </row>
    <row r="68" spans="1:3">
      <c r="A68" s="423" t="s">
        <v>41</v>
      </c>
      <c r="B68" s="423" t="s">
        <v>354</v>
      </c>
      <c r="C68" s="423" t="s">
        <v>740</v>
      </c>
    </row>
    <row r="69" spans="1:3">
      <c r="A69" s="423" t="s">
        <v>35</v>
      </c>
      <c r="B69" s="423" t="s">
        <v>314</v>
      </c>
      <c r="C69" s="423" t="s">
        <v>751</v>
      </c>
    </row>
    <row r="70" spans="1:3">
      <c r="A70" s="423" t="s">
        <v>37</v>
      </c>
      <c r="B70" s="423" t="s">
        <v>1817</v>
      </c>
      <c r="C70" s="423" t="s">
        <v>1477</v>
      </c>
    </row>
    <row r="71" spans="1:3">
      <c r="A71" s="423" t="s">
        <v>37</v>
      </c>
      <c r="B71" s="423" t="s">
        <v>1719</v>
      </c>
      <c r="C71" s="423" t="s">
        <v>751</v>
      </c>
    </row>
    <row r="72" spans="1:3">
      <c r="A72" s="423" t="s">
        <v>41</v>
      </c>
      <c r="B72" s="423" t="s">
        <v>357</v>
      </c>
      <c r="C72" s="423" t="s">
        <v>746</v>
      </c>
    </row>
    <row r="73" spans="1:3">
      <c r="A73" s="423" t="s">
        <v>43</v>
      </c>
      <c r="B73" s="423" t="s">
        <v>1801</v>
      </c>
      <c r="C73" s="423" t="s">
        <v>742</v>
      </c>
    </row>
    <row r="74" spans="1:3">
      <c r="A74" s="423" t="s">
        <v>37</v>
      </c>
      <c r="B74" s="423" t="s">
        <v>1714</v>
      </c>
      <c r="C74" s="423" t="s">
        <v>747</v>
      </c>
    </row>
    <row r="75" spans="1:3">
      <c r="A75" s="423" t="s">
        <v>37</v>
      </c>
      <c r="B75" s="423" t="s">
        <v>371</v>
      </c>
      <c r="C75" s="423" t="s">
        <v>746</v>
      </c>
    </row>
    <row r="76" spans="1:3">
      <c r="A76" s="423" t="s">
        <v>41</v>
      </c>
      <c r="B76" s="423" t="s">
        <v>1927</v>
      </c>
      <c r="C76" s="423" t="s">
        <v>739</v>
      </c>
    </row>
    <row r="77" spans="1:3">
      <c r="A77" s="423" t="s">
        <v>41</v>
      </c>
      <c r="B77" s="423" t="s">
        <v>1783</v>
      </c>
      <c r="C77" s="423" t="s">
        <v>746</v>
      </c>
    </row>
    <row r="78" spans="1:3">
      <c r="A78" s="423" t="s">
        <v>43</v>
      </c>
      <c r="B78" s="423" t="s">
        <v>319</v>
      </c>
      <c r="C78" s="423" t="s">
        <v>738</v>
      </c>
    </row>
    <row r="79" spans="1:3">
      <c r="A79" s="423" t="s">
        <v>41</v>
      </c>
      <c r="B79" s="423" t="s">
        <v>1292</v>
      </c>
      <c r="C79" s="423" t="s">
        <v>747</v>
      </c>
    </row>
    <row r="80" spans="1:3">
      <c r="A80" s="423" t="s">
        <v>37</v>
      </c>
      <c r="B80" s="423" t="s">
        <v>1818</v>
      </c>
      <c r="C80" s="423" t="s">
        <v>736</v>
      </c>
    </row>
    <row r="81" spans="1:3" ht="25.5" customHeight="1">
      <c r="A81" s="423" t="s">
        <v>35</v>
      </c>
      <c r="B81" s="423" t="s">
        <v>1920</v>
      </c>
      <c r="C81" s="423" t="s">
        <v>1476</v>
      </c>
    </row>
    <row r="82" spans="1:3">
      <c r="A82" s="423" t="s">
        <v>37</v>
      </c>
      <c r="B82" s="423" t="s">
        <v>1725</v>
      </c>
      <c r="C82" s="423" t="s">
        <v>1478</v>
      </c>
    </row>
    <row r="83" spans="1:3">
      <c r="A83" s="423" t="s">
        <v>39</v>
      </c>
      <c r="B83" s="423" t="s">
        <v>367</v>
      </c>
      <c r="C83" s="423" t="s">
        <v>741</v>
      </c>
    </row>
    <row r="84" spans="1:3">
      <c r="A84" s="423" t="s">
        <v>39</v>
      </c>
      <c r="B84" s="423" t="s">
        <v>377</v>
      </c>
      <c r="C84" s="423" t="s">
        <v>1478</v>
      </c>
    </row>
    <row r="85" spans="1:3">
      <c r="A85" s="423" t="s">
        <v>43</v>
      </c>
      <c r="B85" s="423" t="s">
        <v>324</v>
      </c>
      <c r="C85" s="423" t="s">
        <v>739</v>
      </c>
    </row>
    <row r="86" spans="1:3">
      <c r="A86" s="423" t="s">
        <v>35</v>
      </c>
      <c r="B86" s="423" t="s">
        <v>316</v>
      </c>
      <c r="C86" s="423" t="s">
        <v>745</v>
      </c>
    </row>
    <row r="87" spans="1:3">
      <c r="A87" s="423" t="s">
        <v>37</v>
      </c>
      <c r="B87" s="423" t="s">
        <v>1706</v>
      </c>
      <c r="C87" s="423" t="s">
        <v>739</v>
      </c>
    </row>
    <row r="88" spans="1:3">
      <c r="A88" s="423" t="s">
        <v>37</v>
      </c>
      <c r="B88" s="423" t="s">
        <v>386</v>
      </c>
      <c r="C88" s="423" t="s">
        <v>740</v>
      </c>
    </row>
    <row r="89" spans="1:3">
      <c r="A89" s="423" t="s">
        <v>37</v>
      </c>
      <c r="B89" s="423" t="s">
        <v>1708</v>
      </c>
      <c r="C89" s="423" t="s">
        <v>1478</v>
      </c>
    </row>
    <row r="90" spans="1:3">
      <c r="A90" s="423" t="s">
        <v>43</v>
      </c>
      <c r="B90" s="423" t="s">
        <v>1796</v>
      </c>
      <c r="C90" s="423" t="s">
        <v>737</v>
      </c>
    </row>
    <row r="91" spans="1:3">
      <c r="A91" s="423" t="s">
        <v>37</v>
      </c>
      <c r="B91" s="423" t="s">
        <v>388</v>
      </c>
      <c r="C91" s="423" t="s">
        <v>746</v>
      </c>
    </row>
    <row r="92" spans="1:3">
      <c r="A92" s="423" t="s">
        <v>37</v>
      </c>
      <c r="B92" s="423" t="s">
        <v>390</v>
      </c>
      <c r="C92" s="423" t="s">
        <v>735</v>
      </c>
    </row>
    <row r="93" spans="1:3">
      <c r="A93" s="423" t="s">
        <v>41</v>
      </c>
      <c r="B93" s="423" t="s">
        <v>1735</v>
      </c>
      <c r="C93" s="423" t="s">
        <v>746</v>
      </c>
    </row>
    <row r="94" spans="1:3">
      <c r="A94" s="423" t="s">
        <v>41</v>
      </c>
      <c r="B94" s="423" t="s">
        <v>328</v>
      </c>
      <c r="C94" s="423" t="s">
        <v>749</v>
      </c>
    </row>
    <row r="95" spans="1:3" ht="25.5" customHeight="1">
      <c r="A95" s="423" t="s">
        <v>37</v>
      </c>
      <c r="B95" s="423" t="s">
        <v>1712</v>
      </c>
      <c r="C95" s="423" t="s">
        <v>1476</v>
      </c>
    </row>
    <row r="96" spans="1:3">
      <c r="A96" s="423" t="s">
        <v>41</v>
      </c>
      <c r="B96" s="423" t="s">
        <v>378</v>
      </c>
      <c r="C96" s="423" t="s">
        <v>741</v>
      </c>
    </row>
    <row r="97" spans="1:3">
      <c r="A97" s="423" t="s">
        <v>37</v>
      </c>
      <c r="B97" s="423" t="s">
        <v>394</v>
      </c>
      <c r="C97" s="423" t="s">
        <v>748</v>
      </c>
    </row>
    <row r="98" spans="1:3">
      <c r="A98" s="423" t="s">
        <v>39</v>
      </c>
      <c r="B98" s="423" t="s">
        <v>383</v>
      </c>
      <c r="C98" s="423" t="s">
        <v>742</v>
      </c>
    </row>
    <row r="99" spans="1:3">
      <c r="A99" s="423" t="s">
        <v>37</v>
      </c>
      <c r="B99" s="423" t="s">
        <v>1819</v>
      </c>
      <c r="C99" s="423" t="s">
        <v>747</v>
      </c>
    </row>
    <row r="100" spans="1:3">
      <c r="A100" s="423" t="s">
        <v>43</v>
      </c>
      <c r="B100" s="423" t="s">
        <v>331</v>
      </c>
      <c r="C100" s="423" t="s">
        <v>742</v>
      </c>
    </row>
    <row r="101" spans="1:3">
      <c r="A101" s="423" t="s">
        <v>37</v>
      </c>
      <c r="B101" s="423" t="s">
        <v>397</v>
      </c>
      <c r="C101" s="423" t="s">
        <v>738</v>
      </c>
    </row>
    <row r="102" spans="1:3">
      <c r="A102" s="423" t="s">
        <v>37</v>
      </c>
      <c r="B102" s="423" t="s">
        <v>1863</v>
      </c>
      <c r="C102" s="423" t="s">
        <v>1478</v>
      </c>
    </row>
    <row r="103" spans="1:3">
      <c r="A103" s="423" t="s">
        <v>39</v>
      </c>
      <c r="B103" s="423" t="s">
        <v>1772</v>
      </c>
      <c r="C103" s="423" t="s">
        <v>748</v>
      </c>
    </row>
    <row r="104" spans="1:3">
      <c r="A104" s="423" t="s">
        <v>37</v>
      </c>
      <c r="B104" s="423" t="s">
        <v>1702</v>
      </c>
      <c r="C104" s="423" t="s">
        <v>735</v>
      </c>
    </row>
    <row r="105" spans="1:3">
      <c r="A105" s="423" t="s">
        <v>37</v>
      </c>
      <c r="B105" s="423" t="s">
        <v>399</v>
      </c>
      <c r="C105" s="423" t="s">
        <v>750</v>
      </c>
    </row>
    <row r="106" spans="1:3">
      <c r="A106" s="423" t="s">
        <v>39</v>
      </c>
      <c r="B106" s="423" t="s">
        <v>389</v>
      </c>
      <c r="C106" s="423" t="s">
        <v>740</v>
      </c>
    </row>
    <row r="107" spans="1:3" ht="25.5" customHeight="1">
      <c r="A107" s="423" t="s">
        <v>39</v>
      </c>
      <c r="B107" s="423" t="s">
        <v>391</v>
      </c>
      <c r="C107" s="423" t="s">
        <v>1476</v>
      </c>
    </row>
    <row r="108" spans="1:3">
      <c r="A108" s="423" t="s">
        <v>37</v>
      </c>
      <c r="B108" s="423" t="s">
        <v>403</v>
      </c>
      <c r="C108" s="423" t="s">
        <v>739</v>
      </c>
    </row>
    <row r="109" spans="1:3">
      <c r="A109" s="423" t="s">
        <v>41</v>
      </c>
      <c r="B109" s="423" t="s">
        <v>1843</v>
      </c>
      <c r="C109" s="423" t="s">
        <v>743</v>
      </c>
    </row>
    <row r="110" spans="1:3">
      <c r="A110" s="423" t="s">
        <v>37</v>
      </c>
      <c r="B110" s="423" t="s">
        <v>406</v>
      </c>
      <c r="C110" s="423" t="s">
        <v>738</v>
      </c>
    </row>
    <row r="111" spans="1:3" ht="25.5" customHeight="1">
      <c r="A111" s="423" t="s">
        <v>43</v>
      </c>
      <c r="B111" s="423" t="s">
        <v>1787</v>
      </c>
      <c r="C111" s="423" t="s">
        <v>1476</v>
      </c>
    </row>
    <row r="112" spans="1:3">
      <c r="A112" s="423" t="s">
        <v>41</v>
      </c>
      <c r="B112" s="423" t="s">
        <v>1785</v>
      </c>
      <c r="C112" s="423" t="s">
        <v>1478</v>
      </c>
    </row>
    <row r="113" spans="1:3">
      <c r="A113" s="423" t="s">
        <v>37</v>
      </c>
      <c r="B113" s="423" t="s">
        <v>410</v>
      </c>
      <c r="C113" s="423" t="s">
        <v>740</v>
      </c>
    </row>
    <row r="114" spans="1:3">
      <c r="A114" s="423" t="s">
        <v>37</v>
      </c>
      <c r="B114" s="423" t="s">
        <v>413</v>
      </c>
      <c r="C114" s="423" t="s">
        <v>1478</v>
      </c>
    </row>
    <row r="115" spans="1:3" ht="25.5" customHeight="1">
      <c r="A115" s="423" t="s">
        <v>39</v>
      </c>
      <c r="B115" s="423" t="s">
        <v>1745</v>
      </c>
      <c r="C115" s="423" t="s">
        <v>1476</v>
      </c>
    </row>
    <row r="116" spans="1:3">
      <c r="A116" s="423" t="s">
        <v>37</v>
      </c>
      <c r="B116" s="423" t="s">
        <v>417</v>
      </c>
      <c r="C116" s="423" t="s">
        <v>745</v>
      </c>
    </row>
    <row r="117" spans="1:3">
      <c r="A117" s="423" t="s">
        <v>41</v>
      </c>
      <c r="B117" s="423" t="s">
        <v>335</v>
      </c>
      <c r="C117" s="423" t="s">
        <v>744</v>
      </c>
    </row>
    <row r="118" spans="1:3">
      <c r="A118" s="423" t="s">
        <v>37</v>
      </c>
      <c r="B118" s="423" t="s">
        <v>419</v>
      </c>
      <c r="C118" s="423" t="s">
        <v>749</v>
      </c>
    </row>
    <row r="119" spans="1:3" ht="25.5" customHeight="1">
      <c r="A119" s="423" t="s">
        <v>41</v>
      </c>
      <c r="B119" s="423" t="s">
        <v>1736</v>
      </c>
      <c r="C119" s="423" t="s">
        <v>1476</v>
      </c>
    </row>
    <row r="120" spans="1:3">
      <c r="A120" s="423" t="s">
        <v>39</v>
      </c>
      <c r="B120" s="423" t="s">
        <v>395</v>
      </c>
      <c r="C120" s="423" t="s">
        <v>738</v>
      </c>
    </row>
    <row r="121" spans="1:3" ht="25.5" customHeight="1">
      <c r="A121" s="423" t="s">
        <v>43</v>
      </c>
      <c r="B121" s="423" t="s">
        <v>1855</v>
      </c>
      <c r="C121" s="423" t="s">
        <v>1476</v>
      </c>
    </row>
    <row r="122" spans="1:3" ht="15.75" customHeight="1">
      <c r="A122" s="423" t="s">
        <v>43</v>
      </c>
      <c r="B122" s="423" t="s">
        <v>1853</v>
      </c>
      <c r="C122" s="423" t="s">
        <v>1476</v>
      </c>
    </row>
    <row r="123" spans="1:3">
      <c r="A123" s="423" t="s">
        <v>39</v>
      </c>
      <c r="B123" s="423" t="s">
        <v>400</v>
      </c>
      <c r="C123" s="423" t="s">
        <v>743</v>
      </c>
    </row>
    <row r="124" spans="1:3">
      <c r="A124" s="423" t="s">
        <v>35</v>
      </c>
      <c r="B124" s="423" t="s">
        <v>1688</v>
      </c>
      <c r="C124" s="423" t="s">
        <v>740</v>
      </c>
    </row>
    <row r="125" spans="1:3">
      <c r="A125" s="423" t="s">
        <v>35</v>
      </c>
      <c r="B125" s="423" t="s">
        <v>325</v>
      </c>
      <c r="C125" s="423" t="s">
        <v>748</v>
      </c>
    </row>
    <row r="126" spans="1:3">
      <c r="A126" s="423" t="s">
        <v>37</v>
      </c>
      <c r="B126" s="423" t="s">
        <v>429</v>
      </c>
      <c r="C126" s="423" t="s">
        <v>746</v>
      </c>
    </row>
    <row r="127" spans="1:3">
      <c r="A127" s="423" t="s">
        <v>43</v>
      </c>
      <c r="B127" s="423" t="s">
        <v>1803</v>
      </c>
      <c r="C127" s="423" t="s">
        <v>738</v>
      </c>
    </row>
    <row r="128" spans="1:3">
      <c r="A128" s="423" t="s">
        <v>35</v>
      </c>
      <c r="B128" s="423" t="s">
        <v>1690</v>
      </c>
      <c r="C128" s="423" t="s">
        <v>1478</v>
      </c>
    </row>
    <row r="129" spans="1:3">
      <c r="A129" s="423" t="s">
        <v>35</v>
      </c>
      <c r="B129" s="423" t="s">
        <v>329</v>
      </c>
      <c r="C129" s="423" t="s">
        <v>739</v>
      </c>
    </row>
    <row r="130" spans="1:3">
      <c r="A130" s="423" t="s">
        <v>41</v>
      </c>
      <c r="B130" s="423" t="s">
        <v>1928</v>
      </c>
      <c r="C130" s="423" t="s">
        <v>750</v>
      </c>
    </row>
    <row r="131" spans="1:3" ht="15.75" customHeight="1">
      <c r="A131" s="423" t="s">
        <v>43</v>
      </c>
      <c r="B131" s="423" t="s">
        <v>1781</v>
      </c>
      <c r="C131" s="423" t="s">
        <v>735</v>
      </c>
    </row>
    <row r="132" spans="1:3">
      <c r="A132" s="423" t="s">
        <v>41</v>
      </c>
      <c r="B132" s="423" t="s">
        <v>1762</v>
      </c>
      <c r="C132" s="423" t="s">
        <v>738</v>
      </c>
    </row>
    <row r="133" spans="1:3" ht="25.5" customHeight="1">
      <c r="A133" s="423" t="s">
        <v>37</v>
      </c>
      <c r="B133" s="423" t="s">
        <v>1282</v>
      </c>
      <c r="C133" s="423" t="s">
        <v>1476</v>
      </c>
    </row>
    <row r="134" spans="1:3">
      <c r="A134" s="423" t="s">
        <v>41</v>
      </c>
      <c r="B134" s="423" t="s">
        <v>1734</v>
      </c>
      <c r="C134" s="423" t="s">
        <v>745</v>
      </c>
    </row>
    <row r="135" spans="1:3">
      <c r="A135" s="423" t="s">
        <v>37</v>
      </c>
      <c r="B135" s="423" t="s">
        <v>435</v>
      </c>
      <c r="C135" s="423" t="s">
        <v>1477</v>
      </c>
    </row>
    <row r="136" spans="1:3" ht="25.5" customHeight="1">
      <c r="A136" s="423" t="s">
        <v>35</v>
      </c>
      <c r="B136" s="423" t="s">
        <v>1812</v>
      </c>
      <c r="C136" s="423" t="s">
        <v>1476</v>
      </c>
    </row>
    <row r="137" spans="1:3">
      <c r="A137" s="423" t="s">
        <v>35</v>
      </c>
      <c r="B137" s="423" t="s">
        <v>1677</v>
      </c>
      <c r="C137" s="423" t="s">
        <v>738</v>
      </c>
    </row>
    <row r="138" spans="1:3">
      <c r="A138" s="423" t="s">
        <v>39</v>
      </c>
      <c r="B138" s="423" t="s">
        <v>1837</v>
      </c>
      <c r="C138" s="423" t="s">
        <v>737</v>
      </c>
    </row>
    <row r="139" spans="1:3">
      <c r="A139" s="423" t="s">
        <v>37</v>
      </c>
      <c r="B139" s="423" t="s">
        <v>1728</v>
      </c>
      <c r="C139" s="423" t="s">
        <v>1477</v>
      </c>
    </row>
    <row r="140" spans="1:3">
      <c r="A140" s="423" t="s">
        <v>39</v>
      </c>
      <c r="B140" s="423" t="s">
        <v>404</v>
      </c>
      <c r="C140" s="423" t="s">
        <v>736</v>
      </c>
    </row>
    <row r="141" spans="1:3">
      <c r="A141" s="423" t="s">
        <v>39</v>
      </c>
      <c r="B141" s="423" t="s">
        <v>407</v>
      </c>
      <c r="C141" s="423" t="s">
        <v>735</v>
      </c>
    </row>
    <row r="142" spans="1:3">
      <c r="A142" s="423" t="s">
        <v>39</v>
      </c>
      <c r="B142" s="423" t="s">
        <v>1338</v>
      </c>
      <c r="C142" s="423" t="s">
        <v>744</v>
      </c>
    </row>
    <row r="143" spans="1:3">
      <c r="A143" s="423" t="s">
        <v>39</v>
      </c>
      <c r="B143" s="423" t="s">
        <v>1838</v>
      </c>
      <c r="C143" s="423" t="s">
        <v>739</v>
      </c>
    </row>
    <row r="144" spans="1:3">
      <c r="A144" s="423" t="s">
        <v>35</v>
      </c>
      <c r="B144" s="423" t="s">
        <v>1687</v>
      </c>
      <c r="C144" s="423" t="s">
        <v>738</v>
      </c>
    </row>
    <row r="145" spans="1:3" ht="15.75" customHeight="1">
      <c r="A145" s="423" t="s">
        <v>41</v>
      </c>
      <c r="B145" s="423" t="s">
        <v>1339</v>
      </c>
      <c r="C145" s="423" t="s">
        <v>745</v>
      </c>
    </row>
    <row r="146" spans="1:3">
      <c r="A146" s="423" t="s">
        <v>37</v>
      </c>
      <c r="B146" s="423" t="s">
        <v>1820</v>
      </c>
      <c r="C146" s="423" t="s">
        <v>739</v>
      </c>
    </row>
    <row r="147" spans="1:3">
      <c r="A147" s="423" t="s">
        <v>43</v>
      </c>
      <c r="B147" s="423" t="s">
        <v>1782</v>
      </c>
      <c r="C147" s="423" t="s">
        <v>746</v>
      </c>
    </row>
    <row r="148" spans="1:3">
      <c r="A148" s="423" t="s">
        <v>35</v>
      </c>
      <c r="B148" s="423" t="s">
        <v>414</v>
      </c>
      <c r="C148" s="423" t="s">
        <v>736</v>
      </c>
    </row>
    <row r="149" spans="1:3">
      <c r="A149" s="423" t="s">
        <v>37</v>
      </c>
      <c r="B149" s="423" t="s">
        <v>443</v>
      </c>
      <c r="C149" s="423" t="s">
        <v>740</v>
      </c>
    </row>
    <row r="150" spans="1:3">
      <c r="A150" s="423" t="s">
        <v>37</v>
      </c>
      <c r="B150" s="423" t="s">
        <v>332</v>
      </c>
      <c r="C150" s="423" t="s">
        <v>741</v>
      </c>
    </row>
    <row r="151" spans="1:3" ht="25.5" customHeight="1">
      <c r="A151" s="423" t="s">
        <v>41</v>
      </c>
      <c r="B151" s="423" t="s">
        <v>440</v>
      </c>
      <c r="C151" s="423" t="s">
        <v>1476</v>
      </c>
    </row>
    <row r="152" spans="1:3">
      <c r="A152" s="423" t="s">
        <v>37</v>
      </c>
      <c r="B152" s="423" t="s">
        <v>1921</v>
      </c>
      <c r="C152" s="423" t="s">
        <v>741</v>
      </c>
    </row>
    <row r="153" spans="1:3">
      <c r="A153" s="423" t="s">
        <v>37</v>
      </c>
      <c r="B153" s="423" t="s">
        <v>449</v>
      </c>
      <c r="C153" s="423" t="s">
        <v>751</v>
      </c>
    </row>
    <row r="154" spans="1:3" ht="25.5" customHeight="1">
      <c r="A154" s="423" t="s">
        <v>39</v>
      </c>
      <c r="B154" s="423" t="s">
        <v>1774</v>
      </c>
      <c r="C154" s="423" t="s">
        <v>1476</v>
      </c>
    </row>
    <row r="155" spans="1:3">
      <c r="A155" s="423" t="s">
        <v>37</v>
      </c>
      <c r="B155" s="423" t="s">
        <v>1290</v>
      </c>
      <c r="C155" s="423" t="s">
        <v>736</v>
      </c>
    </row>
    <row r="156" spans="1:3">
      <c r="A156" s="423" t="s">
        <v>41</v>
      </c>
      <c r="B156" s="423" t="s">
        <v>421</v>
      </c>
      <c r="C156" s="423" t="s">
        <v>751</v>
      </c>
    </row>
    <row r="157" spans="1:3">
      <c r="A157" s="423" t="s">
        <v>39</v>
      </c>
      <c r="B157" s="423" t="s">
        <v>1924</v>
      </c>
      <c r="C157" s="423" t="s">
        <v>735</v>
      </c>
    </row>
    <row r="158" spans="1:3">
      <c r="A158" s="423" t="s">
        <v>39</v>
      </c>
      <c r="B158" s="423" t="s">
        <v>424</v>
      </c>
      <c r="C158" s="423" t="s">
        <v>750</v>
      </c>
    </row>
    <row r="159" spans="1:3">
      <c r="A159" s="423" t="s">
        <v>37</v>
      </c>
      <c r="B159" s="423" t="s">
        <v>451</v>
      </c>
      <c r="C159" s="423" t="s">
        <v>745</v>
      </c>
    </row>
    <row r="160" spans="1:3">
      <c r="A160" s="423" t="s">
        <v>37</v>
      </c>
      <c r="B160" s="423" t="s">
        <v>453</v>
      </c>
      <c r="C160" s="423" t="s">
        <v>747</v>
      </c>
    </row>
    <row r="161" spans="1:3">
      <c r="A161" s="423" t="s">
        <v>37</v>
      </c>
      <c r="B161" s="423" t="s">
        <v>455</v>
      </c>
      <c r="C161" s="423" t="s">
        <v>737</v>
      </c>
    </row>
    <row r="162" spans="1:3">
      <c r="A162" s="423" t="s">
        <v>43</v>
      </c>
      <c r="B162" s="423" t="s">
        <v>341</v>
      </c>
      <c r="C162" s="423" t="s">
        <v>750</v>
      </c>
    </row>
    <row r="163" spans="1:3">
      <c r="A163" s="423" t="s">
        <v>39</v>
      </c>
      <c r="B163" s="423" t="s">
        <v>427</v>
      </c>
      <c r="C163" s="423" t="s">
        <v>738</v>
      </c>
    </row>
    <row r="164" spans="1:3" ht="25.5" customHeight="1">
      <c r="A164" s="423" t="s">
        <v>39</v>
      </c>
      <c r="B164" s="423" t="s">
        <v>1770</v>
      </c>
      <c r="C164" s="423" t="s">
        <v>1476</v>
      </c>
    </row>
    <row r="165" spans="1:3">
      <c r="A165" s="423" t="s">
        <v>37</v>
      </c>
      <c r="B165" s="423" t="s">
        <v>457</v>
      </c>
      <c r="C165" s="423" t="s">
        <v>748</v>
      </c>
    </row>
    <row r="166" spans="1:3">
      <c r="A166" s="423" t="s">
        <v>37</v>
      </c>
      <c r="B166" s="423" t="s">
        <v>1717</v>
      </c>
      <c r="C166" s="423" t="s">
        <v>740</v>
      </c>
    </row>
    <row r="167" spans="1:3">
      <c r="A167" s="423" t="s">
        <v>39</v>
      </c>
      <c r="B167" s="423" t="s">
        <v>430</v>
      </c>
      <c r="C167" s="423" t="s">
        <v>738</v>
      </c>
    </row>
    <row r="168" spans="1:3">
      <c r="A168" s="423" t="s">
        <v>43</v>
      </c>
      <c r="B168" s="423" t="s">
        <v>344</v>
      </c>
      <c r="C168" s="423" t="s">
        <v>736</v>
      </c>
    </row>
    <row r="169" spans="1:3" ht="25.5" customHeight="1">
      <c r="A169" s="423" t="s">
        <v>37</v>
      </c>
      <c r="B169" s="423" t="s">
        <v>1699</v>
      </c>
      <c r="C169" s="423" t="s">
        <v>1476</v>
      </c>
    </row>
    <row r="170" spans="1:3">
      <c r="A170" s="423" t="s">
        <v>41</v>
      </c>
      <c r="B170" s="423" t="s">
        <v>1299</v>
      </c>
      <c r="C170" s="423" t="s">
        <v>736</v>
      </c>
    </row>
    <row r="171" spans="1:3">
      <c r="A171" s="423" t="s">
        <v>39</v>
      </c>
      <c r="B171" s="423" t="s">
        <v>1301</v>
      </c>
      <c r="C171" s="423" t="s">
        <v>737</v>
      </c>
    </row>
    <row r="172" spans="1:3">
      <c r="A172" s="423" t="s">
        <v>39</v>
      </c>
      <c r="B172" s="423" t="s">
        <v>436</v>
      </c>
      <c r="C172" s="423" t="s">
        <v>744</v>
      </c>
    </row>
    <row r="173" spans="1:3">
      <c r="A173" s="423" t="s">
        <v>39</v>
      </c>
      <c r="B173" s="423" t="s">
        <v>437</v>
      </c>
      <c r="C173" s="423" t="s">
        <v>749</v>
      </c>
    </row>
    <row r="174" spans="1:3" ht="25.5" customHeight="1">
      <c r="A174" s="423" t="s">
        <v>37</v>
      </c>
      <c r="B174" s="423" t="s">
        <v>460</v>
      </c>
      <c r="C174" s="423" t="s">
        <v>1476</v>
      </c>
    </row>
    <row r="175" spans="1:3">
      <c r="A175" s="423" t="s">
        <v>43</v>
      </c>
      <c r="B175" s="423" t="s">
        <v>347</v>
      </c>
      <c r="C175" s="423" t="s">
        <v>737</v>
      </c>
    </row>
    <row r="176" spans="1:3">
      <c r="A176" s="423" t="s">
        <v>41</v>
      </c>
      <c r="B176" s="423" t="s">
        <v>351</v>
      </c>
      <c r="C176" s="423" t="s">
        <v>742</v>
      </c>
    </row>
    <row r="177" spans="1:3">
      <c r="A177" s="423" t="s">
        <v>37</v>
      </c>
      <c r="B177" s="423" t="s">
        <v>1305</v>
      </c>
      <c r="C177" s="423" t="s">
        <v>742</v>
      </c>
    </row>
    <row r="178" spans="1:3">
      <c r="A178" s="423" t="s">
        <v>35</v>
      </c>
      <c r="B178" s="423" t="s">
        <v>1867</v>
      </c>
      <c r="C178" s="423" t="s">
        <v>746</v>
      </c>
    </row>
    <row r="179" spans="1:3">
      <c r="A179" s="423" t="s">
        <v>35</v>
      </c>
      <c r="B179" s="423" t="s">
        <v>1294</v>
      </c>
      <c r="C179" s="423" t="s">
        <v>746</v>
      </c>
    </row>
    <row r="180" spans="1:3">
      <c r="A180" s="423" t="s">
        <v>39</v>
      </c>
      <c r="B180" s="423" t="s">
        <v>444</v>
      </c>
      <c r="C180" s="423" t="s">
        <v>736</v>
      </c>
    </row>
    <row r="181" spans="1:3">
      <c r="A181" s="423" t="s">
        <v>35</v>
      </c>
      <c r="B181" s="423" t="s">
        <v>338</v>
      </c>
      <c r="C181" s="423" t="s">
        <v>744</v>
      </c>
    </row>
    <row r="182" spans="1:3">
      <c r="A182" s="423" t="s">
        <v>39</v>
      </c>
      <c r="B182" s="423" t="s">
        <v>447</v>
      </c>
      <c r="C182" s="423" t="s">
        <v>748</v>
      </c>
    </row>
    <row r="183" spans="1:3">
      <c r="A183" s="423" t="s">
        <v>37</v>
      </c>
      <c r="B183" s="423" t="s">
        <v>1333</v>
      </c>
      <c r="C183" s="423" t="s">
        <v>739</v>
      </c>
    </row>
    <row r="184" spans="1:3">
      <c r="A184" s="423" t="s">
        <v>41</v>
      </c>
      <c r="B184" s="423" t="s">
        <v>355</v>
      </c>
      <c r="C184" s="423" t="s">
        <v>745</v>
      </c>
    </row>
    <row r="185" spans="1:3">
      <c r="A185" s="423" t="s">
        <v>43</v>
      </c>
      <c r="B185" s="423" t="s">
        <v>358</v>
      </c>
      <c r="C185" s="423" t="s">
        <v>750</v>
      </c>
    </row>
    <row r="186" spans="1:3">
      <c r="A186" s="423" t="s">
        <v>41</v>
      </c>
      <c r="B186" s="423" t="s">
        <v>362</v>
      </c>
      <c r="C186" s="423" t="s">
        <v>741</v>
      </c>
    </row>
    <row r="187" spans="1:3">
      <c r="A187" s="423" t="s">
        <v>41</v>
      </c>
      <c r="B187" s="423" t="s">
        <v>1929</v>
      </c>
      <c r="C187" s="423" t="s">
        <v>747</v>
      </c>
    </row>
    <row r="188" spans="1:3">
      <c r="A188" s="423" t="s">
        <v>41</v>
      </c>
      <c r="B188" s="423" t="s">
        <v>365</v>
      </c>
      <c r="C188" s="423" t="s">
        <v>750</v>
      </c>
    </row>
    <row r="189" spans="1:3">
      <c r="A189" s="423" t="s">
        <v>37</v>
      </c>
      <c r="B189" s="423" t="s">
        <v>467</v>
      </c>
      <c r="C189" s="423" t="s">
        <v>750</v>
      </c>
    </row>
    <row r="190" spans="1:3" ht="25.5" customHeight="1">
      <c r="A190" s="423" t="s">
        <v>39</v>
      </c>
      <c r="B190" s="423" t="s">
        <v>925</v>
      </c>
      <c r="C190" s="423" t="s">
        <v>1476</v>
      </c>
    </row>
    <row r="191" spans="1:3">
      <c r="A191" s="423" t="s">
        <v>37</v>
      </c>
      <c r="B191" s="423" t="s">
        <v>1821</v>
      </c>
      <c r="C191" s="423" t="s">
        <v>748</v>
      </c>
    </row>
    <row r="192" spans="1:3">
      <c r="A192" s="423" t="s">
        <v>41</v>
      </c>
      <c r="B192" s="423" t="s">
        <v>368</v>
      </c>
      <c r="C192" s="423" t="s">
        <v>751</v>
      </c>
    </row>
    <row r="193" spans="1:3">
      <c r="A193" s="423" t="s">
        <v>41</v>
      </c>
      <c r="B193" s="423" t="s">
        <v>1925</v>
      </c>
      <c r="C193" s="423" t="s">
        <v>744</v>
      </c>
    </row>
    <row r="194" spans="1:3">
      <c r="A194" s="423" t="s">
        <v>43</v>
      </c>
      <c r="B194" s="423" t="s">
        <v>369</v>
      </c>
      <c r="C194" s="423" t="s">
        <v>748</v>
      </c>
    </row>
    <row r="195" spans="1:3">
      <c r="A195" s="423" t="s">
        <v>41</v>
      </c>
      <c r="B195" s="423" t="s">
        <v>1764</v>
      </c>
      <c r="C195" s="423" t="s">
        <v>736</v>
      </c>
    </row>
    <row r="196" spans="1:3">
      <c r="A196" s="423" t="s">
        <v>41</v>
      </c>
      <c r="B196" s="423" t="s">
        <v>1755</v>
      </c>
      <c r="C196" s="423" t="s">
        <v>736</v>
      </c>
    </row>
    <row r="197" spans="1:3">
      <c r="A197" s="423" t="s">
        <v>39</v>
      </c>
      <c r="B197" s="423" t="s">
        <v>1930</v>
      </c>
      <c r="C197" s="423" t="s">
        <v>738</v>
      </c>
    </row>
    <row r="198" spans="1:3">
      <c r="A198" s="423" t="s">
        <v>37</v>
      </c>
      <c r="B198" s="423" t="s">
        <v>472</v>
      </c>
      <c r="C198" s="423" t="s">
        <v>739</v>
      </c>
    </row>
    <row r="199" spans="1:3">
      <c r="A199" s="423" t="s">
        <v>41</v>
      </c>
      <c r="B199" s="423" t="s">
        <v>1809</v>
      </c>
      <c r="C199" s="423" t="s">
        <v>1478</v>
      </c>
    </row>
    <row r="200" spans="1:3">
      <c r="A200" s="423" t="s">
        <v>41</v>
      </c>
      <c r="B200" s="423" t="s">
        <v>372</v>
      </c>
      <c r="C200" s="423" t="s">
        <v>738</v>
      </c>
    </row>
    <row r="201" spans="1:3">
      <c r="A201" s="423" t="s">
        <v>37</v>
      </c>
      <c r="B201" s="423" t="s">
        <v>922</v>
      </c>
      <c r="C201" s="423" t="s">
        <v>750</v>
      </c>
    </row>
    <row r="202" spans="1:3">
      <c r="A202" s="423" t="s">
        <v>37</v>
      </c>
      <c r="B202" s="423" t="s">
        <v>1720</v>
      </c>
      <c r="C202" s="423" t="s">
        <v>1478</v>
      </c>
    </row>
    <row r="203" spans="1:3">
      <c r="A203" s="423" t="s">
        <v>37</v>
      </c>
      <c r="B203" s="423" t="s">
        <v>475</v>
      </c>
      <c r="C203" s="423" t="s">
        <v>1477</v>
      </c>
    </row>
    <row r="204" spans="1:3">
      <c r="A204" s="423" t="s">
        <v>39</v>
      </c>
      <c r="B204" s="423" t="s">
        <v>1298</v>
      </c>
      <c r="C204" s="423" t="s">
        <v>744</v>
      </c>
    </row>
    <row r="205" spans="1:3">
      <c r="A205" s="423" t="s">
        <v>37</v>
      </c>
      <c r="B205" s="423" t="s">
        <v>478</v>
      </c>
      <c r="C205" s="423" t="s">
        <v>1478</v>
      </c>
    </row>
    <row r="206" spans="1:3">
      <c r="A206" s="423" t="s">
        <v>37</v>
      </c>
      <c r="B206" s="423" t="s">
        <v>481</v>
      </c>
      <c r="C206" s="423" t="s">
        <v>742</v>
      </c>
    </row>
    <row r="207" spans="1:3">
      <c r="A207" s="423" t="s">
        <v>35</v>
      </c>
      <c r="B207" s="423" t="s">
        <v>342</v>
      </c>
      <c r="C207" s="423" t="s">
        <v>739</v>
      </c>
    </row>
    <row r="208" spans="1:3">
      <c r="A208" s="423" t="s">
        <v>43</v>
      </c>
      <c r="B208" s="423" t="s">
        <v>374</v>
      </c>
      <c r="C208" s="423" t="s">
        <v>1477</v>
      </c>
    </row>
    <row r="209" spans="1:3">
      <c r="A209" s="423" t="s">
        <v>37</v>
      </c>
      <c r="B209" s="423" t="s">
        <v>485</v>
      </c>
      <c r="C209" s="423" t="s">
        <v>750</v>
      </c>
    </row>
    <row r="210" spans="1:3">
      <c r="A210" s="423" t="s">
        <v>39</v>
      </c>
      <c r="B210" s="423" t="s">
        <v>459</v>
      </c>
      <c r="C210" s="423" t="s">
        <v>751</v>
      </c>
    </row>
    <row r="211" spans="1:3">
      <c r="A211" s="423" t="s">
        <v>39</v>
      </c>
      <c r="B211" s="423" t="s">
        <v>1760</v>
      </c>
      <c r="C211" s="423" t="s">
        <v>1478</v>
      </c>
    </row>
    <row r="212" spans="1:3">
      <c r="A212" s="423" t="s">
        <v>39</v>
      </c>
      <c r="B212" s="423" t="s">
        <v>1773</v>
      </c>
      <c r="C212" s="423" t="s">
        <v>748</v>
      </c>
    </row>
    <row r="213" spans="1:3">
      <c r="A213" s="423" t="s">
        <v>39</v>
      </c>
      <c r="B213" s="423" t="s">
        <v>461</v>
      </c>
      <c r="C213" s="423" t="s">
        <v>735</v>
      </c>
    </row>
    <row r="214" spans="1:3">
      <c r="A214" s="423" t="s">
        <v>37</v>
      </c>
      <c r="B214" s="423" t="s">
        <v>1822</v>
      </c>
      <c r="C214" s="423" t="s">
        <v>746</v>
      </c>
    </row>
    <row r="215" spans="1:3">
      <c r="A215" s="423" t="s">
        <v>41</v>
      </c>
      <c r="B215" s="423" t="s">
        <v>1336</v>
      </c>
      <c r="C215" s="423" t="s">
        <v>741</v>
      </c>
    </row>
    <row r="216" spans="1:3">
      <c r="A216" s="423" t="s">
        <v>39</v>
      </c>
      <c r="B216" s="423" t="s">
        <v>463</v>
      </c>
      <c r="C216" s="423" t="s">
        <v>741</v>
      </c>
    </row>
    <row r="217" spans="1:3">
      <c r="A217" s="423" t="s">
        <v>41</v>
      </c>
      <c r="B217" s="423" t="s">
        <v>465</v>
      </c>
      <c r="C217" s="423" t="s">
        <v>743</v>
      </c>
    </row>
    <row r="218" spans="1:3">
      <c r="A218" s="423" t="s">
        <v>43</v>
      </c>
      <c r="B218" s="423" t="s">
        <v>1786</v>
      </c>
      <c r="C218" s="423" t="s">
        <v>743</v>
      </c>
    </row>
    <row r="219" spans="1:3" ht="15.75" customHeight="1">
      <c r="A219" s="423" t="s">
        <v>37</v>
      </c>
      <c r="B219" s="423" t="s">
        <v>490</v>
      </c>
      <c r="C219" s="423" t="s">
        <v>740</v>
      </c>
    </row>
    <row r="220" spans="1:3">
      <c r="A220" s="423" t="s">
        <v>41</v>
      </c>
      <c r="B220" s="423" t="s">
        <v>1751</v>
      </c>
      <c r="C220" s="423" t="s">
        <v>740</v>
      </c>
    </row>
    <row r="221" spans="1:3">
      <c r="A221" s="423" t="s">
        <v>37</v>
      </c>
      <c r="B221" s="423" t="s">
        <v>1695</v>
      </c>
      <c r="C221" s="423" t="s">
        <v>744</v>
      </c>
    </row>
    <row r="222" spans="1:3">
      <c r="A222" s="423" t="s">
        <v>37</v>
      </c>
      <c r="B222" s="423" t="s">
        <v>1733</v>
      </c>
      <c r="C222" s="423" t="s">
        <v>1477</v>
      </c>
    </row>
    <row r="223" spans="1:3">
      <c r="A223" s="423" t="s">
        <v>37</v>
      </c>
      <c r="B223" s="423" t="s">
        <v>492</v>
      </c>
      <c r="C223" s="423" t="s">
        <v>736</v>
      </c>
    </row>
    <row r="224" spans="1:3">
      <c r="A224" s="423" t="s">
        <v>39</v>
      </c>
      <c r="B224" s="423" t="s">
        <v>1765</v>
      </c>
      <c r="C224" s="423" t="s">
        <v>740</v>
      </c>
    </row>
    <row r="225" spans="1:3">
      <c r="A225" s="423" t="s">
        <v>37</v>
      </c>
      <c r="B225" s="423" t="s">
        <v>496</v>
      </c>
      <c r="C225" s="423" t="s">
        <v>748</v>
      </c>
    </row>
    <row r="226" spans="1:3">
      <c r="A226" s="423" t="s">
        <v>37</v>
      </c>
      <c r="B226" s="423" t="s">
        <v>498</v>
      </c>
      <c r="C226" s="423" t="s">
        <v>743</v>
      </c>
    </row>
    <row r="227" spans="1:3">
      <c r="A227" s="423" t="s">
        <v>41</v>
      </c>
      <c r="B227" s="423" t="s">
        <v>381</v>
      </c>
      <c r="C227" s="423" t="s">
        <v>750</v>
      </c>
    </row>
    <row r="228" spans="1:3">
      <c r="A228" s="423" t="s">
        <v>37</v>
      </c>
      <c r="B228" s="423" t="s">
        <v>500</v>
      </c>
      <c r="C228" s="423" t="s">
        <v>749</v>
      </c>
    </row>
    <row r="229" spans="1:3">
      <c r="A229" s="423" t="s">
        <v>41</v>
      </c>
      <c r="B229" s="423" t="s">
        <v>468</v>
      </c>
      <c r="C229" s="423" t="s">
        <v>749</v>
      </c>
    </row>
    <row r="230" spans="1:3">
      <c r="A230" s="423" t="s">
        <v>43</v>
      </c>
      <c r="B230" s="423" t="s">
        <v>384</v>
      </c>
      <c r="C230" s="423" t="s">
        <v>738</v>
      </c>
    </row>
    <row r="231" spans="1:3">
      <c r="A231" s="423" t="s">
        <v>39</v>
      </c>
      <c r="B231" s="423" t="s">
        <v>473</v>
      </c>
      <c r="C231" s="423" t="s">
        <v>741</v>
      </c>
    </row>
    <row r="232" spans="1:3">
      <c r="A232" s="423" t="s">
        <v>37</v>
      </c>
      <c r="B232" s="423" t="s">
        <v>502</v>
      </c>
      <c r="C232" s="423" t="s">
        <v>740</v>
      </c>
    </row>
    <row r="233" spans="1:3">
      <c r="A233" s="423" t="s">
        <v>37</v>
      </c>
      <c r="B233" s="423" t="s">
        <v>503</v>
      </c>
      <c r="C233" s="423" t="s">
        <v>748</v>
      </c>
    </row>
    <row r="234" spans="1:3">
      <c r="A234" s="423" t="s">
        <v>35</v>
      </c>
      <c r="B234" s="423" t="s">
        <v>1680</v>
      </c>
      <c r="C234" s="423" t="s">
        <v>735</v>
      </c>
    </row>
    <row r="235" spans="1:3">
      <c r="A235" s="423" t="s">
        <v>41</v>
      </c>
      <c r="B235" s="423" t="s">
        <v>476</v>
      </c>
      <c r="C235" s="423" t="s">
        <v>735</v>
      </c>
    </row>
    <row r="236" spans="1:3">
      <c r="A236" s="423" t="s">
        <v>37</v>
      </c>
      <c r="B236" s="423" t="s">
        <v>1281</v>
      </c>
      <c r="C236" s="423" t="s">
        <v>746</v>
      </c>
    </row>
    <row r="237" spans="1:3">
      <c r="A237" s="423" t="s">
        <v>35</v>
      </c>
      <c r="B237" s="423" t="s">
        <v>352</v>
      </c>
      <c r="C237" s="423" t="s">
        <v>1477</v>
      </c>
    </row>
    <row r="238" spans="1:3">
      <c r="A238" s="423" t="s">
        <v>39</v>
      </c>
      <c r="B238" s="423" t="s">
        <v>1756</v>
      </c>
      <c r="C238" s="423" t="s">
        <v>750</v>
      </c>
    </row>
    <row r="239" spans="1:3">
      <c r="A239" s="423" t="s">
        <v>37</v>
      </c>
      <c r="B239" s="423" t="s">
        <v>505</v>
      </c>
      <c r="C239" s="423" t="s">
        <v>736</v>
      </c>
    </row>
    <row r="240" spans="1:3">
      <c r="A240" s="423" t="s">
        <v>37</v>
      </c>
      <c r="B240" s="423" t="s">
        <v>1710</v>
      </c>
      <c r="C240" s="423" t="s">
        <v>735</v>
      </c>
    </row>
    <row r="241" spans="1:3">
      <c r="A241" s="423" t="s">
        <v>39</v>
      </c>
      <c r="B241" s="423" t="s">
        <v>479</v>
      </c>
      <c r="C241" s="423" t="s">
        <v>1477</v>
      </c>
    </row>
    <row r="242" spans="1:3" ht="25.5" customHeight="1">
      <c r="A242" s="423" t="s">
        <v>37</v>
      </c>
      <c r="B242" s="423" t="s">
        <v>1716</v>
      </c>
      <c r="C242" s="423" t="s">
        <v>1476</v>
      </c>
    </row>
    <row r="243" spans="1:3">
      <c r="A243" s="423" t="s">
        <v>35</v>
      </c>
      <c r="B243" s="423" t="s">
        <v>1686</v>
      </c>
      <c r="C243" s="423" t="s">
        <v>737</v>
      </c>
    </row>
    <row r="244" spans="1:3">
      <c r="A244" s="423" t="s">
        <v>39</v>
      </c>
      <c r="B244" s="423" t="s">
        <v>1279</v>
      </c>
      <c r="C244" s="423" t="s">
        <v>747</v>
      </c>
    </row>
    <row r="245" spans="1:3" ht="25.5" customHeight="1">
      <c r="A245" s="423" t="s">
        <v>37</v>
      </c>
      <c r="B245" s="423" t="s">
        <v>1711</v>
      </c>
      <c r="C245" s="423" t="s">
        <v>1476</v>
      </c>
    </row>
    <row r="246" spans="1:3">
      <c r="A246" s="423" t="s">
        <v>39</v>
      </c>
      <c r="B246" s="423" t="s">
        <v>1746</v>
      </c>
      <c r="C246" s="423" t="s">
        <v>735</v>
      </c>
    </row>
    <row r="247" spans="1:3">
      <c r="A247" s="423" t="s">
        <v>41</v>
      </c>
      <c r="B247" s="423" t="s">
        <v>926</v>
      </c>
      <c r="C247" s="423" t="s">
        <v>744</v>
      </c>
    </row>
    <row r="248" spans="1:3">
      <c r="A248" s="423" t="s">
        <v>39</v>
      </c>
      <c r="B248" s="423" t="s">
        <v>482</v>
      </c>
      <c r="C248" s="423" t="s">
        <v>751</v>
      </c>
    </row>
    <row r="249" spans="1:3">
      <c r="A249" s="423" t="s">
        <v>39</v>
      </c>
      <c r="B249" s="423" t="s">
        <v>483</v>
      </c>
      <c r="C249" s="423" t="s">
        <v>749</v>
      </c>
    </row>
    <row r="250" spans="1:3">
      <c r="A250" s="423" t="s">
        <v>35</v>
      </c>
      <c r="B250" s="423" t="s">
        <v>356</v>
      </c>
      <c r="C250" s="423" t="s">
        <v>741</v>
      </c>
    </row>
    <row r="251" spans="1:3">
      <c r="A251" s="423" t="s">
        <v>37</v>
      </c>
      <c r="B251" s="423" t="s">
        <v>1697</v>
      </c>
      <c r="C251" s="423" t="s">
        <v>735</v>
      </c>
    </row>
    <row r="252" spans="1:3">
      <c r="A252" s="423" t="s">
        <v>37</v>
      </c>
      <c r="B252" s="423" t="s">
        <v>1343</v>
      </c>
      <c r="C252" s="423" t="s">
        <v>736</v>
      </c>
    </row>
    <row r="253" spans="1:3">
      <c r="A253" s="423" t="s">
        <v>39</v>
      </c>
      <c r="B253" s="423" t="s">
        <v>487</v>
      </c>
      <c r="C253" s="423" t="s">
        <v>740</v>
      </c>
    </row>
    <row r="254" spans="1:3">
      <c r="A254" s="423" t="s">
        <v>37</v>
      </c>
      <c r="B254" s="423" t="s">
        <v>510</v>
      </c>
      <c r="C254" s="423" t="s">
        <v>1478</v>
      </c>
    </row>
    <row r="255" spans="1:3">
      <c r="A255" s="423" t="s">
        <v>43</v>
      </c>
      <c r="B255" s="423" t="s">
        <v>393</v>
      </c>
      <c r="C255" s="423" t="s">
        <v>745</v>
      </c>
    </row>
    <row r="256" spans="1:3">
      <c r="A256" s="423" t="s">
        <v>39</v>
      </c>
      <c r="B256" s="423" t="s">
        <v>488</v>
      </c>
      <c r="C256" s="423" t="s">
        <v>743</v>
      </c>
    </row>
    <row r="257" spans="1:3">
      <c r="A257" s="423" t="s">
        <v>37</v>
      </c>
      <c r="B257" s="423" t="s">
        <v>512</v>
      </c>
      <c r="C257" s="423" t="s">
        <v>737</v>
      </c>
    </row>
    <row r="258" spans="1:3">
      <c r="A258" s="423" t="s">
        <v>37</v>
      </c>
      <c r="B258" s="423" t="s">
        <v>1823</v>
      </c>
      <c r="C258" s="423" t="s">
        <v>744</v>
      </c>
    </row>
    <row r="259" spans="1:3">
      <c r="A259" s="423" t="s">
        <v>37</v>
      </c>
      <c r="B259" s="423" t="s">
        <v>515</v>
      </c>
      <c r="C259" s="423" t="s">
        <v>749</v>
      </c>
    </row>
    <row r="260" spans="1:3">
      <c r="A260" s="423" t="s">
        <v>41</v>
      </c>
      <c r="B260" s="423" t="s">
        <v>493</v>
      </c>
      <c r="C260" s="423" t="s">
        <v>747</v>
      </c>
    </row>
    <row r="261" spans="1:3">
      <c r="A261" s="423" t="s">
        <v>43</v>
      </c>
      <c r="B261" s="423" t="s">
        <v>396</v>
      </c>
      <c r="C261" s="423" t="s">
        <v>741</v>
      </c>
    </row>
    <row r="262" spans="1:3">
      <c r="A262" s="423" t="s">
        <v>43</v>
      </c>
      <c r="B262" s="423" t="s">
        <v>1341</v>
      </c>
      <c r="C262" s="423" t="s">
        <v>748</v>
      </c>
    </row>
    <row r="263" spans="1:3">
      <c r="A263" s="423" t="s">
        <v>41</v>
      </c>
      <c r="B263" s="423" t="s">
        <v>398</v>
      </c>
      <c r="C263" s="423" t="s">
        <v>735</v>
      </c>
    </row>
    <row r="264" spans="1:3">
      <c r="A264" s="423" t="s">
        <v>37</v>
      </c>
      <c r="B264" s="423" t="s">
        <v>1824</v>
      </c>
      <c r="C264" s="423" t="s">
        <v>744</v>
      </c>
    </row>
    <row r="265" spans="1:3">
      <c r="A265" s="423" t="s">
        <v>43</v>
      </c>
      <c r="B265" s="423" t="s">
        <v>401</v>
      </c>
      <c r="C265" s="423" t="s">
        <v>737</v>
      </c>
    </row>
    <row r="266" spans="1:3">
      <c r="A266" s="423" t="s">
        <v>39</v>
      </c>
      <c r="B266" s="423" t="s">
        <v>1742</v>
      </c>
      <c r="C266" s="423" t="s">
        <v>751</v>
      </c>
    </row>
    <row r="267" spans="1:3">
      <c r="A267" s="423" t="s">
        <v>43</v>
      </c>
      <c r="B267" s="423" t="s">
        <v>405</v>
      </c>
      <c r="C267" s="423" t="s">
        <v>740</v>
      </c>
    </row>
    <row r="268" spans="1:3">
      <c r="A268" s="423" t="s">
        <v>41</v>
      </c>
      <c r="B268" s="423" t="s">
        <v>408</v>
      </c>
      <c r="C268" s="423" t="s">
        <v>749</v>
      </c>
    </row>
    <row r="269" spans="1:3">
      <c r="A269" s="423" t="s">
        <v>39</v>
      </c>
      <c r="B269" s="423" t="s">
        <v>497</v>
      </c>
      <c r="C269" s="423" t="s">
        <v>738</v>
      </c>
    </row>
    <row r="270" spans="1:3">
      <c r="A270" s="423" t="s">
        <v>41</v>
      </c>
      <c r="B270" s="423" t="s">
        <v>411</v>
      </c>
      <c r="C270" s="423" t="s">
        <v>750</v>
      </c>
    </row>
    <row r="271" spans="1:3">
      <c r="A271" s="423" t="s">
        <v>39</v>
      </c>
      <c r="B271" s="423" t="s">
        <v>501</v>
      </c>
      <c r="C271" s="423" t="s">
        <v>739</v>
      </c>
    </row>
    <row r="272" spans="1:3">
      <c r="A272" s="423" t="s">
        <v>37</v>
      </c>
      <c r="B272" s="423" t="s">
        <v>517</v>
      </c>
      <c r="C272" s="423" t="s">
        <v>743</v>
      </c>
    </row>
    <row r="273" spans="1:3" ht="25.5" customHeight="1">
      <c r="A273" s="423" t="s">
        <v>39</v>
      </c>
      <c r="B273" s="423" t="s">
        <v>1839</v>
      </c>
      <c r="C273" s="423" t="s">
        <v>1476</v>
      </c>
    </row>
    <row r="274" spans="1:3">
      <c r="A274" s="423" t="s">
        <v>39</v>
      </c>
      <c r="B274" s="423" t="s">
        <v>504</v>
      </c>
      <c r="C274" s="423" t="s">
        <v>751</v>
      </c>
    </row>
    <row r="275" spans="1:3">
      <c r="A275" s="423" t="s">
        <v>37</v>
      </c>
      <c r="B275" s="423" t="s">
        <v>1727</v>
      </c>
      <c r="C275" s="423" t="s">
        <v>740</v>
      </c>
    </row>
    <row r="276" spans="1:3">
      <c r="A276" s="423" t="s">
        <v>37</v>
      </c>
      <c r="B276" s="423" t="s">
        <v>521</v>
      </c>
      <c r="C276" s="423" t="s">
        <v>750</v>
      </c>
    </row>
    <row r="277" spans="1:3">
      <c r="A277" s="423" t="s">
        <v>41</v>
      </c>
      <c r="B277" s="423" t="s">
        <v>1329</v>
      </c>
      <c r="C277" s="423" t="s">
        <v>741</v>
      </c>
    </row>
    <row r="278" spans="1:3">
      <c r="A278" s="423" t="s">
        <v>41</v>
      </c>
      <c r="B278" s="423" t="s">
        <v>506</v>
      </c>
      <c r="C278" s="423" t="s">
        <v>738</v>
      </c>
    </row>
    <row r="279" spans="1:3">
      <c r="A279" s="423" t="s">
        <v>39</v>
      </c>
      <c r="B279" s="423" t="s">
        <v>508</v>
      </c>
      <c r="C279" s="423" t="s">
        <v>749</v>
      </c>
    </row>
    <row r="280" spans="1:3">
      <c r="A280" s="423" t="s">
        <v>41</v>
      </c>
      <c r="B280" s="423" t="s">
        <v>415</v>
      </c>
      <c r="C280" s="423" t="s">
        <v>741</v>
      </c>
    </row>
    <row r="281" spans="1:3">
      <c r="A281" s="423" t="s">
        <v>43</v>
      </c>
      <c r="B281" s="423" t="s">
        <v>418</v>
      </c>
      <c r="C281" s="423" t="s">
        <v>744</v>
      </c>
    </row>
    <row r="282" spans="1:3">
      <c r="A282" s="423" t="s">
        <v>35</v>
      </c>
      <c r="B282" s="423" t="s">
        <v>363</v>
      </c>
      <c r="C282" s="423" t="s">
        <v>751</v>
      </c>
    </row>
    <row r="283" spans="1:3">
      <c r="A283" s="423" t="s">
        <v>37</v>
      </c>
      <c r="B283" s="423" t="s">
        <v>1700</v>
      </c>
      <c r="C283" s="423" t="s">
        <v>750</v>
      </c>
    </row>
    <row r="284" spans="1:3">
      <c r="A284" s="423" t="s">
        <v>43</v>
      </c>
      <c r="B284" s="423" t="s">
        <v>1791</v>
      </c>
      <c r="C284" s="423" t="s">
        <v>745</v>
      </c>
    </row>
    <row r="285" spans="1:3">
      <c r="A285" s="423" t="s">
        <v>41</v>
      </c>
      <c r="B285" s="423" t="s">
        <v>1293</v>
      </c>
      <c r="C285" s="423" t="s">
        <v>737</v>
      </c>
    </row>
    <row r="286" spans="1:3">
      <c r="A286" s="423" t="s">
        <v>39</v>
      </c>
      <c r="B286" s="423" t="s">
        <v>1303</v>
      </c>
      <c r="C286" s="423" t="s">
        <v>746</v>
      </c>
    </row>
    <row r="287" spans="1:3">
      <c r="A287" s="423" t="s">
        <v>39</v>
      </c>
      <c r="B287" s="423" t="s">
        <v>513</v>
      </c>
      <c r="C287" s="423" t="s">
        <v>745</v>
      </c>
    </row>
    <row r="288" spans="1:3">
      <c r="A288" s="423" t="s">
        <v>41</v>
      </c>
      <c r="B288" s="423" t="s">
        <v>422</v>
      </c>
      <c r="C288" s="423" t="s">
        <v>737</v>
      </c>
    </row>
    <row r="289" spans="1:3">
      <c r="A289" s="423" t="s">
        <v>39</v>
      </c>
      <c r="B289" s="423" t="s">
        <v>1840</v>
      </c>
      <c r="C289" s="423" t="s">
        <v>740</v>
      </c>
    </row>
    <row r="290" spans="1:3">
      <c r="A290" s="423" t="s">
        <v>37</v>
      </c>
      <c r="B290" s="423" t="s">
        <v>1692</v>
      </c>
      <c r="C290" s="423" t="s">
        <v>750</v>
      </c>
    </row>
    <row r="291" spans="1:3">
      <c r="A291" s="423" t="s">
        <v>37</v>
      </c>
      <c r="B291" s="423" t="s">
        <v>1831</v>
      </c>
      <c r="C291" s="423" t="s">
        <v>1477</v>
      </c>
    </row>
    <row r="292" spans="1:3">
      <c r="A292" s="423" t="s">
        <v>39</v>
      </c>
      <c r="B292" s="423" t="s">
        <v>516</v>
      </c>
      <c r="C292" s="423" t="s">
        <v>741</v>
      </c>
    </row>
    <row r="293" spans="1:3">
      <c r="A293" s="423" t="s">
        <v>39</v>
      </c>
      <c r="B293" s="423" t="s">
        <v>518</v>
      </c>
      <c r="C293" s="423" t="s">
        <v>751</v>
      </c>
    </row>
    <row r="294" spans="1:3">
      <c r="A294" s="423" t="s">
        <v>41</v>
      </c>
      <c r="B294" s="423" t="s">
        <v>1804</v>
      </c>
      <c r="C294" s="423" t="s">
        <v>739</v>
      </c>
    </row>
    <row r="295" spans="1:3">
      <c r="A295" s="423" t="s">
        <v>37</v>
      </c>
      <c r="B295" s="423" t="s">
        <v>523</v>
      </c>
      <c r="C295" s="423" t="s">
        <v>749</v>
      </c>
    </row>
    <row r="296" spans="1:3">
      <c r="A296" s="423" t="s">
        <v>43</v>
      </c>
      <c r="B296" s="423" t="s">
        <v>1794</v>
      </c>
      <c r="C296" s="423" t="s">
        <v>742</v>
      </c>
    </row>
    <row r="297" spans="1:3">
      <c r="A297" s="423" t="s">
        <v>37</v>
      </c>
      <c r="B297" s="423" t="s">
        <v>524</v>
      </c>
      <c r="C297" s="423" t="s">
        <v>736</v>
      </c>
    </row>
    <row r="298" spans="1:3">
      <c r="A298" s="423" t="s">
        <v>39</v>
      </c>
      <c r="B298" s="423" t="s">
        <v>1767</v>
      </c>
      <c r="C298" s="423" t="s">
        <v>739</v>
      </c>
    </row>
    <row r="299" spans="1:3">
      <c r="A299" s="423" t="s">
        <v>35</v>
      </c>
      <c r="B299" s="423" t="s">
        <v>1813</v>
      </c>
      <c r="C299" s="423" t="s">
        <v>742</v>
      </c>
    </row>
    <row r="300" spans="1:3">
      <c r="A300" s="423" t="s">
        <v>41</v>
      </c>
      <c r="B300" s="423" t="s">
        <v>519</v>
      </c>
      <c r="C300" s="423" t="s">
        <v>736</v>
      </c>
    </row>
    <row r="301" spans="1:3">
      <c r="A301" s="423" t="s">
        <v>41</v>
      </c>
      <c r="B301" s="423" t="s">
        <v>525</v>
      </c>
      <c r="C301" s="423" t="s">
        <v>735</v>
      </c>
    </row>
    <row r="302" spans="1:3">
      <c r="A302" s="423" t="s">
        <v>35</v>
      </c>
      <c r="B302" s="423" t="s">
        <v>366</v>
      </c>
      <c r="C302" s="423" t="s">
        <v>743</v>
      </c>
    </row>
    <row r="303" spans="1:3">
      <c r="A303" s="423" t="s">
        <v>39</v>
      </c>
      <c r="B303" s="423" t="s">
        <v>1775</v>
      </c>
      <c r="C303" s="423" t="s">
        <v>1478</v>
      </c>
    </row>
    <row r="304" spans="1:3">
      <c r="A304" s="423" t="s">
        <v>43</v>
      </c>
      <c r="B304" s="423" t="s">
        <v>425</v>
      </c>
      <c r="C304" s="423" t="s">
        <v>743</v>
      </c>
    </row>
    <row r="305" spans="1:3">
      <c r="A305" s="423" t="s">
        <v>43</v>
      </c>
      <c r="B305" s="423" t="s">
        <v>1779</v>
      </c>
      <c r="C305" s="423" t="s">
        <v>751</v>
      </c>
    </row>
    <row r="306" spans="1:3">
      <c r="A306" s="423" t="s">
        <v>39</v>
      </c>
      <c r="B306" s="423" t="s">
        <v>526</v>
      </c>
      <c r="C306" s="423" t="s">
        <v>743</v>
      </c>
    </row>
    <row r="307" spans="1:3">
      <c r="A307" s="423" t="s">
        <v>39</v>
      </c>
      <c r="B307" s="423" t="s">
        <v>527</v>
      </c>
      <c r="C307" s="423" t="s">
        <v>743</v>
      </c>
    </row>
    <row r="308" spans="1:3">
      <c r="A308" s="423" t="s">
        <v>39</v>
      </c>
      <c r="B308" s="423" t="s">
        <v>1857</v>
      </c>
      <c r="C308" s="423" t="s">
        <v>1477</v>
      </c>
    </row>
    <row r="309" spans="1:3">
      <c r="A309" s="423" t="s">
        <v>41</v>
      </c>
      <c r="B309" s="423" t="s">
        <v>1811</v>
      </c>
      <c r="C309" s="423" t="s">
        <v>749</v>
      </c>
    </row>
    <row r="310" spans="1:3">
      <c r="A310" s="423" t="s">
        <v>39</v>
      </c>
      <c r="B310" s="423" t="s">
        <v>1740</v>
      </c>
      <c r="C310" s="423" t="s">
        <v>737</v>
      </c>
    </row>
    <row r="311" spans="1:3">
      <c r="A311" s="423" t="s">
        <v>41</v>
      </c>
      <c r="B311" s="423" t="s">
        <v>1808</v>
      </c>
      <c r="C311" s="423" t="s">
        <v>740</v>
      </c>
    </row>
    <row r="312" spans="1:3" ht="25.5" customHeight="1">
      <c r="A312" s="423" t="s">
        <v>37</v>
      </c>
      <c r="B312" s="423" t="s">
        <v>1694</v>
      </c>
      <c r="C312" s="423" t="s">
        <v>1476</v>
      </c>
    </row>
    <row r="313" spans="1:3">
      <c r="A313" s="423" t="s">
        <v>37</v>
      </c>
      <c r="B313" s="423" t="s">
        <v>528</v>
      </c>
      <c r="C313" s="423" t="s">
        <v>748</v>
      </c>
    </row>
    <row r="314" spans="1:3">
      <c r="A314" s="423" t="s">
        <v>37</v>
      </c>
      <c r="B314" s="423" t="s">
        <v>1825</v>
      </c>
      <c r="C314" s="423" t="s">
        <v>742</v>
      </c>
    </row>
    <row r="315" spans="1:3">
      <c r="A315" s="423" t="s">
        <v>37</v>
      </c>
      <c r="B315" s="423" t="s">
        <v>529</v>
      </c>
      <c r="C315" s="423" t="s">
        <v>745</v>
      </c>
    </row>
    <row r="316" spans="1:3">
      <c r="A316" s="423" t="s">
        <v>39</v>
      </c>
      <c r="B316" s="423" t="s">
        <v>530</v>
      </c>
      <c r="C316" s="423" t="s">
        <v>742</v>
      </c>
    </row>
    <row r="317" spans="1:3">
      <c r="A317" s="423" t="s">
        <v>37</v>
      </c>
      <c r="B317" s="423" t="s">
        <v>531</v>
      </c>
      <c r="C317" s="423" t="s">
        <v>748</v>
      </c>
    </row>
    <row r="318" spans="1:3">
      <c r="A318" s="423" t="s">
        <v>41</v>
      </c>
      <c r="B318" s="423" t="s">
        <v>532</v>
      </c>
      <c r="C318" s="423" t="s">
        <v>747</v>
      </c>
    </row>
    <row r="319" spans="1:3">
      <c r="A319" s="423" t="s">
        <v>35</v>
      </c>
      <c r="B319" s="423" t="s">
        <v>370</v>
      </c>
      <c r="C319" s="423" t="s">
        <v>750</v>
      </c>
    </row>
    <row r="320" spans="1:3">
      <c r="A320" s="423" t="s">
        <v>39</v>
      </c>
      <c r="B320" s="423" t="s">
        <v>1307</v>
      </c>
      <c r="C320" s="423" t="s">
        <v>746</v>
      </c>
    </row>
    <row r="321" spans="1:3">
      <c r="A321" s="423" t="s">
        <v>41</v>
      </c>
      <c r="B321" s="423" t="s">
        <v>1287</v>
      </c>
      <c r="C321" s="423" t="s">
        <v>737</v>
      </c>
    </row>
    <row r="322" spans="1:3" ht="25.5" customHeight="1">
      <c r="A322" s="423" t="s">
        <v>37</v>
      </c>
      <c r="B322" s="423" t="s">
        <v>1864</v>
      </c>
      <c r="C322" s="423" t="s">
        <v>1476</v>
      </c>
    </row>
    <row r="323" spans="1:3" ht="25.5" customHeight="1">
      <c r="A323" s="423" t="s">
        <v>37</v>
      </c>
      <c r="B323" s="423" t="s">
        <v>1696</v>
      </c>
      <c r="C323" s="423" t="s">
        <v>1476</v>
      </c>
    </row>
    <row r="324" spans="1:3">
      <c r="A324" s="423" t="s">
        <v>37</v>
      </c>
      <c r="B324" s="423" t="s">
        <v>1849</v>
      </c>
      <c r="C324" s="423" t="s">
        <v>737</v>
      </c>
    </row>
    <row r="325" spans="1:3">
      <c r="A325" s="423" t="s">
        <v>37</v>
      </c>
      <c r="B325" s="423" t="s">
        <v>533</v>
      </c>
      <c r="C325" s="423" t="s">
        <v>737</v>
      </c>
    </row>
    <row r="326" spans="1:3">
      <c r="A326" s="423" t="s">
        <v>39</v>
      </c>
      <c r="B326" s="423" t="s">
        <v>536</v>
      </c>
      <c r="C326" s="423" t="s">
        <v>747</v>
      </c>
    </row>
    <row r="327" spans="1:3">
      <c r="A327" s="423" t="s">
        <v>39</v>
      </c>
      <c r="B327" s="423" t="s">
        <v>538</v>
      </c>
      <c r="C327" s="423" t="s">
        <v>737</v>
      </c>
    </row>
    <row r="328" spans="1:3">
      <c r="A328" s="423" t="s">
        <v>41</v>
      </c>
      <c r="B328" s="423" t="s">
        <v>1800</v>
      </c>
      <c r="C328" s="423" t="s">
        <v>1478</v>
      </c>
    </row>
    <row r="329" spans="1:3">
      <c r="A329" s="423" t="s">
        <v>37</v>
      </c>
      <c r="B329" s="423" t="s">
        <v>1709</v>
      </c>
      <c r="C329" s="423" t="s">
        <v>747</v>
      </c>
    </row>
    <row r="330" spans="1:3">
      <c r="A330" s="423" t="s">
        <v>37</v>
      </c>
      <c r="B330" s="423" t="s">
        <v>534</v>
      </c>
      <c r="C330" s="423" t="s">
        <v>749</v>
      </c>
    </row>
    <row r="331" spans="1:3">
      <c r="A331" s="423" t="s">
        <v>39</v>
      </c>
      <c r="B331" s="423" t="s">
        <v>540</v>
      </c>
      <c r="C331" s="423" t="s">
        <v>748</v>
      </c>
    </row>
    <row r="332" spans="1:3">
      <c r="A332" s="423" t="s">
        <v>37</v>
      </c>
      <c r="B332" s="423" t="s">
        <v>535</v>
      </c>
      <c r="C332" s="423" t="s">
        <v>736</v>
      </c>
    </row>
    <row r="333" spans="1:3">
      <c r="A333" s="423" t="s">
        <v>37</v>
      </c>
      <c r="B333" s="423" t="s">
        <v>537</v>
      </c>
      <c r="C333" s="423" t="s">
        <v>749</v>
      </c>
    </row>
    <row r="334" spans="1:3">
      <c r="A334" s="423" t="s">
        <v>41</v>
      </c>
      <c r="B334" s="423" t="s">
        <v>1851</v>
      </c>
      <c r="C334" s="423" t="s">
        <v>751</v>
      </c>
    </row>
    <row r="335" spans="1:3">
      <c r="A335" s="423" t="s">
        <v>37</v>
      </c>
      <c r="B335" s="423" t="s">
        <v>1713</v>
      </c>
      <c r="C335" s="423" t="s">
        <v>735</v>
      </c>
    </row>
    <row r="336" spans="1:3">
      <c r="A336" s="423" t="s">
        <v>39</v>
      </c>
      <c r="B336" s="423" t="s">
        <v>541</v>
      </c>
      <c r="C336" s="423" t="s">
        <v>739</v>
      </c>
    </row>
    <row r="337" spans="1:3">
      <c r="A337" s="423" t="s">
        <v>43</v>
      </c>
      <c r="B337" s="423" t="s">
        <v>433</v>
      </c>
      <c r="C337" s="423" t="s">
        <v>745</v>
      </c>
    </row>
    <row r="338" spans="1:3">
      <c r="A338" s="423" t="s">
        <v>37</v>
      </c>
      <c r="B338" s="423" t="s">
        <v>539</v>
      </c>
      <c r="C338" s="423" t="s">
        <v>750</v>
      </c>
    </row>
    <row r="339" spans="1:3">
      <c r="A339" s="423" t="s">
        <v>35</v>
      </c>
      <c r="B339" s="423" t="s">
        <v>1814</v>
      </c>
      <c r="C339" s="423" t="s">
        <v>1477</v>
      </c>
    </row>
    <row r="340" spans="1:3">
      <c r="A340" s="423" t="s">
        <v>39</v>
      </c>
      <c r="B340" s="423" t="s">
        <v>543</v>
      </c>
      <c r="C340" s="423" t="s">
        <v>745</v>
      </c>
    </row>
    <row r="341" spans="1:3">
      <c r="A341" s="423" t="s">
        <v>37</v>
      </c>
      <c r="B341" s="423" t="s">
        <v>924</v>
      </c>
      <c r="C341" s="423" t="s">
        <v>748</v>
      </c>
    </row>
    <row r="342" spans="1:3">
      <c r="A342" s="423" t="s">
        <v>39</v>
      </c>
      <c r="B342" s="423" t="s">
        <v>545</v>
      </c>
      <c r="C342" s="423" t="s">
        <v>745</v>
      </c>
    </row>
    <row r="343" spans="1:3">
      <c r="A343" s="423" t="s">
        <v>35</v>
      </c>
      <c r="B343" s="423" t="s">
        <v>375</v>
      </c>
      <c r="C343" s="423" t="s">
        <v>748</v>
      </c>
    </row>
    <row r="344" spans="1:3">
      <c r="A344" s="423" t="s">
        <v>37</v>
      </c>
      <c r="B344" s="423" t="s">
        <v>544</v>
      </c>
      <c r="C344" s="423" t="s">
        <v>739</v>
      </c>
    </row>
    <row r="345" spans="1:3">
      <c r="A345" s="423" t="s">
        <v>37</v>
      </c>
      <c r="B345" s="423" t="s">
        <v>1704</v>
      </c>
      <c r="C345" s="423" t="s">
        <v>737</v>
      </c>
    </row>
    <row r="346" spans="1:3">
      <c r="A346" s="423" t="s">
        <v>37</v>
      </c>
      <c r="B346" s="423" t="s">
        <v>1302</v>
      </c>
      <c r="C346" s="423" t="s">
        <v>735</v>
      </c>
    </row>
    <row r="347" spans="1:3">
      <c r="A347" s="423" t="s">
        <v>37</v>
      </c>
      <c r="B347" s="423" t="s">
        <v>546</v>
      </c>
      <c r="C347" s="423" t="s">
        <v>736</v>
      </c>
    </row>
    <row r="348" spans="1:3">
      <c r="A348" s="423" t="s">
        <v>41</v>
      </c>
      <c r="B348" s="423" t="s">
        <v>438</v>
      </c>
      <c r="C348" s="423" t="s">
        <v>751</v>
      </c>
    </row>
    <row r="349" spans="1:3">
      <c r="A349" s="423" t="s">
        <v>43</v>
      </c>
      <c r="B349" s="423" t="s">
        <v>441</v>
      </c>
      <c r="C349" s="423" t="s">
        <v>748</v>
      </c>
    </row>
    <row r="350" spans="1:3">
      <c r="A350" s="423" t="s">
        <v>37</v>
      </c>
      <c r="B350" s="423" t="s">
        <v>547</v>
      </c>
      <c r="C350" s="423" t="s">
        <v>1477</v>
      </c>
    </row>
    <row r="351" spans="1:3">
      <c r="A351" s="423" t="s">
        <v>39</v>
      </c>
      <c r="B351" s="423" t="s">
        <v>1768</v>
      </c>
      <c r="C351" s="423" t="s">
        <v>746</v>
      </c>
    </row>
    <row r="352" spans="1:3">
      <c r="A352" s="423" t="s">
        <v>39</v>
      </c>
      <c r="B352" s="423" t="s">
        <v>548</v>
      </c>
      <c r="C352" s="423" t="s">
        <v>748</v>
      </c>
    </row>
    <row r="353" spans="1:3">
      <c r="A353" s="423" t="s">
        <v>37</v>
      </c>
      <c r="B353" s="423" t="s">
        <v>550</v>
      </c>
      <c r="C353" s="423" t="s">
        <v>736</v>
      </c>
    </row>
    <row r="354" spans="1:3">
      <c r="A354" s="423" t="s">
        <v>39</v>
      </c>
      <c r="B354" s="423" t="s">
        <v>1931</v>
      </c>
      <c r="C354" s="423" t="s">
        <v>740</v>
      </c>
    </row>
    <row r="355" spans="1:3">
      <c r="A355" s="423" t="s">
        <v>37</v>
      </c>
      <c r="B355" s="423" t="s">
        <v>549</v>
      </c>
      <c r="C355" s="423" t="s">
        <v>741</v>
      </c>
    </row>
    <row r="356" spans="1:3">
      <c r="A356" s="423" t="s">
        <v>43</v>
      </c>
      <c r="B356" s="423" t="s">
        <v>450</v>
      </c>
      <c r="C356" s="423" t="s">
        <v>740</v>
      </c>
    </row>
    <row r="357" spans="1:3" ht="25.5" customHeight="1">
      <c r="A357" s="423" t="s">
        <v>39</v>
      </c>
      <c r="B357" s="423" t="s">
        <v>1761</v>
      </c>
      <c r="C357" s="423" t="s">
        <v>1476</v>
      </c>
    </row>
    <row r="358" spans="1:3">
      <c r="A358" s="423" t="s">
        <v>43</v>
      </c>
      <c r="B358" s="423" t="s">
        <v>452</v>
      </c>
      <c r="C358" s="423" t="s">
        <v>738</v>
      </c>
    </row>
    <row r="359" spans="1:3">
      <c r="A359" s="423" t="s">
        <v>39</v>
      </c>
      <c r="B359" s="423" t="s">
        <v>1759</v>
      </c>
      <c r="C359" s="423" t="s">
        <v>735</v>
      </c>
    </row>
    <row r="360" spans="1:3">
      <c r="A360" s="423" t="s">
        <v>35</v>
      </c>
      <c r="B360" s="423" t="s">
        <v>1675</v>
      </c>
      <c r="C360" s="423" t="s">
        <v>1477</v>
      </c>
    </row>
    <row r="361" spans="1:3">
      <c r="A361" s="423" t="s">
        <v>41</v>
      </c>
      <c r="B361" s="423" t="s">
        <v>552</v>
      </c>
      <c r="C361" s="423" t="s">
        <v>749</v>
      </c>
    </row>
    <row r="362" spans="1:3">
      <c r="A362" s="423" t="s">
        <v>37</v>
      </c>
      <c r="B362" s="423" t="s">
        <v>1288</v>
      </c>
      <c r="C362" s="423" t="s">
        <v>738</v>
      </c>
    </row>
    <row r="363" spans="1:3">
      <c r="A363" s="423" t="s">
        <v>37</v>
      </c>
      <c r="B363" s="423" t="s">
        <v>1698</v>
      </c>
      <c r="C363" s="423" t="s">
        <v>744</v>
      </c>
    </row>
    <row r="364" spans="1:3">
      <c r="A364" s="423" t="s">
        <v>43</v>
      </c>
      <c r="B364" s="423" t="s">
        <v>454</v>
      </c>
      <c r="C364" s="423" t="s">
        <v>749</v>
      </c>
    </row>
    <row r="365" spans="1:3">
      <c r="A365" s="423" t="s">
        <v>39</v>
      </c>
      <c r="B365" s="423" t="s">
        <v>555</v>
      </c>
      <c r="C365" s="423" t="s">
        <v>737</v>
      </c>
    </row>
    <row r="366" spans="1:3" ht="25.5">
      <c r="A366" s="423" t="s">
        <v>35</v>
      </c>
      <c r="B366" s="423" t="s">
        <v>1868</v>
      </c>
      <c r="C366" s="423" t="s">
        <v>747</v>
      </c>
    </row>
    <row r="367" spans="1:3">
      <c r="A367" s="423" t="s">
        <v>37</v>
      </c>
      <c r="B367" s="423" t="s">
        <v>551</v>
      </c>
      <c r="C367" s="423" t="s">
        <v>741</v>
      </c>
    </row>
    <row r="368" spans="1:3">
      <c r="A368" s="423" t="s">
        <v>35</v>
      </c>
      <c r="B368" s="423" t="s">
        <v>379</v>
      </c>
      <c r="C368" s="423" t="s">
        <v>736</v>
      </c>
    </row>
    <row r="369" spans="1:3">
      <c r="A369" s="423" t="s">
        <v>39</v>
      </c>
      <c r="B369" s="423" t="s">
        <v>556</v>
      </c>
      <c r="C369" s="423" t="s">
        <v>748</v>
      </c>
    </row>
    <row r="370" spans="1:3">
      <c r="A370" s="423" t="s">
        <v>37</v>
      </c>
      <c r="B370" s="423" t="s">
        <v>553</v>
      </c>
      <c r="C370" s="423" t="s">
        <v>747</v>
      </c>
    </row>
    <row r="371" spans="1:3">
      <c r="A371" s="423" t="s">
        <v>39</v>
      </c>
      <c r="B371" s="423" t="s">
        <v>559</v>
      </c>
      <c r="C371" s="423" t="s">
        <v>746</v>
      </c>
    </row>
    <row r="372" spans="1:3">
      <c r="A372" s="423" t="s">
        <v>39</v>
      </c>
      <c r="B372" s="423" t="s">
        <v>1741</v>
      </c>
      <c r="C372" s="423" t="s">
        <v>1477</v>
      </c>
    </row>
    <row r="373" spans="1:3">
      <c r="A373" s="423" t="s">
        <v>37</v>
      </c>
      <c r="B373" s="423" t="s">
        <v>1862</v>
      </c>
      <c r="C373" s="423" t="s">
        <v>750</v>
      </c>
    </row>
    <row r="374" spans="1:3">
      <c r="A374" s="423" t="s">
        <v>37</v>
      </c>
      <c r="B374" s="423" t="s">
        <v>554</v>
      </c>
      <c r="C374" s="423" t="s">
        <v>747</v>
      </c>
    </row>
    <row r="375" spans="1:3">
      <c r="A375" s="423" t="s">
        <v>41</v>
      </c>
      <c r="B375" s="423" t="s">
        <v>1750</v>
      </c>
      <c r="C375" s="423" t="s">
        <v>743</v>
      </c>
    </row>
    <row r="376" spans="1:3">
      <c r="A376" s="423" t="s">
        <v>41</v>
      </c>
      <c r="B376" s="423" t="s">
        <v>561</v>
      </c>
      <c r="C376" s="423" t="s">
        <v>736</v>
      </c>
    </row>
    <row r="377" spans="1:3">
      <c r="A377" s="423" t="s">
        <v>39</v>
      </c>
      <c r="B377" s="423" t="s">
        <v>563</v>
      </c>
      <c r="C377" s="423" t="s">
        <v>737</v>
      </c>
    </row>
    <row r="378" spans="1:3">
      <c r="A378" s="423" t="s">
        <v>37</v>
      </c>
      <c r="B378" s="423" t="s">
        <v>557</v>
      </c>
      <c r="C378" s="423" t="s">
        <v>741</v>
      </c>
    </row>
    <row r="379" spans="1:3">
      <c r="A379" s="423" t="s">
        <v>37</v>
      </c>
      <c r="B379" s="423" t="s">
        <v>558</v>
      </c>
      <c r="C379" s="423" t="s">
        <v>742</v>
      </c>
    </row>
    <row r="380" spans="1:3">
      <c r="A380" s="423" t="s">
        <v>37</v>
      </c>
      <c r="B380" s="423" t="s">
        <v>1701</v>
      </c>
      <c r="C380" s="423" t="s">
        <v>746</v>
      </c>
    </row>
    <row r="381" spans="1:3">
      <c r="A381" s="423" t="s">
        <v>37</v>
      </c>
      <c r="B381" s="423" t="s">
        <v>1922</v>
      </c>
      <c r="C381" s="423" t="s">
        <v>747</v>
      </c>
    </row>
    <row r="382" spans="1:3">
      <c r="A382" s="423" t="s">
        <v>37</v>
      </c>
      <c r="B382" s="423" t="s">
        <v>560</v>
      </c>
      <c r="C382" s="423" t="s">
        <v>741</v>
      </c>
    </row>
    <row r="383" spans="1:3">
      <c r="A383" s="423" t="s">
        <v>39</v>
      </c>
      <c r="B383" s="423" t="s">
        <v>565</v>
      </c>
      <c r="C383" s="423" t="s">
        <v>736</v>
      </c>
    </row>
    <row r="384" spans="1:3">
      <c r="A384" s="423" t="s">
        <v>39</v>
      </c>
      <c r="B384" s="423" t="s">
        <v>567</v>
      </c>
      <c r="C384" s="423" t="s">
        <v>750</v>
      </c>
    </row>
    <row r="385" spans="1:3">
      <c r="A385" s="423" t="s">
        <v>41</v>
      </c>
      <c r="B385" s="423" t="s">
        <v>458</v>
      </c>
      <c r="C385" s="423" t="s">
        <v>739</v>
      </c>
    </row>
    <row r="386" spans="1:3">
      <c r="A386" s="423" t="s">
        <v>43</v>
      </c>
      <c r="B386" s="423" t="s">
        <v>1845</v>
      </c>
      <c r="C386" s="423" t="s">
        <v>740</v>
      </c>
    </row>
    <row r="387" spans="1:3">
      <c r="A387" s="423" t="s">
        <v>43</v>
      </c>
      <c r="B387" s="423" t="s">
        <v>462</v>
      </c>
      <c r="C387" s="423" t="s">
        <v>746</v>
      </c>
    </row>
    <row r="388" spans="1:3">
      <c r="A388" s="423" t="s">
        <v>35</v>
      </c>
      <c r="B388" s="423" t="s">
        <v>1679</v>
      </c>
      <c r="C388" s="423" t="s">
        <v>1478</v>
      </c>
    </row>
    <row r="389" spans="1:3">
      <c r="A389" s="423" t="s">
        <v>37</v>
      </c>
      <c r="B389" s="423" t="s">
        <v>1826</v>
      </c>
      <c r="C389" s="423" t="s">
        <v>739</v>
      </c>
    </row>
    <row r="390" spans="1:3">
      <c r="A390" s="423" t="s">
        <v>41</v>
      </c>
      <c r="B390" s="423" t="s">
        <v>569</v>
      </c>
      <c r="C390" s="423" t="s">
        <v>743</v>
      </c>
    </row>
    <row r="391" spans="1:3">
      <c r="A391" s="423" t="s">
        <v>37</v>
      </c>
      <c r="B391" s="423" t="s">
        <v>1827</v>
      </c>
      <c r="C391" s="423" t="s">
        <v>750</v>
      </c>
    </row>
    <row r="392" spans="1:3">
      <c r="A392" s="423" t="s">
        <v>37</v>
      </c>
      <c r="B392" s="423" t="s">
        <v>1703</v>
      </c>
      <c r="C392" s="423" t="s">
        <v>751</v>
      </c>
    </row>
    <row r="393" spans="1:3">
      <c r="A393" s="423" t="s">
        <v>39</v>
      </c>
      <c r="B393" s="423" t="s">
        <v>571</v>
      </c>
      <c r="C393" s="423" t="s">
        <v>747</v>
      </c>
    </row>
    <row r="394" spans="1:3">
      <c r="A394" s="423" t="s">
        <v>41</v>
      </c>
      <c r="B394" s="423" t="s">
        <v>573</v>
      </c>
      <c r="C394" s="423" t="s">
        <v>737</v>
      </c>
    </row>
    <row r="395" spans="1:3">
      <c r="A395" s="423" t="s">
        <v>37</v>
      </c>
      <c r="B395" s="423" t="s">
        <v>1283</v>
      </c>
      <c r="C395" s="423" t="s">
        <v>1477</v>
      </c>
    </row>
    <row r="396" spans="1:3">
      <c r="A396" s="423" t="s">
        <v>41</v>
      </c>
      <c r="B396" s="423" t="s">
        <v>1802</v>
      </c>
      <c r="C396" s="423" t="s">
        <v>736</v>
      </c>
    </row>
    <row r="397" spans="1:3">
      <c r="A397" s="423" t="s">
        <v>37</v>
      </c>
      <c r="B397" s="423" t="s">
        <v>1342</v>
      </c>
      <c r="C397" s="423" t="s">
        <v>744</v>
      </c>
    </row>
    <row r="398" spans="1:3">
      <c r="A398" s="423" t="s">
        <v>39</v>
      </c>
      <c r="B398" s="423" t="s">
        <v>1753</v>
      </c>
      <c r="C398" s="423" t="s">
        <v>743</v>
      </c>
    </row>
    <row r="399" spans="1:3">
      <c r="A399" s="423" t="s">
        <v>41</v>
      </c>
      <c r="B399" s="423" t="s">
        <v>1790</v>
      </c>
      <c r="C399" s="423" t="s">
        <v>735</v>
      </c>
    </row>
    <row r="400" spans="1:3">
      <c r="A400" s="423" t="s">
        <v>41</v>
      </c>
      <c r="B400" s="423" t="s">
        <v>1792</v>
      </c>
      <c r="C400" s="423" t="s">
        <v>749</v>
      </c>
    </row>
    <row r="401" spans="1:3" ht="25.5" customHeight="1">
      <c r="A401" s="423" t="s">
        <v>37</v>
      </c>
      <c r="B401" s="423" t="s">
        <v>1724</v>
      </c>
      <c r="C401" s="423" t="s">
        <v>1476</v>
      </c>
    </row>
    <row r="402" spans="1:3">
      <c r="A402" s="423" t="s">
        <v>35</v>
      </c>
      <c r="B402" s="423" t="s">
        <v>385</v>
      </c>
      <c r="C402" s="423" t="s">
        <v>741</v>
      </c>
    </row>
    <row r="403" spans="1:3">
      <c r="A403" s="423" t="s">
        <v>39</v>
      </c>
      <c r="B403" s="423" t="s">
        <v>575</v>
      </c>
      <c r="C403" s="423" t="s">
        <v>738</v>
      </c>
    </row>
    <row r="404" spans="1:3">
      <c r="A404" s="423" t="s">
        <v>37</v>
      </c>
      <c r="B404" s="423" t="s">
        <v>562</v>
      </c>
      <c r="C404" s="423" t="s">
        <v>746</v>
      </c>
    </row>
    <row r="405" spans="1:3">
      <c r="A405" s="423" t="s">
        <v>41</v>
      </c>
      <c r="B405" s="423" t="s">
        <v>469</v>
      </c>
      <c r="C405" s="423" t="s">
        <v>743</v>
      </c>
    </row>
    <row r="406" spans="1:3">
      <c r="A406" s="423" t="s">
        <v>43</v>
      </c>
      <c r="B406" s="423" t="s">
        <v>1799</v>
      </c>
      <c r="C406" s="423" t="s">
        <v>737</v>
      </c>
    </row>
    <row r="407" spans="1:3">
      <c r="A407" s="423" t="s">
        <v>37</v>
      </c>
      <c r="B407" s="423" t="s">
        <v>1707</v>
      </c>
      <c r="C407" s="423" t="s">
        <v>735</v>
      </c>
    </row>
    <row r="408" spans="1:3">
      <c r="A408" s="423" t="s">
        <v>43</v>
      </c>
      <c r="B408" s="423" t="s">
        <v>470</v>
      </c>
      <c r="C408" s="423" t="s">
        <v>1477</v>
      </c>
    </row>
    <row r="409" spans="1:3">
      <c r="A409" s="423" t="s">
        <v>41</v>
      </c>
      <c r="B409" s="423" t="s">
        <v>471</v>
      </c>
      <c r="C409" s="423" t="s">
        <v>743</v>
      </c>
    </row>
    <row r="410" spans="1:3">
      <c r="A410" s="423" t="s">
        <v>41</v>
      </c>
      <c r="B410" s="423" t="s">
        <v>474</v>
      </c>
      <c r="C410" s="423" t="s">
        <v>747</v>
      </c>
    </row>
    <row r="411" spans="1:3">
      <c r="A411" s="423" t="s">
        <v>39</v>
      </c>
      <c r="B411" s="423" t="s">
        <v>578</v>
      </c>
      <c r="C411" s="423" t="s">
        <v>737</v>
      </c>
    </row>
    <row r="412" spans="1:3">
      <c r="A412" s="423" t="s">
        <v>37</v>
      </c>
      <c r="B412" s="423" t="s">
        <v>564</v>
      </c>
      <c r="C412" s="423" t="s">
        <v>737</v>
      </c>
    </row>
    <row r="413" spans="1:3">
      <c r="A413" s="423" t="s">
        <v>37</v>
      </c>
      <c r="B413" s="423" t="s">
        <v>566</v>
      </c>
      <c r="C413" s="423" t="s">
        <v>742</v>
      </c>
    </row>
    <row r="414" spans="1:3">
      <c r="A414" s="423" t="s">
        <v>43</v>
      </c>
      <c r="B414" s="423" t="s">
        <v>477</v>
      </c>
      <c r="C414" s="423" t="s">
        <v>749</v>
      </c>
    </row>
    <row r="415" spans="1:3">
      <c r="A415" s="423" t="s">
        <v>43</v>
      </c>
      <c r="B415" s="423" t="s">
        <v>1780</v>
      </c>
      <c r="C415" s="423" t="s">
        <v>1478</v>
      </c>
    </row>
    <row r="416" spans="1:3">
      <c r="A416" s="423" t="s">
        <v>35</v>
      </c>
      <c r="B416" s="423" t="s">
        <v>387</v>
      </c>
      <c r="C416" s="423" t="s">
        <v>748</v>
      </c>
    </row>
    <row r="417" spans="1:3">
      <c r="A417" s="423" t="s">
        <v>43</v>
      </c>
      <c r="B417" s="423" t="s">
        <v>1788</v>
      </c>
      <c r="C417" s="423" t="s">
        <v>743</v>
      </c>
    </row>
    <row r="418" spans="1:3">
      <c r="A418" s="423" t="s">
        <v>39</v>
      </c>
      <c r="B418" s="423" t="s">
        <v>579</v>
      </c>
      <c r="C418" s="423" t="s">
        <v>750</v>
      </c>
    </row>
    <row r="419" spans="1:3">
      <c r="A419" s="423" t="s">
        <v>43</v>
      </c>
      <c r="B419" s="423" t="s">
        <v>480</v>
      </c>
      <c r="C419" s="423" t="s">
        <v>740</v>
      </c>
    </row>
    <row r="420" spans="1:3">
      <c r="A420" s="423" t="s">
        <v>37</v>
      </c>
      <c r="B420" s="423" t="s">
        <v>568</v>
      </c>
      <c r="C420" s="423" t="s">
        <v>748</v>
      </c>
    </row>
    <row r="421" spans="1:3">
      <c r="A421" s="423" t="s">
        <v>37</v>
      </c>
      <c r="B421" s="423" t="s">
        <v>380</v>
      </c>
      <c r="C421" s="423" t="s">
        <v>750</v>
      </c>
    </row>
    <row r="422" spans="1:3">
      <c r="A422" s="423" t="s">
        <v>43</v>
      </c>
      <c r="B422" s="423" t="s">
        <v>484</v>
      </c>
      <c r="C422" s="423" t="s">
        <v>751</v>
      </c>
    </row>
    <row r="423" spans="1:3">
      <c r="A423" s="423" t="s">
        <v>35</v>
      </c>
      <c r="B423" s="423" t="s">
        <v>392</v>
      </c>
      <c r="C423" s="423" t="s">
        <v>743</v>
      </c>
    </row>
    <row r="424" spans="1:3">
      <c r="A424" s="423" t="s">
        <v>41</v>
      </c>
      <c r="B424" s="423" t="s">
        <v>580</v>
      </c>
      <c r="C424" s="423" t="s">
        <v>741</v>
      </c>
    </row>
    <row r="425" spans="1:3">
      <c r="A425" s="423" t="s">
        <v>41</v>
      </c>
      <c r="B425" s="423" t="s">
        <v>581</v>
      </c>
      <c r="C425" s="423" t="s">
        <v>750</v>
      </c>
    </row>
    <row r="426" spans="1:3">
      <c r="A426" s="423" t="s">
        <v>39</v>
      </c>
      <c r="B426" s="423" t="s">
        <v>1749</v>
      </c>
      <c r="C426" s="423" t="s">
        <v>735</v>
      </c>
    </row>
    <row r="427" spans="1:3">
      <c r="A427" s="423" t="s">
        <v>43</v>
      </c>
      <c r="B427" s="423" t="s">
        <v>486</v>
      </c>
      <c r="C427" s="423" t="s">
        <v>735</v>
      </c>
    </row>
    <row r="428" spans="1:3">
      <c r="A428" s="423" t="s">
        <v>43</v>
      </c>
      <c r="B428" s="423" t="s">
        <v>1798</v>
      </c>
      <c r="C428" s="423" t="s">
        <v>736</v>
      </c>
    </row>
    <row r="429" spans="1:3">
      <c r="A429" s="423" t="s">
        <v>37</v>
      </c>
      <c r="B429" s="423" t="s">
        <v>570</v>
      </c>
      <c r="C429" s="423" t="s">
        <v>751</v>
      </c>
    </row>
    <row r="430" spans="1:3">
      <c r="A430" s="423" t="s">
        <v>41</v>
      </c>
      <c r="B430" s="423" t="s">
        <v>1806</v>
      </c>
      <c r="C430" s="423" t="s">
        <v>748</v>
      </c>
    </row>
    <row r="431" spans="1:3">
      <c r="A431" s="423" t="s">
        <v>43</v>
      </c>
      <c r="B431" s="423" t="s">
        <v>1285</v>
      </c>
      <c r="C431" s="423" t="s">
        <v>741</v>
      </c>
    </row>
    <row r="432" spans="1:3">
      <c r="A432" s="423" t="s">
        <v>35</v>
      </c>
      <c r="B432" s="423" t="s">
        <v>1684</v>
      </c>
      <c r="C432" s="423" t="s">
        <v>745</v>
      </c>
    </row>
    <row r="433" spans="1:3">
      <c r="A433" s="423" t="s">
        <v>37</v>
      </c>
      <c r="B433" s="423" t="s">
        <v>572</v>
      </c>
      <c r="C433" s="423" t="s">
        <v>738</v>
      </c>
    </row>
    <row r="434" spans="1:3">
      <c r="A434" s="423" t="s">
        <v>41</v>
      </c>
      <c r="B434" s="423" t="s">
        <v>489</v>
      </c>
      <c r="C434" s="423" t="s">
        <v>745</v>
      </c>
    </row>
    <row r="435" spans="1:3">
      <c r="A435" s="423" t="s">
        <v>39</v>
      </c>
      <c r="B435" s="423" t="s">
        <v>582</v>
      </c>
      <c r="C435" s="423" t="s">
        <v>745</v>
      </c>
    </row>
    <row r="436" spans="1:3">
      <c r="A436" s="423" t="s">
        <v>39</v>
      </c>
      <c r="B436" s="423" t="s">
        <v>584</v>
      </c>
      <c r="C436" s="423" t="s">
        <v>736</v>
      </c>
    </row>
    <row r="437" spans="1:3">
      <c r="A437" s="423" t="s">
        <v>41</v>
      </c>
      <c r="B437" s="423" t="s">
        <v>586</v>
      </c>
      <c r="C437" s="423" t="s">
        <v>748</v>
      </c>
    </row>
    <row r="438" spans="1:3">
      <c r="A438" s="423" t="s">
        <v>37</v>
      </c>
      <c r="B438" s="423" t="s">
        <v>1732</v>
      </c>
      <c r="C438" s="423" t="s">
        <v>1477</v>
      </c>
    </row>
    <row r="439" spans="1:3">
      <c r="A439" s="423" t="s">
        <v>39</v>
      </c>
      <c r="B439" s="423" t="s">
        <v>1766</v>
      </c>
      <c r="C439" s="423" t="s">
        <v>751</v>
      </c>
    </row>
    <row r="440" spans="1:3">
      <c r="A440" s="423" t="s">
        <v>39</v>
      </c>
      <c r="B440" s="423" t="s">
        <v>1330</v>
      </c>
      <c r="C440" s="423" t="s">
        <v>742</v>
      </c>
    </row>
    <row r="441" spans="1:3">
      <c r="A441" s="423" t="s">
        <v>43</v>
      </c>
      <c r="B441" s="423" t="s">
        <v>491</v>
      </c>
      <c r="C441" s="423" t="s">
        <v>740</v>
      </c>
    </row>
    <row r="442" spans="1:3">
      <c r="A442" s="423" t="s">
        <v>35</v>
      </c>
      <c r="B442" s="423" t="s">
        <v>402</v>
      </c>
      <c r="C442" s="423" t="s">
        <v>742</v>
      </c>
    </row>
    <row r="443" spans="1:3">
      <c r="A443" s="423" t="s">
        <v>39</v>
      </c>
      <c r="B443" s="423" t="s">
        <v>587</v>
      </c>
      <c r="C443" s="423" t="s">
        <v>736</v>
      </c>
    </row>
    <row r="444" spans="1:3" ht="25.5" customHeight="1">
      <c r="A444" s="423" t="s">
        <v>43</v>
      </c>
      <c r="B444" s="423" t="s">
        <v>1784</v>
      </c>
      <c r="C444" s="423" t="s">
        <v>1476</v>
      </c>
    </row>
    <row r="445" spans="1:3">
      <c r="A445" s="423" t="s">
        <v>43</v>
      </c>
      <c r="B445" s="423" t="s">
        <v>494</v>
      </c>
      <c r="C445" s="423" t="s">
        <v>742</v>
      </c>
    </row>
    <row r="446" spans="1:3">
      <c r="A446" s="423" t="s">
        <v>39</v>
      </c>
      <c r="B446" s="423" t="s">
        <v>590</v>
      </c>
      <c r="C446" s="423" t="s">
        <v>740</v>
      </c>
    </row>
    <row r="447" spans="1:3">
      <c r="A447" s="423" t="s">
        <v>37</v>
      </c>
      <c r="B447" s="423" t="s">
        <v>574</v>
      </c>
      <c r="C447" s="423" t="s">
        <v>737</v>
      </c>
    </row>
    <row r="448" spans="1:3">
      <c r="A448" s="423" t="s">
        <v>35</v>
      </c>
      <c r="B448" s="423" t="s">
        <v>409</v>
      </c>
      <c r="C448" s="423" t="s">
        <v>738</v>
      </c>
    </row>
    <row r="449" spans="1:3">
      <c r="A449" s="423" t="s">
        <v>35</v>
      </c>
      <c r="B449" s="423" t="s">
        <v>412</v>
      </c>
      <c r="C449" s="423" t="s">
        <v>749</v>
      </c>
    </row>
    <row r="450" spans="1:3">
      <c r="A450" s="423" t="s">
        <v>41</v>
      </c>
      <c r="B450" s="423" t="s">
        <v>1332</v>
      </c>
      <c r="C450" s="423" t="s">
        <v>748</v>
      </c>
    </row>
    <row r="451" spans="1:3">
      <c r="A451" s="423" t="s">
        <v>41</v>
      </c>
      <c r="B451" s="423" t="s">
        <v>1923</v>
      </c>
      <c r="C451" s="423" t="s">
        <v>742</v>
      </c>
    </row>
    <row r="452" spans="1:3">
      <c r="A452" s="423" t="s">
        <v>37</v>
      </c>
      <c r="B452" s="423" t="s">
        <v>576</v>
      </c>
      <c r="C452" s="423" t="s">
        <v>741</v>
      </c>
    </row>
    <row r="453" spans="1:3">
      <c r="A453" s="423" t="s">
        <v>35</v>
      </c>
      <c r="B453" s="423" t="s">
        <v>1815</v>
      </c>
      <c r="C453" s="423" t="s">
        <v>736</v>
      </c>
    </row>
    <row r="454" spans="1:3">
      <c r="A454" s="423" t="s">
        <v>41</v>
      </c>
      <c r="B454" s="423" t="s">
        <v>1795</v>
      </c>
      <c r="C454" s="423" t="s">
        <v>744</v>
      </c>
    </row>
    <row r="455" spans="1:3">
      <c r="A455" s="423" t="s">
        <v>37</v>
      </c>
      <c r="B455" s="423" t="s">
        <v>577</v>
      </c>
      <c r="C455" s="423" t="s">
        <v>742</v>
      </c>
    </row>
    <row r="456" spans="1:3">
      <c r="A456" s="423" t="s">
        <v>35</v>
      </c>
      <c r="B456" s="423" t="s">
        <v>416</v>
      </c>
      <c r="C456" s="423" t="s">
        <v>749</v>
      </c>
    </row>
    <row r="457" spans="1:3">
      <c r="A457" s="423" t="s">
        <v>41</v>
      </c>
      <c r="B457" s="423" t="s">
        <v>495</v>
      </c>
      <c r="C457" s="423" t="s">
        <v>748</v>
      </c>
    </row>
    <row r="458" spans="1:3">
      <c r="A458" s="423" t="s">
        <v>37</v>
      </c>
      <c r="B458" s="423" t="s">
        <v>1729</v>
      </c>
      <c r="C458" s="423" t="s">
        <v>740</v>
      </c>
    </row>
    <row r="459" spans="1:3">
      <c r="A459" s="423" t="s">
        <v>41</v>
      </c>
      <c r="B459" s="423" t="s">
        <v>1856</v>
      </c>
      <c r="C459" s="423" t="s">
        <v>743</v>
      </c>
    </row>
    <row r="460" spans="1:3">
      <c r="A460" s="423" t="s">
        <v>39</v>
      </c>
      <c r="B460" s="423" t="s">
        <v>593</v>
      </c>
      <c r="C460" s="423" t="s">
        <v>740</v>
      </c>
    </row>
    <row r="461" spans="1:3">
      <c r="A461" s="423" t="s">
        <v>39</v>
      </c>
      <c r="B461" s="423" t="s">
        <v>595</v>
      </c>
      <c r="C461" s="423" t="s">
        <v>745</v>
      </c>
    </row>
    <row r="462" spans="1:3">
      <c r="A462" s="423" t="s">
        <v>39</v>
      </c>
      <c r="B462" s="423" t="s">
        <v>596</v>
      </c>
      <c r="C462" s="423" t="s">
        <v>1477</v>
      </c>
    </row>
    <row r="463" spans="1:3">
      <c r="A463" s="423" t="s">
        <v>43</v>
      </c>
      <c r="B463" s="423" t="s">
        <v>1854</v>
      </c>
      <c r="C463" s="423" t="s">
        <v>740</v>
      </c>
    </row>
    <row r="464" spans="1:3">
      <c r="A464" s="423" t="s">
        <v>37</v>
      </c>
      <c r="B464" s="423" t="s">
        <v>1861</v>
      </c>
      <c r="C464" s="423" t="s">
        <v>746</v>
      </c>
    </row>
    <row r="465" spans="1:3">
      <c r="A465" s="423" t="s">
        <v>39</v>
      </c>
      <c r="B465" s="423" t="s">
        <v>1932</v>
      </c>
      <c r="C465" s="423" t="s">
        <v>743</v>
      </c>
    </row>
    <row r="466" spans="1:3">
      <c r="A466" s="423" t="s">
        <v>39</v>
      </c>
      <c r="B466" s="423" t="s">
        <v>1331</v>
      </c>
      <c r="C466" s="423" t="s">
        <v>749</v>
      </c>
    </row>
    <row r="467" spans="1:3">
      <c r="A467" s="423" t="s">
        <v>39</v>
      </c>
      <c r="B467" s="423" t="s">
        <v>923</v>
      </c>
      <c r="C467" s="423" t="s">
        <v>739</v>
      </c>
    </row>
    <row r="468" spans="1:3">
      <c r="A468" s="423" t="s">
        <v>37</v>
      </c>
      <c r="B468" s="423" t="s">
        <v>1722</v>
      </c>
      <c r="C468" s="423" t="s">
        <v>738</v>
      </c>
    </row>
    <row r="469" spans="1:3">
      <c r="A469" s="423" t="s">
        <v>37</v>
      </c>
      <c r="B469" s="423" t="s">
        <v>1297</v>
      </c>
      <c r="C469" s="423" t="s">
        <v>746</v>
      </c>
    </row>
    <row r="470" spans="1:3">
      <c r="A470" s="423" t="s">
        <v>37</v>
      </c>
      <c r="B470" s="423" t="s">
        <v>1693</v>
      </c>
      <c r="C470" s="423" t="s">
        <v>1478</v>
      </c>
    </row>
    <row r="471" spans="1:3">
      <c r="A471" s="423" t="s">
        <v>37</v>
      </c>
      <c r="B471" s="423" t="s">
        <v>583</v>
      </c>
      <c r="C471" s="423" t="s">
        <v>743</v>
      </c>
    </row>
    <row r="472" spans="1:3">
      <c r="A472" s="423" t="s">
        <v>37</v>
      </c>
      <c r="B472" s="423" t="s">
        <v>585</v>
      </c>
      <c r="C472" s="423" t="s">
        <v>747</v>
      </c>
    </row>
    <row r="473" spans="1:3">
      <c r="A473" s="423" t="s">
        <v>43</v>
      </c>
      <c r="B473" s="423" t="s">
        <v>1685</v>
      </c>
      <c r="C473" s="423" t="s">
        <v>737</v>
      </c>
    </row>
    <row r="474" spans="1:3">
      <c r="A474" s="423" t="s">
        <v>35</v>
      </c>
      <c r="B474" s="423" t="s">
        <v>1685</v>
      </c>
      <c r="C474" s="423" t="s">
        <v>735</v>
      </c>
    </row>
    <row r="475" spans="1:3">
      <c r="A475" s="423" t="s">
        <v>37</v>
      </c>
      <c r="B475" s="423" t="s">
        <v>588</v>
      </c>
      <c r="C475" s="423" t="s">
        <v>745</v>
      </c>
    </row>
    <row r="476" spans="1:3">
      <c r="A476" s="423" t="s">
        <v>37</v>
      </c>
      <c r="B476" s="423" t="s">
        <v>542</v>
      </c>
      <c r="C476" s="423" t="s">
        <v>749</v>
      </c>
    </row>
    <row r="477" spans="1:3">
      <c r="A477" s="423" t="s">
        <v>43</v>
      </c>
      <c r="B477" s="423" t="s">
        <v>499</v>
      </c>
      <c r="C477" s="423" t="s">
        <v>750</v>
      </c>
    </row>
    <row r="478" spans="1:3">
      <c r="A478" s="423" t="s">
        <v>37</v>
      </c>
      <c r="B478" s="423" t="s">
        <v>597</v>
      </c>
      <c r="C478" s="423" t="s">
        <v>742</v>
      </c>
    </row>
    <row r="479" spans="1:3">
      <c r="A479" s="423" t="s">
        <v>37</v>
      </c>
      <c r="B479" s="423" t="s">
        <v>589</v>
      </c>
      <c r="C479" s="423" t="s">
        <v>738</v>
      </c>
    </row>
    <row r="480" spans="1:3">
      <c r="A480" s="423" t="s">
        <v>43</v>
      </c>
      <c r="B480" s="423" t="s">
        <v>1334</v>
      </c>
      <c r="C480" s="423" t="s">
        <v>743</v>
      </c>
    </row>
    <row r="481" spans="1:3">
      <c r="A481" s="423" t="s">
        <v>37</v>
      </c>
      <c r="B481" s="423" t="s">
        <v>591</v>
      </c>
      <c r="C481" s="423" t="s">
        <v>751</v>
      </c>
    </row>
    <row r="482" spans="1:3">
      <c r="A482" s="423" t="s">
        <v>37</v>
      </c>
      <c r="B482" s="423" t="s">
        <v>592</v>
      </c>
      <c r="C482" s="423" t="s">
        <v>739</v>
      </c>
    </row>
    <row r="483" spans="1:3">
      <c r="A483" s="423" t="s">
        <v>39</v>
      </c>
      <c r="B483" s="423" t="s">
        <v>1280</v>
      </c>
      <c r="C483" s="423" t="s">
        <v>744</v>
      </c>
    </row>
    <row r="484" spans="1:3">
      <c r="A484" s="423" t="s">
        <v>37</v>
      </c>
      <c r="B484" s="423" t="s">
        <v>594</v>
      </c>
      <c r="C484" s="423" t="s">
        <v>741</v>
      </c>
    </row>
    <row r="485" spans="1:3">
      <c r="A485" s="423" t="s">
        <v>41</v>
      </c>
      <c r="B485" s="423" t="s">
        <v>600</v>
      </c>
      <c r="C485" s="423" t="s">
        <v>744</v>
      </c>
    </row>
    <row r="486" spans="1:3">
      <c r="A486" s="423" t="s">
        <v>43</v>
      </c>
      <c r="B486" s="423" t="s">
        <v>507</v>
      </c>
      <c r="C486" s="423" t="s">
        <v>738</v>
      </c>
    </row>
    <row r="487" spans="1:3">
      <c r="A487" s="423" t="s">
        <v>43</v>
      </c>
      <c r="B487" s="423" t="s">
        <v>1807</v>
      </c>
      <c r="C487" s="423" t="s">
        <v>748</v>
      </c>
    </row>
    <row r="488" spans="1:3">
      <c r="A488" s="423" t="s">
        <v>39</v>
      </c>
      <c r="B488" s="423" t="s">
        <v>1752</v>
      </c>
      <c r="C488" s="423" t="s">
        <v>744</v>
      </c>
    </row>
    <row r="489" spans="1:3">
      <c r="A489" s="423" t="s">
        <v>39</v>
      </c>
      <c r="B489" s="423" t="s">
        <v>1748</v>
      </c>
      <c r="C489" s="423" t="s">
        <v>1477</v>
      </c>
    </row>
    <row r="490" spans="1:3">
      <c r="A490" s="423" t="s">
        <v>39</v>
      </c>
      <c r="B490" s="423" t="s">
        <v>1776</v>
      </c>
      <c r="C490" s="423" t="s">
        <v>1477</v>
      </c>
    </row>
    <row r="491" spans="1:3" ht="15.75" customHeight="1">
      <c r="A491" s="423" t="s">
        <v>43</v>
      </c>
      <c r="B491" s="423" t="s">
        <v>509</v>
      </c>
      <c r="C491" s="423" t="s">
        <v>742</v>
      </c>
    </row>
    <row r="492" spans="1:3" ht="15.75" customHeight="1">
      <c r="A492" s="423" t="s">
        <v>39</v>
      </c>
      <c r="B492" s="423" t="s">
        <v>1858</v>
      </c>
      <c r="C492" s="423" t="s">
        <v>735</v>
      </c>
    </row>
    <row r="493" spans="1:3" ht="15.75" customHeight="1">
      <c r="A493" s="423" t="s">
        <v>35</v>
      </c>
      <c r="B493" s="423" t="s">
        <v>420</v>
      </c>
      <c r="C493" s="423" t="s">
        <v>751</v>
      </c>
    </row>
    <row r="494" spans="1:3">
      <c r="A494" s="423" t="s">
        <v>35</v>
      </c>
      <c r="B494" s="423" t="s">
        <v>423</v>
      </c>
      <c r="C494" s="423" t="s">
        <v>740</v>
      </c>
    </row>
    <row r="495" spans="1:3">
      <c r="A495" s="423" t="s">
        <v>39</v>
      </c>
      <c r="B495" s="423" t="s">
        <v>603</v>
      </c>
      <c r="C495" s="423" t="s">
        <v>748</v>
      </c>
    </row>
    <row r="496" spans="1:3">
      <c r="A496" s="423" t="s">
        <v>35</v>
      </c>
      <c r="B496" s="423" t="s">
        <v>426</v>
      </c>
      <c r="C496" s="423" t="s">
        <v>749</v>
      </c>
    </row>
    <row r="497" spans="1:3">
      <c r="A497" s="423" t="s">
        <v>43</v>
      </c>
      <c r="B497" s="423" t="s">
        <v>1778</v>
      </c>
      <c r="C497" s="423" t="s">
        <v>746</v>
      </c>
    </row>
    <row r="498" spans="1:3">
      <c r="A498" s="423" t="s">
        <v>37</v>
      </c>
      <c r="B498" s="423" t="s">
        <v>598</v>
      </c>
      <c r="C498" s="423" t="s">
        <v>742</v>
      </c>
    </row>
    <row r="499" spans="1:3">
      <c r="A499" s="423" t="s">
        <v>35</v>
      </c>
      <c r="B499" s="423" t="s">
        <v>1681</v>
      </c>
      <c r="C499" s="423" t="s">
        <v>1478</v>
      </c>
    </row>
    <row r="500" spans="1:3">
      <c r="A500" s="423" t="s">
        <v>43</v>
      </c>
      <c r="B500" s="423" t="s">
        <v>1291</v>
      </c>
      <c r="C500" s="423" t="s">
        <v>743</v>
      </c>
    </row>
    <row r="501" spans="1:3">
      <c r="A501" s="423" t="s">
        <v>37</v>
      </c>
      <c r="B501" s="423" t="s">
        <v>1865</v>
      </c>
      <c r="C501" s="423" t="s">
        <v>742</v>
      </c>
    </row>
    <row r="502" spans="1:3">
      <c r="A502" s="423" t="s">
        <v>43</v>
      </c>
      <c r="B502" s="423" t="s">
        <v>511</v>
      </c>
      <c r="C502" s="423" t="s">
        <v>739</v>
      </c>
    </row>
    <row r="503" spans="1:3">
      <c r="A503" s="423" t="s">
        <v>35</v>
      </c>
      <c r="B503" s="423" t="s">
        <v>1676</v>
      </c>
      <c r="C503" s="423" t="s">
        <v>747</v>
      </c>
    </row>
    <row r="504" spans="1:3">
      <c r="A504" s="423" t="s">
        <v>35</v>
      </c>
      <c r="B504" s="423" t="s">
        <v>428</v>
      </c>
      <c r="C504" s="423" t="s">
        <v>750</v>
      </c>
    </row>
    <row r="505" spans="1:3">
      <c r="A505" s="423" t="s">
        <v>37</v>
      </c>
      <c r="B505" s="423" t="s">
        <v>599</v>
      </c>
      <c r="C505" s="423" t="s">
        <v>741</v>
      </c>
    </row>
    <row r="506" spans="1:3">
      <c r="A506" s="423" t="s">
        <v>35</v>
      </c>
      <c r="B506" s="423" t="s">
        <v>431</v>
      </c>
      <c r="C506" s="423" t="s">
        <v>740</v>
      </c>
    </row>
    <row r="507" spans="1:3">
      <c r="A507" s="423" t="s">
        <v>39</v>
      </c>
      <c r="B507" s="423" t="s">
        <v>1295</v>
      </c>
      <c r="C507" s="423" t="s">
        <v>746</v>
      </c>
    </row>
    <row r="508" spans="1:3">
      <c r="A508" s="423" t="s">
        <v>37</v>
      </c>
      <c r="B508" s="423" t="s">
        <v>1718</v>
      </c>
      <c r="C508" s="423" t="s">
        <v>1478</v>
      </c>
    </row>
    <row r="509" spans="1:3">
      <c r="A509" s="423" t="s">
        <v>39</v>
      </c>
      <c r="B509" s="423" t="s">
        <v>604</v>
      </c>
      <c r="C509" s="423" t="s">
        <v>735</v>
      </c>
    </row>
    <row r="510" spans="1:3">
      <c r="A510" s="423" t="s">
        <v>37</v>
      </c>
      <c r="B510" s="423" t="s">
        <v>601</v>
      </c>
      <c r="C510" s="423" t="s">
        <v>743</v>
      </c>
    </row>
    <row r="511" spans="1:3">
      <c r="A511" s="423" t="s">
        <v>35</v>
      </c>
      <c r="B511" s="423" t="s">
        <v>432</v>
      </c>
      <c r="C511" s="423" t="s">
        <v>744</v>
      </c>
    </row>
    <row r="512" spans="1:3">
      <c r="A512" s="423" t="s">
        <v>41</v>
      </c>
      <c r="B512" s="423" t="s">
        <v>605</v>
      </c>
      <c r="C512" s="423" t="s">
        <v>739</v>
      </c>
    </row>
    <row r="513" spans="1:3">
      <c r="A513" s="423" t="s">
        <v>35</v>
      </c>
      <c r="B513" s="423" t="s">
        <v>434</v>
      </c>
      <c r="C513" s="423" t="s">
        <v>746</v>
      </c>
    </row>
    <row r="514" spans="1:3">
      <c r="A514" s="423" t="s">
        <v>35</v>
      </c>
      <c r="B514" s="423" t="s">
        <v>1444</v>
      </c>
      <c r="C514" s="423" t="s">
        <v>737</v>
      </c>
    </row>
    <row r="515" spans="1:3">
      <c r="A515" s="423" t="s">
        <v>37</v>
      </c>
      <c r="B515" s="423" t="s">
        <v>602</v>
      </c>
      <c r="C515" s="423" t="s">
        <v>749</v>
      </c>
    </row>
    <row r="516" spans="1:3">
      <c r="A516" s="423" t="s">
        <v>39</v>
      </c>
      <c r="B516" s="423" t="s">
        <v>606</v>
      </c>
      <c r="C516" s="423" t="s">
        <v>750</v>
      </c>
    </row>
    <row r="517" spans="1:3">
      <c r="A517" s="423" t="s">
        <v>39</v>
      </c>
      <c r="B517" s="423" t="s">
        <v>608</v>
      </c>
      <c r="C517" s="423" t="s">
        <v>745</v>
      </c>
    </row>
    <row r="518" spans="1:3">
      <c r="A518" s="423" t="s">
        <v>39</v>
      </c>
      <c r="B518" s="423" t="s">
        <v>1771</v>
      </c>
      <c r="C518" s="423" t="s">
        <v>739</v>
      </c>
    </row>
    <row r="519" spans="1:3">
      <c r="A519" s="423" t="s">
        <v>41</v>
      </c>
      <c r="B519" s="423" t="s">
        <v>610</v>
      </c>
      <c r="C519" s="423" t="s">
        <v>746</v>
      </c>
    </row>
    <row r="520" spans="1:3">
      <c r="A520" s="423" t="s">
        <v>35</v>
      </c>
      <c r="B520" s="423" t="s">
        <v>886</v>
      </c>
      <c r="C520" s="423" t="s">
        <v>745</v>
      </c>
    </row>
    <row r="521" spans="1:3">
      <c r="A521" s="423" t="s">
        <v>41</v>
      </c>
      <c r="B521" s="423" t="s">
        <v>1754</v>
      </c>
      <c r="C521" s="423" t="s">
        <v>743</v>
      </c>
    </row>
    <row r="522" spans="1:3">
      <c r="A522" s="423" t="s">
        <v>39</v>
      </c>
      <c r="B522" s="423" t="s">
        <v>613</v>
      </c>
      <c r="C522" s="423" t="s">
        <v>736</v>
      </c>
    </row>
    <row r="523" spans="1:3">
      <c r="A523" s="423" t="s">
        <v>39</v>
      </c>
      <c r="B523" s="423" t="s">
        <v>1841</v>
      </c>
      <c r="C523" s="423" t="s">
        <v>738</v>
      </c>
    </row>
    <row r="524" spans="1:3">
      <c r="A524" s="423" t="s">
        <v>43</v>
      </c>
      <c r="B524" s="423" t="s">
        <v>514</v>
      </c>
      <c r="C524" s="423" t="s">
        <v>751</v>
      </c>
    </row>
    <row r="525" spans="1:3">
      <c r="A525" s="423" t="s">
        <v>43</v>
      </c>
      <c r="B525" s="423" t="s">
        <v>1846</v>
      </c>
      <c r="C525" s="423" t="s">
        <v>745</v>
      </c>
    </row>
    <row r="526" spans="1:3">
      <c r="A526" s="423" t="s">
        <v>37</v>
      </c>
      <c r="B526" s="423" t="s">
        <v>607</v>
      </c>
      <c r="C526" s="423" t="s">
        <v>735</v>
      </c>
    </row>
    <row r="527" spans="1:3">
      <c r="A527" s="423" t="s">
        <v>37</v>
      </c>
      <c r="B527" s="423" t="s">
        <v>1828</v>
      </c>
      <c r="C527" s="423" t="s">
        <v>742</v>
      </c>
    </row>
    <row r="528" spans="1:3">
      <c r="A528" s="423" t="s">
        <v>37</v>
      </c>
      <c r="B528" s="423" t="s">
        <v>609</v>
      </c>
      <c r="C528" s="423" t="s">
        <v>744</v>
      </c>
    </row>
    <row r="529" spans="1:3">
      <c r="A529" s="423" t="s">
        <v>37</v>
      </c>
      <c r="B529" s="423" t="s">
        <v>611</v>
      </c>
      <c r="C529" s="423" t="s">
        <v>749</v>
      </c>
    </row>
    <row r="530" spans="1:3">
      <c r="A530" s="423" t="s">
        <v>41</v>
      </c>
      <c r="B530" s="423" t="s">
        <v>614</v>
      </c>
      <c r="C530" s="423" t="s">
        <v>739</v>
      </c>
    </row>
    <row r="531" spans="1:3">
      <c r="A531" s="423" t="s">
        <v>37</v>
      </c>
      <c r="B531" s="423" t="s">
        <v>612</v>
      </c>
      <c r="C531" s="423" t="s">
        <v>736</v>
      </c>
    </row>
    <row r="532" spans="1:3">
      <c r="A532" s="423" t="s">
        <v>39</v>
      </c>
      <c r="B532" s="423" t="s">
        <v>616</v>
      </c>
      <c r="C532" s="423" t="s">
        <v>742</v>
      </c>
    </row>
    <row r="533" spans="1:3">
      <c r="A533" s="423" t="s">
        <v>43</v>
      </c>
      <c r="B533" s="423" t="s">
        <v>520</v>
      </c>
      <c r="C533" s="423" t="s">
        <v>739</v>
      </c>
    </row>
    <row r="534" spans="1:3">
      <c r="A534" s="423" t="s">
        <v>43</v>
      </c>
      <c r="B534" s="423" t="s">
        <v>1847</v>
      </c>
      <c r="C534" s="423" t="s">
        <v>750</v>
      </c>
    </row>
    <row r="535" spans="1:3">
      <c r="A535" s="423" t="s">
        <v>43</v>
      </c>
      <c r="B535" s="423" t="s">
        <v>1848</v>
      </c>
      <c r="C535" s="423" t="s">
        <v>1478</v>
      </c>
    </row>
    <row r="536" spans="1:3">
      <c r="A536" s="423" t="s">
        <v>41</v>
      </c>
      <c r="B536" s="423" t="s">
        <v>1744</v>
      </c>
      <c r="C536" s="423" t="s">
        <v>750</v>
      </c>
    </row>
    <row r="537" spans="1:3">
      <c r="A537" s="423" t="s">
        <v>37</v>
      </c>
      <c r="B537" s="423" t="s">
        <v>1829</v>
      </c>
      <c r="C537" s="423" t="s">
        <v>745</v>
      </c>
    </row>
    <row r="538" spans="1:3">
      <c r="A538" s="423" t="s">
        <v>37</v>
      </c>
      <c r="B538" s="423" t="s">
        <v>1731</v>
      </c>
      <c r="C538" s="423" t="s">
        <v>1477</v>
      </c>
    </row>
    <row r="539" spans="1:3">
      <c r="A539" s="423" t="s">
        <v>39</v>
      </c>
      <c r="B539" s="423" t="s">
        <v>619</v>
      </c>
      <c r="C539" s="423" t="s">
        <v>747</v>
      </c>
    </row>
    <row r="540" spans="1:3">
      <c r="A540" s="423" t="s">
        <v>41</v>
      </c>
      <c r="B540" s="423" t="s">
        <v>1805</v>
      </c>
      <c r="C540" s="423" t="s">
        <v>736</v>
      </c>
    </row>
    <row r="541" spans="1:3">
      <c r="A541" s="423" t="s">
        <v>39</v>
      </c>
      <c r="B541" s="423" t="s">
        <v>361</v>
      </c>
      <c r="C541" s="423" t="s">
        <v>741</v>
      </c>
    </row>
    <row r="542" spans="1:3">
      <c r="A542" s="423" t="s">
        <v>41</v>
      </c>
      <c r="B542" s="423" t="s">
        <v>1757</v>
      </c>
      <c r="C542" s="423" t="s">
        <v>1478</v>
      </c>
    </row>
    <row r="543" spans="1:3">
      <c r="A543" s="423" t="s">
        <v>37</v>
      </c>
      <c r="B543" s="423" t="s">
        <v>1830</v>
      </c>
      <c r="C543" s="423" t="s">
        <v>741</v>
      </c>
    </row>
    <row r="544" spans="1:3">
      <c r="A544" s="423" t="s">
        <v>35</v>
      </c>
      <c r="B544" s="423" t="s">
        <v>442</v>
      </c>
      <c r="C544" s="423" t="s">
        <v>737</v>
      </c>
    </row>
    <row r="545" spans="1:3">
      <c r="A545" s="423" t="s">
        <v>39</v>
      </c>
      <c r="B545" s="423" t="s">
        <v>620</v>
      </c>
      <c r="C545" s="423" t="s">
        <v>741</v>
      </c>
    </row>
    <row r="546" spans="1:3">
      <c r="A546" s="423" t="s">
        <v>39</v>
      </c>
      <c r="B546" s="423" t="s">
        <v>1300</v>
      </c>
      <c r="C546" s="423" t="s">
        <v>743</v>
      </c>
    </row>
    <row r="547" spans="1:3" ht="25.5" customHeight="1">
      <c r="A547" s="423" t="s">
        <v>37</v>
      </c>
      <c r="B547" s="423" t="s">
        <v>1705</v>
      </c>
      <c r="C547" s="423" t="s">
        <v>1476</v>
      </c>
    </row>
    <row r="548" spans="1:3">
      <c r="A548" s="423" t="s">
        <v>41</v>
      </c>
      <c r="B548" s="423" t="s">
        <v>1793</v>
      </c>
      <c r="C548" s="423" t="s">
        <v>1478</v>
      </c>
    </row>
    <row r="549" spans="1:3">
      <c r="A549" s="423" t="s">
        <v>41</v>
      </c>
      <c r="B549" s="423" t="s">
        <v>621</v>
      </c>
      <c r="C549" s="423" t="s">
        <v>736</v>
      </c>
    </row>
    <row r="550" spans="1:3" ht="15.75" customHeight="1">
      <c r="A550" s="423" t="s">
        <v>39</v>
      </c>
      <c r="B550" s="423" t="s">
        <v>1737</v>
      </c>
      <c r="C550" s="423" t="s">
        <v>744</v>
      </c>
    </row>
    <row r="551" spans="1:3">
      <c r="A551" s="423" t="s">
        <v>39</v>
      </c>
      <c r="B551" s="423" t="s">
        <v>622</v>
      </c>
      <c r="C551" s="423" t="s">
        <v>742</v>
      </c>
    </row>
    <row r="552" spans="1:3">
      <c r="A552" s="423" t="s">
        <v>37</v>
      </c>
      <c r="B552" s="423" t="s">
        <v>1721</v>
      </c>
      <c r="C552" s="423" t="s">
        <v>1477</v>
      </c>
    </row>
    <row r="553" spans="1:3">
      <c r="A553" s="423" t="s">
        <v>43</v>
      </c>
      <c r="B553" s="423" t="s">
        <v>1789</v>
      </c>
      <c r="C553" s="423" t="s">
        <v>735</v>
      </c>
    </row>
    <row r="554" spans="1:3">
      <c r="A554" s="423" t="s">
        <v>41</v>
      </c>
      <c r="B554" s="423" t="s">
        <v>1769</v>
      </c>
      <c r="C554" s="423" t="s">
        <v>740</v>
      </c>
    </row>
    <row r="555" spans="1:3" ht="25.5" customHeight="1">
      <c r="A555" s="423" t="s">
        <v>39</v>
      </c>
      <c r="B555" s="423" t="s">
        <v>1743</v>
      </c>
      <c r="C555" s="423" t="s">
        <v>1476</v>
      </c>
    </row>
    <row r="556" spans="1:3">
      <c r="A556" s="423" t="s">
        <v>35</v>
      </c>
      <c r="B556" s="423" t="s">
        <v>1689</v>
      </c>
      <c r="C556" s="423" t="s">
        <v>739</v>
      </c>
    </row>
    <row r="557" spans="1:3">
      <c r="A557" s="423" t="s">
        <v>37</v>
      </c>
      <c r="B557" s="423" t="s">
        <v>1850</v>
      </c>
      <c r="C557" s="423" t="s">
        <v>744</v>
      </c>
    </row>
    <row r="558" spans="1:3">
      <c r="A558" s="423" t="s">
        <v>39</v>
      </c>
      <c r="B558" s="423" t="s">
        <v>1344</v>
      </c>
      <c r="C558" s="423" t="s">
        <v>1477</v>
      </c>
    </row>
    <row r="559" spans="1:3">
      <c r="A559" s="423" t="s">
        <v>35</v>
      </c>
      <c r="B559" s="423" t="s">
        <v>446</v>
      </c>
      <c r="C559" s="423" t="s">
        <v>742</v>
      </c>
    </row>
    <row r="560" spans="1:3">
      <c r="A560" s="423" t="s">
        <v>37</v>
      </c>
      <c r="B560" s="423" t="s">
        <v>615</v>
      </c>
      <c r="C560" s="423" t="s">
        <v>751</v>
      </c>
    </row>
    <row r="561" spans="1:3">
      <c r="A561" s="423" t="s">
        <v>37</v>
      </c>
      <c r="B561" s="423" t="s">
        <v>617</v>
      </c>
      <c r="C561" s="423" t="s">
        <v>737</v>
      </c>
    </row>
    <row r="562" spans="1:3">
      <c r="A562" s="423" t="s">
        <v>37</v>
      </c>
      <c r="B562" s="423" t="s">
        <v>618</v>
      </c>
      <c r="C562" s="423" t="s">
        <v>751</v>
      </c>
    </row>
    <row r="563" spans="1:3">
      <c r="A563" s="423" t="s">
        <v>41</v>
      </c>
      <c r="B563" s="423" t="s">
        <v>1842</v>
      </c>
      <c r="C563" s="423" t="s">
        <v>740</v>
      </c>
    </row>
    <row r="564" spans="1:3">
      <c r="A564" s="423" t="s">
        <v>39</v>
      </c>
      <c r="B564" s="423" t="s">
        <v>1758</v>
      </c>
      <c r="C564" s="423" t="s">
        <v>1478</v>
      </c>
    </row>
    <row r="565" spans="1:3">
      <c r="A565" s="423" t="s">
        <v>35</v>
      </c>
      <c r="B565" s="423" t="s">
        <v>1816</v>
      </c>
      <c r="C565" s="423" t="s">
        <v>747</v>
      </c>
    </row>
    <row r="566" spans="1:3">
      <c r="A566" s="423" t="s">
        <v>37</v>
      </c>
      <c r="B566" s="423" t="s">
        <v>623</v>
      </c>
      <c r="C566" s="423" t="s">
        <v>746</v>
      </c>
    </row>
    <row r="567" spans="1:3">
      <c r="A567" s="423" t="s">
        <v>43</v>
      </c>
      <c r="B567" s="423" t="s">
        <v>522</v>
      </c>
      <c r="C567" s="423" t="s">
        <v>749</v>
      </c>
    </row>
    <row r="568" spans="1:3">
      <c r="A568" s="423" t="s">
        <v>37</v>
      </c>
      <c r="B568" s="423" t="s">
        <v>625</v>
      </c>
      <c r="C568" s="423" t="s">
        <v>747</v>
      </c>
    </row>
    <row r="569" spans="1:3">
      <c r="A569" s="423" t="s">
        <v>41</v>
      </c>
      <c r="B569" s="423" t="s">
        <v>1747</v>
      </c>
      <c r="C569" s="423" t="s">
        <v>744</v>
      </c>
    </row>
    <row r="570" spans="1:3">
      <c r="A570" s="423" t="s">
        <v>39</v>
      </c>
      <c r="B570" s="423" t="s">
        <v>624</v>
      </c>
      <c r="C570" s="423" t="s">
        <v>749</v>
      </c>
    </row>
    <row r="571" spans="1:3">
      <c r="A571" s="423" t="s">
        <v>35</v>
      </c>
      <c r="B571" s="423" t="s">
        <v>448</v>
      </c>
      <c r="C571" s="423" t="s">
        <v>743</v>
      </c>
    </row>
    <row r="572" spans="1:3">
      <c r="A572" s="423" t="s">
        <v>39</v>
      </c>
      <c r="B572" s="423" t="s">
        <v>1859</v>
      </c>
      <c r="C572" s="423" t="s">
        <v>1478</v>
      </c>
    </row>
    <row r="573" spans="1:3">
      <c r="A573" s="423" t="s">
        <v>39</v>
      </c>
      <c r="B573" s="423" t="s">
        <v>1860</v>
      </c>
      <c r="C573" s="423" t="s">
        <v>1478</v>
      </c>
    </row>
    <row r="574" spans="1:3">
      <c r="A574" s="423" t="s">
        <v>37</v>
      </c>
      <c r="B574" s="423" t="s">
        <v>626</v>
      </c>
      <c r="C574" s="423" t="s">
        <v>743</v>
      </c>
    </row>
  </sheetData>
  <sheetProtection selectLockedCells="1" selectUnlockedCells="1"/>
  <sortState ref="A3:C574">
    <sortCondition ref="B3:B574"/>
  </sortState>
  <mergeCells count="1">
    <mergeCell ref="A1:C1"/>
  </mergeCells>
  <pageMargins left="0.7" right="0.7" top="0.75" bottom="0.75" header="0.51180555555555551" footer="0.51180555555555551"/>
  <pageSetup paperSize="9"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21">
    <tabColor rgb="FFFFCC99"/>
  </sheetPr>
  <dimension ref="A1:C577"/>
  <sheetViews>
    <sheetView workbookViewId="0">
      <selection activeCell="L23" sqref="L23"/>
    </sheetView>
  </sheetViews>
  <sheetFormatPr defaultRowHeight="12.75"/>
  <cols>
    <col min="1" max="1" width="7" bestFit="1" customWidth="1"/>
    <col min="2" max="2" width="11" bestFit="1" customWidth="1"/>
    <col min="3" max="3" width="12.140625" customWidth="1"/>
  </cols>
  <sheetData>
    <row r="1" spans="1:3" ht="15.75">
      <c r="A1" s="578" t="s">
        <v>1321</v>
      </c>
      <c r="B1" s="579"/>
      <c r="C1" s="580"/>
    </row>
    <row r="2" spans="1:3" ht="15">
      <c r="A2" s="223" t="s">
        <v>638</v>
      </c>
      <c r="B2" s="223" t="s">
        <v>920</v>
      </c>
      <c r="C2" s="223" t="s">
        <v>637</v>
      </c>
    </row>
    <row r="8" spans="1:3">
      <c r="A8" s="94"/>
      <c r="B8" s="95"/>
      <c r="C8" s="94"/>
    </row>
    <row r="9" spans="1:3">
      <c r="A9" s="94"/>
      <c r="B9" s="95"/>
      <c r="C9" s="94"/>
    </row>
    <row r="10" spans="1:3">
      <c r="A10" s="94"/>
      <c r="B10" s="95"/>
      <c r="C10" s="94"/>
    </row>
    <row r="11" spans="1:3">
      <c r="A11" s="94"/>
      <c r="B11" s="95"/>
      <c r="C11" s="94"/>
    </row>
    <row r="12" spans="1:3">
      <c r="A12" s="94"/>
      <c r="B12" s="95"/>
      <c r="C12" s="94"/>
    </row>
    <row r="13" spans="1:3">
      <c r="A13" s="94"/>
      <c r="B13" s="95"/>
      <c r="C13" s="94"/>
    </row>
    <row r="14" spans="1:3">
      <c r="A14" s="94"/>
      <c r="B14" s="95"/>
      <c r="C14" s="94"/>
    </row>
    <row r="15" spans="1:3">
      <c r="A15" s="94"/>
      <c r="B15" s="95"/>
      <c r="C15" s="94"/>
    </row>
    <row r="16" spans="1:3">
      <c r="A16" s="94"/>
      <c r="B16" s="95"/>
      <c r="C16" s="94"/>
    </row>
    <row r="17" spans="1:3">
      <c r="A17" s="94"/>
      <c r="B17" s="95"/>
      <c r="C17" s="94"/>
    </row>
    <row r="18" spans="1:3">
      <c r="A18" s="94"/>
      <c r="B18" s="95"/>
      <c r="C18" s="94"/>
    </row>
    <row r="19" spans="1:3">
      <c r="A19" s="94"/>
      <c r="B19" s="95"/>
      <c r="C19" s="94"/>
    </row>
    <row r="20" spans="1:3">
      <c r="A20" s="94"/>
      <c r="B20" s="95"/>
      <c r="C20" s="94"/>
    </row>
    <row r="21" spans="1:3">
      <c r="A21" s="94"/>
      <c r="B21" s="95"/>
      <c r="C21" s="94"/>
    </row>
    <row r="22" spans="1:3">
      <c r="A22" s="94"/>
      <c r="B22" s="95"/>
      <c r="C22" s="94"/>
    </row>
    <row r="23" spans="1:3">
      <c r="A23" s="94"/>
      <c r="B23" s="95"/>
      <c r="C23" s="94"/>
    </row>
    <row r="24" spans="1:3">
      <c r="A24" s="94"/>
      <c r="B24" s="95"/>
      <c r="C24" s="94"/>
    </row>
    <row r="25" spans="1:3">
      <c r="A25" s="94"/>
      <c r="B25" s="95"/>
      <c r="C25" s="94"/>
    </row>
    <row r="26" spans="1:3">
      <c r="A26" s="94"/>
      <c r="B26" s="95"/>
      <c r="C26" s="94"/>
    </row>
    <row r="27" spans="1:3">
      <c r="A27" s="94"/>
      <c r="B27" s="95"/>
      <c r="C27" s="94"/>
    </row>
    <row r="28" spans="1:3">
      <c r="A28" s="94"/>
      <c r="B28" s="95"/>
      <c r="C28" s="94"/>
    </row>
    <row r="29" spans="1:3">
      <c r="A29" s="94"/>
      <c r="B29" s="95"/>
      <c r="C29" s="94"/>
    </row>
    <row r="30" spans="1:3">
      <c r="A30" s="94"/>
      <c r="B30" s="95"/>
      <c r="C30" s="94"/>
    </row>
    <row r="31" spans="1:3">
      <c r="A31" s="94"/>
      <c r="B31" s="95"/>
      <c r="C31" s="94"/>
    </row>
    <row r="32" spans="1:3">
      <c r="A32" s="94"/>
      <c r="B32" s="95"/>
      <c r="C32" s="94"/>
    </row>
    <row r="33" spans="1:3">
      <c r="A33" s="94"/>
      <c r="B33" s="95"/>
      <c r="C33" s="94"/>
    </row>
    <row r="34" spans="1:3">
      <c r="A34" s="94"/>
      <c r="B34" s="95"/>
      <c r="C34" s="94"/>
    </row>
    <row r="35" spans="1:3">
      <c r="A35" s="94"/>
      <c r="B35" s="95"/>
      <c r="C35" s="94"/>
    </row>
    <row r="36" spans="1:3">
      <c r="A36" s="94"/>
      <c r="B36" s="95"/>
      <c r="C36" s="94"/>
    </row>
    <row r="37" spans="1:3">
      <c r="A37" s="94"/>
      <c r="B37" s="95"/>
      <c r="C37" s="94"/>
    </row>
    <row r="38" spans="1:3">
      <c r="A38" s="94"/>
      <c r="B38" s="95"/>
      <c r="C38" s="94"/>
    </row>
    <row r="39" spans="1:3">
      <c r="A39" s="94"/>
      <c r="B39" s="95"/>
      <c r="C39" s="94"/>
    </row>
    <row r="40" spans="1:3">
      <c r="A40" s="94"/>
      <c r="B40" s="95"/>
      <c r="C40" s="94"/>
    </row>
    <row r="41" spans="1:3">
      <c r="A41" s="94"/>
      <c r="B41" s="95"/>
      <c r="C41" s="94"/>
    </row>
    <row r="42" spans="1:3">
      <c r="A42" s="94"/>
      <c r="B42" s="95"/>
      <c r="C42" s="94"/>
    </row>
    <row r="43" spans="1:3">
      <c r="A43" s="94"/>
      <c r="B43" s="95"/>
      <c r="C43" s="94"/>
    </row>
    <row r="44" spans="1:3">
      <c r="A44" s="94"/>
      <c r="B44" s="95"/>
      <c r="C44" s="94"/>
    </row>
    <row r="45" spans="1:3">
      <c r="A45" s="94"/>
      <c r="B45" s="95"/>
      <c r="C45" s="94"/>
    </row>
    <row r="46" spans="1:3">
      <c r="A46" s="94"/>
      <c r="B46" s="95"/>
      <c r="C46" s="94"/>
    </row>
    <row r="47" spans="1:3">
      <c r="A47" s="94"/>
      <c r="B47" s="95"/>
      <c r="C47" s="94"/>
    </row>
    <row r="48" spans="1:3">
      <c r="A48" s="94"/>
      <c r="B48" s="95"/>
      <c r="C48" s="94"/>
    </row>
    <row r="49" spans="1:3">
      <c r="A49" s="94"/>
      <c r="B49" s="95"/>
      <c r="C49" s="94"/>
    </row>
    <row r="50" spans="1:3">
      <c r="A50" s="94"/>
      <c r="B50" s="95"/>
      <c r="C50" s="94"/>
    </row>
    <row r="51" spans="1:3">
      <c r="A51" s="94"/>
      <c r="B51" s="95"/>
      <c r="C51" s="94"/>
    </row>
    <row r="52" spans="1:3">
      <c r="A52" s="94"/>
      <c r="B52" s="95"/>
      <c r="C52" s="94"/>
    </row>
    <row r="53" spans="1:3">
      <c r="A53" s="94"/>
      <c r="B53" s="95"/>
      <c r="C53" s="94"/>
    </row>
    <row r="54" spans="1:3">
      <c r="A54" s="94"/>
      <c r="B54" s="95"/>
      <c r="C54" s="94"/>
    </row>
    <row r="55" spans="1:3">
      <c r="A55" s="94"/>
      <c r="B55" s="95"/>
      <c r="C55" s="94"/>
    </row>
    <row r="56" spans="1:3">
      <c r="A56" s="94"/>
      <c r="B56" s="95"/>
      <c r="C56" s="94"/>
    </row>
    <row r="57" spans="1:3">
      <c r="A57" s="94"/>
      <c r="B57" s="95"/>
      <c r="C57" s="94"/>
    </row>
    <row r="58" spans="1:3">
      <c r="A58" s="94"/>
      <c r="B58" s="95"/>
      <c r="C58" s="94"/>
    </row>
    <row r="59" spans="1:3">
      <c r="A59" s="94"/>
      <c r="B59" s="95"/>
      <c r="C59" s="94"/>
    </row>
    <row r="60" spans="1:3">
      <c r="A60" s="94"/>
      <c r="B60" s="95"/>
      <c r="C60" s="94"/>
    </row>
    <row r="61" spans="1:3">
      <c r="A61" s="94"/>
      <c r="B61" s="95"/>
      <c r="C61" s="94"/>
    </row>
    <row r="62" spans="1:3">
      <c r="A62" s="94"/>
      <c r="B62" s="95"/>
      <c r="C62" s="94"/>
    </row>
    <row r="63" spans="1:3">
      <c r="A63" s="94"/>
      <c r="B63" s="95"/>
      <c r="C63" s="94"/>
    </row>
    <row r="64" spans="1:3">
      <c r="A64" s="94"/>
      <c r="B64" s="95"/>
      <c r="C64" s="94"/>
    </row>
    <row r="65" spans="1:3">
      <c r="A65" s="94"/>
      <c r="B65" s="95"/>
      <c r="C65" s="94"/>
    </row>
    <row r="66" spans="1:3">
      <c r="A66" s="94"/>
      <c r="B66" s="95"/>
      <c r="C66" s="94"/>
    </row>
    <row r="67" spans="1:3">
      <c r="A67" s="94"/>
      <c r="B67" s="95"/>
      <c r="C67" s="94"/>
    </row>
    <row r="68" spans="1:3">
      <c r="A68" s="94"/>
      <c r="B68" s="95"/>
      <c r="C68" s="94"/>
    </row>
    <row r="69" spans="1:3">
      <c r="A69" s="94"/>
      <c r="B69" s="95"/>
      <c r="C69" s="94"/>
    </row>
    <row r="70" spans="1:3">
      <c r="A70" s="94"/>
      <c r="B70" s="95"/>
      <c r="C70" s="94"/>
    </row>
    <row r="71" spans="1:3">
      <c r="A71" s="94"/>
      <c r="B71" s="95"/>
      <c r="C71" s="94"/>
    </row>
    <row r="72" spans="1:3">
      <c r="A72" s="94"/>
      <c r="B72" s="95"/>
      <c r="C72" s="94"/>
    </row>
    <row r="73" spans="1:3">
      <c r="A73" s="94"/>
      <c r="B73" s="95"/>
      <c r="C73" s="94"/>
    </row>
    <row r="74" spans="1:3">
      <c r="A74" s="94"/>
      <c r="B74" s="95"/>
      <c r="C74" s="94"/>
    </row>
    <row r="75" spans="1:3">
      <c r="A75" s="94"/>
      <c r="B75" s="95"/>
      <c r="C75" s="94"/>
    </row>
    <row r="76" spans="1:3">
      <c r="A76" s="94"/>
      <c r="B76" s="95"/>
      <c r="C76" s="94"/>
    </row>
    <row r="77" spans="1:3">
      <c r="A77" s="94"/>
      <c r="B77" s="95"/>
      <c r="C77" s="94"/>
    </row>
    <row r="78" spans="1:3">
      <c r="A78" s="94"/>
      <c r="B78" s="95"/>
      <c r="C78" s="94"/>
    </row>
    <row r="79" spans="1:3">
      <c r="A79" s="94"/>
      <c r="B79" s="95"/>
      <c r="C79" s="94"/>
    </row>
    <row r="80" spans="1:3">
      <c r="A80" s="94"/>
      <c r="B80" s="95"/>
      <c r="C80" s="94"/>
    </row>
    <row r="81" spans="1:3">
      <c r="A81" s="94"/>
      <c r="B81" s="95"/>
      <c r="C81" s="94"/>
    </row>
    <row r="82" spans="1:3">
      <c r="A82" s="94"/>
      <c r="B82" s="95"/>
      <c r="C82" s="94"/>
    </row>
    <row r="83" spans="1:3">
      <c r="A83" s="94"/>
      <c r="B83" s="95"/>
      <c r="C83" s="94"/>
    </row>
    <row r="84" spans="1:3">
      <c r="A84" s="94"/>
      <c r="B84" s="95"/>
      <c r="C84" s="94"/>
    </row>
    <row r="85" spans="1:3">
      <c r="A85" s="94"/>
      <c r="B85" s="95"/>
      <c r="C85" s="94"/>
    </row>
    <row r="86" spans="1:3">
      <c r="A86" s="94"/>
      <c r="B86" s="95"/>
      <c r="C86" s="94"/>
    </row>
    <row r="87" spans="1:3">
      <c r="A87" s="94"/>
      <c r="B87" s="95"/>
      <c r="C87" s="94"/>
    </row>
    <row r="88" spans="1:3">
      <c r="A88" s="94"/>
      <c r="B88" s="95"/>
      <c r="C88" s="94"/>
    </row>
    <row r="89" spans="1:3">
      <c r="A89" s="94"/>
      <c r="B89" s="95"/>
      <c r="C89" s="94"/>
    </row>
    <row r="90" spans="1:3">
      <c r="A90" s="94"/>
      <c r="B90" s="95"/>
      <c r="C90" s="94"/>
    </row>
    <row r="91" spans="1:3">
      <c r="A91" s="94"/>
      <c r="B91" s="95"/>
      <c r="C91" s="94"/>
    </row>
    <row r="92" spans="1:3">
      <c r="A92" s="94"/>
      <c r="B92" s="95"/>
      <c r="C92" s="94"/>
    </row>
    <row r="93" spans="1:3">
      <c r="A93" s="94"/>
      <c r="B93" s="95"/>
      <c r="C93" s="94"/>
    </row>
    <row r="94" spans="1:3">
      <c r="A94" s="94"/>
      <c r="B94" s="95"/>
      <c r="C94" s="94"/>
    </row>
    <row r="95" spans="1:3">
      <c r="A95" s="94"/>
      <c r="B95" s="95"/>
      <c r="C95" s="94"/>
    </row>
    <row r="96" spans="1:3">
      <c r="A96" s="94"/>
      <c r="B96" s="95"/>
      <c r="C96" s="94"/>
    </row>
    <row r="97" spans="1:3">
      <c r="A97" s="94"/>
      <c r="B97" s="95"/>
      <c r="C97" s="94"/>
    </row>
    <row r="98" spans="1:3">
      <c r="A98" s="94"/>
      <c r="B98" s="95"/>
      <c r="C98" s="94"/>
    </row>
    <row r="99" spans="1:3">
      <c r="A99" s="94"/>
      <c r="B99" s="95"/>
      <c r="C99" s="94"/>
    </row>
    <row r="100" spans="1:3">
      <c r="A100" s="94"/>
      <c r="B100" s="95"/>
      <c r="C100" s="94"/>
    </row>
    <row r="101" spans="1:3">
      <c r="A101" s="94"/>
      <c r="B101" s="95"/>
      <c r="C101" s="94"/>
    </row>
    <row r="102" spans="1:3">
      <c r="A102" s="94"/>
      <c r="B102" s="95"/>
      <c r="C102" s="94"/>
    </row>
    <row r="103" spans="1:3">
      <c r="A103" s="94"/>
      <c r="B103" s="95"/>
      <c r="C103" s="94"/>
    </row>
    <row r="104" spans="1:3">
      <c r="A104" s="94"/>
      <c r="B104" s="95"/>
      <c r="C104" s="94"/>
    </row>
    <row r="105" spans="1:3">
      <c r="A105" s="94"/>
      <c r="B105" s="95"/>
      <c r="C105" s="94"/>
    </row>
    <row r="106" spans="1:3">
      <c r="A106" s="94"/>
      <c r="B106" s="95"/>
      <c r="C106" s="94"/>
    </row>
    <row r="107" spans="1:3">
      <c r="A107" s="94"/>
      <c r="B107" s="95"/>
      <c r="C107" s="94"/>
    </row>
    <row r="108" spans="1:3">
      <c r="A108" s="94"/>
      <c r="B108" s="95"/>
      <c r="C108" s="94"/>
    </row>
    <row r="109" spans="1:3">
      <c r="A109" s="94"/>
      <c r="B109" s="95"/>
      <c r="C109" s="94"/>
    </row>
    <row r="110" spans="1:3">
      <c r="A110" s="94"/>
      <c r="B110" s="95"/>
      <c r="C110" s="94"/>
    </row>
    <row r="111" spans="1:3">
      <c r="A111" s="94"/>
      <c r="B111" s="95"/>
      <c r="C111" s="94"/>
    </row>
    <row r="114" spans="1:3">
      <c r="A114" s="94"/>
      <c r="B114" s="95"/>
      <c r="C114" s="94"/>
    </row>
    <row r="115" spans="1:3">
      <c r="A115" s="94"/>
      <c r="B115" s="95"/>
      <c r="C115" s="94"/>
    </row>
    <row r="116" spans="1:3">
      <c r="A116" s="94"/>
      <c r="B116" s="95"/>
      <c r="C116" s="94"/>
    </row>
    <row r="117" spans="1:3">
      <c r="A117" s="94"/>
      <c r="B117" s="95"/>
      <c r="C117" s="94"/>
    </row>
    <row r="118" spans="1:3">
      <c r="A118" s="94"/>
      <c r="B118" s="95"/>
      <c r="C118" s="94"/>
    </row>
    <row r="119" spans="1:3">
      <c r="A119" s="94"/>
      <c r="B119" s="95"/>
      <c r="C119" s="94"/>
    </row>
    <row r="120" spans="1:3">
      <c r="A120" s="94"/>
      <c r="B120" s="95"/>
      <c r="C120" s="94"/>
    </row>
    <row r="121" spans="1:3">
      <c r="A121" s="94"/>
      <c r="B121" s="95"/>
      <c r="C121" s="94"/>
    </row>
    <row r="122" spans="1:3" ht="15.75" customHeight="1">
      <c r="A122" s="94"/>
      <c r="B122" s="95"/>
      <c r="C122" s="94"/>
    </row>
    <row r="123" spans="1:3">
      <c r="A123" s="94"/>
      <c r="B123" s="95"/>
      <c r="C123" s="94"/>
    </row>
    <row r="124" spans="1:3">
      <c r="A124" s="94"/>
      <c r="B124" s="95"/>
      <c r="C124" s="94"/>
    </row>
    <row r="125" spans="1:3">
      <c r="A125" s="94"/>
      <c r="B125" s="95"/>
      <c r="C125" s="94"/>
    </row>
    <row r="126" spans="1:3">
      <c r="A126" s="94"/>
      <c r="B126" s="95"/>
      <c r="C126" s="94"/>
    </row>
    <row r="127" spans="1:3">
      <c r="A127" s="94"/>
      <c r="B127" s="95"/>
      <c r="C127" s="94"/>
    </row>
    <row r="128" spans="1:3">
      <c r="A128" s="94"/>
      <c r="B128" s="95"/>
      <c r="C128" s="94"/>
    </row>
    <row r="129" spans="1:3">
      <c r="A129" s="94"/>
      <c r="B129" s="95"/>
      <c r="C129" s="94"/>
    </row>
    <row r="130" spans="1:3">
      <c r="A130" s="94"/>
      <c r="B130" s="95"/>
      <c r="C130" s="94"/>
    </row>
    <row r="131" spans="1:3" ht="15.75" customHeight="1">
      <c r="A131" s="94"/>
      <c r="B131" s="95"/>
      <c r="C131" s="94"/>
    </row>
    <row r="132" spans="1:3">
      <c r="A132" s="94"/>
      <c r="B132" s="95"/>
      <c r="C132" s="94"/>
    </row>
    <row r="133" spans="1:3">
      <c r="A133" s="94"/>
      <c r="B133" s="95"/>
      <c r="C133" s="94"/>
    </row>
    <row r="134" spans="1:3">
      <c r="A134" s="94"/>
      <c r="B134" s="95"/>
      <c r="C134" s="94"/>
    </row>
    <row r="135" spans="1:3">
      <c r="A135" s="94"/>
      <c r="B135" s="95"/>
      <c r="C135" s="94"/>
    </row>
    <row r="136" spans="1:3">
      <c r="A136" s="94"/>
      <c r="B136" s="95"/>
      <c r="C136" s="94"/>
    </row>
    <row r="137" spans="1:3">
      <c r="A137" s="94"/>
      <c r="B137" s="95"/>
      <c r="C137" s="94"/>
    </row>
    <row r="138" spans="1:3">
      <c r="A138" s="94"/>
      <c r="B138" s="95"/>
      <c r="C138" s="94"/>
    </row>
    <row r="139" spans="1:3">
      <c r="A139" s="94"/>
      <c r="B139" s="95"/>
      <c r="C139" s="94"/>
    </row>
    <row r="140" spans="1:3">
      <c r="A140" s="94"/>
      <c r="B140" s="95"/>
      <c r="C140" s="94"/>
    </row>
    <row r="141" spans="1:3">
      <c r="A141" s="94"/>
      <c r="B141" s="95"/>
      <c r="C141" s="94"/>
    </row>
    <row r="142" spans="1:3">
      <c r="A142" s="94"/>
      <c r="B142" s="95"/>
      <c r="C142" s="94"/>
    </row>
    <row r="143" spans="1:3">
      <c r="A143" s="94"/>
      <c r="B143" s="95"/>
      <c r="C143" s="94"/>
    </row>
    <row r="144" spans="1:3">
      <c r="A144" s="94"/>
      <c r="B144" s="95"/>
      <c r="C144" s="94"/>
    </row>
    <row r="145" spans="1:3" ht="15.75" customHeight="1">
      <c r="A145" s="94"/>
      <c r="B145" s="95"/>
      <c r="C145" s="94"/>
    </row>
    <row r="146" spans="1:3">
      <c r="A146" s="94"/>
      <c r="B146" s="95"/>
      <c r="C146" s="94"/>
    </row>
    <row r="147" spans="1:3">
      <c r="A147" s="94"/>
      <c r="B147" s="95"/>
      <c r="C147" s="94"/>
    </row>
    <row r="148" spans="1:3">
      <c r="A148" s="94"/>
      <c r="B148" s="95"/>
      <c r="C148" s="94"/>
    </row>
    <row r="149" spans="1:3">
      <c r="A149" s="94"/>
      <c r="B149" s="95"/>
      <c r="C149" s="94"/>
    </row>
    <row r="150" spans="1:3">
      <c r="A150" s="94"/>
      <c r="B150" s="95"/>
      <c r="C150" s="94"/>
    </row>
    <row r="151" spans="1:3">
      <c r="A151" s="94"/>
      <c r="B151" s="95"/>
      <c r="C151" s="94"/>
    </row>
    <row r="152" spans="1:3">
      <c r="A152" s="94"/>
      <c r="B152" s="95"/>
      <c r="C152" s="94"/>
    </row>
    <row r="153" spans="1:3">
      <c r="A153" s="94"/>
      <c r="B153" s="95"/>
      <c r="C153" s="94"/>
    </row>
    <row r="154" spans="1:3">
      <c r="A154" s="94"/>
      <c r="B154" s="95"/>
      <c r="C154" s="94"/>
    </row>
    <row r="155" spans="1:3">
      <c r="A155" s="94"/>
      <c r="B155" s="95"/>
      <c r="C155" s="94"/>
    </row>
    <row r="156" spans="1:3">
      <c r="A156" s="94"/>
      <c r="B156" s="95"/>
      <c r="C156" s="94"/>
    </row>
    <row r="157" spans="1:3">
      <c r="A157" s="94"/>
      <c r="B157" s="95"/>
      <c r="C157" s="94"/>
    </row>
    <row r="158" spans="1:3">
      <c r="A158" s="94"/>
      <c r="B158" s="95"/>
      <c r="C158" s="94"/>
    </row>
    <row r="159" spans="1:3">
      <c r="A159" s="94"/>
      <c r="B159" s="95"/>
      <c r="C159" s="94"/>
    </row>
    <row r="160" spans="1:3">
      <c r="A160" s="94"/>
      <c r="B160" s="95"/>
      <c r="C160" s="94"/>
    </row>
    <row r="161" spans="1:3">
      <c r="A161" s="94"/>
      <c r="B161" s="95"/>
      <c r="C161" s="94"/>
    </row>
    <row r="162" spans="1:3">
      <c r="A162" s="94"/>
      <c r="B162" s="95"/>
      <c r="C162" s="94"/>
    </row>
    <row r="163" spans="1:3">
      <c r="A163" s="94"/>
      <c r="B163" s="95"/>
      <c r="C163" s="94"/>
    </row>
    <row r="164" spans="1:3">
      <c r="A164" s="94"/>
      <c r="B164" s="95"/>
      <c r="C164" s="94"/>
    </row>
    <row r="165" spans="1:3">
      <c r="A165" s="94"/>
      <c r="B165" s="95"/>
      <c r="C165" s="94"/>
    </row>
    <row r="166" spans="1:3">
      <c r="A166" s="94"/>
      <c r="B166" s="95"/>
      <c r="C166" s="94"/>
    </row>
    <row r="167" spans="1:3">
      <c r="A167" s="94"/>
      <c r="B167" s="95"/>
      <c r="C167" s="94"/>
    </row>
    <row r="168" spans="1:3">
      <c r="A168" s="94"/>
      <c r="B168" s="95"/>
      <c r="C168" s="94"/>
    </row>
    <row r="169" spans="1:3">
      <c r="A169" s="94"/>
      <c r="B169" s="95"/>
      <c r="C169" s="94"/>
    </row>
    <row r="170" spans="1:3">
      <c r="A170" s="94"/>
      <c r="B170" s="95"/>
      <c r="C170" s="94"/>
    </row>
    <row r="171" spans="1:3">
      <c r="A171" s="94"/>
      <c r="B171" s="95"/>
      <c r="C171" s="94"/>
    </row>
    <row r="172" spans="1:3">
      <c r="A172" s="94"/>
      <c r="B172" s="95"/>
      <c r="C172" s="94"/>
    </row>
    <row r="173" spans="1:3">
      <c r="A173" s="94"/>
      <c r="B173" s="95"/>
      <c r="C173" s="94"/>
    </row>
    <row r="174" spans="1:3">
      <c r="A174" s="94"/>
      <c r="B174" s="95"/>
      <c r="C174" s="94"/>
    </row>
    <row r="175" spans="1:3">
      <c r="A175" s="94"/>
      <c r="B175" s="95"/>
      <c r="C175" s="94"/>
    </row>
    <row r="176" spans="1:3">
      <c r="A176" s="94"/>
      <c r="B176" s="95"/>
      <c r="C176" s="94"/>
    </row>
    <row r="177" spans="1:3">
      <c r="A177" s="94"/>
      <c r="B177" s="95"/>
      <c r="C177" s="94"/>
    </row>
    <row r="178" spans="1:3">
      <c r="A178" s="94"/>
      <c r="B178" s="95"/>
      <c r="C178" s="94"/>
    </row>
    <row r="179" spans="1:3">
      <c r="A179" s="94"/>
      <c r="B179" s="95"/>
      <c r="C179" s="94"/>
    </row>
    <row r="180" spans="1:3">
      <c r="A180" s="94"/>
      <c r="B180" s="95"/>
      <c r="C180" s="94"/>
    </row>
    <row r="181" spans="1:3">
      <c r="A181" s="94"/>
      <c r="B181" s="95"/>
      <c r="C181" s="94"/>
    </row>
    <row r="182" spans="1:3">
      <c r="A182" s="94"/>
      <c r="B182" s="95"/>
      <c r="C182" s="94"/>
    </row>
    <row r="183" spans="1:3">
      <c r="A183" s="94"/>
      <c r="B183" s="95"/>
      <c r="C183" s="94"/>
    </row>
    <row r="184" spans="1:3">
      <c r="A184" s="94"/>
      <c r="B184" s="95"/>
      <c r="C184" s="94"/>
    </row>
    <row r="185" spans="1:3">
      <c r="A185" s="94"/>
      <c r="B185" s="95"/>
      <c r="C185" s="94"/>
    </row>
    <row r="186" spans="1:3">
      <c r="A186" s="94"/>
      <c r="B186" s="95"/>
      <c r="C186" s="94"/>
    </row>
    <row r="187" spans="1:3">
      <c r="A187" s="94"/>
      <c r="B187" s="95"/>
      <c r="C187" s="94"/>
    </row>
    <row r="188" spans="1:3">
      <c r="A188" s="94"/>
      <c r="B188" s="95"/>
      <c r="C188" s="94"/>
    </row>
    <row r="189" spans="1:3">
      <c r="A189" s="94"/>
      <c r="B189" s="95"/>
      <c r="C189" s="94"/>
    </row>
    <row r="190" spans="1:3">
      <c r="A190" s="94"/>
      <c r="B190" s="95"/>
      <c r="C190" s="94"/>
    </row>
    <row r="191" spans="1:3">
      <c r="A191" s="94"/>
      <c r="B191" s="95"/>
      <c r="C191" s="94"/>
    </row>
    <row r="192" spans="1:3">
      <c r="A192" s="94"/>
      <c r="B192" s="95"/>
      <c r="C192" s="94"/>
    </row>
    <row r="193" spans="1:3">
      <c r="A193" s="94"/>
      <c r="B193" s="95"/>
      <c r="C193" s="94"/>
    </row>
    <row r="194" spans="1:3">
      <c r="A194" s="94"/>
      <c r="B194" s="95"/>
      <c r="C194" s="94"/>
    </row>
    <row r="195" spans="1:3">
      <c r="A195" s="94"/>
      <c r="B195" s="95"/>
      <c r="C195" s="94"/>
    </row>
    <row r="196" spans="1:3">
      <c r="A196" s="94"/>
      <c r="B196" s="95"/>
      <c r="C196" s="94"/>
    </row>
    <row r="197" spans="1:3">
      <c r="A197" s="94"/>
      <c r="B197" s="95"/>
      <c r="C197" s="94"/>
    </row>
    <row r="198" spans="1:3">
      <c r="A198" s="94"/>
      <c r="B198" s="95"/>
      <c r="C198" s="94"/>
    </row>
    <row r="199" spans="1:3">
      <c r="A199" s="94"/>
      <c r="B199" s="95"/>
      <c r="C199" s="94"/>
    </row>
    <row r="200" spans="1:3">
      <c r="A200" s="94"/>
      <c r="B200" s="95"/>
      <c r="C200" s="94"/>
    </row>
    <row r="201" spans="1:3">
      <c r="A201" s="94"/>
      <c r="B201" s="95"/>
      <c r="C201" s="94"/>
    </row>
    <row r="202" spans="1:3">
      <c r="A202" s="94"/>
      <c r="B202" s="95"/>
      <c r="C202" s="94"/>
    </row>
    <row r="203" spans="1:3">
      <c r="A203" s="94"/>
      <c r="B203" s="95"/>
      <c r="C203" s="94"/>
    </row>
    <row r="204" spans="1:3">
      <c r="A204" s="94"/>
      <c r="B204" s="95"/>
      <c r="C204" s="94"/>
    </row>
    <row r="205" spans="1:3">
      <c r="A205" s="94"/>
      <c r="B205" s="95"/>
      <c r="C205" s="94"/>
    </row>
    <row r="206" spans="1:3">
      <c r="A206" s="94"/>
      <c r="B206" s="95"/>
      <c r="C206" s="94"/>
    </row>
    <row r="207" spans="1:3">
      <c r="A207" s="94"/>
      <c r="B207" s="95"/>
      <c r="C207" s="94"/>
    </row>
    <row r="208" spans="1:3">
      <c r="A208" s="94"/>
      <c r="B208" s="95"/>
      <c r="C208" s="94"/>
    </row>
    <row r="209" spans="1:3">
      <c r="A209" s="94"/>
      <c r="B209" s="95"/>
      <c r="C209" s="94"/>
    </row>
    <row r="210" spans="1:3">
      <c r="A210" s="94"/>
      <c r="B210" s="95"/>
      <c r="C210" s="94"/>
    </row>
    <row r="211" spans="1:3">
      <c r="A211" s="94"/>
      <c r="B211" s="95"/>
      <c r="C211" s="94"/>
    </row>
    <row r="212" spans="1:3">
      <c r="A212" s="94"/>
      <c r="B212" s="95"/>
      <c r="C212" s="94"/>
    </row>
    <row r="213" spans="1:3">
      <c r="A213" s="94"/>
      <c r="B213" s="95"/>
      <c r="C213" s="94"/>
    </row>
    <row r="214" spans="1:3">
      <c r="A214" s="94"/>
      <c r="B214" s="95"/>
      <c r="C214" s="94"/>
    </row>
    <row r="215" spans="1:3">
      <c r="A215" s="94"/>
      <c r="B215" s="95"/>
      <c r="C215" s="94"/>
    </row>
    <row r="216" spans="1:3">
      <c r="A216" s="94"/>
      <c r="B216" s="95"/>
      <c r="C216" s="94"/>
    </row>
    <row r="217" spans="1:3">
      <c r="A217" s="94"/>
      <c r="B217" s="95"/>
      <c r="C217" s="94"/>
    </row>
    <row r="218" spans="1:3">
      <c r="A218" s="94"/>
      <c r="B218" s="95"/>
      <c r="C218" s="94"/>
    </row>
    <row r="219" spans="1:3" ht="15.75" customHeight="1">
      <c r="A219" s="94"/>
      <c r="B219" s="95"/>
      <c r="C219" s="94"/>
    </row>
    <row r="220" spans="1:3">
      <c r="A220" s="94"/>
      <c r="B220" s="95"/>
      <c r="C220" s="94"/>
    </row>
    <row r="221" spans="1:3">
      <c r="A221" s="94"/>
      <c r="B221" s="95"/>
      <c r="C221" s="94"/>
    </row>
    <row r="222" spans="1:3">
      <c r="A222" s="94"/>
      <c r="B222" s="95"/>
      <c r="C222" s="94"/>
    </row>
    <row r="223" spans="1:3">
      <c r="A223" s="94"/>
      <c r="B223" s="95"/>
      <c r="C223" s="94"/>
    </row>
    <row r="224" spans="1:3">
      <c r="A224" s="94"/>
      <c r="B224" s="95"/>
      <c r="C224" s="94"/>
    </row>
    <row r="225" spans="1:3">
      <c r="A225" s="94"/>
      <c r="B225" s="95"/>
      <c r="C225" s="94"/>
    </row>
    <row r="226" spans="1:3">
      <c r="A226" s="94"/>
      <c r="B226" s="95"/>
      <c r="C226" s="94"/>
    </row>
    <row r="227" spans="1:3">
      <c r="A227" s="94"/>
      <c r="B227" s="95"/>
      <c r="C227" s="94"/>
    </row>
    <row r="228" spans="1:3">
      <c r="A228" s="94"/>
      <c r="B228" s="95"/>
      <c r="C228" s="94"/>
    </row>
    <row r="229" spans="1:3">
      <c r="A229" s="94"/>
      <c r="B229" s="95"/>
      <c r="C229" s="94"/>
    </row>
    <row r="230" spans="1:3">
      <c r="A230" s="94"/>
      <c r="B230" s="95"/>
      <c r="C230" s="94"/>
    </row>
    <row r="231" spans="1:3">
      <c r="A231" s="94"/>
      <c r="B231" s="95"/>
      <c r="C231" s="94"/>
    </row>
    <row r="232" spans="1:3">
      <c r="A232" s="94"/>
      <c r="B232" s="95"/>
      <c r="C232" s="94"/>
    </row>
    <row r="233" spans="1:3">
      <c r="A233" s="94"/>
      <c r="B233" s="95"/>
      <c r="C233" s="94"/>
    </row>
    <row r="234" spans="1:3">
      <c r="A234" s="94"/>
      <c r="B234" s="95"/>
      <c r="C234" s="94"/>
    </row>
    <row r="235" spans="1:3">
      <c r="A235" s="94"/>
      <c r="B235" s="95"/>
      <c r="C235" s="94"/>
    </row>
    <row r="236" spans="1:3">
      <c r="A236" s="94"/>
      <c r="B236" s="95"/>
      <c r="C236" s="94"/>
    </row>
    <row r="237" spans="1:3">
      <c r="A237" s="94"/>
      <c r="B237" s="95"/>
      <c r="C237" s="94"/>
    </row>
    <row r="238" spans="1:3">
      <c r="A238" s="94"/>
      <c r="B238" s="95"/>
      <c r="C238" s="94"/>
    </row>
    <row r="239" spans="1:3">
      <c r="A239" s="94"/>
      <c r="B239" s="95"/>
      <c r="C239" s="94"/>
    </row>
    <row r="240" spans="1:3">
      <c r="A240" s="94"/>
      <c r="B240" s="95"/>
      <c r="C240" s="94"/>
    </row>
    <row r="241" spans="1:3">
      <c r="A241" s="94"/>
      <c r="B241" s="95"/>
      <c r="C241" s="94"/>
    </row>
    <row r="242" spans="1:3">
      <c r="A242" s="94"/>
      <c r="B242" s="95"/>
      <c r="C242" s="94"/>
    </row>
    <row r="243" spans="1:3">
      <c r="A243" s="94"/>
      <c r="B243" s="95"/>
      <c r="C243" s="94"/>
    </row>
    <row r="244" spans="1:3">
      <c r="A244" s="94"/>
      <c r="B244" s="95"/>
      <c r="C244" s="94"/>
    </row>
    <row r="245" spans="1:3">
      <c r="A245" s="94"/>
      <c r="B245" s="95"/>
      <c r="C245" s="94"/>
    </row>
    <row r="246" spans="1:3">
      <c r="A246" s="94"/>
      <c r="B246" s="95"/>
      <c r="C246" s="94"/>
    </row>
    <row r="247" spans="1:3">
      <c r="A247" s="94"/>
      <c r="B247" s="95"/>
      <c r="C247" s="94"/>
    </row>
    <row r="248" spans="1:3">
      <c r="A248" s="94"/>
      <c r="B248" s="95"/>
      <c r="C248" s="94"/>
    </row>
    <row r="249" spans="1:3">
      <c r="A249" s="94"/>
      <c r="B249" s="95"/>
      <c r="C249" s="94"/>
    </row>
    <row r="250" spans="1:3">
      <c r="A250" s="94"/>
      <c r="B250" s="95"/>
      <c r="C250" s="94"/>
    </row>
    <row r="251" spans="1:3">
      <c r="A251" s="94"/>
      <c r="B251" s="95"/>
      <c r="C251" s="94"/>
    </row>
    <row r="252" spans="1:3">
      <c r="A252" s="94"/>
      <c r="B252" s="95"/>
      <c r="C252" s="94"/>
    </row>
    <row r="253" spans="1:3">
      <c r="A253" s="94"/>
      <c r="B253" s="95"/>
      <c r="C253" s="94"/>
    </row>
    <row r="254" spans="1:3">
      <c r="A254" s="94"/>
      <c r="B254" s="95"/>
      <c r="C254" s="94"/>
    </row>
    <row r="255" spans="1:3">
      <c r="A255" s="94"/>
      <c r="B255" s="95"/>
      <c r="C255" s="94"/>
    </row>
    <row r="256" spans="1:3">
      <c r="A256" s="94"/>
      <c r="B256" s="95"/>
      <c r="C256" s="94"/>
    </row>
    <row r="257" spans="1:3">
      <c r="A257" s="94"/>
      <c r="B257" s="95"/>
      <c r="C257" s="94"/>
    </row>
    <row r="258" spans="1:3">
      <c r="A258" s="94"/>
      <c r="B258" s="95"/>
      <c r="C258" s="94"/>
    </row>
    <row r="259" spans="1:3">
      <c r="A259" s="94"/>
      <c r="B259" s="95"/>
      <c r="C259" s="94"/>
    </row>
    <row r="260" spans="1:3">
      <c r="A260" s="94"/>
      <c r="B260" s="95"/>
      <c r="C260" s="94"/>
    </row>
    <row r="261" spans="1:3">
      <c r="A261" s="94"/>
      <c r="B261" s="95"/>
      <c r="C261" s="94"/>
    </row>
    <row r="262" spans="1:3">
      <c r="A262" s="94"/>
      <c r="B262" s="95"/>
      <c r="C262" s="94"/>
    </row>
    <row r="263" spans="1:3">
      <c r="A263" s="94"/>
      <c r="B263" s="95"/>
      <c r="C263" s="94"/>
    </row>
    <row r="264" spans="1:3">
      <c r="A264" s="94"/>
      <c r="B264" s="95"/>
      <c r="C264" s="94"/>
    </row>
    <row r="265" spans="1:3">
      <c r="A265" s="94"/>
      <c r="B265" s="95"/>
      <c r="C265" s="94"/>
    </row>
    <row r="266" spans="1:3">
      <c r="A266" s="94"/>
      <c r="B266" s="95"/>
      <c r="C266" s="94"/>
    </row>
    <row r="267" spans="1:3">
      <c r="A267" s="94"/>
      <c r="B267" s="95"/>
      <c r="C267" s="94"/>
    </row>
    <row r="268" spans="1:3">
      <c r="A268" s="94"/>
      <c r="B268" s="95"/>
      <c r="C268" s="94"/>
    </row>
    <row r="269" spans="1:3">
      <c r="A269" s="94"/>
      <c r="B269" s="95"/>
      <c r="C269" s="94"/>
    </row>
    <row r="270" spans="1:3">
      <c r="A270" s="94"/>
      <c r="B270" s="95"/>
      <c r="C270" s="94"/>
    </row>
    <row r="271" spans="1:3">
      <c r="A271" s="94"/>
      <c r="B271" s="95"/>
      <c r="C271" s="94"/>
    </row>
    <row r="272" spans="1:3">
      <c r="A272" s="94"/>
      <c r="B272" s="95"/>
      <c r="C272" s="94"/>
    </row>
    <row r="273" spans="1:3">
      <c r="A273" s="94"/>
      <c r="B273" s="95"/>
      <c r="C273" s="94"/>
    </row>
    <row r="274" spans="1:3">
      <c r="A274" s="94"/>
      <c r="B274" s="95"/>
      <c r="C274" s="94"/>
    </row>
    <row r="275" spans="1:3">
      <c r="A275" s="94"/>
      <c r="B275" s="95"/>
      <c r="C275" s="94"/>
    </row>
    <row r="276" spans="1:3">
      <c r="A276" s="94"/>
      <c r="B276" s="95"/>
      <c r="C276" s="94"/>
    </row>
    <row r="277" spans="1:3">
      <c r="A277" s="94"/>
      <c r="B277" s="95"/>
      <c r="C277" s="94"/>
    </row>
    <row r="278" spans="1:3">
      <c r="A278" s="94"/>
      <c r="B278" s="95"/>
      <c r="C278" s="94"/>
    </row>
    <row r="279" spans="1:3">
      <c r="A279" s="94"/>
      <c r="B279" s="95"/>
      <c r="C279" s="94"/>
    </row>
    <row r="280" spans="1:3">
      <c r="A280" s="94"/>
      <c r="B280" s="95"/>
      <c r="C280" s="94"/>
    </row>
    <row r="281" spans="1:3">
      <c r="A281" s="94"/>
      <c r="B281" s="95"/>
      <c r="C281" s="94"/>
    </row>
    <row r="282" spans="1:3">
      <c r="A282" s="94"/>
      <c r="B282" s="95"/>
      <c r="C282" s="94"/>
    </row>
    <row r="283" spans="1:3">
      <c r="A283" s="94"/>
      <c r="B283" s="95"/>
      <c r="C283" s="94"/>
    </row>
    <row r="284" spans="1:3">
      <c r="A284" s="94"/>
      <c r="B284" s="95"/>
      <c r="C284" s="94"/>
    </row>
    <row r="285" spans="1:3">
      <c r="A285" s="94"/>
      <c r="B285" s="95"/>
      <c r="C285" s="94"/>
    </row>
    <row r="286" spans="1:3">
      <c r="A286" s="94"/>
      <c r="B286" s="95"/>
      <c r="C286" s="94"/>
    </row>
    <row r="287" spans="1:3">
      <c r="A287" s="94"/>
      <c r="B287" s="95"/>
      <c r="C287" s="94"/>
    </row>
    <row r="288" spans="1:3">
      <c r="A288" s="94"/>
      <c r="B288" s="95"/>
      <c r="C288" s="94"/>
    </row>
    <row r="289" spans="1:3">
      <c r="A289" s="94"/>
      <c r="B289" s="95"/>
      <c r="C289" s="94"/>
    </row>
    <row r="290" spans="1:3">
      <c r="A290" s="94"/>
      <c r="B290" s="95"/>
      <c r="C290" s="94"/>
    </row>
    <row r="291" spans="1:3">
      <c r="A291" s="94"/>
      <c r="B291" s="95"/>
      <c r="C291" s="94"/>
    </row>
    <row r="292" spans="1:3">
      <c r="A292" s="94"/>
      <c r="B292" s="95"/>
      <c r="C292" s="94"/>
    </row>
    <row r="293" spans="1:3">
      <c r="A293" s="94"/>
      <c r="B293" s="95"/>
      <c r="C293" s="94"/>
    </row>
    <row r="294" spans="1:3">
      <c r="A294" s="94"/>
      <c r="B294" s="95"/>
      <c r="C294" s="94"/>
    </row>
    <row r="295" spans="1:3">
      <c r="A295" s="94"/>
      <c r="B295" s="95"/>
      <c r="C295" s="94"/>
    </row>
    <row r="296" spans="1:3">
      <c r="A296" s="94"/>
      <c r="B296" s="95"/>
      <c r="C296" s="94"/>
    </row>
    <row r="297" spans="1:3">
      <c r="A297" s="94"/>
      <c r="B297" s="95"/>
      <c r="C297" s="94"/>
    </row>
    <row r="298" spans="1:3">
      <c r="A298" s="94"/>
      <c r="B298" s="95"/>
      <c r="C298" s="94"/>
    </row>
    <row r="299" spans="1:3">
      <c r="A299" s="94"/>
      <c r="B299" s="95"/>
      <c r="C299" s="94"/>
    </row>
    <row r="311" spans="1:3">
      <c r="A311" s="94"/>
      <c r="B311" s="95"/>
      <c r="C311" s="94"/>
    </row>
    <row r="312" spans="1:3">
      <c r="A312" s="94"/>
      <c r="B312" s="95"/>
      <c r="C312" s="94"/>
    </row>
    <row r="313" spans="1:3">
      <c r="A313" s="94"/>
      <c r="B313" s="95"/>
      <c r="C313" s="94"/>
    </row>
    <row r="314" spans="1:3">
      <c r="A314" s="94"/>
      <c r="B314" s="95"/>
      <c r="C314" s="94"/>
    </row>
    <row r="315" spans="1:3">
      <c r="A315" s="94"/>
      <c r="B315" s="95"/>
      <c r="C315" s="94"/>
    </row>
    <row r="316" spans="1:3">
      <c r="A316" s="94"/>
      <c r="B316" s="95"/>
      <c r="C316" s="94"/>
    </row>
    <row r="317" spans="1:3">
      <c r="A317" s="94"/>
      <c r="B317" s="95"/>
      <c r="C317" s="94"/>
    </row>
    <row r="318" spans="1:3">
      <c r="A318" s="94"/>
      <c r="B318" s="95"/>
      <c r="C318" s="94"/>
    </row>
    <row r="319" spans="1:3">
      <c r="A319" s="94"/>
      <c r="B319" s="95"/>
      <c r="C319" s="94"/>
    </row>
    <row r="320" spans="1:3">
      <c r="A320" s="94"/>
      <c r="B320" s="95"/>
      <c r="C320" s="94"/>
    </row>
    <row r="321" spans="1:3">
      <c r="A321" s="94"/>
      <c r="B321" s="95"/>
      <c r="C321" s="94"/>
    </row>
    <row r="322" spans="1:3">
      <c r="A322" s="94"/>
      <c r="B322" s="95"/>
      <c r="C322" s="94"/>
    </row>
    <row r="323" spans="1:3">
      <c r="A323" s="94"/>
      <c r="B323" s="95"/>
      <c r="C323" s="94"/>
    </row>
    <row r="324" spans="1:3">
      <c r="A324" s="94"/>
      <c r="B324" s="95"/>
      <c r="C324" s="94"/>
    </row>
    <row r="325" spans="1:3">
      <c r="A325" s="94"/>
      <c r="B325" s="95"/>
      <c r="C325" s="94"/>
    </row>
    <row r="326" spans="1:3">
      <c r="A326" s="94"/>
      <c r="B326" s="95"/>
      <c r="C326" s="94"/>
    </row>
    <row r="327" spans="1:3">
      <c r="A327" s="94"/>
      <c r="B327" s="95"/>
      <c r="C327" s="94"/>
    </row>
    <row r="328" spans="1:3">
      <c r="A328" s="94"/>
      <c r="B328" s="95"/>
      <c r="C328" s="94"/>
    </row>
    <row r="329" spans="1:3">
      <c r="A329" s="94"/>
      <c r="B329" s="95"/>
      <c r="C329" s="94"/>
    </row>
    <row r="330" spans="1:3">
      <c r="A330" s="94"/>
      <c r="B330" s="95"/>
      <c r="C330" s="94"/>
    </row>
    <row r="331" spans="1:3">
      <c r="A331" s="94"/>
      <c r="B331" s="95"/>
      <c r="C331" s="94"/>
    </row>
    <row r="332" spans="1:3">
      <c r="A332" s="94"/>
      <c r="B332" s="95"/>
      <c r="C332" s="94"/>
    </row>
    <row r="333" spans="1:3">
      <c r="A333" s="94"/>
      <c r="B333" s="95"/>
      <c r="C333" s="94"/>
    </row>
    <row r="334" spans="1:3">
      <c r="A334" s="94"/>
      <c r="B334" s="95"/>
      <c r="C334" s="94"/>
    </row>
    <row r="335" spans="1:3">
      <c r="A335" s="94"/>
      <c r="B335" s="95"/>
      <c r="C335" s="94"/>
    </row>
    <row r="336" spans="1:3">
      <c r="A336" s="94"/>
      <c r="B336" s="95"/>
      <c r="C336" s="94"/>
    </row>
    <row r="337" spans="1:3">
      <c r="A337" s="94"/>
      <c r="B337" s="95"/>
      <c r="C337" s="94"/>
    </row>
    <row r="338" spans="1:3">
      <c r="A338" s="94"/>
      <c r="B338" s="95"/>
      <c r="C338" s="94"/>
    </row>
    <row r="339" spans="1:3">
      <c r="A339" s="94"/>
      <c r="B339" s="95"/>
      <c r="C339" s="94"/>
    </row>
    <row r="340" spans="1:3">
      <c r="A340" s="94"/>
      <c r="B340" s="95"/>
      <c r="C340" s="94"/>
    </row>
    <row r="341" spans="1:3">
      <c r="A341" s="94"/>
      <c r="B341" s="95"/>
      <c r="C341" s="94"/>
    </row>
    <row r="342" spans="1:3">
      <c r="A342" s="94"/>
      <c r="B342" s="95"/>
      <c r="C342" s="94"/>
    </row>
    <row r="343" spans="1:3">
      <c r="A343" s="94"/>
      <c r="B343" s="95"/>
      <c r="C343" s="94"/>
    </row>
    <row r="344" spans="1:3">
      <c r="A344" s="94"/>
      <c r="B344" s="95"/>
      <c r="C344" s="94"/>
    </row>
    <row r="345" spans="1:3">
      <c r="A345" s="94"/>
      <c r="B345" s="95"/>
      <c r="C345" s="94"/>
    </row>
    <row r="346" spans="1:3">
      <c r="A346" s="94"/>
      <c r="B346" s="95"/>
      <c r="C346" s="94"/>
    </row>
    <row r="347" spans="1:3">
      <c r="A347" s="94"/>
      <c r="B347" s="95"/>
      <c r="C347" s="94"/>
    </row>
    <row r="348" spans="1:3">
      <c r="A348" s="94"/>
      <c r="B348" s="95"/>
      <c r="C348" s="94"/>
    </row>
    <row r="349" spans="1:3">
      <c r="A349" s="94"/>
      <c r="B349" s="95"/>
      <c r="C349" s="94"/>
    </row>
    <row r="350" spans="1:3">
      <c r="A350" s="94"/>
      <c r="B350" s="95"/>
      <c r="C350" s="94"/>
    </row>
    <row r="351" spans="1:3">
      <c r="A351" s="94"/>
      <c r="B351" s="95"/>
      <c r="C351" s="94"/>
    </row>
    <row r="352" spans="1:3">
      <c r="A352" s="94"/>
      <c r="B352" s="95"/>
      <c r="C352" s="94"/>
    </row>
    <row r="353" spans="1:3">
      <c r="A353" s="94"/>
      <c r="B353" s="95"/>
      <c r="C353" s="94"/>
    </row>
    <row r="354" spans="1:3">
      <c r="A354" s="94"/>
      <c r="B354" s="95"/>
      <c r="C354" s="94"/>
    </row>
    <row r="355" spans="1:3">
      <c r="A355" s="94"/>
      <c r="B355" s="95"/>
      <c r="C355" s="94"/>
    </row>
    <row r="356" spans="1:3">
      <c r="A356" s="94"/>
      <c r="B356" s="95"/>
      <c r="C356" s="94"/>
    </row>
    <row r="357" spans="1:3">
      <c r="A357" s="94"/>
      <c r="B357" s="95"/>
      <c r="C357" s="94"/>
    </row>
    <row r="358" spans="1:3">
      <c r="A358" s="94"/>
      <c r="B358" s="95"/>
      <c r="C358" s="94"/>
    </row>
    <row r="359" spans="1:3">
      <c r="A359" s="94"/>
      <c r="B359" s="95"/>
      <c r="C359" s="94"/>
    </row>
    <row r="360" spans="1:3">
      <c r="A360" s="94"/>
      <c r="B360" s="95"/>
      <c r="C360" s="94"/>
    </row>
    <row r="361" spans="1:3">
      <c r="A361" s="94"/>
      <c r="B361" s="95"/>
      <c r="C361" s="94"/>
    </row>
    <row r="362" spans="1:3">
      <c r="A362" s="94"/>
      <c r="B362" s="95"/>
      <c r="C362" s="94"/>
    </row>
    <row r="363" spans="1:3">
      <c r="A363" s="94"/>
      <c r="B363" s="95"/>
      <c r="C363" s="94"/>
    </row>
    <row r="364" spans="1:3">
      <c r="A364" s="94"/>
      <c r="B364" s="95"/>
      <c r="C364" s="94"/>
    </row>
    <row r="365" spans="1:3">
      <c r="A365" s="94"/>
      <c r="B365" s="95"/>
      <c r="C365" s="94"/>
    </row>
    <row r="366" spans="1:3">
      <c r="A366" s="94"/>
      <c r="B366" s="95"/>
      <c r="C366" s="94"/>
    </row>
    <row r="367" spans="1:3">
      <c r="A367" s="94"/>
      <c r="B367" s="95"/>
      <c r="C367" s="94"/>
    </row>
    <row r="368" spans="1:3">
      <c r="A368" s="94"/>
      <c r="B368" s="95"/>
      <c r="C368" s="94"/>
    </row>
    <row r="369" spans="1:3">
      <c r="A369" s="94"/>
      <c r="B369" s="95"/>
      <c r="C369" s="94"/>
    </row>
    <row r="370" spans="1:3">
      <c r="A370" s="94"/>
      <c r="B370" s="95"/>
      <c r="C370" s="94"/>
    </row>
    <row r="371" spans="1:3">
      <c r="A371" s="94"/>
      <c r="B371" s="95"/>
      <c r="C371" s="94"/>
    </row>
    <row r="372" spans="1:3">
      <c r="A372" s="94"/>
      <c r="B372" s="95"/>
      <c r="C372" s="94"/>
    </row>
    <row r="373" spans="1:3">
      <c r="A373" s="94"/>
      <c r="B373" s="95"/>
      <c r="C373" s="94"/>
    </row>
    <row r="374" spans="1:3">
      <c r="A374" s="94"/>
      <c r="B374" s="95"/>
      <c r="C374" s="94"/>
    </row>
    <row r="375" spans="1:3">
      <c r="A375" s="94"/>
      <c r="B375" s="95"/>
      <c r="C375" s="94"/>
    </row>
    <row r="376" spans="1:3">
      <c r="A376" s="94"/>
      <c r="B376" s="95"/>
      <c r="C376" s="94"/>
    </row>
    <row r="377" spans="1:3">
      <c r="A377" s="94"/>
      <c r="B377" s="95"/>
      <c r="C377" s="94"/>
    </row>
    <row r="378" spans="1:3">
      <c r="A378" s="94"/>
      <c r="B378" s="95"/>
      <c r="C378" s="94"/>
    </row>
    <row r="379" spans="1:3">
      <c r="A379" s="94"/>
      <c r="B379" s="95"/>
      <c r="C379" s="94"/>
    </row>
    <row r="380" spans="1:3">
      <c r="A380" s="94"/>
      <c r="B380" s="95"/>
      <c r="C380" s="94"/>
    </row>
    <row r="381" spans="1:3">
      <c r="A381" s="94"/>
      <c r="B381" s="95"/>
      <c r="C381" s="94"/>
    </row>
    <row r="382" spans="1:3">
      <c r="A382" s="94"/>
      <c r="B382" s="95"/>
      <c r="C382" s="94"/>
    </row>
    <row r="383" spans="1:3">
      <c r="A383" s="94"/>
      <c r="B383" s="95"/>
      <c r="C383" s="94"/>
    </row>
    <row r="384" spans="1:3">
      <c r="A384" s="94"/>
      <c r="B384" s="95"/>
      <c r="C384" s="94"/>
    </row>
    <row r="385" spans="1:3">
      <c r="A385" s="94"/>
      <c r="B385" s="95"/>
      <c r="C385" s="94"/>
    </row>
    <row r="386" spans="1:3">
      <c r="A386" s="94"/>
      <c r="B386" s="95"/>
      <c r="C386" s="94"/>
    </row>
    <row r="387" spans="1:3">
      <c r="A387" s="94"/>
      <c r="B387" s="95"/>
      <c r="C387" s="94"/>
    </row>
    <row r="388" spans="1:3">
      <c r="A388" s="94"/>
      <c r="B388" s="95"/>
      <c r="C388" s="94"/>
    </row>
    <row r="389" spans="1:3">
      <c r="A389" s="94"/>
      <c r="B389" s="95"/>
      <c r="C389" s="94"/>
    </row>
    <row r="390" spans="1:3">
      <c r="A390" s="94"/>
      <c r="B390" s="95"/>
      <c r="C390" s="94"/>
    </row>
    <row r="391" spans="1:3">
      <c r="A391" s="94"/>
      <c r="B391" s="95"/>
      <c r="C391" s="94"/>
    </row>
    <row r="392" spans="1:3">
      <c r="A392" s="94"/>
      <c r="B392" s="95"/>
      <c r="C392" s="94"/>
    </row>
    <row r="393" spans="1:3">
      <c r="A393" s="94"/>
      <c r="B393" s="95"/>
      <c r="C393" s="94"/>
    </row>
    <row r="394" spans="1:3">
      <c r="A394" s="94"/>
      <c r="B394" s="95"/>
      <c r="C394" s="94"/>
    </row>
    <row r="395" spans="1:3">
      <c r="A395" s="94"/>
      <c r="B395" s="95"/>
      <c r="C395" s="94"/>
    </row>
    <row r="396" spans="1:3">
      <c r="A396" s="94"/>
      <c r="B396" s="95"/>
      <c r="C396" s="94"/>
    </row>
    <row r="397" spans="1:3">
      <c r="A397" s="94"/>
      <c r="B397" s="95"/>
      <c r="C397" s="94"/>
    </row>
    <row r="398" spans="1:3">
      <c r="A398" s="94"/>
      <c r="B398" s="95"/>
      <c r="C398" s="94"/>
    </row>
    <row r="399" spans="1:3">
      <c r="A399" s="94"/>
      <c r="B399" s="95"/>
      <c r="C399" s="94"/>
    </row>
    <row r="400" spans="1:3">
      <c r="A400" s="94"/>
      <c r="B400" s="95"/>
      <c r="C400" s="94"/>
    </row>
    <row r="401" spans="1:3">
      <c r="A401" s="94"/>
      <c r="B401" s="95"/>
      <c r="C401" s="94"/>
    </row>
    <row r="402" spans="1:3">
      <c r="A402" s="94"/>
      <c r="B402" s="95"/>
      <c r="C402" s="94"/>
    </row>
    <row r="403" spans="1:3">
      <c r="A403" s="94"/>
      <c r="B403" s="95"/>
      <c r="C403" s="94"/>
    </row>
    <row r="404" spans="1:3">
      <c r="A404" s="94"/>
      <c r="B404" s="95"/>
      <c r="C404" s="94"/>
    </row>
    <row r="405" spans="1:3">
      <c r="A405" s="94"/>
      <c r="B405" s="95"/>
      <c r="C405" s="94"/>
    </row>
    <row r="406" spans="1:3">
      <c r="A406" s="94"/>
      <c r="B406" s="95"/>
      <c r="C406" s="94"/>
    </row>
    <row r="407" spans="1:3">
      <c r="A407" s="94"/>
      <c r="B407" s="95"/>
      <c r="C407" s="94"/>
    </row>
    <row r="408" spans="1:3">
      <c r="A408" s="94"/>
      <c r="B408" s="95"/>
      <c r="C408" s="94"/>
    </row>
    <row r="409" spans="1:3">
      <c r="A409" s="94"/>
      <c r="B409" s="95"/>
      <c r="C409" s="94"/>
    </row>
    <row r="410" spans="1:3">
      <c r="A410" s="94"/>
      <c r="B410" s="95"/>
      <c r="C410" s="94"/>
    </row>
    <row r="411" spans="1:3">
      <c r="A411" s="94"/>
      <c r="B411" s="95"/>
      <c r="C411" s="94"/>
    </row>
    <row r="412" spans="1:3">
      <c r="A412" s="94"/>
      <c r="B412" s="95"/>
      <c r="C412" s="94"/>
    </row>
    <row r="413" spans="1:3">
      <c r="A413" s="94"/>
      <c r="B413" s="95"/>
      <c r="C413" s="94"/>
    </row>
    <row r="414" spans="1:3">
      <c r="A414" s="94"/>
      <c r="B414" s="95"/>
      <c r="C414" s="94"/>
    </row>
    <row r="415" spans="1:3">
      <c r="A415" s="94"/>
      <c r="B415" s="95"/>
      <c r="C415" s="94"/>
    </row>
    <row r="416" spans="1:3">
      <c r="A416" s="94"/>
      <c r="B416" s="95"/>
      <c r="C416" s="94"/>
    </row>
    <row r="417" spans="1:3">
      <c r="A417" s="94"/>
      <c r="B417" s="95"/>
      <c r="C417" s="94"/>
    </row>
    <row r="418" spans="1:3">
      <c r="A418" s="94"/>
      <c r="B418" s="95"/>
      <c r="C418" s="94"/>
    </row>
    <row r="419" spans="1:3">
      <c r="A419" s="94"/>
      <c r="B419" s="95"/>
      <c r="C419" s="94"/>
    </row>
    <row r="420" spans="1:3">
      <c r="A420" s="94"/>
      <c r="B420" s="95"/>
      <c r="C420" s="94"/>
    </row>
    <row r="421" spans="1:3">
      <c r="A421" s="94"/>
      <c r="B421" s="95"/>
      <c r="C421" s="94"/>
    </row>
    <row r="422" spans="1:3">
      <c r="A422" s="94"/>
      <c r="B422" s="95"/>
      <c r="C422" s="94"/>
    </row>
    <row r="423" spans="1:3">
      <c r="A423" s="94"/>
      <c r="B423" s="95"/>
      <c r="C423" s="94"/>
    </row>
    <row r="424" spans="1:3">
      <c r="A424" s="94"/>
      <c r="B424" s="95"/>
      <c r="C424" s="94"/>
    </row>
    <row r="425" spans="1:3">
      <c r="A425" s="94"/>
      <c r="B425" s="95"/>
      <c r="C425" s="94"/>
    </row>
    <row r="426" spans="1:3">
      <c r="A426" s="94"/>
      <c r="B426" s="95"/>
      <c r="C426" s="94"/>
    </row>
    <row r="427" spans="1:3">
      <c r="A427" s="94"/>
      <c r="B427" s="95"/>
      <c r="C427" s="94"/>
    </row>
    <row r="428" spans="1:3">
      <c r="A428" s="94"/>
      <c r="B428" s="95"/>
      <c r="C428" s="94"/>
    </row>
    <row r="429" spans="1:3">
      <c r="A429" s="94"/>
      <c r="B429" s="95"/>
      <c r="C429" s="94"/>
    </row>
    <row r="430" spans="1:3">
      <c r="A430" s="94"/>
      <c r="B430" s="95"/>
      <c r="C430" s="94"/>
    </row>
    <row r="431" spans="1:3">
      <c r="A431" s="94"/>
      <c r="B431" s="95"/>
      <c r="C431" s="94"/>
    </row>
    <row r="432" spans="1:3">
      <c r="A432" s="94"/>
      <c r="B432" s="95"/>
      <c r="C432" s="94"/>
    </row>
    <row r="433" spans="1:3">
      <c r="A433" s="94"/>
      <c r="B433" s="95"/>
      <c r="C433" s="94"/>
    </row>
    <row r="434" spans="1:3">
      <c r="A434" s="94"/>
      <c r="B434" s="95"/>
      <c r="C434" s="94"/>
    </row>
    <row r="435" spans="1:3">
      <c r="A435" s="94"/>
      <c r="B435" s="95"/>
      <c r="C435" s="94"/>
    </row>
    <row r="436" spans="1:3">
      <c r="A436" s="94"/>
      <c r="B436" s="95"/>
      <c r="C436" s="94"/>
    </row>
    <row r="437" spans="1:3">
      <c r="A437" s="94"/>
      <c r="B437" s="95"/>
      <c r="C437" s="94"/>
    </row>
    <row r="438" spans="1:3">
      <c r="A438" s="94"/>
      <c r="B438" s="95"/>
      <c r="C438" s="94"/>
    </row>
    <row r="439" spans="1:3">
      <c r="A439" s="94"/>
      <c r="B439" s="95"/>
      <c r="C439" s="94"/>
    </row>
    <row r="440" spans="1:3">
      <c r="A440" s="94"/>
      <c r="B440" s="95"/>
      <c r="C440" s="94"/>
    </row>
    <row r="441" spans="1:3">
      <c r="A441" s="94"/>
      <c r="B441" s="95"/>
      <c r="C441" s="94"/>
    </row>
    <row r="442" spans="1:3">
      <c r="A442" s="94"/>
      <c r="B442" s="95"/>
      <c r="C442" s="94"/>
    </row>
    <row r="443" spans="1:3">
      <c r="A443" s="94"/>
      <c r="B443" s="95"/>
      <c r="C443" s="94"/>
    </row>
    <row r="444" spans="1:3">
      <c r="A444" s="94"/>
      <c r="B444" s="95"/>
      <c r="C444" s="94"/>
    </row>
    <row r="445" spans="1:3">
      <c r="A445" s="94"/>
      <c r="B445" s="95"/>
      <c r="C445" s="94"/>
    </row>
    <row r="446" spans="1:3">
      <c r="A446" s="94"/>
      <c r="B446" s="95"/>
      <c r="C446" s="94"/>
    </row>
    <row r="447" spans="1:3">
      <c r="A447" s="94"/>
      <c r="B447" s="95"/>
      <c r="C447" s="94"/>
    </row>
    <row r="448" spans="1:3">
      <c r="A448" s="94"/>
      <c r="B448" s="95"/>
      <c r="C448" s="94"/>
    </row>
    <row r="449" spans="1:3">
      <c r="A449" s="94"/>
      <c r="B449" s="95"/>
      <c r="C449" s="94"/>
    </row>
    <row r="450" spans="1:3">
      <c r="A450" s="94"/>
      <c r="B450" s="95"/>
      <c r="C450" s="94"/>
    </row>
    <row r="451" spans="1:3">
      <c r="A451" s="94"/>
      <c r="B451" s="95"/>
      <c r="C451" s="94"/>
    </row>
    <row r="452" spans="1:3">
      <c r="A452" s="94"/>
      <c r="B452" s="95"/>
      <c r="C452" s="94"/>
    </row>
    <row r="453" spans="1:3">
      <c r="A453" s="94"/>
      <c r="B453" s="95"/>
      <c r="C453" s="94"/>
    </row>
    <row r="454" spans="1:3">
      <c r="A454" s="94"/>
      <c r="B454" s="95"/>
      <c r="C454" s="94"/>
    </row>
    <row r="455" spans="1:3">
      <c r="A455" s="94"/>
      <c r="B455" s="95"/>
      <c r="C455" s="94"/>
    </row>
    <row r="456" spans="1:3">
      <c r="A456" s="94"/>
      <c r="B456" s="95"/>
      <c r="C456" s="94"/>
    </row>
    <row r="457" spans="1:3">
      <c r="A457" s="94"/>
      <c r="B457" s="95"/>
      <c r="C457" s="94"/>
    </row>
    <row r="458" spans="1:3">
      <c r="A458" s="94"/>
      <c r="B458" s="95"/>
      <c r="C458" s="94"/>
    </row>
    <row r="459" spans="1:3">
      <c r="A459" s="94"/>
      <c r="B459" s="95"/>
      <c r="C459" s="94"/>
    </row>
    <row r="460" spans="1:3">
      <c r="A460" s="94"/>
      <c r="B460" s="95"/>
      <c r="C460" s="94"/>
    </row>
    <row r="461" spans="1:3">
      <c r="A461" s="94"/>
      <c r="B461" s="95"/>
      <c r="C461" s="94"/>
    </row>
    <row r="462" spans="1:3">
      <c r="A462" s="94"/>
      <c r="B462" s="95"/>
      <c r="C462" s="94"/>
    </row>
    <row r="463" spans="1:3">
      <c r="A463" s="94"/>
      <c r="B463" s="95"/>
      <c r="C463" s="94"/>
    </row>
    <row r="464" spans="1:3">
      <c r="A464" s="94"/>
      <c r="B464" s="95"/>
      <c r="C464" s="94"/>
    </row>
    <row r="465" spans="1:3">
      <c r="A465" s="94"/>
      <c r="B465" s="95"/>
      <c r="C465" s="94"/>
    </row>
    <row r="466" spans="1:3">
      <c r="A466" s="94"/>
      <c r="B466" s="95"/>
      <c r="C466" s="94"/>
    </row>
    <row r="467" spans="1:3">
      <c r="A467" s="94"/>
      <c r="B467" s="95"/>
      <c r="C467" s="94"/>
    </row>
    <row r="468" spans="1:3">
      <c r="A468" s="94"/>
      <c r="B468" s="95"/>
      <c r="C468" s="94"/>
    </row>
    <row r="469" spans="1:3">
      <c r="A469" s="94"/>
      <c r="B469" s="95"/>
      <c r="C469" s="94"/>
    </row>
    <row r="470" spans="1:3">
      <c r="A470" s="94"/>
      <c r="B470" s="95"/>
      <c r="C470" s="94"/>
    </row>
    <row r="471" spans="1:3">
      <c r="A471" s="94"/>
      <c r="B471" s="95"/>
      <c r="C471" s="94"/>
    </row>
    <row r="472" spans="1:3">
      <c r="A472" s="94"/>
      <c r="B472" s="95"/>
      <c r="C472" s="94"/>
    </row>
    <row r="473" spans="1:3">
      <c r="A473" s="94"/>
      <c r="B473" s="95"/>
      <c r="C473" s="94"/>
    </row>
    <row r="474" spans="1:3">
      <c r="A474" s="94"/>
      <c r="B474" s="95"/>
      <c r="C474" s="94"/>
    </row>
    <row r="475" spans="1:3">
      <c r="A475" s="94"/>
      <c r="B475" s="95"/>
      <c r="C475" s="94"/>
    </row>
    <row r="476" spans="1:3">
      <c r="A476" s="94"/>
      <c r="B476" s="95"/>
      <c r="C476" s="94"/>
    </row>
    <row r="477" spans="1:3">
      <c r="A477" s="94"/>
      <c r="B477" s="95"/>
      <c r="C477" s="94"/>
    </row>
    <row r="478" spans="1:3">
      <c r="A478" s="94"/>
      <c r="B478" s="95"/>
      <c r="C478" s="94"/>
    </row>
    <row r="479" spans="1:3">
      <c r="A479" s="94"/>
      <c r="B479" s="95"/>
      <c r="C479" s="94"/>
    </row>
    <row r="480" spans="1:3">
      <c r="A480" s="94"/>
      <c r="B480" s="95"/>
      <c r="C480" s="94"/>
    </row>
    <row r="481" spans="1:3">
      <c r="A481" s="94"/>
      <c r="B481" s="95"/>
      <c r="C481" s="94"/>
    </row>
    <row r="482" spans="1:3">
      <c r="A482" s="94"/>
      <c r="B482" s="95"/>
      <c r="C482" s="94"/>
    </row>
    <row r="483" spans="1:3">
      <c r="A483" s="94"/>
      <c r="B483" s="95"/>
      <c r="C483" s="94"/>
    </row>
    <row r="484" spans="1:3">
      <c r="A484" s="94"/>
      <c r="B484" s="95"/>
      <c r="C484" s="94"/>
    </row>
    <row r="485" spans="1:3">
      <c r="A485" s="94"/>
      <c r="B485" s="95"/>
      <c r="C485" s="94"/>
    </row>
    <row r="486" spans="1:3">
      <c r="A486" s="94"/>
      <c r="B486" s="95"/>
      <c r="C486" s="94"/>
    </row>
    <row r="487" spans="1:3">
      <c r="A487" s="94"/>
      <c r="B487" s="95"/>
      <c r="C487" s="94"/>
    </row>
    <row r="488" spans="1:3">
      <c r="A488" s="94"/>
      <c r="B488" s="95"/>
      <c r="C488" s="94"/>
    </row>
    <row r="489" spans="1:3">
      <c r="A489" s="94"/>
      <c r="B489" s="95"/>
      <c r="C489" s="94"/>
    </row>
    <row r="490" spans="1:3">
      <c r="A490" s="94"/>
      <c r="B490" s="95"/>
      <c r="C490" s="94"/>
    </row>
    <row r="491" spans="1:3">
      <c r="A491" s="94"/>
      <c r="B491" s="95"/>
      <c r="C491" s="94"/>
    </row>
    <row r="492" spans="1:3">
      <c r="A492" s="94"/>
      <c r="B492" s="95"/>
      <c r="C492" s="94"/>
    </row>
    <row r="493" spans="1:3">
      <c r="A493" s="94"/>
      <c r="B493" s="95"/>
      <c r="C493" s="94"/>
    </row>
    <row r="494" spans="1:3">
      <c r="A494" s="94"/>
      <c r="B494" s="95"/>
      <c r="C494" s="94"/>
    </row>
    <row r="495" spans="1:3">
      <c r="A495" s="94"/>
      <c r="B495" s="95"/>
      <c r="C495" s="94"/>
    </row>
    <row r="496" spans="1:3">
      <c r="A496" s="94"/>
      <c r="B496" s="95"/>
      <c r="C496" s="94"/>
    </row>
    <row r="497" spans="1:3">
      <c r="A497" s="94"/>
      <c r="B497" s="95"/>
      <c r="C497" s="94"/>
    </row>
    <row r="498" spans="1:3">
      <c r="A498" s="94"/>
      <c r="B498" s="95"/>
      <c r="C498" s="94"/>
    </row>
    <row r="499" spans="1:3" ht="15.75" customHeight="1">
      <c r="A499" s="94"/>
      <c r="B499" s="95"/>
      <c r="C499" s="94"/>
    </row>
    <row r="500" spans="1:3" ht="15.75" customHeight="1">
      <c r="A500" s="94"/>
      <c r="B500" s="95"/>
      <c r="C500" s="94"/>
    </row>
    <row r="501" spans="1:3" ht="15.75" customHeight="1">
      <c r="A501" s="94"/>
      <c r="B501" s="95"/>
      <c r="C501" s="94"/>
    </row>
    <row r="502" spans="1:3" ht="15.75" customHeight="1">
      <c r="A502" s="94"/>
      <c r="B502" s="95"/>
      <c r="C502" s="94"/>
    </row>
    <row r="503" spans="1:3" ht="15.75" customHeight="1">
      <c r="A503" s="94"/>
      <c r="B503" s="95"/>
      <c r="C503" s="94"/>
    </row>
    <row r="515" spans="1:3">
      <c r="A515" s="94"/>
      <c r="B515" s="95"/>
      <c r="C515" s="94"/>
    </row>
    <row r="516" spans="1:3">
      <c r="A516" s="94"/>
      <c r="B516" s="95"/>
      <c r="C516" s="94"/>
    </row>
    <row r="517" spans="1:3">
      <c r="A517" s="94"/>
      <c r="B517" s="95"/>
      <c r="C517" s="94"/>
    </row>
    <row r="518" spans="1:3">
      <c r="A518" s="94"/>
      <c r="B518" s="95"/>
      <c r="C518" s="94"/>
    </row>
    <row r="519" spans="1:3">
      <c r="A519" s="94"/>
      <c r="B519" s="95"/>
      <c r="C519" s="94"/>
    </row>
    <row r="520" spans="1:3">
      <c r="A520" s="94"/>
      <c r="B520" s="95"/>
      <c r="C520" s="94"/>
    </row>
    <row r="521" spans="1:3">
      <c r="A521" s="94"/>
      <c r="B521" s="95"/>
      <c r="C521" s="94"/>
    </row>
    <row r="522" spans="1:3">
      <c r="A522" s="94"/>
      <c r="B522" s="95"/>
      <c r="C522" s="94"/>
    </row>
    <row r="523" spans="1:3">
      <c r="A523" s="94"/>
      <c r="B523" s="95"/>
      <c r="C523" s="94"/>
    </row>
    <row r="524" spans="1:3">
      <c r="A524" s="94"/>
      <c r="B524" s="95"/>
      <c r="C524" s="94"/>
    </row>
    <row r="525" spans="1:3">
      <c r="A525" s="94"/>
      <c r="B525" s="95"/>
      <c r="C525" s="94"/>
    </row>
    <row r="526" spans="1:3">
      <c r="A526" s="94"/>
      <c r="B526" s="95"/>
      <c r="C526" s="94"/>
    </row>
    <row r="527" spans="1:3">
      <c r="A527" s="94"/>
      <c r="B527" s="95"/>
      <c r="C527" s="94"/>
    </row>
    <row r="528" spans="1:3">
      <c r="A528" s="94"/>
      <c r="B528" s="95"/>
      <c r="C528" s="94"/>
    </row>
    <row r="529" spans="1:3">
      <c r="A529" s="94"/>
      <c r="B529" s="95"/>
      <c r="C529" s="94"/>
    </row>
    <row r="530" spans="1:3">
      <c r="A530" s="94"/>
      <c r="B530" s="95"/>
      <c r="C530" s="94"/>
    </row>
    <row r="531" spans="1:3">
      <c r="A531" s="94"/>
      <c r="B531" s="95"/>
      <c r="C531" s="94"/>
    </row>
    <row r="532" spans="1:3">
      <c r="A532" s="94"/>
      <c r="B532" s="95"/>
      <c r="C532" s="94"/>
    </row>
    <row r="533" spans="1:3">
      <c r="A533" s="94"/>
      <c r="B533" s="95"/>
      <c r="C533" s="94"/>
    </row>
    <row r="534" spans="1:3">
      <c r="A534" s="94"/>
      <c r="B534" s="95"/>
      <c r="C534" s="94"/>
    </row>
    <row r="535" spans="1:3">
      <c r="A535" s="94"/>
      <c r="B535" s="95"/>
      <c r="C535" s="94"/>
    </row>
    <row r="536" spans="1:3">
      <c r="A536" s="94"/>
      <c r="B536" s="95"/>
      <c r="C536" s="94"/>
    </row>
    <row r="537" spans="1:3">
      <c r="A537" s="94"/>
      <c r="B537" s="95"/>
      <c r="C537" s="94"/>
    </row>
    <row r="538" spans="1:3">
      <c r="A538" s="94"/>
      <c r="B538" s="95"/>
      <c r="C538" s="94"/>
    </row>
    <row r="539" spans="1:3">
      <c r="A539" s="94"/>
      <c r="B539" s="95"/>
      <c r="C539" s="94"/>
    </row>
    <row r="540" spans="1:3">
      <c r="A540" s="94"/>
      <c r="B540" s="95"/>
      <c r="C540" s="94"/>
    </row>
    <row r="541" spans="1:3">
      <c r="A541" s="94"/>
      <c r="B541" s="95"/>
      <c r="C541" s="94"/>
    </row>
    <row r="542" spans="1:3">
      <c r="A542" s="94"/>
      <c r="B542" s="95"/>
      <c r="C542" s="94"/>
    </row>
    <row r="543" spans="1:3">
      <c r="A543" s="94"/>
      <c r="B543" s="95"/>
      <c r="C543" s="94"/>
    </row>
    <row r="544" spans="1:3">
      <c r="A544" s="94"/>
      <c r="B544" s="95"/>
      <c r="C544" s="94"/>
    </row>
    <row r="545" spans="1:3">
      <c r="A545" s="94"/>
      <c r="B545" s="95"/>
      <c r="C545" s="94"/>
    </row>
    <row r="546" spans="1:3">
      <c r="A546" s="94"/>
      <c r="B546" s="95"/>
      <c r="C546" s="94"/>
    </row>
    <row r="547" spans="1:3">
      <c r="A547" s="94"/>
      <c r="B547" s="95"/>
      <c r="C547" s="94"/>
    </row>
    <row r="548" spans="1:3">
      <c r="A548" s="94"/>
      <c r="B548" s="95"/>
      <c r="C548" s="94"/>
    </row>
    <row r="549" spans="1:3">
      <c r="A549" s="94"/>
      <c r="B549" s="95"/>
      <c r="C549" s="94"/>
    </row>
    <row r="550" spans="1:3">
      <c r="A550" s="94"/>
      <c r="B550" s="95"/>
      <c r="C550" s="94"/>
    </row>
    <row r="551" spans="1:3">
      <c r="A551" s="94"/>
      <c r="B551" s="95"/>
      <c r="C551" s="94"/>
    </row>
    <row r="552" spans="1:3">
      <c r="A552" s="94"/>
      <c r="B552" s="95"/>
      <c r="C552" s="94"/>
    </row>
    <row r="553" spans="1:3">
      <c r="A553" s="94"/>
      <c r="B553" s="95"/>
      <c r="C553" s="94"/>
    </row>
    <row r="554" spans="1:3">
      <c r="A554" s="94"/>
      <c r="B554" s="95"/>
      <c r="C554" s="94"/>
    </row>
    <row r="555" spans="1:3">
      <c r="A555" s="94"/>
      <c r="B555" s="95"/>
      <c r="C555" s="94"/>
    </row>
    <row r="556" spans="1:3">
      <c r="A556" s="94"/>
      <c r="B556" s="95"/>
      <c r="C556" s="94"/>
    </row>
    <row r="557" spans="1:3">
      <c r="A557" s="94"/>
      <c r="B557" s="95"/>
      <c r="C557" s="94"/>
    </row>
    <row r="558" spans="1:3">
      <c r="A558" s="94"/>
      <c r="B558" s="95"/>
      <c r="C558" s="94"/>
    </row>
    <row r="559" spans="1:3">
      <c r="A559" s="94"/>
      <c r="B559" s="95"/>
      <c r="C559" s="94"/>
    </row>
    <row r="560" spans="1:3">
      <c r="A560" s="94"/>
      <c r="B560" s="95"/>
      <c r="C560" s="94"/>
    </row>
    <row r="561" spans="1:3">
      <c r="A561" s="94"/>
      <c r="B561" s="95"/>
      <c r="C561" s="94"/>
    </row>
    <row r="562" spans="1:3">
      <c r="A562" s="94"/>
      <c r="B562" s="95"/>
      <c r="C562" s="94"/>
    </row>
    <row r="563" spans="1:3">
      <c r="A563" s="94"/>
      <c r="B563" s="95"/>
      <c r="C563" s="94"/>
    </row>
    <row r="564" spans="1:3">
      <c r="A564" s="94"/>
      <c r="B564" s="95"/>
      <c r="C564" s="94"/>
    </row>
    <row r="565" spans="1:3">
      <c r="A565" s="94"/>
      <c r="B565" s="95"/>
      <c r="C565" s="94"/>
    </row>
    <row r="566" spans="1:3" ht="15.75" customHeight="1">
      <c r="A566" s="94"/>
      <c r="B566" s="95"/>
      <c r="C566" s="94"/>
    </row>
    <row r="567" spans="1:3">
      <c r="A567" s="94"/>
      <c r="B567" s="95"/>
      <c r="C567" s="94"/>
    </row>
    <row r="568" spans="1:3">
      <c r="A568" s="94"/>
      <c r="B568" s="95"/>
      <c r="C568" s="94"/>
    </row>
    <row r="569" spans="1:3">
      <c r="A569" s="94"/>
      <c r="B569" s="95"/>
      <c r="C569" s="94"/>
    </row>
    <row r="570" spans="1:3">
      <c r="A570" s="94"/>
      <c r="B570" s="95"/>
      <c r="C570" s="94"/>
    </row>
    <row r="571" spans="1:3">
      <c r="A571" s="94"/>
      <c r="B571" s="95"/>
      <c r="C571" s="94"/>
    </row>
    <row r="572" spans="1:3">
      <c r="A572" s="94"/>
      <c r="B572" s="95"/>
      <c r="C572" s="94"/>
    </row>
    <row r="573" spans="1:3">
      <c r="A573" s="94"/>
      <c r="B573" s="95"/>
      <c r="C573" s="94"/>
    </row>
    <row r="574" spans="1:3">
      <c r="A574" s="94"/>
      <c r="B574" s="95"/>
      <c r="C574" s="94"/>
    </row>
    <row r="575" spans="1:3">
      <c r="A575" s="94"/>
      <c r="B575" s="95"/>
      <c r="C575" s="94"/>
    </row>
    <row r="576" spans="1:3">
      <c r="A576" s="94"/>
      <c r="B576" s="95"/>
      <c r="C576" s="94"/>
    </row>
    <row r="577" spans="1:3">
      <c r="A577" s="94"/>
      <c r="B577" s="95"/>
      <c r="C577" s="94"/>
    </row>
  </sheetData>
  <sheetProtection selectLockedCells="1" selectUnlockedCells="1"/>
  <mergeCells count="1">
    <mergeCell ref="A1:C1"/>
  </mergeCells>
  <conditionalFormatting sqref="B8:B577">
    <cfRule type="expression" dxfId="6" priority="1" stopIfTrue="1">
      <formula>VLOOKUP($B8,TabAlgTutti,1,FALSE)=$B8</formula>
    </cfRule>
  </conditionalFormatting>
  <pageMargins left="0.7" right="0.7" top="0.75" bottom="0.75"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BC46-8798-4C1A-B5D0-4F414A640035}">
  <sheetPr>
    <tabColor rgb="FFFFCC99"/>
  </sheetPr>
  <dimension ref="A1:AW70"/>
  <sheetViews>
    <sheetView zoomScale="80" zoomScaleNormal="80" workbookViewId="0">
      <pane ySplit="3" topLeftCell="A4" activePane="bottomLeft" state="frozen"/>
      <selection pane="bottomLeft" activeCell="H78" sqref="H78"/>
    </sheetView>
  </sheetViews>
  <sheetFormatPr defaultColWidth="12.7109375" defaultRowHeight="11.25"/>
  <cols>
    <col min="1" max="1" width="2.7109375" style="2" customWidth="1"/>
    <col min="2" max="2" width="14.42578125" style="3" bestFit="1" customWidth="1"/>
    <col min="3" max="3" width="5.5703125" style="3" bestFit="1" customWidth="1"/>
    <col min="4" max="4" width="5.5703125" style="3" customWidth="1"/>
    <col min="5" max="5" width="2.7109375" style="2" customWidth="1"/>
    <col min="6" max="6" width="14.42578125" style="3" bestFit="1" customWidth="1"/>
    <col min="7" max="8" width="6" style="3" customWidth="1"/>
    <col min="9" max="9" width="3.5703125" style="2" bestFit="1" customWidth="1"/>
    <col min="10" max="10" width="14.42578125" style="3" bestFit="1" customWidth="1"/>
    <col min="11" max="11" width="5.5703125" style="3" bestFit="1" customWidth="1"/>
    <col min="12" max="12" width="5.5703125" style="3" customWidth="1"/>
    <col min="13" max="13" width="2.7109375" style="3" customWidth="1"/>
    <col min="14" max="14" width="14.42578125" style="3" bestFit="1" customWidth="1"/>
    <col min="15" max="15" width="6" style="3" bestFit="1" customWidth="1"/>
    <col min="16" max="16" width="6" style="3" customWidth="1"/>
    <col min="17" max="17" width="2.7109375" style="2" customWidth="1"/>
    <col min="18" max="18" width="14.42578125" style="3" bestFit="1" customWidth="1"/>
    <col min="19" max="19" width="5.5703125" style="3" bestFit="1" customWidth="1"/>
    <col min="20" max="20" width="5.5703125" style="3" customWidth="1"/>
    <col min="21" max="21" width="2.7109375" style="2" customWidth="1"/>
    <col min="22" max="22" width="14.42578125" style="3" bestFit="1" customWidth="1"/>
    <col min="23" max="23" width="5.5703125" style="3" bestFit="1" customWidth="1"/>
    <col min="24" max="24" width="5.5703125" style="3" customWidth="1"/>
    <col min="25" max="25" width="2.7109375" style="2" customWidth="1"/>
    <col min="26" max="26" width="14.42578125" style="3" bestFit="1" customWidth="1"/>
    <col min="27" max="27" width="5.5703125" style="3" bestFit="1" customWidth="1"/>
    <col min="28" max="28" width="5.5703125" style="3" customWidth="1"/>
    <col min="29" max="29" width="2.7109375" style="2" customWidth="1"/>
    <col min="30" max="30" width="14.42578125" style="3" bestFit="1" customWidth="1"/>
    <col min="31" max="31" width="5.5703125" style="3" bestFit="1" customWidth="1"/>
    <col min="32" max="32" width="5.5703125" style="3" customWidth="1"/>
    <col min="33" max="33" width="2.7109375" style="2" customWidth="1"/>
    <col min="34" max="34" width="14.42578125" style="3" bestFit="1" customWidth="1"/>
    <col min="35" max="35" width="5.5703125" style="3" bestFit="1" customWidth="1"/>
    <col min="36" max="36" width="5.5703125" style="3" customWidth="1"/>
    <col min="37" max="37" width="2.7109375" style="2" customWidth="1"/>
    <col min="38" max="38" width="14.42578125" style="3" bestFit="1" customWidth="1"/>
    <col min="39" max="39" width="5.5703125" style="3" bestFit="1" customWidth="1"/>
    <col min="40" max="40" width="5.5703125" style="3" customWidth="1"/>
    <col min="41" max="41" width="2.7109375" style="2" customWidth="1"/>
    <col min="42" max="42" width="12.42578125" style="3" customWidth="1"/>
    <col min="43" max="43" width="5.5703125" style="3" bestFit="1" customWidth="1"/>
    <col min="44" max="44" width="5.5703125" style="3" customWidth="1"/>
    <col min="45" max="45" width="2.7109375" style="2" customWidth="1"/>
    <col min="46" max="46" width="14.42578125" style="3" bestFit="1" customWidth="1"/>
    <col min="47" max="47" width="5.5703125" style="3" bestFit="1" customWidth="1"/>
    <col min="48" max="48" width="5.5703125" style="3" customWidth="1"/>
    <col min="49" max="49" width="16" style="4" hidden="1" customWidth="1"/>
    <col min="50" max="16384" width="12.7109375" style="4"/>
  </cols>
  <sheetData>
    <row r="1" spans="1:49" ht="14.25" customHeight="1">
      <c r="AW1" s="3"/>
    </row>
    <row r="2" spans="1:49" ht="12">
      <c r="A2" s="536" t="s">
        <v>627</v>
      </c>
      <c r="B2" s="536"/>
      <c r="C2" s="536"/>
      <c r="D2" s="438"/>
      <c r="E2" s="536" t="s">
        <v>627</v>
      </c>
      <c r="F2" s="536"/>
      <c r="G2" s="536"/>
      <c r="H2" s="438"/>
      <c r="I2" s="536" t="s">
        <v>627</v>
      </c>
      <c r="J2" s="536"/>
      <c r="K2" s="536"/>
      <c r="L2" s="438"/>
      <c r="M2" s="540" t="s">
        <v>627</v>
      </c>
      <c r="N2" s="540"/>
      <c r="O2" s="540"/>
      <c r="P2" s="438"/>
      <c r="Q2" s="536" t="s">
        <v>627</v>
      </c>
      <c r="R2" s="536"/>
      <c r="S2" s="536"/>
      <c r="T2" s="438"/>
      <c r="U2" s="536" t="s">
        <v>627</v>
      </c>
      <c r="V2" s="536"/>
      <c r="W2" s="536"/>
      <c r="X2" s="438"/>
      <c r="Y2" s="536" t="s">
        <v>627</v>
      </c>
      <c r="Z2" s="536"/>
      <c r="AA2" s="536"/>
      <c r="AB2" s="438"/>
      <c r="AC2" s="536" t="s">
        <v>627</v>
      </c>
      <c r="AD2" s="536"/>
      <c r="AE2" s="536"/>
      <c r="AF2" s="438"/>
      <c r="AG2" s="536" t="s">
        <v>627</v>
      </c>
      <c r="AH2" s="536"/>
      <c r="AI2" s="536"/>
      <c r="AJ2" s="438"/>
      <c r="AK2" s="536" t="s">
        <v>627</v>
      </c>
      <c r="AL2" s="536"/>
      <c r="AM2" s="536"/>
      <c r="AN2" s="438"/>
      <c r="AO2" s="536" t="s">
        <v>627</v>
      </c>
      <c r="AP2" s="536"/>
      <c r="AQ2" s="536"/>
      <c r="AR2" s="438"/>
      <c r="AS2" s="536" t="s">
        <v>627</v>
      </c>
      <c r="AT2" s="536"/>
      <c r="AU2" s="536"/>
      <c r="AV2" s="441"/>
    </row>
    <row r="3" spans="1:49" s="371" customFormat="1" ht="15.75">
      <c r="A3" s="537" t="str">
        <f>IF(Asta!B7="","",Asta!B7)</f>
        <v>Squadra1</v>
      </c>
      <c r="B3" s="537"/>
      <c r="C3" s="537"/>
      <c r="D3" s="439"/>
      <c r="E3" s="538" t="str">
        <f>IF(Asta!Z7="","",Asta!Z7)</f>
        <v>Squadra2</v>
      </c>
      <c r="F3" s="539"/>
      <c r="G3" s="537"/>
      <c r="H3" s="439"/>
      <c r="I3" s="538" t="str">
        <f>IF(Asta!B8="","",Asta!B8)</f>
        <v>Squadra3</v>
      </c>
      <c r="J3" s="539"/>
      <c r="K3" s="537"/>
      <c r="L3" s="439"/>
      <c r="M3" s="538" t="str">
        <f>IF(Asta!Z8="","",Asta!Z8)</f>
        <v>Squadra4</v>
      </c>
      <c r="N3" s="539"/>
      <c r="O3" s="537"/>
      <c r="P3" s="439"/>
      <c r="Q3" s="538" t="str">
        <f>IF(Asta!B9="","",Asta!B9)</f>
        <v>Squadra5</v>
      </c>
      <c r="R3" s="539"/>
      <c r="S3" s="537"/>
      <c r="T3" s="439"/>
      <c r="U3" s="538" t="str">
        <f>IF(Asta!Z9="","",Asta!Z9)</f>
        <v>Squadra6</v>
      </c>
      <c r="V3" s="539"/>
      <c r="W3" s="537"/>
      <c r="X3" s="439"/>
      <c r="Y3" s="538" t="str">
        <f>IF(Asta!B10="","",Asta!B10)</f>
        <v>Squadra7</v>
      </c>
      <c r="Z3" s="539"/>
      <c r="AA3" s="537"/>
      <c r="AB3" s="439"/>
      <c r="AC3" s="538" t="str">
        <f>IF(Asta!Z10="","",Asta!Z10)</f>
        <v>Squadra8</v>
      </c>
      <c r="AD3" s="539"/>
      <c r="AE3" s="537"/>
      <c r="AF3" s="439"/>
      <c r="AG3" s="538" t="str">
        <f>IF(Asta!B11="","",Asta!B11)</f>
        <v>Squadra9</v>
      </c>
      <c r="AH3" s="539"/>
      <c r="AI3" s="537"/>
      <c r="AJ3" s="439"/>
      <c r="AK3" s="538" t="str">
        <f>IF(Asta!Z11="","",Asta!Z11)</f>
        <v>Squadra10</v>
      </c>
      <c r="AL3" s="539"/>
      <c r="AM3" s="537"/>
      <c r="AN3" s="439"/>
      <c r="AO3" s="538" t="str">
        <f>IF(Asta!B12="","",Asta!B12)</f>
        <v>Squadra11</v>
      </c>
      <c r="AP3" s="539"/>
      <c r="AQ3" s="537"/>
      <c r="AR3" s="439"/>
      <c r="AS3" s="538" t="str">
        <f>IF(Asta!Z12="","",Asta!Z12)</f>
        <v>Squadra12</v>
      </c>
      <c r="AT3" s="539"/>
      <c r="AU3" s="537"/>
      <c r="AV3" s="439"/>
      <c r="AW3" s="3" t="str">
        <f>Asta!D3</f>
        <v>Squadra1</v>
      </c>
    </row>
    <row r="4" spans="1:49" ht="12.75" customHeight="1">
      <c r="A4" s="533" t="s">
        <v>36</v>
      </c>
      <c r="B4" s="533"/>
      <c r="C4" s="534"/>
      <c r="D4" s="437" t="s">
        <v>1963</v>
      </c>
      <c r="E4" s="534" t="s">
        <v>36</v>
      </c>
      <c r="F4" s="534"/>
      <c r="G4" s="534"/>
      <c r="H4" s="437"/>
      <c r="I4" s="534" t="s">
        <v>36</v>
      </c>
      <c r="J4" s="534"/>
      <c r="K4" s="534"/>
      <c r="L4" s="437"/>
      <c r="M4" s="535" t="s">
        <v>36</v>
      </c>
      <c r="N4" s="535"/>
      <c r="O4" s="535"/>
      <c r="P4" s="437"/>
      <c r="Q4" s="534" t="s">
        <v>36</v>
      </c>
      <c r="R4" s="534"/>
      <c r="S4" s="534"/>
      <c r="T4" s="437"/>
      <c r="U4" s="534" t="s">
        <v>36</v>
      </c>
      <c r="V4" s="534"/>
      <c r="W4" s="534"/>
      <c r="X4" s="437"/>
      <c r="Y4" s="534" t="s">
        <v>36</v>
      </c>
      <c r="Z4" s="534"/>
      <c r="AA4" s="534"/>
      <c r="AB4" s="437"/>
      <c r="AC4" s="534" t="s">
        <v>36</v>
      </c>
      <c r="AD4" s="534"/>
      <c r="AE4" s="534"/>
      <c r="AF4" s="437"/>
      <c r="AG4" s="534" t="s">
        <v>36</v>
      </c>
      <c r="AH4" s="534"/>
      <c r="AI4" s="534"/>
      <c r="AJ4" s="437"/>
      <c r="AK4" s="534" t="s">
        <v>36</v>
      </c>
      <c r="AL4" s="534"/>
      <c r="AM4" s="534"/>
      <c r="AN4" s="437"/>
      <c r="AO4" s="534" t="s">
        <v>36</v>
      </c>
      <c r="AP4" s="534"/>
      <c r="AQ4" s="534"/>
      <c r="AR4" s="437"/>
      <c r="AS4" s="534" t="s">
        <v>36</v>
      </c>
      <c r="AT4" s="534"/>
      <c r="AU4" s="534"/>
      <c r="AV4" s="436"/>
    </row>
    <row r="5" spans="1:49">
      <c r="A5" s="436" t="str">
        <f>IF(Asta!$AB$3&lt;AW5,"","P")</f>
        <v>P</v>
      </c>
      <c r="B5" s="9" t="str">
        <f ca="1">IF(A5="","",IF(ISNA(MATCH(A$3&amp;A5&amp;$AW5,Asta!$I:$I,0)),"",INDIRECT("Asta!B"&amp;MATCH(A$3&amp;A5&amp;$AW5,Asta!$I:$I,0))))</f>
        <v/>
      </c>
      <c r="C5" s="10" t="str">
        <f ca="1">IF(B5="","",IF(ISNA(MATCH(A$3&amp;A5&amp;$AW5,Asta!$I:$I,0)),"",INDIRECT("Asta!H"&amp;MATCH(A$3&amp;A5&amp;$AW5,Asta!$I:$I,0))))</f>
        <v/>
      </c>
      <c r="D5" s="9"/>
      <c r="E5" s="436" t="str">
        <f>A5</f>
        <v>P</v>
      </c>
      <c r="F5" s="9" t="str">
        <f ca="1">IF(E5="","",IF(ISNA(MATCH(E$3&amp;E5&amp;$AW5,Asta!$I:$I,0)),"",INDIRECT("Asta!B"&amp;MATCH(E$3&amp;E5&amp;$AW5,Asta!$I:$I,0))))</f>
        <v/>
      </c>
      <c r="G5" s="10" t="str">
        <f ca="1">IF(F5="","",IF(ISNA(MATCH(E$3&amp;E5&amp;$AW5,Asta!$I:$I,0)),"",INDIRECT("Asta!H"&amp;MATCH(E$3&amp;E5&amp;$AW5,Asta!$I:$I,0))))</f>
        <v/>
      </c>
      <c r="H5" s="9"/>
      <c r="I5" s="436" t="str">
        <f>E5</f>
        <v>P</v>
      </c>
      <c r="J5" s="9" t="str">
        <f ca="1">IF(I5="","",IF(ISNA(MATCH(I$3&amp;I5&amp;$AW5,Asta!$I:$I,0)),"",INDIRECT("Asta!B"&amp;MATCH(I$3&amp;I5&amp;$AW5,Asta!$I:$I,0))))</f>
        <v/>
      </c>
      <c r="K5" s="10" t="str">
        <f ca="1">IF(J5="","",IF(ISNA(MATCH(I$3&amp;I5&amp;$AW5,Asta!$I:$I,0)),"",INDIRECT("Asta!H"&amp;MATCH(I$3&amp;I5&amp;$AW5,Asta!$I:$I,0))))</f>
        <v/>
      </c>
      <c r="L5" s="9"/>
      <c r="M5" s="436" t="str">
        <f>I5</f>
        <v>P</v>
      </c>
      <c r="N5" s="9" t="str">
        <f ca="1">IF(M5="","",IF(ISNA(MATCH(M$3&amp;M5&amp;$AW5,Asta!$I:$I,0)),"",INDIRECT("Asta!B"&amp;MATCH(M$3&amp;M5&amp;$AW5,Asta!$I:$I,0))))</f>
        <v/>
      </c>
      <c r="O5" s="10" t="str">
        <f ca="1">IF(N5="","",IF(ISNA(MATCH(M$3&amp;M5&amp;$AW5,Asta!$I:$I,0)),"",INDIRECT("Asta!H"&amp;MATCH(M$3&amp;M5&amp;$AW5,Asta!$I:$I,0))))</f>
        <v/>
      </c>
      <c r="P5" s="9"/>
      <c r="Q5" s="436" t="str">
        <f>M5</f>
        <v>P</v>
      </c>
      <c r="R5" s="9" t="str">
        <f ca="1">IF(Q5="","",IF(ISNA(MATCH(Q$3&amp;Q5&amp;$AW5,Asta!$I:$I,0)),"",INDIRECT("Asta!B"&amp;MATCH(Q$3&amp;Q5&amp;$AW5,Asta!$I:$I,0))))</f>
        <v/>
      </c>
      <c r="S5" s="10" t="str">
        <f ca="1">IF(R5="","",IF(ISNA(MATCH(Q$3&amp;Q5&amp;$AW5,Asta!$I:$I,0)),"",INDIRECT("Asta!H"&amp;MATCH(Q$3&amp;Q5&amp;$AW5,Asta!$I:$I,0))))</f>
        <v/>
      </c>
      <c r="T5" s="9"/>
      <c r="U5" s="436" t="str">
        <f>Q5</f>
        <v>P</v>
      </c>
      <c r="V5" s="9" t="str">
        <f ca="1">IF(U5="","",IF(ISNA(MATCH(U$3&amp;U5&amp;$AW5,Asta!$I:$I,0)),"",INDIRECT("Asta!B"&amp;MATCH(U$3&amp;U5&amp;$AW5,Asta!$I:$I,0))))</f>
        <v/>
      </c>
      <c r="W5" s="10" t="str">
        <f ca="1">IF(V5="","",IF(ISNA(MATCH(U$3&amp;U5&amp;$AW5,Asta!$I:$I,0)),"",INDIRECT("Asta!H"&amp;MATCH(U$3&amp;U5&amp;$AW5,Asta!$I:$I,0))))</f>
        <v/>
      </c>
      <c r="X5" s="9"/>
      <c r="Y5" s="436" t="str">
        <f>U5</f>
        <v>P</v>
      </c>
      <c r="Z5" s="9" t="str">
        <f ca="1">IF(Y5="","",IF(ISNA(MATCH(Y$3&amp;Y5&amp;$AW5,Asta!$I:$I,0)),"",INDIRECT("Asta!B"&amp;MATCH(Y$3&amp;Y5&amp;$AW5,Asta!$I:$I,0))))</f>
        <v/>
      </c>
      <c r="AA5" s="10" t="str">
        <f ca="1">IF(Z5="","",IF(ISNA(MATCH(Y$3&amp;Y5&amp;$AW5,Asta!$I:$I,0)),"",INDIRECT("Asta!H"&amp;MATCH(Y$3&amp;Y5&amp;$AW5,Asta!$I:$I,0))))</f>
        <v/>
      </c>
      <c r="AB5" s="9"/>
      <c r="AC5" s="436" t="str">
        <f>Y5</f>
        <v>P</v>
      </c>
      <c r="AD5" s="9" t="str">
        <f ca="1">IF(AC5="","",IF(ISNA(MATCH(AC$3&amp;AC5&amp;$AW5,Asta!$I:$I,0)),"",INDIRECT("Asta!B"&amp;MATCH(AC$3&amp;AC5&amp;$AW5,Asta!$I:$I,0))))</f>
        <v/>
      </c>
      <c r="AE5" s="10" t="str">
        <f ca="1">IF(AD5="","",IF(ISNA(MATCH(AC$3&amp;AC5&amp;$AW5,Asta!$I:$I,0)),"",INDIRECT("Asta!H"&amp;MATCH(AC$3&amp;AC5&amp;$AW5,Asta!$I:$I,0))))</f>
        <v/>
      </c>
      <c r="AF5" s="9"/>
      <c r="AG5" s="436" t="str">
        <f>AC5</f>
        <v>P</v>
      </c>
      <c r="AH5" s="9" t="str">
        <f ca="1">IF(AG5="","",IF(ISNA(MATCH(AG$3&amp;AG5&amp;$AW5,Asta!$I:$I,0)),"",INDIRECT("Asta!B"&amp;MATCH(AG$3&amp;AG5&amp;$AW5,Asta!$I:$I,0))))</f>
        <v/>
      </c>
      <c r="AI5" s="10" t="str">
        <f ca="1">IF(AH5="","",IF(ISNA(MATCH(AG$3&amp;AG5&amp;$AW5,Asta!$I:$I,0)),"",INDIRECT("Asta!H"&amp;MATCH(AG$3&amp;AG5&amp;$AW5,Asta!$I:$I,0))))</f>
        <v/>
      </c>
      <c r="AJ5" s="9"/>
      <c r="AK5" s="436" t="str">
        <f>AG5</f>
        <v>P</v>
      </c>
      <c r="AL5" s="9" t="str">
        <f ca="1">IF(AK5="","",IF(ISNA(MATCH(AK$3&amp;AK5&amp;$AW5,Asta!$I:$I,0)),"",INDIRECT("Asta!B"&amp;MATCH(AK$3&amp;AK5&amp;$AW5,Asta!$I:$I,0))))</f>
        <v/>
      </c>
      <c r="AM5" s="10" t="str">
        <f ca="1">IF(AL5="","",IF(ISNA(MATCH(AK$3&amp;AK5&amp;$AW5,Asta!$I:$I,0)),"",INDIRECT("Asta!H"&amp;MATCH(AK$3&amp;AK5&amp;$AW5,Asta!$I:$I,0))))</f>
        <v/>
      </c>
      <c r="AN5" s="9"/>
      <c r="AO5" s="436" t="str">
        <f>AK5</f>
        <v>P</v>
      </c>
      <c r="AP5" s="9" t="str">
        <f ca="1">IF(AO5="","",IF(ISNA(MATCH(AO$3&amp;AO5&amp;$AW5,Asta!$I:$I,0)),"",INDIRECT("Asta!B"&amp;MATCH(AO$3&amp;AO5&amp;$AW5,Asta!$I:$I,0))))</f>
        <v/>
      </c>
      <c r="AQ5" s="10" t="str">
        <f ca="1">IF(AP5="","",IF(ISNA(MATCH(AO$3&amp;AO5&amp;$AW5,Asta!$I:$I,0)),"",INDIRECT("Asta!H"&amp;MATCH(AO$3&amp;AO5&amp;$AW5,Asta!$I:$I,0))))</f>
        <v/>
      </c>
      <c r="AR5" s="9"/>
      <c r="AS5" s="436" t="str">
        <f>AO5</f>
        <v>P</v>
      </c>
      <c r="AT5" s="9" t="str">
        <f ca="1">IF(AS5="","",IF(ISNA(MATCH(AS$3&amp;AS5&amp;$AW5,Asta!$I:$I,0)),"",INDIRECT("Asta!B"&amp;MATCH(AS$3&amp;AS5&amp;$AW5,Asta!$I:$I,0))))</f>
        <v/>
      </c>
      <c r="AU5" s="10" t="str">
        <f ca="1">IF(AT5="","",IF(ISNA(MATCH(AS$3&amp;AS5&amp;$AW5,Asta!$I:$I,0)),"",INDIRECT("Asta!H"&amp;MATCH(AS$3&amp;AS5&amp;$AW5,Asta!$I:$I,0))))</f>
        <v/>
      </c>
      <c r="AV5" s="9"/>
      <c r="AW5" s="4">
        <v>1</v>
      </c>
    </row>
    <row r="6" spans="1:49" ht="12.75" customHeight="1">
      <c r="A6" s="436" t="str">
        <f>IF(Asta!$AB$3&lt;AW6,"","P")</f>
        <v>P</v>
      </c>
      <c r="B6" s="9" t="str">
        <f ca="1">IF(A6="","",IF(ISNA(MATCH(A$3&amp;A6&amp;$AW6,Asta!$I:$I,0)),"",INDIRECT("Asta!B"&amp;MATCH(A$3&amp;A6&amp;$AW6,Asta!$I:$I,0))))</f>
        <v/>
      </c>
      <c r="C6" s="10" t="str">
        <f ca="1">IF(B6="","",IF(ISNA(MATCH(A$3&amp;A6&amp;$AW6,Asta!$I:$I,0)),"",INDIRECT("Asta!H"&amp;MATCH(A$3&amp;A6&amp;$AW6,Asta!$I:$I,0))))</f>
        <v/>
      </c>
      <c r="D6" s="9"/>
      <c r="E6" s="436" t="str">
        <f>A6</f>
        <v>P</v>
      </c>
      <c r="F6" s="9" t="str">
        <f ca="1">IF(E6="","",IF(ISNA(MATCH(E$3&amp;E6&amp;$AW6,Asta!$I:$I,0)),"",INDIRECT("Asta!B"&amp;MATCH(E$3&amp;E6&amp;$AW6,Asta!$I:$I,0))))</f>
        <v/>
      </c>
      <c r="G6" s="10" t="str">
        <f ca="1">IF(F6="","",IF(ISNA(MATCH(E$3&amp;E6&amp;$AW6,Asta!$I:$I,0)),"",INDIRECT("Asta!H"&amp;MATCH(E$3&amp;E6&amp;$AW6,Asta!$I:$I,0))))</f>
        <v/>
      </c>
      <c r="H6" s="9"/>
      <c r="I6" s="436" t="str">
        <f>E6</f>
        <v>P</v>
      </c>
      <c r="J6" s="9" t="str">
        <f ca="1">IF(I6="","",IF(ISNA(MATCH(I$3&amp;I6&amp;$AW6,Asta!$I:$I,0)),"",INDIRECT("Asta!B"&amp;MATCH(I$3&amp;I6&amp;$AW6,Asta!$I:$I,0))))</f>
        <v/>
      </c>
      <c r="K6" s="10" t="str">
        <f ca="1">IF(J6="","",IF(ISNA(MATCH(I$3&amp;I6&amp;$AW6,Asta!$I:$I,0)),"",INDIRECT("Asta!H"&amp;MATCH(I$3&amp;I6&amp;$AW6,Asta!$I:$I,0))))</f>
        <v/>
      </c>
      <c r="L6" s="9"/>
      <c r="M6" s="436" t="str">
        <f>I6</f>
        <v>P</v>
      </c>
      <c r="N6" s="9" t="str">
        <f ca="1">IF(M6="","",IF(ISNA(MATCH(M$3&amp;M6&amp;$AW6,Asta!$I:$I,0)),"",INDIRECT("Asta!B"&amp;MATCH(M$3&amp;M6&amp;$AW6,Asta!$I:$I,0))))</f>
        <v/>
      </c>
      <c r="O6" s="10" t="str">
        <f ca="1">IF(N6="","",IF(ISNA(MATCH(M$3&amp;M6&amp;$AW6,Asta!$I:$I,0)),"",INDIRECT("Asta!H"&amp;MATCH(M$3&amp;M6&amp;$AW6,Asta!$I:$I,0))))</f>
        <v/>
      </c>
      <c r="P6" s="9"/>
      <c r="Q6" s="436" t="str">
        <f>M6</f>
        <v>P</v>
      </c>
      <c r="R6" s="9" t="str">
        <f ca="1">IF(Q6="","",IF(ISNA(MATCH(Q$3&amp;Q6&amp;$AW6,Asta!$I:$I,0)),"",INDIRECT("Asta!B"&amp;MATCH(Q$3&amp;Q6&amp;$AW6,Asta!$I:$I,0))))</f>
        <v/>
      </c>
      <c r="S6" s="10" t="str">
        <f ca="1">IF(R6="","",IF(ISNA(MATCH(Q$3&amp;Q6&amp;$AW6,Asta!$I:$I,0)),"",INDIRECT("Asta!H"&amp;MATCH(Q$3&amp;Q6&amp;$AW6,Asta!$I:$I,0))))</f>
        <v/>
      </c>
      <c r="T6" s="9"/>
      <c r="U6" s="436" t="str">
        <f>Q6</f>
        <v>P</v>
      </c>
      <c r="V6" s="9" t="str">
        <f ca="1">IF(U6="","",IF(ISNA(MATCH(U$3&amp;U6&amp;$AW6,Asta!$I:$I,0)),"",INDIRECT("Asta!B"&amp;MATCH(U$3&amp;U6&amp;$AW6,Asta!$I:$I,0))))</f>
        <v/>
      </c>
      <c r="W6" s="10" t="str">
        <f ca="1">IF(V6="","",IF(ISNA(MATCH(U$3&amp;U6&amp;$AW6,Asta!$I:$I,0)),"",INDIRECT("Asta!H"&amp;MATCH(U$3&amp;U6&amp;$AW6,Asta!$I:$I,0))))</f>
        <v/>
      </c>
      <c r="X6" s="9"/>
      <c r="Y6" s="436" t="str">
        <f>U6</f>
        <v>P</v>
      </c>
      <c r="Z6" s="9" t="str">
        <f ca="1">IF(Y6="","",IF(ISNA(MATCH(Y$3&amp;Y6&amp;$AW6,Asta!$I:$I,0)),"",INDIRECT("Asta!B"&amp;MATCH(Y$3&amp;Y6&amp;$AW6,Asta!$I:$I,0))))</f>
        <v/>
      </c>
      <c r="AA6" s="10" t="str">
        <f ca="1">IF(Z6="","",IF(ISNA(MATCH(Y$3&amp;Y6&amp;$AW6,Asta!$I:$I,0)),"",INDIRECT("Asta!H"&amp;MATCH(Y$3&amp;Y6&amp;$AW6,Asta!$I:$I,0))))</f>
        <v/>
      </c>
      <c r="AB6" s="9"/>
      <c r="AC6" s="436" t="str">
        <f>Y6</f>
        <v>P</v>
      </c>
      <c r="AD6" s="9" t="str">
        <f ca="1">IF(AC6="","",IF(ISNA(MATCH(AC$3&amp;AC6&amp;$AW6,Asta!$I:$I,0)),"",INDIRECT("Asta!B"&amp;MATCH(AC$3&amp;AC6&amp;$AW6,Asta!$I:$I,0))))</f>
        <v/>
      </c>
      <c r="AE6" s="10" t="str">
        <f ca="1">IF(AD6="","",IF(ISNA(MATCH(AC$3&amp;AC6&amp;$AW6,Asta!$I:$I,0)),"",INDIRECT("Asta!H"&amp;MATCH(AC$3&amp;AC6&amp;$AW6,Asta!$I:$I,0))))</f>
        <v/>
      </c>
      <c r="AF6" s="9"/>
      <c r="AG6" s="436" t="str">
        <f>AC6</f>
        <v>P</v>
      </c>
      <c r="AH6" s="9" t="str">
        <f ca="1">IF(AG6="","",IF(ISNA(MATCH(AG$3&amp;AG6&amp;$AW6,Asta!$I:$I,0)),"",INDIRECT("Asta!B"&amp;MATCH(AG$3&amp;AG6&amp;$AW6,Asta!$I:$I,0))))</f>
        <v/>
      </c>
      <c r="AI6" s="10" t="str">
        <f ca="1">IF(AH6="","",IF(ISNA(MATCH(AG$3&amp;AG6&amp;$AW6,Asta!$I:$I,0)),"",INDIRECT("Asta!H"&amp;MATCH(AG$3&amp;AG6&amp;$AW6,Asta!$I:$I,0))))</f>
        <v/>
      </c>
      <c r="AJ6" s="9"/>
      <c r="AK6" s="436" t="str">
        <f>AG6</f>
        <v>P</v>
      </c>
      <c r="AL6" s="9" t="str">
        <f ca="1">IF(AK6="","",IF(ISNA(MATCH(AK$3&amp;AK6&amp;$AW6,Asta!$I:$I,0)),"",INDIRECT("Asta!B"&amp;MATCH(AK$3&amp;AK6&amp;$AW6,Asta!$I:$I,0))))</f>
        <v/>
      </c>
      <c r="AM6" s="10" t="str">
        <f ca="1">IF(AL6="","",IF(ISNA(MATCH(AK$3&amp;AK6&amp;$AW6,Asta!$I:$I,0)),"",INDIRECT("Asta!H"&amp;MATCH(AK$3&amp;AK6&amp;$AW6,Asta!$I:$I,0))))</f>
        <v/>
      </c>
      <c r="AN6" s="9"/>
      <c r="AO6" s="436" t="str">
        <f>AK6</f>
        <v>P</v>
      </c>
      <c r="AP6" s="9" t="str">
        <f ca="1">IF(AO6="","",IF(ISNA(MATCH(AO$3&amp;AO6&amp;$AW6,Asta!$I:$I,0)),"",INDIRECT("Asta!B"&amp;MATCH(AO$3&amp;AO6&amp;$AW6,Asta!$I:$I,0))))</f>
        <v/>
      </c>
      <c r="AQ6" s="10" t="str">
        <f ca="1">IF(AP6="","",IF(ISNA(MATCH(AO$3&amp;AO6&amp;$AW6,Asta!$I:$I,0)),"",INDIRECT("Asta!H"&amp;MATCH(AO$3&amp;AO6&amp;$AW6,Asta!$I:$I,0))))</f>
        <v/>
      </c>
      <c r="AR6" s="9"/>
      <c r="AS6" s="436" t="str">
        <f>AO6</f>
        <v>P</v>
      </c>
      <c r="AT6" s="9" t="str">
        <f ca="1">IF(AS6="","",IF(ISNA(MATCH(AS$3&amp;AS6&amp;$AW6,Asta!$I:$I,0)),"",INDIRECT("Asta!B"&amp;MATCH(AS$3&amp;AS6&amp;$AW6,Asta!$I:$I,0))))</f>
        <v/>
      </c>
      <c r="AU6" s="10" t="str">
        <f ca="1">IF(AT6="","",IF(ISNA(MATCH(AS$3&amp;AS6&amp;$AW6,Asta!$I:$I,0)),"",INDIRECT("Asta!H"&amp;MATCH(AS$3&amp;AS6&amp;$AW6,Asta!$I:$I,0))))</f>
        <v/>
      </c>
      <c r="AV6" s="9"/>
      <c r="AW6" s="4">
        <v>2</v>
      </c>
    </row>
    <row r="7" spans="1:49">
      <c r="A7" s="436" t="str">
        <f>IF(Asta!$AB$3&lt;AW7,"","P")</f>
        <v>P</v>
      </c>
      <c r="B7" s="9" t="str">
        <f ca="1">IF(A7="","",IF(ISNA(MATCH(A$3&amp;A7&amp;$AW7,Asta!$I:$I,0)),"",INDIRECT("Asta!B"&amp;MATCH(A$3&amp;A7&amp;$AW7,Asta!$I:$I,0))))</f>
        <v/>
      </c>
      <c r="C7" s="10" t="str">
        <f ca="1">IF(B7="","",IF(ISNA(MATCH(A$3&amp;A7&amp;$AW7,Asta!$I:$I,0)),"",INDIRECT("Asta!H"&amp;MATCH(A$3&amp;A7&amp;$AW7,Asta!$I:$I,0))))</f>
        <v/>
      </c>
      <c r="D7" s="9"/>
      <c r="E7" s="436" t="str">
        <f>A7</f>
        <v>P</v>
      </c>
      <c r="F7" s="9" t="str">
        <f ca="1">IF(E7="","",IF(ISNA(MATCH(E$3&amp;E7&amp;$AW7,Asta!$I:$I,0)),"",INDIRECT("Asta!B"&amp;MATCH(E$3&amp;E7&amp;$AW7,Asta!$I:$I,0))))</f>
        <v/>
      </c>
      <c r="G7" s="10" t="str">
        <f ca="1">IF(F7="","",IF(ISNA(MATCH(E$3&amp;E7&amp;$AW7,Asta!$I:$I,0)),"",INDIRECT("Asta!H"&amp;MATCH(E$3&amp;E7&amp;$AW7,Asta!$I:$I,0))))</f>
        <v/>
      </c>
      <c r="H7" s="9"/>
      <c r="I7" s="436" t="str">
        <f>E7</f>
        <v>P</v>
      </c>
      <c r="J7" s="9" t="str">
        <f ca="1">IF(I7="","",IF(ISNA(MATCH(I$3&amp;I7&amp;$AW7,Asta!$I:$I,0)),"",INDIRECT("Asta!B"&amp;MATCH(I$3&amp;I7&amp;$AW7,Asta!$I:$I,0))))</f>
        <v/>
      </c>
      <c r="K7" s="10" t="str">
        <f ca="1">IF(J7="","",IF(ISNA(MATCH(I$3&amp;I7&amp;$AW7,Asta!$I:$I,0)),"",INDIRECT("Asta!H"&amp;MATCH(I$3&amp;I7&amp;$AW7,Asta!$I:$I,0))))</f>
        <v/>
      </c>
      <c r="L7" s="9"/>
      <c r="M7" s="436" t="str">
        <f>I7</f>
        <v>P</v>
      </c>
      <c r="N7" s="9" t="str">
        <f ca="1">IF(M7="","",IF(ISNA(MATCH(M$3&amp;M7&amp;$AW7,Asta!$I:$I,0)),"",INDIRECT("Asta!B"&amp;MATCH(M$3&amp;M7&amp;$AW7,Asta!$I:$I,0))))</f>
        <v/>
      </c>
      <c r="O7" s="10" t="str">
        <f ca="1">IF(N7="","",IF(ISNA(MATCH(M$3&amp;M7&amp;$AW7,Asta!$I:$I,0)),"",INDIRECT("Asta!H"&amp;MATCH(M$3&amp;M7&amp;$AW7,Asta!$I:$I,0))))</f>
        <v/>
      </c>
      <c r="P7" s="9"/>
      <c r="Q7" s="436" t="str">
        <f>M7</f>
        <v>P</v>
      </c>
      <c r="R7" s="9" t="str">
        <f ca="1">IF(Q7="","",IF(ISNA(MATCH(Q$3&amp;Q7&amp;$AW7,Asta!$I:$I,0)),"",INDIRECT("Asta!B"&amp;MATCH(Q$3&amp;Q7&amp;$AW7,Asta!$I:$I,0))))</f>
        <v/>
      </c>
      <c r="S7" s="10" t="str">
        <f ca="1">IF(R7="","",IF(ISNA(MATCH(Q$3&amp;Q7&amp;$AW7,Asta!$I:$I,0)),"",INDIRECT("Asta!H"&amp;MATCH(Q$3&amp;Q7&amp;$AW7,Asta!$I:$I,0))))</f>
        <v/>
      </c>
      <c r="T7" s="9"/>
      <c r="U7" s="436" t="str">
        <f>Q7</f>
        <v>P</v>
      </c>
      <c r="V7" s="9" t="str">
        <f ca="1">IF(U7="","",IF(ISNA(MATCH(U$3&amp;U7&amp;$AW7,Asta!$I:$I,0)),"",INDIRECT("Asta!B"&amp;MATCH(U$3&amp;U7&amp;$AW7,Asta!$I:$I,0))))</f>
        <v/>
      </c>
      <c r="W7" s="10" t="str">
        <f ca="1">IF(V7="","",IF(ISNA(MATCH(U$3&amp;U7&amp;$AW7,Asta!$I:$I,0)),"",INDIRECT("Asta!H"&amp;MATCH(U$3&amp;U7&amp;$AW7,Asta!$I:$I,0))))</f>
        <v/>
      </c>
      <c r="X7" s="9"/>
      <c r="Y7" s="436" t="str">
        <f>U7</f>
        <v>P</v>
      </c>
      <c r="Z7" s="9" t="str">
        <f ca="1">IF(Y7="","",IF(ISNA(MATCH(Y$3&amp;Y7&amp;$AW7,Asta!$I:$I,0)),"",INDIRECT("Asta!B"&amp;MATCH(Y$3&amp;Y7&amp;$AW7,Asta!$I:$I,0))))</f>
        <v/>
      </c>
      <c r="AA7" s="10" t="str">
        <f ca="1">IF(Z7="","",IF(ISNA(MATCH(Y$3&amp;Y7&amp;$AW7,Asta!$I:$I,0)),"",INDIRECT("Asta!H"&amp;MATCH(Y$3&amp;Y7&amp;$AW7,Asta!$I:$I,0))))</f>
        <v/>
      </c>
      <c r="AB7" s="9"/>
      <c r="AC7" s="436" t="str">
        <f>Y7</f>
        <v>P</v>
      </c>
      <c r="AD7" s="9" t="str">
        <f ca="1">IF(AC7="","",IF(ISNA(MATCH(AC$3&amp;AC7&amp;$AW7,Asta!$I:$I,0)),"",INDIRECT("Asta!B"&amp;MATCH(AC$3&amp;AC7&amp;$AW7,Asta!$I:$I,0))))</f>
        <v/>
      </c>
      <c r="AE7" s="10" t="str">
        <f ca="1">IF(AD7="","",IF(ISNA(MATCH(AC$3&amp;AC7&amp;$AW7,Asta!$I:$I,0)),"",INDIRECT("Asta!H"&amp;MATCH(AC$3&amp;AC7&amp;$AW7,Asta!$I:$I,0))))</f>
        <v/>
      </c>
      <c r="AF7" s="9"/>
      <c r="AG7" s="436" t="str">
        <f>AC7</f>
        <v>P</v>
      </c>
      <c r="AH7" s="9" t="str">
        <f ca="1">IF(AG7="","",IF(ISNA(MATCH(AG$3&amp;AG7&amp;$AW7,Asta!$I:$I,0)),"",INDIRECT("Asta!B"&amp;MATCH(AG$3&amp;AG7&amp;$AW7,Asta!$I:$I,0))))</f>
        <v/>
      </c>
      <c r="AI7" s="10" t="str">
        <f ca="1">IF(AH7="","",IF(ISNA(MATCH(AG$3&amp;AG7&amp;$AW7,Asta!$I:$I,0)),"",INDIRECT("Asta!H"&amp;MATCH(AG$3&amp;AG7&amp;$AW7,Asta!$I:$I,0))))</f>
        <v/>
      </c>
      <c r="AJ7" s="9"/>
      <c r="AK7" s="436" t="str">
        <f>AG7</f>
        <v>P</v>
      </c>
      <c r="AL7" s="9" t="str">
        <f ca="1">IF(AK7="","",IF(ISNA(MATCH(AK$3&amp;AK7&amp;$AW7,Asta!$I:$I,0)),"",INDIRECT("Asta!B"&amp;MATCH(AK$3&amp;AK7&amp;$AW7,Asta!$I:$I,0))))</f>
        <v/>
      </c>
      <c r="AM7" s="10" t="str">
        <f ca="1">IF(AL7="","",IF(ISNA(MATCH(AK$3&amp;AK7&amp;$AW7,Asta!$I:$I,0)),"",INDIRECT("Asta!H"&amp;MATCH(AK$3&amp;AK7&amp;$AW7,Asta!$I:$I,0))))</f>
        <v/>
      </c>
      <c r="AN7" s="9"/>
      <c r="AO7" s="436" t="str">
        <f>AK7</f>
        <v>P</v>
      </c>
      <c r="AP7" s="9" t="str">
        <f ca="1">IF(AO7="","",IF(ISNA(MATCH(AO$3&amp;AO7&amp;$AW7,Asta!$I:$I,0)),"",INDIRECT("Asta!B"&amp;MATCH(AO$3&amp;AO7&amp;$AW7,Asta!$I:$I,0))))</f>
        <v/>
      </c>
      <c r="AQ7" s="10" t="str">
        <f ca="1">IF(AP7="","",IF(ISNA(MATCH(AO$3&amp;AO7&amp;$AW7,Asta!$I:$I,0)),"",INDIRECT("Asta!H"&amp;MATCH(AO$3&amp;AO7&amp;$AW7,Asta!$I:$I,0))))</f>
        <v/>
      </c>
      <c r="AR7" s="9"/>
      <c r="AS7" s="436" t="str">
        <f>AO7</f>
        <v>P</v>
      </c>
      <c r="AT7" s="9" t="str">
        <f ca="1">IF(AS7="","",IF(ISNA(MATCH(AS$3&amp;AS7&amp;$AW7,Asta!$I:$I,0)),"",INDIRECT("Asta!B"&amp;MATCH(AS$3&amp;AS7&amp;$AW7,Asta!$I:$I,0))))</f>
        <v/>
      </c>
      <c r="AU7" s="10" t="str">
        <f ca="1">IF(AT7="","",IF(ISNA(MATCH(AS$3&amp;AS7&amp;$AW7,Asta!$I:$I,0)),"",INDIRECT("Asta!H"&amp;MATCH(AS$3&amp;AS7&amp;$AW7,Asta!$I:$I,0))))</f>
        <v/>
      </c>
      <c r="AV7" s="9"/>
      <c r="AW7" s="4">
        <v>3</v>
      </c>
    </row>
    <row r="8" spans="1:49">
      <c r="A8" s="534" t="s">
        <v>38</v>
      </c>
      <c r="B8" s="534"/>
      <c r="C8" s="534"/>
      <c r="D8" s="437" t="s">
        <v>1963</v>
      </c>
      <c r="E8" s="534" t="s">
        <v>38</v>
      </c>
      <c r="F8" s="534"/>
      <c r="G8" s="534"/>
      <c r="H8" s="437"/>
      <c r="I8" s="534" t="s">
        <v>38</v>
      </c>
      <c r="J8" s="534"/>
      <c r="K8" s="534"/>
      <c r="L8" s="437"/>
      <c r="M8" s="534" t="s">
        <v>38</v>
      </c>
      <c r="N8" s="534"/>
      <c r="O8" s="534"/>
      <c r="P8" s="437"/>
      <c r="Q8" s="534" t="s">
        <v>38</v>
      </c>
      <c r="R8" s="534"/>
      <c r="S8" s="534"/>
      <c r="T8" s="437"/>
      <c r="U8" s="534" t="s">
        <v>38</v>
      </c>
      <c r="V8" s="534"/>
      <c r="W8" s="534"/>
      <c r="X8" s="437"/>
      <c r="Y8" s="534" t="s">
        <v>38</v>
      </c>
      <c r="Z8" s="534"/>
      <c r="AA8" s="534"/>
      <c r="AB8" s="437"/>
      <c r="AC8" s="534" t="s">
        <v>38</v>
      </c>
      <c r="AD8" s="534"/>
      <c r="AE8" s="534"/>
      <c r="AF8" s="437"/>
      <c r="AG8" s="534" t="s">
        <v>38</v>
      </c>
      <c r="AH8" s="534"/>
      <c r="AI8" s="534"/>
      <c r="AJ8" s="437"/>
      <c r="AK8" s="534" t="s">
        <v>38</v>
      </c>
      <c r="AL8" s="534"/>
      <c r="AM8" s="534"/>
      <c r="AN8" s="437"/>
      <c r="AO8" s="534" t="s">
        <v>38</v>
      </c>
      <c r="AP8" s="534"/>
      <c r="AQ8" s="534"/>
      <c r="AR8" s="437"/>
      <c r="AS8" s="534" t="s">
        <v>38</v>
      </c>
      <c r="AT8" s="534"/>
      <c r="AU8" s="534"/>
      <c r="AV8" s="436"/>
    </row>
    <row r="9" spans="1:49">
      <c r="A9" s="436" t="str">
        <f>IF(Asta!$AC$3&lt;AW9,"","D")</f>
        <v>D</v>
      </c>
      <c r="B9" s="9" t="str">
        <f ca="1">IF(A9="","",IF(ISNA(MATCH(A$3&amp;A9&amp;$AW9,Asta!$I:$I,0)),"",INDIRECT("Asta!B"&amp;MATCH(A$3&amp;A9&amp;$AW9,Asta!$I:$I,0))))</f>
        <v/>
      </c>
      <c r="C9" s="10" t="str">
        <f ca="1">IF(B9="","",IF(ISNA(MATCH(A$3&amp;A9&amp;$AW9,Asta!$I:$I,0)),"",INDIRECT("Asta!H"&amp;MATCH(A$3&amp;A9&amp;$AW9,Asta!$I:$I,0))))</f>
        <v/>
      </c>
      <c r="D9" s="9"/>
      <c r="E9" s="436" t="str">
        <f t="shared" ref="E9:E18" si="0">A9</f>
        <v>D</v>
      </c>
      <c r="F9" s="9" t="str">
        <f ca="1">IF(E9="","",IF(ISNA(MATCH(E$3&amp;E9&amp;$AW9,Asta!$I:$I,0)),"",INDIRECT("Asta!B"&amp;MATCH(E$3&amp;E9&amp;$AW9,Asta!$I:$I,0))))</f>
        <v/>
      </c>
      <c r="G9" s="10" t="str">
        <f ca="1">IF(F9="","",IF(ISNA(MATCH(E$3&amp;E9&amp;$AW9,Asta!$I:$I,0)),"",INDIRECT("Asta!H"&amp;MATCH(E$3&amp;E9&amp;$AW9,Asta!$I:$I,0))))</f>
        <v/>
      </c>
      <c r="H9" s="9"/>
      <c r="I9" s="436" t="str">
        <f>E9</f>
        <v>D</v>
      </c>
      <c r="J9" s="9" t="str">
        <f ca="1">IF(I9="","",IF(ISNA(MATCH(I$3&amp;I9&amp;$AW9,Asta!$I:$I,0)),"",INDIRECT("Asta!B"&amp;MATCH(I$3&amp;I9&amp;$AW9,Asta!$I:$I,0))))</f>
        <v/>
      </c>
      <c r="K9" s="10" t="str">
        <f ca="1">IF(J9="","",IF(ISNA(MATCH(I$3&amp;I9&amp;$AW9,Asta!$I:$I,0)),"",INDIRECT("Asta!H"&amp;MATCH(I$3&amp;I9&amp;$AW9,Asta!$I:$I,0))))</f>
        <v/>
      </c>
      <c r="L9" s="9"/>
      <c r="M9" s="436" t="str">
        <f>I9</f>
        <v>D</v>
      </c>
      <c r="N9" s="9" t="str">
        <f ca="1">IF(M9="","",IF(ISNA(MATCH(M$3&amp;M9&amp;$AW9,Asta!$I:$I,0)),"",INDIRECT("Asta!B"&amp;MATCH(M$3&amp;M9&amp;$AW9,Asta!$I:$I,0))))</f>
        <v/>
      </c>
      <c r="O9" s="10" t="str">
        <f ca="1">IF(N9="","",IF(ISNA(MATCH(M$3&amp;M9&amp;$AW9,Asta!$I:$I,0)),"",INDIRECT("Asta!H"&amp;MATCH(M$3&amp;M9&amp;$AW9,Asta!$I:$I,0))))</f>
        <v/>
      </c>
      <c r="P9" s="9"/>
      <c r="Q9" s="436" t="str">
        <f>M9</f>
        <v>D</v>
      </c>
      <c r="R9" s="9" t="str">
        <f ca="1">IF(Q9="","",IF(ISNA(MATCH(Q$3&amp;Q9&amp;$AW9,Asta!$I:$I,0)),"",INDIRECT("Asta!B"&amp;MATCH(Q$3&amp;Q9&amp;$AW9,Asta!$I:$I,0))))</f>
        <v/>
      </c>
      <c r="S9" s="10" t="str">
        <f ca="1">IF(R9="","",IF(ISNA(MATCH(Q$3&amp;Q9&amp;$AW9,Asta!$I:$I,0)),"",INDIRECT("Asta!H"&amp;MATCH(Q$3&amp;Q9&amp;$AW9,Asta!$I:$I,0))))</f>
        <v/>
      </c>
      <c r="T9" s="9"/>
      <c r="U9" s="436" t="str">
        <f>Q9</f>
        <v>D</v>
      </c>
      <c r="V9" s="9" t="str">
        <f ca="1">IF(U9="","",IF(ISNA(MATCH(U$3&amp;U9&amp;$AW9,Asta!$I:$I,0)),"",INDIRECT("Asta!B"&amp;MATCH(U$3&amp;U9&amp;$AW9,Asta!$I:$I,0))))</f>
        <v/>
      </c>
      <c r="W9" s="10" t="str">
        <f ca="1">IF(V9="","",IF(ISNA(MATCH(U$3&amp;U9&amp;$AW9,Asta!$I:$I,0)),"",INDIRECT("Asta!H"&amp;MATCH(U$3&amp;U9&amp;$AW9,Asta!$I:$I,0))))</f>
        <v/>
      </c>
      <c r="X9" s="9"/>
      <c r="Y9" s="436" t="str">
        <f>U9</f>
        <v>D</v>
      </c>
      <c r="Z9" s="9" t="str">
        <f ca="1">IF(Y9="","",IF(ISNA(MATCH(Y$3&amp;Y9&amp;$AW9,Asta!$I:$I,0)),"",INDIRECT("Asta!B"&amp;MATCH(Y$3&amp;Y9&amp;$AW9,Asta!$I:$I,0))))</f>
        <v/>
      </c>
      <c r="AA9" s="10" t="str">
        <f ca="1">IF(Z9="","",IF(ISNA(MATCH(Y$3&amp;Y9&amp;$AW9,Asta!$I:$I,0)),"",INDIRECT("Asta!H"&amp;MATCH(Y$3&amp;Y9&amp;$AW9,Asta!$I:$I,0))))</f>
        <v/>
      </c>
      <c r="AB9" s="9"/>
      <c r="AC9" s="436" t="str">
        <f>Y9</f>
        <v>D</v>
      </c>
      <c r="AD9" s="9" t="str">
        <f ca="1">IF(AC9="","",IF(ISNA(MATCH(AC$3&amp;AC9&amp;$AW9,Asta!$I:$I,0)),"",INDIRECT("Asta!B"&amp;MATCH(AC$3&amp;AC9&amp;$AW9,Asta!$I:$I,0))))</f>
        <v/>
      </c>
      <c r="AE9" s="10" t="str">
        <f ca="1">IF(AD9="","",IF(ISNA(MATCH(AC$3&amp;AC9&amp;$AW9,Asta!$I:$I,0)),"",INDIRECT("Asta!H"&amp;MATCH(AC$3&amp;AC9&amp;$AW9,Asta!$I:$I,0))))</f>
        <v/>
      </c>
      <c r="AF9" s="9"/>
      <c r="AG9" s="436" t="str">
        <f>AC9</f>
        <v>D</v>
      </c>
      <c r="AH9" s="9" t="str">
        <f ca="1">IF(AG9="","",IF(ISNA(MATCH(AG$3&amp;AG9&amp;$AW9,Asta!$I:$I,0)),"",INDIRECT("Asta!B"&amp;MATCH(AG$3&amp;AG9&amp;$AW9,Asta!$I:$I,0))))</f>
        <v/>
      </c>
      <c r="AI9" s="10" t="str">
        <f ca="1">IF(AH9="","",IF(ISNA(MATCH(AG$3&amp;AG9&amp;$AW9,Asta!$I:$I,0)),"",INDIRECT("Asta!H"&amp;MATCH(AG$3&amp;AG9&amp;$AW9,Asta!$I:$I,0))))</f>
        <v/>
      </c>
      <c r="AJ9" s="9"/>
      <c r="AK9" s="436" t="str">
        <f>AG9</f>
        <v>D</v>
      </c>
      <c r="AL9" s="9" t="str">
        <f ca="1">IF(AK9="","",IF(ISNA(MATCH(AK$3&amp;AK9&amp;$AW9,Asta!$I:$I,0)),"",INDIRECT("Asta!B"&amp;MATCH(AK$3&amp;AK9&amp;$AW9,Asta!$I:$I,0))))</f>
        <v/>
      </c>
      <c r="AM9" s="10" t="str">
        <f ca="1">IF(AL9="","",IF(ISNA(MATCH(AK$3&amp;AK9&amp;$AW9,Asta!$I:$I,0)),"",INDIRECT("Asta!H"&amp;MATCH(AK$3&amp;AK9&amp;$AW9,Asta!$I:$I,0))))</f>
        <v/>
      </c>
      <c r="AN9" s="9"/>
      <c r="AO9" s="436" t="str">
        <f>AK9</f>
        <v>D</v>
      </c>
      <c r="AP9" s="9" t="str">
        <f ca="1">IF(AO9="","",IF(ISNA(MATCH(AO$3&amp;AO9&amp;$AW9,Asta!$I:$I,0)),"",INDIRECT("Asta!B"&amp;MATCH(AO$3&amp;AO9&amp;$AW9,Asta!$I:$I,0))))</f>
        <v/>
      </c>
      <c r="AQ9" s="10" t="str">
        <f ca="1">IF(AP9="","",IF(ISNA(MATCH(AO$3&amp;AO9&amp;$AW9,Asta!$I:$I,0)),"",INDIRECT("Asta!H"&amp;MATCH(AO$3&amp;AO9&amp;$AW9,Asta!$I:$I,0))))</f>
        <v/>
      </c>
      <c r="AR9" s="9"/>
      <c r="AS9" s="436" t="str">
        <f>AO9</f>
        <v>D</v>
      </c>
      <c r="AT9" s="9" t="str">
        <f ca="1">IF(AS9="","",IF(ISNA(MATCH(AS$3&amp;AS9&amp;$AW9,Asta!$I:$I,0)),"",INDIRECT("Asta!B"&amp;MATCH(AS$3&amp;AS9&amp;$AW9,Asta!$I:$I,0))))</f>
        <v/>
      </c>
      <c r="AU9" s="10" t="str">
        <f ca="1">IF(AT9="","",IF(ISNA(MATCH(AS$3&amp;AS9&amp;$AW9,Asta!$I:$I,0)),"",INDIRECT("Asta!H"&amp;MATCH(AS$3&amp;AS9&amp;$AW9,Asta!$I:$I,0))))</f>
        <v/>
      </c>
      <c r="AV9" s="9"/>
      <c r="AW9" s="4">
        <v>1</v>
      </c>
    </row>
    <row r="10" spans="1:49">
      <c r="A10" s="436" t="str">
        <f>IF(Asta!$AC$3&lt;AW10,"","D")</f>
        <v>D</v>
      </c>
      <c r="B10" s="9" t="str">
        <f ca="1">IF(A10="","",IF(ISNA(MATCH(A$3&amp;A10&amp;$AW10,Asta!$I:$I,0)),"",INDIRECT("Asta!B"&amp;MATCH(A$3&amp;A10&amp;$AW10,Asta!$I:$I,0))))</f>
        <v/>
      </c>
      <c r="C10" s="10" t="str">
        <f ca="1">IF(B10="","",IF(ISNA(MATCH(A$3&amp;A10&amp;$AW10,Asta!$I:$I,0)),"",INDIRECT("Asta!H"&amp;MATCH(A$3&amp;A10&amp;$AW10,Asta!$I:$I,0))))</f>
        <v/>
      </c>
      <c r="D10" s="9"/>
      <c r="E10" s="436" t="str">
        <f t="shared" si="0"/>
        <v>D</v>
      </c>
      <c r="F10" s="9" t="str">
        <f ca="1">IF(E10="","",IF(ISNA(MATCH(E$3&amp;E10&amp;$AW10,Asta!$I:$I,0)),"",INDIRECT("Asta!B"&amp;MATCH(E$3&amp;E10&amp;$AW10,Asta!$I:$I,0))))</f>
        <v/>
      </c>
      <c r="G10" s="10" t="str">
        <f ca="1">IF(F10="","",IF(ISNA(MATCH(E$3&amp;E10&amp;$AW10,Asta!$I:$I,0)),"",INDIRECT("Asta!H"&amp;MATCH(E$3&amp;E10&amp;$AW10,Asta!$I:$I,0))))</f>
        <v/>
      </c>
      <c r="H10" s="9"/>
      <c r="I10" s="436" t="str">
        <f t="shared" ref="I10:I18" si="1">E10</f>
        <v>D</v>
      </c>
      <c r="J10" s="9" t="str">
        <f ca="1">IF(I10="","",IF(ISNA(MATCH(I$3&amp;I10&amp;$AW10,Asta!$I:$I,0)),"",INDIRECT("Asta!B"&amp;MATCH(I$3&amp;I10&amp;$AW10,Asta!$I:$I,0))))</f>
        <v/>
      </c>
      <c r="K10" s="10" t="str">
        <f ca="1">IF(J10="","",IF(ISNA(MATCH(I$3&amp;I10&amp;$AW10,Asta!$I:$I,0)),"",INDIRECT("Asta!H"&amp;MATCH(I$3&amp;I10&amp;$AW10,Asta!$I:$I,0))))</f>
        <v/>
      </c>
      <c r="L10" s="9"/>
      <c r="M10" s="436" t="str">
        <f t="shared" ref="M10:M18" si="2">I10</f>
        <v>D</v>
      </c>
      <c r="N10" s="9" t="str">
        <f ca="1">IF(M10="","",IF(ISNA(MATCH(M$3&amp;M10&amp;$AW10,Asta!$I:$I,0)),"",INDIRECT("Asta!B"&amp;MATCH(M$3&amp;M10&amp;$AW10,Asta!$I:$I,0))))</f>
        <v/>
      </c>
      <c r="O10" s="10" t="str">
        <f ca="1">IF(N10="","",IF(ISNA(MATCH(M$3&amp;M10&amp;$AW10,Asta!$I:$I,0)),"",INDIRECT("Asta!H"&amp;MATCH(M$3&amp;M10&amp;$AW10,Asta!$I:$I,0))))</f>
        <v/>
      </c>
      <c r="P10" s="9"/>
      <c r="Q10" s="436" t="str">
        <f t="shared" ref="Q10:Q18" si="3">M10</f>
        <v>D</v>
      </c>
      <c r="R10" s="9" t="str">
        <f ca="1">IF(Q10="","",IF(ISNA(MATCH(Q$3&amp;Q10&amp;$AW10,Asta!$I:$I,0)),"",INDIRECT("Asta!B"&amp;MATCH(Q$3&amp;Q10&amp;$AW10,Asta!$I:$I,0))))</f>
        <v/>
      </c>
      <c r="S10" s="10" t="str">
        <f ca="1">IF(R10="","",IF(ISNA(MATCH(Q$3&amp;Q10&amp;$AW10,Asta!$I:$I,0)),"",INDIRECT("Asta!H"&amp;MATCH(Q$3&amp;Q10&amp;$AW10,Asta!$I:$I,0))))</f>
        <v/>
      </c>
      <c r="T10" s="9"/>
      <c r="U10" s="436" t="str">
        <f t="shared" ref="U10:U18" si="4">Q10</f>
        <v>D</v>
      </c>
      <c r="V10" s="9" t="str">
        <f ca="1">IF(U10="","",IF(ISNA(MATCH(U$3&amp;U10&amp;$AW10,Asta!$I:$I,0)),"",INDIRECT("Asta!B"&amp;MATCH(U$3&amp;U10&amp;$AW10,Asta!$I:$I,0))))</f>
        <v/>
      </c>
      <c r="W10" s="10" t="str">
        <f ca="1">IF(V10="","",IF(ISNA(MATCH(U$3&amp;U10&amp;$AW10,Asta!$I:$I,0)),"",INDIRECT("Asta!H"&amp;MATCH(U$3&amp;U10&amp;$AW10,Asta!$I:$I,0))))</f>
        <v/>
      </c>
      <c r="X10" s="9"/>
      <c r="Y10" s="436" t="str">
        <f t="shared" ref="Y10:Y18" si="5">U10</f>
        <v>D</v>
      </c>
      <c r="Z10" s="9" t="str">
        <f ca="1">IF(Y10="","",IF(ISNA(MATCH(Y$3&amp;Y10&amp;$AW10,Asta!$I:$I,0)),"",INDIRECT("Asta!B"&amp;MATCH(Y$3&amp;Y10&amp;$AW10,Asta!$I:$I,0))))</f>
        <v/>
      </c>
      <c r="AA10" s="10" t="str">
        <f ca="1">IF(Z10="","",IF(ISNA(MATCH(Y$3&amp;Y10&amp;$AW10,Asta!$I:$I,0)),"",INDIRECT("Asta!H"&amp;MATCH(Y$3&amp;Y10&amp;$AW10,Asta!$I:$I,0))))</f>
        <v/>
      </c>
      <c r="AB10" s="9"/>
      <c r="AC10" s="436" t="str">
        <f t="shared" ref="AC10:AC18" si="6">Y10</f>
        <v>D</v>
      </c>
      <c r="AD10" s="9" t="str">
        <f ca="1">IF(AC10="","",IF(ISNA(MATCH(AC$3&amp;AC10&amp;$AW10,Asta!$I:$I,0)),"",INDIRECT("Asta!B"&amp;MATCH(AC$3&amp;AC10&amp;$AW10,Asta!$I:$I,0))))</f>
        <v/>
      </c>
      <c r="AE10" s="10" t="str">
        <f ca="1">IF(AD10="","",IF(ISNA(MATCH(AC$3&amp;AC10&amp;$AW10,Asta!$I:$I,0)),"",INDIRECT("Asta!H"&amp;MATCH(AC$3&amp;AC10&amp;$AW10,Asta!$I:$I,0))))</f>
        <v/>
      </c>
      <c r="AF10" s="9"/>
      <c r="AG10" s="436" t="str">
        <f t="shared" ref="AG10:AG18" si="7">AC10</f>
        <v>D</v>
      </c>
      <c r="AH10" s="9" t="str">
        <f ca="1">IF(AG10="","",IF(ISNA(MATCH(AG$3&amp;AG10&amp;$AW10,Asta!$I:$I,0)),"",INDIRECT("Asta!B"&amp;MATCH(AG$3&amp;AG10&amp;$AW10,Asta!$I:$I,0))))</f>
        <v/>
      </c>
      <c r="AI10" s="10" t="str">
        <f ca="1">IF(AH10="","",IF(ISNA(MATCH(AG$3&amp;AG10&amp;$AW10,Asta!$I:$I,0)),"",INDIRECT("Asta!H"&amp;MATCH(AG$3&amp;AG10&amp;$AW10,Asta!$I:$I,0))))</f>
        <v/>
      </c>
      <c r="AJ10" s="9"/>
      <c r="AK10" s="436" t="str">
        <f t="shared" ref="AK10:AK18" si="8">AG10</f>
        <v>D</v>
      </c>
      <c r="AL10" s="9" t="str">
        <f ca="1">IF(AK10="","",IF(ISNA(MATCH(AK$3&amp;AK10&amp;$AW10,Asta!$I:$I,0)),"",INDIRECT("Asta!B"&amp;MATCH(AK$3&amp;AK10&amp;$AW10,Asta!$I:$I,0))))</f>
        <v/>
      </c>
      <c r="AM10" s="10" t="str">
        <f ca="1">IF(AL10="","",IF(ISNA(MATCH(AK$3&amp;AK10&amp;$AW10,Asta!$I:$I,0)),"",INDIRECT("Asta!H"&amp;MATCH(AK$3&amp;AK10&amp;$AW10,Asta!$I:$I,0))))</f>
        <v/>
      </c>
      <c r="AN10" s="9"/>
      <c r="AO10" s="436" t="str">
        <f t="shared" ref="AO10:AO18" si="9">AK10</f>
        <v>D</v>
      </c>
      <c r="AP10" s="9" t="str">
        <f ca="1">IF(AO10="","",IF(ISNA(MATCH(AO$3&amp;AO10&amp;$AW10,Asta!$I:$I,0)),"",INDIRECT("Asta!B"&amp;MATCH(AO$3&amp;AO10&amp;$AW10,Asta!$I:$I,0))))</f>
        <v/>
      </c>
      <c r="AQ10" s="10" t="str">
        <f ca="1">IF(AP10="","",IF(ISNA(MATCH(AO$3&amp;AO10&amp;$AW10,Asta!$I:$I,0)),"",INDIRECT("Asta!H"&amp;MATCH(AO$3&amp;AO10&amp;$AW10,Asta!$I:$I,0))))</f>
        <v/>
      </c>
      <c r="AR10" s="9"/>
      <c r="AS10" s="436" t="str">
        <f t="shared" ref="AS10:AS18" si="10">AO10</f>
        <v>D</v>
      </c>
      <c r="AT10" s="9" t="str">
        <f ca="1">IF(AS10="","",IF(ISNA(MATCH(AS$3&amp;AS10&amp;$AW10,Asta!$I:$I,0)),"",INDIRECT("Asta!B"&amp;MATCH(AS$3&amp;AS10&amp;$AW10,Asta!$I:$I,0))))</f>
        <v/>
      </c>
      <c r="AU10" s="10" t="str">
        <f ca="1">IF(AT10="","",IF(ISNA(MATCH(AS$3&amp;AS10&amp;$AW10,Asta!$I:$I,0)),"",INDIRECT("Asta!H"&amp;MATCH(AS$3&amp;AS10&amp;$AW10,Asta!$I:$I,0))))</f>
        <v/>
      </c>
      <c r="AV10" s="9"/>
      <c r="AW10" s="4">
        <v>2</v>
      </c>
    </row>
    <row r="11" spans="1:49" ht="12.75" customHeight="1">
      <c r="A11" s="436" t="str">
        <f>IF(Asta!$AC$3&lt;AW11,"","D")</f>
        <v>D</v>
      </c>
      <c r="B11" s="9" t="str">
        <f ca="1">IF(A11="","",IF(ISNA(MATCH(A$3&amp;A11&amp;$AW11,Asta!$I:$I,0)),"",INDIRECT("Asta!B"&amp;MATCH(A$3&amp;A11&amp;$AW11,Asta!$I:$I,0))))</f>
        <v/>
      </c>
      <c r="C11" s="10" t="str">
        <f ca="1">IF(B11="","",IF(ISNA(MATCH(A$3&amp;A11&amp;$AW11,Asta!$I:$I,0)),"",INDIRECT("Asta!H"&amp;MATCH(A$3&amp;A11&amp;$AW11,Asta!$I:$I,0))))</f>
        <v/>
      </c>
      <c r="D11" s="9"/>
      <c r="E11" s="436" t="str">
        <f t="shared" si="0"/>
        <v>D</v>
      </c>
      <c r="F11" s="9" t="str">
        <f ca="1">IF(E11="","",IF(ISNA(MATCH(E$3&amp;E11&amp;$AW11,Asta!$I:$I,0)),"",INDIRECT("Asta!B"&amp;MATCH(E$3&amp;E11&amp;$AW11,Asta!$I:$I,0))))</f>
        <v/>
      </c>
      <c r="G11" s="10" t="str">
        <f ca="1">IF(F11="","",IF(ISNA(MATCH(E$3&amp;E11&amp;$AW11,Asta!$I:$I,0)),"",INDIRECT("Asta!H"&amp;MATCH(E$3&amp;E11&amp;$AW11,Asta!$I:$I,0))))</f>
        <v/>
      </c>
      <c r="H11" s="9"/>
      <c r="I11" s="436" t="str">
        <f t="shared" si="1"/>
        <v>D</v>
      </c>
      <c r="J11" s="9" t="str">
        <f ca="1">IF(I11="","",IF(ISNA(MATCH(I$3&amp;I11&amp;$AW11,Asta!$I:$I,0)),"",INDIRECT("Asta!B"&amp;MATCH(I$3&amp;I11&amp;$AW11,Asta!$I:$I,0))))</f>
        <v/>
      </c>
      <c r="K11" s="10" t="str">
        <f ca="1">IF(J11="","",IF(ISNA(MATCH(I$3&amp;I11&amp;$AW11,Asta!$I:$I,0)),"",INDIRECT("Asta!H"&amp;MATCH(I$3&amp;I11&amp;$AW11,Asta!$I:$I,0))))</f>
        <v/>
      </c>
      <c r="L11" s="9"/>
      <c r="M11" s="436" t="str">
        <f t="shared" si="2"/>
        <v>D</v>
      </c>
      <c r="N11" s="9" t="str">
        <f ca="1">IF(M11="","",IF(ISNA(MATCH(M$3&amp;M11&amp;$AW11,Asta!$I:$I,0)),"",INDIRECT("Asta!B"&amp;MATCH(M$3&amp;M11&amp;$AW11,Asta!$I:$I,0))))</f>
        <v/>
      </c>
      <c r="O11" s="10" t="str">
        <f ca="1">IF(N11="","",IF(ISNA(MATCH(M$3&amp;M11&amp;$AW11,Asta!$I:$I,0)),"",INDIRECT("Asta!H"&amp;MATCH(M$3&amp;M11&amp;$AW11,Asta!$I:$I,0))))</f>
        <v/>
      </c>
      <c r="P11" s="9"/>
      <c r="Q11" s="436" t="str">
        <f t="shared" si="3"/>
        <v>D</v>
      </c>
      <c r="R11" s="9" t="str">
        <f ca="1">IF(Q11="","",IF(ISNA(MATCH(Q$3&amp;Q11&amp;$AW11,Asta!$I:$I,0)),"",INDIRECT("Asta!B"&amp;MATCH(Q$3&amp;Q11&amp;$AW11,Asta!$I:$I,0))))</f>
        <v/>
      </c>
      <c r="S11" s="10" t="str">
        <f ca="1">IF(R11="","",IF(ISNA(MATCH(Q$3&amp;Q11&amp;$AW11,Asta!$I:$I,0)),"",INDIRECT("Asta!H"&amp;MATCH(Q$3&amp;Q11&amp;$AW11,Asta!$I:$I,0))))</f>
        <v/>
      </c>
      <c r="T11" s="9"/>
      <c r="U11" s="436" t="str">
        <f t="shared" si="4"/>
        <v>D</v>
      </c>
      <c r="V11" s="9" t="str">
        <f ca="1">IF(U11="","",IF(ISNA(MATCH(U$3&amp;U11&amp;$AW11,Asta!$I:$I,0)),"",INDIRECT("Asta!B"&amp;MATCH(U$3&amp;U11&amp;$AW11,Asta!$I:$I,0))))</f>
        <v/>
      </c>
      <c r="W11" s="10" t="str">
        <f ca="1">IF(V11="","",IF(ISNA(MATCH(U$3&amp;U11&amp;$AW11,Asta!$I:$I,0)),"",INDIRECT("Asta!H"&amp;MATCH(U$3&amp;U11&amp;$AW11,Asta!$I:$I,0))))</f>
        <v/>
      </c>
      <c r="X11" s="9"/>
      <c r="Y11" s="436" t="str">
        <f t="shared" si="5"/>
        <v>D</v>
      </c>
      <c r="Z11" s="9" t="str">
        <f ca="1">IF(Y11="","",IF(ISNA(MATCH(Y$3&amp;Y11&amp;$AW11,Asta!$I:$I,0)),"",INDIRECT("Asta!B"&amp;MATCH(Y$3&amp;Y11&amp;$AW11,Asta!$I:$I,0))))</f>
        <v/>
      </c>
      <c r="AA11" s="10" t="str">
        <f ca="1">IF(Z11="","",IF(ISNA(MATCH(Y$3&amp;Y11&amp;$AW11,Asta!$I:$I,0)),"",INDIRECT("Asta!H"&amp;MATCH(Y$3&amp;Y11&amp;$AW11,Asta!$I:$I,0))))</f>
        <v/>
      </c>
      <c r="AB11" s="9"/>
      <c r="AC11" s="436" t="str">
        <f t="shared" si="6"/>
        <v>D</v>
      </c>
      <c r="AD11" s="9" t="str">
        <f ca="1">IF(AC11="","",IF(ISNA(MATCH(AC$3&amp;AC11&amp;$AW11,Asta!$I:$I,0)),"",INDIRECT("Asta!B"&amp;MATCH(AC$3&amp;AC11&amp;$AW11,Asta!$I:$I,0))))</f>
        <v/>
      </c>
      <c r="AE11" s="10" t="str">
        <f ca="1">IF(AD11="","",IF(ISNA(MATCH(AC$3&amp;AC11&amp;$AW11,Asta!$I:$I,0)),"",INDIRECT("Asta!H"&amp;MATCH(AC$3&amp;AC11&amp;$AW11,Asta!$I:$I,0))))</f>
        <v/>
      </c>
      <c r="AF11" s="9"/>
      <c r="AG11" s="436" t="str">
        <f t="shared" si="7"/>
        <v>D</v>
      </c>
      <c r="AH11" s="9" t="str">
        <f ca="1">IF(AG11="","",IF(ISNA(MATCH(AG$3&amp;AG11&amp;$AW11,Asta!$I:$I,0)),"",INDIRECT("Asta!B"&amp;MATCH(AG$3&amp;AG11&amp;$AW11,Asta!$I:$I,0))))</f>
        <v/>
      </c>
      <c r="AI11" s="10" t="str">
        <f ca="1">IF(AH11="","",IF(ISNA(MATCH(AG$3&amp;AG11&amp;$AW11,Asta!$I:$I,0)),"",INDIRECT("Asta!H"&amp;MATCH(AG$3&amp;AG11&amp;$AW11,Asta!$I:$I,0))))</f>
        <v/>
      </c>
      <c r="AJ11" s="9"/>
      <c r="AK11" s="436" t="str">
        <f t="shared" si="8"/>
        <v>D</v>
      </c>
      <c r="AL11" s="9" t="str">
        <f ca="1">IF(AK11="","",IF(ISNA(MATCH(AK$3&amp;AK11&amp;$AW11,Asta!$I:$I,0)),"",INDIRECT("Asta!B"&amp;MATCH(AK$3&amp;AK11&amp;$AW11,Asta!$I:$I,0))))</f>
        <v/>
      </c>
      <c r="AM11" s="10" t="str">
        <f ca="1">IF(AL11="","",IF(ISNA(MATCH(AK$3&amp;AK11&amp;$AW11,Asta!$I:$I,0)),"",INDIRECT("Asta!H"&amp;MATCH(AK$3&amp;AK11&amp;$AW11,Asta!$I:$I,0))))</f>
        <v/>
      </c>
      <c r="AN11" s="9"/>
      <c r="AO11" s="436" t="str">
        <f t="shared" si="9"/>
        <v>D</v>
      </c>
      <c r="AP11" s="9" t="str">
        <f ca="1">IF(AO11="","",IF(ISNA(MATCH(AO$3&amp;AO11&amp;$AW11,Asta!$I:$I,0)),"",INDIRECT("Asta!B"&amp;MATCH(AO$3&amp;AO11&amp;$AW11,Asta!$I:$I,0))))</f>
        <v/>
      </c>
      <c r="AQ11" s="10" t="str">
        <f ca="1">IF(AP11="","",IF(ISNA(MATCH(AO$3&amp;AO11&amp;$AW11,Asta!$I:$I,0)),"",INDIRECT("Asta!H"&amp;MATCH(AO$3&amp;AO11&amp;$AW11,Asta!$I:$I,0))))</f>
        <v/>
      </c>
      <c r="AR11" s="9"/>
      <c r="AS11" s="436" t="str">
        <f t="shared" si="10"/>
        <v>D</v>
      </c>
      <c r="AT11" s="9" t="str">
        <f ca="1">IF(AS11="","",IF(ISNA(MATCH(AS$3&amp;AS11&amp;$AW11,Asta!$I:$I,0)),"",INDIRECT("Asta!B"&amp;MATCH(AS$3&amp;AS11&amp;$AW11,Asta!$I:$I,0))))</f>
        <v/>
      </c>
      <c r="AU11" s="10" t="str">
        <f ca="1">IF(AT11="","",IF(ISNA(MATCH(AS$3&amp;AS11&amp;$AW11,Asta!$I:$I,0)),"",INDIRECT("Asta!H"&amp;MATCH(AS$3&amp;AS11&amp;$AW11,Asta!$I:$I,0))))</f>
        <v/>
      </c>
      <c r="AV11" s="9"/>
      <c r="AW11" s="4">
        <v>3</v>
      </c>
    </row>
    <row r="12" spans="1:49" ht="14.25" customHeight="1">
      <c r="A12" s="436" t="str">
        <f>IF(Asta!$AC$3&lt;AW12,"","D")</f>
        <v>D</v>
      </c>
      <c r="B12" s="9" t="str">
        <f ca="1">IF(A12="","",IF(ISNA(MATCH(A$3&amp;A12&amp;$AW12,Asta!$I:$I,0)),"",INDIRECT("Asta!B"&amp;MATCH(A$3&amp;A12&amp;$AW12,Asta!$I:$I,0))))</f>
        <v/>
      </c>
      <c r="C12" s="10" t="str">
        <f ca="1">IF(B12="","",IF(ISNA(MATCH(A$3&amp;A12&amp;$AW12,Asta!$I:$I,0)),"",INDIRECT("Asta!H"&amp;MATCH(A$3&amp;A12&amp;$AW12,Asta!$I:$I,0))))</f>
        <v/>
      </c>
      <c r="D12" s="9"/>
      <c r="E12" s="436" t="str">
        <f t="shared" si="0"/>
        <v>D</v>
      </c>
      <c r="F12" s="9" t="str">
        <f ca="1">IF(E12="","",IF(ISNA(MATCH(E$3&amp;E12&amp;$AW12,Asta!$I:$I,0)),"",INDIRECT("Asta!B"&amp;MATCH(E$3&amp;E12&amp;$AW12,Asta!$I:$I,0))))</f>
        <v/>
      </c>
      <c r="G12" s="10" t="str">
        <f ca="1">IF(F12="","",IF(ISNA(MATCH(E$3&amp;E12&amp;$AW12,Asta!$I:$I,0)),"",INDIRECT("Asta!H"&amp;MATCH(E$3&amp;E12&amp;$AW12,Asta!$I:$I,0))))</f>
        <v/>
      </c>
      <c r="H12" s="9"/>
      <c r="I12" s="436" t="str">
        <f t="shared" si="1"/>
        <v>D</v>
      </c>
      <c r="J12" s="9" t="str">
        <f ca="1">IF(I12="","",IF(ISNA(MATCH(I$3&amp;I12&amp;$AW12,Asta!$I:$I,0)),"",INDIRECT("Asta!B"&amp;MATCH(I$3&amp;I12&amp;$AW12,Asta!$I:$I,0))))</f>
        <v/>
      </c>
      <c r="K12" s="10" t="str">
        <f ca="1">IF(J12="","",IF(ISNA(MATCH(I$3&amp;I12&amp;$AW12,Asta!$I:$I,0)),"",INDIRECT("Asta!H"&amp;MATCH(I$3&amp;I12&amp;$AW12,Asta!$I:$I,0))))</f>
        <v/>
      </c>
      <c r="L12" s="9"/>
      <c r="M12" s="436" t="str">
        <f t="shared" si="2"/>
        <v>D</v>
      </c>
      <c r="N12" s="9" t="str">
        <f ca="1">IF(M12="","",IF(ISNA(MATCH(M$3&amp;M12&amp;$AW12,Asta!$I:$I,0)),"",INDIRECT("Asta!B"&amp;MATCH(M$3&amp;M12&amp;$AW12,Asta!$I:$I,0))))</f>
        <v/>
      </c>
      <c r="O12" s="10" t="str">
        <f ca="1">IF(N12="","",IF(ISNA(MATCH(M$3&amp;M12&amp;$AW12,Asta!$I:$I,0)),"",INDIRECT("Asta!H"&amp;MATCH(M$3&amp;M12&amp;$AW12,Asta!$I:$I,0))))</f>
        <v/>
      </c>
      <c r="P12" s="9"/>
      <c r="Q12" s="436" t="str">
        <f t="shared" si="3"/>
        <v>D</v>
      </c>
      <c r="R12" s="9" t="str">
        <f ca="1">IF(Q12="","",IF(ISNA(MATCH(Q$3&amp;Q12&amp;$AW12,Asta!$I:$I,0)),"",INDIRECT("Asta!B"&amp;MATCH(Q$3&amp;Q12&amp;$AW12,Asta!$I:$I,0))))</f>
        <v/>
      </c>
      <c r="S12" s="10" t="str">
        <f ca="1">IF(R12="","",IF(ISNA(MATCH(Q$3&amp;Q12&amp;$AW12,Asta!$I:$I,0)),"",INDIRECT("Asta!H"&amp;MATCH(Q$3&amp;Q12&amp;$AW12,Asta!$I:$I,0))))</f>
        <v/>
      </c>
      <c r="T12" s="9"/>
      <c r="U12" s="436" t="str">
        <f t="shared" si="4"/>
        <v>D</v>
      </c>
      <c r="V12" s="9" t="str">
        <f ca="1">IF(U12="","",IF(ISNA(MATCH(U$3&amp;U12&amp;$AW12,Asta!$I:$I,0)),"",INDIRECT("Asta!B"&amp;MATCH(U$3&amp;U12&amp;$AW12,Asta!$I:$I,0))))</f>
        <v/>
      </c>
      <c r="W12" s="10" t="str">
        <f ca="1">IF(V12="","",IF(ISNA(MATCH(U$3&amp;U12&amp;$AW12,Asta!$I:$I,0)),"",INDIRECT("Asta!H"&amp;MATCH(U$3&amp;U12&amp;$AW12,Asta!$I:$I,0))))</f>
        <v/>
      </c>
      <c r="X12" s="9"/>
      <c r="Y12" s="436" t="str">
        <f t="shared" si="5"/>
        <v>D</v>
      </c>
      <c r="Z12" s="9" t="str">
        <f ca="1">IF(Y12="","",IF(ISNA(MATCH(Y$3&amp;Y12&amp;$AW12,Asta!$I:$I,0)),"",INDIRECT("Asta!B"&amp;MATCH(Y$3&amp;Y12&amp;$AW12,Asta!$I:$I,0))))</f>
        <v/>
      </c>
      <c r="AA12" s="10" t="str">
        <f ca="1">IF(Z12="","",IF(ISNA(MATCH(Y$3&amp;Y12&amp;$AW12,Asta!$I:$I,0)),"",INDIRECT("Asta!H"&amp;MATCH(Y$3&amp;Y12&amp;$AW12,Asta!$I:$I,0))))</f>
        <v/>
      </c>
      <c r="AB12" s="9"/>
      <c r="AC12" s="436" t="str">
        <f t="shared" si="6"/>
        <v>D</v>
      </c>
      <c r="AD12" s="9" t="str">
        <f ca="1">IF(AC12="","",IF(ISNA(MATCH(AC$3&amp;AC12&amp;$AW12,Asta!$I:$I,0)),"",INDIRECT("Asta!B"&amp;MATCH(AC$3&amp;AC12&amp;$AW12,Asta!$I:$I,0))))</f>
        <v/>
      </c>
      <c r="AE12" s="10" t="str">
        <f ca="1">IF(AD12="","",IF(ISNA(MATCH(AC$3&amp;AC12&amp;$AW12,Asta!$I:$I,0)),"",INDIRECT("Asta!H"&amp;MATCH(AC$3&amp;AC12&amp;$AW12,Asta!$I:$I,0))))</f>
        <v/>
      </c>
      <c r="AF12" s="9"/>
      <c r="AG12" s="436" t="str">
        <f t="shared" si="7"/>
        <v>D</v>
      </c>
      <c r="AH12" s="9" t="str">
        <f ca="1">IF(AG12="","",IF(ISNA(MATCH(AG$3&amp;AG12&amp;$AW12,Asta!$I:$I,0)),"",INDIRECT("Asta!B"&amp;MATCH(AG$3&amp;AG12&amp;$AW12,Asta!$I:$I,0))))</f>
        <v/>
      </c>
      <c r="AI12" s="10" t="str">
        <f ca="1">IF(AH12="","",IF(ISNA(MATCH(AG$3&amp;AG12&amp;$AW12,Asta!$I:$I,0)),"",INDIRECT("Asta!H"&amp;MATCH(AG$3&amp;AG12&amp;$AW12,Asta!$I:$I,0))))</f>
        <v/>
      </c>
      <c r="AJ12" s="9"/>
      <c r="AK12" s="436" t="str">
        <f t="shared" si="8"/>
        <v>D</v>
      </c>
      <c r="AL12" s="9" t="str">
        <f ca="1">IF(AK12="","",IF(ISNA(MATCH(AK$3&amp;AK12&amp;$AW12,Asta!$I:$I,0)),"",INDIRECT("Asta!B"&amp;MATCH(AK$3&amp;AK12&amp;$AW12,Asta!$I:$I,0))))</f>
        <v/>
      </c>
      <c r="AM12" s="10" t="str">
        <f ca="1">IF(AL12="","",IF(ISNA(MATCH(AK$3&amp;AK12&amp;$AW12,Asta!$I:$I,0)),"",INDIRECT("Asta!H"&amp;MATCH(AK$3&amp;AK12&amp;$AW12,Asta!$I:$I,0))))</f>
        <v/>
      </c>
      <c r="AN12" s="9"/>
      <c r="AO12" s="436" t="str">
        <f t="shared" si="9"/>
        <v>D</v>
      </c>
      <c r="AP12" s="9" t="str">
        <f ca="1">IF(AO12="","",IF(ISNA(MATCH(AO$3&amp;AO12&amp;$AW12,Asta!$I:$I,0)),"",INDIRECT("Asta!B"&amp;MATCH(AO$3&amp;AO12&amp;$AW12,Asta!$I:$I,0))))</f>
        <v/>
      </c>
      <c r="AQ12" s="10" t="str">
        <f ca="1">IF(AP12="","",IF(ISNA(MATCH(AO$3&amp;AO12&amp;$AW12,Asta!$I:$I,0)),"",INDIRECT("Asta!H"&amp;MATCH(AO$3&amp;AO12&amp;$AW12,Asta!$I:$I,0))))</f>
        <v/>
      </c>
      <c r="AR12" s="9"/>
      <c r="AS12" s="436" t="str">
        <f t="shared" si="10"/>
        <v>D</v>
      </c>
      <c r="AT12" s="9" t="str">
        <f ca="1">IF(AS12="","",IF(ISNA(MATCH(AS$3&amp;AS12&amp;$AW12,Asta!$I:$I,0)),"",INDIRECT("Asta!B"&amp;MATCH(AS$3&amp;AS12&amp;$AW12,Asta!$I:$I,0))))</f>
        <v/>
      </c>
      <c r="AU12" s="10" t="str">
        <f ca="1">IF(AT12="","",IF(ISNA(MATCH(AS$3&amp;AS12&amp;$AW12,Asta!$I:$I,0)),"",INDIRECT("Asta!H"&amp;MATCH(AS$3&amp;AS12&amp;$AW12,Asta!$I:$I,0))))</f>
        <v/>
      </c>
      <c r="AV12" s="9"/>
      <c r="AW12" s="4">
        <v>4</v>
      </c>
    </row>
    <row r="13" spans="1:49">
      <c r="A13" s="436" t="str">
        <f>IF(Asta!$AC$3&lt;AW13,"","D")</f>
        <v>D</v>
      </c>
      <c r="B13" s="9" t="str">
        <f ca="1">IF(A13="","",IF(ISNA(MATCH(A$3&amp;A13&amp;$AW13,Asta!$I:$I,0)),"",INDIRECT("Asta!B"&amp;MATCH(A$3&amp;A13&amp;$AW13,Asta!$I:$I,0))))</f>
        <v/>
      </c>
      <c r="C13" s="10" t="str">
        <f ca="1">IF(B13="","",IF(ISNA(MATCH(A$3&amp;A13&amp;$AW13,Asta!$I:$I,0)),"",INDIRECT("Asta!H"&amp;MATCH(A$3&amp;A13&amp;$AW13,Asta!$I:$I,0))))</f>
        <v/>
      </c>
      <c r="D13" s="9"/>
      <c r="E13" s="436" t="str">
        <f t="shared" si="0"/>
        <v>D</v>
      </c>
      <c r="F13" s="9" t="str">
        <f ca="1">IF(E13="","",IF(ISNA(MATCH(E$3&amp;E13&amp;$AW13,Asta!$I:$I,0)),"",INDIRECT("Asta!B"&amp;MATCH(E$3&amp;E13&amp;$AW13,Asta!$I:$I,0))))</f>
        <v/>
      </c>
      <c r="G13" s="10" t="str">
        <f ca="1">IF(F13="","",IF(ISNA(MATCH(E$3&amp;E13&amp;$AW13,Asta!$I:$I,0)),"",INDIRECT("Asta!H"&amp;MATCH(E$3&amp;E13&amp;$AW13,Asta!$I:$I,0))))</f>
        <v/>
      </c>
      <c r="H13" s="9"/>
      <c r="I13" s="436" t="str">
        <f t="shared" si="1"/>
        <v>D</v>
      </c>
      <c r="J13" s="9" t="str">
        <f ca="1">IF(I13="","",IF(ISNA(MATCH(I$3&amp;I13&amp;$AW13,Asta!$I:$I,0)),"",INDIRECT("Asta!B"&amp;MATCH(I$3&amp;I13&amp;$AW13,Asta!$I:$I,0))))</f>
        <v/>
      </c>
      <c r="K13" s="10" t="str">
        <f ca="1">IF(J13="","",IF(ISNA(MATCH(I$3&amp;I13&amp;$AW13,Asta!$I:$I,0)),"",INDIRECT("Asta!H"&amp;MATCH(I$3&amp;I13&amp;$AW13,Asta!$I:$I,0))))</f>
        <v/>
      </c>
      <c r="L13" s="9"/>
      <c r="M13" s="436" t="str">
        <f t="shared" si="2"/>
        <v>D</v>
      </c>
      <c r="N13" s="9" t="str">
        <f ca="1">IF(M13="","",IF(ISNA(MATCH(M$3&amp;M13&amp;$AW13,Asta!$I:$I,0)),"",INDIRECT("Asta!B"&amp;MATCH(M$3&amp;M13&amp;$AW13,Asta!$I:$I,0))))</f>
        <v/>
      </c>
      <c r="O13" s="10" t="str">
        <f ca="1">IF(N13="","",IF(ISNA(MATCH(M$3&amp;M13&amp;$AW13,Asta!$I:$I,0)),"",INDIRECT("Asta!H"&amp;MATCH(M$3&amp;M13&amp;$AW13,Asta!$I:$I,0))))</f>
        <v/>
      </c>
      <c r="P13" s="9"/>
      <c r="Q13" s="436" t="str">
        <f t="shared" si="3"/>
        <v>D</v>
      </c>
      <c r="R13" s="9" t="str">
        <f ca="1">IF(Q13="","",IF(ISNA(MATCH(Q$3&amp;Q13&amp;$AW13,Asta!$I:$I,0)),"",INDIRECT("Asta!B"&amp;MATCH(Q$3&amp;Q13&amp;$AW13,Asta!$I:$I,0))))</f>
        <v/>
      </c>
      <c r="S13" s="10" t="str">
        <f ca="1">IF(R13="","",IF(ISNA(MATCH(Q$3&amp;Q13&amp;$AW13,Asta!$I:$I,0)),"",INDIRECT("Asta!H"&amp;MATCH(Q$3&amp;Q13&amp;$AW13,Asta!$I:$I,0))))</f>
        <v/>
      </c>
      <c r="T13" s="9"/>
      <c r="U13" s="436" t="str">
        <f t="shared" si="4"/>
        <v>D</v>
      </c>
      <c r="V13" s="9" t="str">
        <f ca="1">IF(U13="","",IF(ISNA(MATCH(U$3&amp;U13&amp;$AW13,Asta!$I:$I,0)),"",INDIRECT("Asta!B"&amp;MATCH(U$3&amp;U13&amp;$AW13,Asta!$I:$I,0))))</f>
        <v/>
      </c>
      <c r="W13" s="10" t="str">
        <f ca="1">IF(V13="","",IF(ISNA(MATCH(U$3&amp;U13&amp;$AW13,Asta!$I:$I,0)),"",INDIRECT("Asta!H"&amp;MATCH(U$3&amp;U13&amp;$AW13,Asta!$I:$I,0))))</f>
        <v/>
      </c>
      <c r="X13" s="9"/>
      <c r="Y13" s="436" t="str">
        <f t="shared" si="5"/>
        <v>D</v>
      </c>
      <c r="Z13" s="9" t="str">
        <f ca="1">IF(Y13="","",IF(ISNA(MATCH(Y$3&amp;Y13&amp;$AW13,Asta!$I:$I,0)),"",INDIRECT("Asta!B"&amp;MATCH(Y$3&amp;Y13&amp;$AW13,Asta!$I:$I,0))))</f>
        <v/>
      </c>
      <c r="AA13" s="10" t="str">
        <f ca="1">IF(Z13="","",IF(ISNA(MATCH(Y$3&amp;Y13&amp;$AW13,Asta!$I:$I,0)),"",INDIRECT("Asta!H"&amp;MATCH(Y$3&amp;Y13&amp;$AW13,Asta!$I:$I,0))))</f>
        <v/>
      </c>
      <c r="AB13" s="9"/>
      <c r="AC13" s="436" t="str">
        <f t="shared" si="6"/>
        <v>D</v>
      </c>
      <c r="AD13" s="9" t="str">
        <f ca="1">IF(AC13="","",IF(ISNA(MATCH(AC$3&amp;AC13&amp;$AW13,Asta!$I:$I,0)),"",INDIRECT("Asta!B"&amp;MATCH(AC$3&amp;AC13&amp;$AW13,Asta!$I:$I,0))))</f>
        <v/>
      </c>
      <c r="AE13" s="10" t="str">
        <f ca="1">IF(AD13="","",IF(ISNA(MATCH(AC$3&amp;AC13&amp;$AW13,Asta!$I:$I,0)),"",INDIRECT("Asta!H"&amp;MATCH(AC$3&amp;AC13&amp;$AW13,Asta!$I:$I,0))))</f>
        <v/>
      </c>
      <c r="AF13" s="9"/>
      <c r="AG13" s="436" t="str">
        <f t="shared" si="7"/>
        <v>D</v>
      </c>
      <c r="AH13" s="9" t="str">
        <f ca="1">IF(AG13="","",IF(ISNA(MATCH(AG$3&amp;AG13&amp;$AW13,Asta!$I:$I,0)),"",INDIRECT("Asta!B"&amp;MATCH(AG$3&amp;AG13&amp;$AW13,Asta!$I:$I,0))))</f>
        <v/>
      </c>
      <c r="AI13" s="10" t="str">
        <f ca="1">IF(AH13="","",IF(ISNA(MATCH(AG$3&amp;AG13&amp;$AW13,Asta!$I:$I,0)),"",INDIRECT("Asta!H"&amp;MATCH(AG$3&amp;AG13&amp;$AW13,Asta!$I:$I,0))))</f>
        <v/>
      </c>
      <c r="AJ13" s="9"/>
      <c r="AK13" s="436" t="str">
        <f t="shared" si="8"/>
        <v>D</v>
      </c>
      <c r="AL13" s="9" t="str">
        <f ca="1">IF(AK13="","",IF(ISNA(MATCH(AK$3&amp;AK13&amp;$AW13,Asta!$I:$I,0)),"",INDIRECT("Asta!B"&amp;MATCH(AK$3&amp;AK13&amp;$AW13,Asta!$I:$I,0))))</f>
        <v/>
      </c>
      <c r="AM13" s="10" t="str">
        <f ca="1">IF(AL13="","",IF(ISNA(MATCH(AK$3&amp;AK13&amp;$AW13,Asta!$I:$I,0)),"",INDIRECT("Asta!H"&amp;MATCH(AK$3&amp;AK13&amp;$AW13,Asta!$I:$I,0))))</f>
        <v/>
      </c>
      <c r="AN13" s="9"/>
      <c r="AO13" s="436" t="str">
        <f t="shared" si="9"/>
        <v>D</v>
      </c>
      <c r="AP13" s="9" t="str">
        <f ca="1">IF(AO13="","",IF(ISNA(MATCH(AO$3&amp;AO13&amp;$AW13,Asta!$I:$I,0)),"",INDIRECT("Asta!B"&amp;MATCH(AO$3&amp;AO13&amp;$AW13,Asta!$I:$I,0))))</f>
        <v/>
      </c>
      <c r="AQ13" s="10" t="str">
        <f ca="1">IF(AP13="","",IF(ISNA(MATCH(AO$3&amp;AO13&amp;$AW13,Asta!$I:$I,0)),"",INDIRECT("Asta!H"&amp;MATCH(AO$3&amp;AO13&amp;$AW13,Asta!$I:$I,0))))</f>
        <v/>
      </c>
      <c r="AR13" s="9"/>
      <c r="AS13" s="436" t="str">
        <f t="shared" si="10"/>
        <v>D</v>
      </c>
      <c r="AT13" s="9" t="str">
        <f ca="1">IF(AS13="","",IF(ISNA(MATCH(AS$3&amp;AS13&amp;$AW13,Asta!$I:$I,0)),"",INDIRECT("Asta!B"&amp;MATCH(AS$3&amp;AS13&amp;$AW13,Asta!$I:$I,0))))</f>
        <v/>
      </c>
      <c r="AU13" s="10" t="str">
        <f ca="1">IF(AT13="","",IF(ISNA(MATCH(AS$3&amp;AS13&amp;$AW13,Asta!$I:$I,0)),"",INDIRECT("Asta!H"&amp;MATCH(AS$3&amp;AS13&amp;$AW13,Asta!$I:$I,0))))</f>
        <v/>
      </c>
      <c r="AV13" s="9"/>
      <c r="AW13" s="4">
        <v>5</v>
      </c>
    </row>
    <row r="14" spans="1:49">
      <c r="A14" s="436" t="str">
        <f>IF(Asta!$AC$3&lt;AW14,"","D")</f>
        <v>D</v>
      </c>
      <c r="B14" s="9" t="str">
        <f ca="1">IF(A14="","",IF(ISNA(MATCH(A$3&amp;A14&amp;$AW14,Asta!$I:$I,0)),"",INDIRECT("Asta!B"&amp;MATCH(A$3&amp;A14&amp;$AW14,Asta!$I:$I,0))))</f>
        <v/>
      </c>
      <c r="C14" s="10" t="str">
        <f ca="1">IF(B14="","",IF(ISNA(MATCH(A$3&amp;A14&amp;$AW14,Asta!$I:$I,0)),"",INDIRECT("Asta!H"&amp;MATCH(A$3&amp;A14&amp;$AW14,Asta!$I:$I,0))))</f>
        <v/>
      </c>
      <c r="D14" s="9"/>
      <c r="E14" s="436" t="str">
        <f t="shared" si="0"/>
        <v>D</v>
      </c>
      <c r="F14" s="9" t="str">
        <f ca="1">IF(E14="","",IF(ISNA(MATCH(E$3&amp;E14&amp;$AW14,Asta!$I:$I,0)),"",INDIRECT("Asta!B"&amp;MATCH(E$3&amp;E14&amp;$AW14,Asta!$I:$I,0))))</f>
        <v/>
      </c>
      <c r="G14" s="10" t="str">
        <f ca="1">IF(F14="","",IF(ISNA(MATCH(E$3&amp;E14&amp;$AW14,Asta!$I:$I,0)),"",INDIRECT("Asta!H"&amp;MATCH(E$3&amp;E14&amp;$AW14,Asta!$I:$I,0))))</f>
        <v/>
      </c>
      <c r="H14" s="9"/>
      <c r="I14" s="436" t="str">
        <f t="shared" si="1"/>
        <v>D</v>
      </c>
      <c r="J14" s="9" t="str">
        <f ca="1">IF(I14="","",IF(ISNA(MATCH(I$3&amp;I14&amp;$AW14,Asta!$I:$I,0)),"",INDIRECT("Asta!B"&amp;MATCH(I$3&amp;I14&amp;$AW14,Asta!$I:$I,0))))</f>
        <v/>
      </c>
      <c r="K14" s="10" t="str">
        <f ca="1">IF(J14="","",IF(ISNA(MATCH(I$3&amp;I14&amp;$AW14,Asta!$I:$I,0)),"",INDIRECT("Asta!H"&amp;MATCH(I$3&amp;I14&amp;$AW14,Asta!$I:$I,0))))</f>
        <v/>
      </c>
      <c r="L14" s="9"/>
      <c r="M14" s="436" t="str">
        <f t="shared" si="2"/>
        <v>D</v>
      </c>
      <c r="N14" s="9" t="str">
        <f ca="1">IF(M14="","",IF(ISNA(MATCH(M$3&amp;M14&amp;$AW14,Asta!$I:$I,0)),"",INDIRECT("Asta!B"&amp;MATCH(M$3&amp;M14&amp;$AW14,Asta!$I:$I,0))))</f>
        <v/>
      </c>
      <c r="O14" s="10" t="str">
        <f ca="1">IF(N14="","",IF(ISNA(MATCH(M$3&amp;M14&amp;$AW14,Asta!$I:$I,0)),"",INDIRECT("Asta!H"&amp;MATCH(M$3&amp;M14&amp;$AW14,Asta!$I:$I,0))))</f>
        <v/>
      </c>
      <c r="P14" s="9"/>
      <c r="Q14" s="436" t="str">
        <f t="shared" si="3"/>
        <v>D</v>
      </c>
      <c r="R14" s="9" t="str">
        <f ca="1">IF(Q14="","",IF(ISNA(MATCH(Q$3&amp;Q14&amp;$AW14,Asta!$I:$I,0)),"",INDIRECT("Asta!B"&amp;MATCH(Q$3&amp;Q14&amp;$AW14,Asta!$I:$I,0))))</f>
        <v/>
      </c>
      <c r="S14" s="10" t="str">
        <f ca="1">IF(R14="","",IF(ISNA(MATCH(Q$3&amp;Q14&amp;$AW14,Asta!$I:$I,0)),"",INDIRECT("Asta!H"&amp;MATCH(Q$3&amp;Q14&amp;$AW14,Asta!$I:$I,0))))</f>
        <v/>
      </c>
      <c r="T14" s="9"/>
      <c r="U14" s="436" t="str">
        <f t="shared" si="4"/>
        <v>D</v>
      </c>
      <c r="V14" s="9" t="str">
        <f ca="1">IF(U14="","",IF(ISNA(MATCH(U$3&amp;U14&amp;$AW14,Asta!$I:$I,0)),"",INDIRECT("Asta!B"&amp;MATCH(U$3&amp;U14&amp;$AW14,Asta!$I:$I,0))))</f>
        <v/>
      </c>
      <c r="W14" s="10" t="str">
        <f ca="1">IF(V14="","",IF(ISNA(MATCH(U$3&amp;U14&amp;$AW14,Asta!$I:$I,0)),"",INDIRECT("Asta!H"&amp;MATCH(U$3&amp;U14&amp;$AW14,Asta!$I:$I,0))))</f>
        <v/>
      </c>
      <c r="X14" s="9"/>
      <c r="Y14" s="436" t="str">
        <f t="shared" si="5"/>
        <v>D</v>
      </c>
      <c r="Z14" s="9" t="str">
        <f ca="1">IF(Y14="","",IF(ISNA(MATCH(Y$3&amp;Y14&amp;$AW14,Asta!$I:$I,0)),"",INDIRECT("Asta!B"&amp;MATCH(Y$3&amp;Y14&amp;$AW14,Asta!$I:$I,0))))</f>
        <v/>
      </c>
      <c r="AA14" s="10" t="str">
        <f ca="1">IF(Z14="","",IF(ISNA(MATCH(Y$3&amp;Y14&amp;$AW14,Asta!$I:$I,0)),"",INDIRECT("Asta!H"&amp;MATCH(Y$3&amp;Y14&amp;$AW14,Asta!$I:$I,0))))</f>
        <v/>
      </c>
      <c r="AB14" s="9"/>
      <c r="AC14" s="436" t="str">
        <f t="shared" si="6"/>
        <v>D</v>
      </c>
      <c r="AD14" s="9" t="str">
        <f ca="1">IF(AC14="","",IF(ISNA(MATCH(AC$3&amp;AC14&amp;$AW14,Asta!$I:$I,0)),"",INDIRECT("Asta!B"&amp;MATCH(AC$3&amp;AC14&amp;$AW14,Asta!$I:$I,0))))</f>
        <v/>
      </c>
      <c r="AE14" s="10" t="str">
        <f ca="1">IF(AD14="","",IF(ISNA(MATCH(AC$3&amp;AC14&amp;$AW14,Asta!$I:$I,0)),"",INDIRECT("Asta!H"&amp;MATCH(AC$3&amp;AC14&amp;$AW14,Asta!$I:$I,0))))</f>
        <v/>
      </c>
      <c r="AF14" s="9"/>
      <c r="AG14" s="436" t="str">
        <f t="shared" si="7"/>
        <v>D</v>
      </c>
      <c r="AH14" s="9" t="str">
        <f ca="1">IF(AG14="","",IF(ISNA(MATCH(AG$3&amp;AG14&amp;$AW14,Asta!$I:$I,0)),"",INDIRECT("Asta!B"&amp;MATCH(AG$3&amp;AG14&amp;$AW14,Asta!$I:$I,0))))</f>
        <v/>
      </c>
      <c r="AI14" s="10" t="str">
        <f ca="1">IF(AH14="","",IF(ISNA(MATCH(AG$3&amp;AG14&amp;$AW14,Asta!$I:$I,0)),"",INDIRECT("Asta!H"&amp;MATCH(AG$3&amp;AG14&amp;$AW14,Asta!$I:$I,0))))</f>
        <v/>
      </c>
      <c r="AJ14" s="9"/>
      <c r="AK14" s="436" t="str">
        <f t="shared" si="8"/>
        <v>D</v>
      </c>
      <c r="AL14" s="9" t="str">
        <f ca="1">IF(AK14="","",IF(ISNA(MATCH(AK$3&amp;AK14&amp;$AW14,Asta!$I:$I,0)),"",INDIRECT("Asta!B"&amp;MATCH(AK$3&amp;AK14&amp;$AW14,Asta!$I:$I,0))))</f>
        <v/>
      </c>
      <c r="AM14" s="10" t="str">
        <f ca="1">IF(AL14="","",IF(ISNA(MATCH(AK$3&amp;AK14&amp;$AW14,Asta!$I:$I,0)),"",INDIRECT("Asta!H"&amp;MATCH(AK$3&amp;AK14&amp;$AW14,Asta!$I:$I,0))))</f>
        <v/>
      </c>
      <c r="AN14" s="9"/>
      <c r="AO14" s="436" t="str">
        <f t="shared" si="9"/>
        <v>D</v>
      </c>
      <c r="AP14" s="9" t="str">
        <f ca="1">IF(AO14="","",IF(ISNA(MATCH(AO$3&amp;AO14&amp;$AW14,Asta!$I:$I,0)),"",INDIRECT("Asta!B"&amp;MATCH(AO$3&amp;AO14&amp;$AW14,Asta!$I:$I,0))))</f>
        <v/>
      </c>
      <c r="AQ14" s="10" t="str">
        <f ca="1">IF(AP14="","",IF(ISNA(MATCH(AO$3&amp;AO14&amp;$AW14,Asta!$I:$I,0)),"",INDIRECT("Asta!H"&amp;MATCH(AO$3&amp;AO14&amp;$AW14,Asta!$I:$I,0))))</f>
        <v/>
      </c>
      <c r="AR14" s="9"/>
      <c r="AS14" s="436" t="str">
        <f t="shared" si="10"/>
        <v>D</v>
      </c>
      <c r="AT14" s="9" t="str">
        <f ca="1">IF(AS14="","",IF(ISNA(MATCH(AS$3&amp;AS14&amp;$AW14,Asta!$I:$I,0)),"",INDIRECT("Asta!B"&amp;MATCH(AS$3&amp;AS14&amp;$AW14,Asta!$I:$I,0))))</f>
        <v/>
      </c>
      <c r="AU14" s="10" t="str">
        <f ca="1">IF(AT14="","",IF(ISNA(MATCH(AS$3&amp;AS14&amp;$AW14,Asta!$I:$I,0)),"",INDIRECT("Asta!H"&amp;MATCH(AS$3&amp;AS14&amp;$AW14,Asta!$I:$I,0))))</f>
        <v/>
      </c>
      <c r="AV14" s="9"/>
      <c r="AW14" s="4">
        <v>6</v>
      </c>
    </row>
    <row r="15" spans="1:49">
      <c r="A15" s="436" t="str">
        <f>IF(Asta!$AC$3&lt;AW15,"","D")</f>
        <v>D</v>
      </c>
      <c r="B15" s="9" t="str">
        <f ca="1">IF(A15="","",IF(ISNA(MATCH(A$3&amp;A15&amp;$AW15,Asta!$I:$I,0)),"",INDIRECT("Asta!B"&amp;MATCH(A$3&amp;A15&amp;$AW15,Asta!$I:$I,0))))</f>
        <v/>
      </c>
      <c r="C15" s="10" t="str">
        <f ca="1">IF(B15="","",IF(ISNA(MATCH(A$3&amp;A15&amp;$AW15,Asta!$I:$I,0)),"",INDIRECT("Asta!H"&amp;MATCH(A$3&amp;A15&amp;$AW15,Asta!$I:$I,0))))</f>
        <v/>
      </c>
      <c r="D15" s="9"/>
      <c r="E15" s="436" t="str">
        <f t="shared" si="0"/>
        <v>D</v>
      </c>
      <c r="F15" s="9" t="str">
        <f ca="1">IF(E15="","",IF(ISNA(MATCH(E$3&amp;E15&amp;$AW15,Asta!$I:$I,0)),"",INDIRECT("Asta!B"&amp;MATCH(E$3&amp;E15&amp;$AW15,Asta!$I:$I,0))))</f>
        <v/>
      </c>
      <c r="G15" s="10" t="str">
        <f ca="1">IF(F15="","",IF(ISNA(MATCH(E$3&amp;E15&amp;$AW15,Asta!$I:$I,0)),"",INDIRECT("Asta!H"&amp;MATCH(E$3&amp;E15&amp;$AW15,Asta!$I:$I,0))))</f>
        <v/>
      </c>
      <c r="H15" s="9"/>
      <c r="I15" s="436" t="str">
        <f t="shared" si="1"/>
        <v>D</v>
      </c>
      <c r="J15" s="9" t="str">
        <f ca="1">IF(I15="","",IF(ISNA(MATCH(I$3&amp;I15&amp;$AW15,Asta!$I:$I,0)),"",INDIRECT("Asta!B"&amp;MATCH(I$3&amp;I15&amp;$AW15,Asta!$I:$I,0))))</f>
        <v/>
      </c>
      <c r="K15" s="10" t="str">
        <f ca="1">IF(J15="","",IF(ISNA(MATCH(I$3&amp;I15&amp;$AW15,Asta!$I:$I,0)),"",INDIRECT("Asta!H"&amp;MATCH(I$3&amp;I15&amp;$AW15,Asta!$I:$I,0))))</f>
        <v/>
      </c>
      <c r="L15" s="9"/>
      <c r="M15" s="436" t="str">
        <f t="shared" si="2"/>
        <v>D</v>
      </c>
      <c r="N15" s="9" t="str">
        <f ca="1">IF(M15="","",IF(ISNA(MATCH(M$3&amp;M15&amp;$AW15,Asta!$I:$I,0)),"",INDIRECT("Asta!B"&amp;MATCH(M$3&amp;M15&amp;$AW15,Asta!$I:$I,0))))</f>
        <v/>
      </c>
      <c r="O15" s="10" t="str">
        <f ca="1">IF(N15="","",IF(ISNA(MATCH(M$3&amp;M15&amp;$AW15,Asta!$I:$I,0)),"",INDIRECT("Asta!H"&amp;MATCH(M$3&amp;M15&amp;$AW15,Asta!$I:$I,0))))</f>
        <v/>
      </c>
      <c r="P15" s="9"/>
      <c r="Q15" s="436" t="str">
        <f t="shared" si="3"/>
        <v>D</v>
      </c>
      <c r="R15" s="9" t="str">
        <f ca="1">IF(Q15="","",IF(ISNA(MATCH(Q$3&amp;Q15&amp;$AW15,Asta!$I:$I,0)),"",INDIRECT("Asta!B"&amp;MATCH(Q$3&amp;Q15&amp;$AW15,Asta!$I:$I,0))))</f>
        <v/>
      </c>
      <c r="S15" s="10" t="str">
        <f ca="1">IF(R15="","",IF(ISNA(MATCH(Q$3&amp;Q15&amp;$AW15,Asta!$I:$I,0)),"",INDIRECT("Asta!H"&amp;MATCH(Q$3&amp;Q15&amp;$AW15,Asta!$I:$I,0))))</f>
        <v/>
      </c>
      <c r="T15" s="9"/>
      <c r="U15" s="436" t="str">
        <f t="shared" si="4"/>
        <v>D</v>
      </c>
      <c r="V15" s="9" t="str">
        <f ca="1">IF(U15="","",IF(ISNA(MATCH(U$3&amp;U15&amp;$AW15,Asta!$I:$I,0)),"",INDIRECT("Asta!B"&amp;MATCH(U$3&amp;U15&amp;$AW15,Asta!$I:$I,0))))</f>
        <v/>
      </c>
      <c r="W15" s="10" t="str">
        <f ca="1">IF(V15="","",IF(ISNA(MATCH(U$3&amp;U15&amp;$AW15,Asta!$I:$I,0)),"",INDIRECT("Asta!H"&amp;MATCH(U$3&amp;U15&amp;$AW15,Asta!$I:$I,0))))</f>
        <v/>
      </c>
      <c r="X15" s="9"/>
      <c r="Y15" s="436" t="str">
        <f t="shared" si="5"/>
        <v>D</v>
      </c>
      <c r="Z15" s="9" t="str">
        <f ca="1">IF(Y15="","",IF(ISNA(MATCH(Y$3&amp;Y15&amp;$AW15,Asta!$I:$I,0)),"",INDIRECT("Asta!B"&amp;MATCH(Y$3&amp;Y15&amp;$AW15,Asta!$I:$I,0))))</f>
        <v/>
      </c>
      <c r="AA15" s="10" t="str">
        <f ca="1">IF(Z15="","",IF(ISNA(MATCH(Y$3&amp;Y15&amp;$AW15,Asta!$I:$I,0)),"",INDIRECT("Asta!H"&amp;MATCH(Y$3&amp;Y15&amp;$AW15,Asta!$I:$I,0))))</f>
        <v/>
      </c>
      <c r="AB15" s="9"/>
      <c r="AC15" s="436" t="str">
        <f t="shared" si="6"/>
        <v>D</v>
      </c>
      <c r="AD15" s="9" t="str">
        <f ca="1">IF(AC15="","",IF(ISNA(MATCH(AC$3&amp;AC15&amp;$AW15,Asta!$I:$I,0)),"",INDIRECT("Asta!B"&amp;MATCH(AC$3&amp;AC15&amp;$AW15,Asta!$I:$I,0))))</f>
        <v/>
      </c>
      <c r="AE15" s="10" t="str">
        <f ca="1">IF(AD15="","",IF(ISNA(MATCH(AC$3&amp;AC15&amp;$AW15,Asta!$I:$I,0)),"",INDIRECT("Asta!H"&amp;MATCH(AC$3&amp;AC15&amp;$AW15,Asta!$I:$I,0))))</f>
        <v/>
      </c>
      <c r="AF15" s="9"/>
      <c r="AG15" s="436" t="str">
        <f t="shared" si="7"/>
        <v>D</v>
      </c>
      <c r="AH15" s="9" t="str">
        <f ca="1">IF(AG15="","",IF(ISNA(MATCH(AG$3&amp;AG15&amp;$AW15,Asta!$I:$I,0)),"",INDIRECT("Asta!B"&amp;MATCH(AG$3&amp;AG15&amp;$AW15,Asta!$I:$I,0))))</f>
        <v/>
      </c>
      <c r="AI15" s="10" t="str">
        <f ca="1">IF(AH15="","",IF(ISNA(MATCH(AG$3&amp;AG15&amp;$AW15,Asta!$I:$I,0)),"",INDIRECT("Asta!H"&amp;MATCH(AG$3&amp;AG15&amp;$AW15,Asta!$I:$I,0))))</f>
        <v/>
      </c>
      <c r="AJ15" s="9"/>
      <c r="AK15" s="436" t="str">
        <f t="shared" si="8"/>
        <v>D</v>
      </c>
      <c r="AL15" s="9" t="str">
        <f ca="1">IF(AK15="","",IF(ISNA(MATCH(AK$3&amp;AK15&amp;$AW15,Asta!$I:$I,0)),"",INDIRECT("Asta!B"&amp;MATCH(AK$3&amp;AK15&amp;$AW15,Asta!$I:$I,0))))</f>
        <v/>
      </c>
      <c r="AM15" s="10" t="str">
        <f ca="1">IF(AL15="","",IF(ISNA(MATCH(AK$3&amp;AK15&amp;$AW15,Asta!$I:$I,0)),"",INDIRECT("Asta!H"&amp;MATCH(AK$3&amp;AK15&amp;$AW15,Asta!$I:$I,0))))</f>
        <v/>
      </c>
      <c r="AN15" s="9"/>
      <c r="AO15" s="436" t="str">
        <f t="shared" si="9"/>
        <v>D</v>
      </c>
      <c r="AP15" s="9" t="str">
        <f ca="1">IF(AO15="","",IF(ISNA(MATCH(AO$3&amp;AO15&amp;$AW15,Asta!$I:$I,0)),"",INDIRECT("Asta!B"&amp;MATCH(AO$3&amp;AO15&amp;$AW15,Asta!$I:$I,0))))</f>
        <v/>
      </c>
      <c r="AQ15" s="10" t="str">
        <f ca="1">IF(AP15="","",IF(ISNA(MATCH(AO$3&amp;AO15&amp;$AW15,Asta!$I:$I,0)),"",INDIRECT("Asta!H"&amp;MATCH(AO$3&amp;AO15&amp;$AW15,Asta!$I:$I,0))))</f>
        <v/>
      </c>
      <c r="AR15" s="9"/>
      <c r="AS15" s="436" t="str">
        <f t="shared" si="10"/>
        <v>D</v>
      </c>
      <c r="AT15" s="9" t="str">
        <f ca="1">IF(AS15="","",IF(ISNA(MATCH(AS$3&amp;AS15&amp;$AW15,Asta!$I:$I,0)),"",INDIRECT("Asta!B"&amp;MATCH(AS$3&amp;AS15&amp;$AW15,Asta!$I:$I,0))))</f>
        <v/>
      </c>
      <c r="AU15" s="10" t="str">
        <f ca="1">IF(AT15="","",IF(ISNA(MATCH(AS$3&amp;AS15&amp;$AW15,Asta!$I:$I,0)),"",INDIRECT("Asta!H"&amp;MATCH(AS$3&amp;AS15&amp;$AW15,Asta!$I:$I,0))))</f>
        <v/>
      </c>
      <c r="AV15" s="9"/>
      <c r="AW15" s="4">
        <v>7</v>
      </c>
    </row>
    <row r="16" spans="1:49">
      <c r="A16" s="436" t="str">
        <f>IF(Asta!$AC$3&lt;AW16,"","D")</f>
        <v>D</v>
      </c>
      <c r="B16" s="9" t="str">
        <f ca="1">IF(A16="","",IF(ISNA(MATCH(A$3&amp;A16&amp;$AW16,Asta!$I:$I,0)),"",INDIRECT("Asta!B"&amp;MATCH(A$3&amp;A16&amp;$AW16,Asta!$I:$I,0))))</f>
        <v/>
      </c>
      <c r="C16" s="10" t="str">
        <f ca="1">IF(B16="","",IF(ISNA(MATCH(A$3&amp;A16&amp;$AW16,Asta!$I:$I,0)),"",INDIRECT("Asta!H"&amp;MATCH(A$3&amp;A16&amp;$AW16,Asta!$I:$I,0))))</f>
        <v/>
      </c>
      <c r="D16" s="9"/>
      <c r="E16" s="436" t="str">
        <f t="shared" si="0"/>
        <v>D</v>
      </c>
      <c r="F16" s="9" t="str">
        <f ca="1">IF(E16="","",IF(ISNA(MATCH(E$3&amp;E16&amp;$AW16,Asta!$I:$I,0)),"",INDIRECT("Asta!B"&amp;MATCH(E$3&amp;E16&amp;$AW16,Asta!$I:$I,0))))</f>
        <v/>
      </c>
      <c r="G16" s="10" t="str">
        <f ca="1">IF(F16="","",IF(ISNA(MATCH(E$3&amp;E16&amp;$AW16,Asta!$I:$I,0)),"",INDIRECT("Asta!H"&amp;MATCH(E$3&amp;E16&amp;$AW16,Asta!$I:$I,0))))</f>
        <v/>
      </c>
      <c r="H16" s="9"/>
      <c r="I16" s="436" t="str">
        <f t="shared" si="1"/>
        <v>D</v>
      </c>
      <c r="J16" s="9" t="str">
        <f ca="1">IF(I16="","",IF(ISNA(MATCH(I$3&amp;I16&amp;$AW16,Asta!$I:$I,0)),"",INDIRECT("Asta!B"&amp;MATCH(I$3&amp;I16&amp;$AW16,Asta!$I:$I,0))))</f>
        <v/>
      </c>
      <c r="K16" s="10" t="str">
        <f ca="1">IF(J16="","",IF(ISNA(MATCH(I$3&amp;I16&amp;$AW16,Asta!$I:$I,0)),"",INDIRECT("Asta!H"&amp;MATCH(I$3&amp;I16&amp;$AW16,Asta!$I:$I,0))))</f>
        <v/>
      </c>
      <c r="L16" s="9"/>
      <c r="M16" s="436" t="str">
        <f t="shared" si="2"/>
        <v>D</v>
      </c>
      <c r="N16" s="9" t="str">
        <f ca="1">IF(M16="","",IF(ISNA(MATCH(M$3&amp;M16&amp;$AW16,Asta!$I:$I,0)),"",INDIRECT("Asta!B"&amp;MATCH(M$3&amp;M16&amp;$AW16,Asta!$I:$I,0))))</f>
        <v/>
      </c>
      <c r="O16" s="10" t="str">
        <f ca="1">IF(N16="","",IF(ISNA(MATCH(M$3&amp;M16&amp;$AW16,Asta!$I:$I,0)),"",INDIRECT("Asta!H"&amp;MATCH(M$3&amp;M16&amp;$AW16,Asta!$I:$I,0))))</f>
        <v/>
      </c>
      <c r="P16" s="9"/>
      <c r="Q16" s="436" t="str">
        <f t="shared" si="3"/>
        <v>D</v>
      </c>
      <c r="R16" s="9" t="str">
        <f ca="1">IF(Q16="","",IF(ISNA(MATCH(Q$3&amp;Q16&amp;$AW16,Asta!$I:$I,0)),"",INDIRECT("Asta!B"&amp;MATCH(Q$3&amp;Q16&amp;$AW16,Asta!$I:$I,0))))</f>
        <v/>
      </c>
      <c r="S16" s="10" t="str">
        <f ca="1">IF(R16="","",IF(ISNA(MATCH(Q$3&amp;Q16&amp;$AW16,Asta!$I:$I,0)),"",INDIRECT("Asta!H"&amp;MATCH(Q$3&amp;Q16&amp;$AW16,Asta!$I:$I,0))))</f>
        <v/>
      </c>
      <c r="T16" s="9"/>
      <c r="U16" s="436" t="str">
        <f t="shared" si="4"/>
        <v>D</v>
      </c>
      <c r="V16" s="9" t="str">
        <f ca="1">IF(U16="","",IF(ISNA(MATCH(U$3&amp;U16&amp;$AW16,Asta!$I:$I,0)),"",INDIRECT("Asta!B"&amp;MATCH(U$3&amp;U16&amp;$AW16,Asta!$I:$I,0))))</f>
        <v/>
      </c>
      <c r="W16" s="10" t="str">
        <f ca="1">IF(V16="","",IF(ISNA(MATCH(U$3&amp;U16&amp;$AW16,Asta!$I:$I,0)),"",INDIRECT("Asta!H"&amp;MATCH(U$3&amp;U16&amp;$AW16,Asta!$I:$I,0))))</f>
        <v/>
      </c>
      <c r="X16" s="9"/>
      <c r="Y16" s="436" t="str">
        <f t="shared" si="5"/>
        <v>D</v>
      </c>
      <c r="Z16" s="9" t="str">
        <f ca="1">IF(Y16="","",IF(ISNA(MATCH(Y$3&amp;Y16&amp;$AW16,Asta!$I:$I,0)),"",INDIRECT("Asta!B"&amp;MATCH(Y$3&amp;Y16&amp;$AW16,Asta!$I:$I,0))))</f>
        <v/>
      </c>
      <c r="AA16" s="10" t="str">
        <f ca="1">IF(Z16="","",IF(ISNA(MATCH(Y$3&amp;Y16&amp;$AW16,Asta!$I:$I,0)),"",INDIRECT("Asta!H"&amp;MATCH(Y$3&amp;Y16&amp;$AW16,Asta!$I:$I,0))))</f>
        <v/>
      </c>
      <c r="AB16" s="9"/>
      <c r="AC16" s="436" t="str">
        <f t="shared" si="6"/>
        <v>D</v>
      </c>
      <c r="AD16" s="9" t="str">
        <f ca="1">IF(AC16="","",IF(ISNA(MATCH(AC$3&amp;AC16&amp;$AW16,Asta!$I:$I,0)),"",INDIRECT("Asta!B"&amp;MATCH(AC$3&amp;AC16&amp;$AW16,Asta!$I:$I,0))))</f>
        <v/>
      </c>
      <c r="AE16" s="10" t="str">
        <f ca="1">IF(AD16="","",IF(ISNA(MATCH(AC$3&amp;AC16&amp;$AW16,Asta!$I:$I,0)),"",INDIRECT("Asta!H"&amp;MATCH(AC$3&amp;AC16&amp;$AW16,Asta!$I:$I,0))))</f>
        <v/>
      </c>
      <c r="AF16" s="9"/>
      <c r="AG16" s="436" t="str">
        <f t="shared" si="7"/>
        <v>D</v>
      </c>
      <c r="AH16" s="9" t="str">
        <f ca="1">IF(AG16="","",IF(ISNA(MATCH(AG$3&amp;AG16&amp;$AW16,Asta!$I:$I,0)),"",INDIRECT("Asta!B"&amp;MATCH(AG$3&amp;AG16&amp;$AW16,Asta!$I:$I,0))))</f>
        <v/>
      </c>
      <c r="AI16" s="10" t="str">
        <f ca="1">IF(AH16="","",IF(ISNA(MATCH(AG$3&amp;AG16&amp;$AW16,Asta!$I:$I,0)),"",INDIRECT("Asta!H"&amp;MATCH(AG$3&amp;AG16&amp;$AW16,Asta!$I:$I,0))))</f>
        <v/>
      </c>
      <c r="AJ16" s="9"/>
      <c r="AK16" s="436" t="str">
        <f t="shared" si="8"/>
        <v>D</v>
      </c>
      <c r="AL16" s="9" t="str">
        <f ca="1">IF(AK16="","",IF(ISNA(MATCH(AK$3&amp;AK16&amp;$AW16,Asta!$I:$I,0)),"",INDIRECT("Asta!B"&amp;MATCH(AK$3&amp;AK16&amp;$AW16,Asta!$I:$I,0))))</f>
        <v/>
      </c>
      <c r="AM16" s="10" t="str">
        <f ca="1">IF(AL16="","",IF(ISNA(MATCH(AK$3&amp;AK16&amp;$AW16,Asta!$I:$I,0)),"",INDIRECT("Asta!H"&amp;MATCH(AK$3&amp;AK16&amp;$AW16,Asta!$I:$I,0))))</f>
        <v/>
      </c>
      <c r="AN16" s="9"/>
      <c r="AO16" s="436" t="str">
        <f t="shared" si="9"/>
        <v>D</v>
      </c>
      <c r="AP16" s="9" t="str">
        <f ca="1">IF(AO16="","",IF(ISNA(MATCH(AO$3&amp;AO16&amp;$AW16,Asta!$I:$I,0)),"",INDIRECT("Asta!B"&amp;MATCH(AO$3&amp;AO16&amp;$AW16,Asta!$I:$I,0))))</f>
        <v/>
      </c>
      <c r="AQ16" s="10" t="str">
        <f ca="1">IF(AP16="","",IF(ISNA(MATCH(AO$3&amp;AO16&amp;$AW16,Asta!$I:$I,0)),"",INDIRECT("Asta!H"&amp;MATCH(AO$3&amp;AO16&amp;$AW16,Asta!$I:$I,0))))</f>
        <v/>
      </c>
      <c r="AR16" s="9"/>
      <c r="AS16" s="436" t="str">
        <f t="shared" si="10"/>
        <v>D</v>
      </c>
      <c r="AT16" s="9" t="str">
        <f ca="1">IF(AS16="","",IF(ISNA(MATCH(AS$3&amp;AS16&amp;$AW16,Asta!$I:$I,0)),"",INDIRECT("Asta!B"&amp;MATCH(AS$3&amp;AS16&amp;$AW16,Asta!$I:$I,0))))</f>
        <v/>
      </c>
      <c r="AU16" s="10" t="str">
        <f ca="1">IF(AT16="","",IF(ISNA(MATCH(AS$3&amp;AS16&amp;$AW16,Asta!$I:$I,0)),"",INDIRECT("Asta!H"&amp;MATCH(AS$3&amp;AS16&amp;$AW16,Asta!$I:$I,0))))</f>
        <v/>
      </c>
      <c r="AV16" s="9"/>
      <c r="AW16" s="4">
        <v>8</v>
      </c>
    </row>
    <row r="17" spans="1:49" ht="12.75" customHeight="1">
      <c r="A17" s="436" t="str">
        <f>IF(Asta!$AC$3&lt;AW17,"","D")</f>
        <v/>
      </c>
      <c r="B17" s="9" t="str">
        <f ca="1">IF(A17="","",IF(ISNA(MATCH(A$3&amp;A17&amp;$AW17,Asta!$I:$I,0)),"",INDIRECT("Asta!B"&amp;MATCH(A$3&amp;A17&amp;$AW17,Asta!$I:$I,0))))</f>
        <v/>
      </c>
      <c r="C17" s="10" t="str">
        <f ca="1">IF(B17="","",IF(ISNA(MATCH(A$3&amp;A17&amp;$AW17,Asta!$I:$I,0)),"",INDIRECT("Asta!H"&amp;MATCH(A$3&amp;A17&amp;$AW17,Asta!$I:$I,0))))</f>
        <v/>
      </c>
      <c r="D17" s="9"/>
      <c r="E17" s="436" t="str">
        <f t="shared" si="0"/>
        <v/>
      </c>
      <c r="F17" s="9" t="str">
        <f ca="1">IF(E17="","",IF(ISNA(MATCH(E$3&amp;E17&amp;$AW17,Asta!$I:$I,0)),"",INDIRECT("Asta!B"&amp;MATCH(E$3&amp;E17&amp;$AW17,Asta!$I:$I,0))))</f>
        <v/>
      </c>
      <c r="G17" s="10" t="str">
        <f ca="1">IF(F17="","",IF(ISNA(MATCH(E$3&amp;E17&amp;$AW17,Asta!$I:$I,0)),"",INDIRECT("Asta!H"&amp;MATCH(E$3&amp;E17&amp;$AW17,Asta!$I:$I,0))))</f>
        <v/>
      </c>
      <c r="H17" s="9"/>
      <c r="I17" s="436" t="str">
        <f t="shared" si="1"/>
        <v/>
      </c>
      <c r="J17" s="9" t="str">
        <f ca="1">IF(I17="","",IF(ISNA(MATCH(I$3&amp;I17&amp;$AW17,Asta!$I:$I,0)),"",INDIRECT("Asta!B"&amp;MATCH(I$3&amp;I17&amp;$AW17,Asta!$I:$I,0))))</f>
        <v/>
      </c>
      <c r="K17" s="10" t="str">
        <f ca="1">IF(J17="","",IF(ISNA(MATCH(I$3&amp;I17&amp;$AW17,Asta!$I:$I,0)),"",INDIRECT("Asta!H"&amp;MATCH(I$3&amp;I17&amp;$AW17,Asta!$I:$I,0))))</f>
        <v/>
      </c>
      <c r="L17" s="9"/>
      <c r="M17" s="436" t="str">
        <f t="shared" si="2"/>
        <v/>
      </c>
      <c r="N17" s="9" t="str">
        <f ca="1">IF(M17="","",IF(ISNA(MATCH(M$3&amp;M17&amp;$AW17,Asta!$I:$I,0)),"",INDIRECT("Asta!B"&amp;MATCH(M$3&amp;M17&amp;$AW17,Asta!$I:$I,0))))</f>
        <v/>
      </c>
      <c r="O17" s="10" t="str">
        <f ca="1">IF(N17="","",IF(ISNA(MATCH(M$3&amp;M17&amp;$AW17,Asta!$I:$I,0)),"",INDIRECT("Asta!H"&amp;MATCH(M$3&amp;M17&amp;$AW17,Asta!$I:$I,0))))</f>
        <v/>
      </c>
      <c r="P17" s="9"/>
      <c r="Q17" s="436" t="str">
        <f t="shared" si="3"/>
        <v/>
      </c>
      <c r="R17" s="9" t="str">
        <f ca="1">IF(Q17="","",IF(ISNA(MATCH(Q$3&amp;Q17&amp;$AW17,Asta!$I:$I,0)),"",INDIRECT("Asta!B"&amp;MATCH(Q$3&amp;Q17&amp;$AW17,Asta!$I:$I,0))))</f>
        <v/>
      </c>
      <c r="S17" s="10" t="str">
        <f ca="1">IF(R17="","",IF(ISNA(MATCH(Q$3&amp;Q17&amp;$AW17,Asta!$I:$I,0)),"",INDIRECT("Asta!H"&amp;MATCH(Q$3&amp;Q17&amp;$AW17,Asta!$I:$I,0))))</f>
        <v/>
      </c>
      <c r="T17" s="9"/>
      <c r="U17" s="436" t="str">
        <f t="shared" si="4"/>
        <v/>
      </c>
      <c r="V17" s="9" t="str">
        <f ca="1">IF(U17="","",IF(ISNA(MATCH(U$3&amp;U17&amp;$AW17,Asta!$I:$I,0)),"",INDIRECT("Asta!B"&amp;MATCH(U$3&amp;U17&amp;$AW17,Asta!$I:$I,0))))</f>
        <v/>
      </c>
      <c r="W17" s="10" t="str">
        <f ca="1">IF(V17="","",IF(ISNA(MATCH(U$3&amp;U17&amp;$AW17,Asta!$I:$I,0)),"",INDIRECT("Asta!H"&amp;MATCH(U$3&amp;U17&amp;$AW17,Asta!$I:$I,0))))</f>
        <v/>
      </c>
      <c r="X17" s="9"/>
      <c r="Y17" s="436" t="str">
        <f t="shared" si="5"/>
        <v/>
      </c>
      <c r="Z17" s="9" t="str">
        <f ca="1">IF(Y17="","",IF(ISNA(MATCH(Y$3&amp;Y17&amp;$AW17,Asta!$I:$I,0)),"",INDIRECT("Asta!B"&amp;MATCH(Y$3&amp;Y17&amp;$AW17,Asta!$I:$I,0))))</f>
        <v/>
      </c>
      <c r="AA17" s="10" t="str">
        <f ca="1">IF(Z17="","",IF(ISNA(MATCH(Y$3&amp;Y17&amp;$AW17,Asta!$I:$I,0)),"",INDIRECT("Asta!H"&amp;MATCH(Y$3&amp;Y17&amp;$AW17,Asta!$I:$I,0))))</f>
        <v/>
      </c>
      <c r="AB17" s="9"/>
      <c r="AC17" s="436" t="str">
        <f t="shared" si="6"/>
        <v/>
      </c>
      <c r="AD17" s="9" t="str">
        <f ca="1">IF(AC17="","",IF(ISNA(MATCH(AC$3&amp;AC17&amp;$AW17,Asta!$I:$I,0)),"",INDIRECT("Asta!B"&amp;MATCH(AC$3&amp;AC17&amp;$AW17,Asta!$I:$I,0))))</f>
        <v/>
      </c>
      <c r="AE17" s="10" t="str">
        <f ca="1">IF(AD17="","",IF(ISNA(MATCH(AC$3&amp;AC17&amp;$AW17,Asta!$I:$I,0)),"",INDIRECT("Asta!H"&amp;MATCH(AC$3&amp;AC17&amp;$AW17,Asta!$I:$I,0))))</f>
        <v/>
      </c>
      <c r="AF17" s="9"/>
      <c r="AG17" s="436" t="str">
        <f t="shared" si="7"/>
        <v/>
      </c>
      <c r="AH17" s="9" t="str">
        <f ca="1">IF(AG17="","",IF(ISNA(MATCH(AG$3&amp;AG17&amp;$AW17,Asta!$I:$I,0)),"",INDIRECT("Asta!B"&amp;MATCH(AG$3&amp;AG17&amp;$AW17,Asta!$I:$I,0))))</f>
        <v/>
      </c>
      <c r="AI17" s="10" t="str">
        <f ca="1">IF(AH17="","",IF(ISNA(MATCH(AG$3&amp;AG17&amp;$AW17,Asta!$I:$I,0)),"",INDIRECT("Asta!H"&amp;MATCH(AG$3&amp;AG17&amp;$AW17,Asta!$I:$I,0))))</f>
        <v/>
      </c>
      <c r="AJ17" s="9"/>
      <c r="AK17" s="436" t="str">
        <f t="shared" si="8"/>
        <v/>
      </c>
      <c r="AL17" s="9" t="str">
        <f ca="1">IF(AK17="","",IF(ISNA(MATCH(AK$3&amp;AK17&amp;$AW17,Asta!$I:$I,0)),"",INDIRECT("Asta!B"&amp;MATCH(AK$3&amp;AK17&amp;$AW17,Asta!$I:$I,0))))</f>
        <v/>
      </c>
      <c r="AM17" s="10" t="str">
        <f ca="1">IF(AL17="","",IF(ISNA(MATCH(AK$3&amp;AK17&amp;$AW17,Asta!$I:$I,0)),"",INDIRECT("Asta!H"&amp;MATCH(AK$3&amp;AK17&amp;$AW17,Asta!$I:$I,0))))</f>
        <v/>
      </c>
      <c r="AN17" s="9"/>
      <c r="AO17" s="436" t="str">
        <f t="shared" si="9"/>
        <v/>
      </c>
      <c r="AP17" s="9" t="str">
        <f ca="1">IF(AO17="","",IF(ISNA(MATCH(AO$3&amp;AO17&amp;$AW17,Asta!$I:$I,0)),"",INDIRECT("Asta!B"&amp;MATCH(AO$3&amp;AO17&amp;$AW17,Asta!$I:$I,0))))</f>
        <v/>
      </c>
      <c r="AQ17" s="10" t="str">
        <f ca="1">IF(AP17="","",IF(ISNA(MATCH(AO$3&amp;AO17&amp;$AW17,Asta!$I:$I,0)),"",INDIRECT("Asta!H"&amp;MATCH(AO$3&amp;AO17&amp;$AW17,Asta!$I:$I,0))))</f>
        <v/>
      </c>
      <c r="AR17" s="9"/>
      <c r="AS17" s="436" t="str">
        <f t="shared" si="10"/>
        <v/>
      </c>
      <c r="AT17" s="9" t="str">
        <f ca="1">IF(AS17="","",IF(ISNA(MATCH(AS$3&amp;AS17&amp;$AW17,Asta!$I:$I,0)),"",INDIRECT("Asta!B"&amp;MATCH(AS$3&amp;AS17&amp;$AW17,Asta!$I:$I,0))))</f>
        <v/>
      </c>
      <c r="AU17" s="10" t="str">
        <f ca="1">IF(AT17="","",IF(ISNA(MATCH(AS$3&amp;AS17&amp;$AW17,Asta!$I:$I,0)),"",INDIRECT("Asta!H"&amp;MATCH(AS$3&amp;AS17&amp;$AW17,Asta!$I:$I,0))))</f>
        <v/>
      </c>
      <c r="AV17" s="9"/>
      <c r="AW17" s="4">
        <v>9</v>
      </c>
    </row>
    <row r="18" spans="1:49">
      <c r="A18" s="436" t="str">
        <f>IF(Asta!$AC$3&lt;AW18,"","D")</f>
        <v/>
      </c>
      <c r="B18" s="9" t="str">
        <f ca="1">IF(A18="","",IF(ISNA(MATCH(A$3&amp;A18&amp;$AW18,Asta!$I:$I,0)),"",INDIRECT("Asta!B"&amp;MATCH(A$3&amp;A18&amp;$AW18,Asta!$I:$I,0))))</f>
        <v/>
      </c>
      <c r="C18" s="10" t="str">
        <f ca="1">IF(B18="","",IF(ISNA(MATCH(A$3&amp;A18&amp;$AW18,Asta!$I:$I,0)),"",INDIRECT("Asta!H"&amp;MATCH(A$3&amp;A18&amp;$AW18,Asta!$I:$I,0))))</f>
        <v/>
      </c>
      <c r="D18" s="9"/>
      <c r="E18" s="436" t="str">
        <f t="shared" si="0"/>
        <v/>
      </c>
      <c r="F18" s="9" t="str">
        <f ca="1">IF(E18="","",IF(ISNA(MATCH(E$3&amp;E18&amp;$AW18,Asta!$I:$I,0)),"",INDIRECT("Asta!B"&amp;MATCH(E$3&amp;E18&amp;$AW18,Asta!$I:$I,0))))</f>
        <v/>
      </c>
      <c r="G18" s="10" t="str">
        <f ca="1">IF(F18="","",IF(ISNA(MATCH(E$3&amp;E18&amp;$AW18,Asta!$I:$I,0)),"",INDIRECT("Asta!H"&amp;MATCH(E$3&amp;E18&amp;$AW18,Asta!$I:$I,0))))</f>
        <v/>
      </c>
      <c r="H18" s="9"/>
      <c r="I18" s="436" t="str">
        <f t="shared" si="1"/>
        <v/>
      </c>
      <c r="J18" s="9" t="str">
        <f ca="1">IF(I18="","",IF(ISNA(MATCH(I$3&amp;I18&amp;$AW18,Asta!$I:$I,0)),"",INDIRECT("Asta!B"&amp;MATCH(I$3&amp;I18&amp;$AW18,Asta!$I:$I,0))))</f>
        <v/>
      </c>
      <c r="K18" s="10" t="str">
        <f ca="1">IF(J18="","",IF(ISNA(MATCH(I$3&amp;I18&amp;$AW18,Asta!$I:$I,0)),"",INDIRECT("Asta!H"&amp;MATCH(I$3&amp;I18&amp;$AW18,Asta!$I:$I,0))))</f>
        <v/>
      </c>
      <c r="L18" s="9"/>
      <c r="M18" s="436" t="str">
        <f t="shared" si="2"/>
        <v/>
      </c>
      <c r="N18" s="9" t="str">
        <f ca="1">IF(M18="","",IF(ISNA(MATCH(M$3&amp;M18&amp;$AW18,Asta!$I:$I,0)),"",INDIRECT("Asta!B"&amp;MATCH(M$3&amp;M18&amp;$AW18,Asta!$I:$I,0))))</f>
        <v/>
      </c>
      <c r="O18" s="10" t="str">
        <f ca="1">IF(N18="","",IF(ISNA(MATCH(M$3&amp;M18&amp;$AW18,Asta!$I:$I,0)),"",INDIRECT("Asta!H"&amp;MATCH(M$3&amp;M18&amp;$AW18,Asta!$I:$I,0))))</f>
        <v/>
      </c>
      <c r="P18" s="9"/>
      <c r="Q18" s="436" t="str">
        <f t="shared" si="3"/>
        <v/>
      </c>
      <c r="R18" s="9" t="str">
        <f ca="1">IF(Q18="","",IF(ISNA(MATCH(Q$3&amp;Q18&amp;$AW18,Asta!$I:$I,0)),"",INDIRECT("Asta!B"&amp;MATCH(Q$3&amp;Q18&amp;$AW18,Asta!$I:$I,0))))</f>
        <v/>
      </c>
      <c r="S18" s="10" t="str">
        <f ca="1">IF(R18="","",IF(ISNA(MATCH(Q$3&amp;Q18&amp;$AW18,Asta!$I:$I,0)),"",INDIRECT("Asta!H"&amp;MATCH(Q$3&amp;Q18&amp;$AW18,Asta!$I:$I,0))))</f>
        <v/>
      </c>
      <c r="T18" s="9"/>
      <c r="U18" s="436" t="str">
        <f t="shared" si="4"/>
        <v/>
      </c>
      <c r="V18" s="9" t="str">
        <f ca="1">IF(U18="","",IF(ISNA(MATCH(U$3&amp;U18&amp;$AW18,Asta!$I:$I,0)),"",INDIRECT("Asta!B"&amp;MATCH(U$3&amp;U18&amp;$AW18,Asta!$I:$I,0))))</f>
        <v/>
      </c>
      <c r="W18" s="10" t="str">
        <f ca="1">IF(V18="","",IF(ISNA(MATCH(U$3&amp;U18&amp;$AW18,Asta!$I:$I,0)),"",INDIRECT("Asta!H"&amp;MATCH(U$3&amp;U18&amp;$AW18,Asta!$I:$I,0))))</f>
        <v/>
      </c>
      <c r="X18" s="9"/>
      <c r="Y18" s="436" t="str">
        <f t="shared" si="5"/>
        <v/>
      </c>
      <c r="Z18" s="9" t="str">
        <f ca="1">IF(Y18="","",IF(ISNA(MATCH(Y$3&amp;Y18&amp;$AW18,Asta!$I:$I,0)),"",INDIRECT("Asta!B"&amp;MATCH(Y$3&amp;Y18&amp;$AW18,Asta!$I:$I,0))))</f>
        <v/>
      </c>
      <c r="AA18" s="10" t="str">
        <f ca="1">IF(Z18="","",IF(ISNA(MATCH(Y$3&amp;Y18&amp;$AW18,Asta!$I:$I,0)),"",INDIRECT("Asta!H"&amp;MATCH(Y$3&amp;Y18&amp;$AW18,Asta!$I:$I,0))))</f>
        <v/>
      </c>
      <c r="AB18" s="9"/>
      <c r="AC18" s="436" t="str">
        <f t="shared" si="6"/>
        <v/>
      </c>
      <c r="AD18" s="9" t="str">
        <f ca="1">IF(AC18="","",IF(ISNA(MATCH(AC$3&amp;AC18&amp;$AW18,Asta!$I:$I,0)),"",INDIRECT("Asta!B"&amp;MATCH(AC$3&amp;AC18&amp;$AW18,Asta!$I:$I,0))))</f>
        <v/>
      </c>
      <c r="AE18" s="10" t="str">
        <f ca="1">IF(AD18="","",IF(ISNA(MATCH(AC$3&amp;AC18&amp;$AW18,Asta!$I:$I,0)),"",INDIRECT("Asta!H"&amp;MATCH(AC$3&amp;AC18&amp;$AW18,Asta!$I:$I,0))))</f>
        <v/>
      </c>
      <c r="AF18" s="9"/>
      <c r="AG18" s="436" t="str">
        <f t="shared" si="7"/>
        <v/>
      </c>
      <c r="AH18" s="9" t="str">
        <f ca="1">IF(AG18="","",IF(ISNA(MATCH(AG$3&amp;AG18&amp;$AW18,Asta!$I:$I,0)),"",INDIRECT("Asta!B"&amp;MATCH(AG$3&amp;AG18&amp;$AW18,Asta!$I:$I,0))))</f>
        <v/>
      </c>
      <c r="AI18" s="10" t="str">
        <f ca="1">IF(AH18="","",IF(ISNA(MATCH(AG$3&amp;AG18&amp;$AW18,Asta!$I:$I,0)),"",INDIRECT("Asta!H"&amp;MATCH(AG$3&amp;AG18&amp;$AW18,Asta!$I:$I,0))))</f>
        <v/>
      </c>
      <c r="AJ18" s="9"/>
      <c r="AK18" s="436" t="str">
        <f t="shared" si="8"/>
        <v/>
      </c>
      <c r="AL18" s="9" t="str">
        <f ca="1">IF(AK18="","",IF(ISNA(MATCH(AK$3&amp;AK18&amp;$AW18,Asta!$I:$I,0)),"",INDIRECT("Asta!B"&amp;MATCH(AK$3&amp;AK18&amp;$AW18,Asta!$I:$I,0))))</f>
        <v/>
      </c>
      <c r="AM18" s="10" t="str">
        <f ca="1">IF(AL18="","",IF(ISNA(MATCH(AK$3&amp;AK18&amp;$AW18,Asta!$I:$I,0)),"",INDIRECT("Asta!H"&amp;MATCH(AK$3&amp;AK18&amp;$AW18,Asta!$I:$I,0))))</f>
        <v/>
      </c>
      <c r="AN18" s="9"/>
      <c r="AO18" s="436" t="str">
        <f t="shared" si="9"/>
        <v/>
      </c>
      <c r="AP18" s="9" t="str">
        <f ca="1">IF(AO18="","",IF(ISNA(MATCH(AO$3&amp;AO18&amp;$AW18,Asta!$I:$I,0)),"",INDIRECT("Asta!B"&amp;MATCH(AO$3&amp;AO18&amp;$AW18,Asta!$I:$I,0))))</f>
        <v/>
      </c>
      <c r="AQ18" s="10" t="str">
        <f ca="1">IF(AP18="","",IF(ISNA(MATCH(AO$3&amp;AO18&amp;$AW18,Asta!$I:$I,0)),"",INDIRECT("Asta!H"&amp;MATCH(AO$3&amp;AO18&amp;$AW18,Asta!$I:$I,0))))</f>
        <v/>
      </c>
      <c r="AR18" s="9"/>
      <c r="AS18" s="436" t="str">
        <f t="shared" si="10"/>
        <v/>
      </c>
      <c r="AT18" s="9" t="str">
        <f ca="1">IF(AS18="","",IF(ISNA(MATCH(AS$3&amp;AS18&amp;$AW18,Asta!$I:$I,0)),"",INDIRECT("Asta!B"&amp;MATCH(AS$3&amp;AS18&amp;$AW18,Asta!$I:$I,0))))</f>
        <v/>
      </c>
      <c r="AU18" s="10" t="str">
        <f ca="1">IF(AT18="","",IF(ISNA(MATCH(AS$3&amp;AS18&amp;$AW18,Asta!$I:$I,0)),"",INDIRECT("Asta!H"&amp;MATCH(AS$3&amp;AS18&amp;$AW18,Asta!$I:$I,0))))</f>
        <v/>
      </c>
      <c r="AV18" s="9"/>
      <c r="AW18" s="4">
        <v>10</v>
      </c>
    </row>
    <row r="19" spans="1:49">
      <c r="A19" s="533" t="s">
        <v>633</v>
      </c>
      <c r="B19" s="533"/>
      <c r="C19" s="534"/>
      <c r="D19" s="437" t="s">
        <v>1963</v>
      </c>
      <c r="E19" s="533" t="s">
        <v>633</v>
      </c>
      <c r="F19" s="533"/>
      <c r="G19" s="534"/>
      <c r="H19" s="436"/>
      <c r="I19" s="533" t="s">
        <v>633</v>
      </c>
      <c r="J19" s="533"/>
      <c r="K19" s="534"/>
      <c r="L19" s="436"/>
      <c r="M19" s="533" t="s">
        <v>633</v>
      </c>
      <c r="N19" s="533"/>
      <c r="O19" s="534"/>
      <c r="P19" s="436"/>
      <c r="Q19" s="533" t="s">
        <v>633</v>
      </c>
      <c r="R19" s="533"/>
      <c r="S19" s="534"/>
      <c r="T19" s="436"/>
      <c r="U19" s="533" t="s">
        <v>633</v>
      </c>
      <c r="V19" s="533"/>
      <c r="W19" s="534"/>
      <c r="X19" s="436"/>
      <c r="Y19" s="533" t="s">
        <v>633</v>
      </c>
      <c r="Z19" s="533"/>
      <c r="AA19" s="534"/>
      <c r="AB19" s="436"/>
      <c r="AC19" s="533" t="s">
        <v>633</v>
      </c>
      <c r="AD19" s="533"/>
      <c r="AE19" s="534"/>
      <c r="AF19" s="436"/>
      <c r="AG19" s="533" t="s">
        <v>633</v>
      </c>
      <c r="AH19" s="533"/>
      <c r="AI19" s="534"/>
      <c r="AJ19" s="436"/>
      <c r="AK19" s="533" t="s">
        <v>633</v>
      </c>
      <c r="AL19" s="533"/>
      <c r="AM19" s="534"/>
      <c r="AN19" s="436"/>
      <c r="AO19" s="533" t="s">
        <v>633</v>
      </c>
      <c r="AP19" s="533"/>
      <c r="AQ19" s="534"/>
      <c r="AR19" s="436"/>
      <c r="AS19" s="533" t="s">
        <v>633</v>
      </c>
      <c r="AT19" s="533"/>
      <c r="AU19" s="534"/>
      <c r="AV19" s="436"/>
    </row>
    <row r="20" spans="1:49">
      <c r="A20" s="436" t="str">
        <f>IF(Asta!$AD$3&lt;AW20,"","C")</f>
        <v>C</v>
      </c>
      <c r="B20" s="9" t="str">
        <f ca="1">IF(A20="","",IF(ISNA(MATCH(A$3&amp;A20&amp;$AW20,Asta!$I:$I,0)),"",INDIRECT("Asta!B"&amp;MATCH(A$3&amp;A20&amp;$AW20,Asta!$I:$I,0))))</f>
        <v/>
      </c>
      <c r="C20" s="10" t="str">
        <f ca="1">IF(B20="","",IF(ISNA(MATCH(A$3&amp;A20&amp;$AW20,Asta!$I:$I,0)),"",INDIRECT("Asta!H"&amp;MATCH(A$3&amp;A20&amp;$AW20,Asta!$I:$I,0))))</f>
        <v/>
      </c>
      <c r="D20" s="9"/>
      <c r="E20" s="436" t="str">
        <f t="shared" ref="E20:E29" si="11">A20</f>
        <v>C</v>
      </c>
      <c r="F20" s="9" t="str">
        <f ca="1">IF(E20="","",IF(ISNA(MATCH(E$3&amp;E20&amp;$AW20,Asta!$I:$I,0)),"",INDIRECT("Asta!B"&amp;MATCH(E$3&amp;E20&amp;$AW20,Asta!$I:$I,0))))</f>
        <v/>
      </c>
      <c r="G20" s="10" t="str">
        <f ca="1">IF(F20="","",IF(ISNA(MATCH(E$3&amp;E20&amp;$AW20,Asta!$I:$I,0)),"",INDIRECT("Asta!H"&amp;MATCH(E$3&amp;E20&amp;$AW20,Asta!$I:$I,0))))</f>
        <v/>
      </c>
      <c r="H20" s="9"/>
      <c r="I20" s="436" t="str">
        <f>E20</f>
        <v>C</v>
      </c>
      <c r="J20" s="9" t="str">
        <f ca="1">IF(I20="","",IF(ISNA(MATCH(I$3&amp;I20&amp;$AW20,Asta!$I:$I,0)),"",INDIRECT("Asta!B"&amp;MATCH(I$3&amp;I20&amp;$AW20,Asta!$I:$I,0))))</f>
        <v/>
      </c>
      <c r="K20" s="10" t="str">
        <f ca="1">IF(J20="","",IF(ISNA(MATCH(I$3&amp;I20&amp;$AW20,Asta!$I:$I,0)),"",INDIRECT("Asta!H"&amp;MATCH(I$3&amp;I20&amp;$AW20,Asta!$I:$I,0))))</f>
        <v/>
      </c>
      <c r="L20" s="9"/>
      <c r="M20" s="436" t="str">
        <f>I20</f>
        <v>C</v>
      </c>
      <c r="N20" s="9" t="str">
        <f ca="1">IF(M20="","",IF(ISNA(MATCH(M$3&amp;M20&amp;$AW20,Asta!$I:$I,0)),"",INDIRECT("Asta!B"&amp;MATCH(M$3&amp;M20&amp;$AW20,Asta!$I:$I,0))))</f>
        <v/>
      </c>
      <c r="O20" s="10" t="str">
        <f ca="1">IF(N20="","",IF(ISNA(MATCH(M$3&amp;M20&amp;$AW20,Asta!$I:$I,0)),"",INDIRECT("Asta!H"&amp;MATCH(M$3&amp;M20&amp;$AW20,Asta!$I:$I,0))))</f>
        <v/>
      </c>
      <c r="P20" s="9"/>
      <c r="Q20" s="436" t="str">
        <f>M20</f>
        <v>C</v>
      </c>
      <c r="R20" s="9" t="str">
        <f ca="1">IF(Q20="","",IF(ISNA(MATCH(Q$3&amp;Q20&amp;$AW20,Asta!$I:$I,0)),"",INDIRECT("Asta!B"&amp;MATCH(Q$3&amp;Q20&amp;$AW20,Asta!$I:$I,0))))</f>
        <v/>
      </c>
      <c r="S20" s="10" t="str">
        <f ca="1">IF(R20="","",IF(ISNA(MATCH(Q$3&amp;Q20&amp;$AW20,Asta!$I:$I,0)),"",INDIRECT("Asta!H"&amp;MATCH(Q$3&amp;Q20&amp;$AW20,Asta!$I:$I,0))))</f>
        <v/>
      </c>
      <c r="T20" s="9"/>
      <c r="U20" s="436" t="str">
        <f>Q20</f>
        <v>C</v>
      </c>
      <c r="V20" s="9" t="str">
        <f ca="1">IF(U20="","",IF(ISNA(MATCH(U$3&amp;U20&amp;$AW20,Asta!$I:$I,0)),"",INDIRECT("Asta!B"&amp;MATCH(U$3&amp;U20&amp;$AW20,Asta!$I:$I,0))))</f>
        <v/>
      </c>
      <c r="W20" s="10" t="str">
        <f ca="1">IF(V20="","",IF(ISNA(MATCH(U$3&amp;U20&amp;$AW20,Asta!$I:$I,0)),"",INDIRECT("Asta!H"&amp;MATCH(U$3&amp;U20&amp;$AW20,Asta!$I:$I,0))))</f>
        <v/>
      </c>
      <c r="X20" s="9"/>
      <c r="Y20" s="436" t="str">
        <f>U20</f>
        <v>C</v>
      </c>
      <c r="Z20" s="9" t="str">
        <f ca="1">IF(Y20="","",IF(ISNA(MATCH(Y$3&amp;Y20&amp;$AW20,Asta!$I:$I,0)),"",INDIRECT("Asta!B"&amp;MATCH(Y$3&amp;Y20&amp;$AW20,Asta!$I:$I,0))))</f>
        <v/>
      </c>
      <c r="AA20" s="10" t="str">
        <f ca="1">IF(Z20="","",IF(ISNA(MATCH(Y$3&amp;Y20&amp;$AW20,Asta!$I:$I,0)),"",INDIRECT("Asta!H"&amp;MATCH(Y$3&amp;Y20&amp;$AW20,Asta!$I:$I,0))))</f>
        <v/>
      </c>
      <c r="AB20" s="9"/>
      <c r="AC20" s="436" t="str">
        <f>Y20</f>
        <v>C</v>
      </c>
      <c r="AD20" s="9" t="str">
        <f ca="1">IF(AC20="","",IF(ISNA(MATCH(AC$3&amp;AC20&amp;$AW20,Asta!$I:$I,0)),"",INDIRECT("Asta!B"&amp;MATCH(AC$3&amp;AC20&amp;$AW20,Asta!$I:$I,0))))</f>
        <v/>
      </c>
      <c r="AE20" s="10" t="str">
        <f ca="1">IF(AD20="","",IF(ISNA(MATCH(AC$3&amp;AC20&amp;$AW20,Asta!$I:$I,0)),"",INDIRECT("Asta!H"&amp;MATCH(AC$3&amp;AC20&amp;$AW20,Asta!$I:$I,0))))</f>
        <v/>
      </c>
      <c r="AF20" s="9"/>
      <c r="AG20" s="436" t="str">
        <f>AC20</f>
        <v>C</v>
      </c>
      <c r="AH20" s="9" t="str">
        <f ca="1">IF(AG20="","",IF(ISNA(MATCH(AG$3&amp;AG20&amp;$AW20,Asta!$I:$I,0)),"",INDIRECT("Asta!B"&amp;MATCH(AG$3&amp;AG20&amp;$AW20,Asta!$I:$I,0))))</f>
        <v/>
      </c>
      <c r="AI20" s="10" t="str">
        <f ca="1">IF(AH20="","",IF(ISNA(MATCH(AG$3&amp;AG20&amp;$AW20,Asta!$I:$I,0)),"",INDIRECT("Asta!H"&amp;MATCH(AG$3&amp;AG20&amp;$AW20,Asta!$I:$I,0))))</f>
        <v/>
      </c>
      <c r="AJ20" s="9"/>
      <c r="AK20" s="436" t="str">
        <f>AG20</f>
        <v>C</v>
      </c>
      <c r="AL20" s="9" t="str">
        <f ca="1">IF(AK20="","",IF(ISNA(MATCH(AK$3&amp;AK20&amp;$AW20,Asta!$I:$I,0)),"",INDIRECT("Asta!B"&amp;MATCH(AK$3&amp;AK20&amp;$AW20,Asta!$I:$I,0))))</f>
        <v/>
      </c>
      <c r="AM20" s="10" t="str">
        <f ca="1">IF(AL20="","",IF(ISNA(MATCH(AK$3&amp;AK20&amp;$AW20,Asta!$I:$I,0)),"",INDIRECT("Asta!H"&amp;MATCH(AK$3&amp;AK20&amp;$AW20,Asta!$I:$I,0))))</f>
        <v/>
      </c>
      <c r="AN20" s="9"/>
      <c r="AO20" s="436" t="str">
        <f>AK20</f>
        <v>C</v>
      </c>
      <c r="AP20" s="9" t="str">
        <f ca="1">IF(AO20="","",IF(ISNA(MATCH(AO$3&amp;AO20&amp;$AW20,Asta!$I:$I,0)),"",INDIRECT("Asta!B"&amp;MATCH(AO$3&amp;AO20&amp;$AW20,Asta!$I:$I,0))))</f>
        <v/>
      </c>
      <c r="AQ20" s="10" t="str">
        <f ca="1">IF(AP20="","",IF(ISNA(MATCH(AO$3&amp;AO20&amp;$AW20,Asta!$I:$I,0)),"",INDIRECT("Asta!H"&amp;MATCH(AO$3&amp;AO20&amp;$AW20,Asta!$I:$I,0))))</f>
        <v/>
      </c>
      <c r="AR20" s="9"/>
      <c r="AS20" s="436" t="str">
        <f>AO20</f>
        <v>C</v>
      </c>
      <c r="AT20" s="9" t="str">
        <f ca="1">IF(AS20="","",IF(ISNA(MATCH(AS$3&amp;AS20&amp;$AW20,Asta!$I:$I,0)),"",INDIRECT("Asta!B"&amp;MATCH(AS$3&amp;AS20&amp;$AW20,Asta!$I:$I,0))))</f>
        <v/>
      </c>
      <c r="AU20" s="10" t="str">
        <f ca="1">IF(AT20="","",IF(ISNA(MATCH(AS$3&amp;AS20&amp;$AW20,Asta!$I:$I,0)),"",INDIRECT("Asta!H"&amp;MATCH(AS$3&amp;AS20&amp;$AW20,Asta!$I:$I,0))))</f>
        <v/>
      </c>
      <c r="AV20" s="9"/>
      <c r="AW20" s="4">
        <v>1</v>
      </c>
    </row>
    <row r="21" spans="1:49">
      <c r="A21" s="436" t="str">
        <f>IF(Asta!$AD$3&lt;AW21,"","C")</f>
        <v>C</v>
      </c>
      <c r="B21" s="9" t="str">
        <f ca="1">IF(A21="","",IF(ISNA(MATCH(A$3&amp;A21&amp;$AW21,Asta!$I:$I,0)),"",INDIRECT("Asta!B"&amp;MATCH(A$3&amp;A21&amp;$AW21,Asta!$I:$I,0))))</f>
        <v/>
      </c>
      <c r="C21" s="10" t="str">
        <f ca="1">IF(B21="","",IF(ISNA(MATCH(A$3&amp;A21&amp;$AW21,Asta!$I:$I,0)),"",INDIRECT("Asta!H"&amp;MATCH(A$3&amp;A21&amp;$AW21,Asta!$I:$I,0))))</f>
        <v/>
      </c>
      <c r="D21" s="9"/>
      <c r="E21" s="436" t="str">
        <f t="shared" si="11"/>
        <v>C</v>
      </c>
      <c r="F21" s="9" t="str">
        <f ca="1">IF(E21="","",IF(ISNA(MATCH(E$3&amp;E21&amp;$AW21,Asta!$I:$I,0)),"",INDIRECT("Asta!B"&amp;MATCH(E$3&amp;E21&amp;$AW21,Asta!$I:$I,0))))</f>
        <v/>
      </c>
      <c r="G21" s="10" t="str">
        <f ca="1">IF(F21="","",IF(ISNA(MATCH(E$3&amp;E21&amp;$AW21,Asta!$I:$I,0)),"",INDIRECT("Asta!H"&amp;MATCH(E$3&amp;E21&amp;$AW21,Asta!$I:$I,0))))</f>
        <v/>
      </c>
      <c r="H21" s="9"/>
      <c r="I21" s="436" t="str">
        <f t="shared" ref="I21:I29" si="12">E21</f>
        <v>C</v>
      </c>
      <c r="J21" s="9" t="str">
        <f ca="1">IF(I21="","",IF(ISNA(MATCH(I$3&amp;I21&amp;$AW21,Asta!$I:$I,0)),"",INDIRECT("Asta!B"&amp;MATCH(I$3&amp;I21&amp;$AW21,Asta!$I:$I,0))))</f>
        <v/>
      </c>
      <c r="K21" s="10" t="str">
        <f ca="1">IF(J21="","",IF(ISNA(MATCH(I$3&amp;I21&amp;$AW21,Asta!$I:$I,0)),"",INDIRECT("Asta!H"&amp;MATCH(I$3&amp;I21&amp;$AW21,Asta!$I:$I,0))))</f>
        <v/>
      </c>
      <c r="L21" s="9"/>
      <c r="M21" s="436" t="str">
        <f t="shared" ref="M21:M29" si="13">I21</f>
        <v>C</v>
      </c>
      <c r="N21" s="9" t="str">
        <f ca="1">IF(M21="","",IF(ISNA(MATCH(M$3&amp;M21&amp;$AW21,Asta!$I:$I,0)),"",INDIRECT("Asta!B"&amp;MATCH(M$3&amp;M21&amp;$AW21,Asta!$I:$I,0))))</f>
        <v/>
      </c>
      <c r="O21" s="10" t="str">
        <f ca="1">IF(N21="","",IF(ISNA(MATCH(M$3&amp;M21&amp;$AW21,Asta!$I:$I,0)),"",INDIRECT("Asta!H"&amp;MATCH(M$3&amp;M21&amp;$AW21,Asta!$I:$I,0))))</f>
        <v/>
      </c>
      <c r="P21" s="9"/>
      <c r="Q21" s="436" t="str">
        <f t="shared" ref="Q21:Q29" si="14">M21</f>
        <v>C</v>
      </c>
      <c r="R21" s="9" t="str">
        <f ca="1">IF(Q21="","",IF(ISNA(MATCH(Q$3&amp;Q21&amp;$AW21,Asta!$I:$I,0)),"",INDIRECT("Asta!B"&amp;MATCH(Q$3&amp;Q21&amp;$AW21,Asta!$I:$I,0))))</f>
        <v/>
      </c>
      <c r="S21" s="10" t="str">
        <f ca="1">IF(R21="","",IF(ISNA(MATCH(Q$3&amp;Q21&amp;$AW21,Asta!$I:$I,0)),"",INDIRECT("Asta!H"&amp;MATCH(Q$3&amp;Q21&amp;$AW21,Asta!$I:$I,0))))</f>
        <v/>
      </c>
      <c r="T21" s="9"/>
      <c r="U21" s="436" t="str">
        <f t="shared" ref="U21:U29" si="15">Q21</f>
        <v>C</v>
      </c>
      <c r="V21" s="9" t="str">
        <f ca="1">IF(U21="","",IF(ISNA(MATCH(U$3&amp;U21&amp;$AW21,Asta!$I:$I,0)),"",INDIRECT("Asta!B"&amp;MATCH(U$3&amp;U21&amp;$AW21,Asta!$I:$I,0))))</f>
        <v/>
      </c>
      <c r="W21" s="10" t="str">
        <f ca="1">IF(V21="","",IF(ISNA(MATCH(U$3&amp;U21&amp;$AW21,Asta!$I:$I,0)),"",INDIRECT("Asta!H"&amp;MATCH(U$3&amp;U21&amp;$AW21,Asta!$I:$I,0))))</f>
        <v/>
      </c>
      <c r="X21" s="9"/>
      <c r="Y21" s="436" t="str">
        <f t="shared" ref="Y21:Y29" si="16">U21</f>
        <v>C</v>
      </c>
      <c r="Z21" s="9" t="str">
        <f ca="1">IF(Y21="","",IF(ISNA(MATCH(Y$3&amp;Y21&amp;$AW21,Asta!$I:$I,0)),"",INDIRECT("Asta!B"&amp;MATCH(Y$3&amp;Y21&amp;$AW21,Asta!$I:$I,0))))</f>
        <v/>
      </c>
      <c r="AA21" s="10" t="str">
        <f ca="1">IF(Z21="","",IF(ISNA(MATCH(Y$3&amp;Y21&amp;$AW21,Asta!$I:$I,0)),"",INDIRECT("Asta!H"&amp;MATCH(Y$3&amp;Y21&amp;$AW21,Asta!$I:$I,0))))</f>
        <v/>
      </c>
      <c r="AB21" s="9"/>
      <c r="AC21" s="436" t="str">
        <f t="shared" ref="AC21:AC29" si="17">Y21</f>
        <v>C</v>
      </c>
      <c r="AD21" s="9" t="str">
        <f ca="1">IF(AC21="","",IF(ISNA(MATCH(AC$3&amp;AC21&amp;$AW21,Asta!$I:$I,0)),"",INDIRECT("Asta!B"&amp;MATCH(AC$3&amp;AC21&amp;$AW21,Asta!$I:$I,0))))</f>
        <v/>
      </c>
      <c r="AE21" s="10" t="str">
        <f ca="1">IF(AD21="","",IF(ISNA(MATCH(AC$3&amp;AC21&amp;$AW21,Asta!$I:$I,0)),"",INDIRECT("Asta!H"&amp;MATCH(AC$3&amp;AC21&amp;$AW21,Asta!$I:$I,0))))</f>
        <v/>
      </c>
      <c r="AF21" s="9"/>
      <c r="AG21" s="436" t="str">
        <f t="shared" ref="AG21:AG29" si="18">AC21</f>
        <v>C</v>
      </c>
      <c r="AH21" s="9" t="str">
        <f ca="1">IF(AG21="","",IF(ISNA(MATCH(AG$3&amp;AG21&amp;$AW21,Asta!$I:$I,0)),"",INDIRECT("Asta!B"&amp;MATCH(AG$3&amp;AG21&amp;$AW21,Asta!$I:$I,0))))</f>
        <v/>
      </c>
      <c r="AI21" s="10" t="str">
        <f ca="1">IF(AH21="","",IF(ISNA(MATCH(AG$3&amp;AG21&amp;$AW21,Asta!$I:$I,0)),"",INDIRECT("Asta!H"&amp;MATCH(AG$3&amp;AG21&amp;$AW21,Asta!$I:$I,0))))</f>
        <v/>
      </c>
      <c r="AJ21" s="9"/>
      <c r="AK21" s="436" t="str">
        <f t="shared" ref="AK21:AK29" si="19">AG21</f>
        <v>C</v>
      </c>
      <c r="AL21" s="9" t="str">
        <f ca="1">IF(AK21="","",IF(ISNA(MATCH(AK$3&amp;AK21&amp;$AW21,Asta!$I:$I,0)),"",INDIRECT("Asta!B"&amp;MATCH(AK$3&amp;AK21&amp;$AW21,Asta!$I:$I,0))))</f>
        <v/>
      </c>
      <c r="AM21" s="10" t="str">
        <f ca="1">IF(AL21="","",IF(ISNA(MATCH(AK$3&amp;AK21&amp;$AW21,Asta!$I:$I,0)),"",INDIRECT("Asta!H"&amp;MATCH(AK$3&amp;AK21&amp;$AW21,Asta!$I:$I,0))))</f>
        <v/>
      </c>
      <c r="AN21" s="9"/>
      <c r="AO21" s="436" t="str">
        <f t="shared" ref="AO21:AO29" si="20">AK21</f>
        <v>C</v>
      </c>
      <c r="AP21" s="9" t="str">
        <f ca="1">IF(AO21="","",IF(ISNA(MATCH(AO$3&amp;AO21&amp;$AW21,Asta!$I:$I,0)),"",INDIRECT("Asta!B"&amp;MATCH(AO$3&amp;AO21&amp;$AW21,Asta!$I:$I,0))))</f>
        <v/>
      </c>
      <c r="AQ21" s="10" t="str">
        <f ca="1">IF(AP21="","",IF(ISNA(MATCH(AO$3&amp;AO21&amp;$AW21,Asta!$I:$I,0)),"",INDIRECT("Asta!H"&amp;MATCH(AO$3&amp;AO21&amp;$AW21,Asta!$I:$I,0))))</f>
        <v/>
      </c>
      <c r="AR21" s="9"/>
      <c r="AS21" s="436" t="str">
        <f t="shared" ref="AS21:AS29" si="21">AO21</f>
        <v>C</v>
      </c>
      <c r="AT21" s="9" t="str">
        <f ca="1">IF(AS21="","",IF(ISNA(MATCH(AS$3&amp;AS21&amp;$AW21,Asta!$I:$I,0)),"",INDIRECT("Asta!B"&amp;MATCH(AS$3&amp;AS21&amp;$AW21,Asta!$I:$I,0))))</f>
        <v/>
      </c>
      <c r="AU21" s="10" t="str">
        <f ca="1">IF(AT21="","",IF(ISNA(MATCH(AS$3&amp;AS21&amp;$AW21,Asta!$I:$I,0)),"",INDIRECT("Asta!H"&amp;MATCH(AS$3&amp;AS21&amp;$AW21,Asta!$I:$I,0))))</f>
        <v/>
      </c>
      <c r="AV21" s="9"/>
      <c r="AW21" s="4">
        <v>2</v>
      </c>
    </row>
    <row r="22" spans="1:49">
      <c r="A22" s="436" t="str">
        <f>IF(Asta!$AD$3&lt;AW22,"","C")</f>
        <v>C</v>
      </c>
      <c r="B22" s="9" t="str">
        <f ca="1">IF(A22="","",IF(ISNA(MATCH(A$3&amp;A22&amp;$AW22,Asta!$I:$I,0)),"",INDIRECT("Asta!B"&amp;MATCH(A$3&amp;A22&amp;$AW22,Asta!$I:$I,0))))</f>
        <v/>
      </c>
      <c r="C22" s="10" t="str">
        <f ca="1">IF(B22="","",IF(ISNA(MATCH(A$3&amp;A22&amp;$AW22,Asta!$I:$I,0)),"",INDIRECT("Asta!H"&amp;MATCH(A$3&amp;A22&amp;$AW22,Asta!$I:$I,0))))</f>
        <v/>
      </c>
      <c r="D22" s="9"/>
      <c r="E22" s="436" t="str">
        <f t="shared" si="11"/>
        <v>C</v>
      </c>
      <c r="F22" s="9" t="str">
        <f ca="1">IF(E22="","",IF(ISNA(MATCH(E$3&amp;E22&amp;$AW22,Asta!$I:$I,0)),"",INDIRECT("Asta!B"&amp;MATCH(E$3&amp;E22&amp;$AW22,Asta!$I:$I,0))))</f>
        <v/>
      </c>
      <c r="G22" s="10" t="str">
        <f ca="1">IF(F22="","",IF(ISNA(MATCH(E$3&amp;E22&amp;$AW22,Asta!$I:$I,0)),"",INDIRECT("Asta!H"&amp;MATCH(E$3&amp;E22&amp;$AW22,Asta!$I:$I,0))))</f>
        <v/>
      </c>
      <c r="H22" s="9"/>
      <c r="I22" s="436" t="str">
        <f t="shared" si="12"/>
        <v>C</v>
      </c>
      <c r="J22" s="9" t="str">
        <f ca="1">IF(I22="","",IF(ISNA(MATCH(I$3&amp;I22&amp;$AW22,Asta!$I:$I,0)),"",INDIRECT("Asta!B"&amp;MATCH(I$3&amp;I22&amp;$AW22,Asta!$I:$I,0))))</f>
        <v/>
      </c>
      <c r="K22" s="10" t="str">
        <f ca="1">IF(J22="","",IF(ISNA(MATCH(I$3&amp;I22&amp;$AW22,Asta!$I:$I,0)),"",INDIRECT("Asta!H"&amp;MATCH(I$3&amp;I22&amp;$AW22,Asta!$I:$I,0))))</f>
        <v/>
      </c>
      <c r="L22" s="9"/>
      <c r="M22" s="436" t="str">
        <f t="shared" si="13"/>
        <v>C</v>
      </c>
      <c r="N22" s="9" t="str">
        <f ca="1">IF(M22="","",IF(ISNA(MATCH(M$3&amp;M22&amp;$AW22,Asta!$I:$I,0)),"",INDIRECT("Asta!B"&amp;MATCH(M$3&amp;M22&amp;$AW22,Asta!$I:$I,0))))</f>
        <v/>
      </c>
      <c r="O22" s="10" t="str">
        <f ca="1">IF(N22="","",IF(ISNA(MATCH(M$3&amp;M22&amp;$AW22,Asta!$I:$I,0)),"",INDIRECT("Asta!H"&amp;MATCH(M$3&amp;M22&amp;$AW22,Asta!$I:$I,0))))</f>
        <v/>
      </c>
      <c r="P22" s="9"/>
      <c r="Q22" s="436" t="str">
        <f t="shared" si="14"/>
        <v>C</v>
      </c>
      <c r="R22" s="9" t="str">
        <f ca="1">IF(Q22="","",IF(ISNA(MATCH(Q$3&amp;Q22&amp;$AW22,Asta!$I:$I,0)),"",INDIRECT("Asta!B"&amp;MATCH(Q$3&amp;Q22&amp;$AW22,Asta!$I:$I,0))))</f>
        <v/>
      </c>
      <c r="S22" s="10" t="str">
        <f ca="1">IF(R22="","",IF(ISNA(MATCH(Q$3&amp;Q22&amp;$AW22,Asta!$I:$I,0)),"",INDIRECT("Asta!H"&amp;MATCH(Q$3&amp;Q22&amp;$AW22,Asta!$I:$I,0))))</f>
        <v/>
      </c>
      <c r="T22" s="9"/>
      <c r="U22" s="436" t="str">
        <f t="shared" si="15"/>
        <v>C</v>
      </c>
      <c r="V22" s="9" t="str">
        <f ca="1">IF(U22="","",IF(ISNA(MATCH(U$3&amp;U22&amp;$AW22,Asta!$I:$I,0)),"",INDIRECT("Asta!B"&amp;MATCH(U$3&amp;U22&amp;$AW22,Asta!$I:$I,0))))</f>
        <v/>
      </c>
      <c r="W22" s="10" t="str">
        <f ca="1">IF(V22="","",IF(ISNA(MATCH(U$3&amp;U22&amp;$AW22,Asta!$I:$I,0)),"",INDIRECT("Asta!H"&amp;MATCH(U$3&amp;U22&amp;$AW22,Asta!$I:$I,0))))</f>
        <v/>
      </c>
      <c r="X22" s="9"/>
      <c r="Y22" s="436" t="str">
        <f t="shared" si="16"/>
        <v>C</v>
      </c>
      <c r="Z22" s="9" t="str">
        <f ca="1">IF(Y22="","",IF(ISNA(MATCH(Y$3&amp;Y22&amp;$AW22,Asta!$I:$I,0)),"",INDIRECT("Asta!B"&amp;MATCH(Y$3&amp;Y22&amp;$AW22,Asta!$I:$I,0))))</f>
        <v/>
      </c>
      <c r="AA22" s="10" t="str">
        <f ca="1">IF(Z22="","",IF(ISNA(MATCH(Y$3&amp;Y22&amp;$AW22,Asta!$I:$I,0)),"",INDIRECT("Asta!H"&amp;MATCH(Y$3&amp;Y22&amp;$AW22,Asta!$I:$I,0))))</f>
        <v/>
      </c>
      <c r="AB22" s="9"/>
      <c r="AC22" s="436" t="str">
        <f t="shared" si="17"/>
        <v>C</v>
      </c>
      <c r="AD22" s="9" t="str">
        <f ca="1">IF(AC22="","",IF(ISNA(MATCH(AC$3&amp;AC22&amp;$AW22,Asta!$I:$I,0)),"",INDIRECT("Asta!B"&amp;MATCH(AC$3&amp;AC22&amp;$AW22,Asta!$I:$I,0))))</f>
        <v/>
      </c>
      <c r="AE22" s="10" t="str">
        <f ca="1">IF(AD22="","",IF(ISNA(MATCH(AC$3&amp;AC22&amp;$AW22,Asta!$I:$I,0)),"",INDIRECT("Asta!H"&amp;MATCH(AC$3&amp;AC22&amp;$AW22,Asta!$I:$I,0))))</f>
        <v/>
      </c>
      <c r="AF22" s="9"/>
      <c r="AG22" s="436" t="str">
        <f t="shared" si="18"/>
        <v>C</v>
      </c>
      <c r="AH22" s="9" t="str">
        <f ca="1">IF(AG22="","",IF(ISNA(MATCH(AG$3&amp;AG22&amp;$AW22,Asta!$I:$I,0)),"",INDIRECT("Asta!B"&amp;MATCH(AG$3&amp;AG22&amp;$AW22,Asta!$I:$I,0))))</f>
        <v/>
      </c>
      <c r="AI22" s="10" t="str">
        <f ca="1">IF(AH22="","",IF(ISNA(MATCH(AG$3&amp;AG22&amp;$AW22,Asta!$I:$I,0)),"",INDIRECT("Asta!H"&amp;MATCH(AG$3&amp;AG22&amp;$AW22,Asta!$I:$I,0))))</f>
        <v/>
      </c>
      <c r="AJ22" s="9"/>
      <c r="AK22" s="436" t="str">
        <f t="shared" si="19"/>
        <v>C</v>
      </c>
      <c r="AL22" s="9" t="str">
        <f ca="1">IF(AK22="","",IF(ISNA(MATCH(AK$3&amp;AK22&amp;$AW22,Asta!$I:$I,0)),"",INDIRECT("Asta!B"&amp;MATCH(AK$3&amp;AK22&amp;$AW22,Asta!$I:$I,0))))</f>
        <v/>
      </c>
      <c r="AM22" s="10" t="str">
        <f ca="1">IF(AL22="","",IF(ISNA(MATCH(AK$3&amp;AK22&amp;$AW22,Asta!$I:$I,0)),"",INDIRECT("Asta!H"&amp;MATCH(AK$3&amp;AK22&amp;$AW22,Asta!$I:$I,0))))</f>
        <v/>
      </c>
      <c r="AN22" s="9"/>
      <c r="AO22" s="436" t="str">
        <f t="shared" si="20"/>
        <v>C</v>
      </c>
      <c r="AP22" s="9" t="str">
        <f ca="1">IF(AO22="","",IF(ISNA(MATCH(AO$3&amp;AO22&amp;$AW22,Asta!$I:$I,0)),"",INDIRECT("Asta!B"&amp;MATCH(AO$3&amp;AO22&amp;$AW22,Asta!$I:$I,0))))</f>
        <v/>
      </c>
      <c r="AQ22" s="10" t="str">
        <f ca="1">IF(AP22="","",IF(ISNA(MATCH(AO$3&amp;AO22&amp;$AW22,Asta!$I:$I,0)),"",INDIRECT("Asta!H"&amp;MATCH(AO$3&amp;AO22&amp;$AW22,Asta!$I:$I,0))))</f>
        <v/>
      </c>
      <c r="AR22" s="9"/>
      <c r="AS22" s="436" t="str">
        <f t="shared" si="21"/>
        <v>C</v>
      </c>
      <c r="AT22" s="9" t="str">
        <f ca="1">IF(AS22="","",IF(ISNA(MATCH(AS$3&amp;AS22&amp;$AW22,Asta!$I:$I,0)),"",INDIRECT("Asta!B"&amp;MATCH(AS$3&amp;AS22&amp;$AW22,Asta!$I:$I,0))))</f>
        <v/>
      </c>
      <c r="AU22" s="10" t="str">
        <f ca="1">IF(AT22="","",IF(ISNA(MATCH(AS$3&amp;AS22&amp;$AW22,Asta!$I:$I,0)),"",INDIRECT("Asta!H"&amp;MATCH(AS$3&amp;AS22&amp;$AW22,Asta!$I:$I,0))))</f>
        <v/>
      </c>
      <c r="AV22" s="9"/>
      <c r="AW22" s="4">
        <v>3</v>
      </c>
    </row>
    <row r="23" spans="1:49">
      <c r="A23" s="436" t="str">
        <f>IF(Asta!$AD$3&lt;AW23,"","C")</f>
        <v>C</v>
      </c>
      <c r="B23" s="9" t="str">
        <f ca="1">IF(A23="","",IF(ISNA(MATCH(A$3&amp;A23&amp;$AW23,Asta!$I:$I,0)),"",INDIRECT("Asta!B"&amp;MATCH(A$3&amp;A23&amp;$AW23,Asta!$I:$I,0))))</f>
        <v/>
      </c>
      <c r="C23" s="10" t="str">
        <f ca="1">IF(B23="","",IF(ISNA(MATCH(A$3&amp;A23&amp;$AW23,Asta!$I:$I,0)),"",INDIRECT("Asta!H"&amp;MATCH(A$3&amp;A23&amp;$AW23,Asta!$I:$I,0))))</f>
        <v/>
      </c>
      <c r="D23" s="9"/>
      <c r="E23" s="436" t="str">
        <f t="shared" si="11"/>
        <v>C</v>
      </c>
      <c r="F23" s="9" t="str">
        <f ca="1">IF(E23="","",IF(ISNA(MATCH(E$3&amp;E23&amp;$AW23,Asta!$I:$I,0)),"",INDIRECT("Asta!B"&amp;MATCH(E$3&amp;E23&amp;$AW23,Asta!$I:$I,0))))</f>
        <v/>
      </c>
      <c r="G23" s="10" t="str">
        <f ca="1">IF(F23="","",IF(ISNA(MATCH(E$3&amp;E23&amp;$AW23,Asta!$I:$I,0)),"",INDIRECT("Asta!H"&amp;MATCH(E$3&amp;E23&amp;$AW23,Asta!$I:$I,0))))</f>
        <v/>
      </c>
      <c r="H23" s="9"/>
      <c r="I23" s="436" t="str">
        <f t="shared" si="12"/>
        <v>C</v>
      </c>
      <c r="J23" s="9" t="str">
        <f ca="1">IF(I23="","",IF(ISNA(MATCH(I$3&amp;I23&amp;$AW23,Asta!$I:$I,0)),"",INDIRECT("Asta!B"&amp;MATCH(I$3&amp;I23&amp;$AW23,Asta!$I:$I,0))))</f>
        <v/>
      </c>
      <c r="K23" s="10" t="str">
        <f ca="1">IF(J23="","",IF(ISNA(MATCH(I$3&amp;I23&amp;$AW23,Asta!$I:$I,0)),"",INDIRECT("Asta!H"&amp;MATCH(I$3&amp;I23&amp;$AW23,Asta!$I:$I,0))))</f>
        <v/>
      </c>
      <c r="L23" s="9"/>
      <c r="M23" s="436" t="str">
        <f t="shared" si="13"/>
        <v>C</v>
      </c>
      <c r="N23" s="9" t="str">
        <f ca="1">IF(M23="","",IF(ISNA(MATCH(M$3&amp;M23&amp;$AW23,Asta!$I:$I,0)),"",INDIRECT("Asta!B"&amp;MATCH(M$3&amp;M23&amp;$AW23,Asta!$I:$I,0))))</f>
        <v/>
      </c>
      <c r="O23" s="10" t="str">
        <f ca="1">IF(N23="","",IF(ISNA(MATCH(M$3&amp;M23&amp;$AW23,Asta!$I:$I,0)),"",INDIRECT("Asta!H"&amp;MATCH(M$3&amp;M23&amp;$AW23,Asta!$I:$I,0))))</f>
        <v/>
      </c>
      <c r="P23" s="9"/>
      <c r="Q23" s="436" t="str">
        <f t="shared" si="14"/>
        <v>C</v>
      </c>
      <c r="R23" s="9" t="str">
        <f ca="1">IF(Q23="","",IF(ISNA(MATCH(Q$3&amp;Q23&amp;$AW23,Asta!$I:$I,0)),"",INDIRECT("Asta!B"&amp;MATCH(Q$3&amp;Q23&amp;$AW23,Asta!$I:$I,0))))</f>
        <v/>
      </c>
      <c r="S23" s="10" t="str">
        <f ca="1">IF(R23="","",IF(ISNA(MATCH(Q$3&amp;Q23&amp;$AW23,Asta!$I:$I,0)),"",INDIRECT("Asta!H"&amp;MATCH(Q$3&amp;Q23&amp;$AW23,Asta!$I:$I,0))))</f>
        <v/>
      </c>
      <c r="T23" s="9"/>
      <c r="U23" s="436" t="str">
        <f t="shared" si="15"/>
        <v>C</v>
      </c>
      <c r="V23" s="9" t="str">
        <f ca="1">IF(U23="","",IF(ISNA(MATCH(U$3&amp;U23&amp;$AW23,Asta!$I:$I,0)),"",INDIRECT("Asta!B"&amp;MATCH(U$3&amp;U23&amp;$AW23,Asta!$I:$I,0))))</f>
        <v/>
      </c>
      <c r="W23" s="10" t="str">
        <f ca="1">IF(V23="","",IF(ISNA(MATCH(U$3&amp;U23&amp;$AW23,Asta!$I:$I,0)),"",INDIRECT("Asta!H"&amp;MATCH(U$3&amp;U23&amp;$AW23,Asta!$I:$I,0))))</f>
        <v/>
      </c>
      <c r="X23" s="9"/>
      <c r="Y23" s="436" t="str">
        <f t="shared" si="16"/>
        <v>C</v>
      </c>
      <c r="Z23" s="9" t="str">
        <f ca="1">IF(Y23="","",IF(ISNA(MATCH(Y$3&amp;Y23&amp;$AW23,Asta!$I:$I,0)),"",INDIRECT("Asta!B"&amp;MATCH(Y$3&amp;Y23&amp;$AW23,Asta!$I:$I,0))))</f>
        <v/>
      </c>
      <c r="AA23" s="10" t="str">
        <f ca="1">IF(Z23="","",IF(ISNA(MATCH(Y$3&amp;Y23&amp;$AW23,Asta!$I:$I,0)),"",INDIRECT("Asta!H"&amp;MATCH(Y$3&amp;Y23&amp;$AW23,Asta!$I:$I,0))))</f>
        <v/>
      </c>
      <c r="AB23" s="9"/>
      <c r="AC23" s="436" t="str">
        <f t="shared" si="17"/>
        <v>C</v>
      </c>
      <c r="AD23" s="9" t="str">
        <f ca="1">IF(AC23="","",IF(ISNA(MATCH(AC$3&amp;AC23&amp;$AW23,Asta!$I:$I,0)),"",INDIRECT("Asta!B"&amp;MATCH(AC$3&amp;AC23&amp;$AW23,Asta!$I:$I,0))))</f>
        <v/>
      </c>
      <c r="AE23" s="10" t="str">
        <f ca="1">IF(AD23="","",IF(ISNA(MATCH(AC$3&amp;AC23&amp;$AW23,Asta!$I:$I,0)),"",INDIRECT("Asta!H"&amp;MATCH(AC$3&amp;AC23&amp;$AW23,Asta!$I:$I,0))))</f>
        <v/>
      </c>
      <c r="AF23" s="9"/>
      <c r="AG23" s="436" t="str">
        <f t="shared" si="18"/>
        <v>C</v>
      </c>
      <c r="AH23" s="9" t="str">
        <f ca="1">IF(AG23="","",IF(ISNA(MATCH(AG$3&amp;AG23&amp;$AW23,Asta!$I:$I,0)),"",INDIRECT("Asta!B"&amp;MATCH(AG$3&amp;AG23&amp;$AW23,Asta!$I:$I,0))))</f>
        <v/>
      </c>
      <c r="AI23" s="10" t="str">
        <f ca="1">IF(AH23="","",IF(ISNA(MATCH(AG$3&amp;AG23&amp;$AW23,Asta!$I:$I,0)),"",INDIRECT("Asta!H"&amp;MATCH(AG$3&amp;AG23&amp;$AW23,Asta!$I:$I,0))))</f>
        <v/>
      </c>
      <c r="AJ23" s="9"/>
      <c r="AK23" s="436" t="str">
        <f t="shared" si="19"/>
        <v>C</v>
      </c>
      <c r="AL23" s="9" t="str">
        <f ca="1">IF(AK23="","",IF(ISNA(MATCH(AK$3&amp;AK23&amp;$AW23,Asta!$I:$I,0)),"",INDIRECT("Asta!B"&amp;MATCH(AK$3&amp;AK23&amp;$AW23,Asta!$I:$I,0))))</f>
        <v/>
      </c>
      <c r="AM23" s="10" t="str">
        <f ca="1">IF(AL23="","",IF(ISNA(MATCH(AK$3&amp;AK23&amp;$AW23,Asta!$I:$I,0)),"",INDIRECT("Asta!H"&amp;MATCH(AK$3&amp;AK23&amp;$AW23,Asta!$I:$I,0))))</f>
        <v/>
      </c>
      <c r="AN23" s="9"/>
      <c r="AO23" s="436" t="str">
        <f t="shared" si="20"/>
        <v>C</v>
      </c>
      <c r="AP23" s="9" t="str">
        <f ca="1">IF(AO23="","",IF(ISNA(MATCH(AO$3&amp;AO23&amp;$AW23,Asta!$I:$I,0)),"",INDIRECT("Asta!B"&amp;MATCH(AO$3&amp;AO23&amp;$AW23,Asta!$I:$I,0))))</f>
        <v/>
      </c>
      <c r="AQ23" s="10" t="str">
        <f ca="1">IF(AP23="","",IF(ISNA(MATCH(AO$3&amp;AO23&amp;$AW23,Asta!$I:$I,0)),"",INDIRECT("Asta!H"&amp;MATCH(AO$3&amp;AO23&amp;$AW23,Asta!$I:$I,0))))</f>
        <v/>
      </c>
      <c r="AR23" s="9"/>
      <c r="AS23" s="436" t="str">
        <f t="shared" si="21"/>
        <v>C</v>
      </c>
      <c r="AT23" s="9" t="str">
        <f ca="1">IF(AS23="","",IF(ISNA(MATCH(AS$3&amp;AS23&amp;$AW23,Asta!$I:$I,0)),"",INDIRECT("Asta!B"&amp;MATCH(AS$3&amp;AS23&amp;$AW23,Asta!$I:$I,0))))</f>
        <v/>
      </c>
      <c r="AU23" s="10" t="str">
        <f ca="1">IF(AT23="","",IF(ISNA(MATCH(AS$3&amp;AS23&amp;$AW23,Asta!$I:$I,0)),"",INDIRECT("Asta!H"&amp;MATCH(AS$3&amp;AS23&amp;$AW23,Asta!$I:$I,0))))</f>
        <v/>
      </c>
      <c r="AV23" s="9"/>
      <c r="AW23" s="4">
        <v>4</v>
      </c>
    </row>
    <row r="24" spans="1:49">
      <c r="A24" s="436" t="str">
        <f>IF(Asta!$AD$3&lt;AW24,"","C")</f>
        <v>C</v>
      </c>
      <c r="B24" s="9" t="str">
        <f ca="1">IF(A24="","",IF(ISNA(MATCH(A$3&amp;A24&amp;$AW24,Asta!$I:$I,0)),"",INDIRECT("Asta!B"&amp;MATCH(A$3&amp;A24&amp;$AW24,Asta!$I:$I,0))))</f>
        <v/>
      </c>
      <c r="C24" s="10" t="str">
        <f ca="1">IF(B24="","",IF(ISNA(MATCH(A$3&amp;A24&amp;$AW24,Asta!$I:$I,0)),"",INDIRECT("Asta!H"&amp;MATCH(A$3&amp;A24&amp;$AW24,Asta!$I:$I,0))))</f>
        <v/>
      </c>
      <c r="D24" s="9"/>
      <c r="E24" s="436" t="str">
        <f t="shared" si="11"/>
        <v>C</v>
      </c>
      <c r="F24" s="9" t="str">
        <f ca="1">IF(E24="","",IF(ISNA(MATCH(E$3&amp;E24&amp;$AW24,Asta!$I:$I,0)),"",INDIRECT("Asta!B"&amp;MATCH(E$3&amp;E24&amp;$AW24,Asta!$I:$I,0))))</f>
        <v/>
      </c>
      <c r="G24" s="10" t="str">
        <f ca="1">IF(F24="","",IF(ISNA(MATCH(E$3&amp;E24&amp;$AW24,Asta!$I:$I,0)),"",INDIRECT("Asta!H"&amp;MATCH(E$3&amp;E24&amp;$AW24,Asta!$I:$I,0))))</f>
        <v/>
      </c>
      <c r="H24" s="9"/>
      <c r="I24" s="436" t="str">
        <f t="shared" si="12"/>
        <v>C</v>
      </c>
      <c r="J24" s="9" t="str">
        <f ca="1">IF(I24="","",IF(ISNA(MATCH(I$3&amp;I24&amp;$AW24,Asta!$I:$I,0)),"",INDIRECT("Asta!B"&amp;MATCH(I$3&amp;I24&amp;$AW24,Asta!$I:$I,0))))</f>
        <v/>
      </c>
      <c r="K24" s="10" t="str">
        <f ca="1">IF(J24="","",IF(ISNA(MATCH(I$3&amp;I24&amp;$AW24,Asta!$I:$I,0)),"",INDIRECT("Asta!H"&amp;MATCH(I$3&amp;I24&amp;$AW24,Asta!$I:$I,0))))</f>
        <v/>
      </c>
      <c r="L24" s="9"/>
      <c r="M24" s="436" t="str">
        <f t="shared" si="13"/>
        <v>C</v>
      </c>
      <c r="N24" s="9" t="str">
        <f ca="1">IF(M24="","",IF(ISNA(MATCH(M$3&amp;M24&amp;$AW24,Asta!$I:$I,0)),"",INDIRECT("Asta!B"&amp;MATCH(M$3&amp;M24&amp;$AW24,Asta!$I:$I,0))))</f>
        <v/>
      </c>
      <c r="O24" s="10" t="str">
        <f ca="1">IF(N24="","",IF(ISNA(MATCH(M$3&amp;M24&amp;$AW24,Asta!$I:$I,0)),"",INDIRECT("Asta!H"&amp;MATCH(M$3&amp;M24&amp;$AW24,Asta!$I:$I,0))))</f>
        <v/>
      </c>
      <c r="P24" s="9"/>
      <c r="Q24" s="436" t="str">
        <f t="shared" si="14"/>
        <v>C</v>
      </c>
      <c r="R24" s="9" t="str">
        <f ca="1">IF(Q24="","",IF(ISNA(MATCH(Q$3&amp;Q24&amp;$AW24,Asta!$I:$I,0)),"",INDIRECT("Asta!B"&amp;MATCH(Q$3&amp;Q24&amp;$AW24,Asta!$I:$I,0))))</f>
        <v/>
      </c>
      <c r="S24" s="10" t="str">
        <f ca="1">IF(R24="","",IF(ISNA(MATCH(Q$3&amp;Q24&amp;$AW24,Asta!$I:$I,0)),"",INDIRECT("Asta!H"&amp;MATCH(Q$3&amp;Q24&amp;$AW24,Asta!$I:$I,0))))</f>
        <v/>
      </c>
      <c r="T24" s="9"/>
      <c r="U24" s="436" t="str">
        <f t="shared" si="15"/>
        <v>C</v>
      </c>
      <c r="V24" s="9" t="str">
        <f ca="1">IF(U24="","",IF(ISNA(MATCH(U$3&amp;U24&amp;$AW24,Asta!$I:$I,0)),"",INDIRECT("Asta!B"&amp;MATCH(U$3&amp;U24&amp;$AW24,Asta!$I:$I,0))))</f>
        <v/>
      </c>
      <c r="W24" s="10" t="str">
        <f ca="1">IF(V24="","",IF(ISNA(MATCH(U$3&amp;U24&amp;$AW24,Asta!$I:$I,0)),"",INDIRECT("Asta!H"&amp;MATCH(U$3&amp;U24&amp;$AW24,Asta!$I:$I,0))))</f>
        <v/>
      </c>
      <c r="X24" s="9"/>
      <c r="Y24" s="436" t="str">
        <f t="shared" si="16"/>
        <v>C</v>
      </c>
      <c r="Z24" s="9" t="str">
        <f ca="1">IF(Y24="","",IF(ISNA(MATCH(Y$3&amp;Y24&amp;$AW24,Asta!$I:$I,0)),"",INDIRECT("Asta!B"&amp;MATCH(Y$3&amp;Y24&amp;$AW24,Asta!$I:$I,0))))</f>
        <v/>
      </c>
      <c r="AA24" s="10" t="str">
        <f ca="1">IF(Z24="","",IF(ISNA(MATCH(Y$3&amp;Y24&amp;$AW24,Asta!$I:$I,0)),"",INDIRECT("Asta!H"&amp;MATCH(Y$3&amp;Y24&amp;$AW24,Asta!$I:$I,0))))</f>
        <v/>
      </c>
      <c r="AB24" s="9"/>
      <c r="AC24" s="436" t="str">
        <f t="shared" si="17"/>
        <v>C</v>
      </c>
      <c r="AD24" s="9" t="str">
        <f ca="1">IF(AC24="","",IF(ISNA(MATCH(AC$3&amp;AC24&amp;$AW24,Asta!$I:$I,0)),"",INDIRECT("Asta!B"&amp;MATCH(AC$3&amp;AC24&amp;$AW24,Asta!$I:$I,0))))</f>
        <v/>
      </c>
      <c r="AE24" s="10" t="str">
        <f ca="1">IF(AD24="","",IF(ISNA(MATCH(AC$3&amp;AC24&amp;$AW24,Asta!$I:$I,0)),"",INDIRECT("Asta!H"&amp;MATCH(AC$3&amp;AC24&amp;$AW24,Asta!$I:$I,0))))</f>
        <v/>
      </c>
      <c r="AF24" s="9"/>
      <c r="AG24" s="436" t="str">
        <f t="shared" si="18"/>
        <v>C</v>
      </c>
      <c r="AH24" s="9" t="str">
        <f ca="1">IF(AG24="","",IF(ISNA(MATCH(AG$3&amp;AG24&amp;$AW24,Asta!$I:$I,0)),"",INDIRECT("Asta!B"&amp;MATCH(AG$3&amp;AG24&amp;$AW24,Asta!$I:$I,0))))</f>
        <v/>
      </c>
      <c r="AI24" s="10" t="str">
        <f ca="1">IF(AH24="","",IF(ISNA(MATCH(AG$3&amp;AG24&amp;$AW24,Asta!$I:$I,0)),"",INDIRECT("Asta!H"&amp;MATCH(AG$3&amp;AG24&amp;$AW24,Asta!$I:$I,0))))</f>
        <v/>
      </c>
      <c r="AJ24" s="9"/>
      <c r="AK24" s="436" t="str">
        <f t="shared" si="19"/>
        <v>C</v>
      </c>
      <c r="AL24" s="9" t="str">
        <f ca="1">IF(AK24="","",IF(ISNA(MATCH(AK$3&amp;AK24&amp;$AW24,Asta!$I:$I,0)),"",INDIRECT("Asta!B"&amp;MATCH(AK$3&amp;AK24&amp;$AW24,Asta!$I:$I,0))))</f>
        <v/>
      </c>
      <c r="AM24" s="10" t="str">
        <f ca="1">IF(AL24="","",IF(ISNA(MATCH(AK$3&amp;AK24&amp;$AW24,Asta!$I:$I,0)),"",INDIRECT("Asta!H"&amp;MATCH(AK$3&amp;AK24&amp;$AW24,Asta!$I:$I,0))))</f>
        <v/>
      </c>
      <c r="AN24" s="9"/>
      <c r="AO24" s="436" t="str">
        <f t="shared" si="20"/>
        <v>C</v>
      </c>
      <c r="AP24" s="9" t="str">
        <f ca="1">IF(AO24="","",IF(ISNA(MATCH(AO$3&amp;AO24&amp;$AW24,Asta!$I:$I,0)),"",INDIRECT("Asta!B"&amp;MATCH(AO$3&amp;AO24&amp;$AW24,Asta!$I:$I,0))))</f>
        <v/>
      </c>
      <c r="AQ24" s="10" t="str">
        <f ca="1">IF(AP24="","",IF(ISNA(MATCH(AO$3&amp;AO24&amp;$AW24,Asta!$I:$I,0)),"",INDIRECT("Asta!H"&amp;MATCH(AO$3&amp;AO24&amp;$AW24,Asta!$I:$I,0))))</f>
        <v/>
      </c>
      <c r="AR24" s="9"/>
      <c r="AS24" s="436" t="str">
        <f t="shared" si="21"/>
        <v>C</v>
      </c>
      <c r="AT24" s="9" t="str">
        <f ca="1">IF(AS24="","",IF(ISNA(MATCH(AS$3&amp;AS24&amp;$AW24,Asta!$I:$I,0)),"",INDIRECT("Asta!B"&amp;MATCH(AS$3&amp;AS24&amp;$AW24,Asta!$I:$I,0))))</f>
        <v/>
      </c>
      <c r="AU24" s="10" t="str">
        <f ca="1">IF(AT24="","",IF(ISNA(MATCH(AS$3&amp;AS24&amp;$AW24,Asta!$I:$I,0)),"",INDIRECT("Asta!H"&amp;MATCH(AS$3&amp;AS24&amp;$AW24,Asta!$I:$I,0))))</f>
        <v/>
      </c>
      <c r="AV24" s="9"/>
      <c r="AW24" s="4">
        <v>5</v>
      </c>
    </row>
    <row r="25" spans="1:49">
      <c r="A25" s="436" t="str">
        <f>IF(Asta!$AD$3&lt;AW25,"","C")</f>
        <v>C</v>
      </c>
      <c r="B25" s="9" t="str">
        <f ca="1">IF(A25="","",IF(ISNA(MATCH(A$3&amp;A25&amp;$AW25,Asta!$I:$I,0)),"",INDIRECT("Asta!B"&amp;MATCH(A$3&amp;A25&amp;$AW25,Asta!$I:$I,0))))</f>
        <v/>
      </c>
      <c r="C25" s="10" t="str">
        <f ca="1">IF(B25="","",IF(ISNA(MATCH(A$3&amp;A25&amp;$AW25,Asta!$I:$I,0)),"",INDIRECT("Asta!H"&amp;MATCH(A$3&amp;A25&amp;$AW25,Asta!$I:$I,0))))</f>
        <v/>
      </c>
      <c r="D25" s="9"/>
      <c r="E25" s="436" t="str">
        <f t="shared" si="11"/>
        <v>C</v>
      </c>
      <c r="F25" s="9" t="str">
        <f ca="1">IF(E25="","",IF(ISNA(MATCH(E$3&amp;E25&amp;$AW25,Asta!$I:$I,0)),"",INDIRECT("Asta!B"&amp;MATCH(E$3&amp;E25&amp;$AW25,Asta!$I:$I,0))))</f>
        <v/>
      </c>
      <c r="G25" s="10" t="str">
        <f ca="1">IF(F25="","",IF(ISNA(MATCH(E$3&amp;E25&amp;$AW25,Asta!$I:$I,0)),"",INDIRECT("Asta!H"&amp;MATCH(E$3&amp;E25&amp;$AW25,Asta!$I:$I,0))))</f>
        <v/>
      </c>
      <c r="H25" s="9"/>
      <c r="I25" s="436" t="str">
        <f t="shared" si="12"/>
        <v>C</v>
      </c>
      <c r="J25" s="9" t="str">
        <f ca="1">IF(I25="","",IF(ISNA(MATCH(I$3&amp;I25&amp;$AW25,Asta!$I:$I,0)),"",INDIRECT("Asta!B"&amp;MATCH(I$3&amp;I25&amp;$AW25,Asta!$I:$I,0))))</f>
        <v/>
      </c>
      <c r="K25" s="10" t="str">
        <f ca="1">IF(J25="","",IF(ISNA(MATCH(I$3&amp;I25&amp;$AW25,Asta!$I:$I,0)),"",INDIRECT("Asta!H"&amp;MATCH(I$3&amp;I25&amp;$AW25,Asta!$I:$I,0))))</f>
        <v/>
      </c>
      <c r="L25" s="9"/>
      <c r="M25" s="436" t="str">
        <f t="shared" si="13"/>
        <v>C</v>
      </c>
      <c r="N25" s="9" t="str">
        <f ca="1">IF(M25="","",IF(ISNA(MATCH(M$3&amp;M25&amp;$AW25,Asta!$I:$I,0)),"",INDIRECT("Asta!B"&amp;MATCH(M$3&amp;M25&amp;$AW25,Asta!$I:$I,0))))</f>
        <v/>
      </c>
      <c r="O25" s="10" t="str">
        <f ca="1">IF(N25="","",IF(ISNA(MATCH(M$3&amp;M25&amp;$AW25,Asta!$I:$I,0)),"",INDIRECT("Asta!H"&amp;MATCH(M$3&amp;M25&amp;$AW25,Asta!$I:$I,0))))</f>
        <v/>
      </c>
      <c r="P25" s="9"/>
      <c r="Q25" s="436" t="str">
        <f t="shared" si="14"/>
        <v>C</v>
      </c>
      <c r="R25" s="9" t="str">
        <f ca="1">IF(Q25="","",IF(ISNA(MATCH(Q$3&amp;Q25&amp;$AW25,Asta!$I:$I,0)),"",INDIRECT("Asta!B"&amp;MATCH(Q$3&amp;Q25&amp;$AW25,Asta!$I:$I,0))))</f>
        <v/>
      </c>
      <c r="S25" s="10" t="str">
        <f ca="1">IF(R25="","",IF(ISNA(MATCH(Q$3&amp;Q25&amp;$AW25,Asta!$I:$I,0)),"",INDIRECT("Asta!H"&amp;MATCH(Q$3&amp;Q25&amp;$AW25,Asta!$I:$I,0))))</f>
        <v/>
      </c>
      <c r="T25" s="9"/>
      <c r="U25" s="436" t="str">
        <f t="shared" si="15"/>
        <v>C</v>
      </c>
      <c r="V25" s="9" t="str">
        <f ca="1">IF(U25="","",IF(ISNA(MATCH(U$3&amp;U25&amp;$AW25,Asta!$I:$I,0)),"",INDIRECT("Asta!B"&amp;MATCH(U$3&amp;U25&amp;$AW25,Asta!$I:$I,0))))</f>
        <v/>
      </c>
      <c r="W25" s="10" t="str">
        <f ca="1">IF(V25="","",IF(ISNA(MATCH(U$3&amp;U25&amp;$AW25,Asta!$I:$I,0)),"",INDIRECT("Asta!H"&amp;MATCH(U$3&amp;U25&amp;$AW25,Asta!$I:$I,0))))</f>
        <v/>
      </c>
      <c r="X25" s="9"/>
      <c r="Y25" s="436" t="str">
        <f t="shared" si="16"/>
        <v>C</v>
      </c>
      <c r="Z25" s="9" t="str">
        <f ca="1">IF(Y25="","",IF(ISNA(MATCH(Y$3&amp;Y25&amp;$AW25,Asta!$I:$I,0)),"",INDIRECT("Asta!B"&amp;MATCH(Y$3&amp;Y25&amp;$AW25,Asta!$I:$I,0))))</f>
        <v/>
      </c>
      <c r="AA25" s="10" t="str">
        <f ca="1">IF(Z25="","",IF(ISNA(MATCH(Y$3&amp;Y25&amp;$AW25,Asta!$I:$I,0)),"",INDIRECT("Asta!H"&amp;MATCH(Y$3&amp;Y25&amp;$AW25,Asta!$I:$I,0))))</f>
        <v/>
      </c>
      <c r="AB25" s="9"/>
      <c r="AC25" s="436" t="str">
        <f t="shared" si="17"/>
        <v>C</v>
      </c>
      <c r="AD25" s="9" t="str">
        <f ca="1">IF(AC25="","",IF(ISNA(MATCH(AC$3&amp;AC25&amp;$AW25,Asta!$I:$I,0)),"",INDIRECT("Asta!B"&amp;MATCH(AC$3&amp;AC25&amp;$AW25,Asta!$I:$I,0))))</f>
        <v/>
      </c>
      <c r="AE25" s="10" t="str">
        <f ca="1">IF(AD25="","",IF(ISNA(MATCH(AC$3&amp;AC25&amp;$AW25,Asta!$I:$I,0)),"",INDIRECT("Asta!H"&amp;MATCH(AC$3&amp;AC25&amp;$AW25,Asta!$I:$I,0))))</f>
        <v/>
      </c>
      <c r="AF25" s="9"/>
      <c r="AG25" s="436" t="str">
        <f t="shared" si="18"/>
        <v>C</v>
      </c>
      <c r="AH25" s="9" t="str">
        <f ca="1">IF(AG25="","",IF(ISNA(MATCH(AG$3&amp;AG25&amp;$AW25,Asta!$I:$I,0)),"",INDIRECT("Asta!B"&amp;MATCH(AG$3&amp;AG25&amp;$AW25,Asta!$I:$I,0))))</f>
        <v/>
      </c>
      <c r="AI25" s="10" t="str">
        <f ca="1">IF(AH25="","",IF(ISNA(MATCH(AG$3&amp;AG25&amp;$AW25,Asta!$I:$I,0)),"",INDIRECT("Asta!H"&amp;MATCH(AG$3&amp;AG25&amp;$AW25,Asta!$I:$I,0))))</f>
        <v/>
      </c>
      <c r="AJ25" s="9"/>
      <c r="AK25" s="436" t="str">
        <f t="shared" si="19"/>
        <v>C</v>
      </c>
      <c r="AL25" s="9" t="str">
        <f ca="1">IF(AK25="","",IF(ISNA(MATCH(AK$3&amp;AK25&amp;$AW25,Asta!$I:$I,0)),"",INDIRECT("Asta!B"&amp;MATCH(AK$3&amp;AK25&amp;$AW25,Asta!$I:$I,0))))</f>
        <v/>
      </c>
      <c r="AM25" s="10" t="str">
        <f ca="1">IF(AL25="","",IF(ISNA(MATCH(AK$3&amp;AK25&amp;$AW25,Asta!$I:$I,0)),"",INDIRECT("Asta!H"&amp;MATCH(AK$3&amp;AK25&amp;$AW25,Asta!$I:$I,0))))</f>
        <v/>
      </c>
      <c r="AN25" s="9"/>
      <c r="AO25" s="436" t="str">
        <f t="shared" si="20"/>
        <v>C</v>
      </c>
      <c r="AP25" s="9" t="str">
        <f ca="1">IF(AO25="","",IF(ISNA(MATCH(AO$3&amp;AO25&amp;$AW25,Asta!$I:$I,0)),"",INDIRECT("Asta!B"&amp;MATCH(AO$3&amp;AO25&amp;$AW25,Asta!$I:$I,0))))</f>
        <v/>
      </c>
      <c r="AQ25" s="10" t="str">
        <f ca="1">IF(AP25="","",IF(ISNA(MATCH(AO$3&amp;AO25&amp;$AW25,Asta!$I:$I,0)),"",INDIRECT("Asta!H"&amp;MATCH(AO$3&amp;AO25&amp;$AW25,Asta!$I:$I,0))))</f>
        <v/>
      </c>
      <c r="AR25" s="9"/>
      <c r="AS25" s="436" t="str">
        <f t="shared" si="21"/>
        <v>C</v>
      </c>
      <c r="AT25" s="9" t="str">
        <f ca="1">IF(AS25="","",IF(ISNA(MATCH(AS$3&amp;AS25&amp;$AW25,Asta!$I:$I,0)),"",INDIRECT("Asta!B"&amp;MATCH(AS$3&amp;AS25&amp;$AW25,Asta!$I:$I,0))))</f>
        <v/>
      </c>
      <c r="AU25" s="10" t="str">
        <f ca="1">IF(AT25="","",IF(ISNA(MATCH(AS$3&amp;AS25&amp;$AW25,Asta!$I:$I,0)),"",INDIRECT("Asta!H"&amp;MATCH(AS$3&amp;AS25&amp;$AW25,Asta!$I:$I,0))))</f>
        <v/>
      </c>
      <c r="AV25" s="9"/>
      <c r="AW25" s="4">
        <v>6</v>
      </c>
    </row>
    <row r="26" spans="1:49" ht="12.75" customHeight="1">
      <c r="A26" s="436" t="str">
        <f>IF(Asta!$AD$3&lt;AW26,"","C")</f>
        <v>C</v>
      </c>
      <c r="B26" s="9" t="str">
        <f ca="1">IF(A26="","",IF(ISNA(MATCH(A$3&amp;A26&amp;$AW26,Asta!$I:$I,0)),"",INDIRECT("Asta!B"&amp;MATCH(A$3&amp;A26&amp;$AW26,Asta!$I:$I,0))))</f>
        <v/>
      </c>
      <c r="C26" s="10" t="str">
        <f ca="1">IF(B26="","",IF(ISNA(MATCH(A$3&amp;A26&amp;$AW26,Asta!$I:$I,0)),"",INDIRECT("Asta!H"&amp;MATCH(A$3&amp;A26&amp;$AW26,Asta!$I:$I,0))))</f>
        <v/>
      </c>
      <c r="D26" s="9"/>
      <c r="E26" s="436" t="str">
        <f t="shared" si="11"/>
        <v>C</v>
      </c>
      <c r="F26" s="9" t="str">
        <f ca="1">IF(E26="","",IF(ISNA(MATCH(E$3&amp;E26&amp;$AW26,Asta!$I:$I,0)),"",INDIRECT("Asta!B"&amp;MATCH(E$3&amp;E26&amp;$AW26,Asta!$I:$I,0))))</f>
        <v/>
      </c>
      <c r="G26" s="10" t="str">
        <f ca="1">IF(F26="","",IF(ISNA(MATCH(E$3&amp;E26&amp;$AW26,Asta!$I:$I,0)),"",INDIRECT("Asta!H"&amp;MATCH(E$3&amp;E26&amp;$AW26,Asta!$I:$I,0))))</f>
        <v/>
      </c>
      <c r="H26" s="9"/>
      <c r="I26" s="436" t="str">
        <f t="shared" si="12"/>
        <v>C</v>
      </c>
      <c r="J26" s="9" t="str">
        <f ca="1">IF(I26="","",IF(ISNA(MATCH(I$3&amp;I26&amp;$AW26,Asta!$I:$I,0)),"",INDIRECT("Asta!B"&amp;MATCH(I$3&amp;I26&amp;$AW26,Asta!$I:$I,0))))</f>
        <v/>
      </c>
      <c r="K26" s="10" t="str">
        <f ca="1">IF(J26="","",IF(ISNA(MATCH(I$3&amp;I26&amp;$AW26,Asta!$I:$I,0)),"",INDIRECT("Asta!H"&amp;MATCH(I$3&amp;I26&amp;$AW26,Asta!$I:$I,0))))</f>
        <v/>
      </c>
      <c r="L26" s="9"/>
      <c r="M26" s="436" t="str">
        <f t="shared" si="13"/>
        <v>C</v>
      </c>
      <c r="N26" s="9" t="str">
        <f ca="1">IF(M26="","",IF(ISNA(MATCH(M$3&amp;M26&amp;$AW26,Asta!$I:$I,0)),"",INDIRECT("Asta!B"&amp;MATCH(M$3&amp;M26&amp;$AW26,Asta!$I:$I,0))))</f>
        <v/>
      </c>
      <c r="O26" s="10" t="str">
        <f ca="1">IF(N26="","",IF(ISNA(MATCH(M$3&amp;M26&amp;$AW26,Asta!$I:$I,0)),"",INDIRECT("Asta!H"&amp;MATCH(M$3&amp;M26&amp;$AW26,Asta!$I:$I,0))))</f>
        <v/>
      </c>
      <c r="P26" s="9"/>
      <c r="Q26" s="436" t="str">
        <f t="shared" si="14"/>
        <v>C</v>
      </c>
      <c r="R26" s="9" t="str">
        <f ca="1">IF(Q26="","",IF(ISNA(MATCH(Q$3&amp;Q26&amp;$AW26,Asta!$I:$I,0)),"",INDIRECT("Asta!B"&amp;MATCH(Q$3&amp;Q26&amp;$AW26,Asta!$I:$I,0))))</f>
        <v/>
      </c>
      <c r="S26" s="10" t="str">
        <f ca="1">IF(R26="","",IF(ISNA(MATCH(Q$3&amp;Q26&amp;$AW26,Asta!$I:$I,0)),"",INDIRECT("Asta!H"&amp;MATCH(Q$3&amp;Q26&amp;$AW26,Asta!$I:$I,0))))</f>
        <v/>
      </c>
      <c r="T26" s="9"/>
      <c r="U26" s="436" t="str">
        <f t="shared" si="15"/>
        <v>C</v>
      </c>
      <c r="V26" s="9" t="str">
        <f ca="1">IF(U26="","",IF(ISNA(MATCH(U$3&amp;U26&amp;$AW26,Asta!$I:$I,0)),"",INDIRECT("Asta!B"&amp;MATCH(U$3&amp;U26&amp;$AW26,Asta!$I:$I,0))))</f>
        <v/>
      </c>
      <c r="W26" s="10" t="str">
        <f ca="1">IF(V26="","",IF(ISNA(MATCH(U$3&amp;U26&amp;$AW26,Asta!$I:$I,0)),"",INDIRECT("Asta!H"&amp;MATCH(U$3&amp;U26&amp;$AW26,Asta!$I:$I,0))))</f>
        <v/>
      </c>
      <c r="X26" s="9"/>
      <c r="Y26" s="436" t="str">
        <f t="shared" si="16"/>
        <v>C</v>
      </c>
      <c r="Z26" s="9" t="str">
        <f ca="1">IF(Y26="","",IF(ISNA(MATCH(Y$3&amp;Y26&amp;$AW26,Asta!$I:$I,0)),"",INDIRECT("Asta!B"&amp;MATCH(Y$3&amp;Y26&amp;$AW26,Asta!$I:$I,0))))</f>
        <v/>
      </c>
      <c r="AA26" s="10" t="str">
        <f ca="1">IF(Z26="","",IF(ISNA(MATCH(Y$3&amp;Y26&amp;$AW26,Asta!$I:$I,0)),"",INDIRECT("Asta!H"&amp;MATCH(Y$3&amp;Y26&amp;$AW26,Asta!$I:$I,0))))</f>
        <v/>
      </c>
      <c r="AB26" s="9"/>
      <c r="AC26" s="436" t="str">
        <f t="shared" si="17"/>
        <v>C</v>
      </c>
      <c r="AD26" s="9" t="str">
        <f ca="1">IF(AC26="","",IF(ISNA(MATCH(AC$3&amp;AC26&amp;$AW26,Asta!$I:$I,0)),"",INDIRECT("Asta!B"&amp;MATCH(AC$3&amp;AC26&amp;$AW26,Asta!$I:$I,0))))</f>
        <v/>
      </c>
      <c r="AE26" s="10" t="str">
        <f ca="1">IF(AD26="","",IF(ISNA(MATCH(AC$3&amp;AC26&amp;$AW26,Asta!$I:$I,0)),"",INDIRECT("Asta!H"&amp;MATCH(AC$3&amp;AC26&amp;$AW26,Asta!$I:$I,0))))</f>
        <v/>
      </c>
      <c r="AF26" s="9"/>
      <c r="AG26" s="436" t="str">
        <f t="shared" si="18"/>
        <v>C</v>
      </c>
      <c r="AH26" s="9" t="str">
        <f ca="1">IF(AG26="","",IF(ISNA(MATCH(AG$3&amp;AG26&amp;$AW26,Asta!$I:$I,0)),"",INDIRECT("Asta!B"&amp;MATCH(AG$3&amp;AG26&amp;$AW26,Asta!$I:$I,0))))</f>
        <v/>
      </c>
      <c r="AI26" s="10" t="str">
        <f ca="1">IF(AH26="","",IF(ISNA(MATCH(AG$3&amp;AG26&amp;$AW26,Asta!$I:$I,0)),"",INDIRECT("Asta!H"&amp;MATCH(AG$3&amp;AG26&amp;$AW26,Asta!$I:$I,0))))</f>
        <v/>
      </c>
      <c r="AJ26" s="9"/>
      <c r="AK26" s="436" t="str">
        <f t="shared" si="19"/>
        <v>C</v>
      </c>
      <c r="AL26" s="9" t="str">
        <f ca="1">IF(AK26="","",IF(ISNA(MATCH(AK$3&amp;AK26&amp;$AW26,Asta!$I:$I,0)),"",INDIRECT("Asta!B"&amp;MATCH(AK$3&amp;AK26&amp;$AW26,Asta!$I:$I,0))))</f>
        <v/>
      </c>
      <c r="AM26" s="10" t="str">
        <f ca="1">IF(AL26="","",IF(ISNA(MATCH(AK$3&amp;AK26&amp;$AW26,Asta!$I:$I,0)),"",INDIRECT("Asta!H"&amp;MATCH(AK$3&amp;AK26&amp;$AW26,Asta!$I:$I,0))))</f>
        <v/>
      </c>
      <c r="AN26" s="9"/>
      <c r="AO26" s="436" t="str">
        <f t="shared" si="20"/>
        <v>C</v>
      </c>
      <c r="AP26" s="9" t="str">
        <f ca="1">IF(AO26="","",IF(ISNA(MATCH(AO$3&amp;AO26&amp;$AW26,Asta!$I:$I,0)),"",INDIRECT("Asta!B"&amp;MATCH(AO$3&amp;AO26&amp;$AW26,Asta!$I:$I,0))))</f>
        <v/>
      </c>
      <c r="AQ26" s="10" t="str">
        <f ca="1">IF(AP26="","",IF(ISNA(MATCH(AO$3&amp;AO26&amp;$AW26,Asta!$I:$I,0)),"",INDIRECT("Asta!H"&amp;MATCH(AO$3&amp;AO26&amp;$AW26,Asta!$I:$I,0))))</f>
        <v/>
      </c>
      <c r="AR26" s="9"/>
      <c r="AS26" s="436" t="str">
        <f t="shared" si="21"/>
        <v>C</v>
      </c>
      <c r="AT26" s="9" t="str">
        <f ca="1">IF(AS26="","",IF(ISNA(MATCH(AS$3&amp;AS26&amp;$AW26,Asta!$I:$I,0)),"",INDIRECT("Asta!B"&amp;MATCH(AS$3&amp;AS26&amp;$AW26,Asta!$I:$I,0))))</f>
        <v/>
      </c>
      <c r="AU26" s="10" t="str">
        <f ca="1">IF(AT26="","",IF(ISNA(MATCH(AS$3&amp;AS26&amp;$AW26,Asta!$I:$I,0)),"",INDIRECT("Asta!H"&amp;MATCH(AS$3&amp;AS26&amp;$AW26,Asta!$I:$I,0))))</f>
        <v/>
      </c>
      <c r="AV26" s="9"/>
      <c r="AW26" s="4">
        <v>7</v>
      </c>
    </row>
    <row r="27" spans="1:49">
      <c r="A27" s="436" t="str">
        <f>IF(Asta!$AD$3&lt;AW27,"","C")</f>
        <v>C</v>
      </c>
      <c r="B27" s="9" t="str">
        <f ca="1">IF(A27="","",IF(ISNA(MATCH(A$3&amp;A27&amp;$AW27,Asta!$I:$I,0)),"",INDIRECT("Asta!B"&amp;MATCH(A$3&amp;A27&amp;$AW27,Asta!$I:$I,0))))</f>
        <v/>
      </c>
      <c r="C27" s="10" t="str">
        <f ca="1">IF(B27="","",IF(ISNA(MATCH(A$3&amp;A27&amp;$AW27,Asta!$I:$I,0)),"",INDIRECT("Asta!H"&amp;MATCH(A$3&amp;A27&amp;$AW27,Asta!$I:$I,0))))</f>
        <v/>
      </c>
      <c r="D27" s="9"/>
      <c r="E27" s="436" t="str">
        <f t="shared" si="11"/>
        <v>C</v>
      </c>
      <c r="F27" s="9" t="str">
        <f ca="1">IF(E27="","",IF(ISNA(MATCH(E$3&amp;E27&amp;$AW27,Asta!$I:$I,0)),"",INDIRECT("Asta!B"&amp;MATCH(E$3&amp;E27&amp;$AW27,Asta!$I:$I,0))))</f>
        <v/>
      </c>
      <c r="G27" s="10" t="str">
        <f ca="1">IF(F27="","",IF(ISNA(MATCH(E$3&amp;E27&amp;$AW27,Asta!$I:$I,0)),"",INDIRECT("Asta!H"&amp;MATCH(E$3&amp;E27&amp;$AW27,Asta!$I:$I,0))))</f>
        <v/>
      </c>
      <c r="H27" s="9"/>
      <c r="I27" s="436" t="str">
        <f t="shared" si="12"/>
        <v>C</v>
      </c>
      <c r="J27" s="9" t="str">
        <f ca="1">IF(I27="","",IF(ISNA(MATCH(I$3&amp;I27&amp;$AW27,Asta!$I:$I,0)),"",INDIRECT("Asta!B"&amp;MATCH(I$3&amp;I27&amp;$AW27,Asta!$I:$I,0))))</f>
        <v/>
      </c>
      <c r="K27" s="10" t="str">
        <f ca="1">IF(J27="","",IF(ISNA(MATCH(I$3&amp;I27&amp;$AW27,Asta!$I:$I,0)),"",INDIRECT("Asta!H"&amp;MATCH(I$3&amp;I27&amp;$AW27,Asta!$I:$I,0))))</f>
        <v/>
      </c>
      <c r="L27" s="9"/>
      <c r="M27" s="436" t="str">
        <f t="shared" si="13"/>
        <v>C</v>
      </c>
      <c r="N27" s="9" t="str">
        <f ca="1">IF(M27="","",IF(ISNA(MATCH(M$3&amp;M27&amp;$AW27,Asta!$I:$I,0)),"",INDIRECT("Asta!B"&amp;MATCH(M$3&amp;M27&amp;$AW27,Asta!$I:$I,0))))</f>
        <v/>
      </c>
      <c r="O27" s="10" t="str">
        <f ca="1">IF(N27="","",IF(ISNA(MATCH(M$3&amp;M27&amp;$AW27,Asta!$I:$I,0)),"",INDIRECT("Asta!H"&amp;MATCH(M$3&amp;M27&amp;$AW27,Asta!$I:$I,0))))</f>
        <v/>
      </c>
      <c r="P27" s="9"/>
      <c r="Q27" s="436" t="str">
        <f t="shared" si="14"/>
        <v>C</v>
      </c>
      <c r="R27" s="9" t="str">
        <f ca="1">IF(Q27="","",IF(ISNA(MATCH(Q$3&amp;Q27&amp;$AW27,Asta!$I:$I,0)),"",INDIRECT("Asta!B"&amp;MATCH(Q$3&amp;Q27&amp;$AW27,Asta!$I:$I,0))))</f>
        <v/>
      </c>
      <c r="S27" s="10" t="str">
        <f ca="1">IF(R27="","",IF(ISNA(MATCH(Q$3&amp;Q27&amp;$AW27,Asta!$I:$I,0)),"",INDIRECT("Asta!H"&amp;MATCH(Q$3&amp;Q27&amp;$AW27,Asta!$I:$I,0))))</f>
        <v/>
      </c>
      <c r="T27" s="9"/>
      <c r="U27" s="436" t="str">
        <f t="shared" si="15"/>
        <v>C</v>
      </c>
      <c r="V27" s="9" t="str">
        <f ca="1">IF(U27="","",IF(ISNA(MATCH(U$3&amp;U27&amp;$AW27,Asta!$I:$I,0)),"",INDIRECT("Asta!B"&amp;MATCH(U$3&amp;U27&amp;$AW27,Asta!$I:$I,0))))</f>
        <v/>
      </c>
      <c r="W27" s="10" t="str">
        <f ca="1">IF(V27="","",IF(ISNA(MATCH(U$3&amp;U27&amp;$AW27,Asta!$I:$I,0)),"",INDIRECT("Asta!H"&amp;MATCH(U$3&amp;U27&amp;$AW27,Asta!$I:$I,0))))</f>
        <v/>
      </c>
      <c r="X27" s="9"/>
      <c r="Y27" s="436" t="str">
        <f t="shared" si="16"/>
        <v>C</v>
      </c>
      <c r="Z27" s="9" t="str">
        <f ca="1">IF(Y27="","",IF(ISNA(MATCH(Y$3&amp;Y27&amp;$AW27,Asta!$I:$I,0)),"",INDIRECT("Asta!B"&amp;MATCH(Y$3&amp;Y27&amp;$AW27,Asta!$I:$I,0))))</f>
        <v/>
      </c>
      <c r="AA27" s="10" t="str">
        <f ca="1">IF(Z27="","",IF(ISNA(MATCH(Y$3&amp;Y27&amp;$AW27,Asta!$I:$I,0)),"",INDIRECT("Asta!H"&amp;MATCH(Y$3&amp;Y27&amp;$AW27,Asta!$I:$I,0))))</f>
        <v/>
      </c>
      <c r="AB27" s="9"/>
      <c r="AC27" s="436" t="str">
        <f t="shared" si="17"/>
        <v>C</v>
      </c>
      <c r="AD27" s="9" t="str">
        <f ca="1">IF(AC27="","",IF(ISNA(MATCH(AC$3&amp;AC27&amp;$AW27,Asta!$I:$I,0)),"",INDIRECT("Asta!B"&amp;MATCH(AC$3&amp;AC27&amp;$AW27,Asta!$I:$I,0))))</f>
        <v/>
      </c>
      <c r="AE27" s="10" t="str">
        <f ca="1">IF(AD27="","",IF(ISNA(MATCH(AC$3&amp;AC27&amp;$AW27,Asta!$I:$I,0)),"",INDIRECT("Asta!H"&amp;MATCH(AC$3&amp;AC27&amp;$AW27,Asta!$I:$I,0))))</f>
        <v/>
      </c>
      <c r="AF27" s="9"/>
      <c r="AG27" s="436" t="str">
        <f t="shared" si="18"/>
        <v>C</v>
      </c>
      <c r="AH27" s="9" t="str">
        <f ca="1">IF(AG27="","",IF(ISNA(MATCH(AG$3&amp;AG27&amp;$AW27,Asta!$I:$I,0)),"",INDIRECT("Asta!B"&amp;MATCH(AG$3&amp;AG27&amp;$AW27,Asta!$I:$I,0))))</f>
        <v/>
      </c>
      <c r="AI27" s="10" t="str">
        <f ca="1">IF(AH27="","",IF(ISNA(MATCH(AG$3&amp;AG27&amp;$AW27,Asta!$I:$I,0)),"",INDIRECT("Asta!H"&amp;MATCH(AG$3&amp;AG27&amp;$AW27,Asta!$I:$I,0))))</f>
        <v/>
      </c>
      <c r="AJ27" s="9"/>
      <c r="AK27" s="436" t="str">
        <f t="shared" si="19"/>
        <v>C</v>
      </c>
      <c r="AL27" s="9" t="str">
        <f ca="1">IF(AK27="","",IF(ISNA(MATCH(AK$3&amp;AK27&amp;$AW27,Asta!$I:$I,0)),"",INDIRECT("Asta!B"&amp;MATCH(AK$3&amp;AK27&amp;$AW27,Asta!$I:$I,0))))</f>
        <v/>
      </c>
      <c r="AM27" s="10" t="str">
        <f ca="1">IF(AL27="","",IF(ISNA(MATCH(AK$3&amp;AK27&amp;$AW27,Asta!$I:$I,0)),"",INDIRECT("Asta!H"&amp;MATCH(AK$3&amp;AK27&amp;$AW27,Asta!$I:$I,0))))</f>
        <v/>
      </c>
      <c r="AN27" s="9"/>
      <c r="AO27" s="436" t="str">
        <f t="shared" si="20"/>
        <v>C</v>
      </c>
      <c r="AP27" s="9" t="str">
        <f ca="1">IF(AO27="","",IF(ISNA(MATCH(AO$3&amp;AO27&amp;$AW27,Asta!$I:$I,0)),"",INDIRECT("Asta!B"&amp;MATCH(AO$3&amp;AO27&amp;$AW27,Asta!$I:$I,0))))</f>
        <v/>
      </c>
      <c r="AQ27" s="10" t="str">
        <f ca="1">IF(AP27="","",IF(ISNA(MATCH(AO$3&amp;AO27&amp;$AW27,Asta!$I:$I,0)),"",INDIRECT("Asta!H"&amp;MATCH(AO$3&amp;AO27&amp;$AW27,Asta!$I:$I,0))))</f>
        <v/>
      </c>
      <c r="AR27" s="9"/>
      <c r="AS27" s="436" t="str">
        <f t="shared" si="21"/>
        <v>C</v>
      </c>
      <c r="AT27" s="9" t="str">
        <f ca="1">IF(AS27="","",IF(ISNA(MATCH(AS$3&amp;AS27&amp;$AW27,Asta!$I:$I,0)),"",INDIRECT("Asta!B"&amp;MATCH(AS$3&amp;AS27&amp;$AW27,Asta!$I:$I,0))))</f>
        <v/>
      </c>
      <c r="AU27" s="10" t="str">
        <f ca="1">IF(AT27="","",IF(ISNA(MATCH(AS$3&amp;AS27&amp;$AW27,Asta!$I:$I,0)),"",INDIRECT("Asta!H"&amp;MATCH(AS$3&amp;AS27&amp;$AW27,Asta!$I:$I,0))))</f>
        <v/>
      </c>
      <c r="AV27" s="9"/>
      <c r="AW27" s="4">
        <v>8</v>
      </c>
    </row>
    <row r="28" spans="1:49">
      <c r="A28" s="436" t="str">
        <f>IF(Asta!$AD$3&lt;AW28,"","C")</f>
        <v/>
      </c>
      <c r="B28" s="9" t="str">
        <f ca="1">IF(A28="","",IF(ISNA(MATCH(A$3&amp;A28&amp;$AW28,Asta!$I:$I,0)),"",INDIRECT("Asta!B"&amp;MATCH(A$3&amp;A28&amp;$AW28,Asta!$I:$I,0))))</f>
        <v/>
      </c>
      <c r="C28" s="10" t="str">
        <f ca="1">IF(B28="","",IF(ISNA(MATCH(A$3&amp;A28&amp;$AW28,Asta!$I:$I,0)),"",INDIRECT("Asta!H"&amp;MATCH(A$3&amp;A28&amp;$AW28,Asta!$I:$I,0))))</f>
        <v/>
      </c>
      <c r="D28" s="9"/>
      <c r="E28" s="436" t="str">
        <f t="shared" si="11"/>
        <v/>
      </c>
      <c r="F28" s="9" t="str">
        <f ca="1">IF(E28="","",IF(ISNA(MATCH(E$3&amp;E28&amp;$AW28,Asta!$I:$I,0)),"",INDIRECT("Asta!B"&amp;MATCH(E$3&amp;E28&amp;$AW28,Asta!$I:$I,0))))</f>
        <v/>
      </c>
      <c r="G28" s="10" t="str">
        <f ca="1">IF(F28="","",IF(ISNA(MATCH(E$3&amp;E28&amp;$AW28,Asta!$I:$I,0)),"",INDIRECT("Asta!H"&amp;MATCH(E$3&amp;E28&amp;$AW28,Asta!$I:$I,0))))</f>
        <v/>
      </c>
      <c r="H28" s="9"/>
      <c r="I28" s="436" t="str">
        <f t="shared" si="12"/>
        <v/>
      </c>
      <c r="J28" s="9" t="str">
        <f ca="1">IF(I28="","",IF(ISNA(MATCH(I$3&amp;I28&amp;$AW28,Asta!$I:$I,0)),"",INDIRECT("Asta!B"&amp;MATCH(I$3&amp;I28&amp;$AW28,Asta!$I:$I,0))))</f>
        <v/>
      </c>
      <c r="K28" s="10" t="str">
        <f ca="1">IF(J28="","",IF(ISNA(MATCH(I$3&amp;I28&amp;$AW28,Asta!$I:$I,0)),"",INDIRECT("Asta!H"&amp;MATCH(I$3&amp;I28&amp;$AW28,Asta!$I:$I,0))))</f>
        <v/>
      </c>
      <c r="L28" s="9"/>
      <c r="M28" s="436" t="str">
        <f t="shared" si="13"/>
        <v/>
      </c>
      <c r="N28" s="9" t="str">
        <f ca="1">IF(M28="","",IF(ISNA(MATCH(M$3&amp;M28&amp;$AW28,Asta!$I:$I,0)),"",INDIRECT("Asta!B"&amp;MATCH(M$3&amp;M28&amp;$AW28,Asta!$I:$I,0))))</f>
        <v/>
      </c>
      <c r="O28" s="10" t="str">
        <f ca="1">IF(N28="","",IF(ISNA(MATCH(M$3&amp;M28&amp;$AW28,Asta!$I:$I,0)),"",INDIRECT("Asta!H"&amp;MATCH(M$3&amp;M28&amp;$AW28,Asta!$I:$I,0))))</f>
        <v/>
      </c>
      <c r="P28" s="9"/>
      <c r="Q28" s="436" t="str">
        <f t="shared" si="14"/>
        <v/>
      </c>
      <c r="R28" s="9" t="str">
        <f ca="1">IF(Q28="","",IF(ISNA(MATCH(Q$3&amp;Q28&amp;$AW28,Asta!$I:$I,0)),"",INDIRECT("Asta!B"&amp;MATCH(Q$3&amp;Q28&amp;$AW28,Asta!$I:$I,0))))</f>
        <v/>
      </c>
      <c r="S28" s="10" t="str">
        <f ca="1">IF(R28="","",IF(ISNA(MATCH(Q$3&amp;Q28&amp;$AW28,Asta!$I:$I,0)),"",INDIRECT("Asta!H"&amp;MATCH(Q$3&amp;Q28&amp;$AW28,Asta!$I:$I,0))))</f>
        <v/>
      </c>
      <c r="T28" s="9"/>
      <c r="U28" s="436" t="str">
        <f t="shared" si="15"/>
        <v/>
      </c>
      <c r="V28" s="9" t="str">
        <f ca="1">IF(U28="","",IF(ISNA(MATCH(U$3&amp;U28&amp;$AW28,Asta!$I:$I,0)),"",INDIRECT("Asta!B"&amp;MATCH(U$3&amp;U28&amp;$AW28,Asta!$I:$I,0))))</f>
        <v/>
      </c>
      <c r="W28" s="10" t="str">
        <f ca="1">IF(V28="","",IF(ISNA(MATCH(U$3&amp;U28&amp;$AW28,Asta!$I:$I,0)),"",INDIRECT("Asta!H"&amp;MATCH(U$3&amp;U28&amp;$AW28,Asta!$I:$I,0))))</f>
        <v/>
      </c>
      <c r="X28" s="9"/>
      <c r="Y28" s="436" t="str">
        <f t="shared" si="16"/>
        <v/>
      </c>
      <c r="Z28" s="9" t="str">
        <f ca="1">IF(Y28="","",IF(ISNA(MATCH(Y$3&amp;Y28&amp;$AW28,Asta!$I:$I,0)),"",INDIRECT("Asta!B"&amp;MATCH(Y$3&amp;Y28&amp;$AW28,Asta!$I:$I,0))))</f>
        <v/>
      </c>
      <c r="AA28" s="10" t="str">
        <f ca="1">IF(Z28="","",IF(ISNA(MATCH(Y$3&amp;Y28&amp;$AW28,Asta!$I:$I,0)),"",INDIRECT("Asta!H"&amp;MATCH(Y$3&amp;Y28&amp;$AW28,Asta!$I:$I,0))))</f>
        <v/>
      </c>
      <c r="AB28" s="9"/>
      <c r="AC28" s="436" t="str">
        <f t="shared" si="17"/>
        <v/>
      </c>
      <c r="AD28" s="9" t="str">
        <f ca="1">IF(AC28="","",IF(ISNA(MATCH(AC$3&amp;AC28&amp;$AW28,Asta!$I:$I,0)),"",INDIRECT("Asta!B"&amp;MATCH(AC$3&amp;AC28&amp;$AW28,Asta!$I:$I,0))))</f>
        <v/>
      </c>
      <c r="AE28" s="10" t="str">
        <f ca="1">IF(AD28="","",IF(ISNA(MATCH(AC$3&amp;AC28&amp;$AW28,Asta!$I:$I,0)),"",INDIRECT("Asta!H"&amp;MATCH(AC$3&amp;AC28&amp;$AW28,Asta!$I:$I,0))))</f>
        <v/>
      </c>
      <c r="AF28" s="9"/>
      <c r="AG28" s="436" t="str">
        <f t="shared" si="18"/>
        <v/>
      </c>
      <c r="AH28" s="9" t="str">
        <f ca="1">IF(AG28="","",IF(ISNA(MATCH(AG$3&amp;AG28&amp;$AW28,Asta!$I:$I,0)),"",INDIRECT("Asta!B"&amp;MATCH(AG$3&amp;AG28&amp;$AW28,Asta!$I:$I,0))))</f>
        <v/>
      </c>
      <c r="AI28" s="10" t="str">
        <f ca="1">IF(AH28="","",IF(ISNA(MATCH(AG$3&amp;AG28&amp;$AW28,Asta!$I:$I,0)),"",INDIRECT("Asta!H"&amp;MATCH(AG$3&amp;AG28&amp;$AW28,Asta!$I:$I,0))))</f>
        <v/>
      </c>
      <c r="AJ28" s="9"/>
      <c r="AK28" s="436" t="str">
        <f t="shared" si="19"/>
        <v/>
      </c>
      <c r="AL28" s="9" t="str">
        <f ca="1">IF(AK28="","",IF(ISNA(MATCH(AK$3&amp;AK28&amp;$AW28,Asta!$I:$I,0)),"",INDIRECT("Asta!B"&amp;MATCH(AK$3&amp;AK28&amp;$AW28,Asta!$I:$I,0))))</f>
        <v/>
      </c>
      <c r="AM28" s="10" t="str">
        <f ca="1">IF(AL28="","",IF(ISNA(MATCH(AK$3&amp;AK28&amp;$AW28,Asta!$I:$I,0)),"",INDIRECT("Asta!H"&amp;MATCH(AK$3&amp;AK28&amp;$AW28,Asta!$I:$I,0))))</f>
        <v/>
      </c>
      <c r="AN28" s="9"/>
      <c r="AO28" s="436" t="str">
        <f t="shared" si="20"/>
        <v/>
      </c>
      <c r="AP28" s="9" t="str">
        <f ca="1">IF(AO28="","",IF(ISNA(MATCH(AO$3&amp;AO28&amp;$AW28,Asta!$I:$I,0)),"",INDIRECT("Asta!B"&amp;MATCH(AO$3&amp;AO28&amp;$AW28,Asta!$I:$I,0))))</f>
        <v/>
      </c>
      <c r="AQ28" s="10" t="str">
        <f ca="1">IF(AP28="","",IF(ISNA(MATCH(AO$3&amp;AO28&amp;$AW28,Asta!$I:$I,0)),"",INDIRECT("Asta!H"&amp;MATCH(AO$3&amp;AO28&amp;$AW28,Asta!$I:$I,0))))</f>
        <v/>
      </c>
      <c r="AR28" s="9"/>
      <c r="AS28" s="436" t="str">
        <f t="shared" si="21"/>
        <v/>
      </c>
      <c r="AT28" s="9" t="str">
        <f ca="1">IF(AS28="","",IF(ISNA(MATCH(AS$3&amp;AS28&amp;$AW28,Asta!$I:$I,0)),"",INDIRECT("Asta!B"&amp;MATCH(AS$3&amp;AS28&amp;$AW28,Asta!$I:$I,0))))</f>
        <v/>
      </c>
      <c r="AU28" s="10" t="str">
        <f ca="1">IF(AT28="","",IF(ISNA(MATCH(AS$3&amp;AS28&amp;$AW28,Asta!$I:$I,0)),"",INDIRECT("Asta!H"&amp;MATCH(AS$3&amp;AS28&amp;$AW28,Asta!$I:$I,0))))</f>
        <v/>
      </c>
      <c r="AV28" s="9"/>
      <c r="AW28" s="4">
        <v>9</v>
      </c>
    </row>
    <row r="29" spans="1:49" ht="12.75" customHeight="1">
      <c r="A29" s="436" t="str">
        <f>IF(Asta!$AD$3&lt;AW29,"","C")</f>
        <v/>
      </c>
      <c r="B29" s="9" t="str">
        <f ca="1">IF(A29="","",IF(ISNA(MATCH(A$3&amp;A29&amp;$AW29,Asta!$I:$I,0)),"",INDIRECT("Asta!B"&amp;MATCH(A$3&amp;A29&amp;$AW29,Asta!$I:$I,0))))</f>
        <v/>
      </c>
      <c r="C29" s="10" t="str">
        <f ca="1">IF(B29="","",IF(ISNA(MATCH(A$3&amp;A29&amp;$AW29,Asta!$I:$I,0)),"",INDIRECT("Asta!H"&amp;MATCH(A$3&amp;A29&amp;$AW29,Asta!$I:$I,0))))</f>
        <v/>
      </c>
      <c r="D29" s="9"/>
      <c r="E29" s="436" t="str">
        <f t="shared" si="11"/>
        <v/>
      </c>
      <c r="F29" s="9" t="str">
        <f ca="1">IF(E29="","",IF(ISNA(MATCH(E$3&amp;E29&amp;$AW29,Asta!$I:$I,0)),"",INDIRECT("Asta!B"&amp;MATCH(E$3&amp;E29&amp;$AW29,Asta!$I:$I,0))))</f>
        <v/>
      </c>
      <c r="G29" s="10" t="str">
        <f ca="1">IF(F29="","",IF(ISNA(MATCH(E$3&amp;E29&amp;$AW29,Asta!$I:$I,0)),"",INDIRECT("Asta!H"&amp;MATCH(E$3&amp;E29&amp;$AW29,Asta!$I:$I,0))))</f>
        <v/>
      </c>
      <c r="H29" s="9"/>
      <c r="I29" s="436" t="str">
        <f t="shared" si="12"/>
        <v/>
      </c>
      <c r="J29" s="9" t="str">
        <f ca="1">IF(I29="","",IF(ISNA(MATCH(I$3&amp;I29&amp;$AW29,Asta!$I:$I,0)),"",INDIRECT("Asta!B"&amp;MATCH(I$3&amp;I29&amp;$AW29,Asta!$I:$I,0))))</f>
        <v/>
      </c>
      <c r="K29" s="10" t="str">
        <f ca="1">IF(J29="","",IF(ISNA(MATCH(I$3&amp;I29&amp;$AW29,Asta!$I:$I,0)),"",INDIRECT("Asta!H"&amp;MATCH(I$3&amp;I29&amp;$AW29,Asta!$I:$I,0))))</f>
        <v/>
      </c>
      <c r="L29" s="9"/>
      <c r="M29" s="436" t="str">
        <f t="shared" si="13"/>
        <v/>
      </c>
      <c r="N29" s="9" t="str">
        <f ca="1">IF(M29="","",IF(ISNA(MATCH(M$3&amp;M29&amp;$AW29,Asta!$I:$I,0)),"",INDIRECT("Asta!B"&amp;MATCH(M$3&amp;M29&amp;$AW29,Asta!$I:$I,0))))</f>
        <v/>
      </c>
      <c r="O29" s="10" t="str">
        <f ca="1">IF(N29="","",IF(ISNA(MATCH(M$3&amp;M29&amp;$AW29,Asta!$I:$I,0)),"",INDIRECT("Asta!H"&amp;MATCH(M$3&amp;M29&amp;$AW29,Asta!$I:$I,0))))</f>
        <v/>
      </c>
      <c r="P29" s="9"/>
      <c r="Q29" s="436" t="str">
        <f t="shared" si="14"/>
        <v/>
      </c>
      <c r="R29" s="9" t="str">
        <f ca="1">IF(Q29="","",IF(ISNA(MATCH(Q$3&amp;Q29&amp;$AW29,Asta!$I:$I,0)),"",INDIRECT("Asta!B"&amp;MATCH(Q$3&amp;Q29&amp;$AW29,Asta!$I:$I,0))))</f>
        <v/>
      </c>
      <c r="S29" s="10" t="str">
        <f ca="1">IF(R29="","",IF(ISNA(MATCH(Q$3&amp;Q29&amp;$AW29,Asta!$I:$I,0)),"",INDIRECT("Asta!H"&amp;MATCH(Q$3&amp;Q29&amp;$AW29,Asta!$I:$I,0))))</f>
        <v/>
      </c>
      <c r="T29" s="9"/>
      <c r="U29" s="436" t="str">
        <f t="shared" si="15"/>
        <v/>
      </c>
      <c r="V29" s="9" t="str">
        <f ca="1">IF(U29="","",IF(ISNA(MATCH(U$3&amp;U29&amp;$AW29,Asta!$I:$I,0)),"",INDIRECT("Asta!B"&amp;MATCH(U$3&amp;U29&amp;$AW29,Asta!$I:$I,0))))</f>
        <v/>
      </c>
      <c r="W29" s="10" t="str">
        <f ca="1">IF(V29="","",IF(ISNA(MATCH(U$3&amp;U29&amp;$AW29,Asta!$I:$I,0)),"",INDIRECT("Asta!H"&amp;MATCH(U$3&amp;U29&amp;$AW29,Asta!$I:$I,0))))</f>
        <v/>
      </c>
      <c r="X29" s="9"/>
      <c r="Y29" s="436" t="str">
        <f t="shared" si="16"/>
        <v/>
      </c>
      <c r="Z29" s="9" t="str">
        <f ca="1">IF(Y29="","",IF(ISNA(MATCH(Y$3&amp;Y29&amp;$AW29,Asta!$I:$I,0)),"",INDIRECT("Asta!B"&amp;MATCH(Y$3&amp;Y29&amp;$AW29,Asta!$I:$I,0))))</f>
        <v/>
      </c>
      <c r="AA29" s="10" t="str">
        <f ca="1">IF(Z29="","",IF(ISNA(MATCH(Y$3&amp;Y29&amp;$AW29,Asta!$I:$I,0)),"",INDIRECT("Asta!H"&amp;MATCH(Y$3&amp;Y29&amp;$AW29,Asta!$I:$I,0))))</f>
        <v/>
      </c>
      <c r="AB29" s="9"/>
      <c r="AC29" s="436" t="str">
        <f t="shared" si="17"/>
        <v/>
      </c>
      <c r="AD29" s="9" t="str">
        <f ca="1">IF(AC29="","",IF(ISNA(MATCH(AC$3&amp;AC29&amp;$AW29,Asta!$I:$I,0)),"",INDIRECT("Asta!B"&amp;MATCH(AC$3&amp;AC29&amp;$AW29,Asta!$I:$I,0))))</f>
        <v/>
      </c>
      <c r="AE29" s="10" t="str">
        <f ca="1">IF(AD29="","",IF(ISNA(MATCH(AC$3&amp;AC29&amp;$AW29,Asta!$I:$I,0)),"",INDIRECT("Asta!H"&amp;MATCH(AC$3&amp;AC29&amp;$AW29,Asta!$I:$I,0))))</f>
        <v/>
      </c>
      <c r="AF29" s="9"/>
      <c r="AG29" s="436" t="str">
        <f t="shared" si="18"/>
        <v/>
      </c>
      <c r="AH29" s="9" t="str">
        <f ca="1">IF(AG29="","",IF(ISNA(MATCH(AG$3&amp;AG29&amp;$AW29,Asta!$I:$I,0)),"",INDIRECT("Asta!B"&amp;MATCH(AG$3&amp;AG29&amp;$AW29,Asta!$I:$I,0))))</f>
        <v/>
      </c>
      <c r="AI29" s="10" t="str">
        <f ca="1">IF(AH29="","",IF(ISNA(MATCH(AG$3&amp;AG29&amp;$AW29,Asta!$I:$I,0)),"",INDIRECT("Asta!H"&amp;MATCH(AG$3&amp;AG29&amp;$AW29,Asta!$I:$I,0))))</f>
        <v/>
      </c>
      <c r="AJ29" s="9"/>
      <c r="AK29" s="436" t="str">
        <f t="shared" si="19"/>
        <v/>
      </c>
      <c r="AL29" s="9" t="str">
        <f ca="1">IF(AK29="","",IF(ISNA(MATCH(AK$3&amp;AK29&amp;$AW29,Asta!$I:$I,0)),"",INDIRECT("Asta!B"&amp;MATCH(AK$3&amp;AK29&amp;$AW29,Asta!$I:$I,0))))</f>
        <v/>
      </c>
      <c r="AM29" s="10" t="str">
        <f ca="1">IF(AL29="","",IF(ISNA(MATCH(AK$3&amp;AK29&amp;$AW29,Asta!$I:$I,0)),"",INDIRECT("Asta!H"&amp;MATCH(AK$3&amp;AK29&amp;$AW29,Asta!$I:$I,0))))</f>
        <v/>
      </c>
      <c r="AN29" s="9"/>
      <c r="AO29" s="436" t="str">
        <f t="shared" si="20"/>
        <v/>
      </c>
      <c r="AP29" s="9" t="str">
        <f ca="1">IF(AO29="","",IF(ISNA(MATCH(AO$3&amp;AO29&amp;$AW29,Asta!$I:$I,0)),"",INDIRECT("Asta!B"&amp;MATCH(AO$3&amp;AO29&amp;$AW29,Asta!$I:$I,0))))</f>
        <v/>
      </c>
      <c r="AQ29" s="10" t="str">
        <f ca="1">IF(AP29="","",IF(ISNA(MATCH(AO$3&amp;AO29&amp;$AW29,Asta!$I:$I,0)),"",INDIRECT("Asta!H"&amp;MATCH(AO$3&amp;AO29&amp;$AW29,Asta!$I:$I,0))))</f>
        <v/>
      </c>
      <c r="AR29" s="9"/>
      <c r="AS29" s="436" t="str">
        <f t="shared" si="21"/>
        <v/>
      </c>
      <c r="AT29" s="9" t="str">
        <f ca="1">IF(AS29="","",IF(ISNA(MATCH(AS$3&amp;AS29&amp;$AW29,Asta!$I:$I,0)),"",INDIRECT("Asta!B"&amp;MATCH(AS$3&amp;AS29&amp;$AW29,Asta!$I:$I,0))))</f>
        <v/>
      </c>
      <c r="AU29" s="10" t="str">
        <f ca="1">IF(AT29="","",IF(ISNA(MATCH(AS$3&amp;AS29&amp;$AW29,Asta!$I:$I,0)),"",INDIRECT("Asta!H"&amp;MATCH(AS$3&amp;AS29&amp;$AW29,Asta!$I:$I,0))))</f>
        <v/>
      </c>
      <c r="AV29" s="9"/>
      <c r="AW29" s="4">
        <v>10</v>
      </c>
    </row>
    <row r="30" spans="1:49">
      <c r="A30" s="533" t="s">
        <v>44</v>
      </c>
      <c r="B30" s="533"/>
      <c r="C30" s="534"/>
      <c r="D30" s="437" t="s">
        <v>1963</v>
      </c>
      <c r="E30" s="533" t="s">
        <v>44</v>
      </c>
      <c r="F30" s="533"/>
      <c r="G30" s="534"/>
      <c r="H30" s="436"/>
      <c r="I30" s="533" t="s">
        <v>44</v>
      </c>
      <c r="J30" s="533"/>
      <c r="K30" s="534"/>
      <c r="L30" s="436"/>
      <c r="M30" s="533" t="s">
        <v>44</v>
      </c>
      <c r="N30" s="533"/>
      <c r="O30" s="534"/>
      <c r="P30" s="436"/>
      <c r="Q30" s="533" t="s">
        <v>44</v>
      </c>
      <c r="R30" s="533"/>
      <c r="S30" s="534"/>
      <c r="T30" s="436"/>
      <c r="U30" s="533" t="s">
        <v>44</v>
      </c>
      <c r="V30" s="533"/>
      <c r="W30" s="534"/>
      <c r="X30" s="436"/>
      <c r="Y30" s="533" t="s">
        <v>44</v>
      </c>
      <c r="Z30" s="533"/>
      <c r="AA30" s="534"/>
      <c r="AB30" s="436"/>
      <c r="AC30" s="533" t="s">
        <v>44</v>
      </c>
      <c r="AD30" s="533"/>
      <c r="AE30" s="534"/>
      <c r="AF30" s="436"/>
      <c r="AG30" s="533" t="s">
        <v>44</v>
      </c>
      <c r="AH30" s="533"/>
      <c r="AI30" s="534"/>
      <c r="AJ30" s="436"/>
      <c r="AK30" s="533" t="s">
        <v>44</v>
      </c>
      <c r="AL30" s="533"/>
      <c r="AM30" s="534"/>
      <c r="AN30" s="436"/>
      <c r="AO30" s="533" t="s">
        <v>44</v>
      </c>
      <c r="AP30" s="533"/>
      <c r="AQ30" s="534"/>
      <c r="AR30" s="436"/>
      <c r="AS30" s="533" t="s">
        <v>44</v>
      </c>
      <c r="AT30" s="533"/>
      <c r="AU30" s="534"/>
      <c r="AV30" s="436"/>
    </row>
    <row r="31" spans="1:49">
      <c r="A31" s="436" t="str">
        <f>IF(Asta!$AE$3&lt;AW31,"","A")</f>
        <v>A</v>
      </c>
      <c r="B31" s="9" t="str">
        <f ca="1">IF(A31="","",IF(ISNA(MATCH(A$3&amp;A31&amp;$AW31,Asta!$I:$I,0)),"",INDIRECT("Asta!B"&amp;MATCH(A$3&amp;A31&amp;$AW31,Asta!$I:$I,0))))</f>
        <v/>
      </c>
      <c r="C31" s="10" t="str">
        <f ca="1">IF(B31="","",IF(ISNA(MATCH(A$3&amp;A31&amp;$AW31,Asta!$I:$I,0)),"",INDIRECT("Asta!H"&amp;MATCH(A$3&amp;A31&amp;$AW31,Asta!$I:$I,0))))</f>
        <v/>
      </c>
      <c r="D31" s="9"/>
      <c r="E31" s="436" t="str">
        <f t="shared" ref="E31:E38" si="22">A31</f>
        <v>A</v>
      </c>
      <c r="F31" s="9" t="str">
        <f ca="1">IF(E31="","",IF(ISNA(MATCH(E$3&amp;E31&amp;$AW31,Asta!$I:$I,0)),"",INDIRECT("Asta!B"&amp;MATCH(E$3&amp;E31&amp;$AW31,Asta!$I:$I,0))))</f>
        <v/>
      </c>
      <c r="G31" s="10" t="str">
        <f ca="1">IF(F31="","",IF(ISNA(MATCH(E$3&amp;E31&amp;$AW31,Asta!$I:$I,0)),"",INDIRECT("Asta!H"&amp;MATCH(E$3&amp;E31&amp;$AW31,Asta!$I:$I,0))))</f>
        <v/>
      </c>
      <c r="H31" s="9"/>
      <c r="I31" s="436" t="str">
        <f>E31</f>
        <v>A</v>
      </c>
      <c r="J31" s="9" t="str">
        <f ca="1">IF(I31="","",IF(ISNA(MATCH(I$3&amp;I31&amp;$AW31,Asta!$I:$I,0)),"",INDIRECT("Asta!B"&amp;MATCH(I$3&amp;I31&amp;$AW31,Asta!$I:$I,0))))</f>
        <v/>
      </c>
      <c r="K31" s="10" t="str">
        <f ca="1">IF(J31="","",IF(ISNA(MATCH(I$3&amp;I31&amp;$AW31,Asta!$I:$I,0)),"",INDIRECT("Asta!H"&amp;MATCH(I$3&amp;I31&amp;$AW31,Asta!$I:$I,0))))</f>
        <v/>
      </c>
      <c r="L31" s="9"/>
      <c r="M31" s="436" t="str">
        <f>I31</f>
        <v>A</v>
      </c>
      <c r="N31" s="9" t="str">
        <f ca="1">IF(M31="","",IF(ISNA(MATCH(M$3&amp;M31&amp;$AW31,Asta!$I:$I,0)),"",INDIRECT("Asta!B"&amp;MATCH(M$3&amp;M31&amp;$AW31,Asta!$I:$I,0))))</f>
        <v/>
      </c>
      <c r="O31" s="10" t="str">
        <f ca="1">IF(N31="","",IF(ISNA(MATCH(M$3&amp;M31&amp;$AW31,Asta!$I:$I,0)),"",INDIRECT("Asta!H"&amp;MATCH(M$3&amp;M31&amp;$AW31,Asta!$I:$I,0))))</f>
        <v/>
      </c>
      <c r="P31" s="9"/>
      <c r="Q31" s="436" t="str">
        <f>M31</f>
        <v>A</v>
      </c>
      <c r="R31" s="9" t="str">
        <f ca="1">IF(Q31="","",IF(ISNA(MATCH(Q$3&amp;Q31&amp;$AW31,Asta!$I:$I,0)),"",INDIRECT("Asta!B"&amp;MATCH(Q$3&amp;Q31&amp;$AW31,Asta!$I:$I,0))))</f>
        <v/>
      </c>
      <c r="S31" s="10" t="str">
        <f ca="1">IF(R31="","",IF(ISNA(MATCH(Q$3&amp;Q31&amp;$AW31,Asta!$I:$I,0)),"",INDIRECT("Asta!H"&amp;MATCH(Q$3&amp;Q31&amp;$AW31,Asta!$I:$I,0))))</f>
        <v/>
      </c>
      <c r="T31" s="9"/>
      <c r="U31" s="436" t="str">
        <f>Q31</f>
        <v>A</v>
      </c>
      <c r="V31" s="9" t="str">
        <f ca="1">IF(U31="","",IF(ISNA(MATCH(U$3&amp;U31&amp;$AW31,Asta!$I:$I,0)),"",INDIRECT("Asta!B"&amp;MATCH(U$3&amp;U31&amp;$AW31,Asta!$I:$I,0))))</f>
        <v/>
      </c>
      <c r="W31" s="10" t="str">
        <f ca="1">IF(V31="","",IF(ISNA(MATCH(U$3&amp;U31&amp;$AW31,Asta!$I:$I,0)),"",INDIRECT("Asta!H"&amp;MATCH(U$3&amp;U31&amp;$AW31,Asta!$I:$I,0))))</f>
        <v/>
      </c>
      <c r="X31" s="9"/>
      <c r="Y31" s="436" t="str">
        <f>U31</f>
        <v>A</v>
      </c>
      <c r="Z31" s="9" t="str">
        <f ca="1">IF(Y31="","",IF(ISNA(MATCH(Y$3&amp;Y31&amp;$AW31,Asta!$I:$I,0)),"",INDIRECT("Asta!B"&amp;MATCH(Y$3&amp;Y31&amp;$AW31,Asta!$I:$I,0))))</f>
        <v/>
      </c>
      <c r="AA31" s="10" t="str">
        <f ca="1">IF(Z31="","",IF(ISNA(MATCH(Y$3&amp;Y31&amp;$AW31,Asta!$I:$I,0)),"",INDIRECT("Asta!H"&amp;MATCH(Y$3&amp;Y31&amp;$AW31,Asta!$I:$I,0))))</f>
        <v/>
      </c>
      <c r="AB31" s="9"/>
      <c r="AC31" s="436" t="str">
        <f>Y31</f>
        <v>A</v>
      </c>
      <c r="AD31" s="9" t="str">
        <f ca="1">IF(AC31="","",IF(ISNA(MATCH(AC$3&amp;AC31&amp;$AW31,Asta!$I:$I,0)),"",INDIRECT("Asta!B"&amp;MATCH(AC$3&amp;AC31&amp;$AW31,Asta!$I:$I,0))))</f>
        <v/>
      </c>
      <c r="AE31" s="10" t="str">
        <f ca="1">IF(AD31="","",IF(ISNA(MATCH(AC$3&amp;AC31&amp;$AW31,Asta!$I:$I,0)),"",INDIRECT("Asta!H"&amp;MATCH(AC$3&amp;AC31&amp;$AW31,Asta!$I:$I,0))))</f>
        <v/>
      </c>
      <c r="AF31" s="9"/>
      <c r="AG31" s="436" t="str">
        <f>AC31</f>
        <v>A</v>
      </c>
      <c r="AH31" s="9" t="str">
        <f ca="1">IF(AG31="","",IF(ISNA(MATCH(AG$3&amp;AG31&amp;$AW31,Asta!$I:$I,0)),"",INDIRECT("Asta!B"&amp;MATCH(AG$3&amp;AG31&amp;$AW31,Asta!$I:$I,0))))</f>
        <v/>
      </c>
      <c r="AI31" s="10" t="str">
        <f ca="1">IF(AH31="","",IF(ISNA(MATCH(AG$3&amp;AG31&amp;$AW31,Asta!$I:$I,0)),"",INDIRECT("Asta!H"&amp;MATCH(AG$3&amp;AG31&amp;$AW31,Asta!$I:$I,0))))</f>
        <v/>
      </c>
      <c r="AJ31" s="9"/>
      <c r="AK31" s="436" t="str">
        <f>AG31</f>
        <v>A</v>
      </c>
      <c r="AL31" s="9" t="str">
        <f ca="1">IF(AK31="","",IF(ISNA(MATCH(AK$3&amp;AK31&amp;$AW31,Asta!$I:$I,0)),"",INDIRECT("Asta!B"&amp;MATCH(AK$3&amp;AK31&amp;$AW31,Asta!$I:$I,0))))</f>
        <v/>
      </c>
      <c r="AM31" s="10" t="str">
        <f ca="1">IF(AL31="","",IF(ISNA(MATCH(AK$3&amp;AK31&amp;$AW31,Asta!$I:$I,0)),"",INDIRECT("Asta!H"&amp;MATCH(AK$3&amp;AK31&amp;$AW31,Asta!$I:$I,0))))</f>
        <v/>
      </c>
      <c r="AN31" s="9"/>
      <c r="AO31" s="436" t="str">
        <f>AK31</f>
        <v>A</v>
      </c>
      <c r="AP31" s="9" t="str">
        <f ca="1">IF(AO31="","",IF(ISNA(MATCH(AO$3&amp;AO31&amp;$AW31,Asta!$I:$I,0)),"",INDIRECT("Asta!B"&amp;MATCH(AO$3&amp;AO31&amp;$AW31,Asta!$I:$I,0))))</f>
        <v/>
      </c>
      <c r="AQ31" s="10" t="str">
        <f ca="1">IF(AP31="","",IF(ISNA(MATCH(AO$3&amp;AO31&amp;$AW31,Asta!$I:$I,0)),"",INDIRECT("Asta!H"&amp;MATCH(AO$3&amp;AO31&amp;$AW31,Asta!$I:$I,0))))</f>
        <v/>
      </c>
      <c r="AR31" s="9"/>
      <c r="AS31" s="436" t="str">
        <f>AO31</f>
        <v>A</v>
      </c>
      <c r="AT31" s="9" t="str">
        <f ca="1">IF(AS31="","",IF(ISNA(MATCH(AS$3&amp;AS31&amp;$AW31,Asta!$I:$I,0)),"",INDIRECT("Asta!B"&amp;MATCH(AS$3&amp;AS31&amp;$AW31,Asta!$I:$I,0))))</f>
        <v/>
      </c>
      <c r="AU31" s="10" t="str">
        <f ca="1">IF(AT31="","",IF(ISNA(MATCH(AS$3&amp;AS31&amp;$AW31,Asta!$I:$I,0)),"",INDIRECT("Asta!H"&amp;MATCH(AS$3&amp;AS31&amp;$AW31,Asta!$I:$I,0))))</f>
        <v/>
      </c>
      <c r="AV31" s="9"/>
      <c r="AW31" s="4">
        <v>1</v>
      </c>
    </row>
    <row r="32" spans="1:49">
      <c r="A32" s="436" t="str">
        <f>IF(Asta!$AE$3&lt;AW32,"","A")</f>
        <v>A</v>
      </c>
      <c r="B32" s="9" t="str">
        <f ca="1">IF(A32="","",IF(ISNA(MATCH(A$3&amp;A32&amp;$AW32,Asta!$I:$I,0)),"",INDIRECT("Asta!B"&amp;MATCH(A$3&amp;A32&amp;$AW32,Asta!$I:$I,0))))</f>
        <v/>
      </c>
      <c r="C32" s="10" t="str">
        <f ca="1">IF(B32="","",IF(ISNA(MATCH(A$3&amp;A32&amp;$AW32,Asta!$I:$I,0)),"",INDIRECT("Asta!H"&amp;MATCH(A$3&amp;A32&amp;$AW32,Asta!$I:$I,0))))</f>
        <v/>
      </c>
      <c r="D32" s="9"/>
      <c r="E32" s="436" t="str">
        <f t="shared" si="22"/>
        <v>A</v>
      </c>
      <c r="F32" s="9" t="str">
        <f ca="1">IF(E32="","",IF(ISNA(MATCH(E$3&amp;E32&amp;$AW32,Asta!$I:$I,0)),"",INDIRECT("Asta!B"&amp;MATCH(E$3&amp;E32&amp;$AW32,Asta!$I:$I,0))))</f>
        <v/>
      </c>
      <c r="G32" s="10" t="str">
        <f ca="1">IF(F32="","",IF(ISNA(MATCH(E$3&amp;E32&amp;$AW32,Asta!$I:$I,0)),"",INDIRECT("Asta!H"&amp;MATCH(E$3&amp;E32&amp;$AW32,Asta!$I:$I,0))))</f>
        <v/>
      </c>
      <c r="H32" s="9"/>
      <c r="I32" s="436" t="str">
        <f t="shared" ref="I32:I38" si="23">E32</f>
        <v>A</v>
      </c>
      <c r="J32" s="9" t="str">
        <f ca="1">IF(I32="","",IF(ISNA(MATCH(I$3&amp;I32&amp;$AW32,Asta!$I:$I,0)),"",INDIRECT("Asta!B"&amp;MATCH(I$3&amp;I32&amp;$AW32,Asta!$I:$I,0))))</f>
        <v/>
      </c>
      <c r="K32" s="10" t="str">
        <f ca="1">IF(J32="","",IF(ISNA(MATCH(I$3&amp;I32&amp;$AW32,Asta!$I:$I,0)),"",INDIRECT("Asta!H"&amp;MATCH(I$3&amp;I32&amp;$AW32,Asta!$I:$I,0))))</f>
        <v/>
      </c>
      <c r="L32" s="9"/>
      <c r="M32" s="436" t="str">
        <f t="shared" ref="M32:M38" si="24">I32</f>
        <v>A</v>
      </c>
      <c r="N32" s="9" t="str">
        <f ca="1">IF(M32="","",IF(ISNA(MATCH(M$3&amp;M32&amp;$AW32,Asta!$I:$I,0)),"",INDIRECT("Asta!B"&amp;MATCH(M$3&amp;M32&amp;$AW32,Asta!$I:$I,0))))</f>
        <v/>
      </c>
      <c r="O32" s="10" t="str">
        <f ca="1">IF(N32="","",IF(ISNA(MATCH(M$3&amp;M32&amp;$AW32,Asta!$I:$I,0)),"",INDIRECT("Asta!H"&amp;MATCH(M$3&amp;M32&amp;$AW32,Asta!$I:$I,0))))</f>
        <v/>
      </c>
      <c r="P32" s="9"/>
      <c r="Q32" s="436" t="str">
        <f t="shared" ref="Q32:Q38" si="25">M32</f>
        <v>A</v>
      </c>
      <c r="R32" s="9" t="str">
        <f ca="1">IF(Q32="","",IF(ISNA(MATCH(Q$3&amp;Q32&amp;$AW32,Asta!$I:$I,0)),"",INDIRECT("Asta!B"&amp;MATCH(Q$3&amp;Q32&amp;$AW32,Asta!$I:$I,0))))</f>
        <v/>
      </c>
      <c r="S32" s="10" t="str">
        <f ca="1">IF(R32="","",IF(ISNA(MATCH(Q$3&amp;Q32&amp;$AW32,Asta!$I:$I,0)),"",INDIRECT("Asta!H"&amp;MATCH(Q$3&amp;Q32&amp;$AW32,Asta!$I:$I,0))))</f>
        <v/>
      </c>
      <c r="T32" s="9"/>
      <c r="U32" s="436" t="str">
        <f t="shared" ref="U32:U38" si="26">Q32</f>
        <v>A</v>
      </c>
      <c r="V32" s="9" t="str">
        <f ca="1">IF(U32="","",IF(ISNA(MATCH(U$3&amp;U32&amp;$AW32,Asta!$I:$I,0)),"",INDIRECT("Asta!B"&amp;MATCH(U$3&amp;U32&amp;$AW32,Asta!$I:$I,0))))</f>
        <v/>
      </c>
      <c r="W32" s="10" t="str">
        <f ca="1">IF(V32="","",IF(ISNA(MATCH(U$3&amp;U32&amp;$AW32,Asta!$I:$I,0)),"",INDIRECT("Asta!H"&amp;MATCH(U$3&amp;U32&amp;$AW32,Asta!$I:$I,0))))</f>
        <v/>
      </c>
      <c r="X32" s="9"/>
      <c r="Y32" s="436" t="str">
        <f t="shared" ref="Y32:Y38" si="27">U32</f>
        <v>A</v>
      </c>
      <c r="Z32" s="9" t="str">
        <f ca="1">IF(Y32="","",IF(ISNA(MATCH(Y$3&amp;Y32&amp;$AW32,Asta!$I:$I,0)),"",INDIRECT("Asta!B"&amp;MATCH(Y$3&amp;Y32&amp;$AW32,Asta!$I:$I,0))))</f>
        <v/>
      </c>
      <c r="AA32" s="10" t="str">
        <f ca="1">IF(Z32="","",IF(ISNA(MATCH(Y$3&amp;Y32&amp;$AW32,Asta!$I:$I,0)),"",INDIRECT("Asta!H"&amp;MATCH(Y$3&amp;Y32&amp;$AW32,Asta!$I:$I,0))))</f>
        <v/>
      </c>
      <c r="AB32" s="9"/>
      <c r="AC32" s="436" t="str">
        <f t="shared" ref="AC32:AC38" si="28">Y32</f>
        <v>A</v>
      </c>
      <c r="AD32" s="9" t="str">
        <f ca="1">IF(AC32="","",IF(ISNA(MATCH(AC$3&amp;AC32&amp;$AW32,Asta!$I:$I,0)),"",INDIRECT("Asta!B"&amp;MATCH(AC$3&amp;AC32&amp;$AW32,Asta!$I:$I,0))))</f>
        <v/>
      </c>
      <c r="AE32" s="10" t="str">
        <f ca="1">IF(AD32="","",IF(ISNA(MATCH(AC$3&amp;AC32&amp;$AW32,Asta!$I:$I,0)),"",INDIRECT("Asta!H"&amp;MATCH(AC$3&amp;AC32&amp;$AW32,Asta!$I:$I,0))))</f>
        <v/>
      </c>
      <c r="AF32" s="9"/>
      <c r="AG32" s="436" t="str">
        <f t="shared" ref="AG32:AG38" si="29">AC32</f>
        <v>A</v>
      </c>
      <c r="AH32" s="9" t="str">
        <f ca="1">IF(AG32="","",IF(ISNA(MATCH(AG$3&amp;AG32&amp;$AW32,Asta!$I:$I,0)),"",INDIRECT("Asta!B"&amp;MATCH(AG$3&amp;AG32&amp;$AW32,Asta!$I:$I,0))))</f>
        <v/>
      </c>
      <c r="AI32" s="10" t="str">
        <f ca="1">IF(AH32="","",IF(ISNA(MATCH(AG$3&amp;AG32&amp;$AW32,Asta!$I:$I,0)),"",INDIRECT("Asta!H"&amp;MATCH(AG$3&amp;AG32&amp;$AW32,Asta!$I:$I,0))))</f>
        <v/>
      </c>
      <c r="AJ32" s="9"/>
      <c r="AK32" s="436" t="str">
        <f t="shared" ref="AK32:AK38" si="30">AG32</f>
        <v>A</v>
      </c>
      <c r="AL32" s="9" t="str">
        <f ca="1">IF(AK32="","",IF(ISNA(MATCH(AK$3&amp;AK32&amp;$AW32,Asta!$I:$I,0)),"",INDIRECT("Asta!B"&amp;MATCH(AK$3&amp;AK32&amp;$AW32,Asta!$I:$I,0))))</f>
        <v/>
      </c>
      <c r="AM32" s="10" t="str">
        <f ca="1">IF(AL32="","",IF(ISNA(MATCH(AK$3&amp;AK32&amp;$AW32,Asta!$I:$I,0)),"",INDIRECT("Asta!H"&amp;MATCH(AK$3&amp;AK32&amp;$AW32,Asta!$I:$I,0))))</f>
        <v/>
      </c>
      <c r="AN32" s="9"/>
      <c r="AO32" s="436" t="str">
        <f t="shared" ref="AO32:AO38" si="31">AK32</f>
        <v>A</v>
      </c>
      <c r="AP32" s="9" t="str">
        <f ca="1">IF(AO32="","",IF(ISNA(MATCH(AO$3&amp;AO32&amp;$AW32,Asta!$I:$I,0)),"",INDIRECT("Asta!B"&amp;MATCH(AO$3&amp;AO32&amp;$AW32,Asta!$I:$I,0))))</f>
        <v/>
      </c>
      <c r="AQ32" s="10" t="str">
        <f ca="1">IF(AP32="","",IF(ISNA(MATCH(AO$3&amp;AO32&amp;$AW32,Asta!$I:$I,0)),"",INDIRECT("Asta!H"&amp;MATCH(AO$3&amp;AO32&amp;$AW32,Asta!$I:$I,0))))</f>
        <v/>
      </c>
      <c r="AR32" s="9"/>
      <c r="AS32" s="436" t="str">
        <f t="shared" ref="AS32:AS38" si="32">AO32</f>
        <v>A</v>
      </c>
      <c r="AT32" s="9" t="str">
        <f ca="1">IF(AS32="","",IF(ISNA(MATCH(AS$3&amp;AS32&amp;$AW32,Asta!$I:$I,0)),"",INDIRECT("Asta!B"&amp;MATCH(AS$3&amp;AS32&amp;$AW32,Asta!$I:$I,0))))</f>
        <v/>
      </c>
      <c r="AU32" s="10" t="str">
        <f ca="1">IF(AT32="","",IF(ISNA(MATCH(AS$3&amp;AS32&amp;$AW32,Asta!$I:$I,0)),"",INDIRECT("Asta!H"&amp;MATCH(AS$3&amp;AS32&amp;$AW32,Asta!$I:$I,0))))</f>
        <v/>
      </c>
      <c r="AV32" s="9"/>
      <c r="AW32" s="4">
        <v>2</v>
      </c>
    </row>
    <row r="33" spans="1:49">
      <c r="A33" s="436" t="str">
        <f>IF(Asta!$AE$3&lt;AW33,"","A")</f>
        <v>A</v>
      </c>
      <c r="B33" s="9" t="str">
        <f ca="1">IF(A33="","",IF(ISNA(MATCH(A$3&amp;A33&amp;$AW33,Asta!$I:$I,0)),"",INDIRECT("Asta!B"&amp;MATCH(A$3&amp;A33&amp;$AW33,Asta!$I:$I,0))))</f>
        <v/>
      </c>
      <c r="C33" s="10" t="str">
        <f ca="1">IF(B33="","",IF(ISNA(MATCH(A$3&amp;A33&amp;$AW33,Asta!$I:$I,0)),"",INDIRECT("Asta!H"&amp;MATCH(A$3&amp;A33&amp;$AW33,Asta!$I:$I,0))))</f>
        <v/>
      </c>
      <c r="D33" s="9"/>
      <c r="E33" s="436" t="str">
        <f t="shared" si="22"/>
        <v>A</v>
      </c>
      <c r="F33" s="9" t="str">
        <f ca="1">IF(E33="","",IF(ISNA(MATCH(E$3&amp;E33&amp;$AW33,Asta!$I:$I,0)),"",INDIRECT("Asta!B"&amp;MATCH(E$3&amp;E33&amp;$AW33,Asta!$I:$I,0))))</f>
        <v/>
      </c>
      <c r="G33" s="10" t="str">
        <f ca="1">IF(F33="","",IF(ISNA(MATCH(E$3&amp;E33&amp;$AW33,Asta!$I:$I,0)),"",INDIRECT("Asta!H"&amp;MATCH(E$3&amp;E33&amp;$AW33,Asta!$I:$I,0))))</f>
        <v/>
      </c>
      <c r="H33" s="9"/>
      <c r="I33" s="436" t="str">
        <f t="shared" si="23"/>
        <v>A</v>
      </c>
      <c r="J33" s="9" t="str">
        <f ca="1">IF(I33="","",IF(ISNA(MATCH(I$3&amp;I33&amp;$AW33,Asta!$I:$I,0)),"",INDIRECT("Asta!B"&amp;MATCH(I$3&amp;I33&amp;$AW33,Asta!$I:$I,0))))</f>
        <v/>
      </c>
      <c r="K33" s="10" t="str">
        <f ca="1">IF(J33="","",IF(ISNA(MATCH(I$3&amp;I33&amp;$AW33,Asta!$I:$I,0)),"",INDIRECT("Asta!H"&amp;MATCH(I$3&amp;I33&amp;$AW33,Asta!$I:$I,0))))</f>
        <v/>
      </c>
      <c r="L33" s="9"/>
      <c r="M33" s="436" t="str">
        <f t="shared" si="24"/>
        <v>A</v>
      </c>
      <c r="N33" s="9" t="str">
        <f ca="1">IF(M33="","",IF(ISNA(MATCH(M$3&amp;M33&amp;$AW33,Asta!$I:$I,0)),"",INDIRECT("Asta!B"&amp;MATCH(M$3&amp;M33&amp;$AW33,Asta!$I:$I,0))))</f>
        <v/>
      </c>
      <c r="O33" s="10" t="str">
        <f ca="1">IF(N33="","",IF(ISNA(MATCH(M$3&amp;M33&amp;$AW33,Asta!$I:$I,0)),"",INDIRECT("Asta!H"&amp;MATCH(M$3&amp;M33&amp;$AW33,Asta!$I:$I,0))))</f>
        <v/>
      </c>
      <c r="P33" s="9"/>
      <c r="Q33" s="436" t="str">
        <f t="shared" si="25"/>
        <v>A</v>
      </c>
      <c r="R33" s="9" t="str">
        <f ca="1">IF(Q33="","",IF(ISNA(MATCH(Q$3&amp;Q33&amp;$AW33,Asta!$I:$I,0)),"",INDIRECT("Asta!B"&amp;MATCH(Q$3&amp;Q33&amp;$AW33,Asta!$I:$I,0))))</f>
        <v/>
      </c>
      <c r="S33" s="10" t="str">
        <f ca="1">IF(R33="","",IF(ISNA(MATCH(Q$3&amp;Q33&amp;$AW33,Asta!$I:$I,0)),"",INDIRECT("Asta!H"&amp;MATCH(Q$3&amp;Q33&amp;$AW33,Asta!$I:$I,0))))</f>
        <v/>
      </c>
      <c r="T33" s="9"/>
      <c r="U33" s="436" t="str">
        <f t="shared" si="26"/>
        <v>A</v>
      </c>
      <c r="V33" s="9" t="str">
        <f ca="1">IF(U33="","",IF(ISNA(MATCH(U$3&amp;U33&amp;$AW33,Asta!$I:$I,0)),"",INDIRECT("Asta!B"&amp;MATCH(U$3&amp;U33&amp;$AW33,Asta!$I:$I,0))))</f>
        <v/>
      </c>
      <c r="W33" s="10" t="str">
        <f ca="1">IF(V33="","",IF(ISNA(MATCH(U$3&amp;U33&amp;$AW33,Asta!$I:$I,0)),"",INDIRECT("Asta!H"&amp;MATCH(U$3&amp;U33&amp;$AW33,Asta!$I:$I,0))))</f>
        <v/>
      </c>
      <c r="X33" s="9"/>
      <c r="Y33" s="436" t="str">
        <f t="shared" si="27"/>
        <v>A</v>
      </c>
      <c r="Z33" s="9" t="str">
        <f ca="1">IF(Y33="","",IF(ISNA(MATCH(Y$3&amp;Y33&amp;$AW33,Asta!$I:$I,0)),"",INDIRECT("Asta!B"&amp;MATCH(Y$3&amp;Y33&amp;$AW33,Asta!$I:$I,0))))</f>
        <v/>
      </c>
      <c r="AA33" s="10" t="str">
        <f ca="1">IF(Z33="","",IF(ISNA(MATCH(Y$3&amp;Y33&amp;$AW33,Asta!$I:$I,0)),"",INDIRECT("Asta!H"&amp;MATCH(Y$3&amp;Y33&amp;$AW33,Asta!$I:$I,0))))</f>
        <v/>
      </c>
      <c r="AB33" s="9"/>
      <c r="AC33" s="436" t="str">
        <f t="shared" si="28"/>
        <v>A</v>
      </c>
      <c r="AD33" s="9" t="str">
        <f ca="1">IF(AC33="","",IF(ISNA(MATCH(AC$3&amp;AC33&amp;$AW33,Asta!$I:$I,0)),"",INDIRECT("Asta!B"&amp;MATCH(AC$3&amp;AC33&amp;$AW33,Asta!$I:$I,0))))</f>
        <v/>
      </c>
      <c r="AE33" s="10" t="str">
        <f ca="1">IF(AD33="","",IF(ISNA(MATCH(AC$3&amp;AC33&amp;$AW33,Asta!$I:$I,0)),"",INDIRECT("Asta!H"&amp;MATCH(AC$3&amp;AC33&amp;$AW33,Asta!$I:$I,0))))</f>
        <v/>
      </c>
      <c r="AF33" s="9"/>
      <c r="AG33" s="436" t="str">
        <f t="shared" si="29"/>
        <v>A</v>
      </c>
      <c r="AH33" s="9" t="str">
        <f ca="1">IF(AG33="","",IF(ISNA(MATCH(AG$3&amp;AG33&amp;$AW33,Asta!$I:$I,0)),"",INDIRECT("Asta!B"&amp;MATCH(AG$3&amp;AG33&amp;$AW33,Asta!$I:$I,0))))</f>
        <v/>
      </c>
      <c r="AI33" s="10" t="str">
        <f ca="1">IF(AH33="","",IF(ISNA(MATCH(AG$3&amp;AG33&amp;$AW33,Asta!$I:$I,0)),"",INDIRECT("Asta!H"&amp;MATCH(AG$3&amp;AG33&amp;$AW33,Asta!$I:$I,0))))</f>
        <v/>
      </c>
      <c r="AJ33" s="9"/>
      <c r="AK33" s="436" t="str">
        <f t="shared" si="30"/>
        <v>A</v>
      </c>
      <c r="AL33" s="9" t="str">
        <f ca="1">IF(AK33="","",IF(ISNA(MATCH(AK$3&amp;AK33&amp;$AW33,Asta!$I:$I,0)),"",INDIRECT("Asta!B"&amp;MATCH(AK$3&amp;AK33&amp;$AW33,Asta!$I:$I,0))))</f>
        <v/>
      </c>
      <c r="AM33" s="10" t="str">
        <f ca="1">IF(AL33="","",IF(ISNA(MATCH(AK$3&amp;AK33&amp;$AW33,Asta!$I:$I,0)),"",INDIRECT("Asta!H"&amp;MATCH(AK$3&amp;AK33&amp;$AW33,Asta!$I:$I,0))))</f>
        <v/>
      </c>
      <c r="AN33" s="9"/>
      <c r="AO33" s="436" t="str">
        <f t="shared" si="31"/>
        <v>A</v>
      </c>
      <c r="AP33" s="9" t="str">
        <f ca="1">IF(AO33="","",IF(ISNA(MATCH(AO$3&amp;AO33&amp;$AW33,Asta!$I:$I,0)),"",INDIRECT("Asta!B"&amp;MATCH(AO$3&amp;AO33&amp;$AW33,Asta!$I:$I,0))))</f>
        <v/>
      </c>
      <c r="AQ33" s="10" t="str">
        <f ca="1">IF(AP33="","",IF(ISNA(MATCH(AO$3&amp;AO33&amp;$AW33,Asta!$I:$I,0)),"",INDIRECT("Asta!H"&amp;MATCH(AO$3&amp;AO33&amp;$AW33,Asta!$I:$I,0))))</f>
        <v/>
      </c>
      <c r="AR33" s="9"/>
      <c r="AS33" s="436" t="str">
        <f t="shared" si="32"/>
        <v>A</v>
      </c>
      <c r="AT33" s="9" t="str">
        <f ca="1">IF(AS33="","",IF(ISNA(MATCH(AS$3&amp;AS33&amp;$AW33,Asta!$I:$I,0)),"",INDIRECT("Asta!B"&amp;MATCH(AS$3&amp;AS33&amp;$AW33,Asta!$I:$I,0))))</f>
        <v/>
      </c>
      <c r="AU33" s="10" t="str">
        <f ca="1">IF(AT33="","",IF(ISNA(MATCH(AS$3&amp;AS33&amp;$AW33,Asta!$I:$I,0)),"",INDIRECT("Asta!H"&amp;MATCH(AS$3&amp;AS33&amp;$AW33,Asta!$I:$I,0))))</f>
        <v/>
      </c>
      <c r="AV33" s="9"/>
      <c r="AW33" s="4">
        <v>3</v>
      </c>
    </row>
    <row r="34" spans="1:49">
      <c r="A34" s="436" t="str">
        <f>IF(Asta!$AE$3&lt;AW34,"","A")</f>
        <v>A</v>
      </c>
      <c r="B34" s="9" t="str">
        <f ca="1">IF(A34="","",IF(ISNA(MATCH(A$3&amp;A34&amp;$AW34,Asta!$I:$I,0)),"",INDIRECT("Asta!B"&amp;MATCH(A$3&amp;A34&amp;$AW34,Asta!$I:$I,0))))</f>
        <v/>
      </c>
      <c r="C34" s="10" t="str">
        <f ca="1">IF(B34="","",IF(ISNA(MATCH(A$3&amp;A34&amp;$AW34,Asta!$I:$I,0)),"",INDIRECT("Asta!H"&amp;MATCH(A$3&amp;A34&amp;$AW34,Asta!$I:$I,0))))</f>
        <v/>
      </c>
      <c r="D34" s="9"/>
      <c r="E34" s="436" t="str">
        <f t="shared" si="22"/>
        <v>A</v>
      </c>
      <c r="F34" s="9" t="str">
        <f ca="1">IF(E34="","",IF(ISNA(MATCH(E$3&amp;E34&amp;$AW34,Asta!$I:$I,0)),"",INDIRECT("Asta!B"&amp;MATCH(E$3&amp;E34&amp;$AW34,Asta!$I:$I,0))))</f>
        <v/>
      </c>
      <c r="G34" s="10" t="str">
        <f ca="1">IF(F34="","",IF(ISNA(MATCH(E$3&amp;E34&amp;$AW34,Asta!$I:$I,0)),"",INDIRECT("Asta!H"&amp;MATCH(E$3&amp;E34&amp;$AW34,Asta!$I:$I,0))))</f>
        <v/>
      </c>
      <c r="H34" s="9"/>
      <c r="I34" s="436" t="str">
        <f t="shared" si="23"/>
        <v>A</v>
      </c>
      <c r="J34" s="9" t="str">
        <f ca="1">IF(I34="","",IF(ISNA(MATCH(I$3&amp;I34&amp;$AW34,Asta!$I:$I,0)),"",INDIRECT("Asta!B"&amp;MATCH(I$3&amp;I34&amp;$AW34,Asta!$I:$I,0))))</f>
        <v/>
      </c>
      <c r="K34" s="10" t="str">
        <f ca="1">IF(J34="","",IF(ISNA(MATCH(I$3&amp;I34&amp;$AW34,Asta!$I:$I,0)),"",INDIRECT("Asta!H"&amp;MATCH(I$3&amp;I34&amp;$AW34,Asta!$I:$I,0))))</f>
        <v/>
      </c>
      <c r="L34" s="9"/>
      <c r="M34" s="436" t="str">
        <f t="shared" si="24"/>
        <v>A</v>
      </c>
      <c r="N34" s="9" t="str">
        <f ca="1">IF(M34="","",IF(ISNA(MATCH(M$3&amp;M34&amp;$AW34,Asta!$I:$I,0)),"",INDIRECT("Asta!B"&amp;MATCH(M$3&amp;M34&amp;$AW34,Asta!$I:$I,0))))</f>
        <v/>
      </c>
      <c r="O34" s="10" t="str">
        <f ca="1">IF(N34="","",IF(ISNA(MATCH(M$3&amp;M34&amp;$AW34,Asta!$I:$I,0)),"",INDIRECT("Asta!H"&amp;MATCH(M$3&amp;M34&amp;$AW34,Asta!$I:$I,0))))</f>
        <v/>
      </c>
      <c r="P34" s="9"/>
      <c r="Q34" s="436" t="str">
        <f t="shared" si="25"/>
        <v>A</v>
      </c>
      <c r="R34" s="9" t="str">
        <f ca="1">IF(Q34="","",IF(ISNA(MATCH(Q$3&amp;Q34&amp;$AW34,Asta!$I:$I,0)),"",INDIRECT("Asta!B"&amp;MATCH(Q$3&amp;Q34&amp;$AW34,Asta!$I:$I,0))))</f>
        <v/>
      </c>
      <c r="S34" s="10" t="str">
        <f ca="1">IF(R34="","",IF(ISNA(MATCH(Q$3&amp;Q34&amp;$AW34,Asta!$I:$I,0)),"",INDIRECT("Asta!H"&amp;MATCH(Q$3&amp;Q34&amp;$AW34,Asta!$I:$I,0))))</f>
        <v/>
      </c>
      <c r="T34" s="9"/>
      <c r="U34" s="436" t="str">
        <f t="shared" si="26"/>
        <v>A</v>
      </c>
      <c r="V34" s="9" t="str">
        <f ca="1">IF(U34="","",IF(ISNA(MATCH(U$3&amp;U34&amp;$AW34,Asta!$I:$I,0)),"",INDIRECT("Asta!B"&amp;MATCH(U$3&amp;U34&amp;$AW34,Asta!$I:$I,0))))</f>
        <v/>
      </c>
      <c r="W34" s="10" t="str">
        <f ca="1">IF(V34="","",IF(ISNA(MATCH(U$3&amp;U34&amp;$AW34,Asta!$I:$I,0)),"",INDIRECT("Asta!H"&amp;MATCH(U$3&amp;U34&amp;$AW34,Asta!$I:$I,0))))</f>
        <v/>
      </c>
      <c r="X34" s="9"/>
      <c r="Y34" s="436" t="str">
        <f t="shared" si="27"/>
        <v>A</v>
      </c>
      <c r="Z34" s="9" t="str">
        <f ca="1">IF(Y34="","",IF(ISNA(MATCH(Y$3&amp;Y34&amp;$AW34,Asta!$I:$I,0)),"",INDIRECT("Asta!B"&amp;MATCH(Y$3&amp;Y34&amp;$AW34,Asta!$I:$I,0))))</f>
        <v/>
      </c>
      <c r="AA34" s="10" t="str">
        <f ca="1">IF(Z34="","",IF(ISNA(MATCH(Y$3&amp;Y34&amp;$AW34,Asta!$I:$I,0)),"",INDIRECT("Asta!H"&amp;MATCH(Y$3&amp;Y34&amp;$AW34,Asta!$I:$I,0))))</f>
        <v/>
      </c>
      <c r="AB34" s="9"/>
      <c r="AC34" s="436" t="str">
        <f t="shared" si="28"/>
        <v>A</v>
      </c>
      <c r="AD34" s="9" t="str">
        <f ca="1">IF(AC34="","",IF(ISNA(MATCH(AC$3&amp;AC34&amp;$AW34,Asta!$I:$I,0)),"",INDIRECT("Asta!B"&amp;MATCH(AC$3&amp;AC34&amp;$AW34,Asta!$I:$I,0))))</f>
        <v/>
      </c>
      <c r="AE34" s="10" t="str">
        <f ca="1">IF(AD34="","",IF(ISNA(MATCH(AC$3&amp;AC34&amp;$AW34,Asta!$I:$I,0)),"",INDIRECT("Asta!H"&amp;MATCH(AC$3&amp;AC34&amp;$AW34,Asta!$I:$I,0))))</f>
        <v/>
      </c>
      <c r="AF34" s="9"/>
      <c r="AG34" s="436" t="str">
        <f t="shared" si="29"/>
        <v>A</v>
      </c>
      <c r="AH34" s="9" t="str">
        <f ca="1">IF(AG34="","",IF(ISNA(MATCH(AG$3&amp;AG34&amp;$AW34,Asta!$I:$I,0)),"",INDIRECT("Asta!B"&amp;MATCH(AG$3&amp;AG34&amp;$AW34,Asta!$I:$I,0))))</f>
        <v/>
      </c>
      <c r="AI34" s="10" t="str">
        <f ca="1">IF(AH34="","",IF(ISNA(MATCH(AG$3&amp;AG34&amp;$AW34,Asta!$I:$I,0)),"",INDIRECT("Asta!H"&amp;MATCH(AG$3&amp;AG34&amp;$AW34,Asta!$I:$I,0))))</f>
        <v/>
      </c>
      <c r="AJ34" s="9"/>
      <c r="AK34" s="436" t="str">
        <f t="shared" si="30"/>
        <v>A</v>
      </c>
      <c r="AL34" s="9" t="str">
        <f ca="1">IF(AK34="","",IF(ISNA(MATCH(AK$3&amp;AK34&amp;$AW34,Asta!$I:$I,0)),"",INDIRECT("Asta!B"&amp;MATCH(AK$3&amp;AK34&amp;$AW34,Asta!$I:$I,0))))</f>
        <v/>
      </c>
      <c r="AM34" s="10" t="str">
        <f ca="1">IF(AL34="","",IF(ISNA(MATCH(AK$3&amp;AK34&amp;$AW34,Asta!$I:$I,0)),"",INDIRECT("Asta!H"&amp;MATCH(AK$3&amp;AK34&amp;$AW34,Asta!$I:$I,0))))</f>
        <v/>
      </c>
      <c r="AN34" s="9"/>
      <c r="AO34" s="436" t="str">
        <f t="shared" si="31"/>
        <v>A</v>
      </c>
      <c r="AP34" s="9" t="str">
        <f ca="1">IF(AO34="","",IF(ISNA(MATCH(AO$3&amp;AO34&amp;$AW34,Asta!$I:$I,0)),"",INDIRECT("Asta!B"&amp;MATCH(AO$3&amp;AO34&amp;$AW34,Asta!$I:$I,0))))</f>
        <v/>
      </c>
      <c r="AQ34" s="10" t="str">
        <f ca="1">IF(AP34="","",IF(ISNA(MATCH(AO$3&amp;AO34&amp;$AW34,Asta!$I:$I,0)),"",INDIRECT("Asta!H"&amp;MATCH(AO$3&amp;AO34&amp;$AW34,Asta!$I:$I,0))))</f>
        <v/>
      </c>
      <c r="AR34" s="9"/>
      <c r="AS34" s="436" t="str">
        <f t="shared" si="32"/>
        <v>A</v>
      </c>
      <c r="AT34" s="9" t="str">
        <f ca="1">IF(AS34="","",IF(ISNA(MATCH(AS$3&amp;AS34&amp;$AW34,Asta!$I:$I,0)),"",INDIRECT("Asta!B"&amp;MATCH(AS$3&amp;AS34&amp;$AW34,Asta!$I:$I,0))))</f>
        <v/>
      </c>
      <c r="AU34" s="10" t="str">
        <f ca="1">IF(AT34="","",IF(ISNA(MATCH(AS$3&amp;AS34&amp;$AW34,Asta!$I:$I,0)),"",INDIRECT("Asta!H"&amp;MATCH(AS$3&amp;AS34&amp;$AW34,Asta!$I:$I,0))))</f>
        <v/>
      </c>
      <c r="AV34" s="9"/>
      <c r="AW34" s="4">
        <v>4</v>
      </c>
    </row>
    <row r="35" spans="1:49">
      <c r="A35" s="436" t="str">
        <f>IF(Asta!$AE$3&lt;AW35,"","A")</f>
        <v>A</v>
      </c>
      <c r="B35" s="9" t="str">
        <f ca="1">IF(A35="","",IF(ISNA(MATCH(A$3&amp;A35&amp;$AW35,Asta!$I:$I,0)),"",INDIRECT("Asta!B"&amp;MATCH(A$3&amp;A35&amp;$AW35,Asta!$I:$I,0))))</f>
        <v/>
      </c>
      <c r="C35" s="10" t="str">
        <f ca="1">IF(B35="","",IF(ISNA(MATCH(A$3&amp;A35&amp;$AW35,Asta!$I:$I,0)),"",INDIRECT("Asta!H"&amp;MATCH(A$3&amp;A35&amp;$AW35,Asta!$I:$I,0))))</f>
        <v/>
      </c>
      <c r="D35" s="9"/>
      <c r="E35" s="436" t="str">
        <f t="shared" si="22"/>
        <v>A</v>
      </c>
      <c r="F35" s="9" t="str">
        <f ca="1">IF(E35="","",IF(ISNA(MATCH(E$3&amp;E35&amp;$AW35,Asta!$I:$I,0)),"",INDIRECT("Asta!B"&amp;MATCH(E$3&amp;E35&amp;$AW35,Asta!$I:$I,0))))</f>
        <v/>
      </c>
      <c r="G35" s="10" t="str">
        <f ca="1">IF(F35="","",IF(ISNA(MATCH(E$3&amp;E35&amp;$AW35,Asta!$I:$I,0)),"",INDIRECT("Asta!H"&amp;MATCH(E$3&amp;E35&amp;$AW35,Asta!$I:$I,0))))</f>
        <v/>
      </c>
      <c r="H35" s="9"/>
      <c r="I35" s="436" t="str">
        <f t="shared" si="23"/>
        <v>A</v>
      </c>
      <c r="J35" s="9" t="str">
        <f ca="1">IF(I35="","",IF(ISNA(MATCH(I$3&amp;I35&amp;$AW35,Asta!$I:$I,0)),"",INDIRECT("Asta!B"&amp;MATCH(I$3&amp;I35&amp;$AW35,Asta!$I:$I,0))))</f>
        <v/>
      </c>
      <c r="K35" s="10" t="str">
        <f ca="1">IF(J35="","",IF(ISNA(MATCH(I$3&amp;I35&amp;$AW35,Asta!$I:$I,0)),"",INDIRECT("Asta!H"&amp;MATCH(I$3&amp;I35&amp;$AW35,Asta!$I:$I,0))))</f>
        <v/>
      </c>
      <c r="L35" s="9"/>
      <c r="M35" s="436" t="str">
        <f t="shared" si="24"/>
        <v>A</v>
      </c>
      <c r="N35" s="9" t="str">
        <f ca="1">IF(M35="","",IF(ISNA(MATCH(M$3&amp;M35&amp;$AW35,Asta!$I:$I,0)),"",INDIRECT("Asta!B"&amp;MATCH(M$3&amp;M35&amp;$AW35,Asta!$I:$I,0))))</f>
        <v/>
      </c>
      <c r="O35" s="10" t="str">
        <f ca="1">IF(N35="","",IF(ISNA(MATCH(M$3&amp;M35&amp;$AW35,Asta!$I:$I,0)),"",INDIRECT("Asta!H"&amp;MATCH(M$3&amp;M35&amp;$AW35,Asta!$I:$I,0))))</f>
        <v/>
      </c>
      <c r="P35" s="9"/>
      <c r="Q35" s="436" t="str">
        <f t="shared" si="25"/>
        <v>A</v>
      </c>
      <c r="R35" s="9" t="str">
        <f ca="1">IF(Q35="","",IF(ISNA(MATCH(Q$3&amp;Q35&amp;$AW35,Asta!$I:$I,0)),"",INDIRECT("Asta!B"&amp;MATCH(Q$3&amp;Q35&amp;$AW35,Asta!$I:$I,0))))</f>
        <v/>
      </c>
      <c r="S35" s="10" t="str">
        <f ca="1">IF(R35="","",IF(ISNA(MATCH(Q$3&amp;Q35&amp;$AW35,Asta!$I:$I,0)),"",INDIRECT("Asta!H"&amp;MATCH(Q$3&amp;Q35&amp;$AW35,Asta!$I:$I,0))))</f>
        <v/>
      </c>
      <c r="T35" s="9"/>
      <c r="U35" s="436" t="str">
        <f t="shared" si="26"/>
        <v>A</v>
      </c>
      <c r="V35" s="9" t="str">
        <f ca="1">IF(U35="","",IF(ISNA(MATCH(U$3&amp;U35&amp;$AW35,Asta!$I:$I,0)),"",INDIRECT("Asta!B"&amp;MATCH(U$3&amp;U35&amp;$AW35,Asta!$I:$I,0))))</f>
        <v/>
      </c>
      <c r="W35" s="10" t="str">
        <f ca="1">IF(V35="","",IF(ISNA(MATCH(U$3&amp;U35&amp;$AW35,Asta!$I:$I,0)),"",INDIRECT("Asta!H"&amp;MATCH(U$3&amp;U35&amp;$AW35,Asta!$I:$I,0))))</f>
        <v/>
      </c>
      <c r="X35" s="9"/>
      <c r="Y35" s="436" t="str">
        <f t="shared" si="27"/>
        <v>A</v>
      </c>
      <c r="Z35" s="9" t="str">
        <f ca="1">IF(Y35="","",IF(ISNA(MATCH(Y$3&amp;Y35&amp;$AW35,Asta!$I:$I,0)),"",INDIRECT("Asta!B"&amp;MATCH(Y$3&amp;Y35&amp;$AW35,Asta!$I:$I,0))))</f>
        <v/>
      </c>
      <c r="AA35" s="10" t="str">
        <f ca="1">IF(Z35="","",IF(ISNA(MATCH(Y$3&amp;Y35&amp;$AW35,Asta!$I:$I,0)),"",INDIRECT("Asta!H"&amp;MATCH(Y$3&amp;Y35&amp;$AW35,Asta!$I:$I,0))))</f>
        <v/>
      </c>
      <c r="AB35" s="9"/>
      <c r="AC35" s="436" t="str">
        <f t="shared" si="28"/>
        <v>A</v>
      </c>
      <c r="AD35" s="9" t="str">
        <f ca="1">IF(AC35="","",IF(ISNA(MATCH(AC$3&amp;AC35&amp;$AW35,Asta!$I:$I,0)),"",INDIRECT("Asta!B"&amp;MATCH(AC$3&amp;AC35&amp;$AW35,Asta!$I:$I,0))))</f>
        <v/>
      </c>
      <c r="AE35" s="10" t="str">
        <f ca="1">IF(AD35="","",IF(ISNA(MATCH(AC$3&amp;AC35&amp;$AW35,Asta!$I:$I,0)),"",INDIRECT("Asta!H"&amp;MATCH(AC$3&amp;AC35&amp;$AW35,Asta!$I:$I,0))))</f>
        <v/>
      </c>
      <c r="AF35" s="9"/>
      <c r="AG35" s="436" t="str">
        <f t="shared" si="29"/>
        <v>A</v>
      </c>
      <c r="AH35" s="9" t="str">
        <f ca="1">IF(AG35="","",IF(ISNA(MATCH(AG$3&amp;AG35&amp;$AW35,Asta!$I:$I,0)),"",INDIRECT("Asta!B"&amp;MATCH(AG$3&amp;AG35&amp;$AW35,Asta!$I:$I,0))))</f>
        <v/>
      </c>
      <c r="AI35" s="10" t="str">
        <f ca="1">IF(AH35="","",IF(ISNA(MATCH(AG$3&amp;AG35&amp;$AW35,Asta!$I:$I,0)),"",INDIRECT("Asta!H"&amp;MATCH(AG$3&amp;AG35&amp;$AW35,Asta!$I:$I,0))))</f>
        <v/>
      </c>
      <c r="AJ35" s="9"/>
      <c r="AK35" s="436" t="str">
        <f t="shared" si="30"/>
        <v>A</v>
      </c>
      <c r="AL35" s="9" t="str">
        <f ca="1">IF(AK35="","",IF(ISNA(MATCH(AK$3&amp;AK35&amp;$AW35,Asta!$I:$I,0)),"",INDIRECT("Asta!B"&amp;MATCH(AK$3&amp;AK35&amp;$AW35,Asta!$I:$I,0))))</f>
        <v/>
      </c>
      <c r="AM35" s="10" t="str">
        <f ca="1">IF(AL35="","",IF(ISNA(MATCH(AK$3&amp;AK35&amp;$AW35,Asta!$I:$I,0)),"",INDIRECT("Asta!H"&amp;MATCH(AK$3&amp;AK35&amp;$AW35,Asta!$I:$I,0))))</f>
        <v/>
      </c>
      <c r="AN35" s="9"/>
      <c r="AO35" s="436" t="str">
        <f t="shared" si="31"/>
        <v>A</v>
      </c>
      <c r="AP35" s="9" t="str">
        <f ca="1">IF(AO35="","",IF(ISNA(MATCH(AO$3&amp;AO35&amp;$AW35,Asta!$I:$I,0)),"",INDIRECT("Asta!B"&amp;MATCH(AO$3&amp;AO35&amp;$AW35,Asta!$I:$I,0))))</f>
        <v/>
      </c>
      <c r="AQ35" s="10" t="str">
        <f ca="1">IF(AP35="","",IF(ISNA(MATCH(AO$3&amp;AO35&amp;$AW35,Asta!$I:$I,0)),"",INDIRECT("Asta!H"&amp;MATCH(AO$3&amp;AO35&amp;$AW35,Asta!$I:$I,0))))</f>
        <v/>
      </c>
      <c r="AR35" s="9"/>
      <c r="AS35" s="436" t="str">
        <f t="shared" si="32"/>
        <v>A</v>
      </c>
      <c r="AT35" s="9" t="str">
        <f ca="1">IF(AS35="","",IF(ISNA(MATCH(AS$3&amp;AS35&amp;$AW35,Asta!$I:$I,0)),"",INDIRECT("Asta!B"&amp;MATCH(AS$3&amp;AS35&amp;$AW35,Asta!$I:$I,0))))</f>
        <v/>
      </c>
      <c r="AU35" s="10" t="str">
        <f ca="1">IF(AT35="","",IF(ISNA(MATCH(AS$3&amp;AS35&amp;$AW35,Asta!$I:$I,0)),"",INDIRECT("Asta!H"&amp;MATCH(AS$3&amp;AS35&amp;$AW35,Asta!$I:$I,0))))</f>
        <v/>
      </c>
      <c r="AV35" s="9"/>
      <c r="AW35" s="4">
        <v>5</v>
      </c>
    </row>
    <row r="36" spans="1:49">
      <c r="A36" s="436" t="str">
        <f>IF(Asta!$AE$3&lt;AW36,"","A")</f>
        <v>A</v>
      </c>
      <c r="B36" s="9" t="str">
        <f ca="1">IF(A36="","",IF(ISNA(MATCH(A$3&amp;A36&amp;$AW36,Asta!$I:$I,0)),"",INDIRECT("Asta!B"&amp;MATCH(A$3&amp;A36&amp;$AW36,Asta!$I:$I,0))))</f>
        <v/>
      </c>
      <c r="C36" s="10" t="str">
        <f ca="1">IF(B36="","",IF(ISNA(MATCH(A$3&amp;A36&amp;$AW36,Asta!$I:$I,0)),"",INDIRECT("Asta!H"&amp;MATCH(A$3&amp;A36&amp;$AW36,Asta!$I:$I,0))))</f>
        <v/>
      </c>
      <c r="D36" s="9"/>
      <c r="E36" s="436" t="str">
        <f t="shared" si="22"/>
        <v>A</v>
      </c>
      <c r="F36" s="9" t="str">
        <f ca="1">IF(E36="","",IF(ISNA(MATCH(E$3&amp;E36&amp;$AW36,Asta!$I:$I,0)),"",INDIRECT("Asta!B"&amp;MATCH(E$3&amp;E36&amp;$AW36,Asta!$I:$I,0))))</f>
        <v/>
      </c>
      <c r="G36" s="10" t="str">
        <f ca="1">IF(F36="","",IF(ISNA(MATCH(E$3&amp;E36&amp;$AW36,Asta!$I:$I,0)),"",INDIRECT("Asta!H"&amp;MATCH(E$3&amp;E36&amp;$AW36,Asta!$I:$I,0))))</f>
        <v/>
      </c>
      <c r="H36" s="9"/>
      <c r="I36" s="436" t="str">
        <f t="shared" si="23"/>
        <v>A</v>
      </c>
      <c r="J36" s="9" t="str">
        <f ca="1">IF(I36="","",IF(ISNA(MATCH(I$3&amp;I36&amp;$AW36,Asta!$I:$I,0)),"",INDIRECT("Asta!B"&amp;MATCH(I$3&amp;I36&amp;$AW36,Asta!$I:$I,0))))</f>
        <v/>
      </c>
      <c r="K36" s="10" t="str">
        <f ca="1">IF(J36="","",IF(ISNA(MATCH(I$3&amp;I36&amp;$AW36,Asta!$I:$I,0)),"",INDIRECT("Asta!H"&amp;MATCH(I$3&amp;I36&amp;$AW36,Asta!$I:$I,0))))</f>
        <v/>
      </c>
      <c r="L36" s="9"/>
      <c r="M36" s="436" t="str">
        <f t="shared" si="24"/>
        <v>A</v>
      </c>
      <c r="N36" s="9" t="str">
        <f ca="1">IF(M36="","",IF(ISNA(MATCH(M$3&amp;M36&amp;$AW36,Asta!$I:$I,0)),"",INDIRECT("Asta!B"&amp;MATCH(M$3&amp;M36&amp;$AW36,Asta!$I:$I,0))))</f>
        <v/>
      </c>
      <c r="O36" s="10" t="str">
        <f ca="1">IF(N36="","",IF(ISNA(MATCH(M$3&amp;M36&amp;$AW36,Asta!$I:$I,0)),"",INDIRECT("Asta!H"&amp;MATCH(M$3&amp;M36&amp;$AW36,Asta!$I:$I,0))))</f>
        <v/>
      </c>
      <c r="P36" s="9"/>
      <c r="Q36" s="436" t="str">
        <f t="shared" si="25"/>
        <v>A</v>
      </c>
      <c r="R36" s="9" t="str">
        <f ca="1">IF(Q36="","",IF(ISNA(MATCH(Q$3&amp;Q36&amp;$AW36,Asta!$I:$I,0)),"",INDIRECT("Asta!B"&amp;MATCH(Q$3&amp;Q36&amp;$AW36,Asta!$I:$I,0))))</f>
        <v/>
      </c>
      <c r="S36" s="10" t="str">
        <f ca="1">IF(R36="","",IF(ISNA(MATCH(Q$3&amp;Q36&amp;$AW36,Asta!$I:$I,0)),"",INDIRECT("Asta!H"&amp;MATCH(Q$3&amp;Q36&amp;$AW36,Asta!$I:$I,0))))</f>
        <v/>
      </c>
      <c r="T36" s="9"/>
      <c r="U36" s="436" t="str">
        <f t="shared" si="26"/>
        <v>A</v>
      </c>
      <c r="V36" s="9" t="str">
        <f ca="1">IF(U36="","",IF(ISNA(MATCH(U$3&amp;U36&amp;$AW36,Asta!$I:$I,0)),"",INDIRECT("Asta!B"&amp;MATCH(U$3&amp;U36&amp;$AW36,Asta!$I:$I,0))))</f>
        <v/>
      </c>
      <c r="W36" s="10" t="str">
        <f ca="1">IF(V36="","",IF(ISNA(MATCH(U$3&amp;U36&amp;$AW36,Asta!$I:$I,0)),"",INDIRECT("Asta!H"&amp;MATCH(U$3&amp;U36&amp;$AW36,Asta!$I:$I,0))))</f>
        <v/>
      </c>
      <c r="X36" s="9"/>
      <c r="Y36" s="436" t="str">
        <f t="shared" si="27"/>
        <v>A</v>
      </c>
      <c r="Z36" s="9" t="str">
        <f ca="1">IF(Y36="","",IF(ISNA(MATCH(Y$3&amp;Y36&amp;$AW36,Asta!$I:$I,0)),"",INDIRECT("Asta!B"&amp;MATCH(Y$3&amp;Y36&amp;$AW36,Asta!$I:$I,0))))</f>
        <v/>
      </c>
      <c r="AA36" s="10" t="str">
        <f ca="1">IF(Z36="","",IF(ISNA(MATCH(Y$3&amp;Y36&amp;$AW36,Asta!$I:$I,0)),"",INDIRECT("Asta!H"&amp;MATCH(Y$3&amp;Y36&amp;$AW36,Asta!$I:$I,0))))</f>
        <v/>
      </c>
      <c r="AB36" s="9"/>
      <c r="AC36" s="436" t="str">
        <f t="shared" si="28"/>
        <v>A</v>
      </c>
      <c r="AD36" s="9" t="str">
        <f ca="1">IF(AC36="","",IF(ISNA(MATCH(AC$3&amp;AC36&amp;$AW36,Asta!$I:$I,0)),"",INDIRECT("Asta!B"&amp;MATCH(AC$3&amp;AC36&amp;$AW36,Asta!$I:$I,0))))</f>
        <v/>
      </c>
      <c r="AE36" s="10" t="str">
        <f ca="1">IF(AD36="","",IF(ISNA(MATCH(AC$3&amp;AC36&amp;$AW36,Asta!$I:$I,0)),"",INDIRECT("Asta!H"&amp;MATCH(AC$3&amp;AC36&amp;$AW36,Asta!$I:$I,0))))</f>
        <v/>
      </c>
      <c r="AF36" s="9"/>
      <c r="AG36" s="436" t="str">
        <f t="shared" si="29"/>
        <v>A</v>
      </c>
      <c r="AH36" s="9" t="str">
        <f ca="1">IF(AG36="","",IF(ISNA(MATCH(AG$3&amp;AG36&amp;$AW36,Asta!$I:$I,0)),"",INDIRECT("Asta!B"&amp;MATCH(AG$3&amp;AG36&amp;$AW36,Asta!$I:$I,0))))</f>
        <v/>
      </c>
      <c r="AI36" s="10" t="str">
        <f ca="1">IF(AH36="","",IF(ISNA(MATCH(AG$3&amp;AG36&amp;$AW36,Asta!$I:$I,0)),"",INDIRECT("Asta!H"&amp;MATCH(AG$3&amp;AG36&amp;$AW36,Asta!$I:$I,0))))</f>
        <v/>
      </c>
      <c r="AJ36" s="9"/>
      <c r="AK36" s="436" t="str">
        <f t="shared" si="30"/>
        <v>A</v>
      </c>
      <c r="AL36" s="9" t="str">
        <f ca="1">IF(AK36="","",IF(ISNA(MATCH(AK$3&amp;AK36&amp;$AW36,Asta!$I:$I,0)),"",INDIRECT("Asta!B"&amp;MATCH(AK$3&amp;AK36&amp;$AW36,Asta!$I:$I,0))))</f>
        <v/>
      </c>
      <c r="AM36" s="10" t="str">
        <f ca="1">IF(AL36="","",IF(ISNA(MATCH(AK$3&amp;AK36&amp;$AW36,Asta!$I:$I,0)),"",INDIRECT("Asta!H"&amp;MATCH(AK$3&amp;AK36&amp;$AW36,Asta!$I:$I,0))))</f>
        <v/>
      </c>
      <c r="AN36" s="9"/>
      <c r="AO36" s="436" t="str">
        <f t="shared" si="31"/>
        <v>A</v>
      </c>
      <c r="AP36" s="9" t="str">
        <f ca="1">IF(AO36="","",IF(ISNA(MATCH(AO$3&amp;AO36&amp;$AW36,Asta!$I:$I,0)),"",INDIRECT("Asta!B"&amp;MATCH(AO$3&amp;AO36&amp;$AW36,Asta!$I:$I,0))))</f>
        <v/>
      </c>
      <c r="AQ36" s="10" t="str">
        <f ca="1">IF(AP36="","",IF(ISNA(MATCH(AO$3&amp;AO36&amp;$AW36,Asta!$I:$I,0)),"",INDIRECT("Asta!H"&amp;MATCH(AO$3&amp;AO36&amp;$AW36,Asta!$I:$I,0))))</f>
        <v/>
      </c>
      <c r="AR36" s="9"/>
      <c r="AS36" s="436" t="str">
        <f t="shared" si="32"/>
        <v>A</v>
      </c>
      <c r="AT36" s="9" t="str">
        <f ca="1">IF(AS36="","",IF(ISNA(MATCH(AS$3&amp;AS36&amp;$AW36,Asta!$I:$I,0)),"",INDIRECT("Asta!B"&amp;MATCH(AS$3&amp;AS36&amp;$AW36,Asta!$I:$I,0))))</f>
        <v/>
      </c>
      <c r="AU36" s="10" t="str">
        <f ca="1">IF(AT36="","",IF(ISNA(MATCH(AS$3&amp;AS36&amp;$AW36,Asta!$I:$I,0)),"",INDIRECT("Asta!H"&amp;MATCH(AS$3&amp;AS36&amp;$AW36,Asta!$I:$I,0))))</f>
        <v/>
      </c>
      <c r="AV36" s="9"/>
      <c r="AW36" s="4">
        <v>6</v>
      </c>
    </row>
    <row r="37" spans="1:49">
      <c r="A37" s="436" t="str">
        <f>IF(Asta!$AE$3&lt;AW37,"","A")</f>
        <v/>
      </c>
      <c r="B37" s="9" t="str">
        <f ca="1">IF(A37="","",IF(ISNA(MATCH(A$3&amp;A37&amp;$AW37,Asta!$I:$I,0)),"",INDIRECT("Asta!B"&amp;MATCH(A$3&amp;A37&amp;$AW37,Asta!$I:$I,0))))</f>
        <v/>
      </c>
      <c r="C37" s="10" t="str">
        <f ca="1">IF(B37="","",IF(ISNA(MATCH(A$3&amp;A37&amp;$AW37,Asta!$I:$I,0)),"",INDIRECT("Asta!H"&amp;MATCH(A$3&amp;A37&amp;$AW37,Asta!$I:$I,0))))</f>
        <v/>
      </c>
      <c r="D37" s="9"/>
      <c r="E37" s="436" t="str">
        <f t="shared" si="22"/>
        <v/>
      </c>
      <c r="F37" s="9" t="str">
        <f ca="1">IF(E37="","",IF(ISNA(MATCH(E$3&amp;E37&amp;$AW37,Asta!$I:$I,0)),"",INDIRECT("Asta!B"&amp;MATCH(E$3&amp;E37&amp;$AW37,Asta!$I:$I,0))))</f>
        <v/>
      </c>
      <c r="G37" s="10" t="str">
        <f ca="1">IF(F37="","",IF(ISNA(MATCH(E$3&amp;E37&amp;$AW37,Asta!$I:$I,0)),"",INDIRECT("Asta!H"&amp;MATCH(E$3&amp;E37&amp;$AW37,Asta!$I:$I,0))))</f>
        <v/>
      </c>
      <c r="H37" s="9"/>
      <c r="I37" s="436" t="str">
        <f t="shared" si="23"/>
        <v/>
      </c>
      <c r="J37" s="9" t="str">
        <f ca="1">IF(I37="","",IF(ISNA(MATCH(I$3&amp;I37&amp;$AW37,Asta!$I:$I,0)),"",INDIRECT("Asta!B"&amp;MATCH(I$3&amp;I37&amp;$AW37,Asta!$I:$I,0))))</f>
        <v/>
      </c>
      <c r="K37" s="10" t="str">
        <f ca="1">IF(J37="","",IF(ISNA(MATCH(I$3&amp;I37&amp;$AW37,Asta!$I:$I,0)),"",INDIRECT("Asta!H"&amp;MATCH(I$3&amp;I37&amp;$AW37,Asta!$I:$I,0))))</f>
        <v/>
      </c>
      <c r="L37" s="9"/>
      <c r="M37" s="436" t="str">
        <f t="shared" si="24"/>
        <v/>
      </c>
      <c r="N37" s="9" t="str">
        <f ca="1">IF(M37="","",IF(ISNA(MATCH(M$3&amp;M37&amp;$AW37,Asta!$I:$I,0)),"",INDIRECT("Asta!B"&amp;MATCH(M$3&amp;M37&amp;$AW37,Asta!$I:$I,0))))</f>
        <v/>
      </c>
      <c r="O37" s="10" t="str">
        <f ca="1">IF(N37="","",IF(ISNA(MATCH(M$3&amp;M37&amp;$AW37,Asta!$I:$I,0)),"",INDIRECT("Asta!H"&amp;MATCH(M$3&amp;M37&amp;$AW37,Asta!$I:$I,0))))</f>
        <v/>
      </c>
      <c r="P37" s="9"/>
      <c r="Q37" s="436" t="str">
        <f t="shared" si="25"/>
        <v/>
      </c>
      <c r="R37" s="9" t="str">
        <f ca="1">IF(Q37="","",IF(ISNA(MATCH(Q$3&amp;Q37&amp;$AW37,Asta!$I:$I,0)),"",INDIRECT("Asta!B"&amp;MATCH(Q$3&amp;Q37&amp;$AW37,Asta!$I:$I,0))))</f>
        <v/>
      </c>
      <c r="S37" s="10" t="str">
        <f ca="1">IF(R37="","",IF(ISNA(MATCH(Q$3&amp;Q37&amp;$AW37,Asta!$I:$I,0)),"",INDIRECT("Asta!H"&amp;MATCH(Q$3&amp;Q37&amp;$AW37,Asta!$I:$I,0))))</f>
        <v/>
      </c>
      <c r="T37" s="9"/>
      <c r="U37" s="436" t="str">
        <f t="shared" si="26"/>
        <v/>
      </c>
      <c r="V37" s="9" t="str">
        <f ca="1">IF(U37="","",IF(ISNA(MATCH(U$3&amp;U37&amp;$AW37,Asta!$I:$I,0)),"",INDIRECT("Asta!B"&amp;MATCH(U$3&amp;U37&amp;$AW37,Asta!$I:$I,0))))</f>
        <v/>
      </c>
      <c r="W37" s="10" t="str">
        <f ca="1">IF(V37="","",IF(ISNA(MATCH(U$3&amp;U37&amp;$AW37,Asta!$I:$I,0)),"",INDIRECT("Asta!H"&amp;MATCH(U$3&amp;U37&amp;$AW37,Asta!$I:$I,0))))</f>
        <v/>
      </c>
      <c r="X37" s="9"/>
      <c r="Y37" s="436" t="str">
        <f t="shared" si="27"/>
        <v/>
      </c>
      <c r="Z37" s="9" t="str">
        <f ca="1">IF(Y37="","",IF(ISNA(MATCH(Y$3&amp;Y37&amp;$AW37,Asta!$I:$I,0)),"",INDIRECT("Asta!B"&amp;MATCH(Y$3&amp;Y37&amp;$AW37,Asta!$I:$I,0))))</f>
        <v/>
      </c>
      <c r="AA37" s="10" t="str">
        <f ca="1">IF(Z37="","",IF(ISNA(MATCH(Y$3&amp;Y37&amp;$AW37,Asta!$I:$I,0)),"",INDIRECT("Asta!H"&amp;MATCH(Y$3&amp;Y37&amp;$AW37,Asta!$I:$I,0))))</f>
        <v/>
      </c>
      <c r="AB37" s="9"/>
      <c r="AC37" s="436" t="str">
        <f t="shared" si="28"/>
        <v/>
      </c>
      <c r="AD37" s="9" t="str">
        <f ca="1">IF(AC37="","",IF(ISNA(MATCH(AC$3&amp;AC37&amp;$AW37,Asta!$I:$I,0)),"",INDIRECT("Asta!B"&amp;MATCH(AC$3&amp;AC37&amp;$AW37,Asta!$I:$I,0))))</f>
        <v/>
      </c>
      <c r="AE37" s="10" t="str">
        <f ca="1">IF(AD37="","",IF(ISNA(MATCH(AC$3&amp;AC37&amp;$AW37,Asta!$I:$I,0)),"",INDIRECT("Asta!H"&amp;MATCH(AC$3&amp;AC37&amp;$AW37,Asta!$I:$I,0))))</f>
        <v/>
      </c>
      <c r="AF37" s="9"/>
      <c r="AG37" s="436" t="str">
        <f t="shared" si="29"/>
        <v/>
      </c>
      <c r="AH37" s="9" t="str">
        <f ca="1">IF(AG37="","",IF(ISNA(MATCH(AG$3&amp;AG37&amp;$AW37,Asta!$I:$I,0)),"",INDIRECT("Asta!B"&amp;MATCH(AG$3&amp;AG37&amp;$AW37,Asta!$I:$I,0))))</f>
        <v/>
      </c>
      <c r="AI37" s="10" t="str">
        <f ca="1">IF(AH37="","",IF(ISNA(MATCH(AG$3&amp;AG37&amp;$AW37,Asta!$I:$I,0)),"",INDIRECT("Asta!H"&amp;MATCH(AG$3&amp;AG37&amp;$AW37,Asta!$I:$I,0))))</f>
        <v/>
      </c>
      <c r="AJ37" s="9"/>
      <c r="AK37" s="436" t="str">
        <f t="shared" si="30"/>
        <v/>
      </c>
      <c r="AL37" s="9" t="str">
        <f ca="1">IF(AK37="","",IF(ISNA(MATCH(AK$3&amp;AK37&amp;$AW37,Asta!$I:$I,0)),"",INDIRECT("Asta!B"&amp;MATCH(AK$3&amp;AK37&amp;$AW37,Asta!$I:$I,0))))</f>
        <v/>
      </c>
      <c r="AM37" s="10" t="str">
        <f ca="1">IF(AL37="","",IF(ISNA(MATCH(AK$3&amp;AK37&amp;$AW37,Asta!$I:$I,0)),"",INDIRECT("Asta!H"&amp;MATCH(AK$3&amp;AK37&amp;$AW37,Asta!$I:$I,0))))</f>
        <v/>
      </c>
      <c r="AN37" s="9"/>
      <c r="AO37" s="436" t="str">
        <f t="shared" si="31"/>
        <v/>
      </c>
      <c r="AP37" s="9" t="str">
        <f ca="1">IF(AO37="","",IF(ISNA(MATCH(AO$3&amp;AO37&amp;$AW37,Asta!$I:$I,0)),"",INDIRECT("Asta!B"&amp;MATCH(AO$3&amp;AO37&amp;$AW37,Asta!$I:$I,0))))</f>
        <v/>
      </c>
      <c r="AQ37" s="10" t="str">
        <f ca="1">IF(AP37="","",IF(ISNA(MATCH(AO$3&amp;AO37&amp;$AW37,Asta!$I:$I,0)),"",INDIRECT("Asta!H"&amp;MATCH(AO$3&amp;AO37&amp;$AW37,Asta!$I:$I,0))))</f>
        <v/>
      </c>
      <c r="AR37" s="9"/>
      <c r="AS37" s="436" t="str">
        <f t="shared" si="32"/>
        <v/>
      </c>
      <c r="AT37" s="9" t="str">
        <f ca="1">IF(AS37="","",IF(ISNA(MATCH(AS$3&amp;AS37&amp;$AW37,Asta!$I:$I,0)),"",INDIRECT("Asta!B"&amp;MATCH(AS$3&amp;AS37&amp;$AW37,Asta!$I:$I,0))))</f>
        <v/>
      </c>
      <c r="AU37" s="10" t="str">
        <f ca="1">IF(AT37="","",IF(ISNA(MATCH(AS$3&amp;AS37&amp;$AW37,Asta!$I:$I,0)),"",INDIRECT("Asta!H"&amp;MATCH(AS$3&amp;AS37&amp;$AW37,Asta!$I:$I,0))))</f>
        <v/>
      </c>
      <c r="AV37" s="9"/>
      <c r="AW37" s="4">
        <v>7</v>
      </c>
    </row>
    <row r="38" spans="1:49" ht="13.5" customHeight="1">
      <c r="A38" s="436" t="str">
        <f>IF(Asta!$AE$3&lt;AW38,"","A")</f>
        <v/>
      </c>
      <c r="B38" s="9" t="str">
        <f ca="1">IF(A38="","",IF(ISNA(MATCH(A$3&amp;A38&amp;$AW38,Asta!$I:$I,0)),"",INDIRECT("Asta!B"&amp;MATCH(A$3&amp;A38&amp;$AW38,Asta!$I:$I,0))))</f>
        <v/>
      </c>
      <c r="C38" s="10" t="str">
        <f ca="1">IF(B38="","",IF(ISNA(MATCH(A$3&amp;A38&amp;$AW38,Asta!$I:$I,0)),"",INDIRECT("Asta!H"&amp;MATCH(A$3&amp;A38&amp;$AW38,Asta!$I:$I,0))))</f>
        <v/>
      </c>
      <c r="D38" s="9"/>
      <c r="E38" s="436" t="str">
        <f t="shared" si="22"/>
        <v/>
      </c>
      <c r="F38" s="9" t="str">
        <f ca="1">IF(E38="","",IF(ISNA(MATCH(E$3&amp;E38&amp;$AW38,Asta!$I:$I,0)),"",INDIRECT("Asta!B"&amp;MATCH(E$3&amp;E38&amp;$AW38,Asta!$I:$I,0))))</f>
        <v/>
      </c>
      <c r="G38" s="10" t="str">
        <f ca="1">IF(F38="","",IF(ISNA(MATCH(E$3&amp;E38&amp;$AW38,Asta!$I:$I,0)),"",INDIRECT("Asta!H"&amp;MATCH(E$3&amp;E38&amp;$AW38,Asta!$I:$I,0))))</f>
        <v/>
      </c>
      <c r="H38" s="9"/>
      <c r="I38" s="436" t="str">
        <f t="shared" si="23"/>
        <v/>
      </c>
      <c r="J38" s="9" t="str">
        <f ca="1">IF(I38="","",IF(ISNA(MATCH(I$3&amp;I38&amp;$AW38,Asta!$I:$I,0)),"",INDIRECT("Asta!B"&amp;MATCH(I$3&amp;I38&amp;$AW38,Asta!$I:$I,0))))</f>
        <v/>
      </c>
      <c r="K38" s="10" t="str">
        <f ca="1">IF(J38="","",IF(ISNA(MATCH(I$3&amp;I38&amp;$AW38,Asta!$I:$I,0)),"",INDIRECT("Asta!H"&amp;MATCH(I$3&amp;I38&amp;$AW38,Asta!$I:$I,0))))</f>
        <v/>
      </c>
      <c r="L38" s="9"/>
      <c r="M38" s="436" t="str">
        <f t="shared" si="24"/>
        <v/>
      </c>
      <c r="N38" s="9" t="str">
        <f ca="1">IF(M38="","",IF(ISNA(MATCH(M$3&amp;M38&amp;$AW38,Asta!$I:$I,0)),"",INDIRECT("Asta!B"&amp;MATCH(M$3&amp;M38&amp;$AW38,Asta!$I:$I,0))))</f>
        <v/>
      </c>
      <c r="O38" s="10" t="str">
        <f ca="1">IF(N38="","",IF(ISNA(MATCH(M$3&amp;M38&amp;$AW38,Asta!$I:$I,0)),"",INDIRECT("Asta!H"&amp;MATCH(M$3&amp;M38&amp;$AW38,Asta!$I:$I,0))))</f>
        <v/>
      </c>
      <c r="P38" s="9"/>
      <c r="Q38" s="436" t="str">
        <f t="shared" si="25"/>
        <v/>
      </c>
      <c r="R38" s="9" t="str">
        <f ca="1">IF(Q38="","",IF(ISNA(MATCH(Q$3&amp;Q38&amp;$AW38,Asta!$I:$I,0)),"",INDIRECT("Asta!B"&amp;MATCH(Q$3&amp;Q38&amp;$AW38,Asta!$I:$I,0))))</f>
        <v/>
      </c>
      <c r="S38" s="10" t="str">
        <f ca="1">IF(R38="","",IF(ISNA(MATCH(Q$3&amp;Q38&amp;$AW38,Asta!$I:$I,0)),"",INDIRECT("Asta!H"&amp;MATCH(Q$3&amp;Q38&amp;$AW38,Asta!$I:$I,0))))</f>
        <v/>
      </c>
      <c r="T38" s="9"/>
      <c r="U38" s="436" t="str">
        <f t="shared" si="26"/>
        <v/>
      </c>
      <c r="V38" s="9" t="str">
        <f ca="1">IF(U38="","",IF(ISNA(MATCH(U$3&amp;U38&amp;$AW38,Asta!$I:$I,0)),"",INDIRECT("Asta!B"&amp;MATCH(U$3&amp;U38&amp;$AW38,Asta!$I:$I,0))))</f>
        <v/>
      </c>
      <c r="W38" s="10" t="str">
        <f ca="1">IF(V38="","",IF(ISNA(MATCH(U$3&amp;U38&amp;$AW38,Asta!$I:$I,0)),"",INDIRECT("Asta!H"&amp;MATCH(U$3&amp;U38&amp;$AW38,Asta!$I:$I,0))))</f>
        <v/>
      </c>
      <c r="X38" s="9"/>
      <c r="Y38" s="436" t="str">
        <f t="shared" si="27"/>
        <v/>
      </c>
      <c r="Z38" s="9" t="str">
        <f ca="1">IF(Y38="","",IF(ISNA(MATCH(Y$3&amp;Y38&amp;$AW38,Asta!$I:$I,0)),"",INDIRECT("Asta!B"&amp;MATCH(Y$3&amp;Y38&amp;$AW38,Asta!$I:$I,0))))</f>
        <v/>
      </c>
      <c r="AA38" s="10" t="str">
        <f ca="1">IF(Z38="","",IF(ISNA(MATCH(Y$3&amp;Y38&amp;$AW38,Asta!$I:$I,0)),"",INDIRECT("Asta!H"&amp;MATCH(Y$3&amp;Y38&amp;$AW38,Asta!$I:$I,0))))</f>
        <v/>
      </c>
      <c r="AB38" s="9"/>
      <c r="AC38" s="436" t="str">
        <f t="shared" si="28"/>
        <v/>
      </c>
      <c r="AD38" s="9" t="str">
        <f ca="1">IF(AC38="","",IF(ISNA(MATCH(AC$3&amp;AC38&amp;$AW38,Asta!$I:$I,0)),"",INDIRECT("Asta!B"&amp;MATCH(AC$3&amp;AC38&amp;$AW38,Asta!$I:$I,0))))</f>
        <v/>
      </c>
      <c r="AE38" s="10" t="str">
        <f ca="1">IF(AD38="","",IF(ISNA(MATCH(AC$3&amp;AC38&amp;$AW38,Asta!$I:$I,0)),"",INDIRECT("Asta!H"&amp;MATCH(AC$3&amp;AC38&amp;$AW38,Asta!$I:$I,0))))</f>
        <v/>
      </c>
      <c r="AF38" s="9"/>
      <c r="AG38" s="436" t="str">
        <f t="shared" si="29"/>
        <v/>
      </c>
      <c r="AH38" s="9" t="str">
        <f ca="1">IF(AG38="","",IF(ISNA(MATCH(AG$3&amp;AG38&amp;$AW38,Asta!$I:$I,0)),"",INDIRECT("Asta!B"&amp;MATCH(AG$3&amp;AG38&amp;$AW38,Asta!$I:$I,0))))</f>
        <v/>
      </c>
      <c r="AI38" s="10" t="str">
        <f ca="1">IF(AH38="","",IF(ISNA(MATCH(AG$3&amp;AG38&amp;$AW38,Asta!$I:$I,0)),"",INDIRECT("Asta!H"&amp;MATCH(AG$3&amp;AG38&amp;$AW38,Asta!$I:$I,0))))</f>
        <v/>
      </c>
      <c r="AJ38" s="9"/>
      <c r="AK38" s="436" t="str">
        <f t="shared" si="30"/>
        <v/>
      </c>
      <c r="AL38" s="9" t="str">
        <f ca="1">IF(AK38="","",IF(ISNA(MATCH(AK$3&amp;AK38&amp;$AW38,Asta!$I:$I,0)),"",INDIRECT("Asta!B"&amp;MATCH(AK$3&amp;AK38&amp;$AW38,Asta!$I:$I,0))))</f>
        <v/>
      </c>
      <c r="AM38" s="10" t="str">
        <f ca="1">IF(AL38="","",IF(ISNA(MATCH(AK$3&amp;AK38&amp;$AW38,Asta!$I:$I,0)),"",INDIRECT("Asta!H"&amp;MATCH(AK$3&amp;AK38&amp;$AW38,Asta!$I:$I,0))))</f>
        <v/>
      </c>
      <c r="AN38" s="9"/>
      <c r="AO38" s="436" t="str">
        <f t="shared" si="31"/>
        <v/>
      </c>
      <c r="AP38" s="9" t="str">
        <f ca="1">IF(AO38="","",IF(ISNA(MATCH(AO$3&amp;AO38&amp;$AW38,Asta!$I:$I,0)),"",INDIRECT("Asta!B"&amp;MATCH(AO$3&amp;AO38&amp;$AW38,Asta!$I:$I,0))))</f>
        <v/>
      </c>
      <c r="AQ38" s="10" t="str">
        <f ca="1">IF(AP38="","",IF(ISNA(MATCH(AO$3&amp;AO38&amp;$AW38,Asta!$I:$I,0)),"",INDIRECT("Asta!H"&amp;MATCH(AO$3&amp;AO38&amp;$AW38,Asta!$I:$I,0))))</f>
        <v/>
      </c>
      <c r="AR38" s="9"/>
      <c r="AS38" s="436" t="str">
        <f t="shared" si="32"/>
        <v/>
      </c>
      <c r="AT38" s="9" t="str">
        <f ca="1">IF(AS38="","",IF(ISNA(MATCH(AS$3&amp;AS38&amp;$AW38,Asta!$I:$I,0)),"",INDIRECT("Asta!B"&amp;MATCH(AS$3&amp;AS38&amp;$AW38,Asta!$I:$I,0))))</f>
        <v/>
      </c>
      <c r="AU38" s="10" t="str">
        <f ca="1">IF(AT38="","",IF(ISNA(MATCH(AS$3&amp;AS38&amp;$AW38,Asta!$I:$I,0)),"",INDIRECT("Asta!H"&amp;MATCH(AS$3&amp;AS38&amp;$AW38,Asta!$I:$I,0))))</f>
        <v/>
      </c>
      <c r="AV38" s="9"/>
      <c r="AW38" s="4">
        <v>8</v>
      </c>
    </row>
    <row r="39" spans="1:49" ht="16.5" customHeight="1">
      <c r="AW39" s="18"/>
    </row>
    <row r="40" spans="1:49" ht="12.75">
      <c r="A40" s="528" t="s">
        <v>635</v>
      </c>
      <c r="B40" s="528"/>
      <c r="C40" s="529"/>
      <c r="D40" s="437" t="s">
        <v>1963</v>
      </c>
      <c r="E40" s="527" t="s">
        <v>635</v>
      </c>
      <c r="F40" s="528"/>
      <c r="G40" s="529"/>
      <c r="H40" s="434"/>
      <c r="I40" s="527" t="s">
        <v>635</v>
      </c>
      <c r="J40" s="528"/>
      <c r="K40" s="529"/>
      <c r="L40" s="435"/>
      <c r="M40" s="370" t="s">
        <v>635</v>
      </c>
      <c r="N40" s="370"/>
      <c r="O40" s="370" t="s">
        <v>636</v>
      </c>
      <c r="P40" s="433"/>
      <c r="Q40" s="527" t="s">
        <v>635</v>
      </c>
      <c r="R40" s="528"/>
      <c r="S40" s="529"/>
      <c r="T40" s="434"/>
      <c r="U40" s="527" t="s">
        <v>635</v>
      </c>
      <c r="V40" s="528"/>
      <c r="W40" s="529"/>
      <c r="X40" s="434"/>
      <c r="Y40" s="527" t="s">
        <v>635</v>
      </c>
      <c r="Z40" s="528"/>
      <c r="AA40" s="529"/>
      <c r="AB40" s="434"/>
      <c r="AC40" s="527" t="s">
        <v>635</v>
      </c>
      <c r="AD40" s="528"/>
      <c r="AE40" s="529"/>
      <c r="AF40" s="434"/>
      <c r="AG40" s="527" t="s">
        <v>635</v>
      </c>
      <c r="AH40" s="528"/>
      <c r="AI40" s="529"/>
      <c r="AJ40" s="434"/>
      <c r="AK40" s="527" t="s">
        <v>635</v>
      </c>
      <c r="AL40" s="528"/>
      <c r="AM40" s="529"/>
      <c r="AN40" s="434"/>
      <c r="AO40" s="527" t="s">
        <v>635</v>
      </c>
      <c r="AP40" s="528"/>
      <c r="AQ40" s="529"/>
      <c r="AR40" s="434"/>
      <c r="AS40" s="527" t="s">
        <v>635</v>
      </c>
      <c r="AT40" s="528"/>
      <c r="AU40" s="529"/>
      <c r="AV40" s="434"/>
    </row>
    <row r="41" spans="1:49">
      <c r="A41" s="23" t="s">
        <v>35</v>
      </c>
      <c r="B41" s="9"/>
      <c r="C41" s="10"/>
      <c r="D41" s="9"/>
      <c r="E41" s="23" t="s">
        <v>35</v>
      </c>
      <c r="F41" s="9"/>
      <c r="G41" s="10"/>
      <c r="H41" s="9"/>
      <c r="I41" s="23" t="s">
        <v>35</v>
      </c>
      <c r="J41" s="9"/>
      <c r="K41" s="11"/>
      <c r="L41" s="9"/>
      <c r="M41" s="23" t="s">
        <v>35</v>
      </c>
      <c r="N41" s="9"/>
      <c r="O41" s="10"/>
      <c r="P41" s="9"/>
      <c r="Q41" s="23" t="s">
        <v>35</v>
      </c>
      <c r="R41" s="9"/>
      <c r="S41" s="10"/>
      <c r="T41" s="9"/>
      <c r="U41" s="23" t="s">
        <v>35</v>
      </c>
      <c r="V41" s="9"/>
      <c r="W41" s="10"/>
      <c r="X41" s="9"/>
      <c r="Y41" s="23" t="s">
        <v>35</v>
      </c>
      <c r="Z41" s="9"/>
      <c r="AA41" s="10"/>
      <c r="AB41" s="9"/>
      <c r="AC41" s="23" t="s">
        <v>35</v>
      </c>
      <c r="AD41" s="9"/>
      <c r="AE41" s="10"/>
      <c r="AF41" s="9"/>
      <c r="AG41" s="23" t="s">
        <v>35</v>
      </c>
      <c r="AH41" s="9"/>
      <c r="AI41" s="10"/>
      <c r="AJ41" s="9"/>
      <c r="AK41" s="23" t="s">
        <v>35</v>
      </c>
      <c r="AL41" s="9"/>
      <c r="AM41" s="10"/>
      <c r="AN41" s="9"/>
      <c r="AO41" s="23" t="s">
        <v>35</v>
      </c>
      <c r="AP41" s="9"/>
      <c r="AQ41" s="10"/>
      <c r="AR41" s="9"/>
      <c r="AS41" s="23" t="s">
        <v>35</v>
      </c>
      <c r="AT41" s="9"/>
      <c r="AU41" s="9"/>
      <c r="AV41" s="9"/>
    </row>
    <row r="42" spans="1:49">
      <c r="A42" s="23" t="s">
        <v>37</v>
      </c>
      <c r="B42" s="9"/>
      <c r="C42" s="10"/>
      <c r="D42" s="9"/>
      <c r="E42" s="23" t="s">
        <v>37</v>
      </c>
      <c r="F42" s="9"/>
      <c r="G42" s="10"/>
      <c r="H42" s="9"/>
      <c r="I42" s="23" t="s">
        <v>37</v>
      </c>
      <c r="J42" s="9"/>
      <c r="K42" s="11"/>
      <c r="L42" s="9"/>
      <c r="M42" s="23" t="s">
        <v>37</v>
      </c>
      <c r="N42" s="9"/>
      <c r="O42" s="10"/>
      <c r="P42" s="9"/>
      <c r="Q42" s="23" t="s">
        <v>37</v>
      </c>
      <c r="R42" s="9"/>
      <c r="S42" s="10"/>
      <c r="T42" s="9"/>
      <c r="U42" s="23" t="s">
        <v>37</v>
      </c>
      <c r="V42" s="9"/>
      <c r="W42" s="10"/>
      <c r="X42" s="9"/>
      <c r="Y42" s="23" t="s">
        <v>37</v>
      </c>
      <c r="Z42" s="9"/>
      <c r="AA42" s="10"/>
      <c r="AB42" s="9"/>
      <c r="AC42" s="23" t="s">
        <v>37</v>
      </c>
      <c r="AD42" s="9"/>
      <c r="AE42" s="10"/>
      <c r="AF42" s="9"/>
      <c r="AG42" s="23" t="s">
        <v>37</v>
      </c>
      <c r="AH42" s="9"/>
      <c r="AI42" s="10"/>
      <c r="AJ42" s="9"/>
      <c r="AK42" s="23" t="s">
        <v>37</v>
      </c>
      <c r="AL42" s="9"/>
      <c r="AM42" s="10"/>
      <c r="AN42" s="9"/>
      <c r="AO42" s="23" t="s">
        <v>37</v>
      </c>
      <c r="AP42" s="9"/>
      <c r="AQ42" s="10"/>
      <c r="AR42" s="9"/>
      <c r="AS42" s="23" t="s">
        <v>37</v>
      </c>
      <c r="AT42" s="9"/>
      <c r="AU42" s="9"/>
      <c r="AV42" s="9"/>
    </row>
    <row r="43" spans="1:49">
      <c r="A43" s="23" t="s">
        <v>37</v>
      </c>
      <c r="B43" s="9"/>
      <c r="C43" s="10"/>
      <c r="D43" s="9"/>
      <c r="E43" s="23" t="s">
        <v>37</v>
      </c>
      <c r="F43" s="9"/>
      <c r="G43" s="10"/>
      <c r="H43" s="9"/>
      <c r="I43" s="23" t="s">
        <v>37</v>
      </c>
      <c r="J43" s="9"/>
      <c r="K43" s="11"/>
      <c r="L43" s="9"/>
      <c r="M43" s="23" t="s">
        <v>37</v>
      </c>
      <c r="N43" s="9"/>
      <c r="O43" s="10"/>
      <c r="P43" s="9"/>
      <c r="Q43" s="23" t="s">
        <v>37</v>
      </c>
      <c r="R43" s="9"/>
      <c r="S43" s="10"/>
      <c r="T43" s="9"/>
      <c r="U43" s="23" t="s">
        <v>37</v>
      </c>
      <c r="V43" s="9"/>
      <c r="W43" s="10"/>
      <c r="X43" s="9"/>
      <c r="Y43" s="23" t="s">
        <v>37</v>
      </c>
      <c r="Z43" s="9"/>
      <c r="AA43" s="10"/>
      <c r="AB43" s="9"/>
      <c r="AC43" s="23" t="s">
        <v>37</v>
      </c>
      <c r="AD43" s="9"/>
      <c r="AE43" s="10"/>
      <c r="AF43" s="9"/>
      <c r="AG43" s="23" t="s">
        <v>37</v>
      </c>
      <c r="AH43" s="9"/>
      <c r="AI43" s="10"/>
      <c r="AJ43" s="9"/>
      <c r="AK43" s="23" t="s">
        <v>37</v>
      </c>
      <c r="AL43" s="9"/>
      <c r="AM43" s="10"/>
      <c r="AN43" s="9"/>
      <c r="AO43" s="23" t="s">
        <v>37</v>
      </c>
      <c r="AP43" s="9"/>
      <c r="AQ43" s="10"/>
      <c r="AR43" s="9"/>
      <c r="AS43" s="23" t="s">
        <v>37</v>
      </c>
      <c r="AT43" s="9"/>
      <c r="AU43" s="9"/>
      <c r="AV43" s="9"/>
    </row>
    <row r="44" spans="1:49" ht="12.75" customHeight="1">
      <c r="A44" s="23" t="s">
        <v>39</v>
      </c>
      <c r="B44" s="9"/>
      <c r="C44" s="10"/>
      <c r="D44" s="9"/>
      <c r="E44" s="23" t="s">
        <v>39</v>
      </c>
      <c r="F44" s="9"/>
      <c r="G44" s="10"/>
      <c r="H44" s="9"/>
      <c r="I44" s="23" t="s">
        <v>39</v>
      </c>
      <c r="J44" s="9"/>
      <c r="K44" s="11"/>
      <c r="L44" s="9"/>
      <c r="M44" s="23" t="s">
        <v>39</v>
      </c>
      <c r="N44" s="9"/>
      <c r="O44" s="10"/>
      <c r="P44" s="9"/>
      <c r="Q44" s="23" t="s">
        <v>39</v>
      </c>
      <c r="R44" s="9"/>
      <c r="S44" s="10"/>
      <c r="T44" s="9"/>
      <c r="U44" s="23" t="s">
        <v>39</v>
      </c>
      <c r="V44" s="9"/>
      <c r="W44" s="10"/>
      <c r="X44" s="9"/>
      <c r="Y44" s="23" t="s">
        <v>39</v>
      </c>
      <c r="Z44" s="9"/>
      <c r="AA44" s="10"/>
      <c r="AB44" s="9"/>
      <c r="AC44" s="23" t="s">
        <v>39</v>
      </c>
      <c r="AD44" s="9"/>
      <c r="AE44" s="10"/>
      <c r="AF44" s="9"/>
      <c r="AG44" s="23" t="s">
        <v>39</v>
      </c>
      <c r="AH44" s="9"/>
      <c r="AI44" s="10"/>
      <c r="AJ44" s="9"/>
      <c r="AK44" s="23" t="s">
        <v>39</v>
      </c>
      <c r="AL44" s="9"/>
      <c r="AM44" s="10"/>
      <c r="AN44" s="9"/>
      <c r="AO44" s="23" t="s">
        <v>39</v>
      </c>
      <c r="AP44" s="9"/>
      <c r="AQ44" s="10"/>
      <c r="AR44" s="9"/>
      <c r="AS44" s="23" t="s">
        <v>39</v>
      </c>
      <c r="AT44" s="9"/>
      <c r="AU44" s="9"/>
      <c r="AV44" s="9"/>
    </row>
    <row r="45" spans="1:49">
      <c r="A45" s="23" t="s">
        <v>39</v>
      </c>
      <c r="B45" s="9"/>
      <c r="C45" s="10"/>
      <c r="D45" s="9"/>
      <c r="E45" s="23" t="s">
        <v>39</v>
      </c>
      <c r="F45" s="9"/>
      <c r="G45" s="10"/>
      <c r="H45" s="9"/>
      <c r="I45" s="23" t="s">
        <v>39</v>
      </c>
      <c r="J45" s="9"/>
      <c r="K45" s="11"/>
      <c r="L45" s="9"/>
      <c r="M45" s="23" t="s">
        <v>39</v>
      </c>
      <c r="N45" s="9"/>
      <c r="O45" s="10"/>
      <c r="P45" s="9"/>
      <c r="Q45" s="23" t="s">
        <v>39</v>
      </c>
      <c r="R45" s="9"/>
      <c r="S45" s="10"/>
      <c r="T45" s="9"/>
      <c r="U45" s="23" t="s">
        <v>39</v>
      </c>
      <c r="V45" s="9"/>
      <c r="W45" s="10"/>
      <c r="X45" s="9"/>
      <c r="Y45" s="23" t="s">
        <v>39</v>
      </c>
      <c r="Z45" s="9"/>
      <c r="AA45" s="10"/>
      <c r="AB45" s="9"/>
      <c r="AC45" s="23" t="s">
        <v>39</v>
      </c>
      <c r="AD45" s="9"/>
      <c r="AE45" s="10"/>
      <c r="AF45" s="9"/>
      <c r="AG45" s="23" t="s">
        <v>39</v>
      </c>
      <c r="AH45" s="9"/>
      <c r="AI45" s="10"/>
      <c r="AJ45" s="9"/>
      <c r="AK45" s="23" t="s">
        <v>39</v>
      </c>
      <c r="AL45" s="9"/>
      <c r="AM45" s="10"/>
      <c r="AN45" s="9"/>
      <c r="AO45" s="23" t="s">
        <v>39</v>
      </c>
      <c r="AP45" s="9"/>
      <c r="AQ45" s="10"/>
      <c r="AR45" s="9"/>
      <c r="AS45" s="23" t="s">
        <v>39</v>
      </c>
      <c r="AT45" s="9"/>
      <c r="AU45" s="9"/>
      <c r="AV45" s="9"/>
    </row>
    <row r="46" spans="1:49">
      <c r="A46" s="23" t="s">
        <v>43</v>
      </c>
      <c r="B46" s="9"/>
      <c r="C46" s="10"/>
      <c r="D46" s="9"/>
      <c r="E46" s="23" t="s">
        <v>43</v>
      </c>
      <c r="F46" s="9"/>
      <c r="G46" s="10"/>
      <c r="H46" s="9"/>
      <c r="I46" s="23" t="s">
        <v>43</v>
      </c>
      <c r="J46" s="9"/>
      <c r="K46" s="11"/>
      <c r="L46" s="9"/>
      <c r="M46" s="23" t="s">
        <v>43</v>
      </c>
      <c r="N46" s="9"/>
      <c r="O46" s="10"/>
      <c r="P46" s="9"/>
      <c r="Q46" s="23" t="s">
        <v>43</v>
      </c>
      <c r="R46" s="9"/>
      <c r="S46" s="10"/>
      <c r="T46" s="9"/>
      <c r="U46" s="23" t="s">
        <v>43</v>
      </c>
      <c r="V46" s="9"/>
      <c r="W46" s="10"/>
      <c r="X46" s="9"/>
      <c r="Y46" s="23" t="s">
        <v>43</v>
      </c>
      <c r="Z46" s="9"/>
      <c r="AA46" s="10"/>
      <c r="AB46" s="9"/>
      <c r="AC46" s="23" t="s">
        <v>43</v>
      </c>
      <c r="AD46" s="9"/>
      <c r="AE46" s="10"/>
      <c r="AF46" s="9"/>
      <c r="AG46" s="23" t="s">
        <v>43</v>
      </c>
      <c r="AH46" s="9"/>
      <c r="AI46" s="10"/>
      <c r="AJ46" s="9"/>
      <c r="AK46" s="23" t="s">
        <v>43</v>
      </c>
      <c r="AL46" s="9"/>
      <c r="AM46" s="10"/>
      <c r="AN46" s="9"/>
      <c r="AO46" s="23" t="s">
        <v>43</v>
      </c>
      <c r="AP46" s="9"/>
      <c r="AQ46" s="10"/>
      <c r="AR46" s="9"/>
      <c r="AS46" s="23" t="s">
        <v>43</v>
      </c>
      <c r="AT46" s="9"/>
      <c r="AU46" s="9"/>
      <c r="AV46" s="9"/>
    </row>
    <row r="47" spans="1:49">
      <c r="A47" s="23" t="s">
        <v>43</v>
      </c>
      <c r="B47" s="9"/>
      <c r="C47" s="10"/>
      <c r="D47" s="9"/>
      <c r="E47" s="23" t="s">
        <v>43</v>
      </c>
      <c r="F47" s="9"/>
      <c r="G47" s="10"/>
      <c r="H47" s="9"/>
      <c r="I47" s="23" t="s">
        <v>43</v>
      </c>
      <c r="J47" s="9"/>
      <c r="K47" s="11"/>
      <c r="L47" s="9"/>
      <c r="M47" s="23" t="s">
        <v>43</v>
      </c>
      <c r="N47" s="9"/>
      <c r="O47" s="10"/>
      <c r="P47" s="9"/>
      <c r="Q47" s="23" t="s">
        <v>43</v>
      </c>
      <c r="R47" s="9"/>
      <c r="S47" s="10"/>
      <c r="T47" s="9"/>
      <c r="U47" s="23" t="s">
        <v>43</v>
      </c>
      <c r="V47" s="9"/>
      <c r="W47" s="10"/>
      <c r="X47" s="9"/>
      <c r="Y47" s="23" t="s">
        <v>43</v>
      </c>
      <c r="Z47" s="9"/>
      <c r="AA47" s="10"/>
      <c r="AB47" s="9"/>
      <c r="AC47" s="23" t="s">
        <v>43</v>
      </c>
      <c r="AD47" s="9"/>
      <c r="AE47" s="10"/>
      <c r="AF47" s="9"/>
      <c r="AG47" s="23" t="s">
        <v>43</v>
      </c>
      <c r="AH47" s="9"/>
      <c r="AI47" s="10"/>
      <c r="AJ47" s="9"/>
      <c r="AK47" s="23" t="s">
        <v>43</v>
      </c>
      <c r="AL47" s="9"/>
      <c r="AM47" s="10"/>
      <c r="AN47" s="9"/>
      <c r="AO47" s="23" t="s">
        <v>43</v>
      </c>
      <c r="AP47" s="9"/>
      <c r="AQ47" s="10"/>
      <c r="AR47" s="9"/>
      <c r="AS47" s="23" t="s">
        <v>43</v>
      </c>
      <c r="AT47" s="9"/>
      <c r="AU47" s="9"/>
      <c r="AV47" s="9"/>
    </row>
    <row r="49" spans="1:49" ht="12" hidden="1" customHeight="1">
      <c r="A49" s="528" t="s">
        <v>5</v>
      </c>
      <c r="B49" s="528"/>
      <c r="C49" s="529"/>
      <c r="D49" s="434"/>
      <c r="E49" s="527" t="s">
        <v>5</v>
      </c>
      <c r="F49" s="528"/>
      <c r="G49" s="529"/>
      <c r="H49" s="434"/>
      <c r="I49" s="527" t="s">
        <v>5</v>
      </c>
      <c r="J49" s="528"/>
      <c r="K49" s="529"/>
      <c r="L49" s="434"/>
      <c r="M49" s="527" t="s">
        <v>5</v>
      </c>
      <c r="N49" s="528"/>
      <c r="O49" s="529"/>
      <c r="P49" s="434"/>
      <c r="Q49" s="527" t="s">
        <v>5</v>
      </c>
      <c r="R49" s="528"/>
      <c r="S49" s="529"/>
      <c r="T49" s="434"/>
      <c r="U49" s="527" t="s">
        <v>5</v>
      </c>
      <c r="V49" s="528"/>
      <c r="W49" s="529"/>
      <c r="X49" s="434"/>
      <c r="Y49" s="527" t="s">
        <v>5</v>
      </c>
      <c r="Z49" s="528"/>
      <c r="AA49" s="529"/>
      <c r="AB49" s="434"/>
      <c r="AC49" s="527" t="s">
        <v>5</v>
      </c>
      <c r="AD49" s="528"/>
      <c r="AE49" s="529"/>
      <c r="AF49" s="434"/>
      <c r="AG49" s="527" t="s">
        <v>5</v>
      </c>
      <c r="AH49" s="528"/>
      <c r="AI49" s="529"/>
      <c r="AJ49" s="434"/>
      <c r="AK49" s="527" t="s">
        <v>5</v>
      </c>
      <c r="AL49" s="528"/>
      <c r="AM49" s="529"/>
      <c r="AN49" s="434"/>
      <c r="AO49" s="527" t="s">
        <v>5</v>
      </c>
      <c r="AP49" s="528"/>
      <c r="AQ49" s="529"/>
      <c r="AR49" s="434"/>
      <c r="AS49" s="527" t="s">
        <v>5</v>
      </c>
      <c r="AT49" s="528"/>
      <c r="AU49" s="529"/>
      <c r="AV49" s="434"/>
    </row>
    <row r="50" spans="1:49" hidden="1">
      <c r="A50" s="23">
        <v>1</v>
      </c>
      <c r="B50" s="9" t="str">
        <f ca="1">IF(A50="","",IF(ISNA(MATCH(A$3&amp;$AW50,Asta!$AI:$AI,0)),"",INDIRECT("Asta!AA"&amp;MATCH(A$3&amp;$AW50,Asta!$AI:$AI,0))))</f>
        <v/>
      </c>
      <c r="C50" s="9" t="str">
        <f ca="1">IF(B50="","",IF(ISNA(MATCH(A$3&amp;$AW50,Asta!$AI:$AI,0)),"",INDIRECT("Asta!AG"&amp;MATCH(A$3&amp;$AW50,Asta!$AI:$AI,0))))</f>
        <v/>
      </c>
      <c r="D50" s="9"/>
      <c r="E50" s="23">
        <f t="shared" ref="E50:E69" si="33">A50</f>
        <v>1</v>
      </c>
      <c r="F50" s="9" t="str">
        <f ca="1">IF(E50="","",IF(ISNA(MATCH(E$3&amp;$AW50,Asta!$AI:$AI,0)),"",INDIRECT("Asta!AA"&amp;MATCH(E$3&amp;$AW50,Asta!$AI:$AI,0))))</f>
        <v/>
      </c>
      <c r="G50" s="9" t="str">
        <f ca="1">IF(F50="","",IF(ISNA(MATCH(E$3&amp;$AW50,Asta!$AI:$AI,0)),"",INDIRECT("Asta!AG"&amp;MATCH(E$3&amp;$AW50,Asta!$AI:$AI,0))))</f>
        <v/>
      </c>
      <c r="H50" s="9"/>
      <c r="I50" s="23">
        <f>E50</f>
        <v>1</v>
      </c>
      <c r="J50" s="9" t="str">
        <f ca="1">IF(I50="","",IF(ISNA(MATCH(I$3&amp;$AW50,Asta!$AI:$AI,0)),"",INDIRECT("Asta!AA"&amp;MATCH(I$3&amp;$AW50,Asta!$AI:$AI,0))))</f>
        <v/>
      </c>
      <c r="K50" s="9" t="str">
        <f ca="1">IF(J50="","",IF(ISNA(MATCH(I$3&amp;$AW50,Asta!$AI:$AI,0)),"",INDIRECT("Asta!AG"&amp;MATCH(I$3&amp;$AW50,Asta!$AI:$AI,0))))</f>
        <v/>
      </c>
      <c r="L50" s="9"/>
      <c r="M50" s="23">
        <f>I50</f>
        <v>1</v>
      </c>
      <c r="N50" s="9" t="str">
        <f ca="1">IF(M50="","",IF(ISNA(MATCH(M$3&amp;$AW50,Asta!$AI:$AI,0)),"",INDIRECT("Asta!AA"&amp;MATCH(M$3&amp;$AW50,Asta!$AI:$AI,0))))</f>
        <v/>
      </c>
      <c r="O50" s="9" t="str">
        <f ca="1">IF(N50="","",IF(ISNA(MATCH(M$3&amp;$AW50,Asta!$AI:$AI,0)),"",INDIRECT("Asta!AG"&amp;MATCH(M$3&amp;$AW50,Asta!$AI:$AI,0))))</f>
        <v/>
      </c>
      <c r="P50" s="9"/>
      <c r="Q50" s="23">
        <f>M50</f>
        <v>1</v>
      </c>
      <c r="R50" s="9" t="str">
        <f ca="1">IF(Q50="","",IF(ISNA(MATCH(Q$3&amp;$AW50,Asta!$AI:$AI,0)),"",INDIRECT("Asta!AA"&amp;MATCH(Q$3&amp;$AW50,Asta!$AI:$AI,0))))</f>
        <v/>
      </c>
      <c r="S50" s="9" t="str">
        <f ca="1">IF(R50="","",IF(ISNA(MATCH(Q$3&amp;$AW50,Asta!$AI:$AI,0)),"",INDIRECT("Asta!AG"&amp;MATCH(Q$3&amp;$AW50,Asta!$AI:$AI,0))))</f>
        <v/>
      </c>
      <c r="T50" s="9"/>
      <c r="U50" s="23">
        <f>Q50</f>
        <v>1</v>
      </c>
      <c r="V50" s="9" t="str">
        <f ca="1">IF(U50="","",IF(ISNA(MATCH(U$3&amp;$AW50,Asta!$AI:$AI,0)),"",INDIRECT("Asta!AA"&amp;MATCH(U$3&amp;$AW50,Asta!$AI:$AI,0))))</f>
        <v/>
      </c>
      <c r="W50" s="9" t="str">
        <f ca="1">IF(V50="","",IF(ISNA(MATCH(U$3&amp;$AW50,Asta!$AI:$AI,0)),"",INDIRECT("Asta!AG"&amp;MATCH(U$3&amp;$AW50,Asta!$AI:$AI,0))))</f>
        <v/>
      </c>
      <c r="X50" s="9"/>
      <c r="Y50" s="23">
        <f>U50</f>
        <v>1</v>
      </c>
      <c r="Z50" s="9" t="str">
        <f ca="1">IF(Y50="","",IF(ISNA(MATCH(Y$3&amp;$AW50,Asta!$AI:$AI,0)),"",INDIRECT("Asta!AA"&amp;MATCH(Y$3&amp;$AW50,Asta!$AI:$AI,0))))</f>
        <v/>
      </c>
      <c r="AA50" s="9" t="str">
        <f ca="1">IF(Z50="","",IF(ISNA(MATCH(Y$3&amp;$AW50,Asta!$AI:$AI,0)),"",INDIRECT("Asta!AG"&amp;MATCH(Y$3&amp;$AW50,Asta!$AI:$AI,0))))</f>
        <v/>
      </c>
      <c r="AB50" s="9"/>
      <c r="AC50" s="23">
        <f>Y50</f>
        <v>1</v>
      </c>
      <c r="AD50" s="9" t="str">
        <f ca="1">IF(AC50="","",IF(ISNA(MATCH(AC$3&amp;$AW50,Asta!$AI:$AI,0)),"",INDIRECT("Asta!AA"&amp;MATCH(AC$3&amp;$AW50,Asta!$AI:$AI,0))))</f>
        <v/>
      </c>
      <c r="AE50" s="9" t="str">
        <f ca="1">IF(AD50="","",IF(ISNA(MATCH(AC$3&amp;$AW50,Asta!$AI:$AI,0)),"",INDIRECT("Asta!AG"&amp;MATCH(AC$3&amp;$AW50,Asta!$AI:$AI,0))))</f>
        <v/>
      </c>
      <c r="AF50" s="9"/>
      <c r="AG50" s="23">
        <f>AC50</f>
        <v>1</v>
      </c>
      <c r="AH50" s="9" t="str">
        <f ca="1">IF(AG50="","",IF(ISNA(MATCH(AG$3&amp;$AW50,Asta!$AI:$AI,0)),"",INDIRECT("Asta!AA"&amp;MATCH(AG$3&amp;$AW50,Asta!$AI:$AI,0))))</f>
        <v/>
      </c>
      <c r="AI50" s="9" t="str">
        <f ca="1">IF(AH50="","",IF(ISNA(MATCH(AG$3&amp;$AW50,Asta!$AI:$AI,0)),"",INDIRECT("Asta!AG"&amp;MATCH(AG$3&amp;$AW50,Asta!$AI:$AI,0))))</f>
        <v/>
      </c>
      <c r="AJ50" s="9"/>
      <c r="AK50" s="23">
        <f>AG50</f>
        <v>1</v>
      </c>
      <c r="AL50" s="9" t="str">
        <f ca="1">IF(AK50="","",IF(ISNA(MATCH(AK$3&amp;$AW50,Asta!$AI:$AI,0)),"",INDIRECT("Asta!AA"&amp;MATCH(AK$3&amp;$AW50,Asta!$AI:$AI,0))))</f>
        <v/>
      </c>
      <c r="AM50" s="9" t="str">
        <f ca="1">IF(AL50="","",IF(ISNA(MATCH(AK$3&amp;$AW50,Asta!$AI:$AI,0)),"",INDIRECT("Asta!AG"&amp;MATCH(AK$3&amp;$AW50,Asta!$AI:$AI,0))))</f>
        <v/>
      </c>
      <c r="AN50" s="9"/>
      <c r="AO50" s="23">
        <f>AK50</f>
        <v>1</v>
      </c>
      <c r="AP50" s="9" t="str">
        <f ca="1">IF(AO50="","",IF(ISNA(MATCH(AO$3&amp;$AW50,Asta!$AI:$AI,0)),"",INDIRECT("Asta!AA"&amp;MATCH(AO$3&amp;$AW50,Asta!$AI:$AI,0))))</f>
        <v/>
      </c>
      <c r="AQ50" s="9" t="str">
        <f ca="1">IF(AP50="","",IF(ISNA(MATCH(AO$3&amp;$AW50,Asta!$AI:$AI,0)),"",INDIRECT("Asta!AG"&amp;MATCH(AO$3&amp;$AW50,Asta!$AI:$AI,0))))</f>
        <v/>
      </c>
      <c r="AR50" s="9"/>
      <c r="AS50" s="23">
        <f>AO50</f>
        <v>1</v>
      </c>
      <c r="AT50" s="9" t="str">
        <f ca="1">IF(AS50="","",IF(ISNA(MATCH(AS$3&amp;$AW50,Asta!$AI:$AI,0)),"",INDIRECT("Asta!AA"&amp;MATCH(AS$3&amp;$AW50,Asta!$AI:$AI,0))))</f>
        <v/>
      </c>
      <c r="AU50" s="9" t="str">
        <f ca="1">IF(AT50="","",IF(ISNA(MATCH(AS$3&amp;$AW50,Asta!$AI:$AI,0)),"",INDIRECT("Asta!AG"&amp;MATCH(AS$3&amp;$AW50,Asta!$AI:$AI,0))))</f>
        <v/>
      </c>
      <c r="AV50" s="9"/>
      <c r="AW50" s="23">
        <f>AS50</f>
        <v>1</v>
      </c>
    </row>
    <row r="51" spans="1:49" hidden="1">
      <c r="A51" s="23">
        <f>A50+1</f>
        <v>2</v>
      </c>
      <c r="B51" s="9" t="str">
        <f ca="1">IF(A51="","",IF(ISNA(MATCH(A$3&amp;$AW51,Asta!$AI:$AI,0)),"",INDIRECT("Asta!AA"&amp;MATCH(A$3&amp;$AW51,Asta!$AI:$AI,0))))</f>
        <v/>
      </c>
      <c r="C51" s="9" t="str">
        <f ca="1">IF(B51="","",IF(ISNA(MATCH(A$3&amp;$AW51,Asta!$AI:$AI,0)),"",INDIRECT("Asta!AG"&amp;MATCH(A$3&amp;$AW51,Asta!$AI:$AI,0))))</f>
        <v/>
      </c>
      <c r="D51" s="9"/>
      <c r="E51" s="23">
        <f t="shared" si="33"/>
        <v>2</v>
      </c>
      <c r="F51" s="9" t="str">
        <f ca="1">IF(E51="","",IF(ISNA(MATCH(E$3&amp;$AW51,Asta!$AI:$AI,0)),"",INDIRECT("Asta!AA"&amp;MATCH(E$3&amp;$AW51,Asta!$AI:$AI,0))))</f>
        <v/>
      </c>
      <c r="G51" s="9" t="str">
        <f ca="1">IF(F51="","",IF(ISNA(MATCH(E$3&amp;$AW51,Asta!$AI:$AI,0)),"",INDIRECT("Asta!AG"&amp;MATCH(E$3&amp;$AW51,Asta!$AI:$AI,0))))</f>
        <v/>
      </c>
      <c r="H51" s="9"/>
      <c r="I51" s="23">
        <f t="shared" ref="I51:I56" si="34">E51</f>
        <v>2</v>
      </c>
      <c r="J51" s="9" t="str">
        <f ca="1">IF(I51="","",IF(ISNA(MATCH(I$3&amp;$AW51,Asta!$AI:$AI,0)),"",INDIRECT("Asta!AA"&amp;MATCH(I$3&amp;$AW51,Asta!$AI:$AI,0))))</f>
        <v/>
      </c>
      <c r="K51" s="9" t="str">
        <f ca="1">IF(J51="","",IF(ISNA(MATCH(I$3&amp;$AW51,Asta!$AI:$AI,0)),"",INDIRECT("Asta!AG"&amp;MATCH(I$3&amp;$AW51,Asta!$AI:$AI,0))))</f>
        <v/>
      </c>
      <c r="L51" s="9"/>
      <c r="M51" s="23">
        <f t="shared" ref="M51:M56" si="35">I51</f>
        <v>2</v>
      </c>
      <c r="N51" s="9" t="str">
        <f ca="1">IF(M51="","",IF(ISNA(MATCH(M$3&amp;$AW51,Asta!$AI:$AI,0)),"",INDIRECT("Asta!AA"&amp;MATCH(M$3&amp;$AW51,Asta!$AI:$AI,0))))</f>
        <v/>
      </c>
      <c r="O51" s="9" t="str">
        <f ca="1">IF(N51="","",IF(ISNA(MATCH(M$3&amp;$AW51,Asta!$AI:$AI,0)),"",INDIRECT("Asta!AG"&amp;MATCH(M$3&amp;$AW51,Asta!$AI:$AI,0))))</f>
        <v/>
      </c>
      <c r="P51" s="9"/>
      <c r="Q51" s="23">
        <f t="shared" ref="Q51:Q56" si="36">M51</f>
        <v>2</v>
      </c>
      <c r="R51" s="9" t="str">
        <f ca="1">IF(Q51="","",IF(ISNA(MATCH(Q$3&amp;$AW51,Asta!$AI:$AI,0)),"",INDIRECT("Asta!AA"&amp;MATCH(Q$3&amp;$AW51,Asta!$AI:$AI,0))))</f>
        <v/>
      </c>
      <c r="S51" s="9" t="str">
        <f ca="1">IF(R51="","",IF(ISNA(MATCH(Q$3&amp;$AW51,Asta!$AI:$AI,0)),"",INDIRECT("Asta!AG"&amp;MATCH(Q$3&amp;$AW51,Asta!$AI:$AI,0))))</f>
        <v/>
      </c>
      <c r="T51" s="9"/>
      <c r="U51" s="23">
        <f t="shared" ref="U51:U56" si="37">Q51</f>
        <v>2</v>
      </c>
      <c r="V51" s="9" t="str">
        <f ca="1">IF(U51="","",IF(ISNA(MATCH(U$3&amp;$AW51,Asta!$AI:$AI,0)),"",INDIRECT("Asta!AA"&amp;MATCH(U$3&amp;$AW51,Asta!$AI:$AI,0))))</f>
        <v/>
      </c>
      <c r="W51" s="9" t="str">
        <f ca="1">IF(V51="","",IF(ISNA(MATCH(U$3&amp;$AW51,Asta!$AI:$AI,0)),"",INDIRECT("Asta!AG"&amp;MATCH(U$3&amp;$AW51,Asta!$AI:$AI,0))))</f>
        <v/>
      </c>
      <c r="X51" s="9"/>
      <c r="Y51" s="23">
        <f t="shared" ref="Y51:Y56" si="38">U51</f>
        <v>2</v>
      </c>
      <c r="Z51" s="9" t="str">
        <f ca="1">IF(Y51="","",IF(ISNA(MATCH(Y$3&amp;$AW51,Asta!$AI:$AI,0)),"",INDIRECT("Asta!AA"&amp;MATCH(Y$3&amp;$AW51,Asta!$AI:$AI,0))))</f>
        <v/>
      </c>
      <c r="AA51" s="9" t="str">
        <f ca="1">IF(Z51="","",IF(ISNA(MATCH(Y$3&amp;$AW51,Asta!$AI:$AI,0)),"",INDIRECT("Asta!AG"&amp;MATCH(Y$3&amp;$AW51,Asta!$AI:$AI,0))))</f>
        <v/>
      </c>
      <c r="AB51" s="9"/>
      <c r="AC51" s="23">
        <f t="shared" ref="AC51:AC56" si="39">Y51</f>
        <v>2</v>
      </c>
      <c r="AD51" s="9" t="str">
        <f ca="1">IF(AC51="","",IF(ISNA(MATCH(AC$3&amp;$AW51,Asta!$AI:$AI,0)),"",INDIRECT("Asta!AA"&amp;MATCH(AC$3&amp;$AW51,Asta!$AI:$AI,0))))</f>
        <v/>
      </c>
      <c r="AE51" s="9" t="str">
        <f ca="1">IF(AD51="","",IF(ISNA(MATCH(AC$3&amp;$AW51,Asta!$AI:$AI,0)),"",INDIRECT("Asta!AG"&amp;MATCH(AC$3&amp;$AW51,Asta!$AI:$AI,0))))</f>
        <v/>
      </c>
      <c r="AF51" s="9"/>
      <c r="AG51" s="23">
        <f t="shared" ref="AG51:AG56" si="40">AC51</f>
        <v>2</v>
      </c>
      <c r="AH51" s="9" t="str">
        <f ca="1">IF(AG51="","",IF(ISNA(MATCH(AG$3&amp;$AW51,Asta!$AI:$AI,0)),"",INDIRECT("Asta!AA"&amp;MATCH(AG$3&amp;$AW51,Asta!$AI:$AI,0))))</f>
        <v/>
      </c>
      <c r="AI51" s="9" t="str">
        <f ca="1">IF(AH51="","",IF(ISNA(MATCH(AG$3&amp;$AW51,Asta!$AI:$AI,0)),"",INDIRECT("Asta!AG"&amp;MATCH(AG$3&amp;$AW51,Asta!$AI:$AI,0))))</f>
        <v/>
      </c>
      <c r="AJ51" s="9"/>
      <c r="AK51" s="23">
        <f t="shared" ref="AK51:AK56" si="41">AG51</f>
        <v>2</v>
      </c>
      <c r="AL51" s="9" t="str">
        <f ca="1">IF(AK51="","",IF(ISNA(MATCH(AK$3&amp;$AW51,Asta!$AI:$AI,0)),"",INDIRECT("Asta!AA"&amp;MATCH(AK$3&amp;$AW51,Asta!$AI:$AI,0))))</f>
        <v/>
      </c>
      <c r="AM51" s="9" t="str">
        <f ca="1">IF(AL51="","",IF(ISNA(MATCH(AK$3&amp;$AW51,Asta!$AI:$AI,0)),"",INDIRECT("Asta!AG"&amp;MATCH(AK$3&amp;$AW51,Asta!$AI:$AI,0))))</f>
        <v/>
      </c>
      <c r="AN51" s="9"/>
      <c r="AO51" s="23">
        <f t="shared" ref="AO51:AO56" si="42">AK51</f>
        <v>2</v>
      </c>
      <c r="AP51" s="9" t="str">
        <f ca="1">IF(AO51="","",IF(ISNA(MATCH(AO$3&amp;$AW51,Asta!$AI:$AI,0)),"",INDIRECT("Asta!AA"&amp;MATCH(AO$3&amp;$AW51,Asta!$AI:$AI,0))))</f>
        <v/>
      </c>
      <c r="AQ51" s="9" t="str">
        <f ca="1">IF(AP51="","",IF(ISNA(MATCH(AO$3&amp;$AW51,Asta!$AI:$AI,0)),"",INDIRECT("Asta!AG"&amp;MATCH(AO$3&amp;$AW51,Asta!$AI:$AI,0))))</f>
        <v/>
      </c>
      <c r="AR51" s="9"/>
      <c r="AS51" s="23">
        <f t="shared" ref="AS51:AS56" si="43">AO51</f>
        <v>2</v>
      </c>
      <c r="AT51" s="9" t="str">
        <f ca="1">IF(AS51="","",IF(ISNA(MATCH(AS$3&amp;$AW51,Asta!$AI:$AI,0)),"",INDIRECT("Asta!AA"&amp;MATCH(AS$3&amp;$AW51,Asta!$AI:$AI,0))))</f>
        <v/>
      </c>
      <c r="AU51" s="9" t="str">
        <f ca="1">IF(AT51="","",IF(ISNA(MATCH(AS$3&amp;$AW51,Asta!$AI:$AI,0)),"",INDIRECT("Asta!AG"&amp;MATCH(AS$3&amp;$AW51,Asta!$AI:$AI,0))))</f>
        <v/>
      </c>
      <c r="AV51" s="9"/>
      <c r="AW51" s="23">
        <f t="shared" ref="AW51:AW56" si="44">AS51</f>
        <v>2</v>
      </c>
    </row>
    <row r="52" spans="1:49" hidden="1">
      <c r="A52" s="23">
        <f t="shared" ref="A52:A69" si="45">A51+1</f>
        <v>3</v>
      </c>
      <c r="B52" s="9" t="str">
        <f ca="1">IF(A52="","",IF(ISNA(MATCH(A$3&amp;$AW52,Asta!$AI:$AI,0)),"",INDIRECT("Asta!AA"&amp;MATCH(A$3&amp;$AW52,Asta!$AI:$AI,0))))</f>
        <v/>
      </c>
      <c r="C52" s="9" t="str">
        <f ca="1">IF(B52="","",IF(ISNA(MATCH(A$3&amp;$AW52,Asta!$AI:$AI,0)),"",INDIRECT("Asta!AG"&amp;MATCH(A$3&amp;$AW52,Asta!$AI:$AI,0))))</f>
        <v/>
      </c>
      <c r="D52" s="9"/>
      <c r="E52" s="23">
        <f t="shared" si="33"/>
        <v>3</v>
      </c>
      <c r="F52" s="9" t="str">
        <f ca="1">IF(E52="","",IF(ISNA(MATCH(E$3&amp;$AW52,Asta!$AI:$AI,0)),"",INDIRECT("Asta!AA"&amp;MATCH(E$3&amp;$AW52,Asta!$AI:$AI,0))))</f>
        <v/>
      </c>
      <c r="G52" s="9" t="str">
        <f ca="1">IF(F52="","",IF(ISNA(MATCH(E$3&amp;$AW52,Asta!$AI:$AI,0)),"",INDIRECT("Asta!AG"&amp;MATCH(E$3&amp;$AW52,Asta!$AI:$AI,0))))</f>
        <v/>
      </c>
      <c r="H52" s="9"/>
      <c r="I52" s="23">
        <f t="shared" si="34"/>
        <v>3</v>
      </c>
      <c r="J52" s="9" t="str">
        <f ca="1">IF(I52="","",IF(ISNA(MATCH(I$3&amp;$AW52,Asta!$AI:$AI,0)),"",INDIRECT("Asta!AA"&amp;MATCH(I$3&amp;$AW52,Asta!$AI:$AI,0))))</f>
        <v/>
      </c>
      <c r="K52" s="9" t="str">
        <f ca="1">IF(J52="","",IF(ISNA(MATCH(I$3&amp;$AW52,Asta!$AI:$AI,0)),"",INDIRECT("Asta!AG"&amp;MATCH(I$3&amp;$AW52,Asta!$AI:$AI,0))))</f>
        <v/>
      </c>
      <c r="L52" s="9"/>
      <c r="M52" s="23">
        <f t="shared" si="35"/>
        <v>3</v>
      </c>
      <c r="N52" s="9" t="str">
        <f ca="1">IF(M52="","",IF(ISNA(MATCH(M$3&amp;$AW52,Asta!$AI:$AI,0)),"",INDIRECT("Asta!AA"&amp;MATCH(M$3&amp;$AW52,Asta!$AI:$AI,0))))</f>
        <v/>
      </c>
      <c r="O52" s="9" t="str">
        <f ca="1">IF(N52="","",IF(ISNA(MATCH(M$3&amp;$AW52,Asta!$AI:$AI,0)),"",INDIRECT("Asta!AG"&amp;MATCH(M$3&amp;$AW52,Asta!$AI:$AI,0))))</f>
        <v/>
      </c>
      <c r="P52" s="9"/>
      <c r="Q52" s="23">
        <f t="shared" si="36"/>
        <v>3</v>
      </c>
      <c r="R52" s="9" t="str">
        <f ca="1">IF(Q52="","",IF(ISNA(MATCH(Q$3&amp;$AW52,Asta!$AI:$AI,0)),"",INDIRECT("Asta!AA"&amp;MATCH(Q$3&amp;$AW52,Asta!$AI:$AI,0))))</f>
        <v/>
      </c>
      <c r="S52" s="9" t="str">
        <f ca="1">IF(R52="","",IF(ISNA(MATCH(Q$3&amp;$AW52,Asta!$AI:$AI,0)),"",INDIRECT("Asta!AG"&amp;MATCH(Q$3&amp;$AW52,Asta!$AI:$AI,0))))</f>
        <v/>
      </c>
      <c r="T52" s="9"/>
      <c r="U52" s="23">
        <f t="shared" si="37"/>
        <v>3</v>
      </c>
      <c r="V52" s="9" t="str">
        <f ca="1">IF(U52="","",IF(ISNA(MATCH(U$3&amp;$AW52,Asta!$AI:$AI,0)),"",INDIRECT("Asta!AA"&amp;MATCH(U$3&amp;$AW52,Asta!$AI:$AI,0))))</f>
        <v/>
      </c>
      <c r="W52" s="9" t="str">
        <f ca="1">IF(V52="","",IF(ISNA(MATCH(U$3&amp;$AW52,Asta!$AI:$AI,0)),"",INDIRECT("Asta!AG"&amp;MATCH(U$3&amp;$AW52,Asta!$AI:$AI,0))))</f>
        <v/>
      </c>
      <c r="X52" s="9"/>
      <c r="Y52" s="23">
        <f t="shared" si="38"/>
        <v>3</v>
      </c>
      <c r="Z52" s="9" t="str">
        <f ca="1">IF(Y52="","",IF(ISNA(MATCH(Y$3&amp;$AW52,Asta!$AI:$AI,0)),"",INDIRECT("Asta!AA"&amp;MATCH(Y$3&amp;$AW52,Asta!$AI:$AI,0))))</f>
        <v/>
      </c>
      <c r="AA52" s="9" t="str">
        <f ca="1">IF(Z52="","",IF(ISNA(MATCH(Y$3&amp;$AW52,Asta!$AI:$AI,0)),"",INDIRECT("Asta!AG"&amp;MATCH(Y$3&amp;$AW52,Asta!$AI:$AI,0))))</f>
        <v/>
      </c>
      <c r="AB52" s="9"/>
      <c r="AC52" s="23">
        <f t="shared" si="39"/>
        <v>3</v>
      </c>
      <c r="AD52" s="9" t="str">
        <f ca="1">IF(AC52="","",IF(ISNA(MATCH(AC$3&amp;$AW52,Asta!$AI:$AI,0)),"",INDIRECT("Asta!AA"&amp;MATCH(AC$3&amp;$AW52,Asta!$AI:$AI,0))))</f>
        <v/>
      </c>
      <c r="AE52" s="9" t="str">
        <f ca="1">IF(AD52="","",IF(ISNA(MATCH(AC$3&amp;$AW52,Asta!$AI:$AI,0)),"",INDIRECT("Asta!AG"&amp;MATCH(AC$3&amp;$AW52,Asta!$AI:$AI,0))))</f>
        <v/>
      </c>
      <c r="AF52" s="9"/>
      <c r="AG52" s="23">
        <f t="shared" si="40"/>
        <v>3</v>
      </c>
      <c r="AH52" s="9" t="str">
        <f ca="1">IF(AG52="","",IF(ISNA(MATCH(AG$3&amp;$AW52,Asta!$AI:$AI,0)),"",INDIRECT("Asta!AA"&amp;MATCH(AG$3&amp;$AW52,Asta!$AI:$AI,0))))</f>
        <v/>
      </c>
      <c r="AI52" s="9" t="str">
        <f ca="1">IF(AH52="","",IF(ISNA(MATCH(AG$3&amp;$AW52,Asta!$AI:$AI,0)),"",INDIRECT("Asta!AG"&amp;MATCH(AG$3&amp;$AW52,Asta!$AI:$AI,0))))</f>
        <v/>
      </c>
      <c r="AJ52" s="9"/>
      <c r="AK52" s="23">
        <f t="shared" si="41"/>
        <v>3</v>
      </c>
      <c r="AL52" s="9" t="str">
        <f ca="1">IF(AK52="","",IF(ISNA(MATCH(AK$3&amp;$AW52,Asta!$AI:$AI,0)),"",INDIRECT("Asta!AA"&amp;MATCH(AK$3&amp;$AW52,Asta!$AI:$AI,0))))</f>
        <v/>
      </c>
      <c r="AM52" s="9" t="str">
        <f ca="1">IF(AL52="","",IF(ISNA(MATCH(AK$3&amp;$AW52,Asta!$AI:$AI,0)),"",INDIRECT("Asta!AG"&amp;MATCH(AK$3&amp;$AW52,Asta!$AI:$AI,0))))</f>
        <v/>
      </c>
      <c r="AN52" s="9"/>
      <c r="AO52" s="23">
        <f t="shared" si="42"/>
        <v>3</v>
      </c>
      <c r="AP52" s="9" t="str">
        <f ca="1">IF(AO52="","",IF(ISNA(MATCH(AO$3&amp;$AW52,Asta!$AI:$AI,0)),"",INDIRECT("Asta!AA"&amp;MATCH(AO$3&amp;$AW52,Asta!$AI:$AI,0))))</f>
        <v/>
      </c>
      <c r="AQ52" s="9" t="str">
        <f ca="1">IF(AP52="","",IF(ISNA(MATCH(AO$3&amp;$AW52,Asta!$AI:$AI,0)),"",INDIRECT("Asta!AG"&amp;MATCH(AO$3&amp;$AW52,Asta!$AI:$AI,0))))</f>
        <v/>
      </c>
      <c r="AR52" s="9"/>
      <c r="AS52" s="23">
        <f t="shared" si="43"/>
        <v>3</v>
      </c>
      <c r="AT52" s="9" t="str">
        <f ca="1">IF(AS52="","",IF(ISNA(MATCH(AS$3&amp;$AW52,Asta!$AI:$AI,0)),"",INDIRECT("Asta!AA"&amp;MATCH(AS$3&amp;$AW52,Asta!$AI:$AI,0))))</f>
        <v/>
      </c>
      <c r="AU52" s="9" t="str">
        <f ca="1">IF(AT52="","",IF(ISNA(MATCH(AS$3&amp;$AW52,Asta!$AI:$AI,0)),"",INDIRECT("Asta!AG"&amp;MATCH(AS$3&amp;$AW52,Asta!$AI:$AI,0))))</f>
        <v/>
      </c>
      <c r="AV52" s="9"/>
      <c r="AW52" s="23">
        <f t="shared" si="44"/>
        <v>3</v>
      </c>
    </row>
    <row r="53" spans="1:49" hidden="1">
      <c r="A53" s="23">
        <f t="shared" si="45"/>
        <v>4</v>
      </c>
      <c r="B53" s="9" t="str">
        <f ca="1">IF(A53="","",IF(ISNA(MATCH(A$3&amp;$AW53,Asta!$AI:$AI,0)),"",INDIRECT("Asta!AA"&amp;MATCH(A$3&amp;$AW53,Asta!$AI:$AI,0))))</f>
        <v/>
      </c>
      <c r="C53" s="9" t="str">
        <f ca="1">IF(B53="","",IF(ISNA(MATCH(A$3&amp;$AW53,Asta!$AI:$AI,0)),"",INDIRECT("Asta!AG"&amp;MATCH(A$3&amp;$AW53,Asta!$AI:$AI,0))))</f>
        <v/>
      </c>
      <c r="D53" s="9"/>
      <c r="E53" s="23">
        <f t="shared" si="33"/>
        <v>4</v>
      </c>
      <c r="F53" s="9" t="str">
        <f ca="1">IF(E53="","",IF(ISNA(MATCH(E$3&amp;$AW53,Asta!$AI:$AI,0)),"",INDIRECT("Asta!AA"&amp;MATCH(E$3&amp;$AW53,Asta!$AI:$AI,0))))</f>
        <v/>
      </c>
      <c r="G53" s="9" t="str">
        <f ca="1">IF(F53="","",IF(ISNA(MATCH(E$3&amp;$AW53,Asta!$AI:$AI,0)),"",INDIRECT("Asta!AG"&amp;MATCH(E$3&amp;$AW53,Asta!$AI:$AI,0))))</f>
        <v/>
      </c>
      <c r="H53" s="9"/>
      <c r="I53" s="23">
        <f t="shared" si="34"/>
        <v>4</v>
      </c>
      <c r="J53" s="9" t="str">
        <f ca="1">IF(I53="","",IF(ISNA(MATCH(I$3&amp;$AW53,Asta!$AI:$AI,0)),"",INDIRECT("Asta!AA"&amp;MATCH(I$3&amp;$AW53,Asta!$AI:$AI,0))))</f>
        <v/>
      </c>
      <c r="K53" s="9" t="str">
        <f ca="1">IF(J53="","",IF(ISNA(MATCH(I$3&amp;$AW53,Asta!$AI:$AI,0)),"",INDIRECT("Asta!AG"&amp;MATCH(I$3&amp;$AW53,Asta!$AI:$AI,0))))</f>
        <v/>
      </c>
      <c r="L53" s="9"/>
      <c r="M53" s="23">
        <f t="shared" si="35"/>
        <v>4</v>
      </c>
      <c r="N53" s="9" t="str">
        <f ca="1">IF(M53="","",IF(ISNA(MATCH(M$3&amp;$AW53,Asta!$AI:$AI,0)),"",INDIRECT("Asta!AA"&amp;MATCH(M$3&amp;$AW53,Asta!$AI:$AI,0))))</f>
        <v/>
      </c>
      <c r="O53" s="9" t="str">
        <f ca="1">IF(N53="","",IF(ISNA(MATCH(M$3&amp;$AW53,Asta!$AI:$AI,0)),"",INDIRECT("Asta!AG"&amp;MATCH(M$3&amp;$AW53,Asta!$AI:$AI,0))))</f>
        <v/>
      </c>
      <c r="P53" s="9"/>
      <c r="Q53" s="23">
        <f t="shared" si="36"/>
        <v>4</v>
      </c>
      <c r="R53" s="9" t="str">
        <f ca="1">IF(Q53="","",IF(ISNA(MATCH(Q$3&amp;$AW53,Asta!$AI:$AI,0)),"",INDIRECT("Asta!AA"&amp;MATCH(Q$3&amp;$AW53,Asta!$AI:$AI,0))))</f>
        <v/>
      </c>
      <c r="S53" s="9" t="str">
        <f ca="1">IF(R53="","",IF(ISNA(MATCH(Q$3&amp;$AW53,Asta!$AI:$AI,0)),"",INDIRECT("Asta!AG"&amp;MATCH(Q$3&amp;$AW53,Asta!$AI:$AI,0))))</f>
        <v/>
      </c>
      <c r="T53" s="9"/>
      <c r="U53" s="23">
        <f t="shared" si="37"/>
        <v>4</v>
      </c>
      <c r="V53" s="9" t="str">
        <f ca="1">IF(U53="","",IF(ISNA(MATCH(U$3&amp;$AW53,Asta!$AI:$AI,0)),"",INDIRECT("Asta!AA"&amp;MATCH(U$3&amp;$AW53,Asta!$AI:$AI,0))))</f>
        <v/>
      </c>
      <c r="W53" s="9" t="str">
        <f ca="1">IF(V53="","",IF(ISNA(MATCH(U$3&amp;$AW53,Asta!$AI:$AI,0)),"",INDIRECT("Asta!AG"&amp;MATCH(U$3&amp;$AW53,Asta!$AI:$AI,0))))</f>
        <v/>
      </c>
      <c r="X53" s="9"/>
      <c r="Y53" s="23">
        <f t="shared" si="38"/>
        <v>4</v>
      </c>
      <c r="Z53" s="9" t="str">
        <f ca="1">IF(Y53="","",IF(ISNA(MATCH(Y$3&amp;$AW53,Asta!$AI:$AI,0)),"",INDIRECT("Asta!AA"&amp;MATCH(Y$3&amp;$AW53,Asta!$AI:$AI,0))))</f>
        <v/>
      </c>
      <c r="AA53" s="9" t="str">
        <f ca="1">IF(Z53="","",IF(ISNA(MATCH(Y$3&amp;$AW53,Asta!$AI:$AI,0)),"",INDIRECT("Asta!AG"&amp;MATCH(Y$3&amp;$AW53,Asta!$AI:$AI,0))))</f>
        <v/>
      </c>
      <c r="AB53" s="9"/>
      <c r="AC53" s="23">
        <f t="shared" si="39"/>
        <v>4</v>
      </c>
      <c r="AD53" s="9" t="str">
        <f ca="1">IF(AC53="","",IF(ISNA(MATCH(AC$3&amp;$AW53,Asta!$AI:$AI,0)),"",INDIRECT("Asta!AA"&amp;MATCH(AC$3&amp;$AW53,Asta!$AI:$AI,0))))</f>
        <v/>
      </c>
      <c r="AE53" s="9" t="str">
        <f ca="1">IF(AD53="","",IF(ISNA(MATCH(AC$3&amp;$AW53,Asta!$AI:$AI,0)),"",INDIRECT("Asta!AG"&amp;MATCH(AC$3&amp;$AW53,Asta!$AI:$AI,0))))</f>
        <v/>
      </c>
      <c r="AF53" s="9"/>
      <c r="AG53" s="23">
        <f t="shared" si="40"/>
        <v>4</v>
      </c>
      <c r="AH53" s="9" t="str">
        <f ca="1">IF(AG53="","",IF(ISNA(MATCH(AG$3&amp;$AW53,Asta!$AI:$AI,0)),"",INDIRECT("Asta!AA"&amp;MATCH(AG$3&amp;$AW53,Asta!$AI:$AI,0))))</f>
        <v/>
      </c>
      <c r="AI53" s="9" t="str">
        <f ca="1">IF(AH53="","",IF(ISNA(MATCH(AG$3&amp;$AW53,Asta!$AI:$AI,0)),"",INDIRECT("Asta!AG"&amp;MATCH(AG$3&amp;$AW53,Asta!$AI:$AI,0))))</f>
        <v/>
      </c>
      <c r="AJ53" s="9"/>
      <c r="AK53" s="23">
        <f t="shared" si="41"/>
        <v>4</v>
      </c>
      <c r="AL53" s="9" t="str">
        <f ca="1">IF(AK53="","",IF(ISNA(MATCH(AK$3&amp;$AW53,Asta!$AI:$AI,0)),"",INDIRECT("Asta!AA"&amp;MATCH(AK$3&amp;$AW53,Asta!$AI:$AI,0))))</f>
        <v/>
      </c>
      <c r="AM53" s="9" t="str">
        <f ca="1">IF(AL53="","",IF(ISNA(MATCH(AK$3&amp;$AW53,Asta!$AI:$AI,0)),"",INDIRECT("Asta!AG"&amp;MATCH(AK$3&amp;$AW53,Asta!$AI:$AI,0))))</f>
        <v/>
      </c>
      <c r="AN53" s="9"/>
      <c r="AO53" s="23">
        <f t="shared" si="42"/>
        <v>4</v>
      </c>
      <c r="AP53" s="9" t="str">
        <f ca="1">IF(AO53="","",IF(ISNA(MATCH(AO$3&amp;$AW53,Asta!$AI:$AI,0)),"",INDIRECT("Asta!AA"&amp;MATCH(AO$3&amp;$AW53,Asta!$AI:$AI,0))))</f>
        <v/>
      </c>
      <c r="AQ53" s="9" t="str">
        <f ca="1">IF(AP53="","",IF(ISNA(MATCH(AO$3&amp;$AW53,Asta!$AI:$AI,0)),"",INDIRECT("Asta!AG"&amp;MATCH(AO$3&amp;$AW53,Asta!$AI:$AI,0))))</f>
        <v/>
      </c>
      <c r="AR53" s="9"/>
      <c r="AS53" s="23">
        <f t="shared" si="43"/>
        <v>4</v>
      </c>
      <c r="AT53" s="9" t="str">
        <f ca="1">IF(AS53="","",IF(ISNA(MATCH(AS$3&amp;$AW53,Asta!$AI:$AI,0)),"",INDIRECT("Asta!AA"&amp;MATCH(AS$3&amp;$AW53,Asta!$AI:$AI,0))))</f>
        <v/>
      </c>
      <c r="AU53" s="9" t="str">
        <f ca="1">IF(AT53="","",IF(ISNA(MATCH(AS$3&amp;$AW53,Asta!$AI:$AI,0)),"",INDIRECT("Asta!AG"&amp;MATCH(AS$3&amp;$AW53,Asta!$AI:$AI,0))))</f>
        <v/>
      </c>
      <c r="AV53" s="9"/>
      <c r="AW53" s="23">
        <f t="shared" si="44"/>
        <v>4</v>
      </c>
    </row>
    <row r="54" spans="1:49" hidden="1">
      <c r="A54" s="23">
        <f t="shared" si="45"/>
        <v>5</v>
      </c>
      <c r="B54" s="9" t="str">
        <f ca="1">IF(A54="","",IF(ISNA(MATCH(A$3&amp;$AW54,Asta!$AI:$AI,0)),"",INDIRECT("Asta!AA"&amp;MATCH(A$3&amp;$AW54,Asta!$AI:$AI,0))))</f>
        <v/>
      </c>
      <c r="C54" s="9" t="str">
        <f ca="1">IF(B54="","",IF(ISNA(MATCH(A$3&amp;$AW54,Asta!$AI:$AI,0)),"",INDIRECT("Asta!AG"&amp;MATCH(A$3&amp;$AW54,Asta!$AI:$AI,0))))</f>
        <v/>
      </c>
      <c r="D54" s="9"/>
      <c r="E54" s="23">
        <f t="shared" si="33"/>
        <v>5</v>
      </c>
      <c r="F54" s="9" t="str">
        <f ca="1">IF(E54="","",IF(ISNA(MATCH(E$3&amp;$AW54,Asta!$AI:$AI,0)),"",INDIRECT("Asta!AA"&amp;MATCH(E$3&amp;$AW54,Asta!$AI:$AI,0))))</f>
        <v/>
      </c>
      <c r="G54" s="9" t="str">
        <f ca="1">IF(F54="","",IF(ISNA(MATCH(E$3&amp;$AW54,Asta!$AI:$AI,0)),"",INDIRECT("Asta!AG"&amp;MATCH(E$3&amp;$AW54,Asta!$AI:$AI,0))))</f>
        <v/>
      </c>
      <c r="H54" s="9"/>
      <c r="I54" s="23">
        <f t="shared" si="34"/>
        <v>5</v>
      </c>
      <c r="J54" s="9" t="str">
        <f ca="1">IF(I54="","",IF(ISNA(MATCH(I$3&amp;$AW54,Asta!$AI:$AI,0)),"",INDIRECT("Asta!AA"&amp;MATCH(I$3&amp;$AW54,Asta!$AI:$AI,0))))</f>
        <v/>
      </c>
      <c r="K54" s="9" t="str">
        <f ca="1">IF(J54="","",IF(ISNA(MATCH(I$3&amp;$AW54,Asta!$AI:$AI,0)),"",INDIRECT("Asta!AG"&amp;MATCH(I$3&amp;$AW54,Asta!$AI:$AI,0))))</f>
        <v/>
      </c>
      <c r="L54" s="9"/>
      <c r="M54" s="23">
        <f t="shared" si="35"/>
        <v>5</v>
      </c>
      <c r="N54" s="9" t="str">
        <f ca="1">IF(M54="","",IF(ISNA(MATCH(M$3&amp;$AW54,Asta!$AI:$AI,0)),"",INDIRECT("Asta!AA"&amp;MATCH(M$3&amp;$AW54,Asta!$AI:$AI,0))))</f>
        <v/>
      </c>
      <c r="O54" s="9" t="str">
        <f ca="1">IF(N54="","",IF(ISNA(MATCH(M$3&amp;$AW54,Asta!$AI:$AI,0)),"",INDIRECT("Asta!AG"&amp;MATCH(M$3&amp;$AW54,Asta!$AI:$AI,0))))</f>
        <v/>
      </c>
      <c r="P54" s="9"/>
      <c r="Q54" s="23">
        <f t="shared" si="36"/>
        <v>5</v>
      </c>
      <c r="R54" s="9" t="str">
        <f ca="1">IF(Q54="","",IF(ISNA(MATCH(Q$3&amp;$AW54,Asta!$AI:$AI,0)),"",INDIRECT("Asta!AA"&amp;MATCH(Q$3&amp;$AW54,Asta!$AI:$AI,0))))</f>
        <v/>
      </c>
      <c r="S54" s="9" t="str">
        <f ca="1">IF(R54="","",IF(ISNA(MATCH(Q$3&amp;$AW54,Asta!$AI:$AI,0)),"",INDIRECT("Asta!AG"&amp;MATCH(Q$3&amp;$AW54,Asta!$AI:$AI,0))))</f>
        <v/>
      </c>
      <c r="T54" s="9"/>
      <c r="U54" s="23">
        <f t="shared" si="37"/>
        <v>5</v>
      </c>
      <c r="V54" s="9" t="str">
        <f ca="1">IF(U54="","",IF(ISNA(MATCH(U$3&amp;$AW54,Asta!$AI:$AI,0)),"",INDIRECT("Asta!AA"&amp;MATCH(U$3&amp;$AW54,Asta!$AI:$AI,0))))</f>
        <v/>
      </c>
      <c r="W54" s="9" t="str">
        <f ca="1">IF(V54="","",IF(ISNA(MATCH(U$3&amp;$AW54,Asta!$AI:$AI,0)),"",INDIRECT("Asta!AG"&amp;MATCH(U$3&amp;$AW54,Asta!$AI:$AI,0))))</f>
        <v/>
      </c>
      <c r="X54" s="9"/>
      <c r="Y54" s="23">
        <f t="shared" si="38"/>
        <v>5</v>
      </c>
      <c r="Z54" s="9" t="str">
        <f ca="1">IF(Y54="","",IF(ISNA(MATCH(Y$3&amp;$AW54,Asta!$AI:$AI,0)),"",INDIRECT("Asta!AA"&amp;MATCH(Y$3&amp;$AW54,Asta!$AI:$AI,0))))</f>
        <v/>
      </c>
      <c r="AA54" s="9" t="str">
        <f ca="1">IF(Z54="","",IF(ISNA(MATCH(Y$3&amp;$AW54,Asta!$AI:$AI,0)),"",INDIRECT("Asta!AG"&amp;MATCH(Y$3&amp;$AW54,Asta!$AI:$AI,0))))</f>
        <v/>
      </c>
      <c r="AB54" s="9"/>
      <c r="AC54" s="23">
        <f t="shared" si="39"/>
        <v>5</v>
      </c>
      <c r="AD54" s="9" t="str">
        <f ca="1">IF(AC54="","",IF(ISNA(MATCH(AC$3&amp;$AW54,Asta!$AI:$AI,0)),"",INDIRECT("Asta!AA"&amp;MATCH(AC$3&amp;$AW54,Asta!$AI:$AI,0))))</f>
        <v/>
      </c>
      <c r="AE54" s="9" t="str">
        <f ca="1">IF(AD54="","",IF(ISNA(MATCH(AC$3&amp;$AW54,Asta!$AI:$AI,0)),"",INDIRECT("Asta!AG"&amp;MATCH(AC$3&amp;$AW54,Asta!$AI:$AI,0))))</f>
        <v/>
      </c>
      <c r="AF54" s="9"/>
      <c r="AG54" s="23">
        <f t="shared" si="40"/>
        <v>5</v>
      </c>
      <c r="AH54" s="9" t="str">
        <f ca="1">IF(AG54="","",IF(ISNA(MATCH(AG$3&amp;$AW54,Asta!$AI:$AI,0)),"",INDIRECT("Asta!AA"&amp;MATCH(AG$3&amp;$AW54,Asta!$AI:$AI,0))))</f>
        <v/>
      </c>
      <c r="AI54" s="9" t="str">
        <f ca="1">IF(AH54="","",IF(ISNA(MATCH(AG$3&amp;$AW54,Asta!$AI:$AI,0)),"",INDIRECT("Asta!AG"&amp;MATCH(AG$3&amp;$AW54,Asta!$AI:$AI,0))))</f>
        <v/>
      </c>
      <c r="AJ54" s="9"/>
      <c r="AK54" s="23">
        <f t="shared" si="41"/>
        <v>5</v>
      </c>
      <c r="AL54" s="9" t="str">
        <f ca="1">IF(AK54="","",IF(ISNA(MATCH(AK$3&amp;$AW54,Asta!$AI:$AI,0)),"",INDIRECT("Asta!AA"&amp;MATCH(AK$3&amp;$AW54,Asta!$AI:$AI,0))))</f>
        <v/>
      </c>
      <c r="AM54" s="9" t="str">
        <f ca="1">IF(AL54="","",IF(ISNA(MATCH(AK$3&amp;$AW54,Asta!$AI:$AI,0)),"",INDIRECT("Asta!AG"&amp;MATCH(AK$3&amp;$AW54,Asta!$AI:$AI,0))))</f>
        <v/>
      </c>
      <c r="AN54" s="9"/>
      <c r="AO54" s="23">
        <f t="shared" si="42"/>
        <v>5</v>
      </c>
      <c r="AP54" s="9" t="str">
        <f ca="1">IF(AO54="","",IF(ISNA(MATCH(AO$3&amp;$AW54,Asta!$AI:$AI,0)),"",INDIRECT("Asta!AA"&amp;MATCH(AO$3&amp;$AW54,Asta!$AI:$AI,0))))</f>
        <v/>
      </c>
      <c r="AQ54" s="9" t="str">
        <f ca="1">IF(AP54="","",IF(ISNA(MATCH(AO$3&amp;$AW54,Asta!$AI:$AI,0)),"",INDIRECT("Asta!AG"&amp;MATCH(AO$3&amp;$AW54,Asta!$AI:$AI,0))))</f>
        <v/>
      </c>
      <c r="AR54" s="9"/>
      <c r="AS54" s="23">
        <f t="shared" si="43"/>
        <v>5</v>
      </c>
      <c r="AT54" s="9" t="str">
        <f ca="1">IF(AS54="","",IF(ISNA(MATCH(AS$3&amp;$AW54,Asta!$AI:$AI,0)),"",INDIRECT("Asta!AA"&amp;MATCH(AS$3&amp;$AW54,Asta!$AI:$AI,0))))</f>
        <v/>
      </c>
      <c r="AU54" s="9" t="str">
        <f ca="1">IF(AT54="","",IF(ISNA(MATCH(AS$3&amp;$AW54,Asta!$AI:$AI,0)),"",INDIRECT("Asta!AG"&amp;MATCH(AS$3&amp;$AW54,Asta!$AI:$AI,0))))</f>
        <v/>
      </c>
      <c r="AV54" s="9"/>
      <c r="AW54" s="23">
        <f t="shared" si="44"/>
        <v>5</v>
      </c>
    </row>
    <row r="55" spans="1:49" hidden="1">
      <c r="A55" s="23">
        <f t="shared" si="45"/>
        <v>6</v>
      </c>
      <c r="B55" s="9" t="str">
        <f ca="1">IF(A55="","",IF(ISNA(MATCH(A$3&amp;$AW55,Asta!$AI:$AI,0)),"",INDIRECT("Asta!AA"&amp;MATCH(A$3&amp;$AW55,Asta!$AI:$AI,0))))</f>
        <v/>
      </c>
      <c r="C55" s="9" t="str">
        <f ca="1">IF(B55="","",IF(ISNA(MATCH(A$3&amp;$AW55,Asta!$AI:$AI,0)),"",INDIRECT("Asta!AG"&amp;MATCH(A$3&amp;$AW55,Asta!$AI:$AI,0))))</f>
        <v/>
      </c>
      <c r="D55" s="9"/>
      <c r="E55" s="23">
        <f t="shared" si="33"/>
        <v>6</v>
      </c>
      <c r="F55" s="9" t="str">
        <f ca="1">IF(E55="","",IF(ISNA(MATCH(E$3&amp;$AW55,Asta!$AI:$AI,0)),"",INDIRECT("Asta!AA"&amp;MATCH(E$3&amp;$AW55,Asta!$AI:$AI,0))))</f>
        <v/>
      </c>
      <c r="G55" s="9" t="str">
        <f ca="1">IF(F55="","",IF(ISNA(MATCH(E$3&amp;$AW55,Asta!$AI:$AI,0)),"",INDIRECT("Asta!AG"&amp;MATCH(E$3&amp;$AW55,Asta!$AI:$AI,0))))</f>
        <v/>
      </c>
      <c r="H55" s="9"/>
      <c r="I55" s="23">
        <f t="shared" si="34"/>
        <v>6</v>
      </c>
      <c r="J55" s="9" t="str">
        <f ca="1">IF(I55="","",IF(ISNA(MATCH(I$3&amp;$AW55,Asta!$AI:$AI,0)),"",INDIRECT("Asta!AA"&amp;MATCH(I$3&amp;$AW55,Asta!$AI:$AI,0))))</f>
        <v/>
      </c>
      <c r="K55" s="9" t="str">
        <f ca="1">IF(J55="","",IF(ISNA(MATCH(I$3&amp;$AW55,Asta!$AI:$AI,0)),"",INDIRECT("Asta!AG"&amp;MATCH(I$3&amp;$AW55,Asta!$AI:$AI,0))))</f>
        <v/>
      </c>
      <c r="L55" s="9"/>
      <c r="M55" s="23">
        <f t="shared" si="35"/>
        <v>6</v>
      </c>
      <c r="N55" s="9" t="str">
        <f ca="1">IF(M55="","",IF(ISNA(MATCH(M$3&amp;$AW55,Asta!$AI:$AI,0)),"",INDIRECT("Asta!AA"&amp;MATCH(M$3&amp;$AW55,Asta!$AI:$AI,0))))</f>
        <v/>
      </c>
      <c r="O55" s="9" t="str">
        <f ca="1">IF(N55="","",IF(ISNA(MATCH(M$3&amp;$AW55,Asta!$AI:$AI,0)),"",INDIRECT("Asta!AG"&amp;MATCH(M$3&amp;$AW55,Asta!$AI:$AI,0))))</f>
        <v/>
      </c>
      <c r="P55" s="9"/>
      <c r="Q55" s="23">
        <f t="shared" si="36"/>
        <v>6</v>
      </c>
      <c r="R55" s="9" t="str">
        <f ca="1">IF(Q55="","",IF(ISNA(MATCH(Q$3&amp;$AW55,Asta!$AI:$AI,0)),"",INDIRECT("Asta!AA"&amp;MATCH(Q$3&amp;$AW55,Asta!$AI:$AI,0))))</f>
        <v/>
      </c>
      <c r="S55" s="9" t="str">
        <f ca="1">IF(R55="","",IF(ISNA(MATCH(Q$3&amp;$AW55,Asta!$AI:$AI,0)),"",INDIRECT("Asta!AG"&amp;MATCH(Q$3&amp;$AW55,Asta!$AI:$AI,0))))</f>
        <v/>
      </c>
      <c r="T55" s="9"/>
      <c r="U55" s="23">
        <f t="shared" si="37"/>
        <v>6</v>
      </c>
      <c r="V55" s="9" t="str">
        <f ca="1">IF(U55="","",IF(ISNA(MATCH(U$3&amp;$AW55,Asta!$AI:$AI,0)),"",INDIRECT("Asta!AA"&amp;MATCH(U$3&amp;$AW55,Asta!$AI:$AI,0))))</f>
        <v/>
      </c>
      <c r="W55" s="9" t="str">
        <f ca="1">IF(V55="","",IF(ISNA(MATCH(U$3&amp;$AW55,Asta!$AI:$AI,0)),"",INDIRECT("Asta!AG"&amp;MATCH(U$3&amp;$AW55,Asta!$AI:$AI,0))))</f>
        <v/>
      </c>
      <c r="X55" s="9"/>
      <c r="Y55" s="23">
        <f t="shared" si="38"/>
        <v>6</v>
      </c>
      <c r="Z55" s="9" t="str">
        <f ca="1">IF(Y55="","",IF(ISNA(MATCH(Y$3&amp;$AW55,Asta!$AI:$AI,0)),"",INDIRECT("Asta!AA"&amp;MATCH(Y$3&amp;$AW55,Asta!$AI:$AI,0))))</f>
        <v/>
      </c>
      <c r="AA55" s="9" t="str">
        <f ca="1">IF(Z55="","",IF(ISNA(MATCH(Y$3&amp;$AW55,Asta!$AI:$AI,0)),"",INDIRECT("Asta!AG"&amp;MATCH(Y$3&amp;$AW55,Asta!$AI:$AI,0))))</f>
        <v/>
      </c>
      <c r="AB55" s="9"/>
      <c r="AC55" s="23">
        <f t="shared" si="39"/>
        <v>6</v>
      </c>
      <c r="AD55" s="9" t="str">
        <f ca="1">IF(AC55="","",IF(ISNA(MATCH(AC$3&amp;$AW55,Asta!$AI:$AI,0)),"",INDIRECT("Asta!AA"&amp;MATCH(AC$3&amp;$AW55,Asta!$AI:$AI,0))))</f>
        <v/>
      </c>
      <c r="AE55" s="9" t="str">
        <f ca="1">IF(AD55="","",IF(ISNA(MATCH(AC$3&amp;$AW55,Asta!$AI:$AI,0)),"",INDIRECT("Asta!AG"&amp;MATCH(AC$3&amp;$AW55,Asta!$AI:$AI,0))))</f>
        <v/>
      </c>
      <c r="AF55" s="9"/>
      <c r="AG55" s="23">
        <f t="shared" si="40"/>
        <v>6</v>
      </c>
      <c r="AH55" s="9" t="str">
        <f ca="1">IF(AG55="","",IF(ISNA(MATCH(AG$3&amp;$AW55,Asta!$AI:$AI,0)),"",INDIRECT("Asta!AA"&amp;MATCH(AG$3&amp;$AW55,Asta!$AI:$AI,0))))</f>
        <v/>
      </c>
      <c r="AI55" s="9" t="str">
        <f ca="1">IF(AH55="","",IF(ISNA(MATCH(AG$3&amp;$AW55,Asta!$AI:$AI,0)),"",INDIRECT("Asta!AG"&amp;MATCH(AG$3&amp;$AW55,Asta!$AI:$AI,0))))</f>
        <v/>
      </c>
      <c r="AJ55" s="9"/>
      <c r="AK55" s="23">
        <f t="shared" si="41"/>
        <v>6</v>
      </c>
      <c r="AL55" s="9" t="str">
        <f ca="1">IF(AK55="","",IF(ISNA(MATCH(AK$3&amp;$AW55,Asta!$AI:$AI,0)),"",INDIRECT("Asta!AA"&amp;MATCH(AK$3&amp;$AW55,Asta!$AI:$AI,0))))</f>
        <v/>
      </c>
      <c r="AM55" s="9" t="str">
        <f ca="1">IF(AL55="","",IF(ISNA(MATCH(AK$3&amp;$AW55,Asta!$AI:$AI,0)),"",INDIRECT("Asta!AG"&amp;MATCH(AK$3&amp;$AW55,Asta!$AI:$AI,0))))</f>
        <v/>
      </c>
      <c r="AN55" s="9"/>
      <c r="AO55" s="23">
        <f t="shared" si="42"/>
        <v>6</v>
      </c>
      <c r="AP55" s="9" t="str">
        <f ca="1">IF(AO55="","",IF(ISNA(MATCH(AO$3&amp;$AW55,Asta!$AI:$AI,0)),"",INDIRECT("Asta!AA"&amp;MATCH(AO$3&amp;$AW55,Asta!$AI:$AI,0))))</f>
        <v/>
      </c>
      <c r="AQ55" s="9" t="str">
        <f ca="1">IF(AP55="","",IF(ISNA(MATCH(AO$3&amp;$AW55,Asta!$AI:$AI,0)),"",INDIRECT("Asta!AG"&amp;MATCH(AO$3&amp;$AW55,Asta!$AI:$AI,0))))</f>
        <v/>
      </c>
      <c r="AR55" s="9"/>
      <c r="AS55" s="23">
        <f t="shared" si="43"/>
        <v>6</v>
      </c>
      <c r="AT55" s="9" t="str">
        <f ca="1">IF(AS55="","",IF(ISNA(MATCH(AS$3&amp;$AW55,Asta!$AI:$AI,0)),"",INDIRECT("Asta!AA"&amp;MATCH(AS$3&amp;$AW55,Asta!$AI:$AI,0))))</f>
        <v/>
      </c>
      <c r="AU55" s="9" t="str">
        <f ca="1">IF(AT55="","",IF(ISNA(MATCH(AS$3&amp;$AW55,Asta!$AI:$AI,0)),"",INDIRECT("Asta!AG"&amp;MATCH(AS$3&amp;$AW55,Asta!$AI:$AI,0))))</f>
        <v/>
      </c>
      <c r="AV55" s="9"/>
      <c r="AW55" s="23">
        <f t="shared" si="44"/>
        <v>6</v>
      </c>
    </row>
    <row r="56" spans="1:49" hidden="1">
      <c r="A56" s="23">
        <f t="shared" si="45"/>
        <v>7</v>
      </c>
      <c r="B56" s="9" t="str">
        <f ca="1">IF(A56="","",IF(ISNA(MATCH(A$3&amp;$AW56,Asta!$AI:$AI,0)),"",INDIRECT("Asta!AA"&amp;MATCH(A$3&amp;$AW56,Asta!$AI:$AI,0))))</f>
        <v/>
      </c>
      <c r="C56" s="9" t="str">
        <f ca="1">IF(B56="","",IF(ISNA(MATCH(A$3&amp;$AW56,Asta!$AI:$AI,0)),"",INDIRECT("Asta!AG"&amp;MATCH(A$3&amp;$AW56,Asta!$AI:$AI,0))))</f>
        <v/>
      </c>
      <c r="D56" s="9"/>
      <c r="E56" s="23">
        <f t="shared" si="33"/>
        <v>7</v>
      </c>
      <c r="F56" s="9" t="str">
        <f ca="1">IF(E56="","",IF(ISNA(MATCH(E$3&amp;$AW56,Asta!$AI:$AI,0)),"",INDIRECT("Asta!AA"&amp;MATCH(E$3&amp;$AW56,Asta!$AI:$AI,0))))</f>
        <v/>
      </c>
      <c r="G56" s="9" t="str">
        <f ca="1">IF(F56="","",IF(ISNA(MATCH(E$3&amp;$AW56,Asta!$AI:$AI,0)),"",INDIRECT("Asta!AG"&amp;MATCH(E$3&amp;$AW56,Asta!$AI:$AI,0))))</f>
        <v/>
      </c>
      <c r="H56" s="9"/>
      <c r="I56" s="23">
        <f t="shared" si="34"/>
        <v>7</v>
      </c>
      <c r="J56" s="9" t="str">
        <f ca="1">IF(I56="","",IF(ISNA(MATCH(I$3&amp;$AW56,Asta!$AI:$AI,0)),"",INDIRECT("Asta!AA"&amp;MATCH(I$3&amp;$AW56,Asta!$AI:$AI,0))))</f>
        <v/>
      </c>
      <c r="K56" s="9" t="str">
        <f ca="1">IF(J56="","",IF(ISNA(MATCH(I$3&amp;$AW56,Asta!$AI:$AI,0)),"",INDIRECT("Asta!AG"&amp;MATCH(I$3&amp;$AW56,Asta!$AI:$AI,0))))</f>
        <v/>
      </c>
      <c r="L56" s="9"/>
      <c r="M56" s="23">
        <f t="shared" si="35"/>
        <v>7</v>
      </c>
      <c r="N56" s="9" t="str">
        <f ca="1">IF(M56="","",IF(ISNA(MATCH(M$3&amp;$AW56,Asta!$AI:$AI,0)),"",INDIRECT("Asta!AA"&amp;MATCH(M$3&amp;$AW56,Asta!$AI:$AI,0))))</f>
        <v/>
      </c>
      <c r="O56" s="9" t="str">
        <f ca="1">IF(N56="","",IF(ISNA(MATCH(M$3&amp;$AW56,Asta!$AI:$AI,0)),"",INDIRECT("Asta!AG"&amp;MATCH(M$3&amp;$AW56,Asta!$AI:$AI,0))))</f>
        <v/>
      </c>
      <c r="P56" s="9"/>
      <c r="Q56" s="23">
        <f t="shared" si="36"/>
        <v>7</v>
      </c>
      <c r="R56" s="9" t="str">
        <f ca="1">IF(Q56="","",IF(ISNA(MATCH(Q$3&amp;$AW56,Asta!$AI:$AI,0)),"",INDIRECT("Asta!AA"&amp;MATCH(Q$3&amp;$AW56,Asta!$AI:$AI,0))))</f>
        <v/>
      </c>
      <c r="S56" s="9" t="str">
        <f ca="1">IF(R56="","",IF(ISNA(MATCH(Q$3&amp;$AW56,Asta!$AI:$AI,0)),"",INDIRECT("Asta!AG"&amp;MATCH(Q$3&amp;$AW56,Asta!$AI:$AI,0))))</f>
        <v/>
      </c>
      <c r="T56" s="9"/>
      <c r="U56" s="23">
        <f t="shared" si="37"/>
        <v>7</v>
      </c>
      <c r="V56" s="9" t="str">
        <f ca="1">IF(U56="","",IF(ISNA(MATCH(U$3&amp;$AW56,Asta!$AI:$AI,0)),"",INDIRECT("Asta!AA"&amp;MATCH(U$3&amp;$AW56,Asta!$AI:$AI,0))))</f>
        <v/>
      </c>
      <c r="W56" s="9" t="str">
        <f ca="1">IF(V56="","",IF(ISNA(MATCH(U$3&amp;$AW56,Asta!$AI:$AI,0)),"",INDIRECT("Asta!AG"&amp;MATCH(U$3&amp;$AW56,Asta!$AI:$AI,0))))</f>
        <v/>
      </c>
      <c r="X56" s="9"/>
      <c r="Y56" s="23">
        <f t="shared" si="38"/>
        <v>7</v>
      </c>
      <c r="Z56" s="9" t="str">
        <f ca="1">IF(Y56="","",IF(ISNA(MATCH(Y$3&amp;$AW56,Asta!$AI:$AI,0)),"",INDIRECT("Asta!AA"&amp;MATCH(Y$3&amp;$AW56,Asta!$AI:$AI,0))))</f>
        <v/>
      </c>
      <c r="AA56" s="9" t="str">
        <f ca="1">IF(Z56="","",IF(ISNA(MATCH(Y$3&amp;$AW56,Asta!$AI:$AI,0)),"",INDIRECT("Asta!AG"&amp;MATCH(Y$3&amp;$AW56,Asta!$AI:$AI,0))))</f>
        <v/>
      </c>
      <c r="AB56" s="9"/>
      <c r="AC56" s="23">
        <f t="shared" si="39"/>
        <v>7</v>
      </c>
      <c r="AD56" s="9" t="str">
        <f ca="1">IF(AC56="","",IF(ISNA(MATCH(AC$3&amp;$AW56,Asta!$AI:$AI,0)),"",INDIRECT("Asta!AA"&amp;MATCH(AC$3&amp;$AW56,Asta!$AI:$AI,0))))</f>
        <v/>
      </c>
      <c r="AE56" s="9" t="str">
        <f ca="1">IF(AD56="","",IF(ISNA(MATCH(AC$3&amp;$AW56,Asta!$AI:$AI,0)),"",INDIRECT("Asta!AG"&amp;MATCH(AC$3&amp;$AW56,Asta!$AI:$AI,0))))</f>
        <v/>
      </c>
      <c r="AF56" s="9"/>
      <c r="AG56" s="23">
        <f t="shared" si="40"/>
        <v>7</v>
      </c>
      <c r="AH56" s="9" t="str">
        <f ca="1">IF(AG56="","",IF(ISNA(MATCH(AG$3&amp;$AW56,Asta!$AI:$AI,0)),"",INDIRECT("Asta!AA"&amp;MATCH(AG$3&amp;$AW56,Asta!$AI:$AI,0))))</f>
        <v/>
      </c>
      <c r="AI56" s="9" t="str">
        <f ca="1">IF(AH56="","",IF(ISNA(MATCH(AG$3&amp;$AW56,Asta!$AI:$AI,0)),"",INDIRECT("Asta!AG"&amp;MATCH(AG$3&amp;$AW56,Asta!$AI:$AI,0))))</f>
        <v/>
      </c>
      <c r="AJ56" s="9"/>
      <c r="AK56" s="23">
        <f t="shared" si="41"/>
        <v>7</v>
      </c>
      <c r="AL56" s="9" t="str">
        <f ca="1">IF(AK56="","",IF(ISNA(MATCH(AK$3&amp;$AW56,Asta!$AI:$AI,0)),"",INDIRECT("Asta!AA"&amp;MATCH(AK$3&amp;$AW56,Asta!$AI:$AI,0))))</f>
        <v/>
      </c>
      <c r="AM56" s="9" t="str">
        <f ca="1">IF(AL56="","",IF(ISNA(MATCH(AK$3&amp;$AW56,Asta!$AI:$AI,0)),"",INDIRECT("Asta!AG"&amp;MATCH(AK$3&amp;$AW56,Asta!$AI:$AI,0))))</f>
        <v/>
      </c>
      <c r="AN56" s="9"/>
      <c r="AO56" s="23">
        <f t="shared" si="42"/>
        <v>7</v>
      </c>
      <c r="AP56" s="9" t="str">
        <f ca="1">IF(AO56="","",IF(ISNA(MATCH(AO$3&amp;$AW56,Asta!$AI:$AI,0)),"",INDIRECT("Asta!AA"&amp;MATCH(AO$3&amp;$AW56,Asta!$AI:$AI,0))))</f>
        <v/>
      </c>
      <c r="AQ56" s="9" t="str">
        <f ca="1">IF(AP56="","",IF(ISNA(MATCH(AO$3&amp;$AW56,Asta!$AI:$AI,0)),"",INDIRECT("Asta!AG"&amp;MATCH(AO$3&amp;$AW56,Asta!$AI:$AI,0))))</f>
        <v/>
      </c>
      <c r="AR56" s="9"/>
      <c r="AS56" s="23">
        <f t="shared" si="43"/>
        <v>7</v>
      </c>
      <c r="AT56" s="9" t="str">
        <f ca="1">IF(AS56="","",IF(ISNA(MATCH(AS$3&amp;$AW56,Asta!$AI:$AI,0)),"",INDIRECT("Asta!AA"&amp;MATCH(AS$3&amp;$AW56,Asta!$AI:$AI,0))))</f>
        <v/>
      </c>
      <c r="AU56" s="9" t="str">
        <f ca="1">IF(AT56="","",IF(ISNA(MATCH(AS$3&amp;$AW56,Asta!$AI:$AI,0)),"",INDIRECT("Asta!AG"&amp;MATCH(AS$3&amp;$AW56,Asta!$AI:$AI,0))))</f>
        <v/>
      </c>
      <c r="AV56" s="9"/>
      <c r="AW56" s="23">
        <f t="shared" si="44"/>
        <v>7</v>
      </c>
    </row>
    <row r="57" spans="1:49" hidden="1">
      <c r="A57" s="23">
        <f t="shared" si="45"/>
        <v>8</v>
      </c>
      <c r="B57" s="9" t="str">
        <f ca="1">IF(A57="","",IF(ISNA(MATCH(A$3&amp;$AW57,Asta!$AI:$AI,0)),"",INDIRECT("Asta!AA"&amp;MATCH(A$3&amp;$AW57,Asta!$AI:$AI,0))))</f>
        <v/>
      </c>
      <c r="C57" s="9" t="str">
        <f ca="1">IF(B57="","",IF(ISNA(MATCH(A$3&amp;$AW57,Asta!$AI:$AI,0)),"",INDIRECT("Asta!AG"&amp;MATCH(A$3&amp;$AW57,Asta!$AI:$AI,0))))</f>
        <v/>
      </c>
      <c r="D57" s="9"/>
      <c r="E57" s="23">
        <f t="shared" si="33"/>
        <v>8</v>
      </c>
      <c r="F57" s="9" t="str">
        <f ca="1">IF(E57="","",IF(ISNA(MATCH(E$3&amp;$AW57,Asta!$AI:$AI,0)),"",INDIRECT("Asta!AA"&amp;MATCH(E$3&amp;$AW57,Asta!$AI:$AI,0))))</f>
        <v/>
      </c>
      <c r="G57" s="9" t="str">
        <f ca="1">IF(F57="","",IF(ISNA(MATCH(E$3&amp;$AW57,Asta!$AI:$AI,0)),"",INDIRECT("Asta!AG"&amp;MATCH(E$3&amp;$AW57,Asta!$AI:$AI,0))))</f>
        <v/>
      </c>
      <c r="H57" s="9"/>
      <c r="I57" s="23">
        <f>E57</f>
        <v>8</v>
      </c>
      <c r="J57" s="9" t="str">
        <f ca="1">IF(I57="","",IF(ISNA(MATCH(I$3&amp;$AW57,Asta!$AI:$AI,0)),"",INDIRECT("Asta!AA"&amp;MATCH(I$3&amp;$AW57,Asta!$AI:$AI,0))))</f>
        <v/>
      </c>
      <c r="K57" s="9" t="str">
        <f ca="1">IF(J57="","",IF(ISNA(MATCH(I$3&amp;$AW57,Asta!$AI:$AI,0)),"",INDIRECT("Asta!AG"&amp;MATCH(I$3&amp;$AW57,Asta!$AI:$AI,0))))</f>
        <v/>
      </c>
      <c r="L57" s="9"/>
      <c r="M57" s="23">
        <f>I57</f>
        <v>8</v>
      </c>
      <c r="N57" s="9" t="str">
        <f ca="1">IF(M57="","",IF(ISNA(MATCH(M$3&amp;$AW57,Asta!$AI:$AI,0)),"",INDIRECT("Asta!AA"&amp;MATCH(M$3&amp;$AW57,Asta!$AI:$AI,0))))</f>
        <v/>
      </c>
      <c r="O57" s="9" t="str">
        <f ca="1">IF(N57="","",IF(ISNA(MATCH(M$3&amp;$AW57,Asta!$AI:$AI,0)),"",INDIRECT("Asta!AG"&amp;MATCH(M$3&amp;$AW57,Asta!$AI:$AI,0))))</f>
        <v/>
      </c>
      <c r="P57" s="9"/>
      <c r="Q57" s="23">
        <f>M57</f>
        <v>8</v>
      </c>
      <c r="R57" s="9" t="str">
        <f ca="1">IF(Q57="","",IF(ISNA(MATCH(Q$3&amp;$AW57,Asta!$AI:$AI,0)),"",INDIRECT("Asta!AA"&amp;MATCH(Q$3&amp;$AW57,Asta!$AI:$AI,0))))</f>
        <v/>
      </c>
      <c r="S57" s="9" t="str">
        <f ca="1">IF(R57="","",IF(ISNA(MATCH(Q$3&amp;$AW57,Asta!$AI:$AI,0)),"",INDIRECT("Asta!AG"&amp;MATCH(Q$3&amp;$AW57,Asta!$AI:$AI,0))))</f>
        <v/>
      </c>
      <c r="T57" s="9"/>
      <c r="U57" s="23">
        <f>Q57</f>
        <v>8</v>
      </c>
      <c r="V57" s="9" t="str">
        <f ca="1">IF(U57="","",IF(ISNA(MATCH(U$3&amp;$AW57,Asta!$AI:$AI,0)),"",INDIRECT("Asta!AA"&amp;MATCH(U$3&amp;$AW57,Asta!$AI:$AI,0))))</f>
        <v/>
      </c>
      <c r="W57" s="9" t="str">
        <f ca="1">IF(V57="","",IF(ISNA(MATCH(U$3&amp;$AW57,Asta!$AI:$AI,0)),"",INDIRECT("Asta!AG"&amp;MATCH(U$3&amp;$AW57,Asta!$AI:$AI,0))))</f>
        <v/>
      </c>
      <c r="X57" s="9"/>
      <c r="Y57" s="23">
        <f>U57</f>
        <v>8</v>
      </c>
      <c r="Z57" s="9" t="str">
        <f ca="1">IF(Y57="","",IF(ISNA(MATCH(Y$3&amp;$AW57,Asta!$AI:$AI,0)),"",INDIRECT("Asta!AA"&amp;MATCH(Y$3&amp;$AW57,Asta!$AI:$AI,0))))</f>
        <v/>
      </c>
      <c r="AA57" s="9" t="str">
        <f ca="1">IF(Z57="","",IF(ISNA(MATCH(Y$3&amp;$AW57,Asta!$AI:$AI,0)),"",INDIRECT("Asta!AG"&amp;MATCH(Y$3&amp;$AW57,Asta!$AI:$AI,0))))</f>
        <v/>
      </c>
      <c r="AB57" s="9"/>
      <c r="AC57" s="23">
        <f>Y57</f>
        <v>8</v>
      </c>
      <c r="AD57" s="9" t="str">
        <f ca="1">IF(AC57="","",IF(ISNA(MATCH(AC$3&amp;$AW57,Asta!$AI:$AI,0)),"",INDIRECT("Asta!AA"&amp;MATCH(AC$3&amp;$AW57,Asta!$AI:$AI,0))))</f>
        <v/>
      </c>
      <c r="AE57" s="9" t="str">
        <f ca="1">IF(AD57="","",IF(ISNA(MATCH(AC$3&amp;$AW57,Asta!$AI:$AI,0)),"",INDIRECT("Asta!AG"&amp;MATCH(AC$3&amp;$AW57,Asta!$AI:$AI,0))))</f>
        <v/>
      </c>
      <c r="AF57" s="9"/>
      <c r="AG57" s="23">
        <f>AC57</f>
        <v>8</v>
      </c>
      <c r="AH57" s="9" t="str">
        <f ca="1">IF(AG57="","",IF(ISNA(MATCH(AG$3&amp;$AW57,Asta!$AI:$AI,0)),"",INDIRECT("Asta!AA"&amp;MATCH(AG$3&amp;$AW57,Asta!$AI:$AI,0))))</f>
        <v/>
      </c>
      <c r="AI57" s="9" t="str">
        <f ca="1">IF(AH57="","",IF(ISNA(MATCH(AG$3&amp;$AW57,Asta!$AI:$AI,0)),"",INDIRECT("Asta!AG"&amp;MATCH(AG$3&amp;$AW57,Asta!$AI:$AI,0))))</f>
        <v/>
      </c>
      <c r="AJ57" s="9"/>
      <c r="AK57" s="23">
        <f>AG57</f>
        <v>8</v>
      </c>
      <c r="AL57" s="9" t="str">
        <f ca="1">IF(AK57="","",IF(ISNA(MATCH(AK$3&amp;$AW57,Asta!$AI:$AI,0)),"",INDIRECT("Asta!AA"&amp;MATCH(AK$3&amp;$AW57,Asta!$AI:$AI,0))))</f>
        <v/>
      </c>
      <c r="AM57" s="9" t="str">
        <f ca="1">IF(AL57="","",IF(ISNA(MATCH(AK$3&amp;$AW57,Asta!$AI:$AI,0)),"",INDIRECT("Asta!AG"&amp;MATCH(AK$3&amp;$AW57,Asta!$AI:$AI,0))))</f>
        <v/>
      </c>
      <c r="AN57" s="9"/>
      <c r="AO57" s="23">
        <f>AK57</f>
        <v>8</v>
      </c>
      <c r="AP57" s="9" t="str">
        <f ca="1">IF(AO57="","",IF(ISNA(MATCH(AO$3&amp;$AW57,Asta!$AI:$AI,0)),"",INDIRECT("Asta!AA"&amp;MATCH(AO$3&amp;$AW57,Asta!$AI:$AI,0))))</f>
        <v/>
      </c>
      <c r="AQ57" s="9" t="str">
        <f ca="1">IF(AP57="","",IF(ISNA(MATCH(AO$3&amp;$AW57,Asta!$AI:$AI,0)),"",INDIRECT("Asta!AG"&amp;MATCH(AO$3&amp;$AW57,Asta!$AI:$AI,0))))</f>
        <v/>
      </c>
      <c r="AR57" s="9"/>
      <c r="AS57" s="23">
        <f>AO57</f>
        <v>8</v>
      </c>
      <c r="AT57" s="9" t="str">
        <f ca="1">IF(AS57="","",IF(ISNA(MATCH(AS$3&amp;$AW57,Asta!$AI:$AI,0)),"",INDIRECT("Asta!AA"&amp;MATCH(AS$3&amp;$AW57,Asta!$AI:$AI,0))))</f>
        <v/>
      </c>
      <c r="AU57" s="9" t="str">
        <f ca="1">IF(AT57="","",IF(ISNA(MATCH(AS$3&amp;$AW57,Asta!$AI:$AI,0)),"",INDIRECT("Asta!AG"&amp;MATCH(AS$3&amp;$AW57,Asta!$AI:$AI,0))))</f>
        <v/>
      </c>
      <c r="AV57" s="9"/>
      <c r="AW57" s="23">
        <f>AS57</f>
        <v>8</v>
      </c>
    </row>
    <row r="58" spans="1:49" hidden="1">
      <c r="A58" s="23">
        <f t="shared" si="45"/>
        <v>9</v>
      </c>
      <c r="B58" s="9" t="str">
        <f ca="1">IF(A58="","",IF(ISNA(MATCH(A$3&amp;$AW58,Asta!$AI:$AI,0)),"",INDIRECT("Asta!AA"&amp;MATCH(A$3&amp;$AW58,Asta!$AI:$AI,0))))</f>
        <v/>
      </c>
      <c r="C58" s="9" t="str">
        <f ca="1">IF(B58="","",IF(ISNA(MATCH(A$3&amp;$AW58,Asta!$AI:$AI,0)),"",INDIRECT("Asta!AG"&amp;MATCH(A$3&amp;$AW58,Asta!$AI:$AI,0))))</f>
        <v/>
      </c>
      <c r="D58" s="9"/>
      <c r="E58" s="23">
        <f t="shared" si="33"/>
        <v>9</v>
      </c>
      <c r="F58" s="9" t="str">
        <f ca="1">IF(E58="","",IF(ISNA(MATCH(E$3&amp;$AW58,Asta!$AI:$AI,0)),"",INDIRECT("Asta!AA"&amp;MATCH(E$3&amp;$AW58,Asta!$AI:$AI,0))))</f>
        <v/>
      </c>
      <c r="G58" s="9" t="str">
        <f ca="1">IF(F58="","",IF(ISNA(MATCH(E$3&amp;$AW58,Asta!$AI:$AI,0)),"",INDIRECT("Asta!AG"&amp;MATCH(E$3&amp;$AW58,Asta!$AI:$AI,0))))</f>
        <v/>
      </c>
      <c r="H58" s="9"/>
      <c r="I58" s="23">
        <f t="shared" ref="I58:I69" si="46">E58</f>
        <v>9</v>
      </c>
      <c r="J58" s="9" t="str">
        <f ca="1">IF(I58="","",IF(ISNA(MATCH(I$3&amp;$AW58,Asta!$AI:$AI,0)),"",INDIRECT("Asta!AA"&amp;MATCH(I$3&amp;$AW58,Asta!$AI:$AI,0))))</f>
        <v/>
      </c>
      <c r="K58" s="9" t="str">
        <f ca="1">IF(J58="","",IF(ISNA(MATCH(I$3&amp;$AW58,Asta!$AI:$AI,0)),"",INDIRECT("Asta!AG"&amp;MATCH(I$3&amp;$AW58,Asta!$AI:$AI,0))))</f>
        <v/>
      </c>
      <c r="L58" s="9"/>
      <c r="M58" s="23">
        <f t="shared" ref="M58:M69" si="47">I58</f>
        <v>9</v>
      </c>
      <c r="N58" s="9" t="str">
        <f ca="1">IF(M58="","",IF(ISNA(MATCH(M$3&amp;$AW58,Asta!$AI:$AI,0)),"",INDIRECT("Asta!AA"&amp;MATCH(M$3&amp;$AW58,Asta!$AI:$AI,0))))</f>
        <v/>
      </c>
      <c r="O58" s="9" t="str">
        <f ca="1">IF(N58="","",IF(ISNA(MATCH(M$3&amp;$AW58,Asta!$AI:$AI,0)),"",INDIRECT("Asta!AG"&amp;MATCH(M$3&amp;$AW58,Asta!$AI:$AI,0))))</f>
        <v/>
      </c>
      <c r="P58" s="9"/>
      <c r="Q58" s="23">
        <f t="shared" ref="Q58:Q69" si="48">M58</f>
        <v>9</v>
      </c>
      <c r="R58" s="9" t="str">
        <f ca="1">IF(Q58="","",IF(ISNA(MATCH(Q$3&amp;$AW58,Asta!$AI:$AI,0)),"",INDIRECT("Asta!AA"&amp;MATCH(Q$3&amp;$AW58,Asta!$AI:$AI,0))))</f>
        <v/>
      </c>
      <c r="S58" s="9" t="str">
        <f ca="1">IF(R58="","",IF(ISNA(MATCH(Q$3&amp;$AW58,Asta!$AI:$AI,0)),"",INDIRECT("Asta!AG"&amp;MATCH(Q$3&amp;$AW58,Asta!$AI:$AI,0))))</f>
        <v/>
      </c>
      <c r="T58" s="9"/>
      <c r="U58" s="23">
        <f t="shared" ref="U58:U69" si="49">Q58</f>
        <v>9</v>
      </c>
      <c r="V58" s="9" t="str">
        <f ca="1">IF(U58="","",IF(ISNA(MATCH(U$3&amp;$AW58,Asta!$AI:$AI,0)),"",INDIRECT("Asta!AA"&amp;MATCH(U$3&amp;$AW58,Asta!$AI:$AI,0))))</f>
        <v/>
      </c>
      <c r="W58" s="9" t="str">
        <f ca="1">IF(V58="","",IF(ISNA(MATCH(U$3&amp;$AW58,Asta!$AI:$AI,0)),"",INDIRECT("Asta!AG"&amp;MATCH(U$3&amp;$AW58,Asta!$AI:$AI,0))))</f>
        <v/>
      </c>
      <c r="X58" s="9"/>
      <c r="Y58" s="23">
        <f t="shared" ref="Y58:Y69" si="50">U58</f>
        <v>9</v>
      </c>
      <c r="Z58" s="9" t="str">
        <f ca="1">IF(Y58="","",IF(ISNA(MATCH(Y$3&amp;$AW58,Asta!$AI:$AI,0)),"",INDIRECT("Asta!AA"&amp;MATCH(Y$3&amp;$AW58,Asta!$AI:$AI,0))))</f>
        <v/>
      </c>
      <c r="AA58" s="9" t="str">
        <f ca="1">IF(Z58="","",IF(ISNA(MATCH(Y$3&amp;$AW58,Asta!$AI:$AI,0)),"",INDIRECT("Asta!AG"&amp;MATCH(Y$3&amp;$AW58,Asta!$AI:$AI,0))))</f>
        <v/>
      </c>
      <c r="AB58" s="9"/>
      <c r="AC58" s="23">
        <f t="shared" ref="AC58:AC69" si="51">Y58</f>
        <v>9</v>
      </c>
      <c r="AD58" s="9" t="str">
        <f ca="1">IF(AC58="","",IF(ISNA(MATCH(AC$3&amp;$AW58,Asta!$AI:$AI,0)),"",INDIRECT("Asta!AA"&amp;MATCH(AC$3&amp;$AW58,Asta!$AI:$AI,0))))</f>
        <v/>
      </c>
      <c r="AE58" s="9" t="str">
        <f ca="1">IF(AD58="","",IF(ISNA(MATCH(AC$3&amp;$AW58,Asta!$AI:$AI,0)),"",INDIRECT("Asta!AG"&amp;MATCH(AC$3&amp;$AW58,Asta!$AI:$AI,0))))</f>
        <v/>
      </c>
      <c r="AF58" s="9"/>
      <c r="AG58" s="23">
        <f t="shared" ref="AG58:AG69" si="52">AC58</f>
        <v>9</v>
      </c>
      <c r="AH58" s="9" t="str">
        <f ca="1">IF(AG58="","",IF(ISNA(MATCH(AG$3&amp;$AW58,Asta!$AI:$AI,0)),"",INDIRECT("Asta!AA"&amp;MATCH(AG$3&amp;$AW58,Asta!$AI:$AI,0))))</f>
        <v/>
      </c>
      <c r="AI58" s="9" t="str">
        <f ca="1">IF(AH58="","",IF(ISNA(MATCH(AG$3&amp;$AW58,Asta!$AI:$AI,0)),"",INDIRECT("Asta!AG"&amp;MATCH(AG$3&amp;$AW58,Asta!$AI:$AI,0))))</f>
        <v/>
      </c>
      <c r="AJ58" s="9"/>
      <c r="AK58" s="23">
        <f t="shared" ref="AK58:AK69" si="53">AG58</f>
        <v>9</v>
      </c>
      <c r="AL58" s="9" t="str">
        <f ca="1">IF(AK58="","",IF(ISNA(MATCH(AK$3&amp;$AW58,Asta!$AI:$AI,0)),"",INDIRECT("Asta!AA"&amp;MATCH(AK$3&amp;$AW58,Asta!$AI:$AI,0))))</f>
        <v/>
      </c>
      <c r="AM58" s="9" t="str">
        <f ca="1">IF(AL58="","",IF(ISNA(MATCH(AK$3&amp;$AW58,Asta!$AI:$AI,0)),"",INDIRECT("Asta!AG"&amp;MATCH(AK$3&amp;$AW58,Asta!$AI:$AI,0))))</f>
        <v/>
      </c>
      <c r="AN58" s="9"/>
      <c r="AO58" s="23">
        <f t="shared" ref="AO58:AO69" si="54">AK58</f>
        <v>9</v>
      </c>
      <c r="AP58" s="9" t="str">
        <f ca="1">IF(AO58="","",IF(ISNA(MATCH(AO$3&amp;$AW58,Asta!$AI:$AI,0)),"",INDIRECT("Asta!AA"&amp;MATCH(AO$3&amp;$AW58,Asta!$AI:$AI,0))))</f>
        <v/>
      </c>
      <c r="AQ58" s="9" t="str">
        <f ca="1">IF(AP58="","",IF(ISNA(MATCH(AO$3&amp;$AW58,Asta!$AI:$AI,0)),"",INDIRECT("Asta!AG"&amp;MATCH(AO$3&amp;$AW58,Asta!$AI:$AI,0))))</f>
        <v/>
      </c>
      <c r="AR58" s="9"/>
      <c r="AS58" s="23">
        <f t="shared" ref="AS58:AS69" si="55">AO58</f>
        <v>9</v>
      </c>
      <c r="AT58" s="9" t="str">
        <f ca="1">IF(AS58="","",IF(ISNA(MATCH(AS$3&amp;$AW58,Asta!$AI:$AI,0)),"",INDIRECT("Asta!AA"&amp;MATCH(AS$3&amp;$AW58,Asta!$AI:$AI,0))))</f>
        <v/>
      </c>
      <c r="AU58" s="9" t="str">
        <f ca="1">IF(AT58="","",IF(ISNA(MATCH(AS$3&amp;$AW58,Asta!$AI:$AI,0)),"",INDIRECT("Asta!AG"&amp;MATCH(AS$3&amp;$AW58,Asta!$AI:$AI,0))))</f>
        <v/>
      </c>
      <c r="AV58" s="9"/>
      <c r="AW58" s="23">
        <f>AS58</f>
        <v>9</v>
      </c>
    </row>
    <row r="59" spans="1:49" hidden="1">
      <c r="A59" s="23">
        <f t="shared" si="45"/>
        <v>10</v>
      </c>
      <c r="B59" s="9" t="str">
        <f ca="1">IF(A59="","",IF(ISNA(MATCH(A$3&amp;$AW59,Asta!$AI:$AI,0)),"",INDIRECT("Asta!AA"&amp;MATCH(A$3&amp;$AW59,Asta!$AI:$AI,0))))</f>
        <v/>
      </c>
      <c r="C59" s="9" t="str">
        <f ca="1">IF(B59="","",IF(ISNA(MATCH(A$3&amp;$AW59,Asta!$AI:$AI,0)),"",INDIRECT("Asta!AG"&amp;MATCH(A$3&amp;$AW59,Asta!$AI:$AI,0))))</f>
        <v/>
      </c>
      <c r="D59" s="9"/>
      <c r="E59" s="23">
        <f t="shared" si="33"/>
        <v>10</v>
      </c>
      <c r="F59" s="9" t="str">
        <f ca="1">IF(E59="","",IF(ISNA(MATCH(E$3&amp;$AW59,Asta!$AI:$AI,0)),"",INDIRECT("Asta!AA"&amp;MATCH(E$3&amp;$AW59,Asta!$AI:$AI,0))))</f>
        <v/>
      </c>
      <c r="G59" s="9" t="str">
        <f ca="1">IF(F59="","",IF(ISNA(MATCH(E$3&amp;$AW59,Asta!$AI:$AI,0)),"",INDIRECT("Asta!AG"&amp;MATCH(E$3&amp;$AW59,Asta!$AI:$AI,0))))</f>
        <v/>
      </c>
      <c r="H59" s="9"/>
      <c r="I59" s="23">
        <f t="shared" si="46"/>
        <v>10</v>
      </c>
      <c r="J59" s="9" t="str">
        <f ca="1">IF(I59="","",IF(ISNA(MATCH(I$3&amp;$AW59,Asta!$AI:$AI,0)),"",INDIRECT("Asta!AA"&amp;MATCH(I$3&amp;$AW59,Asta!$AI:$AI,0))))</f>
        <v/>
      </c>
      <c r="K59" s="9" t="str">
        <f ca="1">IF(J59="","",IF(ISNA(MATCH(I$3&amp;$AW59,Asta!$AI:$AI,0)),"",INDIRECT("Asta!AG"&amp;MATCH(I$3&amp;$AW59,Asta!$AI:$AI,0))))</f>
        <v/>
      </c>
      <c r="L59" s="9"/>
      <c r="M59" s="23">
        <f t="shared" si="47"/>
        <v>10</v>
      </c>
      <c r="N59" s="9" t="str">
        <f ca="1">IF(M59="","",IF(ISNA(MATCH(M$3&amp;$AW59,Asta!$AI:$AI,0)),"",INDIRECT("Asta!AA"&amp;MATCH(M$3&amp;$AW59,Asta!$AI:$AI,0))))</f>
        <v/>
      </c>
      <c r="O59" s="9" t="str">
        <f ca="1">IF(N59="","",IF(ISNA(MATCH(M$3&amp;$AW59,Asta!$AI:$AI,0)),"",INDIRECT("Asta!AG"&amp;MATCH(M$3&amp;$AW59,Asta!$AI:$AI,0))))</f>
        <v/>
      </c>
      <c r="P59" s="9"/>
      <c r="Q59" s="23">
        <f t="shared" si="48"/>
        <v>10</v>
      </c>
      <c r="R59" s="9" t="str">
        <f ca="1">IF(Q59="","",IF(ISNA(MATCH(Q$3&amp;$AW59,Asta!$AI:$AI,0)),"",INDIRECT("Asta!AA"&amp;MATCH(Q$3&amp;$AW59,Asta!$AI:$AI,0))))</f>
        <v/>
      </c>
      <c r="S59" s="9" t="str">
        <f ca="1">IF(R59="","",IF(ISNA(MATCH(Q$3&amp;$AW59,Asta!$AI:$AI,0)),"",INDIRECT("Asta!AG"&amp;MATCH(Q$3&amp;$AW59,Asta!$AI:$AI,0))))</f>
        <v/>
      </c>
      <c r="T59" s="9"/>
      <c r="U59" s="23">
        <f t="shared" si="49"/>
        <v>10</v>
      </c>
      <c r="V59" s="9" t="str">
        <f ca="1">IF(U59="","",IF(ISNA(MATCH(U$3&amp;$AW59,Asta!$AI:$AI,0)),"",INDIRECT("Asta!AA"&amp;MATCH(U$3&amp;$AW59,Asta!$AI:$AI,0))))</f>
        <v/>
      </c>
      <c r="W59" s="9" t="str">
        <f ca="1">IF(V59="","",IF(ISNA(MATCH(U$3&amp;$AW59,Asta!$AI:$AI,0)),"",INDIRECT("Asta!AG"&amp;MATCH(U$3&amp;$AW59,Asta!$AI:$AI,0))))</f>
        <v/>
      </c>
      <c r="X59" s="9"/>
      <c r="Y59" s="23">
        <f t="shared" si="50"/>
        <v>10</v>
      </c>
      <c r="Z59" s="9" t="str">
        <f ca="1">IF(Y59="","",IF(ISNA(MATCH(Y$3&amp;$AW59,Asta!$AI:$AI,0)),"",INDIRECT("Asta!AA"&amp;MATCH(Y$3&amp;$AW59,Asta!$AI:$AI,0))))</f>
        <v/>
      </c>
      <c r="AA59" s="9" t="str">
        <f ca="1">IF(Z59="","",IF(ISNA(MATCH(Y$3&amp;$AW59,Asta!$AI:$AI,0)),"",INDIRECT("Asta!AG"&amp;MATCH(Y$3&amp;$AW59,Asta!$AI:$AI,0))))</f>
        <v/>
      </c>
      <c r="AB59" s="9"/>
      <c r="AC59" s="23">
        <f t="shared" si="51"/>
        <v>10</v>
      </c>
      <c r="AD59" s="9" t="str">
        <f ca="1">IF(AC59="","",IF(ISNA(MATCH(AC$3&amp;$AW59,Asta!$AI:$AI,0)),"",INDIRECT("Asta!AA"&amp;MATCH(AC$3&amp;$AW59,Asta!$AI:$AI,0))))</f>
        <v/>
      </c>
      <c r="AE59" s="9" t="str">
        <f ca="1">IF(AD59="","",IF(ISNA(MATCH(AC$3&amp;$AW59,Asta!$AI:$AI,0)),"",INDIRECT("Asta!AG"&amp;MATCH(AC$3&amp;$AW59,Asta!$AI:$AI,0))))</f>
        <v/>
      </c>
      <c r="AF59" s="9"/>
      <c r="AG59" s="23">
        <f t="shared" si="52"/>
        <v>10</v>
      </c>
      <c r="AH59" s="9" t="str">
        <f ca="1">IF(AG59="","",IF(ISNA(MATCH(AG$3&amp;$AW59,Asta!$AI:$AI,0)),"",INDIRECT("Asta!AA"&amp;MATCH(AG$3&amp;$AW59,Asta!$AI:$AI,0))))</f>
        <v/>
      </c>
      <c r="AI59" s="9" t="str">
        <f ca="1">IF(AH59="","",IF(ISNA(MATCH(AG$3&amp;$AW59,Asta!$AI:$AI,0)),"",INDIRECT("Asta!AG"&amp;MATCH(AG$3&amp;$AW59,Asta!$AI:$AI,0))))</f>
        <v/>
      </c>
      <c r="AJ59" s="9"/>
      <c r="AK59" s="23">
        <f t="shared" si="53"/>
        <v>10</v>
      </c>
      <c r="AL59" s="9" t="str">
        <f ca="1">IF(AK59="","",IF(ISNA(MATCH(AK$3&amp;$AW59,Asta!$AI:$AI,0)),"",INDIRECT("Asta!AA"&amp;MATCH(AK$3&amp;$AW59,Asta!$AI:$AI,0))))</f>
        <v/>
      </c>
      <c r="AM59" s="9" t="str">
        <f ca="1">IF(AL59="","",IF(ISNA(MATCH(AK$3&amp;$AW59,Asta!$AI:$AI,0)),"",INDIRECT("Asta!AG"&amp;MATCH(AK$3&amp;$AW59,Asta!$AI:$AI,0))))</f>
        <v/>
      </c>
      <c r="AN59" s="9"/>
      <c r="AO59" s="23">
        <f t="shared" si="54"/>
        <v>10</v>
      </c>
      <c r="AP59" s="9" t="str">
        <f ca="1">IF(AO59="","",IF(ISNA(MATCH(AO$3&amp;$AW59,Asta!$AI:$AI,0)),"",INDIRECT("Asta!AA"&amp;MATCH(AO$3&amp;$AW59,Asta!$AI:$AI,0))))</f>
        <v/>
      </c>
      <c r="AQ59" s="9" t="str">
        <f ca="1">IF(AP59="","",IF(ISNA(MATCH(AO$3&amp;$AW59,Asta!$AI:$AI,0)),"",INDIRECT("Asta!AG"&amp;MATCH(AO$3&amp;$AW59,Asta!$AI:$AI,0))))</f>
        <v/>
      </c>
      <c r="AR59" s="9"/>
      <c r="AS59" s="23">
        <f t="shared" si="55"/>
        <v>10</v>
      </c>
      <c r="AT59" s="9" t="str">
        <f ca="1">IF(AS59="","",IF(ISNA(MATCH(AS$3&amp;$AW59,Asta!$AI:$AI,0)),"",INDIRECT("Asta!AA"&amp;MATCH(AS$3&amp;$AW59,Asta!$AI:$AI,0))))</f>
        <v/>
      </c>
      <c r="AU59" s="9" t="str">
        <f ca="1">IF(AT59="","",IF(ISNA(MATCH(AS$3&amp;$AW59,Asta!$AI:$AI,0)),"",INDIRECT("Asta!AG"&amp;MATCH(AS$3&amp;$AW59,Asta!$AI:$AI,0))))</f>
        <v/>
      </c>
      <c r="AV59" s="9"/>
      <c r="AW59" s="23">
        <f>AS59</f>
        <v>10</v>
      </c>
    </row>
    <row r="60" spans="1:49" hidden="1">
      <c r="A60" s="23">
        <v>1</v>
      </c>
      <c r="B60" s="9" t="str">
        <f ca="1">IF(A60="","",IF(ISNA(MATCH(A$3&amp;$AW60,Asta!$AJ:$AJ,0)),"",INDIRECT("Asta!AA"&amp;MATCH(A$3&amp;$AW60,Asta!$AJ:$AJ,0))))</f>
        <v/>
      </c>
      <c r="C60" s="9" t="str">
        <f ca="1">IF(B60="","",IF(ISNA(MATCH(A$3&amp;$AW60,Asta!$AJ:$AJ,0)),"",INDIRECT("Asta!AH"&amp;MATCH(A$3&amp;$AW60,Asta!$AJ:$AJ,0))))</f>
        <v/>
      </c>
      <c r="D60" s="9"/>
      <c r="E60" s="23">
        <f t="shared" si="33"/>
        <v>1</v>
      </c>
      <c r="F60" s="9" t="str">
        <f ca="1">IF(E60="","",IF(ISNA(MATCH(E$3&amp;$AW60,Asta!$AJ:$AJ,0)),"",INDIRECT("Asta!AA"&amp;MATCH(E$3&amp;$AW60,Asta!$AJ:$AJ,0))))</f>
        <v/>
      </c>
      <c r="G60" s="9" t="str">
        <f ca="1">IF(F60="","",IF(ISNA(MATCH(E$3&amp;$AW60,Asta!$AJ:$AJ,0)),"",INDIRECT("Asta!AH"&amp;MATCH(E$3&amp;$AW60,Asta!$AJ:$AJ,0))))</f>
        <v/>
      </c>
      <c r="H60" s="9"/>
      <c r="I60" s="23">
        <f t="shared" si="46"/>
        <v>1</v>
      </c>
      <c r="J60" s="9" t="str">
        <f ca="1">IF(I60="","",IF(ISNA(MATCH(I$3&amp;$AW60,Asta!$AJ:$AJ,0)),"",INDIRECT("Asta!AA"&amp;MATCH(I$3&amp;$AW60,Asta!$AJ:$AJ,0))))</f>
        <v/>
      </c>
      <c r="K60" s="9" t="str">
        <f ca="1">IF(J60="","",IF(ISNA(MATCH(I$3&amp;$AW60,Asta!$AJ:$AJ,0)),"",INDIRECT("Asta!AH"&amp;MATCH(I$3&amp;$AW60,Asta!$AJ:$AJ,0))))</f>
        <v/>
      </c>
      <c r="L60" s="9"/>
      <c r="M60" s="23">
        <f t="shared" si="47"/>
        <v>1</v>
      </c>
      <c r="N60" s="9" t="str">
        <f ca="1">IF(M60="","",IF(ISNA(MATCH(M$3&amp;$AW60,Asta!$AJ:$AJ,0)),"",INDIRECT("Asta!AA"&amp;MATCH(M$3&amp;$AW60,Asta!$AJ:$AJ,0))))</f>
        <v/>
      </c>
      <c r="O60" s="9" t="str">
        <f ca="1">IF(N60="","",IF(ISNA(MATCH(M$3&amp;$AW60,Asta!$AJ:$AJ,0)),"",INDIRECT("Asta!AH"&amp;MATCH(M$3&amp;$AW60,Asta!$AJ:$AJ,0))))</f>
        <v/>
      </c>
      <c r="P60" s="9"/>
      <c r="Q60" s="23">
        <f t="shared" si="48"/>
        <v>1</v>
      </c>
      <c r="R60" s="9" t="str">
        <f ca="1">IF(Q60="","",IF(ISNA(MATCH(Q$3&amp;$AW60,Asta!$AJ:$AJ,0)),"",INDIRECT("Asta!AA"&amp;MATCH(Q$3&amp;$AW60,Asta!$AJ:$AJ,0))))</f>
        <v/>
      </c>
      <c r="S60" s="9" t="str">
        <f ca="1">IF(R60="","",IF(ISNA(MATCH(Q$3&amp;$AW60,Asta!$AJ:$AJ,0)),"",INDIRECT("Asta!AH"&amp;MATCH(Q$3&amp;$AW60,Asta!$AJ:$AJ,0))))</f>
        <v/>
      </c>
      <c r="T60" s="9"/>
      <c r="U60" s="23">
        <f t="shared" si="49"/>
        <v>1</v>
      </c>
      <c r="V60" s="9" t="str">
        <f ca="1">IF(U60="","",IF(ISNA(MATCH(U$3&amp;$AW60,Asta!$AJ:$AJ,0)),"",INDIRECT("Asta!AA"&amp;MATCH(U$3&amp;$AW60,Asta!$AJ:$AJ,0))))</f>
        <v/>
      </c>
      <c r="W60" s="9" t="str">
        <f ca="1">IF(V60="","",IF(ISNA(MATCH(U$3&amp;$AW60,Asta!$AJ:$AJ,0)),"",INDIRECT("Asta!AH"&amp;MATCH(U$3&amp;$AW60,Asta!$AJ:$AJ,0))))</f>
        <v/>
      </c>
      <c r="X60" s="9"/>
      <c r="Y60" s="23">
        <f t="shared" si="50"/>
        <v>1</v>
      </c>
      <c r="Z60" s="9" t="str">
        <f ca="1">IF(Y60="","",IF(ISNA(MATCH(Y$3&amp;$AW60,Asta!$AJ:$AJ,0)),"",INDIRECT("Asta!AA"&amp;MATCH(Y$3&amp;$AW60,Asta!$AJ:$AJ,0))))</f>
        <v/>
      </c>
      <c r="AA60" s="9" t="str">
        <f ca="1">IF(Z60="","",IF(ISNA(MATCH(Y$3&amp;$AW60,Asta!$AJ:$AJ,0)),"",INDIRECT("Asta!AH"&amp;MATCH(Y$3&amp;$AW60,Asta!$AJ:$AJ,0))))</f>
        <v/>
      </c>
      <c r="AB60" s="9"/>
      <c r="AC60" s="23">
        <f t="shared" si="51"/>
        <v>1</v>
      </c>
      <c r="AD60" s="9" t="str">
        <f ca="1">IF(AC60="","",IF(ISNA(MATCH(AC$3&amp;$AW60,Asta!$AJ:$AJ,0)),"",INDIRECT("Asta!AA"&amp;MATCH(AC$3&amp;$AW60,Asta!$AJ:$AJ,0))))</f>
        <v/>
      </c>
      <c r="AE60" s="9" t="str">
        <f ca="1">IF(AD60="","",IF(ISNA(MATCH(AC$3&amp;$AW60,Asta!$AJ:$AJ,0)),"",INDIRECT("Asta!AH"&amp;MATCH(AC$3&amp;$AW60,Asta!$AJ:$AJ,0))))</f>
        <v/>
      </c>
      <c r="AF60" s="9"/>
      <c r="AG60" s="23">
        <f t="shared" si="52"/>
        <v>1</v>
      </c>
      <c r="AH60" s="9" t="str">
        <f ca="1">IF(AG60="","",IF(ISNA(MATCH(AG$3&amp;$AW60,Asta!$AJ:$AJ,0)),"",INDIRECT("Asta!AA"&amp;MATCH(AG$3&amp;$AW60,Asta!$AJ:$AJ,0))))</f>
        <v/>
      </c>
      <c r="AI60" s="9" t="str">
        <f ca="1">IF(AH60="","",IF(ISNA(MATCH(AG$3&amp;$AW60,Asta!$AJ:$AJ,0)),"",INDIRECT("Asta!AH"&amp;MATCH(AG$3&amp;$AW60,Asta!$AJ:$AJ,0))))</f>
        <v/>
      </c>
      <c r="AJ60" s="9"/>
      <c r="AK60" s="23">
        <f t="shared" si="53"/>
        <v>1</v>
      </c>
      <c r="AL60" s="9" t="str">
        <f ca="1">IF(AK60="","",IF(ISNA(MATCH(AK$3&amp;$AW60,Asta!$AJ:$AJ,0)),"",INDIRECT("Asta!AA"&amp;MATCH(AK$3&amp;$AW60,Asta!$AJ:$AJ,0))))</f>
        <v/>
      </c>
      <c r="AM60" s="9" t="str">
        <f ca="1">IF(AL60="","",IF(ISNA(MATCH(AK$3&amp;$AW60,Asta!$AJ:$AJ,0)),"",INDIRECT("Asta!AH"&amp;MATCH(AK$3&amp;$AW60,Asta!$AJ:$AJ,0))))</f>
        <v/>
      </c>
      <c r="AN60" s="9"/>
      <c r="AO60" s="23">
        <f t="shared" si="54"/>
        <v>1</v>
      </c>
      <c r="AP60" s="9" t="str">
        <f ca="1">IF(AO60="","",IF(ISNA(MATCH(AO$3&amp;$AW60,Asta!$AJ:$AJ,0)),"",INDIRECT("Asta!AA"&amp;MATCH(AO$3&amp;$AW60,Asta!$AJ:$AJ,0))))</f>
        <v/>
      </c>
      <c r="AQ60" s="9" t="str">
        <f ca="1">IF(AP60="","",IF(ISNA(MATCH(AO$3&amp;$AW60,Asta!$AJ:$AJ,0)),"",INDIRECT("Asta!AH"&amp;MATCH(AO$3&amp;$AW60,Asta!$AJ:$AJ,0))))</f>
        <v/>
      </c>
      <c r="AR60" s="9"/>
      <c r="AS60" s="23">
        <f t="shared" si="55"/>
        <v>1</v>
      </c>
      <c r="AT60" s="9" t="str">
        <f ca="1">IF(AS60="","",IF(ISNA(MATCH(AS$3&amp;$AW60,Asta!$AJ:$AJ,0)),"",INDIRECT("Asta!AA"&amp;MATCH(AS$3&amp;$AW60,Asta!$AJ:$AJ,0))))</f>
        <v/>
      </c>
      <c r="AU60" s="9" t="str">
        <f ca="1">IF(AT60="","",IF(ISNA(MATCH(AS$3&amp;$AW60,Asta!$AJ:$AJ,0)),"",INDIRECT("Asta!AH"&amp;MATCH(AS$3&amp;$AW60,Asta!$AJ:$AJ,0))))</f>
        <v/>
      </c>
      <c r="AV60" s="9"/>
      <c r="AW60" s="23">
        <f t="shared" ref="AW60:AW69" si="56">AS60</f>
        <v>1</v>
      </c>
    </row>
    <row r="61" spans="1:49" hidden="1">
      <c r="A61" s="23">
        <f t="shared" si="45"/>
        <v>2</v>
      </c>
      <c r="B61" s="9" t="str">
        <f ca="1">IF(A61="","",IF(ISNA(MATCH(A$3&amp;$AW61,Asta!$AJ:$AJ,0)),"",INDIRECT("Asta!AA"&amp;MATCH(A$3&amp;$AW61,Asta!$AJ:$AJ,0))))</f>
        <v/>
      </c>
      <c r="C61" s="9" t="str">
        <f ca="1">IF(B61="","",IF(ISNA(MATCH(A$3&amp;$AW61,Asta!$AJ:$AJ,0)),"",INDIRECT("Asta!AH"&amp;MATCH(A$3&amp;$AW61,Asta!$AJ:$AJ,0))))</f>
        <v/>
      </c>
      <c r="D61" s="9"/>
      <c r="E61" s="23">
        <f t="shared" si="33"/>
        <v>2</v>
      </c>
      <c r="F61" s="9" t="str">
        <f ca="1">IF(E61="","",IF(ISNA(MATCH(E$3&amp;$AW61,Asta!$AJ:$AJ,0)),"",INDIRECT("Asta!AA"&amp;MATCH(E$3&amp;$AW61,Asta!$AJ:$AJ,0))))</f>
        <v/>
      </c>
      <c r="G61" s="9" t="str">
        <f ca="1">IF(F61="","",IF(ISNA(MATCH(E$3&amp;$AW61,Asta!$AJ:$AJ,0)),"",INDIRECT("Asta!AH"&amp;MATCH(E$3&amp;$AW61,Asta!$AJ:$AJ,0))))</f>
        <v/>
      </c>
      <c r="H61" s="9"/>
      <c r="I61" s="23">
        <f t="shared" si="46"/>
        <v>2</v>
      </c>
      <c r="J61" s="9" t="str">
        <f ca="1">IF(I61="","",IF(ISNA(MATCH(I$3&amp;$AW61,Asta!$AJ:$AJ,0)),"",INDIRECT("Asta!AA"&amp;MATCH(I$3&amp;$AW61,Asta!$AJ:$AJ,0))))</f>
        <v/>
      </c>
      <c r="K61" s="9" t="str">
        <f ca="1">IF(J61="","",IF(ISNA(MATCH(I$3&amp;$AW61,Asta!$AJ:$AJ,0)),"",INDIRECT("Asta!AH"&amp;MATCH(I$3&amp;$AW61,Asta!$AJ:$AJ,0))))</f>
        <v/>
      </c>
      <c r="L61" s="9"/>
      <c r="M61" s="23">
        <f t="shared" si="47"/>
        <v>2</v>
      </c>
      <c r="N61" s="9" t="str">
        <f ca="1">IF(M61="","",IF(ISNA(MATCH(M$3&amp;$AW61,Asta!$AJ:$AJ,0)),"",INDIRECT("Asta!AA"&amp;MATCH(M$3&amp;$AW61,Asta!$AJ:$AJ,0))))</f>
        <v/>
      </c>
      <c r="O61" s="9" t="str">
        <f ca="1">IF(N61="","",IF(ISNA(MATCH(M$3&amp;$AW61,Asta!$AJ:$AJ,0)),"",INDIRECT("Asta!AH"&amp;MATCH(M$3&amp;$AW61,Asta!$AJ:$AJ,0))))</f>
        <v/>
      </c>
      <c r="P61" s="9"/>
      <c r="Q61" s="23">
        <f t="shared" si="48"/>
        <v>2</v>
      </c>
      <c r="R61" s="9" t="str">
        <f ca="1">IF(Q61="","",IF(ISNA(MATCH(Q$3&amp;$AW61,Asta!$AJ:$AJ,0)),"",INDIRECT("Asta!AA"&amp;MATCH(Q$3&amp;$AW61,Asta!$AJ:$AJ,0))))</f>
        <v/>
      </c>
      <c r="S61" s="9" t="str">
        <f ca="1">IF(R61="","",IF(ISNA(MATCH(Q$3&amp;$AW61,Asta!$AJ:$AJ,0)),"",INDIRECT("Asta!AH"&amp;MATCH(Q$3&amp;$AW61,Asta!$AJ:$AJ,0))))</f>
        <v/>
      </c>
      <c r="T61" s="9"/>
      <c r="U61" s="23">
        <f t="shared" si="49"/>
        <v>2</v>
      </c>
      <c r="V61" s="9" t="str">
        <f ca="1">IF(U61="","",IF(ISNA(MATCH(U$3&amp;$AW61,Asta!$AJ:$AJ,0)),"",INDIRECT("Asta!AA"&amp;MATCH(U$3&amp;$AW61,Asta!$AJ:$AJ,0))))</f>
        <v/>
      </c>
      <c r="W61" s="9" t="str">
        <f ca="1">IF(V61="","",IF(ISNA(MATCH(U$3&amp;$AW61,Asta!$AJ:$AJ,0)),"",INDIRECT("Asta!AH"&amp;MATCH(U$3&amp;$AW61,Asta!$AJ:$AJ,0))))</f>
        <v/>
      </c>
      <c r="X61" s="9"/>
      <c r="Y61" s="23">
        <f t="shared" si="50"/>
        <v>2</v>
      </c>
      <c r="Z61" s="9" t="str">
        <f ca="1">IF(Y61="","",IF(ISNA(MATCH(Y$3&amp;$AW61,Asta!$AJ:$AJ,0)),"",INDIRECT("Asta!AA"&amp;MATCH(Y$3&amp;$AW61,Asta!$AJ:$AJ,0))))</f>
        <v/>
      </c>
      <c r="AA61" s="9" t="str">
        <f ca="1">IF(Z61="","",IF(ISNA(MATCH(Y$3&amp;$AW61,Asta!$AJ:$AJ,0)),"",INDIRECT("Asta!AH"&amp;MATCH(Y$3&amp;$AW61,Asta!$AJ:$AJ,0))))</f>
        <v/>
      </c>
      <c r="AB61" s="9"/>
      <c r="AC61" s="23">
        <f t="shared" si="51"/>
        <v>2</v>
      </c>
      <c r="AD61" s="9" t="str">
        <f ca="1">IF(AC61="","",IF(ISNA(MATCH(AC$3&amp;$AW61,Asta!$AJ:$AJ,0)),"",INDIRECT("Asta!AA"&amp;MATCH(AC$3&amp;$AW61,Asta!$AJ:$AJ,0))))</f>
        <v/>
      </c>
      <c r="AE61" s="9" t="str">
        <f ca="1">IF(AD61="","",IF(ISNA(MATCH(AC$3&amp;$AW61,Asta!$AJ:$AJ,0)),"",INDIRECT("Asta!AH"&amp;MATCH(AC$3&amp;$AW61,Asta!$AJ:$AJ,0))))</f>
        <v/>
      </c>
      <c r="AF61" s="9"/>
      <c r="AG61" s="23">
        <f t="shared" si="52"/>
        <v>2</v>
      </c>
      <c r="AH61" s="9" t="str">
        <f ca="1">IF(AG61="","",IF(ISNA(MATCH(AG$3&amp;$AW61,Asta!$AJ:$AJ,0)),"",INDIRECT("Asta!AA"&amp;MATCH(AG$3&amp;$AW61,Asta!$AJ:$AJ,0))))</f>
        <v/>
      </c>
      <c r="AI61" s="9" t="str">
        <f ca="1">IF(AH61="","",IF(ISNA(MATCH(AG$3&amp;$AW61,Asta!$AJ:$AJ,0)),"",INDIRECT("Asta!AH"&amp;MATCH(AG$3&amp;$AW61,Asta!$AJ:$AJ,0))))</f>
        <v/>
      </c>
      <c r="AJ61" s="9"/>
      <c r="AK61" s="23">
        <f t="shared" si="53"/>
        <v>2</v>
      </c>
      <c r="AL61" s="9" t="str">
        <f ca="1">IF(AK61="","",IF(ISNA(MATCH(AK$3&amp;$AW61,Asta!$AJ:$AJ,0)),"",INDIRECT("Asta!AA"&amp;MATCH(AK$3&amp;$AW61,Asta!$AJ:$AJ,0))))</f>
        <v/>
      </c>
      <c r="AM61" s="9" t="str">
        <f ca="1">IF(AL61="","",IF(ISNA(MATCH(AK$3&amp;$AW61,Asta!$AJ:$AJ,0)),"",INDIRECT("Asta!AH"&amp;MATCH(AK$3&amp;$AW61,Asta!$AJ:$AJ,0))))</f>
        <v/>
      </c>
      <c r="AN61" s="9"/>
      <c r="AO61" s="23">
        <f t="shared" si="54"/>
        <v>2</v>
      </c>
      <c r="AP61" s="9" t="str">
        <f ca="1">IF(AO61="","",IF(ISNA(MATCH(AO$3&amp;$AW61,Asta!$AJ:$AJ,0)),"",INDIRECT("Asta!AA"&amp;MATCH(AO$3&amp;$AW61,Asta!$AJ:$AJ,0))))</f>
        <v/>
      </c>
      <c r="AQ61" s="9" t="str">
        <f ca="1">IF(AP61="","",IF(ISNA(MATCH(AO$3&amp;$AW61,Asta!$AJ:$AJ,0)),"",INDIRECT("Asta!AH"&amp;MATCH(AO$3&amp;$AW61,Asta!$AJ:$AJ,0))))</f>
        <v/>
      </c>
      <c r="AR61" s="9"/>
      <c r="AS61" s="23">
        <f t="shared" si="55"/>
        <v>2</v>
      </c>
      <c r="AT61" s="9" t="str">
        <f ca="1">IF(AS61="","",IF(ISNA(MATCH(AS$3&amp;$AW61,Asta!$AJ:$AJ,0)),"",INDIRECT("Asta!AA"&amp;MATCH(AS$3&amp;$AW61,Asta!$AJ:$AJ,0))))</f>
        <v/>
      </c>
      <c r="AU61" s="9" t="str">
        <f ca="1">IF(AT61="","",IF(ISNA(MATCH(AS$3&amp;$AW61,Asta!$AJ:$AJ,0)),"",INDIRECT("Asta!AH"&amp;MATCH(AS$3&amp;$AW61,Asta!$AJ:$AJ,0))))</f>
        <v/>
      </c>
      <c r="AV61" s="9"/>
      <c r="AW61" s="23">
        <f t="shared" si="56"/>
        <v>2</v>
      </c>
    </row>
    <row r="62" spans="1:49" hidden="1">
      <c r="A62" s="23">
        <f t="shared" si="45"/>
        <v>3</v>
      </c>
      <c r="B62" s="9" t="str">
        <f ca="1">IF(A62="","",IF(ISNA(MATCH(A$3&amp;$AW62,Asta!$AJ:$AJ,0)),"",INDIRECT("Asta!AA"&amp;MATCH(A$3&amp;$AW62,Asta!$AJ:$AJ,0))))</f>
        <v/>
      </c>
      <c r="C62" s="9" t="str">
        <f ca="1">IF(B62="","",IF(ISNA(MATCH(A$3&amp;$AW62,Asta!$AJ:$AJ,0)),"",INDIRECT("Asta!AH"&amp;MATCH(A$3&amp;$AW62,Asta!$AJ:$AJ,0))))</f>
        <v/>
      </c>
      <c r="D62" s="9"/>
      <c r="E62" s="23">
        <f t="shared" si="33"/>
        <v>3</v>
      </c>
      <c r="F62" s="9" t="str">
        <f ca="1">IF(E62="","",IF(ISNA(MATCH(E$3&amp;$AW62,Asta!$AJ:$AJ,0)),"",INDIRECT("Asta!AA"&amp;MATCH(E$3&amp;$AW62,Asta!$AJ:$AJ,0))))</f>
        <v/>
      </c>
      <c r="G62" s="9" t="str">
        <f ca="1">IF(F62="","",IF(ISNA(MATCH(E$3&amp;$AW62,Asta!$AJ:$AJ,0)),"",INDIRECT("Asta!AH"&amp;MATCH(E$3&amp;$AW62,Asta!$AJ:$AJ,0))))</f>
        <v/>
      </c>
      <c r="H62" s="9"/>
      <c r="I62" s="23">
        <f t="shared" si="46"/>
        <v>3</v>
      </c>
      <c r="J62" s="9" t="str">
        <f ca="1">IF(I62="","",IF(ISNA(MATCH(I$3&amp;$AW62,Asta!$AJ:$AJ,0)),"",INDIRECT("Asta!AA"&amp;MATCH(I$3&amp;$AW62,Asta!$AJ:$AJ,0))))</f>
        <v/>
      </c>
      <c r="K62" s="9" t="str">
        <f ca="1">IF(J62="","",IF(ISNA(MATCH(I$3&amp;$AW62,Asta!$AJ:$AJ,0)),"",INDIRECT("Asta!AH"&amp;MATCH(I$3&amp;$AW62,Asta!$AJ:$AJ,0))))</f>
        <v/>
      </c>
      <c r="L62" s="9"/>
      <c r="M62" s="23">
        <f t="shared" si="47"/>
        <v>3</v>
      </c>
      <c r="N62" s="9" t="str">
        <f ca="1">IF(M62="","",IF(ISNA(MATCH(M$3&amp;$AW62,Asta!$AJ:$AJ,0)),"",INDIRECT("Asta!AA"&amp;MATCH(M$3&amp;$AW62,Asta!$AJ:$AJ,0))))</f>
        <v/>
      </c>
      <c r="O62" s="9" t="str">
        <f ca="1">IF(N62="","",IF(ISNA(MATCH(M$3&amp;$AW62,Asta!$AJ:$AJ,0)),"",INDIRECT("Asta!AH"&amp;MATCH(M$3&amp;$AW62,Asta!$AJ:$AJ,0))))</f>
        <v/>
      </c>
      <c r="P62" s="9"/>
      <c r="Q62" s="23">
        <f t="shared" si="48"/>
        <v>3</v>
      </c>
      <c r="R62" s="9" t="str">
        <f ca="1">IF(Q62="","",IF(ISNA(MATCH(Q$3&amp;$AW62,Asta!$AJ:$AJ,0)),"",INDIRECT("Asta!AA"&amp;MATCH(Q$3&amp;$AW62,Asta!$AJ:$AJ,0))))</f>
        <v/>
      </c>
      <c r="S62" s="9" t="str">
        <f ca="1">IF(R62="","",IF(ISNA(MATCH(Q$3&amp;$AW62,Asta!$AJ:$AJ,0)),"",INDIRECT("Asta!AH"&amp;MATCH(Q$3&amp;$AW62,Asta!$AJ:$AJ,0))))</f>
        <v/>
      </c>
      <c r="T62" s="9"/>
      <c r="U62" s="23">
        <f t="shared" si="49"/>
        <v>3</v>
      </c>
      <c r="V62" s="9" t="str">
        <f ca="1">IF(U62="","",IF(ISNA(MATCH(U$3&amp;$AW62,Asta!$AJ:$AJ,0)),"",INDIRECT("Asta!AA"&amp;MATCH(U$3&amp;$AW62,Asta!$AJ:$AJ,0))))</f>
        <v/>
      </c>
      <c r="W62" s="9" t="str">
        <f ca="1">IF(V62="","",IF(ISNA(MATCH(U$3&amp;$AW62,Asta!$AJ:$AJ,0)),"",INDIRECT("Asta!AH"&amp;MATCH(U$3&amp;$AW62,Asta!$AJ:$AJ,0))))</f>
        <v/>
      </c>
      <c r="X62" s="9"/>
      <c r="Y62" s="23">
        <f t="shared" si="50"/>
        <v>3</v>
      </c>
      <c r="Z62" s="9" t="str">
        <f ca="1">IF(Y62="","",IF(ISNA(MATCH(Y$3&amp;$AW62,Asta!$AJ:$AJ,0)),"",INDIRECT("Asta!AA"&amp;MATCH(Y$3&amp;$AW62,Asta!$AJ:$AJ,0))))</f>
        <v/>
      </c>
      <c r="AA62" s="9" t="str">
        <f ca="1">IF(Z62="","",IF(ISNA(MATCH(Y$3&amp;$AW62,Asta!$AJ:$AJ,0)),"",INDIRECT("Asta!AH"&amp;MATCH(Y$3&amp;$AW62,Asta!$AJ:$AJ,0))))</f>
        <v/>
      </c>
      <c r="AB62" s="9"/>
      <c r="AC62" s="23">
        <f t="shared" si="51"/>
        <v>3</v>
      </c>
      <c r="AD62" s="9" t="str">
        <f ca="1">IF(AC62="","",IF(ISNA(MATCH(AC$3&amp;$AW62,Asta!$AJ:$AJ,0)),"",INDIRECT("Asta!AA"&amp;MATCH(AC$3&amp;$AW62,Asta!$AJ:$AJ,0))))</f>
        <v/>
      </c>
      <c r="AE62" s="9" t="str">
        <f ca="1">IF(AD62="","",IF(ISNA(MATCH(AC$3&amp;$AW62,Asta!$AJ:$AJ,0)),"",INDIRECT("Asta!AH"&amp;MATCH(AC$3&amp;$AW62,Asta!$AJ:$AJ,0))))</f>
        <v/>
      </c>
      <c r="AF62" s="9"/>
      <c r="AG62" s="23">
        <f t="shared" si="52"/>
        <v>3</v>
      </c>
      <c r="AH62" s="9" t="str">
        <f ca="1">IF(AG62="","",IF(ISNA(MATCH(AG$3&amp;$AW62,Asta!$AJ:$AJ,0)),"",INDIRECT("Asta!AA"&amp;MATCH(AG$3&amp;$AW62,Asta!$AJ:$AJ,0))))</f>
        <v/>
      </c>
      <c r="AI62" s="9" t="str">
        <f ca="1">IF(AH62="","",IF(ISNA(MATCH(AG$3&amp;$AW62,Asta!$AJ:$AJ,0)),"",INDIRECT("Asta!AH"&amp;MATCH(AG$3&amp;$AW62,Asta!$AJ:$AJ,0))))</f>
        <v/>
      </c>
      <c r="AJ62" s="9"/>
      <c r="AK62" s="23">
        <f t="shared" si="53"/>
        <v>3</v>
      </c>
      <c r="AL62" s="9" t="str">
        <f ca="1">IF(AK62="","",IF(ISNA(MATCH(AK$3&amp;$AW62,Asta!$AJ:$AJ,0)),"",INDIRECT("Asta!AA"&amp;MATCH(AK$3&amp;$AW62,Asta!$AJ:$AJ,0))))</f>
        <v/>
      </c>
      <c r="AM62" s="9" t="str">
        <f ca="1">IF(AL62="","",IF(ISNA(MATCH(AK$3&amp;$AW62,Asta!$AJ:$AJ,0)),"",INDIRECT("Asta!AH"&amp;MATCH(AK$3&amp;$AW62,Asta!$AJ:$AJ,0))))</f>
        <v/>
      </c>
      <c r="AN62" s="9"/>
      <c r="AO62" s="23">
        <f t="shared" si="54"/>
        <v>3</v>
      </c>
      <c r="AP62" s="9" t="str">
        <f ca="1">IF(AO62="","",IF(ISNA(MATCH(AO$3&amp;$AW62,Asta!$AJ:$AJ,0)),"",INDIRECT("Asta!AA"&amp;MATCH(AO$3&amp;$AW62,Asta!$AJ:$AJ,0))))</f>
        <v/>
      </c>
      <c r="AQ62" s="9" t="str">
        <f ca="1">IF(AP62="","",IF(ISNA(MATCH(AO$3&amp;$AW62,Asta!$AJ:$AJ,0)),"",INDIRECT("Asta!AH"&amp;MATCH(AO$3&amp;$AW62,Asta!$AJ:$AJ,0))))</f>
        <v/>
      </c>
      <c r="AR62" s="9"/>
      <c r="AS62" s="23">
        <f t="shared" si="55"/>
        <v>3</v>
      </c>
      <c r="AT62" s="9" t="str">
        <f ca="1">IF(AS62="","",IF(ISNA(MATCH(AS$3&amp;$AW62,Asta!$AJ:$AJ,0)),"",INDIRECT("Asta!AA"&amp;MATCH(AS$3&amp;$AW62,Asta!$AJ:$AJ,0))))</f>
        <v/>
      </c>
      <c r="AU62" s="9" t="str">
        <f ca="1">IF(AT62="","",IF(ISNA(MATCH(AS$3&amp;$AW62,Asta!$AJ:$AJ,0)),"",INDIRECT("Asta!AH"&amp;MATCH(AS$3&amp;$AW62,Asta!$AJ:$AJ,0))))</f>
        <v/>
      </c>
      <c r="AV62" s="9"/>
      <c r="AW62" s="23">
        <f t="shared" si="56"/>
        <v>3</v>
      </c>
    </row>
    <row r="63" spans="1:49" hidden="1">
      <c r="A63" s="23">
        <f t="shared" si="45"/>
        <v>4</v>
      </c>
      <c r="B63" s="9" t="str">
        <f ca="1">IF(A63="","",IF(ISNA(MATCH(A$3&amp;$AW63,Asta!$AJ:$AJ,0)),"",INDIRECT("Asta!AA"&amp;MATCH(A$3&amp;$AW63,Asta!$AJ:$AJ,0))))</f>
        <v/>
      </c>
      <c r="C63" s="9" t="str">
        <f ca="1">IF(B63="","",IF(ISNA(MATCH(A$3&amp;$AW63,Asta!$AJ:$AJ,0)),"",INDIRECT("Asta!AH"&amp;MATCH(A$3&amp;$AW63,Asta!$AJ:$AJ,0))))</f>
        <v/>
      </c>
      <c r="D63" s="9"/>
      <c r="E63" s="23">
        <f t="shared" si="33"/>
        <v>4</v>
      </c>
      <c r="F63" s="9" t="str">
        <f ca="1">IF(E63="","",IF(ISNA(MATCH(E$3&amp;$AW63,Asta!$AJ:$AJ,0)),"",INDIRECT("Asta!AA"&amp;MATCH(E$3&amp;$AW63,Asta!$AJ:$AJ,0))))</f>
        <v/>
      </c>
      <c r="G63" s="9" t="str">
        <f ca="1">IF(F63="","",IF(ISNA(MATCH(E$3&amp;$AW63,Asta!$AJ:$AJ,0)),"",INDIRECT("Asta!AH"&amp;MATCH(E$3&amp;$AW63,Asta!$AJ:$AJ,0))))</f>
        <v/>
      </c>
      <c r="H63" s="9"/>
      <c r="I63" s="23">
        <f t="shared" si="46"/>
        <v>4</v>
      </c>
      <c r="J63" s="9" t="str">
        <f ca="1">IF(I63="","",IF(ISNA(MATCH(I$3&amp;$AW63,Asta!$AJ:$AJ,0)),"",INDIRECT("Asta!AA"&amp;MATCH(I$3&amp;$AW63,Asta!$AJ:$AJ,0))))</f>
        <v/>
      </c>
      <c r="K63" s="9" t="str">
        <f ca="1">IF(J63="","",IF(ISNA(MATCH(I$3&amp;$AW63,Asta!$AJ:$AJ,0)),"",INDIRECT("Asta!AH"&amp;MATCH(I$3&amp;$AW63,Asta!$AJ:$AJ,0))))</f>
        <v/>
      </c>
      <c r="L63" s="9"/>
      <c r="M63" s="23">
        <f t="shared" si="47"/>
        <v>4</v>
      </c>
      <c r="N63" s="9" t="str">
        <f ca="1">IF(M63="","",IF(ISNA(MATCH(M$3&amp;$AW63,Asta!$AJ:$AJ,0)),"",INDIRECT("Asta!AA"&amp;MATCH(M$3&amp;$AW63,Asta!$AJ:$AJ,0))))</f>
        <v/>
      </c>
      <c r="O63" s="9" t="str">
        <f ca="1">IF(N63="","",IF(ISNA(MATCH(M$3&amp;$AW63,Asta!$AJ:$AJ,0)),"",INDIRECT("Asta!AH"&amp;MATCH(M$3&amp;$AW63,Asta!$AJ:$AJ,0))))</f>
        <v/>
      </c>
      <c r="P63" s="9"/>
      <c r="Q63" s="23">
        <f t="shared" si="48"/>
        <v>4</v>
      </c>
      <c r="R63" s="9" t="str">
        <f ca="1">IF(Q63="","",IF(ISNA(MATCH(Q$3&amp;$AW63,Asta!$AJ:$AJ,0)),"",INDIRECT("Asta!AA"&amp;MATCH(Q$3&amp;$AW63,Asta!$AJ:$AJ,0))))</f>
        <v/>
      </c>
      <c r="S63" s="9" t="str">
        <f ca="1">IF(R63="","",IF(ISNA(MATCH(Q$3&amp;$AW63,Asta!$AJ:$AJ,0)),"",INDIRECT("Asta!AH"&amp;MATCH(Q$3&amp;$AW63,Asta!$AJ:$AJ,0))))</f>
        <v/>
      </c>
      <c r="T63" s="9"/>
      <c r="U63" s="23">
        <f t="shared" si="49"/>
        <v>4</v>
      </c>
      <c r="V63" s="9" t="str">
        <f ca="1">IF(U63="","",IF(ISNA(MATCH(U$3&amp;$AW63,Asta!$AJ:$AJ,0)),"",INDIRECT("Asta!AA"&amp;MATCH(U$3&amp;$AW63,Asta!$AJ:$AJ,0))))</f>
        <v/>
      </c>
      <c r="W63" s="9" t="str">
        <f ca="1">IF(V63="","",IF(ISNA(MATCH(U$3&amp;$AW63,Asta!$AJ:$AJ,0)),"",INDIRECT("Asta!AH"&amp;MATCH(U$3&amp;$AW63,Asta!$AJ:$AJ,0))))</f>
        <v/>
      </c>
      <c r="X63" s="9"/>
      <c r="Y63" s="23">
        <f t="shared" si="50"/>
        <v>4</v>
      </c>
      <c r="Z63" s="9" t="str">
        <f ca="1">IF(Y63="","",IF(ISNA(MATCH(Y$3&amp;$AW63,Asta!$AJ:$AJ,0)),"",INDIRECT("Asta!AA"&amp;MATCH(Y$3&amp;$AW63,Asta!$AJ:$AJ,0))))</f>
        <v/>
      </c>
      <c r="AA63" s="9" t="str">
        <f ca="1">IF(Z63="","",IF(ISNA(MATCH(Y$3&amp;$AW63,Asta!$AJ:$AJ,0)),"",INDIRECT("Asta!AH"&amp;MATCH(Y$3&amp;$AW63,Asta!$AJ:$AJ,0))))</f>
        <v/>
      </c>
      <c r="AB63" s="9"/>
      <c r="AC63" s="23">
        <f t="shared" si="51"/>
        <v>4</v>
      </c>
      <c r="AD63" s="9" t="str">
        <f ca="1">IF(AC63="","",IF(ISNA(MATCH(AC$3&amp;$AW63,Asta!$AJ:$AJ,0)),"",INDIRECT("Asta!AA"&amp;MATCH(AC$3&amp;$AW63,Asta!$AJ:$AJ,0))))</f>
        <v/>
      </c>
      <c r="AE63" s="9" t="str">
        <f ca="1">IF(AD63="","",IF(ISNA(MATCH(AC$3&amp;$AW63,Asta!$AJ:$AJ,0)),"",INDIRECT("Asta!AH"&amp;MATCH(AC$3&amp;$AW63,Asta!$AJ:$AJ,0))))</f>
        <v/>
      </c>
      <c r="AF63" s="9"/>
      <c r="AG63" s="23">
        <f t="shared" si="52"/>
        <v>4</v>
      </c>
      <c r="AH63" s="9" t="str">
        <f ca="1">IF(AG63="","",IF(ISNA(MATCH(AG$3&amp;$AW63,Asta!$AJ:$AJ,0)),"",INDIRECT("Asta!AA"&amp;MATCH(AG$3&amp;$AW63,Asta!$AJ:$AJ,0))))</f>
        <v/>
      </c>
      <c r="AI63" s="9" t="str">
        <f ca="1">IF(AH63="","",IF(ISNA(MATCH(AG$3&amp;$AW63,Asta!$AJ:$AJ,0)),"",INDIRECT("Asta!AH"&amp;MATCH(AG$3&amp;$AW63,Asta!$AJ:$AJ,0))))</f>
        <v/>
      </c>
      <c r="AJ63" s="9"/>
      <c r="AK63" s="23">
        <f t="shared" si="53"/>
        <v>4</v>
      </c>
      <c r="AL63" s="9" t="str">
        <f ca="1">IF(AK63="","",IF(ISNA(MATCH(AK$3&amp;$AW63,Asta!$AJ:$AJ,0)),"",INDIRECT("Asta!AA"&amp;MATCH(AK$3&amp;$AW63,Asta!$AJ:$AJ,0))))</f>
        <v/>
      </c>
      <c r="AM63" s="9" t="str">
        <f ca="1">IF(AL63="","",IF(ISNA(MATCH(AK$3&amp;$AW63,Asta!$AJ:$AJ,0)),"",INDIRECT("Asta!AH"&amp;MATCH(AK$3&amp;$AW63,Asta!$AJ:$AJ,0))))</f>
        <v/>
      </c>
      <c r="AN63" s="9"/>
      <c r="AO63" s="23">
        <f t="shared" si="54"/>
        <v>4</v>
      </c>
      <c r="AP63" s="9" t="str">
        <f ca="1">IF(AO63="","",IF(ISNA(MATCH(AO$3&amp;$AW63,Asta!$AJ:$AJ,0)),"",INDIRECT("Asta!AA"&amp;MATCH(AO$3&amp;$AW63,Asta!$AJ:$AJ,0))))</f>
        <v/>
      </c>
      <c r="AQ63" s="9" t="str">
        <f ca="1">IF(AP63="","",IF(ISNA(MATCH(AO$3&amp;$AW63,Asta!$AJ:$AJ,0)),"",INDIRECT("Asta!AH"&amp;MATCH(AO$3&amp;$AW63,Asta!$AJ:$AJ,0))))</f>
        <v/>
      </c>
      <c r="AR63" s="9"/>
      <c r="AS63" s="23">
        <f t="shared" si="55"/>
        <v>4</v>
      </c>
      <c r="AT63" s="9" t="str">
        <f ca="1">IF(AS63="","",IF(ISNA(MATCH(AS$3&amp;$AW63,Asta!$AJ:$AJ,0)),"",INDIRECT("Asta!AA"&amp;MATCH(AS$3&amp;$AW63,Asta!$AJ:$AJ,0))))</f>
        <v/>
      </c>
      <c r="AU63" s="9" t="str">
        <f ca="1">IF(AT63="","",IF(ISNA(MATCH(AS$3&amp;$AW63,Asta!$AJ:$AJ,0)),"",INDIRECT("Asta!AH"&amp;MATCH(AS$3&amp;$AW63,Asta!$AJ:$AJ,0))))</f>
        <v/>
      </c>
      <c r="AV63" s="9"/>
      <c r="AW63" s="23">
        <f t="shared" si="56"/>
        <v>4</v>
      </c>
    </row>
    <row r="64" spans="1:49" hidden="1">
      <c r="A64" s="23">
        <f t="shared" si="45"/>
        <v>5</v>
      </c>
      <c r="B64" s="9" t="str">
        <f ca="1">IF(A64="","",IF(ISNA(MATCH(A$3&amp;$AW64,Asta!$AJ:$AJ,0)),"",INDIRECT("Asta!AA"&amp;MATCH(A$3&amp;$AW64,Asta!$AJ:$AJ,0))))</f>
        <v/>
      </c>
      <c r="C64" s="9" t="str">
        <f ca="1">IF(B64="","",IF(ISNA(MATCH(A$3&amp;$AW64,Asta!$AJ:$AJ,0)),"",INDIRECT("Asta!AH"&amp;MATCH(A$3&amp;$AW64,Asta!$AJ:$AJ,0))))</f>
        <v/>
      </c>
      <c r="D64" s="9"/>
      <c r="E64" s="23">
        <f t="shared" si="33"/>
        <v>5</v>
      </c>
      <c r="F64" s="9" t="str">
        <f ca="1">IF(E64="","",IF(ISNA(MATCH(E$3&amp;$AW64,Asta!$AJ:$AJ,0)),"",INDIRECT("Asta!AA"&amp;MATCH(E$3&amp;$AW64,Asta!$AJ:$AJ,0))))</f>
        <v/>
      </c>
      <c r="G64" s="9" t="str">
        <f ca="1">IF(F64="","",IF(ISNA(MATCH(E$3&amp;$AW64,Asta!$AJ:$AJ,0)),"",INDIRECT("Asta!AH"&amp;MATCH(E$3&amp;$AW64,Asta!$AJ:$AJ,0))))</f>
        <v/>
      </c>
      <c r="H64" s="9"/>
      <c r="I64" s="23">
        <f t="shared" si="46"/>
        <v>5</v>
      </c>
      <c r="J64" s="9" t="str">
        <f ca="1">IF(I64="","",IF(ISNA(MATCH(I$3&amp;$AW64,Asta!$AJ:$AJ,0)),"",INDIRECT("Asta!AA"&amp;MATCH(I$3&amp;$AW64,Asta!$AJ:$AJ,0))))</f>
        <v/>
      </c>
      <c r="K64" s="9" t="str">
        <f ca="1">IF(J64="","",IF(ISNA(MATCH(I$3&amp;$AW64,Asta!$AJ:$AJ,0)),"",INDIRECT("Asta!AH"&amp;MATCH(I$3&amp;$AW64,Asta!$AJ:$AJ,0))))</f>
        <v/>
      </c>
      <c r="L64" s="9"/>
      <c r="M64" s="23">
        <f t="shared" si="47"/>
        <v>5</v>
      </c>
      <c r="N64" s="9" t="str">
        <f ca="1">IF(M64="","",IF(ISNA(MATCH(M$3&amp;$AW64,Asta!$AJ:$AJ,0)),"",INDIRECT("Asta!AA"&amp;MATCH(M$3&amp;$AW64,Asta!$AJ:$AJ,0))))</f>
        <v/>
      </c>
      <c r="O64" s="9" t="str">
        <f ca="1">IF(N64="","",IF(ISNA(MATCH(M$3&amp;$AW64,Asta!$AJ:$AJ,0)),"",INDIRECT("Asta!AH"&amp;MATCH(M$3&amp;$AW64,Asta!$AJ:$AJ,0))))</f>
        <v/>
      </c>
      <c r="P64" s="9"/>
      <c r="Q64" s="23">
        <f t="shared" si="48"/>
        <v>5</v>
      </c>
      <c r="R64" s="9" t="str">
        <f ca="1">IF(Q64="","",IF(ISNA(MATCH(Q$3&amp;$AW64,Asta!$AJ:$AJ,0)),"",INDIRECT("Asta!AA"&amp;MATCH(Q$3&amp;$AW64,Asta!$AJ:$AJ,0))))</f>
        <v/>
      </c>
      <c r="S64" s="9" t="str">
        <f ca="1">IF(R64="","",IF(ISNA(MATCH(Q$3&amp;$AW64,Asta!$AJ:$AJ,0)),"",INDIRECT("Asta!AH"&amp;MATCH(Q$3&amp;$AW64,Asta!$AJ:$AJ,0))))</f>
        <v/>
      </c>
      <c r="T64" s="9"/>
      <c r="U64" s="23">
        <f t="shared" si="49"/>
        <v>5</v>
      </c>
      <c r="V64" s="9" t="str">
        <f ca="1">IF(U64="","",IF(ISNA(MATCH(U$3&amp;$AW64,Asta!$AJ:$AJ,0)),"",INDIRECT("Asta!AA"&amp;MATCH(U$3&amp;$AW64,Asta!$AJ:$AJ,0))))</f>
        <v/>
      </c>
      <c r="W64" s="9" t="str">
        <f ca="1">IF(V64="","",IF(ISNA(MATCH(U$3&amp;$AW64,Asta!$AJ:$AJ,0)),"",INDIRECT("Asta!AH"&amp;MATCH(U$3&amp;$AW64,Asta!$AJ:$AJ,0))))</f>
        <v/>
      </c>
      <c r="X64" s="9"/>
      <c r="Y64" s="23">
        <f t="shared" si="50"/>
        <v>5</v>
      </c>
      <c r="Z64" s="9" t="str">
        <f ca="1">IF(Y64="","",IF(ISNA(MATCH(Y$3&amp;$AW64,Asta!$AJ:$AJ,0)),"",INDIRECT("Asta!AA"&amp;MATCH(Y$3&amp;$AW64,Asta!$AJ:$AJ,0))))</f>
        <v/>
      </c>
      <c r="AA64" s="9" t="str">
        <f ca="1">IF(Z64="","",IF(ISNA(MATCH(Y$3&amp;$AW64,Asta!$AJ:$AJ,0)),"",INDIRECT("Asta!AH"&amp;MATCH(Y$3&amp;$AW64,Asta!$AJ:$AJ,0))))</f>
        <v/>
      </c>
      <c r="AB64" s="9"/>
      <c r="AC64" s="23">
        <f t="shared" si="51"/>
        <v>5</v>
      </c>
      <c r="AD64" s="9" t="str">
        <f ca="1">IF(AC64="","",IF(ISNA(MATCH(AC$3&amp;$AW64,Asta!$AJ:$AJ,0)),"",INDIRECT("Asta!AA"&amp;MATCH(AC$3&amp;$AW64,Asta!$AJ:$AJ,0))))</f>
        <v/>
      </c>
      <c r="AE64" s="9" t="str">
        <f ca="1">IF(AD64="","",IF(ISNA(MATCH(AC$3&amp;$AW64,Asta!$AJ:$AJ,0)),"",INDIRECT("Asta!AH"&amp;MATCH(AC$3&amp;$AW64,Asta!$AJ:$AJ,0))))</f>
        <v/>
      </c>
      <c r="AF64" s="9"/>
      <c r="AG64" s="23">
        <f t="shared" si="52"/>
        <v>5</v>
      </c>
      <c r="AH64" s="9" t="str">
        <f ca="1">IF(AG64="","",IF(ISNA(MATCH(AG$3&amp;$AW64,Asta!$AJ:$AJ,0)),"",INDIRECT("Asta!AA"&amp;MATCH(AG$3&amp;$AW64,Asta!$AJ:$AJ,0))))</f>
        <v/>
      </c>
      <c r="AI64" s="9" t="str">
        <f ca="1">IF(AH64="","",IF(ISNA(MATCH(AG$3&amp;$AW64,Asta!$AJ:$AJ,0)),"",INDIRECT("Asta!AH"&amp;MATCH(AG$3&amp;$AW64,Asta!$AJ:$AJ,0))))</f>
        <v/>
      </c>
      <c r="AJ64" s="9"/>
      <c r="AK64" s="23">
        <f t="shared" si="53"/>
        <v>5</v>
      </c>
      <c r="AL64" s="9" t="str">
        <f ca="1">IF(AK64="","",IF(ISNA(MATCH(AK$3&amp;$AW64,Asta!$AJ:$AJ,0)),"",INDIRECT("Asta!AA"&amp;MATCH(AK$3&amp;$AW64,Asta!$AJ:$AJ,0))))</f>
        <v/>
      </c>
      <c r="AM64" s="9" t="str">
        <f ca="1">IF(AL64="","",IF(ISNA(MATCH(AK$3&amp;$AW64,Asta!$AJ:$AJ,0)),"",INDIRECT("Asta!AH"&amp;MATCH(AK$3&amp;$AW64,Asta!$AJ:$AJ,0))))</f>
        <v/>
      </c>
      <c r="AN64" s="9"/>
      <c r="AO64" s="23">
        <f t="shared" si="54"/>
        <v>5</v>
      </c>
      <c r="AP64" s="9" t="str">
        <f ca="1">IF(AO64="","",IF(ISNA(MATCH(AO$3&amp;$AW64,Asta!$AJ:$AJ,0)),"",INDIRECT("Asta!AA"&amp;MATCH(AO$3&amp;$AW64,Asta!$AJ:$AJ,0))))</f>
        <v/>
      </c>
      <c r="AQ64" s="9" t="str">
        <f ca="1">IF(AP64="","",IF(ISNA(MATCH(AO$3&amp;$AW64,Asta!$AJ:$AJ,0)),"",INDIRECT("Asta!AH"&amp;MATCH(AO$3&amp;$AW64,Asta!$AJ:$AJ,0))))</f>
        <v/>
      </c>
      <c r="AR64" s="9"/>
      <c r="AS64" s="23">
        <f t="shared" si="55"/>
        <v>5</v>
      </c>
      <c r="AT64" s="9" t="str">
        <f ca="1">IF(AS64="","",IF(ISNA(MATCH(AS$3&amp;$AW64,Asta!$AJ:$AJ,0)),"",INDIRECT("Asta!AA"&amp;MATCH(AS$3&amp;$AW64,Asta!$AJ:$AJ,0))))</f>
        <v/>
      </c>
      <c r="AU64" s="9" t="str">
        <f ca="1">IF(AT64="","",IF(ISNA(MATCH(AS$3&amp;$AW64,Asta!$AJ:$AJ,0)),"",INDIRECT("Asta!AH"&amp;MATCH(AS$3&amp;$AW64,Asta!$AJ:$AJ,0))))</f>
        <v/>
      </c>
      <c r="AV64" s="9"/>
      <c r="AW64" s="23">
        <f t="shared" si="56"/>
        <v>5</v>
      </c>
    </row>
    <row r="65" spans="1:49" hidden="1">
      <c r="A65" s="23">
        <f t="shared" si="45"/>
        <v>6</v>
      </c>
      <c r="B65" s="9" t="str">
        <f ca="1">IF(A65="","",IF(ISNA(MATCH(A$3&amp;$AW65,Asta!$AJ:$AJ,0)),"",INDIRECT("Asta!AA"&amp;MATCH(A$3&amp;$AW65,Asta!$AJ:$AJ,0))))</f>
        <v/>
      </c>
      <c r="C65" s="9" t="str">
        <f ca="1">IF(B65="","",IF(ISNA(MATCH(A$3&amp;$AW65,Asta!$AJ:$AJ,0)),"",INDIRECT("Asta!AH"&amp;MATCH(A$3&amp;$AW65,Asta!$AJ:$AJ,0))))</f>
        <v/>
      </c>
      <c r="D65" s="9"/>
      <c r="E65" s="23">
        <f t="shared" si="33"/>
        <v>6</v>
      </c>
      <c r="F65" s="9" t="str">
        <f ca="1">IF(E65="","",IF(ISNA(MATCH(E$3&amp;$AW65,Asta!$AJ:$AJ,0)),"",INDIRECT("Asta!AA"&amp;MATCH(E$3&amp;$AW65,Asta!$AJ:$AJ,0))))</f>
        <v/>
      </c>
      <c r="G65" s="9" t="str">
        <f ca="1">IF(F65="","",IF(ISNA(MATCH(E$3&amp;$AW65,Asta!$AJ:$AJ,0)),"",INDIRECT("Asta!AH"&amp;MATCH(E$3&amp;$AW65,Asta!$AJ:$AJ,0))))</f>
        <v/>
      </c>
      <c r="H65" s="9"/>
      <c r="I65" s="23">
        <f t="shared" si="46"/>
        <v>6</v>
      </c>
      <c r="J65" s="9" t="str">
        <f ca="1">IF(I65="","",IF(ISNA(MATCH(I$3&amp;$AW65,Asta!$AJ:$AJ,0)),"",INDIRECT("Asta!AA"&amp;MATCH(I$3&amp;$AW65,Asta!$AJ:$AJ,0))))</f>
        <v/>
      </c>
      <c r="K65" s="9" t="str">
        <f ca="1">IF(J65="","",IF(ISNA(MATCH(I$3&amp;$AW65,Asta!$AJ:$AJ,0)),"",INDIRECT("Asta!AH"&amp;MATCH(I$3&amp;$AW65,Asta!$AJ:$AJ,0))))</f>
        <v/>
      </c>
      <c r="L65" s="9"/>
      <c r="M65" s="23">
        <f t="shared" si="47"/>
        <v>6</v>
      </c>
      <c r="N65" s="9" t="str">
        <f ca="1">IF(M65="","",IF(ISNA(MATCH(M$3&amp;$AW65,Asta!$AJ:$AJ,0)),"",INDIRECT("Asta!AA"&amp;MATCH(M$3&amp;$AW65,Asta!$AJ:$AJ,0))))</f>
        <v/>
      </c>
      <c r="O65" s="9" t="str">
        <f ca="1">IF(N65="","",IF(ISNA(MATCH(M$3&amp;$AW65,Asta!$AJ:$AJ,0)),"",INDIRECT("Asta!AH"&amp;MATCH(M$3&amp;$AW65,Asta!$AJ:$AJ,0))))</f>
        <v/>
      </c>
      <c r="P65" s="9"/>
      <c r="Q65" s="23">
        <f t="shared" si="48"/>
        <v>6</v>
      </c>
      <c r="R65" s="9" t="str">
        <f ca="1">IF(Q65="","",IF(ISNA(MATCH(Q$3&amp;$AW65,Asta!$AJ:$AJ,0)),"",INDIRECT("Asta!AA"&amp;MATCH(Q$3&amp;$AW65,Asta!$AJ:$AJ,0))))</f>
        <v/>
      </c>
      <c r="S65" s="9" t="str">
        <f ca="1">IF(R65="","",IF(ISNA(MATCH(Q$3&amp;$AW65,Asta!$AJ:$AJ,0)),"",INDIRECT("Asta!AH"&amp;MATCH(Q$3&amp;$AW65,Asta!$AJ:$AJ,0))))</f>
        <v/>
      </c>
      <c r="T65" s="9"/>
      <c r="U65" s="23">
        <f t="shared" si="49"/>
        <v>6</v>
      </c>
      <c r="V65" s="9" t="str">
        <f ca="1">IF(U65="","",IF(ISNA(MATCH(U$3&amp;$AW65,Asta!$AJ:$AJ,0)),"",INDIRECT("Asta!AA"&amp;MATCH(U$3&amp;$AW65,Asta!$AJ:$AJ,0))))</f>
        <v/>
      </c>
      <c r="W65" s="9" t="str">
        <f ca="1">IF(V65="","",IF(ISNA(MATCH(U$3&amp;$AW65,Asta!$AJ:$AJ,0)),"",INDIRECT("Asta!AH"&amp;MATCH(U$3&amp;$AW65,Asta!$AJ:$AJ,0))))</f>
        <v/>
      </c>
      <c r="X65" s="9"/>
      <c r="Y65" s="23">
        <f t="shared" si="50"/>
        <v>6</v>
      </c>
      <c r="Z65" s="9" t="str">
        <f ca="1">IF(Y65="","",IF(ISNA(MATCH(Y$3&amp;$AW65,Asta!$AJ:$AJ,0)),"",INDIRECT("Asta!AA"&amp;MATCH(Y$3&amp;$AW65,Asta!$AJ:$AJ,0))))</f>
        <v/>
      </c>
      <c r="AA65" s="9" t="str">
        <f ca="1">IF(Z65="","",IF(ISNA(MATCH(Y$3&amp;$AW65,Asta!$AJ:$AJ,0)),"",INDIRECT("Asta!AH"&amp;MATCH(Y$3&amp;$AW65,Asta!$AJ:$AJ,0))))</f>
        <v/>
      </c>
      <c r="AB65" s="9"/>
      <c r="AC65" s="23">
        <f t="shared" si="51"/>
        <v>6</v>
      </c>
      <c r="AD65" s="9" t="str">
        <f ca="1">IF(AC65="","",IF(ISNA(MATCH(AC$3&amp;$AW65,Asta!$AJ:$AJ,0)),"",INDIRECT("Asta!AA"&amp;MATCH(AC$3&amp;$AW65,Asta!$AJ:$AJ,0))))</f>
        <v/>
      </c>
      <c r="AE65" s="9" t="str">
        <f ca="1">IF(AD65="","",IF(ISNA(MATCH(AC$3&amp;$AW65,Asta!$AJ:$AJ,0)),"",INDIRECT("Asta!AH"&amp;MATCH(AC$3&amp;$AW65,Asta!$AJ:$AJ,0))))</f>
        <v/>
      </c>
      <c r="AF65" s="9"/>
      <c r="AG65" s="23">
        <f t="shared" si="52"/>
        <v>6</v>
      </c>
      <c r="AH65" s="9" t="str">
        <f ca="1">IF(AG65="","",IF(ISNA(MATCH(AG$3&amp;$AW65,Asta!$AJ:$AJ,0)),"",INDIRECT("Asta!AA"&amp;MATCH(AG$3&amp;$AW65,Asta!$AJ:$AJ,0))))</f>
        <v/>
      </c>
      <c r="AI65" s="9" t="str">
        <f ca="1">IF(AH65="","",IF(ISNA(MATCH(AG$3&amp;$AW65,Asta!$AJ:$AJ,0)),"",INDIRECT("Asta!AH"&amp;MATCH(AG$3&amp;$AW65,Asta!$AJ:$AJ,0))))</f>
        <v/>
      </c>
      <c r="AJ65" s="9"/>
      <c r="AK65" s="23">
        <f t="shared" si="53"/>
        <v>6</v>
      </c>
      <c r="AL65" s="9" t="str">
        <f ca="1">IF(AK65="","",IF(ISNA(MATCH(AK$3&amp;$AW65,Asta!$AJ:$AJ,0)),"",INDIRECT("Asta!AA"&amp;MATCH(AK$3&amp;$AW65,Asta!$AJ:$AJ,0))))</f>
        <v/>
      </c>
      <c r="AM65" s="9" t="str">
        <f ca="1">IF(AL65="","",IF(ISNA(MATCH(AK$3&amp;$AW65,Asta!$AJ:$AJ,0)),"",INDIRECT("Asta!AH"&amp;MATCH(AK$3&amp;$AW65,Asta!$AJ:$AJ,0))))</f>
        <v/>
      </c>
      <c r="AN65" s="9"/>
      <c r="AO65" s="23">
        <f t="shared" si="54"/>
        <v>6</v>
      </c>
      <c r="AP65" s="9" t="str">
        <f ca="1">IF(AO65="","",IF(ISNA(MATCH(AO$3&amp;$AW65,Asta!$AJ:$AJ,0)),"",INDIRECT("Asta!AA"&amp;MATCH(AO$3&amp;$AW65,Asta!$AJ:$AJ,0))))</f>
        <v/>
      </c>
      <c r="AQ65" s="9" t="str">
        <f ca="1">IF(AP65="","",IF(ISNA(MATCH(AO$3&amp;$AW65,Asta!$AJ:$AJ,0)),"",INDIRECT("Asta!AH"&amp;MATCH(AO$3&amp;$AW65,Asta!$AJ:$AJ,0))))</f>
        <v/>
      </c>
      <c r="AR65" s="9"/>
      <c r="AS65" s="23">
        <f t="shared" si="55"/>
        <v>6</v>
      </c>
      <c r="AT65" s="9" t="str">
        <f ca="1">IF(AS65="","",IF(ISNA(MATCH(AS$3&amp;$AW65,Asta!$AJ:$AJ,0)),"",INDIRECT("Asta!AA"&amp;MATCH(AS$3&amp;$AW65,Asta!$AJ:$AJ,0))))</f>
        <v/>
      </c>
      <c r="AU65" s="9" t="str">
        <f ca="1">IF(AT65="","",IF(ISNA(MATCH(AS$3&amp;$AW65,Asta!$AJ:$AJ,0)),"",INDIRECT("Asta!AH"&amp;MATCH(AS$3&amp;$AW65,Asta!$AJ:$AJ,0))))</f>
        <v/>
      </c>
      <c r="AV65" s="9"/>
      <c r="AW65" s="23">
        <f t="shared" si="56"/>
        <v>6</v>
      </c>
    </row>
    <row r="66" spans="1:49" hidden="1">
      <c r="A66" s="23">
        <f t="shared" si="45"/>
        <v>7</v>
      </c>
      <c r="B66" s="9" t="str">
        <f ca="1">IF(A66="","",IF(ISNA(MATCH(A$3&amp;$AW66,Asta!$AJ:$AJ,0)),"",INDIRECT("Asta!AA"&amp;MATCH(A$3&amp;$AW66,Asta!$AJ:$AJ,0))))</f>
        <v/>
      </c>
      <c r="C66" s="9" t="str">
        <f ca="1">IF(B66="","",IF(ISNA(MATCH(A$3&amp;$AW66,Asta!$AJ:$AJ,0)),"",INDIRECT("Asta!AH"&amp;MATCH(A$3&amp;$AW66,Asta!$AJ:$AJ,0))))</f>
        <v/>
      </c>
      <c r="D66" s="9"/>
      <c r="E66" s="23">
        <f t="shared" si="33"/>
        <v>7</v>
      </c>
      <c r="F66" s="9" t="str">
        <f ca="1">IF(E66="","",IF(ISNA(MATCH(E$3&amp;$AW66,Asta!$AJ:$AJ,0)),"",INDIRECT("Asta!AA"&amp;MATCH(E$3&amp;$AW66,Asta!$AJ:$AJ,0))))</f>
        <v/>
      </c>
      <c r="G66" s="9" t="str">
        <f ca="1">IF(F66="","",IF(ISNA(MATCH(E$3&amp;$AW66,Asta!$AJ:$AJ,0)),"",INDIRECT("Asta!AH"&amp;MATCH(E$3&amp;$AW66,Asta!$AJ:$AJ,0))))</f>
        <v/>
      </c>
      <c r="H66" s="9"/>
      <c r="I66" s="23">
        <f t="shared" si="46"/>
        <v>7</v>
      </c>
      <c r="J66" s="9" t="str">
        <f ca="1">IF(I66="","",IF(ISNA(MATCH(I$3&amp;$AW66,Asta!$AJ:$AJ,0)),"",INDIRECT("Asta!AA"&amp;MATCH(I$3&amp;$AW66,Asta!$AJ:$AJ,0))))</f>
        <v/>
      </c>
      <c r="K66" s="9" t="str">
        <f ca="1">IF(J66="","",IF(ISNA(MATCH(I$3&amp;$AW66,Asta!$AJ:$AJ,0)),"",INDIRECT("Asta!AH"&amp;MATCH(I$3&amp;$AW66,Asta!$AJ:$AJ,0))))</f>
        <v/>
      </c>
      <c r="L66" s="9"/>
      <c r="M66" s="23">
        <f t="shared" si="47"/>
        <v>7</v>
      </c>
      <c r="N66" s="9" t="str">
        <f ca="1">IF(M66="","",IF(ISNA(MATCH(M$3&amp;$AW66,Asta!$AJ:$AJ,0)),"",INDIRECT("Asta!AA"&amp;MATCH(M$3&amp;$AW66,Asta!$AJ:$AJ,0))))</f>
        <v/>
      </c>
      <c r="O66" s="9" t="str">
        <f ca="1">IF(N66="","",IF(ISNA(MATCH(M$3&amp;$AW66,Asta!$AJ:$AJ,0)),"",INDIRECT("Asta!AH"&amp;MATCH(M$3&amp;$AW66,Asta!$AJ:$AJ,0))))</f>
        <v/>
      </c>
      <c r="P66" s="9"/>
      <c r="Q66" s="23">
        <f t="shared" si="48"/>
        <v>7</v>
      </c>
      <c r="R66" s="9" t="str">
        <f ca="1">IF(Q66="","",IF(ISNA(MATCH(Q$3&amp;$AW66,Asta!$AJ:$AJ,0)),"",INDIRECT("Asta!AA"&amp;MATCH(Q$3&amp;$AW66,Asta!$AJ:$AJ,0))))</f>
        <v/>
      </c>
      <c r="S66" s="9" t="str">
        <f ca="1">IF(R66="","",IF(ISNA(MATCH(Q$3&amp;$AW66,Asta!$AJ:$AJ,0)),"",INDIRECT("Asta!AH"&amp;MATCH(Q$3&amp;$AW66,Asta!$AJ:$AJ,0))))</f>
        <v/>
      </c>
      <c r="T66" s="9"/>
      <c r="U66" s="23">
        <f t="shared" si="49"/>
        <v>7</v>
      </c>
      <c r="V66" s="9" t="str">
        <f ca="1">IF(U66="","",IF(ISNA(MATCH(U$3&amp;$AW66,Asta!$AJ:$AJ,0)),"",INDIRECT("Asta!AA"&amp;MATCH(U$3&amp;$AW66,Asta!$AJ:$AJ,0))))</f>
        <v/>
      </c>
      <c r="W66" s="9" t="str">
        <f ca="1">IF(V66="","",IF(ISNA(MATCH(U$3&amp;$AW66,Asta!$AJ:$AJ,0)),"",INDIRECT("Asta!AH"&amp;MATCH(U$3&amp;$AW66,Asta!$AJ:$AJ,0))))</f>
        <v/>
      </c>
      <c r="X66" s="9"/>
      <c r="Y66" s="23">
        <f t="shared" si="50"/>
        <v>7</v>
      </c>
      <c r="Z66" s="9" t="str">
        <f ca="1">IF(Y66="","",IF(ISNA(MATCH(Y$3&amp;$AW66,Asta!$AJ:$AJ,0)),"",INDIRECT("Asta!AA"&amp;MATCH(Y$3&amp;$AW66,Asta!$AJ:$AJ,0))))</f>
        <v/>
      </c>
      <c r="AA66" s="9" t="str">
        <f ca="1">IF(Z66="","",IF(ISNA(MATCH(Y$3&amp;$AW66,Asta!$AJ:$AJ,0)),"",INDIRECT("Asta!AH"&amp;MATCH(Y$3&amp;$AW66,Asta!$AJ:$AJ,0))))</f>
        <v/>
      </c>
      <c r="AB66" s="9"/>
      <c r="AC66" s="23">
        <f t="shared" si="51"/>
        <v>7</v>
      </c>
      <c r="AD66" s="9" t="str">
        <f ca="1">IF(AC66="","",IF(ISNA(MATCH(AC$3&amp;$AW66,Asta!$AJ:$AJ,0)),"",INDIRECT("Asta!AA"&amp;MATCH(AC$3&amp;$AW66,Asta!$AJ:$AJ,0))))</f>
        <v/>
      </c>
      <c r="AE66" s="9" t="str">
        <f ca="1">IF(AD66="","",IF(ISNA(MATCH(AC$3&amp;$AW66,Asta!$AJ:$AJ,0)),"",INDIRECT("Asta!AH"&amp;MATCH(AC$3&amp;$AW66,Asta!$AJ:$AJ,0))))</f>
        <v/>
      </c>
      <c r="AF66" s="9"/>
      <c r="AG66" s="23">
        <f t="shared" si="52"/>
        <v>7</v>
      </c>
      <c r="AH66" s="9" t="str">
        <f ca="1">IF(AG66="","",IF(ISNA(MATCH(AG$3&amp;$AW66,Asta!$AJ:$AJ,0)),"",INDIRECT("Asta!AA"&amp;MATCH(AG$3&amp;$AW66,Asta!$AJ:$AJ,0))))</f>
        <v/>
      </c>
      <c r="AI66" s="9" t="str">
        <f ca="1">IF(AH66="","",IF(ISNA(MATCH(AG$3&amp;$AW66,Asta!$AJ:$AJ,0)),"",INDIRECT("Asta!AH"&amp;MATCH(AG$3&amp;$AW66,Asta!$AJ:$AJ,0))))</f>
        <v/>
      </c>
      <c r="AJ66" s="9"/>
      <c r="AK66" s="23">
        <f t="shared" si="53"/>
        <v>7</v>
      </c>
      <c r="AL66" s="9" t="str">
        <f ca="1">IF(AK66="","",IF(ISNA(MATCH(AK$3&amp;$AW66,Asta!$AJ:$AJ,0)),"",INDIRECT("Asta!AA"&amp;MATCH(AK$3&amp;$AW66,Asta!$AJ:$AJ,0))))</f>
        <v/>
      </c>
      <c r="AM66" s="9" t="str">
        <f ca="1">IF(AL66="","",IF(ISNA(MATCH(AK$3&amp;$AW66,Asta!$AJ:$AJ,0)),"",INDIRECT("Asta!AH"&amp;MATCH(AK$3&amp;$AW66,Asta!$AJ:$AJ,0))))</f>
        <v/>
      </c>
      <c r="AN66" s="9"/>
      <c r="AO66" s="23">
        <f t="shared" si="54"/>
        <v>7</v>
      </c>
      <c r="AP66" s="9" t="str">
        <f ca="1">IF(AO66="","",IF(ISNA(MATCH(AO$3&amp;$AW66,Asta!$AJ:$AJ,0)),"",INDIRECT("Asta!AA"&amp;MATCH(AO$3&amp;$AW66,Asta!$AJ:$AJ,0))))</f>
        <v/>
      </c>
      <c r="AQ66" s="9" t="str">
        <f ca="1">IF(AP66="","",IF(ISNA(MATCH(AO$3&amp;$AW66,Asta!$AJ:$AJ,0)),"",INDIRECT("Asta!AH"&amp;MATCH(AO$3&amp;$AW66,Asta!$AJ:$AJ,0))))</f>
        <v/>
      </c>
      <c r="AR66" s="9"/>
      <c r="AS66" s="23">
        <f t="shared" si="55"/>
        <v>7</v>
      </c>
      <c r="AT66" s="9" t="str">
        <f ca="1">IF(AS66="","",IF(ISNA(MATCH(AS$3&amp;$AW66,Asta!$AJ:$AJ,0)),"",INDIRECT("Asta!AA"&amp;MATCH(AS$3&amp;$AW66,Asta!$AJ:$AJ,0))))</f>
        <v/>
      </c>
      <c r="AU66" s="9" t="str">
        <f ca="1">IF(AT66="","",IF(ISNA(MATCH(AS$3&amp;$AW66,Asta!$AJ:$AJ,0)),"",INDIRECT("Asta!AH"&amp;MATCH(AS$3&amp;$AW66,Asta!$AJ:$AJ,0))))</f>
        <v/>
      </c>
      <c r="AV66" s="9"/>
      <c r="AW66" s="23">
        <f t="shared" si="56"/>
        <v>7</v>
      </c>
    </row>
    <row r="67" spans="1:49" hidden="1">
      <c r="A67" s="23">
        <f t="shared" si="45"/>
        <v>8</v>
      </c>
      <c r="B67" s="9" t="str">
        <f ca="1">IF(A67="","",IF(ISNA(MATCH(A$3&amp;$AW67,Asta!$AJ:$AJ,0)),"",INDIRECT("Asta!AA"&amp;MATCH(A$3&amp;$AW67,Asta!$AJ:$AJ,0))))</f>
        <v/>
      </c>
      <c r="C67" s="9" t="str">
        <f ca="1">IF(B67="","",IF(ISNA(MATCH(A$3&amp;$AW67,Asta!$AJ:$AJ,0)),"",INDIRECT("Asta!AH"&amp;MATCH(A$3&amp;$AW67,Asta!$AJ:$AJ,0))))</f>
        <v/>
      </c>
      <c r="D67" s="9"/>
      <c r="E67" s="23">
        <f t="shared" si="33"/>
        <v>8</v>
      </c>
      <c r="F67" s="9" t="str">
        <f ca="1">IF(E67="","",IF(ISNA(MATCH(E$3&amp;$AW67,Asta!$AJ:$AJ,0)),"",INDIRECT("Asta!AA"&amp;MATCH(E$3&amp;$AW67,Asta!$AJ:$AJ,0))))</f>
        <v/>
      </c>
      <c r="G67" s="9" t="str">
        <f ca="1">IF(F67="","",IF(ISNA(MATCH(E$3&amp;$AW67,Asta!$AJ:$AJ,0)),"",INDIRECT("Asta!AH"&amp;MATCH(E$3&amp;$AW67,Asta!$AJ:$AJ,0))))</f>
        <v/>
      </c>
      <c r="H67" s="9"/>
      <c r="I67" s="23">
        <f t="shared" si="46"/>
        <v>8</v>
      </c>
      <c r="J67" s="9" t="str">
        <f ca="1">IF(I67="","",IF(ISNA(MATCH(I$3&amp;$AW67,Asta!$AJ:$AJ,0)),"",INDIRECT("Asta!AA"&amp;MATCH(I$3&amp;$AW67,Asta!$AJ:$AJ,0))))</f>
        <v/>
      </c>
      <c r="K67" s="9" t="str">
        <f ca="1">IF(J67="","",IF(ISNA(MATCH(I$3&amp;$AW67,Asta!$AJ:$AJ,0)),"",INDIRECT("Asta!AH"&amp;MATCH(I$3&amp;$AW67,Asta!$AJ:$AJ,0))))</f>
        <v/>
      </c>
      <c r="L67" s="9"/>
      <c r="M67" s="23">
        <f t="shared" si="47"/>
        <v>8</v>
      </c>
      <c r="N67" s="9" t="str">
        <f ca="1">IF(M67="","",IF(ISNA(MATCH(M$3&amp;$AW67,Asta!$AJ:$AJ,0)),"",INDIRECT("Asta!AA"&amp;MATCH(M$3&amp;$AW67,Asta!$AJ:$AJ,0))))</f>
        <v/>
      </c>
      <c r="O67" s="9" t="str">
        <f ca="1">IF(N67="","",IF(ISNA(MATCH(M$3&amp;$AW67,Asta!$AJ:$AJ,0)),"",INDIRECT("Asta!AH"&amp;MATCH(M$3&amp;$AW67,Asta!$AJ:$AJ,0))))</f>
        <v/>
      </c>
      <c r="P67" s="9"/>
      <c r="Q67" s="23">
        <f t="shared" si="48"/>
        <v>8</v>
      </c>
      <c r="R67" s="9" t="str">
        <f ca="1">IF(Q67="","",IF(ISNA(MATCH(Q$3&amp;$AW67,Asta!$AJ:$AJ,0)),"",INDIRECT("Asta!AA"&amp;MATCH(Q$3&amp;$AW67,Asta!$AJ:$AJ,0))))</f>
        <v/>
      </c>
      <c r="S67" s="9" t="str">
        <f ca="1">IF(R67="","",IF(ISNA(MATCH(Q$3&amp;$AW67,Asta!$AJ:$AJ,0)),"",INDIRECT("Asta!AH"&amp;MATCH(Q$3&amp;$AW67,Asta!$AJ:$AJ,0))))</f>
        <v/>
      </c>
      <c r="T67" s="9"/>
      <c r="U67" s="23">
        <f t="shared" si="49"/>
        <v>8</v>
      </c>
      <c r="V67" s="9" t="str">
        <f ca="1">IF(U67="","",IF(ISNA(MATCH(U$3&amp;$AW67,Asta!$AJ:$AJ,0)),"",INDIRECT("Asta!AA"&amp;MATCH(U$3&amp;$AW67,Asta!$AJ:$AJ,0))))</f>
        <v/>
      </c>
      <c r="W67" s="9" t="str">
        <f ca="1">IF(V67="","",IF(ISNA(MATCH(U$3&amp;$AW67,Asta!$AJ:$AJ,0)),"",INDIRECT("Asta!AH"&amp;MATCH(U$3&amp;$AW67,Asta!$AJ:$AJ,0))))</f>
        <v/>
      </c>
      <c r="X67" s="9"/>
      <c r="Y67" s="23">
        <f t="shared" si="50"/>
        <v>8</v>
      </c>
      <c r="Z67" s="9" t="str">
        <f ca="1">IF(Y67="","",IF(ISNA(MATCH(Y$3&amp;$AW67,Asta!$AJ:$AJ,0)),"",INDIRECT("Asta!AA"&amp;MATCH(Y$3&amp;$AW67,Asta!$AJ:$AJ,0))))</f>
        <v/>
      </c>
      <c r="AA67" s="9" t="str">
        <f ca="1">IF(Z67="","",IF(ISNA(MATCH(Y$3&amp;$AW67,Asta!$AJ:$AJ,0)),"",INDIRECT("Asta!AH"&amp;MATCH(Y$3&amp;$AW67,Asta!$AJ:$AJ,0))))</f>
        <v/>
      </c>
      <c r="AB67" s="9"/>
      <c r="AC67" s="23">
        <f t="shared" si="51"/>
        <v>8</v>
      </c>
      <c r="AD67" s="9" t="str">
        <f ca="1">IF(AC67="","",IF(ISNA(MATCH(AC$3&amp;$AW67,Asta!$AJ:$AJ,0)),"",INDIRECT("Asta!AA"&amp;MATCH(AC$3&amp;$AW67,Asta!$AJ:$AJ,0))))</f>
        <v/>
      </c>
      <c r="AE67" s="9" t="str">
        <f ca="1">IF(AD67="","",IF(ISNA(MATCH(AC$3&amp;$AW67,Asta!$AJ:$AJ,0)),"",INDIRECT("Asta!AH"&amp;MATCH(AC$3&amp;$AW67,Asta!$AJ:$AJ,0))))</f>
        <v/>
      </c>
      <c r="AF67" s="9"/>
      <c r="AG67" s="23">
        <f t="shared" si="52"/>
        <v>8</v>
      </c>
      <c r="AH67" s="9" t="str">
        <f ca="1">IF(AG67="","",IF(ISNA(MATCH(AG$3&amp;$AW67,Asta!$AJ:$AJ,0)),"",INDIRECT("Asta!AA"&amp;MATCH(AG$3&amp;$AW67,Asta!$AJ:$AJ,0))))</f>
        <v/>
      </c>
      <c r="AI67" s="9" t="str">
        <f ca="1">IF(AH67="","",IF(ISNA(MATCH(AG$3&amp;$AW67,Asta!$AJ:$AJ,0)),"",INDIRECT("Asta!AH"&amp;MATCH(AG$3&amp;$AW67,Asta!$AJ:$AJ,0))))</f>
        <v/>
      </c>
      <c r="AJ67" s="9"/>
      <c r="AK67" s="23">
        <f t="shared" si="53"/>
        <v>8</v>
      </c>
      <c r="AL67" s="9" t="str">
        <f ca="1">IF(AK67="","",IF(ISNA(MATCH(AK$3&amp;$AW67,Asta!$AJ:$AJ,0)),"",INDIRECT("Asta!AA"&amp;MATCH(AK$3&amp;$AW67,Asta!$AJ:$AJ,0))))</f>
        <v/>
      </c>
      <c r="AM67" s="9" t="str">
        <f ca="1">IF(AL67="","",IF(ISNA(MATCH(AK$3&amp;$AW67,Asta!$AJ:$AJ,0)),"",INDIRECT("Asta!AH"&amp;MATCH(AK$3&amp;$AW67,Asta!$AJ:$AJ,0))))</f>
        <v/>
      </c>
      <c r="AN67" s="9"/>
      <c r="AO67" s="23">
        <f t="shared" si="54"/>
        <v>8</v>
      </c>
      <c r="AP67" s="9" t="str">
        <f ca="1">IF(AO67="","",IF(ISNA(MATCH(AO$3&amp;$AW67,Asta!$AJ:$AJ,0)),"",INDIRECT("Asta!AA"&amp;MATCH(AO$3&amp;$AW67,Asta!$AJ:$AJ,0))))</f>
        <v/>
      </c>
      <c r="AQ67" s="9" t="str">
        <f ca="1">IF(AP67="","",IF(ISNA(MATCH(AO$3&amp;$AW67,Asta!$AJ:$AJ,0)),"",INDIRECT("Asta!AH"&amp;MATCH(AO$3&amp;$AW67,Asta!$AJ:$AJ,0))))</f>
        <v/>
      </c>
      <c r="AR67" s="9"/>
      <c r="AS67" s="23">
        <f t="shared" si="55"/>
        <v>8</v>
      </c>
      <c r="AT67" s="9" t="str">
        <f ca="1">IF(AS67="","",IF(ISNA(MATCH(AS$3&amp;$AW67,Asta!$AJ:$AJ,0)),"",INDIRECT("Asta!AA"&amp;MATCH(AS$3&amp;$AW67,Asta!$AJ:$AJ,0))))</f>
        <v/>
      </c>
      <c r="AU67" s="9" t="str">
        <f ca="1">IF(AT67="","",IF(ISNA(MATCH(AS$3&amp;$AW67,Asta!$AJ:$AJ,0)),"",INDIRECT("Asta!AH"&amp;MATCH(AS$3&amp;$AW67,Asta!$AJ:$AJ,0))))</f>
        <v/>
      </c>
      <c r="AV67" s="9"/>
      <c r="AW67" s="23">
        <f t="shared" si="56"/>
        <v>8</v>
      </c>
    </row>
    <row r="68" spans="1:49" hidden="1">
      <c r="A68" s="23">
        <f t="shared" si="45"/>
        <v>9</v>
      </c>
      <c r="B68" s="9" t="str">
        <f ca="1">IF(A68="","",IF(ISNA(MATCH(A$3&amp;$AW68,Asta!$AJ:$AJ,0)),"",INDIRECT("Asta!AA"&amp;MATCH(A$3&amp;$AW68,Asta!$AJ:$AJ,0))))</f>
        <v/>
      </c>
      <c r="C68" s="9" t="str">
        <f ca="1">IF(B68="","",IF(ISNA(MATCH(A$3&amp;$AW68,Asta!$AJ:$AJ,0)),"",INDIRECT("Asta!AH"&amp;MATCH(A$3&amp;$AW68,Asta!$AJ:$AJ,0))))</f>
        <v/>
      </c>
      <c r="D68" s="9"/>
      <c r="E68" s="23">
        <f t="shared" si="33"/>
        <v>9</v>
      </c>
      <c r="F68" s="9" t="str">
        <f ca="1">IF(E68="","",IF(ISNA(MATCH(E$3&amp;$AW68,Asta!$AJ:$AJ,0)),"",INDIRECT("Asta!AA"&amp;MATCH(E$3&amp;$AW68,Asta!$AJ:$AJ,0))))</f>
        <v/>
      </c>
      <c r="G68" s="9" t="str">
        <f ca="1">IF(F68="","",IF(ISNA(MATCH(E$3&amp;$AW68,Asta!$AJ:$AJ,0)),"",INDIRECT("Asta!AH"&amp;MATCH(E$3&amp;$AW68,Asta!$AJ:$AJ,0))))</f>
        <v/>
      </c>
      <c r="H68" s="9"/>
      <c r="I68" s="23">
        <f t="shared" si="46"/>
        <v>9</v>
      </c>
      <c r="J68" s="9" t="str">
        <f ca="1">IF(I68="","",IF(ISNA(MATCH(I$3&amp;$AW68,Asta!$AJ:$AJ,0)),"",INDIRECT("Asta!AA"&amp;MATCH(I$3&amp;$AW68,Asta!$AJ:$AJ,0))))</f>
        <v/>
      </c>
      <c r="K68" s="9" t="str">
        <f ca="1">IF(J68="","",IF(ISNA(MATCH(I$3&amp;$AW68,Asta!$AJ:$AJ,0)),"",INDIRECT("Asta!AH"&amp;MATCH(I$3&amp;$AW68,Asta!$AJ:$AJ,0))))</f>
        <v/>
      </c>
      <c r="L68" s="9"/>
      <c r="M68" s="23">
        <f t="shared" si="47"/>
        <v>9</v>
      </c>
      <c r="N68" s="9" t="str">
        <f ca="1">IF(M68="","",IF(ISNA(MATCH(M$3&amp;$AW68,Asta!$AJ:$AJ,0)),"",INDIRECT("Asta!AA"&amp;MATCH(M$3&amp;$AW68,Asta!$AJ:$AJ,0))))</f>
        <v/>
      </c>
      <c r="O68" s="9" t="str">
        <f ca="1">IF(N68="","",IF(ISNA(MATCH(M$3&amp;$AW68,Asta!$AJ:$AJ,0)),"",INDIRECT("Asta!AH"&amp;MATCH(M$3&amp;$AW68,Asta!$AJ:$AJ,0))))</f>
        <v/>
      </c>
      <c r="P68" s="9"/>
      <c r="Q68" s="23">
        <f t="shared" si="48"/>
        <v>9</v>
      </c>
      <c r="R68" s="9" t="str">
        <f ca="1">IF(Q68="","",IF(ISNA(MATCH(Q$3&amp;$AW68,Asta!$AJ:$AJ,0)),"",INDIRECT("Asta!AA"&amp;MATCH(Q$3&amp;$AW68,Asta!$AJ:$AJ,0))))</f>
        <v/>
      </c>
      <c r="S68" s="9" t="str">
        <f ca="1">IF(R68="","",IF(ISNA(MATCH(Q$3&amp;$AW68,Asta!$AJ:$AJ,0)),"",INDIRECT("Asta!AH"&amp;MATCH(Q$3&amp;$AW68,Asta!$AJ:$AJ,0))))</f>
        <v/>
      </c>
      <c r="T68" s="9"/>
      <c r="U68" s="23">
        <f t="shared" si="49"/>
        <v>9</v>
      </c>
      <c r="V68" s="9" t="str">
        <f ca="1">IF(U68="","",IF(ISNA(MATCH(U$3&amp;$AW68,Asta!$AJ:$AJ,0)),"",INDIRECT("Asta!AA"&amp;MATCH(U$3&amp;$AW68,Asta!$AJ:$AJ,0))))</f>
        <v/>
      </c>
      <c r="W68" s="9" t="str">
        <f ca="1">IF(V68="","",IF(ISNA(MATCH(U$3&amp;$AW68,Asta!$AJ:$AJ,0)),"",INDIRECT("Asta!AH"&amp;MATCH(U$3&amp;$AW68,Asta!$AJ:$AJ,0))))</f>
        <v/>
      </c>
      <c r="X68" s="9"/>
      <c r="Y68" s="23">
        <f t="shared" si="50"/>
        <v>9</v>
      </c>
      <c r="Z68" s="9" t="str">
        <f ca="1">IF(Y68="","",IF(ISNA(MATCH(Y$3&amp;$AW68,Asta!$AJ:$AJ,0)),"",INDIRECT("Asta!AA"&amp;MATCH(Y$3&amp;$AW68,Asta!$AJ:$AJ,0))))</f>
        <v/>
      </c>
      <c r="AA68" s="9" t="str">
        <f ca="1">IF(Z68="","",IF(ISNA(MATCH(Y$3&amp;$AW68,Asta!$AJ:$AJ,0)),"",INDIRECT("Asta!AH"&amp;MATCH(Y$3&amp;$AW68,Asta!$AJ:$AJ,0))))</f>
        <v/>
      </c>
      <c r="AB68" s="9"/>
      <c r="AC68" s="23">
        <f t="shared" si="51"/>
        <v>9</v>
      </c>
      <c r="AD68" s="9" t="str">
        <f ca="1">IF(AC68="","",IF(ISNA(MATCH(AC$3&amp;$AW68,Asta!$AJ:$AJ,0)),"",INDIRECT("Asta!AA"&amp;MATCH(AC$3&amp;$AW68,Asta!$AJ:$AJ,0))))</f>
        <v/>
      </c>
      <c r="AE68" s="9" t="str">
        <f ca="1">IF(AD68="","",IF(ISNA(MATCH(AC$3&amp;$AW68,Asta!$AJ:$AJ,0)),"",INDIRECT("Asta!AH"&amp;MATCH(AC$3&amp;$AW68,Asta!$AJ:$AJ,0))))</f>
        <v/>
      </c>
      <c r="AF68" s="9"/>
      <c r="AG68" s="23">
        <f t="shared" si="52"/>
        <v>9</v>
      </c>
      <c r="AH68" s="9" t="str">
        <f ca="1">IF(AG68="","",IF(ISNA(MATCH(AG$3&amp;$AW68,Asta!$AJ:$AJ,0)),"",INDIRECT("Asta!AA"&amp;MATCH(AG$3&amp;$AW68,Asta!$AJ:$AJ,0))))</f>
        <v/>
      </c>
      <c r="AI68" s="9" t="str">
        <f ca="1">IF(AH68="","",IF(ISNA(MATCH(AG$3&amp;$AW68,Asta!$AJ:$AJ,0)),"",INDIRECT("Asta!AH"&amp;MATCH(AG$3&amp;$AW68,Asta!$AJ:$AJ,0))))</f>
        <v/>
      </c>
      <c r="AJ68" s="9"/>
      <c r="AK68" s="23">
        <f t="shared" si="53"/>
        <v>9</v>
      </c>
      <c r="AL68" s="9" t="str">
        <f ca="1">IF(AK68="","",IF(ISNA(MATCH(AK$3&amp;$AW68,Asta!$AJ:$AJ,0)),"",INDIRECT("Asta!AA"&amp;MATCH(AK$3&amp;$AW68,Asta!$AJ:$AJ,0))))</f>
        <v/>
      </c>
      <c r="AM68" s="9" t="str">
        <f ca="1">IF(AL68="","",IF(ISNA(MATCH(AK$3&amp;$AW68,Asta!$AJ:$AJ,0)),"",INDIRECT("Asta!AH"&amp;MATCH(AK$3&amp;$AW68,Asta!$AJ:$AJ,0))))</f>
        <v/>
      </c>
      <c r="AN68" s="9"/>
      <c r="AO68" s="23">
        <f t="shared" si="54"/>
        <v>9</v>
      </c>
      <c r="AP68" s="9" t="str">
        <f ca="1">IF(AO68="","",IF(ISNA(MATCH(AO$3&amp;$AW68,Asta!$AJ:$AJ,0)),"",INDIRECT("Asta!AA"&amp;MATCH(AO$3&amp;$AW68,Asta!$AJ:$AJ,0))))</f>
        <v/>
      </c>
      <c r="AQ68" s="9" t="str">
        <f ca="1">IF(AP68="","",IF(ISNA(MATCH(AO$3&amp;$AW68,Asta!$AJ:$AJ,0)),"",INDIRECT("Asta!AH"&amp;MATCH(AO$3&amp;$AW68,Asta!$AJ:$AJ,0))))</f>
        <v/>
      </c>
      <c r="AR68" s="9"/>
      <c r="AS68" s="23">
        <f t="shared" si="55"/>
        <v>9</v>
      </c>
      <c r="AT68" s="9" t="str">
        <f ca="1">IF(AS68="","",IF(ISNA(MATCH(AS$3&amp;$AW68,Asta!$AJ:$AJ,0)),"",INDIRECT("Asta!AA"&amp;MATCH(AS$3&amp;$AW68,Asta!$AJ:$AJ,0))))</f>
        <v/>
      </c>
      <c r="AU68" s="9" t="str">
        <f ca="1">IF(AT68="","",IF(ISNA(MATCH(AS$3&amp;$AW68,Asta!$AJ:$AJ,0)),"",INDIRECT("Asta!AH"&amp;MATCH(AS$3&amp;$AW68,Asta!$AJ:$AJ,0))))</f>
        <v/>
      </c>
      <c r="AV68" s="9"/>
      <c r="AW68" s="23">
        <f t="shared" si="56"/>
        <v>9</v>
      </c>
    </row>
    <row r="69" spans="1:49" hidden="1">
      <c r="A69" s="23">
        <f t="shared" si="45"/>
        <v>10</v>
      </c>
      <c r="B69" s="9" t="str">
        <f ca="1">IF(A69="","",IF(ISNA(MATCH(A$3&amp;$AW69,Asta!$AJ:$AJ,0)),"",INDIRECT("Asta!AA"&amp;MATCH(A$3&amp;$AW69,Asta!$AJ:$AJ,0))))</f>
        <v/>
      </c>
      <c r="C69" s="9" t="str">
        <f ca="1">IF(B69="","",IF(ISNA(MATCH(A$3&amp;$AW69,Asta!$AJ:$AJ,0)),"",INDIRECT("Asta!AH"&amp;MATCH(A$3&amp;$AW69,Asta!$AJ:$AJ,0))))</f>
        <v/>
      </c>
      <c r="D69" s="9"/>
      <c r="E69" s="23">
        <f t="shared" si="33"/>
        <v>10</v>
      </c>
      <c r="F69" s="9" t="str">
        <f ca="1">IF(E69="","",IF(ISNA(MATCH(E$3&amp;$AW69,Asta!$AJ:$AJ,0)),"",INDIRECT("Asta!AA"&amp;MATCH(E$3&amp;$AW69,Asta!$AJ:$AJ,0))))</f>
        <v/>
      </c>
      <c r="G69" s="9" t="str">
        <f ca="1">IF(F69="","",IF(ISNA(MATCH(E$3&amp;$AW69,Asta!$AJ:$AJ,0)),"",INDIRECT("Asta!AH"&amp;MATCH(E$3&amp;$AW69,Asta!$AJ:$AJ,0))))</f>
        <v/>
      </c>
      <c r="H69" s="9"/>
      <c r="I69" s="23">
        <f t="shared" si="46"/>
        <v>10</v>
      </c>
      <c r="J69" s="9" t="str">
        <f ca="1">IF(I69="","",IF(ISNA(MATCH(I$3&amp;$AW69,Asta!$AJ:$AJ,0)),"",INDIRECT("Asta!AA"&amp;MATCH(I$3&amp;$AW69,Asta!$AJ:$AJ,0))))</f>
        <v/>
      </c>
      <c r="K69" s="9" t="str">
        <f ca="1">IF(J69="","",IF(ISNA(MATCH(I$3&amp;$AW69,Asta!$AJ:$AJ,0)),"",INDIRECT("Asta!AH"&amp;MATCH(I$3&amp;$AW69,Asta!$AJ:$AJ,0))))</f>
        <v/>
      </c>
      <c r="L69" s="9"/>
      <c r="M69" s="23">
        <f t="shared" si="47"/>
        <v>10</v>
      </c>
      <c r="N69" s="9" t="str">
        <f ca="1">IF(M69="","",IF(ISNA(MATCH(M$3&amp;$AW69,Asta!$AJ:$AJ,0)),"",INDIRECT("Asta!AA"&amp;MATCH(M$3&amp;$AW69,Asta!$AJ:$AJ,0))))</f>
        <v/>
      </c>
      <c r="O69" s="9" t="str">
        <f ca="1">IF(N69="","",IF(ISNA(MATCH(M$3&amp;$AW69,Asta!$AJ:$AJ,0)),"",INDIRECT("Asta!AH"&amp;MATCH(M$3&amp;$AW69,Asta!$AJ:$AJ,0))))</f>
        <v/>
      </c>
      <c r="P69" s="9"/>
      <c r="Q69" s="23">
        <f t="shared" si="48"/>
        <v>10</v>
      </c>
      <c r="R69" s="9" t="str">
        <f ca="1">IF(Q69="","",IF(ISNA(MATCH(Q$3&amp;$AW69,Asta!$AJ:$AJ,0)),"",INDIRECT("Asta!AA"&amp;MATCH(Q$3&amp;$AW69,Asta!$AJ:$AJ,0))))</f>
        <v/>
      </c>
      <c r="S69" s="9" t="str">
        <f ca="1">IF(R69="","",IF(ISNA(MATCH(Q$3&amp;$AW69,Asta!$AJ:$AJ,0)),"",INDIRECT("Asta!AH"&amp;MATCH(Q$3&amp;$AW69,Asta!$AJ:$AJ,0))))</f>
        <v/>
      </c>
      <c r="T69" s="9"/>
      <c r="U69" s="23">
        <f t="shared" si="49"/>
        <v>10</v>
      </c>
      <c r="V69" s="9" t="str">
        <f ca="1">IF(U69="","",IF(ISNA(MATCH(U$3&amp;$AW69,Asta!$AJ:$AJ,0)),"",INDIRECT("Asta!AA"&amp;MATCH(U$3&amp;$AW69,Asta!$AJ:$AJ,0))))</f>
        <v/>
      </c>
      <c r="W69" s="9" t="str">
        <f ca="1">IF(V69="","",IF(ISNA(MATCH(U$3&amp;$AW69,Asta!$AJ:$AJ,0)),"",INDIRECT("Asta!AH"&amp;MATCH(U$3&amp;$AW69,Asta!$AJ:$AJ,0))))</f>
        <v/>
      </c>
      <c r="X69" s="9"/>
      <c r="Y69" s="23">
        <f t="shared" si="50"/>
        <v>10</v>
      </c>
      <c r="Z69" s="9" t="str">
        <f ca="1">IF(Y69="","",IF(ISNA(MATCH(Y$3&amp;$AW69,Asta!$AJ:$AJ,0)),"",INDIRECT("Asta!AA"&amp;MATCH(Y$3&amp;$AW69,Asta!$AJ:$AJ,0))))</f>
        <v/>
      </c>
      <c r="AA69" s="9" t="str">
        <f ca="1">IF(Z69="","",IF(ISNA(MATCH(Y$3&amp;$AW69,Asta!$AJ:$AJ,0)),"",INDIRECT("Asta!AH"&amp;MATCH(Y$3&amp;$AW69,Asta!$AJ:$AJ,0))))</f>
        <v/>
      </c>
      <c r="AB69" s="9"/>
      <c r="AC69" s="23">
        <f t="shared" si="51"/>
        <v>10</v>
      </c>
      <c r="AD69" s="9" t="str">
        <f ca="1">IF(AC69="","",IF(ISNA(MATCH(AC$3&amp;$AW69,Asta!$AJ:$AJ,0)),"",INDIRECT("Asta!AA"&amp;MATCH(AC$3&amp;$AW69,Asta!$AJ:$AJ,0))))</f>
        <v/>
      </c>
      <c r="AE69" s="9" t="str">
        <f ca="1">IF(AD69="","",IF(ISNA(MATCH(AC$3&amp;$AW69,Asta!$AJ:$AJ,0)),"",INDIRECT("Asta!AH"&amp;MATCH(AC$3&amp;$AW69,Asta!$AJ:$AJ,0))))</f>
        <v/>
      </c>
      <c r="AF69" s="9"/>
      <c r="AG69" s="23">
        <f t="shared" si="52"/>
        <v>10</v>
      </c>
      <c r="AH69" s="9" t="str">
        <f ca="1">IF(AG69="","",IF(ISNA(MATCH(AG$3&amp;$AW69,Asta!$AJ:$AJ,0)),"",INDIRECT("Asta!AA"&amp;MATCH(AG$3&amp;$AW69,Asta!$AJ:$AJ,0))))</f>
        <v/>
      </c>
      <c r="AI69" s="9" t="str">
        <f ca="1">IF(AH69="","",IF(ISNA(MATCH(AG$3&amp;$AW69,Asta!$AJ:$AJ,0)),"",INDIRECT("Asta!AH"&amp;MATCH(AG$3&amp;$AW69,Asta!$AJ:$AJ,0))))</f>
        <v/>
      </c>
      <c r="AJ69" s="9"/>
      <c r="AK69" s="23">
        <f t="shared" si="53"/>
        <v>10</v>
      </c>
      <c r="AL69" s="9" t="str">
        <f ca="1">IF(AK69="","",IF(ISNA(MATCH(AK$3&amp;$AW69,Asta!$AJ:$AJ,0)),"",INDIRECT("Asta!AA"&amp;MATCH(AK$3&amp;$AW69,Asta!$AJ:$AJ,0))))</f>
        <v/>
      </c>
      <c r="AM69" s="9" t="str">
        <f ca="1">IF(AL69="","",IF(ISNA(MATCH(AK$3&amp;$AW69,Asta!$AJ:$AJ,0)),"",INDIRECT("Asta!AH"&amp;MATCH(AK$3&amp;$AW69,Asta!$AJ:$AJ,0))))</f>
        <v/>
      </c>
      <c r="AN69" s="9"/>
      <c r="AO69" s="23">
        <f t="shared" si="54"/>
        <v>10</v>
      </c>
      <c r="AP69" s="9" t="str">
        <f ca="1">IF(AO69="","",IF(ISNA(MATCH(AO$3&amp;$AW69,Asta!$AJ:$AJ,0)),"",INDIRECT("Asta!AA"&amp;MATCH(AO$3&amp;$AW69,Asta!$AJ:$AJ,0))))</f>
        <v/>
      </c>
      <c r="AQ69" s="9" t="str">
        <f ca="1">IF(AP69="","",IF(ISNA(MATCH(AO$3&amp;$AW69,Asta!$AJ:$AJ,0)),"",INDIRECT("Asta!AH"&amp;MATCH(AO$3&amp;$AW69,Asta!$AJ:$AJ,0))))</f>
        <v/>
      </c>
      <c r="AR69" s="9"/>
      <c r="AS69" s="23">
        <f t="shared" si="55"/>
        <v>10</v>
      </c>
      <c r="AT69" s="9" t="str">
        <f ca="1">IF(AS69="","",IF(ISNA(MATCH(AS$3&amp;$AW69,Asta!$AJ:$AJ,0)),"",INDIRECT("Asta!AA"&amp;MATCH(AS$3&amp;$AW69,Asta!$AJ:$AJ,0))))</f>
        <v/>
      </c>
      <c r="AU69" s="9" t="str">
        <f ca="1">IF(AT69="","",IF(ISNA(MATCH(AS$3&amp;$AW69,Asta!$AJ:$AJ,0)),"",INDIRECT("Asta!AH"&amp;MATCH(AS$3&amp;$AW69,Asta!$AJ:$AJ,0))))</f>
        <v/>
      </c>
      <c r="AV69" s="9"/>
      <c r="AW69" s="23">
        <f t="shared" si="56"/>
        <v>10</v>
      </c>
    </row>
    <row r="70" spans="1:49" hidden="1">
      <c r="B70" s="24" t="str">
        <f>"Totale "&amp;A49</f>
        <v>Totale Trattative</v>
      </c>
      <c r="C70" s="25">
        <f ca="1">SUM(C50:C69)</f>
        <v>0</v>
      </c>
      <c r="D70" s="16"/>
      <c r="F70" s="24" t="str">
        <f>"Totale "&amp;F49</f>
        <v xml:space="preserve">Totale </v>
      </c>
      <c r="G70" s="25">
        <f ca="1">SUM(G50:G69)</f>
        <v>0</v>
      </c>
      <c r="H70" s="16"/>
      <c r="J70" s="24" t="str">
        <f>"Totale "&amp;J49</f>
        <v xml:space="preserve">Totale </v>
      </c>
      <c r="K70" s="25">
        <f ca="1">SUM(K50:K69)</f>
        <v>0</v>
      </c>
      <c r="L70" s="16"/>
      <c r="M70" s="24"/>
      <c r="N70" s="24" t="str">
        <f>"Totale "&amp;M49</f>
        <v>Totale Trattative</v>
      </c>
      <c r="O70" s="25">
        <f ca="1">SUM(O50:O69)</f>
        <v>0</v>
      </c>
      <c r="P70" s="16"/>
      <c r="R70" s="24" t="str">
        <f>"Totale "&amp;R49</f>
        <v xml:space="preserve">Totale </v>
      </c>
      <c r="S70" s="25">
        <f ca="1">SUM(S50:S69)</f>
        <v>0</v>
      </c>
      <c r="T70" s="16"/>
      <c r="V70" s="24" t="str">
        <f>"Totale "&amp;V49</f>
        <v xml:space="preserve">Totale </v>
      </c>
      <c r="W70" s="25">
        <f ca="1">SUM(W50:W69)</f>
        <v>0</v>
      </c>
      <c r="X70" s="16"/>
      <c r="Z70" s="24" t="str">
        <f>"Totale "&amp;Z49</f>
        <v xml:space="preserve">Totale </v>
      </c>
      <c r="AA70" s="25">
        <f ca="1">SUM(AA50:AA69)</f>
        <v>0</v>
      </c>
      <c r="AB70" s="16"/>
      <c r="AD70" s="24" t="str">
        <f>"Totale "&amp;AD49</f>
        <v xml:space="preserve">Totale </v>
      </c>
      <c r="AE70" s="25">
        <f ca="1">SUM(AE50:AE69)</f>
        <v>0</v>
      </c>
      <c r="AF70" s="16"/>
      <c r="AH70" s="24" t="str">
        <f>"Totale "&amp;AH49</f>
        <v xml:space="preserve">Totale </v>
      </c>
      <c r="AI70" s="25">
        <f ca="1">SUM(AI50:AI69)</f>
        <v>0</v>
      </c>
      <c r="AJ70" s="16"/>
      <c r="AL70" s="24" t="str">
        <f>"Totale "&amp;AL49</f>
        <v xml:space="preserve">Totale </v>
      </c>
      <c r="AM70" s="25">
        <f ca="1">SUM(AM50:AM69)</f>
        <v>0</v>
      </c>
      <c r="AN70" s="16"/>
      <c r="AP70" s="24" t="str">
        <f>"Totale "&amp;AP49</f>
        <v xml:space="preserve">Totale </v>
      </c>
      <c r="AQ70" s="25">
        <f ca="1">SUM(AQ50:AQ69)</f>
        <v>0</v>
      </c>
      <c r="AR70" s="16"/>
      <c r="AT70" s="24" t="str">
        <f>"Totale "&amp;AT49</f>
        <v xml:space="preserve">Totale </v>
      </c>
      <c r="AU70" s="25">
        <f ca="1">SUM(AU50:AU69)</f>
        <v>0</v>
      </c>
      <c r="AV70" s="16"/>
    </row>
  </sheetData>
  <sheetProtection selectLockedCells="1"/>
  <mergeCells count="95">
    <mergeCell ref="AS2:AU2"/>
    <mergeCell ref="A2:C2"/>
    <mergeCell ref="E2:G2"/>
    <mergeCell ref="I2:K2"/>
    <mergeCell ref="M2:O2"/>
    <mergeCell ref="Q2:S2"/>
    <mergeCell ref="U2:W2"/>
    <mergeCell ref="Y2:AA2"/>
    <mergeCell ref="AC2:AE2"/>
    <mergeCell ref="AG2:AI2"/>
    <mergeCell ref="AK2:AM2"/>
    <mergeCell ref="AO2:AQ2"/>
    <mergeCell ref="AS3:AU3"/>
    <mergeCell ref="A3:C3"/>
    <mergeCell ref="E3:G3"/>
    <mergeCell ref="I3:K3"/>
    <mergeCell ref="M3:O3"/>
    <mergeCell ref="Q3:S3"/>
    <mergeCell ref="U3:W3"/>
    <mergeCell ref="Y3:AA3"/>
    <mergeCell ref="AC3:AE3"/>
    <mergeCell ref="AG3:AI3"/>
    <mergeCell ref="AK3:AM3"/>
    <mergeCell ref="AO3:AQ3"/>
    <mergeCell ref="AS4:AU4"/>
    <mergeCell ref="A4:C4"/>
    <mergeCell ref="E4:G4"/>
    <mergeCell ref="I4:K4"/>
    <mergeCell ref="M4:O4"/>
    <mergeCell ref="Q4:S4"/>
    <mergeCell ref="U4:W4"/>
    <mergeCell ref="Y4:AA4"/>
    <mergeCell ref="AC4:AE4"/>
    <mergeCell ref="AG4:AI4"/>
    <mergeCell ref="AK4:AM4"/>
    <mergeCell ref="AO4:AQ4"/>
    <mergeCell ref="AS8:AU8"/>
    <mergeCell ref="A8:C8"/>
    <mergeCell ref="E8:G8"/>
    <mergeCell ref="I8:K8"/>
    <mergeCell ref="M8:O8"/>
    <mergeCell ref="Q8:S8"/>
    <mergeCell ref="U8:W8"/>
    <mergeCell ref="Y8:AA8"/>
    <mergeCell ref="AC8:AE8"/>
    <mergeCell ref="AG8:AI8"/>
    <mergeCell ref="AK8:AM8"/>
    <mergeCell ref="AO8:AQ8"/>
    <mergeCell ref="AS19:AU19"/>
    <mergeCell ref="A19:C19"/>
    <mergeCell ref="E19:G19"/>
    <mergeCell ref="I19:K19"/>
    <mergeCell ref="M19:O19"/>
    <mergeCell ref="Q19:S19"/>
    <mergeCell ref="U19:W19"/>
    <mergeCell ref="Y19:AA19"/>
    <mergeCell ref="AC19:AE19"/>
    <mergeCell ref="AG19:AI19"/>
    <mergeCell ref="AK19:AM19"/>
    <mergeCell ref="AO19:AQ19"/>
    <mergeCell ref="AK30:AM30"/>
    <mergeCell ref="AO30:AQ30"/>
    <mergeCell ref="AS30:AU30"/>
    <mergeCell ref="A30:C30"/>
    <mergeCell ref="E30:G30"/>
    <mergeCell ref="I30:K30"/>
    <mergeCell ref="M30:O30"/>
    <mergeCell ref="Q30:S30"/>
    <mergeCell ref="U30:W30"/>
    <mergeCell ref="Y40:AA40"/>
    <mergeCell ref="AC40:AE40"/>
    <mergeCell ref="Y30:AA30"/>
    <mergeCell ref="AC30:AE30"/>
    <mergeCell ref="AG30:AI30"/>
    <mergeCell ref="A40:C40"/>
    <mergeCell ref="E40:G40"/>
    <mergeCell ref="I40:K40"/>
    <mergeCell ref="Q40:S40"/>
    <mergeCell ref="U40:W40"/>
    <mergeCell ref="AO49:AQ49"/>
    <mergeCell ref="AS49:AU49"/>
    <mergeCell ref="AG40:AI40"/>
    <mergeCell ref="AK40:AM40"/>
    <mergeCell ref="AO40:AQ40"/>
    <mergeCell ref="AS40:AU40"/>
    <mergeCell ref="A49:C49"/>
    <mergeCell ref="Y49:AA49"/>
    <mergeCell ref="AC49:AE49"/>
    <mergeCell ref="AG49:AI49"/>
    <mergeCell ref="AK49:AM49"/>
    <mergeCell ref="U49:W49"/>
    <mergeCell ref="Q49:S49"/>
    <mergeCell ref="M49:O49"/>
    <mergeCell ref="I49:K49"/>
    <mergeCell ref="E49:G49"/>
  </mergeCells>
  <conditionalFormatting sqref="B5:B7 B9:B18 B20:B29 B31:B38 F9:F18 F20:F29 F31:F38 J9:J18 J20:J29 J31:J38 R9:R18 R20:R29 R31:R38 V9:V18 V20:V29 V31:V38 Z9:Z18 Z20:Z29 Z31:Z38 AD9:AD18 AD20:AD29 AD31:AD38 AH9:AH18 AH20:AH29 AH31:AH38 AL9:AL18 AL20:AL29 AL31:AL38 AP9:AP18 AP20:AP29 AP31:AP38 AT9:AT18 AT20:AT29 AT31:AT38 N9:N18 N20:N29 N31:N38">
    <cfRule type="expression" dxfId="389" priority="83" stopIfTrue="1">
      <formula>A$3=$AW$3</formula>
    </cfRule>
  </conditionalFormatting>
  <conditionalFormatting sqref="AU9:AV18 AQ9:AR18 AM9:AN18 AI9:AJ18 AE9:AF18 AA9:AB18 W9:X18 S9:T18 O9:P18 K9:L18 G9:H18 C5:D7 C9:D18 C20:D29 C31:D38 G20:H29 G31:H38 K20:L29 K31:L38 O20:P29 O31:P38 S20:T29 S31:T38 W20:X29 W31:X38 AA20:AB29 AA31:AB38 AE20:AF29 AE31:AF38 AI20:AJ29 AI31:AJ38 AM20:AN29 AM31:AN38 AQ20:AR29 AQ31:AR38 AU20:AV29 AU31:AV38 G5:H7 K5:L7 O5:P7 S5:T7 W5:X7 AA5:AB7 AE5:AF7 AI5:AJ7 AM5:AN7 AQ5:AR7">
    <cfRule type="expression" dxfId="388" priority="82" stopIfTrue="1">
      <formula>A$3=$AW$3</formula>
    </cfRule>
  </conditionalFormatting>
  <conditionalFormatting sqref="F5:F7">
    <cfRule type="expression" dxfId="387" priority="79" stopIfTrue="1">
      <formula>E$3=$AW$3</formula>
    </cfRule>
  </conditionalFormatting>
  <conditionalFormatting sqref="J5:J7">
    <cfRule type="expression" dxfId="386" priority="75" stopIfTrue="1">
      <formula>I$3=$AW$3</formula>
    </cfRule>
  </conditionalFormatting>
  <conditionalFormatting sqref="R5:R7">
    <cfRule type="expression" dxfId="385" priority="68" stopIfTrue="1">
      <formula>Q$3=$AW$3</formula>
    </cfRule>
  </conditionalFormatting>
  <conditionalFormatting sqref="V5:V7">
    <cfRule type="expression" dxfId="384" priority="64" stopIfTrue="1">
      <formula>U$3=$AW$3</formula>
    </cfRule>
  </conditionalFormatting>
  <conditionalFormatting sqref="Z5:Z7">
    <cfRule type="expression" dxfId="383" priority="60" stopIfTrue="1">
      <formula>Y$3=$AW$3</formula>
    </cfRule>
  </conditionalFormatting>
  <conditionalFormatting sqref="AD5:AD7">
    <cfRule type="expression" dxfId="382" priority="56" stopIfTrue="1">
      <formula>AC$3=$AW$3</formula>
    </cfRule>
  </conditionalFormatting>
  <conditionalFormatting sqref="AH5:AH7">
    <cfRule type="expression" dxfId="381" priority="52" stopIfTrue="1">
      <formula>AG$3=$AW$3</formula>
    </cfRule>
  </conditionalFormatting>
  <conditionalFormatting sqref="AL5:AL7">
    <cfRule type="expression" dxfId="380" priority="48" stopIfTrue="1">
      <formula>AK$3=$AW$3</formula>
    </cfRule>
  </conditionalFormatting>
  <conditionalFormatting sqref="AP5:AP7">
    <cfRule type="expression" dxfId="379" priority="44" stopIfTrue="1">
      <formula>AO$3=$AW$3</formula>
    </cfRule>
  </conditionalFormatting>
  <conditionalFormatting sqref="AT5:AT7">
    <cfRule type="expression" dxfId="378" priority="40" stopIfTrue="1">
      <formula>AS$3=$AW$3</formula>
    </cfRule>
  </conditionalFormatting>
  <conditionalFormatting sqref="AU5:AV7">
    <cfRule type="expression" dxfId="377" priority="39" stopIfTrue="1">
      <formula>AS$3=$AW$3</formula>
    </cfRule>
  </conditionalFormatting>
  <conditionalFormatting sqref="N5:N7">
    <cfRule type="expression" dxfId="376" priority="84" stopIfTrue="1">
      <formula>M$3=$AW$3</formula>
    </cfRule>
  </conditionalFormatting>
  <conditionalFormatting sqref="A5:AV7 A9:AV18 A20:AV29 A31:AV38">
    <cfRule type="expression" dxfId="375" priority="36" stopIfTrue="1">
      <formula>$A5=""</formula>
    </cfRule>
  </conditionalFormatting>
  <pageMargins left="0.11805555555555555" right="0.11805555555555555" top="0.11805555555555555" bottom="0.11805555555555555" header="0.51180555555555551" footer="0.51180555555555551"/>
  <pageSetup paperSize="9" firstPageNumber="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27">
    <tabColor rgb="FF333333"/>
  </sheetPr>
  <dimension ref="A1:AD209"/>
  <sheetViews>
    <sheetView zoomScale="90" zoomScaleNormal="90" workbookViewId="0">
      <pane ySplit="2" topLeftCell="A3" activePane="bottomLeft" state="frozen"/>
      <selection pane="bottomLeft" activeCell="A5" sqref="A5"/>
    </sheetView>
  </sheetViews>
  <sheetFormatPr defaultRowHeight="12.75"/>
  <cols>
    <col min="1" max="1" width="17" bestFit="1" customWidth="1"/>
    <col min="2" max="2" width="16.85546875" customWidth="1"/>
    <col min="3" max="3" width="13.85546875" customWidth="1"/>
    <col min="4" max="4" width="15" customWidth="1"/>
    <col min="5" max="5" width="16.85546875" customWidth="1"/>
    <col min="6" max="6" width="13.85546875" customWidth="1"/>
    <col min="7" max="7" width="19.85546875" customWidth="1"/>
    <col min="8" max="8" width="16.85546875" customWidth="1"/>
    <col min="9" max="9" width="13.85546875" customWidth="1"/>
    <col min="10" max="10" width="12.7109375" customWidth="1"/>
    <col min="11" max="11" width="16.85546875" customWidth="1"/>
    <col min="12" max="12" width="13.85546875" customWidth="1"/>
    <col min="13" max="13" width="15.7109375" bestFit="1" customWidth="1"/>
    <col min="14" max="14" width="16.85546875" customWidth="1"/>
    <col min="15" max="15" width="13.85546875" customWidth="1"/>
    <col min="17" max="23" width="8.85546875" customWidth="1"/>
    <col min="25" max="31" width="8.85546875" customWidth="1"/>
  </cols>
  <sheetData>
    <row r="1" spans="1:30" ht="18" customHeight="1">
      <c r="A1" s="541" t="s">
        <v>290</v>
      </c>
      <c r="B1" s="541"/>
      <c r="C1" s="541"/>
      <c r="D1" s="541" t="s">
        <v>291</v>
      </c>
      <c r="E1" s="541"/>
      <c r="F1" s="541"/>
      <c r="G1" s="541" t="s">
        <v>292</v>
      </c>
      <c r="H1" s="541"/>
      <c r="I1" s="541"/>
      <c r="J1" s="541" t="s">
        <v>293</v>
      </c>
      <c r="K1" s="541"/>
      <c r="L1" s="541"/>
      <c r="M1" s="541" t="s">
        <v>294</v>
      </c>
      <c r="N1" s="541"/>
      <c r="O1" s="541"/>
    </row>
    <row r="2" spans="1:30" ht="14.25">
      <c r="A2" s="225" t="s">
        <v>295</v>
      </c>
      <c r="B2" s="226" t="s">
        <v>296</v>
      </c>
      <c r="C2" s="225" t="s">
        <v>297</v>
      </c>
      <c r="D2" s="225" t="s">
        <v>295</v>
      </c>
      <c r="E2" s="226" t="s">
        <v>296</v>
      </c>
      <c r="F2" s="225" t="s">
        <v>297</v>
      </c>
      <c r="G2" s="225" t="s">
        <v>295</v>
      </c>
      <c r="H2" s="226" t="s">
        <v>296</v>
      </c>
      <c r="I2" s="225" t="s">
        <v>297</v>
      </c>
      <c r="J2" s="225" t="s">
        <v>295</v>
      </c>
      <c r="K2" s="226" t="s">
        <v>296</v>
      </c>
      <c r="L2" s="225" t="s">
        <v>297</v>
      </c>
      <c r="M2" s="225" t="s">
        <v>295</v>
      </c>
      <c r="N2" s="226" t="s">
        <v>296</v>
      </c>
      <c r="O2" s="225" t="s">
        <v>297</v>
      </c>
    </row>
    <row r="3" spans="1:30">
      <c r="A3" s="228" t="str">
        <f ca="1">IF(Giocatori!E9=0,"",Giocatori!E9)</f>
        <v>ALISSON</v>
      </c>
      <c r="B3" s="229" t="str">
        <f ca="1">IF(Giocatori!F9=0,"",Giocatori!F9)</f>
        <v>Roma</v>
      </c>
      <c r="C3" s="229" t="str">
        <f ca="1">IF(Giocatori!D9=0,"",Giocatori!D9)</f>
        <v>P</v>
      </c>
      <c r="D3" s="228" t="str">
        <f ca="1">IF(Giocatori!H9=0,"",Giocatori!H9)</f>
        <v>ABATE</v>
      </c>
      <c r="E3" s="229" t="str">
        <f ca="1">IF(Giocatori!I9=0,"",Giocatori!I9)</f>
        <v>Milan</v>
      </c>
      <c r="F3" s="229" t="str">
        <f ca="1">IF(Giocatori!G9=0,"",Giocatori!G9)</f>
        <v>D</v>
      </c>
      <c r="G3" s="228" t="str">
        <f ca="1">IF(Giocatori!K9=0,"",Giocatori!K9)</f>
        <v>ACQUAH</v>
      </c>
      <c r="H3" s="229" t="str">
        <f ca="1">IF(Giocatori!L9=0,"",Giocatori!L9)</f>
        <v>Torino</v>
      </c>
      <c r="I3" s="229" t="str">
        <f ca="1">IF(Giocatori!J9=0,"",Giocatori!J9)</f>
        <v>C</v>
      </c>
      <c r="J3" s="228" t="str">
        <f ca="1">IF(Giocatori!Q9=0,"",Giocatori!Q9)</f>
        <v/>
      </c>
      <c r="K3" s="229" t="str">
        <f ca="1">IF(Giocatori!R9=0,"",Giocatori!R9)</f>
        <v/>
      </c>
      <c r="L3" s="229" t="str">
        <f ca="1">IF(Giocatori!P9=0,"",Giocatori!P9)</f>
        <v/>
      </c>
      <c r="M3" s="228" t="str">
        <f ca="1">IF(Giocatori!N9=0,"",Giocatori!N9)</f>
        <v>ANDRE' SILVA</v>
      </c>
      <c r="N3" s="229" t="str">
        <f ca="1">IF(Giocatori!O9=0,"",Giocatori!O9)</f>
        <v>Milan</v>
      </c>
      <c r="O3" s="229" t="str">
        <f ca="1">IF(Giocatori!M9=0,"",Giocatori!M9)</f>
        <v>A</v>
      </c>
    </row>
    <row r="4" spans="1:30">
      <c r="A4" s="228" t="str">
        <f ca="1">IF(Giocatori!E10=0,"",Giocatori!E10)</f>
        <v>BELEC</v>
      </c>
      <c r="B4" s="229" t="str">
        <f ca="1">IF(Giocatori!F10=0,"",Giocatori!F10)</f>
        <v>Benevento</v>
      </c>
      <c r="C4" s="229" t="str">
        <f ca="1">IF(Giocatori!D10=0,"",Giocatori!D10)</f>
        <v>P</v>
      </c>
      <c r="D4" s="228" t="str">
        <f ca="1">IF(Giocatori!H10=0,"",Giocatori!H10)</f>
        <v>ACERBI</v>
      </c>
      <c r="E4" s="229" t="str">
        <f ca="1">IF(Giocatori!I10=0,"",Giocatori!I10)</f>
        <v>Sassuolo</v>
      </c>
      <c r="F4" s="229" t="str">
        <f ca="1">IF(Giocatori!G10=0,"",Giocatori!G10)</f>
        <v>D</v>
      </c>
      <c r="G4" s="228" t="str">
        <f ca="1">IF(Giocatori!K10=0,"",Giocatori!K10)</f>
        <v>ALLAN</v>
      </c>
      <c r="H4" s="229" t="str">
        <f ca="1">IF(Giocatori!L10=0,"",Giocatori!L10)</f>
        <v>Napoli</v>
      </c>
      <c r="I4" s="229" t="str">
        <f ca="1">IF(Giocatori!J10=0,"",Giocatori!J10)</f>
        <v>C</v>
      </c>
      <c r="J4" s="228" t="str">
        <f ca="1">IF(Giocatori!Q10=0,"",Giocatori!Q10)</f>
        <v/>
      </c>
      <c r="K4" s="229" t="str">
        <f ca="1">IF(Giocatori!R10=0,"",Giocatori!R10)</f>
        <v/>
      </c>
      <c r="L4" s="229" t="str">
        <f ca="1">IF(Giocatori!P10=0,"",Giocatori!P10)</f>
        <v/>
      </c>
      <c r="M4" s="228" t="str">
        <f ca="1">IF(Giocatori!N10=0,"",Giocatori!N10)</f>
        <v>ANTENUCCI</v>
      </c>
      <c r="N4" s="229" t="str">
        <f ca="1">IF(Giocatori!O10=0,"",Giocatori!O10)</f>
        <v>SPAL</v>
      </c>
      <c r="O4" s="229" t="str">
        <f ca="1">IF(Giocatori!M10=0,"",Giocatori!M10)</f>
        <v>A</v>
      </c>
    </row>
    <row r="5" spans="1:30">
      <c r="A5" s="228" t="str">
        <f ca="1">IF(Giocatori!E11=0,"",Giocatori!E11)</f>
        <v>BERISHA</v>
      </c>
      <c r="B5" s="229" t="str">
        <f ca="1">IF(Giocatori!F11=0,"",Giocatori!F11)</f>
        <v>Atalanta</v>
      </c>
      <c r="C5" s="229" t="str">
        <f ca="1">IF(Giocatori!D11=0,"",Giocatori!D11)</f>
        <v>P</v>
      </c>
      <c r="D5" s="228" t="str">
        <f ca="1">IF(Giocatori!H11=0,"",Giocatori!H11)</f>
        <v>ADJAPONG</v>
      </c>
      <c r="E5" s="229" t="str">
        <f ca="1">IF(Giocatori!I11=0,"",Giocatori!I11)</f>
        <v>Sassuolo</v>
      </c>
      <c r="F5" s="229" t="str">
        <f ca="1">IF(Giocatori!G11=0,"",Giocatori!G11)</f>
        <v>D</v>
      </c>
      <c r="G5" s="228" t="str">
        <f ca="1">IF(Giocatori!K11=0,"",Giocatori!K11)</f>
        <v>ALVAREZ R</v>
      </c>
      <c r="H5" s="229" t="str">
        <f ca="1">IF(Giocatori!L11=0,"",Giocatori!L11)</f>
        <v>Sampdoria</v>
      </c>
      <c r="I5" s="229" t="str">
        <f ca="1">IF(Giocatori!J11=0,"",Giocatori!J11)</f>
        <v>C</v>
      </c>
      <c r="J5" s="228" t="str">
        <f ca="1">IF(Giocatori!Q11=0,"",Giocatori!Q11)</f>
        <v/>
      </c>
      <c r="K5" s="229" t="str">
        <f ca="1">IF(Giocatori!R11=0,"",Giocatori!R11)</f>
        <v/>
      </c>
      <c r="L5" s="229" t="str">
        <f ca="1">IF(Giocatori!P11=0,"",Giocatori!P11)</f>
        <v/>
      </c>
      <c r="M5" s="228" t="str">
        <f ca="1">IF(Giocatori!N11=0,"",Giocatori!N11)</f>
        <v>ARMENTEROS</v>
      </c>
      <c r="N5" s="229" t="str">
        <f ca="1">IF(Giocatori!O11=0,"",Giocatori!O11)</f>
        <v>Benevento</v>
      </c>
      <c r="O5" s="229" t="str">
        <f ca="1">IF(Giocatori!M11=0,"",Giocatori!M11)</f>
        <v>A</v>
      </c>
      <c r="Z5" s="56" t="str">
        <f ca="1">'I.A. + Fasce'!AC5</f>
        <v/>
      </c>
      <c r="AA5" s="56" t="str">
        <f ca="1">'I.A. + Fasce'!AD5</f>
        <v/>
      </c>
      <c r="AB5" s="56" t="str">
        <f ca="1">'I.A. + Fasce'!AE5</f>
        <v/>
      </c>
      <c r="AC5" s="56" t="str">
        <f ca="1">'I.A. + Fasce'!AF5</f>
        <v/>
      </c>
      <c r="AD5" s="56" t="str">
        <f ca="1">'I.A. + Fasce'!AG5</f>
        <v/>
      </c>
    </row>
    <row r="6" spans="1:30">
      <c r="A6" s="228" t="str">
        <f ca="1">IF(Giocatori!E12=0,"",Giocatori!E12)</f>
        <v>BERNI</v>
      </c>
      <c r="B6" s="229" t="str">
        <f ca="1">IF(Giocatori!F12=0,"",Giocatori!F12)</f>
        <v>Inter</v>
      </c>
      <c r="C6" s="229" t="str">
        <f ca="1">IF(Giocatori!D12=0,"",Giocatori!D12)</f>
        <v>P</v>
      </c>
      <c r="D6" s="228" t="str">
        <f ca="1">IF(Giocatori!H12=0,"",Giocatori!H12)</f>
        <v>ADNAN</v>
      </c>
      <c r="E6" s="229" t="str">
        <f ca="1">IF(Giocatori!I12=0,"",Giocatori!I12)</f>
        <v>Udinese</v>
      </c>
      <c r="F6" s="229" t="str">
        <f ca="1">IF(Giocatori!G12=0,"",Giocatori!G12)</f>
        <v>D</v>
      </c>
      <c r="G6" s="228" t="str">
        <f ca="1">IF(Giocatori!K12=0,"",Giocatori!K12)</f>
        <v>BADELJ</v>
      </c>
      <c r="H6" s="229" t="str">
        <f ca="1">IF(Giocatori!L12=0,"",Giocatori!L12)</f>
        <v>Fiorentina</v>
      </c>
      <c r="I6" s="229" t="str">
        <f ca="1">IF(Giocatori!J12=0,"",Giocatori!J12)</f>
        <v>C</v>
      </c>
      <c r="J6" s="228" t="str">
        <f ca="1">IF(Giocatori!Q12=0,"",Giocatori!Q12)</f>
        <v/>
      </c>
      <c r="K6" s="229" t="str">
        <f ca="1">IF(Giocatori!R12=0,"",Giocatori!R12)</f>
        <v/>
      </c>
      <c r="L6" s="229" t="str">
        <f ca="1">IF(Giocatori!P12=0,"",Giocatori!P12)</f>
        <v/>
      </c>
      <c r="M6" s="228" t="str">
        <f ca="1">IF(Giocatori!N12=0,"",Giocatori!N12)</f>
        <v>BABACAR</v>
      </c>
      <c r="N6" s="229" t="str">
        <f ca="1">IF(Giocatori!O12=0,"",Giocatori!O12)</f>
        <v>Fiorentina</v>
      </c>
      <c r="O6" s="229" t="str">
        <f ca="1">IF(Giocatori!M12=0,"",Giocatori!M12)</f>
        <v>A</v>
      </c>
      <c r="Z6" s="56" t="str">
        <f ca="1">'I.A. + Fasce'!AC6</f>
        <v/>
      </c>
      <c r="AA6" s="56" t="str">
        <f ca="1">'I.A. + Fasce'!AD6</f>
        <v/>
      </c>
      <c r="AB6" s="56" t="str">
        <f ca="1">'I.A. + Fasce'!AE6</f>
        <v/>
      </c>
      <c r="AC6" s="56" t="str">
        <f ca="1">'I.A. + Fasce'!AF6</f>
        <v/>
      </c>
      <c r="AD6" s="56" t="str">
        <f ca="1">'I.A. + Fasce'!AG6</f>
        <v/>
      </c>
    </row>
    <row r="7" spans="1:30">
      <c r="A7" s="228" t="str">
        <f ca="1">IF(Giocatori!E13=0,"",Giocatori!E13)</f>
        <v>BIZZARRI</v>
      </c>
      <c r="B7" s="229" t="str">
        <f ca="1">IF(Giocatori!F13=0,"",Giocatori!F13)</f>
        <v>Udinese</v>
      </c>
      <c r="C7" s="229" t="str">
        <f ca="1">IF(Giocatori!D13=0,"",Giocatori!D13)</f>
        <v>P</v>
      </c>
      <c r="D7" s="228" t="str">
        <f ca="1">IF(Giocatori!H13=0,"",Giocatori!H13)</f>
        <v>AJETI</v>
      </c>
      <c r="E7" s="229" t="str">
        <f ca="1">IF(Giocatori!I13=0,"",Giocatori!I13)</f>
        <v>Crotone</v>
      </c>
      <c r="F7" s="229" t="str">
        <f ca="1">IF(Giocatori!G13=0,"",Giocatori!G13)</f>
        <v>D</v>
      </c>
      <c r="G7" s="228" t="str">
        <f ca="1">IF(Giocatori!K13=0,"",Giocatori!K13)</f>
        <v>BALIC</v>
      </c>
      <c r="H7" s="229" t="str">
        <f ca="1">IF(Giocatori!L13=0,"",Giocatori!L13)</f>
        <v>Udinese</v>
      </c>
      <c r="I7" s="229" t="str">
        <f ca="1">IF(Giocatori!J13=0,"",Giocatori!J13)</f>
        <v>C</v>
      </c>
      <c r="J7" s="228" t="str">
        <f ca="1">IF(Giocatori!Q13=0,"",Giocatori!Q13)</f>
        <v/>
      </c>
      <c r="K7" s="229" t="str">
        <f ca="1">IF(Giocatori!R13=0,"",Giocatori!R13)</f>
        <v/>
      </c>
      <c r="L7" s="229" t="str">
        <f ca="1">IF(Giocatori!P13=0,"",Giocatori!P13)</f>
        <v/>
      </c>
      <c r="M7" s="228" t="str">
        <f ca="1">IF(Giocatori!N13=0,"",Giocatori!N13)</f>
        <v>BAJIC</v>
      </c>
      <c r="N7" s="229" t="str">
        <f ca="1">IF(Giocatori!O13=0,"",Giocatori!O13)</f>
        <v>Udinese</v>
      </c>
      <c r="O7" s="229" t="str">
        <f ca="1">IF(Giocatori!M13=0,"",Giocatori!M13)</f>
        <v>A</v>
      </c>
      <c r="Z7" s="56" t="str">
        <f ca="1">'I.A. + Fasce'!AC7</f>
        <v/>
      </c>
      <c r="AA7" s="56" t="str">
        <f ca="1">'I.A. + Fasce'!AD7</f>
        <v/>
      </c>
      <c r="AB7" s="56" t="str">
        <f ca="1">'I.A. + Fasce'!AE7</f>
        <v/>
      </c>
      <c r="AC7" s="56" t="str">
        <f ca="1">'I.A. + Fasce'!AF7</f>
        <v/>
      </c>
      <c r="AD7" s="56" t="str">
        <f ca="1">'I.A. + Fasce'!AG7</f>
        <v/>
      </c>
    </row>
    <row r="8" spans="1:30">
      <c r="A8" s="228" t="str">
        <f ca="1">IF(Giocatori!E14=0,"",Giocatori!E14)</f>
        <v>BRIGNOLI</v>
      </c>
      <c r="B8" s="229" t="str">
        <f ca="1">IF(Giocatori!F14=0,"",Giocatori!F14)</f>
        <v>Benevento</v>
      </c>
      <c r="C8" s="229" t="str">
        <f ca="1">IF(Giocatori!D14=0,"",Giocatori!D14)</f>
        <v>P</v>
      </c>
      <c r="D8" s="228" t="str">
        <f ca="1">IF(Giocatori!H14=0,"",Giocatori!H14)</f>
        <v>ALBERTAZZI</v>
      </c>
      <c r="E8" s="229" t="str">
        <f ca="1">IF(Giocatori!I14=0,"",Giocatori!I14)</f>
        <v>Verona</v>
      </c>
      <c r="F8" s="229" t="str">
        <f ca="1">IF(Giocatori!G14=0,"",Giocatori!G14)</f>
        <v>D</v>
      </c>
      <c r="G8" s="228" t="str">
        <f ca="1">IF(Giocatori!K14=0,"",Giocatori!K14)</f>
        <v>BARAK</v>
      </c>
      <c r="H8" s="229" t="str">
        <f ca="1">IF(Giocatori!L14=0,"",Giocatori!L14)</f>
        <v>Udinese</v>
      </c>
      <c r="I8" s="229" t="str">
        <f ca="1">IF(Giocatori!J14=0,"",Giocatori!J14)</f>
        <v>C</v>
      </c>
      <c r="J8" s="228" t="str">
        <f ca="1">IF(Giocatori!Q14=0,"",Giocatori!Q14)</f>
        <v/>
      </c>
      <c r="K8" s="229" t="str">
        <f ca="1">IF(Giocatori!R14=0,"",Giocatori!R14)</f>
        <v/>
      </c>
      <c r="L8" s="229" t="str">
        <f ca="1">IF(Giocatori!P14=0,"",Giocatori!P14)</f>
        <v/>
      </c>
      <c r="M8" s="228" t="str">
        <f ca="1">IF(Giocatori!N14=0,"",Giocatori!N14)</f>
        <v>BELOTTI</v>
      </c>
      <c r="N8" s="229" t="str">
        <f ca="1">IF(Giocatori!O14=0,"",Giocatori!O14)</f>
        <v>Torino</v>
      </c>
      <c r="O8" s="229" t="str">
        <f ca="1">IF(Giocatori!M14=0,"",Giocatori!M14)</f>
        <v>A</v>
      </c>
      <c r="Z8" s="56">
        <f>'I.A. + Fasce'!AC8</f>
        <v>0</v>
      </c>
      <c r="AA8" s="56" t="str">
        <f ca="1">'I.A. + Fasce'!AD8</f>
        <v/>
      </c>
      <c r="AB8" s="56" t="str">
        <f ca="1">'I.A. + Fasce'!AE8</f>
        <v/>
      </c>
      <c r="AC8" s="56" t="str">
        <f ca="1">'I.A. + Fasce'!AF8</f>
        <v/>
      </c>
      <c r="AD8" s="56" t="str">
        <f ca="1">'I.A. + Fasce'!AG8</f>
        <v/>
      </c>
    </row>
    <row r="9" spans="1:30">
      <c r="A9" s="228" t="str">
        <f ca="1">IF(Giocatori!E15=0,"",Giocatori!E15)</f>
        <v>BUFFON</v>
      </c>
      <c r="B9" s="229" t="str">
        <f ca="1">IF(Giocatori!F15=0,"",Giocatori!F15)</f>
        <v>Juventus</v>
      </c>
      <c r="C9" s="229" t="str">
        <f ca="1">IF(Giocatori!D15=0,"",Giocatori!D15)</f>
        <v>P</v>
      </c>
      <c r="D9" s="228" t="str">
        <f ca="1">IF(Giocatori!H15=0,"",Giocatori!H15)</f>
        <v>ALBIOL</v>
      </c>
      <c r="E9" s="229" t="str">
        <f ca="1">IF(Giocatori!I15=0,"",Giocatori!I15)</f>
        <v>Napoli</v>
      </c>
      <c r="F9" s="229" t="str">
        <f ca="1">IF(Giocatori!G15=0,"",Giocatori!G15)</f>
        <v>D</v>
      </c>
      <c r="G9" s="228" t="str">
        <f ca="1">IF(Giocatori!K15=0,"",Giocatori!K15)</f>
        <v>BARBERIS</v>
      </c>
      <c r="H9" s="229" t="str">
        <f ca="1">IF(Giocatori!L15=0,"",Giocatori!L15)</f>
        <v>Crotone</v>
      </c>
      <c r="I9" s="229" t="str">
        <f ca="1">IF(Giocatori!J15=0,"",Giocatori!J15)</f>
        <v>C</v>
      </c>
      <c r="J9" s="228" t="str">
        <f ca="1">IF(Giocatori!Q15=0,"",Giocatori!Q15)</f>
        <v/>
      </c>
      <c r="K9" s="229" t="str">
        <f ca="1">IF(Giocatori!R15=0,"",Giocatori!R15)</f>
        <v/>
      </c>
      <c r="L9" s="229" t="str">
        <f ca="1">IF(Giocatori!P15=0,"",Giocatori!P15)</f>
        <v/>
      </c>
      <c r="M9" s="228" t="str">
        <f ca="1">IF(Giocatori!N15=0,"",Giocatori!N15)</f>
        <v>BERARDI</v>
      </c>
      <c r="N9" s="229" t="str">
        <f ca="1">IF(Giocatori!O15=0,"",Giocatori!O15)</f>
        <v>Sassuolo</v>
      </c>
      <c r="O9" s="229" t="str">
        <f ca="1">IF(Giocatori!M15=0,"",Giocatori!M15)</f>
        <v>A</v>
      </c>
      <c r="Z9" s="56">
        <f>'I.A. + Fasce'!AC9</f>
        <v>0</v>
      </c>
      <c r="AA9" s="56" t="str">
        <f ca="1">'I.A. + Fasce'!AD9</f>
        <v/>
      </c>
      <c r="AB9" s="56" t="str">
        <f ca="1">'I.A. + Fasce'!AE9</f>
        <v/>
      </c>
      <c r="AC9" s="56" t="str">
        <f ca="1">'I.A. + Fasce'!AF9</f>
        <v/>
      </c>
      <c r="AD9" s="56" t="str">
        <f ca="1">'I.A. + Fasce'!AG9</f>
        <v/>
      </c>
    </row>
    <row r="10" spans="1:30">
      <c r="A10" s="228" t="str">
        <f ca="1">IF(Giocatori!E16=0,"",Giocatori!E16)</f>
        <v>CEROFOLINI</v>
      </c>
      <c r="B10" s="229" t="str">
        <f ca="1">IF(Giocatori!F16=0,"",Giocatori!F16)</f>
        <v>Fiorentina</v>
      </c>
      <c r="C10" s="229" t="str">
        <f ca="1">IF(Giocatori!D16=0,"",Giocatori!D16)</f>
        <v>P</v>
      </c>
      <c r="D10" s="228" t="str">
        <f ca="1">IF(Giocatori!H16=0,"",Giocatori!H16)</f>
        <v>ALEX SANDRO</v>
      </c>
      <c r="E10" s="229" t="str">
        <f ca="1">IF(Giocatori!I16=0,"",Giocatori!I16)</f>
        <v>Juventus</v>
      </c>
      <c r="F10" s="229" t="str">
        <f ca="1">IF(Giocatori!G16=0,"",Giocatori!G16)</f>
        <v>D</v>
      </c>
      <c r="G10" s="228" t="str">
        <f ca="1">IF(Giocatori!K16=0,"",Giocatori!K16)</f>
        <v>BARELLA</v>
      </c>
      <c r="H10" s="229" t="str">
        <f ca="1">IF(Giocatori!L16=0,"",Giocatori!L16)</f>
        <v>Cagliari</v>
      </c>
      <c r="I10" s="229" t="str">
        <f ca="1">IF(Giocatori!J16=0,"",Giocatori!J16)</f>
        <v>C</v>
      </c>
      <c r="J10" s="228" t="str">
        <f ca="1">IF(Giocatori!Q16=0,"",Giocatori!Q16)</f>
        <v/>
      </c>
      <c r="K10" s="229" t="str">
        <f ca="1">IF(Giocatori!R16=0,"",Giocatori!R16)</f>
        <v/>
      </c>
      <c r="L10" s="229" t="str">
        <f ca="1">IF(Giocatori!P16=0,"",Giocatori!P16)</f>
        <v/>
      </c>
      <c r="M10" s="228" t="str">
        <f ca="1">IF(Giocatori!N16=0,"",Giocatori!N16)</f>
        <v>BONAZZOLI</v>
      </c>
      <c r="N10" s="229" t="str">
        <f ca="1">IF(Giocatori!O16=0,"",Giocatori!O16)</f>
        <v>SPAL</v>
      </c>
      <c r="O10" s="229" t="str">
        <f ca="1">IF(Giocatori!M16=0,"",Giocatori!M16)</f>
        <v>A</v>
      </c>
      <c r="Z10" s="56" t="str">
        <f ca="1">'I.A. + Fasce'!AC10</f>
        <v/>
      </c>
      <c r="AA10" s="56" t="str">
        <f ca="1">'I.A. + Fasce'!AD10</f>
        <v/>
      </c>
      <c r="AB10" s="56" t="str">
        <f ca="1">'I.A. + Fasce'!AE10</f>
        <v/>
      </c>
      <c r="AC10" s="56" t="str">
        <f ca="1">'I.A. + Fasce'!AF10</f>
        <v/>
      </c>
      <c r="AD10" s="56" t="str">
        <f ca="1">'I.A. + Fasce'!AG10</f>
        <v/>
      </c>
    </row>
    <row r="11" spans="1:30">
      <c r="A11" s="228" t="str">
        <f ca="1">IF(Giocatori!E17=0,"",Giocatori!E17)</f>
        <v>CONFENTE</v>
      </c>
      <c r="B11" s="229" t="str">
        <f ca="1">IF(Giocatori!F17=0,"",Giocatori!F17)</f>
        <v>Chievo</v>
      </c>
      <c r="C11" s="229" t="str">
        <f ca="1">IF(Giocatori!D17=0,"",Giocatori!D17)</f>
        <v>P</v>
      </c>
      <c r="D11" s="228" t="str">
        <f ca="1">IF(Giocatori!H17=0,"",Giocatori!H17)</f>
        <v>ANDERSEN</v>
      </c>
      <c r="E11" s="229" t="str">
        <f ca="1">IF(Giocatori!I17=0,"",Giocatori!I17)</f>
        <v>Sampdoria</v>
      </c>
      <c r="F11" s="229" t="str">
        <f ca="1">IF(Giocatori!G17=0,"",Giocatori!G17)</f>
        <v>D</v>
      </c>
      <c r="G11" s="228" t="str">
        <f ca="1">IF(Giocatori!K17=0,"",Giocatori!K17)</f>
        <v>BARRETO E</v>
      </c>
      <c r="H11" s="229" t="str">
        <f ca="1">IF(Giocatori!L17=0,"",Giocatori!L17)</f>
        <v>Sampdoria</v>
      </c>
      <c r="I11" s="229" t="str">
        <f ca="1">IF(Giocatori!J17=0,"",Giocatori!J17)</f>
        <v>C</v>
      </c>
      <c r="J11" s="228" t="str">
        <f ca="1">IF(Giocatori!Q17=0,"",Giocatori!Q17)</f>
        <v/>
      </c>
      <c r="K11" s="229" t="str">
        <f ca="1">IF(Giocatori!R17=0,"",Giocatori!R17)</f>
        <v/>
      </c>
      <c r="L11" s="229" t="str">
        <f ca="1">IF(Giocatori!P17=0,"",Giocatori!P17)</f>
        <v/>
      </c>
      <c r="M11" s="228" t="str">
        <f ca="1">IF(Giocatori!N17=0,"",Giocatori!N17)</f>
        <v>BORINI</v>
      </c>
      <c r="N11" s="229" t="str">
        <f ca="1">IF(Giocatori!O17=0,"",Giocatori!O17)</f>
        <v>Milan</v>
      </c>
      <c r="O11" s="229" t="str">
        <f ca="1">IF(Giocatori!M17=0,"",Giocatori!M17)</f>
        <v>A</v>
      </c>
      <c r="Z11" s="56" t="str">
        <f ca="1">'I.A. + Fasce'!AC11</f>
        <v/>
      </c>
      <c r="AA11" s="56" t="str">
        <f ca="1">'I.A. + Fasce'!AD11</f>
        <v/>
      </c>
      <c r="AB11" s="56" t="str">
        <f ca="1">'I.A. + Fasce'!AE11</f>
        <v/>
      </c>
      <c r="AC11" s="56" t="str">
        <f ca="1">'I.A. + Fasce'!AF11</f>
        <v/>
      </c>
      <c r="AD11" s="56" t="str">
        <f ca="1">'I.A. + Fasce'!AG11</f>
        <v/>
      </c>
    </row>
    <row r="12" spans="1:30">
      <c r="A12" s="228" t="str">
        <f ca="1">IF(Giocatori!E18=0,"",Giocatori!E18)</f>
        <v>CONSIGLI</v>
      </c>
      <c r="B12" s="229" t="str">
        <f ca="1">IF(Giocatori!F18=0,"",Giocatori!F18)</f>
        <v>Sassuolo</v>
      </c>
      <c r="C12" s="229" t="str">
        <f ca="1">IF(Giocatori!D18=0,"",Giocatori!D18)</f>
        <v>P</v>
      </c>
      <c r="D12" s="228" t="str">
        <f ca="1">IF(Giocatori!H18=0,"",Giocatori!H18)</f>
        <v>ANDREOLLI</v>
      </c>
      <c r="E12" s="229" t="str">
        <f ca="1">IF(Giocatori!I18=0,"",Giocatori!I18)</f>
        <v>Cagliari</v>
      </c>
      <c r="F12" s="229" t="str">
        <f ca="1">IF(Giocatori!G18=0,"",Giocatori!G18)</f>
        <v>D</v>
      </c>
      <c r="G12" s="228" t="str">
        <f ca="1">IF(Giocatori!K18=0,"",Giocatori!K18)</f>
        <v>BASELLI</v>
      </c>
      <c r="H12" s="229" t="str">
        <f ca="1">IF(Giocatori!L18=0,"",Giocatori!L18)</f>
        <v>Torino</v>
      </c>
      <c r="I12" s="229" t="str">
        <f ca="1">IF(Giocatori!J18=0,"",Giocatori!J18)</f>
        <v>C</v>
      </c>
      <c r="J12" s="228" t="str">
        <f ca="1">IF(Giocatori!Q18=0,"",Giocatori!Q18)</f>
        <v/>
      </c>
      <c r="K12" s="229" t="str">
        <f ca="1">IF(Giocatori!R18=0,"",Giocatori!R18)</f>
        <v/>
      </c>
      <c r="L12" s="229" t="str">
        <f ca="1">IF(Giocatori!P18=0,"",Giocatori!P18)</f>
        <v/>
      </c>
      <c r="M12" s="228" t="str">
        <f ca="1">IF(Giocatori!N18=0,"",Giocatori!N18)</f>
        <v>BORRIELLO</v>
      </c>
      <c r="N12" s="229" t="str">
        <f ca="1">IF(Giocatori!O18=0,"",Giocatori!O18)</f>
        <v>SPAL</v>
      </c>
      <c r="O12" s="229" t="str">
        <f ca="1">IF(Giocatori!M18=0,"",Giocatori!M18)</f>
        <v>A</v>
      </c>
      <c r="Z12" s="56" t="str">
        <f ca="1">'I.A. + Fasce'!AC12</f>
        <v/>
      </c>
      <c r="AA12" s="56" t="str">
        <f ca="1">'I.A. + Fasce'!AD12</f>
        <v/>
      </c>
      <c r="AB12" s="56" t="str">
        <f ca="1">'I.A. + Fasce'!AE12</f>
        <v/>
      </c>
      <c r="AC12" s="56" t="str">
        <f ca="1">'I.A. + Fasce'!AF12</f>
        <v/>
      </c>
      <c r="AD12" s="56" t="str">
        <f ca="1">'I.A. + Fasce'!AG12</f>
        <v/>
      </c>
    </row>
    <row r="13" spans="1:30">
      <c r="A13" s="228" t="str">
        <f ca="1">IF(Giocatori!E19=0,"",Giocatori!E19)</f>
        <v>COPPOLA</v>
      </c>
      <c r="B13" s="229" t="str">
        <f ca="1">IF(Giocatori!F19=0,"",Giocatori!F19)</f>
        <v>Verona</v>
      </c>
      <c r="C13" s="229" t="str">
        <f ca="1">IF(Giocatori!D19=0,"",Giocatori!D19)</f>
        <v>P</v>
      </c>
      <c r="D13" s="228" t="str">
        <f ca="1">IF(Giocatori!H19=0,"",Giocatori!H19)</f>
        <v>ANGELLA</v>
      </c>
      <c r="E13" s="229" t="str">
        <f ca="1">IF(Giocatori!I19=0,"",Giocatori!I19)</f>
        <v>Udinese</v>
      </c>
      <c r="F13" s="229" t="str">
        <f ca="1">IF(Giocatori!G19=0,"",Giocatori!G19)</f>
        <v>D</v>
      </c>
      <c r="G13" s="228" t="str">
        <f ca="1">IF(Giocatori!K19=0,"",Giocatori!K19)</f>
        <v>BASTIEN</v>
      </c>
      <c r="H13" s="229" t="str">
        <f ca="1">IF(Giocatori!L19=0,"",Giocatori!L19)</f>
        <v>Chievo</v>
      </c>
      <c r="I13" s="229" t="str">
        <f ca="1">IF(Giocatori!J19=0,"",Giocatori!J19)</f>
        <v>C</v>
      </c>
      <c r="J13" s="228" t="str">
        <f ca="1">IF(Giocatori!Q19=0,"",Giocatori!Q19)</f>
        <v/>
      </c>
      <c r="K13" s="229" t="str">
        <f ca="1">IF(Giocatori!R19=0,"",Giocatori!R19)</f>
        <v/>
      </c>
      <c r="L13" s="229" t="str">
        <f ca="1">IF(Giocatori!P19=0,"",Giocatori!P19)</f>
        <v/>
      </c>
      <c r="M13" s="228" t="str">
        <f ca="1">IF(Giocatori!N19=0,"",Giocatori!N19)</f>
        <v>BOYE'</v>
      </c>
      <c r="N13" s="229" t="str">
        <f ca="1">IF(Giocatori!O19=0,"",Giocatori!O19)</f>
        <v>Torino</v>
      </c>
      <c r="O13" s="229" t="str">
        <f ca="1">IF(Giocatori!M19=0,"",Giocatori!M19)</f>
        <v>A</v>
      </c>
      <c r="Z13" s="56" t="str">
        <f ca="1">'I.A. + Fasce'!AC13</f>
        <v/>
      </c>
      <c r="AA13" s="56" t="str">
        <f ca="1">'I.A. + Fasce'!AD13</f>
        <v/>
      </c>
      <c r="AB13" s="56" t="str">
        <f ca="1">'I.A. + Fasce'!AE13</f>
        <v/>
      </c>
      <c r="AC13" s="56" t="str">
        <f ca="1">'I.A. + Fasce'!AF13</f>
        <v/>
      </c>
      <c r="AD13" s="56" t="str">
        <f ca="1">'I.A. + Fasce'!AG13</f>
        <v/>
      </c>
    </row>
    <row r="14" spans="1:30">
      <c r="A14" s="228" t="str">
        <f ca="1">IF(Giocatori!E20=0,"",Giocatori!E20)</f>
        <v>CORDAZ</v>
      </c>
      <c r="B14" s="229" t="str">
        <f ca="1">IF(Giocatori!F20=0,"",Giocatori!F20)</f>
        <v>Crotone</v>
      </c>
      <c r="C14" s="229" t="str">
        <f ca="1">IF(Giocatori!D20=0,"",Giocatori!D20)</f>
        <v>P</v>
      </c>
      <c r="D14" s="228" t="str">
        <f ca="1">IF(Giocatori!H20=0,"",Giocatori!H20)</f>
        <v>ANSALDI</v>
      </c>
      <c r="E14" s="229" t="str">
        <f ca="1">IF(Giocatori!I20=0,"",Giocatori!I20)</f>
        <v>Torino</v>
      </c>
      <c r="F14" s="229" t="str">
        <f ca="1">IF(Giocatori!G20=0,"",Giocatori!G20)</f>
        <v>D</v>
      </c>
      <c r="G14" s="228" t="str">
        <f ca="1">IF(Giocatori!K20=0,"",Giocatori!K20)</f>
        <v>BEHRAMI</v>
      </c>
      <c r="H14" s="229" t="str">
        <f ca="1">IF(Giocatori!L20=0,"",Giocatori!L20)</f>
        <v>Udinese</v>
      </c>
      <c r="I14" s="229" t="str">
        <f ca="1">IF(Giocatori!J20=0,"",Giocatori!J20)</f>
        <v>C</v>
      </c>
      <c r="J14" s="228" t="str">
        <f ca="1">IF(Giocatori!Q20=0,"",Giocatori!Q20)</f>
        <v/>
      </c>
      <c r="K14" s="229" t="str">
        <f ca="1">IF(Giocatori!R20=0,"",Giocatori!R20)</f>
        <v/>
      </c>
      <c r="L14" s="229" t="str">
        <f ca="1">IF(Giocatori!P20=0,"",Giocatori!P20)</f>
        <v/>
      </c>
      <c r="M14" s="228" t="str">
        <f ca="1">IF(Giocatori!N20=0,"",Giocatori!N20)</f>
        <v>BRIGNOLA</v>
      </c>
      <c r="N14" s="229" t="str">
        <f ca="1">IF(Giocatori!O20=0,"",Giocatori!O20)</f>
        <v>Benevento</v>
      </c>
      <c r="O14" s="229" t="str">
        <f ca="1">IF(Giocatori!M20=0,"",Giocatori!M20)</f>
        <v>A</v>
      </c>
      <c r="Z14" s="56" t="str">
        <f ca="1">'I.A. + Fasce'!AC14</f>
        <v/>
      </c>
      <c r="AA14" s="56" t="str">
        <f ca="1">'I.A. + Fasce'!AD14</f>
        <v/>
      </c>
      <c r="AB14" s="56" t="str">
        <f ca="1">'I.A. + Fasce'!AE14</f>
        <v/>
      </c>
      <c r="AC14" s="56" t="str">
        <f ca="1">'I.A. + Fasce'!AF14</f>
        <v/>
      </c>
      <c r="AD14" s="56" t="str">
        <f ca="1">'I.A. + Fasce'!AG14</f>
        <v/>
      </c>
    </row>
    <row r="15" spans="1:30">
      <c r="A15" s="228" t="str">
        <f ca="1">IF(Giocatori!E21=0,"",Giocatori!E21)</f>
        <v>COTTICELLI</v>
      </c>
      <c r="B15" s="229" t="str">
        <f ca="1">IF(Giocatori!F21=0,"",Giocatori!F21)</f>
        <v>Benevento</v>
      </c>
      <c r="C15" s="229" t="str">
        <f ca="1">IF(Giocatori!D21=0,"",Giocatori!D21)</f>
        <v>P</v>
      </c>
      <c r="D15" s="228" t="str">
        <f ca="1">IF(Giocatori!H21=0,"",Giocatori!H21)</f>
        <v>ANTEI</v>
      </c>
      <c r="E15" s="229" t="str">
        <f ca="1">IF(Giocatori!I21=0,"",Giocatori!I21)</f>
        <v>Benevento</v>
      </c>
      <c r="F15" s="229" t="str">
        <f ca="1">IF(Giocatori!G21=0,"",Giocatori!G21)</f>
        <v>D</v>
      </c>
      <c r="G15" s="228" t="str">
        <f ca="1">IF(Giocatori!K21=0,"",Giocatori!K21)</f>
        <v>BENASSI</v>
      </c>
      <c r="H15" s="229" t="str">
        <f ca="1">IF(Giocatori!L21=0,"",Giocatori!L21)</f>
        <v>Fiorentina</v>
      </c>
      <c r="I15" s="229" t="str">
        <f ca="1">IF(Giocatori!J21=0,"",Giocatori!J21)</f>
        <v>C</v>
      </c>
      <c r="J15" s="228" t="str">
        <f ca="1">IF(Giocatori!Q21=0,"",Giocatori!Q21)</f>
        <v/>
      </c>
      <c r="K15" s="229" t="str">
        <f ca="1">IF(Giocatori!R21=0,"",Giocatori!R21)</f>
        <v/>
      </c>
      <c r="L15" s="229" t="str">
        <f ca="1">IF(Giocatori!P21=0,"",Giocatori!P21)</f>
        <v/>
      </c>
      <c r="M15" s="228" t="str">
        <f ca="1">IF(Giocatori!N21=0,"",Giocatori!N21)</f>
        <v>BUDIMIR</v>
      </c>
      <c r="N15" s="229" t="str">
        <f ca="1">IF(Giocatori!O21=0,"",Giocatori!O21)</f>
        <v>Crotone</v>
      </c>
      <c r="O15" s="229" t="str">
        <f ca="1">IF(Giocatori!M21=0,"",Giocatori!M21)</f>
        <v>A</v>
      </c>
      <c r="Z15" s="56" t="str">
        <f ca="1">'I.A. + Fasce'!AC15</f>
        <v/>
      </c>
      <c r="AA15" s="56" t="str">
        <f ca="1">'I.A. + Fasce'!AD15</f>
        <v/>
      </c>
      <c r="AB15" s="56" t="str">
        <f ca="1">'I.A. + Fasce'!AE15</f>
        <v/>
      </c>
      <c r="AC15" s="56" t="str">
        <f ca="1">'I.A. + Fasce'!AF15</f>
        <v/>
      </c>
      <c r="AD15" s="56" t="str">
        <f ca="1">'I.A. + Fasce'!AG15</f>
        <v/>
      </c>
    </row>
    <row r="16" spans="1:30">
      <c r="A16" s="228" t="str">
        <f ca="1">IF(Giocatori!E22=0,"",Giocatori!E22)</f>
        <v>CRAGNO</v>
      </c>
      <c r="B16" s="229" t="str">
        <f ca="1">IF(Giocatori!F22=0,"",Giocatori!F22)</f>
        <v>Cagliari</v>
      </c>
      <c r="C16" s="229" t="str">
        <f ca="1">IF(Giocatori!D22=0,"",Giocatori!D22)</f>
        <v>P</v>
      </c>
      <c r="D16" s="228" t="str">
        <f ca="1">IF(Giocatori!H22=0,"",Giocatori!H22)</f>
        <v>ANTONELLI</v>
      </c>
      <c r="E16" s="229" t="str">
        <f ca="1">IF(Giocatori!I22=0,"",Giocatori!I22)</f>
        <v>Milan</v>
      </c>
      <c r="F16" s="229" t="str">
        <f ca="1">IF(Giocatori!G22=0,"",Giocatori!G22)</f>
        <v>D</v>
      </c>
      <c r="G16" s="228" t="str">
        <f ca="1">IF(Giocatori!K22=0,"",Giocatori!K22)</f>
        <v>BENTANCUR</v>
      </c>
      <c r="H16" s="229" t="str">
        <f ca="1">IF(Giocatori!L22=0,"",Giocatori!L22)</f>
        <v>Juventus</v>
      </c>
      <c r="I16" s="229" t="str">
        <f ca="1">IF(Giocatori!J22=0,"",Giocatori!J22)</f>
        <v>C</v>
      </c>
      <c r="J16" s="228" t="str">
        <f ca="1">IF(Giocatori!Q22=0,"",Giocatori!Q22)</f>
        <v/>
      </c>
      <c r="K16" s="229" t="str">
        <f ca="1">IF(Giocatori!R22=0,"",Giocatori!R22)</f>
        <v/>
      </c>
      <c r="L16" s="229" t="str">
        <f ca="1">IF(Giocatori!P22=0,"",Giocatori!P22)</f>
        <v/>
      </c>
      <c r="M16" s="228" t="str">
        <f ca="1">IF(Giocatori!N22=0,"",Giocatori!N22)</f>
        <v>CAICEDO</v>
      </c>
      <c r="N16" s="229" t="str">
        <f ca="1">IF(Giocatori!O22=0,"",Giocatori!O22)</f>
        <v>Lazio</v>
      </c>
      <c r="O16" s="229" t="str">
        <f ca="1">IF(Giocatori!M22=0,"",Giocatori!M22)</f>
        <v>A</v>
      </c>
      <c r="Z16" s="56" t="str">
        <f ca="1">'I.A. + Fasce'!AC16</f>
        <v/>
      </c>
      <c r="AA16" s="56" t="str">
        <f ca="1">'I.A. + Fasce'!AD16</f>
        <v/>
      </c>
      <c r="AB16" s="56" t="str">
        <f ca="1">'I.A. + Fasce'!AE16</f>
        <v/>
      </c>
      <c r="AC16" s="56" t="str">
        <f ca="1">'I.A. + Fasce'!AF16</f>
        <v/>
      </c>
      <c r="AD16" s="56" t="str">
        <f ca="1">'I.A. + Fasce'!AG16</f>
        <v/>
      </c>
    </row>
    <row r="17" spans="1:30">
      <c r="A17" s="228" t="str">
        <f ca="1">IF(Giocatori!E23=0,"",Giocatori!E23)</f>
        <v>CROSTA</v>
      </c>
      <c r="B17" s="229" t="str">
        <f ca="1">IF(Giocatori!F23=0,"",Giocatori!F23)</f>
        <v>Cagliari</v>
      </c>
      <c r="C17" s="229" t="str">
        <f ca="1">IF(Giocatori!D23=0,"",Giocatori!D23)</f>
        <v>P</v>
      </c>
      <c r="D17" s="228" t="str">
        <f ca="1">IF(Giocatori!H23=0,"",Giocatori!H23)</f>
        <v>ASAMOAH</v>
      </c>
      <c r="E17" s="229" t="str">
        <f ca="1">IF(Giocatori!I23=0,"",Giocatori!I23)</f>
        <v>Juventus</v>
      </c>
      <c r="F17" s="229" t="str">
        <f ca="1">IF(Giocatori!G23=0,"",Giocatori!G23)</f>
        <v>D</v>
      </c>
      <c r="G17" s="228" t="str">
        <f ca="1">IF(Giocatori!K23=0,"",Giocatori!K23)</f>
        <v>BERENGUER</v>
      </c>
      <c r="H17" s="229" t="str">
        <f ca="1">IF(Giocatori!L23=0,"",Giocatori!L23)</f>
        <v>Torino</v>
      </c>
      <c r="I17" s="229" t="str">
        <f ca="1">IF(Giocatori!J23=0,"",Giocatori!J23)</f>
        <v>C</v>
      </c>
      <c r="J17" s="228" t="str">
        <f ca="1">IF(Giocatori!Q23=0,"",Giocatori!Q23)</f>
        <v/>
      </c>
      <c r="K17" s="229" t="str">
        <f ca="1">IF(Giocatori!R23=0,"",Giocatori!R23)</f>
        <v/>
      </c>
      <c r="L17" s="229" t="str">
        <f ca="1">IF(Giocatori!P23=0,"",Giocatori!P23)</f>
        <v/>
      </c>
      <c r="M17" s="228" t="str">
        <f ca="1">IF(Giocatori!N23=0,"",Giocatori!N23)</f>
        <v>CALLEJON</v>
      </c>
      <c r="N17" s="229" t="str">
        <f ca="1">IF(Giocatori!O23=0,"",Giocatori!O23)</f>
        <v>Napoli</v>
      </c>
      <c r="O17" s="229" t="str">
        <f ca="1">IF(Giocatori!M23=0,"",Giocatori!M23)</f>
        <v>A</v>
      </c>
      <c r="Z17" s="56" t="str">
        <f ca="1">'I.A. + Fasce'!AC17</f>
        <v/>
      </c>
      <c r="AA17" s="56" t="str">
        <f ca="1">'I.A. + Fasce'!AD17</f>
        <v/>
      </c>
      <c r="AB17" s="56" t="str">
        <f ca="1">'I.A. + Fasce'!AE17</f>
        <v/>
      </c>
      <c r="AC17" s="56" t="str">
        <f ca="1">'I.A. + Fasce'!AF17</f>
        <v/>
      </c>
      <c r="AD17" s="56" t="str">
        <f ca="1">'I.A. + Fasce'!AG17</f>
        <v/>
      </c>
    </row>
    <row r="18" spans="1:30">
      <c r="A18" s="228" t="str">
        <f ca="1">IF(Giocatori!E24=0,"",Giocatori!E24)</f>
        <v>DA COSTA</v>
      </c>
      <c r="B18" s="229" t="str">
        <f ca="1">IF(Giocatori!F24=0,"",Giocatori!F24)</f>
        <v>Bologna</v>
      </c>
      <c r="C18" s="229" t="str">
        <f ca="1">IF(Giocatori!D24=0,"",Giocatori!D24)</f>
        <v>P</v>
      </c>
      <c r="D18" s="228" t="str">
        <f ca="1">IF(Giocatori!H24=0,"",Giocatori!H24)</f>
        <v>ASTORI</v>
      </c>
      <c r="E18" s="229" t="str">
        <f ca="1">IF(Giocatori!I24=0,"",Giocatori!I24)</f>
        <v>Fiorentina</v>
      </c>
      <c r="F18" s="229" t="str">
        <f ca="1">IF(Giocatori!G24=0,"",Giocatori!G24)</f>
        <v>D</v>
      </c>
      <c r="G18" s="228" t="str">
        <f ca="1">IF(Giocatori!K24=0,"",Giocatori!K24)</f>
        <v>BERNARDESCHI</v>
      </c>
      <c r="H18" s="229" t="str">
        <f ca="1">IF(Giocatori!L24=0,"",Giocatori!L24)</f>
        <v>Juventus</v>
      </c>
      <c r="I18" s="229" t="str">
        <f ca="1">IF(Giocatori!J24=0,"",Giocatori!J24)</f>
        <v>C</v>
      </c>
      <c r="J18" s="228" t="str">
        <f ca="1">IF(Giocatori!Q24=0,"",Giocatori!Q24)</f>
        <v/>
      </c>
      <c r="K18" s="229" t="str">
        <f ca="1">IF(Giocatori!R24=0,"",Giocatori!R24)</f>
        <v/>
      </c>
      <c r="L18" s="229" t="str">
        <f ca="1">IF(Giocatori!P24=0,"",Giocatori!P24)</f>
        <v/>
      </c>
      <c r="M18" s="228" t="str">
        <f ca="1">IF(Giocatori!N24=0,"",Giocatori!N24)</f>
        <v>CAPRARI</v>
      </c>
      <c r="N18" s="229" t="str">
        <f ca="1">IF(Giocatori!O24=0,"",Giocatori!O24)</f>
        <v>Sampdoria</v>
      </c>
      <c r="O18" s="229" t="str">
        <f ca="1">IF(Giocatori!M24=0,"",Giocatori!M24)</f>
        <v>A</v>
      </c>
      <c r="Z18" s="56" t="str">
        <f ca="1">'I.A. + Fasce'!AC18</f>
        <v/>
      </c>
      <c r="AA18" s="56" t="str">
        <f ca="1">'I.A. + Fasce'!AD18</f>
        <v/>
      </c>
      <c r="AB18" s="56" t="str">
        <f ca="1">'I.A. + Fasce'!AE18</f>
        <v/>
      </c>
      <c r="AC18" s="56" t="str">
        <f ca="1">'I.A. + Fasce'!AF18</f>
        <v/>
      </c>
      <c r="AD18" s="56" t="str">
        <f ca="1">'I.A. + Fasce'!AG18</f>
        <v/>
      </c>
    </row>
    <row r="19" spans="1:30">
      <c r="A19" s="228" t="str">
        <f ca="1">IF(Giocatori!E25=0,"",Giocatori!E25)</f>
        <v>DONNARUMMA A</v>
      </c>
      <c r="B19" s="229" t="str">
        <f ca="1">IF(Giocatori!F25=0,"",Giocatori!F25)</f>
        <v>Milan</v>
      </c>
      <c r="C19" s="229" t="str">
        <f ca="1">IF(Giocatori!D25=0,"",Giocatori!D25)</f>
        <v>P</v>
      </c>
      <c r="D19" s="228" t="str">
        <f ca="1">IF(Giocatori!H25=0,"",Giocatori!H25)</f>
        <v>BANI</v>
      </c>
      <c r="E19" s="229" t="str">
        <f ca="1">IF(Giocatori!I25=0,"",Giocatori!I25)</f>
        <v>Chievo</v>
      </c>
      <c r="F19" s="229" t="str">
        <f ca="1">IF(Giocatori!G25=0,"",Giocatori!G25)</f>
        <v>D</v>
      </c>
      <c r="G19" s="228" t="str">
        <f ca="1">IF(Giocatori!K25=0,"",Giocatori!K25)</f>
        <v>BERTOLACCI</v>
      </c>
      <c r="H19" s="229" t="str">
        <f ca="1">IF(Giocatori!L25=0,"",Giocatori!L25)</f>
        <v>Genoa</v>
      </c>
      <c r="I19" s="229" t="str">
        <f ca="1">IF(Giocatori!J25=0,"",Giocatori!J25)</f>
        <v>C</v>
      </c>
      <c r="J19" s="228" t="str">
        <f ca="1">IF(Giocatori!Q25=0,"",Giocatori!Q25)</f>
        <v/>
      </c>
      <c r="K19" s="229" t="str">
        <f ca="1">IF(Giocatori!R25=0,"",Giocatori!R25)</f>
        <v/>
      </c>
      <c r="L19" s="229" t="str">
        <f ca="1">IF(Giocatori!P25=0,"",Giocatori!P25)</f>
        <v/>
      </c>
      <c r="M19" s="228" t="str">
        <f ca="1">IF(Giocatori!N25=0,"",Giocatori!N25)</f>
        <v>CENTURION</v>
      </c>
      <c r="N19" s="229" t="str">
        <f ca="1">IF(Giocatori!O25=0,"",Giocatori!O25)</f>
        <v>Genoa</v>
      </c>
      <c r="O19" s="229" t="str">
        <f ca="1">IF(Giocatori!M25=0,"",Giocatori!M25)</f>
        <v>A</v>
      </c>
      <c r="Z19" s="56" t="str">
        <f ca="1">'I.A. + Fasce'!AC19</f>
        <v/>
      </c>
      <c r="AA19" s="56" t="str">
        <f ca="1">'I.A. + Fasce'!AD19</f>
        <v/>
      </c>
      <c r="AB19" s="56" t="str">
        <f ca="1">'I.A. + Fasce'!AE19</f>
        <v/>
      </c>
      <c r="AC19" s="56" t="str">
        <f ca="1">'I.A. + Fasce'!AF19</f>
        <v/>
      </c>
      <c r="AD19" s="56" t="str">
        <f ca="1">'I.A. + Fasce'!AG19</f>
        <v/>
      </c>
    </row>
    <row r="20" spans="1:30">
      <c r="A20" s="228" t="str">
        <f ca="1">IF(Giocatori!E26=0,"",Giocatori!E26)</f>
        <v>DONNARUMMA G</v>
      </c>
      <c r="B20" s="229" t="str">
        <f ca="1">IF(Giocatori!F26=0,"",Giocatori!F26)</f>
        <v>Milan</v>
      </c>
      <c r="C20" s="229" t="str">
        <f ca="1">IF(Giocatori!D26=0,"",Giocatori!D26)</f>
        <v>P</v>
      </c>
      <c r="D20" s="228" t="str">
        <f ca="1">IF(Giocatori!H26=0,"",Giocatori!H26)</f>
        <v>BARRECA</v>
      </c>
      <c r="E20" s="229" t="str">
        <f ca="1">IF(Giocatori!I26=0,"",Giocatori!I26)</f>
        <v>Torino</v>
      </c>
      <c r="F20" s="229" t="str">
        <f ca="1">IF(Giocatori!G26=0,"",Giocatori!G26)</f>
        <v>D</v>
      </c>
      <c r="G20" s="228" t="str">
        <f ca="1">IF(Giocatori!K26=0,"",Giocatori!K26)</f>
        <v>BESSA</v>
      </c>
      <c r="H20" s="229" t="str">
        <f ca="1">IF(Giocatori!L26=0,"",Giocatori!L26)</f>
        <v>Verona</v>
      </c>
      <c r="I20" s="229" t="str">
        <f ca="1">IF(Giocatori!J26=0,"",Giocatori!J26)</f>
        <v>C</v>
      </c>
      <c r="J20" s="228" t="str">
        <f ca="1">IF(Giocatori!Q26=0,"",Giocatori!Q26)</f>
        <v/>
      </c>
      <c r="K20" s="229" t="str">
        <f ca="1">IF(Giocatori!R26=0,"",Giocatori!R26)</f>
        <v/>
      </c>
      <c r="L20" s="229" t="str">
        <f ca="1">IF(Giocatori!P26=0,"",Giocatori!P26)</f>
        <v/>
      </c>
      <c r="M20" s="228" t="str">
        <f ca="1">IF(Giocatori!N26=0,"",Giocatori!N26)</f>
        <v>CERCI</v>
      </c>
      <c r="N20" s="229" t="str">
        <f ca="1">IF(Giocatori!O26=0,"",Giocatori!O26)</f>
        <v>Verona</v>
      </c>
      <c r="O20" s="229" t="str">
        <f ca="1">IF(Giocatori!M26=0,"",Giocatori!M26)</f>
        <v>A</v>
      </c>
      <c r="Z20" s="56">
        <f>'I.A. + Fasce'!AC20</f>
        <v>0</v>
      </c>
      <c r="AA20" s="56" t="str">
        <f ca="1">'I.A. + Fasce'!AD20</f>
        <v/>
      </c>
      <c r="AB20" s="56" t="str">
        <f ca="1">'I.A. + Fasce'!AE20</f>
        <v/>
      </c>
      <c r="AC20" s="56" t="str">
        <f ca="1">'I.A. + Fasce'!AF20</f>
        <v/>
      </c>
      <c r="AD20" s="56" t="str">
        <f ca="1">'I.A. + Fasce'!AG20</f>
        <v/>
      </c>
    </row>
    <row r="21" spans="1:30">
      <c r="A21" s="228" t="str">
        <f ca="1">IF(Giocatori!E27=0,"",Giocatori!E27)</f>
        <v>DRAGOWSKI</v>
      </c>
      <c r="B21" s="229" t="str">
        <f ca="1">IF(Giocatori!F27=0,"",Giocatori!F27)</f>
        <v>Fiorentina</v>
      </c>
      <c r="C21" s="229" t="str">
        <f ca="1">IF(Giocatori!D27=0,"",Giocatori!D27)</f>
        <v>P</v>
      </c>
      <c r="D21" s="228" t="str">
        <f ca="1">IF(Giocatori!H27=0,"",Giocatori!H27)</f>
        <v>BARZAGLI</v>
      </c>
      <c r="E21" s="229" t="str">
        <f ca="1">IF(Giocatori!I27=0,"",Giocatori!I27)</f>
        <v>Juventus</v>
      </c>
      <c r="F21" s="229" t="str">
        <f ca="1">IF(Giocatori!G27=0,"",Giocatori!G27)</f>
        <v>D</v>
      </c>
      <c r="G21" s="228" t="str">
        <f ca="1">IF(Giocatori!K27=0,"",Giocatori!K27)</f>
        <v>BIGLIA</v>
      </c>
      <c r="H21" s="229" t="str">
        <f ca="1">IF(Giocatori!L27=0,"",Giocatori!L27)</f>
        <v>Milan</v>
      </c>
      <c r="I21" s="229" t="str">
        <f ca="1">IF(Giocatori!J27=0,"",Giocatori!J27)</f>
        <v>C</v>
      </c>
      <c r="J21" s="228" t="str">
        <f ca="1">IF(Giocatori!Q27=0,"",Giocatori!Q27)</f>
        <v/>
      </c>
      <c r="K21" s="229" t="str">
        <f ca="1">IF(Giocatori!R27=0,"",Giocatori!R27)</f>
        <v/>
      </c>
      <c r="L21" s="229" t="str">
        <f ca="1">IF(Giocatori!P27=0,"",Giocatori!P27)</f>
        <v/>
      </c>
      <c r="M21" s="228" t="str">
        <f ca="1">IF(Giocatori!N27=0,"",Giocatori!N27)</f>
        <v>CODA M</v>
      </c>
      <c r="N21" s="229" t="str">
        <f ca="1">IF(Giocatori!O27=0,"",Giocatori!O27)</f>
        <v>Benevento</v>
      </c>
      <c r="O21" s="229" t="str">
        <f ca="1">IF(Giocatori!M27=0,"",Giocatori!M27)</f>
        <v>A</v>
      </c>
      <c r="Z21" s="56">
        <f>'I.A. + Fasce'!AC21</f>
        <v>0</v>
      </c>
      <c r="AA21" s="56" t="str">
        <f ca="1">'I.A. + Fasce'!AD21</f>
        <v/>
      </c>
      <c r="AB21" s="56" t="str">
        <f ca="1">'I.A. + Fasce'!AE21</f>
        <v/>
      </c>
      <c r="AC21" s="56" t="str">
        <f ca="1">'I.A. + Fasce'!AF21</f>
        <v/>
      </c>
      <c r="AD21" s="56" t="str">
        <f ca="1">'I.A. + Fasce'!AG21</f>
        <v/>
      </c>
    </row>
    <row r="22" spans="1:30">
      <c r="A22" s="228" t="str">
        <f ca="1">IF(Giocatori!E28=0,"",Giocatori!E28)</f>
        <v>FESTA</v>
      </c>
      <c r="B22" s="229" t="str">
        <f ca="1">IF(Giocatori!F28=0,"",Giocatori!F28)</f>
        <v>Crotone</v>
      </c>
      <c r="C22" s="229" t="str">
        <f ca="1">IF(Giocatori!D28=0,"",Giocatori!D28)</f>
        <v>P</v>
      </c>
      <c r="D22" s="228" t="str">
        <f ca="1">IF(Giocatori!H28=0,"",Giocatori!H28)</f>
        <v>BASTA</v>
      </c>
      <c r="E22" s="229" t="str">
        <f ca="1">IF(Giocatori!I28=0,"",Giocatori!I28)</f>
        <v>Lazio</v>
      </c>
      <c r="F22" s="229" t="str">
        <f ca="1">IF(Giocatori!G28=0,"",Giocatori!G28)</f>
        <v>D</v>
      </c>
      <c r="G22" s="228" t="str">
        <f ca="1">IF(Giocatori!K28=0,"",Giocatori!K28)</f>
        <v>BIONDINI</v>
      </c>
      <c r="H22" s="229" t="str">
        <f ca="1">IF(Giocatori!L28=0,"",Giocatori!L28)</f>
        <v>Sassuolo</v>
      </c>
      <c r="I22" s="229" t="str">
        <f ca="1">IF(Giocatori!J28=0,"",Giocatori!J28)</f>
        <v>C</v>
      </c>
      <c r="J22" s="228" t="str">
        <f ca="1">IF(Giocatori!Q28=0,"",Giocatori!Q28)</f>
        <v/>
      </c>
      <c r="K22" s="229" t="str">
        <f ca="1">IF(Giocatori!R28=0,"",Giocatori!R28)</f>
        <v/>
      </c>
      <c r="L22" s="229" t="str">
        <f ca="1">IF(Giocatori!P28=0,"",Giocatori!P28)</f>
        <v/>
      </c>
      <c r="M22" s="228" t="str">
        <f ca="1">IF(Giocatori!N28=0,"",Giocatori!N28)</f>
        <v>CORNELIUS</v>
      </c>
      <c r="N22" s="229" t="str">
        <f ca="1">IF(Giocatori!O28=0,"",Giocatori!O28)</f>
        <v>Atalanta</v>
      </c>
      <c r="O22" s="229" t="str">
        <f ca="1">IF(Giocatori!M28=0,"",Giocatori!M28)</f>
        <v>A</v>
      </c>
      <c r="Z22" s="56" t="str">
        <f ca="1">'I.A. + Fasce'!AC22</f>
        <v/>
      </c>
      <c r="AA22" s="56" t="str">
        <f ca="1">'I.A. + Fasce'!AD22</f>
        <v/>
      </c>
      <c r="AB22" s="56" t="str">
        <f ca="1">'I.A. + Fasce'!AE22</f>
        <v/>
      </c>
      <c r="AC22" s="56" t="str">
        <f ca="1">'I.A. + Fasce'!AF22</f>
        <v/>
      </c>
      <c r="AD22" s="56" t="str">
        <f ca="1">'I.A. + Fasce'!AG22</f>
        <v/>
      </c>
    </row>
    <row r="23" spans="1:30">
      <c r="A23" s="228" t="str">
        <f ca="1">IF(Giocatori!E29=0,"",Giocatori!E29)</f>
        <v>GABRIEL</v>
      </c>
      <c r="B23" s="229" t="str">
        <f ca="1">IF(Giocatori!F29=0,"",Giocatori!F29)</f>
        <v>Milan</v>
      </c>
      <c r="C23" s="229" t="str">
        <f ca="1">IF(Giocatori!D29=0,"",Giocatori!D29)</f>
        <v>P</v>
      </c>
      <c r="D23" s="228" t="str">
        <f ca="1">IF(Giocatori!H29=0,"",Giocatori!H29)</f>
        <v>BASTONI</v>
      </c>
      <c r="E23" s="229" t="str">
        <f ca="1">IF(Giocatori!I29=0,"",Giocatori!I29)</f>
        <v>Atalanta</v>
      </c>
      <c r="F23" s="229" t="str">
        <f ca="1">IF(Giocatori!G29=0,"",Giocatori!G29)</f>
        <v>D</v>
      </c>
      <c r="G23" s="228" t="str">
        <f ca="1">IF(Giocatori!K29=0,"",Giocatori!K29)</f>
        <v>BIRSA</v>
      </c>
      <c r="H23" s="229" t="str">
        <f ca="1">IF(Giocatori!L29=0,"",Giocatori!L29)</f>
        <v>Chievo</v>
      </c>
      <c r="I23" s="229" t="str">
        <f ca="1">IF(Giocatori!J29=0,"",Giocatori!J29)</f>
        <v>C</v>
      </c>
      <c r="J23" s="228" t="str">
        <f ca="1">IF(Giocatori!Q29=0,"",Giocatori!Q29)</f>
        <v/>
      </c>
      <c r="K23" s="229" t="str">
        <f ca="1">IF(Giocatori!R29=0,"",Giocatori!R29)</f>
        <v/>
      </c>
      <c r="L23" s="229" t="str">
        <f ca="1">IF(Giocatori!P29=0,"",Giocatori!P29)</f>
        <v/>
      </c>
      <c r="M23" s="228" t="str">
        <f ca="1">IF(Giocatori!N29=0,"",Giocatori!N29)</f>
        <v>CUTRONE</v>
      </c>
      <c r="N23" s="229" t="str">
        <f ca="1">IF(Giocatori!O29=0,"",Giocatori!O29)</f>
        <v>Milan</v>
      </c>
      <c r="O23" s="229" t="str">
        <f ca="1">IF(Giocatori!M29=0,"",Giocatori!M29)</f>
        <v>A</v>
      </c>
      <c r="Z23" s="56" t="str">
        <f ca="1">'I.A. + Fasce'!AC23</f>
        <v/>
      </c>
      <c r="AA23" s="56" t="str">
        <f ca="1">'I.A. + Fasce'!AD23</f>
        <v/>
      </c>
      <c r="AB23" s="56" t="str">
        <f ca="1">'I.A. + Fasce'!AE23</f>
        <v/>
      </c>
      <c r="AC23" s="56" t="str">
        <f ca="1">'I.A. + Fasce'!AF23</f>
        <v/>
      </c>
      <c r="AD23" s="56" t="str">
        <f ca="1">'I.A. + Fasce'!AG23</f>
        <v/>
      </c>
    </row>
    <row r="24" spans="1:30">
      <c r="A24" s="228" t="str">
        <f ca="1">IF(Giocatori!E30=0,"",Giocatori!E30)</f>
        <v>GOLLINI</v>
      </c>
      <c r="B24" s="229" t="str">
        <f ca="1">IF(Giocatori!F30=0,"",Giocatori!F30)</f>
        <v>Atalanta</v>
      </c>
      <c r="C24" s="229" t="str">
        <f ca="1">IF(Giocatori!D30=0,"",Giocatori!D30)</f>
        <v>P</v>
      </c>
      <c r="D24" s="228" t="str">
        <f ca="1">IF(Giocatori!H30=0,"",Giocatori!H30)</f>
        <v>BASTOS</v>
      </c>
      <c r="E24" s="229" t="str">
        <f ca="1">IF(Giocatori!I30=0,"",Giocatori!I30)</f>
        <v>Lazio</v>
      </c>
      <c r="F24" s="229" t="str">
        <f ca="1">IF(Giocatori!G30=0,"",Giocatori!G30)</f>
        <v>D</v>
      </c>
      <c r="G24" s="228" t="str">
        <f ca="1">IF(Giocatori!K30=0,"",Giocatori!K30)</f>
        <v>BONAVENTURA</v>
      </c>
      <c r="H24" s="229" t="str">
        <f ca="1">IF(Giocatori!L30=0,"",Giocatori!L30)</f>
        <v>Milan</v>
      </c>
      <c r="I24" s="229" t="str">
        <f ca="1">IF(Giocatori!J30=0,"",Giocatori!J30)</f>
        <v>C</v>
      </c>
      <c r="J24" s="228" t="str">
        <f ca="1">IF(Giocatori!Q30=0,"",Giocatori!Q30)</f>
        <v/>
      </c>
      <c r="K24" s="229" t="str">
        <f ca="1">IF(Giocatori!R30=0,"",Giocatori!R30)</f>
        <v/>
      </c>
      <c r="L24" s="229" t="str">
        <f ca="1">IF(Giocatori!P30=0,"",Giocatori!P30)</f>
        <v/>
      </c>
      <c r="M24" s="228" t="str">
        <f ca="1">IF(Giocatori!N30=0,"",Giocatori!N30)</f>
        <v>DEFREL</v>
      </c>
      <c r="N24" s="229" t="str">
        <f ca="1">IF(Giocatori!O30=0,"",Giocatori!O30)</f>
        <v>Roma</v>
      </c>
      <c r="O24" s="229" t="str">
        <f ca="1">IF(Giocatori!M30=0,"",Giocatori!M30)</f>
        <v>A</v>
      </c>
      <c r="Z24" s="56" t="str">
        <f ca="1">'I.A. + Fasce'!AC24</f>
        <v/>
      </c>
      <c r="AA24" s="56" t="str">
        <f ca="1">'I.A. + Fasce'!AD24</f>
        <v/>
      </c>
      <c r="AB24" s="56" t="str">
        <f ca="1">'I.A. + Fasce'!AE24</f>
        <v/>
      </c>
      <c r="AC24" s="56" t="str">
        <f ca="1">'I.A. + Fasce'!AF24</f>
        <v/>
      </c>
      <c r="AD24" s="56" t="str">
        <f ca="1">'I.A. + Fasce'!AG24</f>
        <v/>
      </c>
    </row>
    <row r="25" spans="1:30">
      <c r="A25" s="228" t="str">
        <f ca="1">IF(Giocatori!E31=0,"",Giocatori!E31)</f>
        <v>GOMIS A</v>
      </c>
      <c r="B25" s="229" t="str">
        <f ca="1">IF(Giocatori!F31=0,"",Giocatori!F31)</f>
        <v>SPAL</v>
      </c>
      <c r="C25" s="229" t="str">
        <f ca="1">IF(Giocatori!D31=0,"",Giocatori!D31)</f>
        <v>P</v>
      </c>
      <c r="D25" s="228" t="str">
        <f ca="1">IF(Giocatori!H31=0,"",Giocatori!H31)</f>
        <v>BENATIA</v>
      </c>
      <c r="E25" s="229" t="str">
        <f ca="1">IF(Giocatori!I31=0,"",Giocatori!I31)</f>
        <v>Juventus</v>
      </c>
      <c r="F25" s="229" t="str">
        <f ca="1">IF(Giocatori!G31=0,"",Giocatori!G31)</f>
        <v>D</v>
      </c>
      <c r="G25" s="228" t="str">
        <f ca="1">IF(Giocatori!K31=0,"",Giocatori!K31)</f>
        <v>BORJA VALERO</v>
      </c>
      <c r="H25" s="229" t="str">
        <f ca="1">IF(Giocatori!L31=0,"",Giocatori!L31)</f>
        <v>Inter</v>
      </c>
      <c r="I25" s="229" t="str">
        <f ca="1">IF(Giocatori!J31=0,"",Giocatori!J31)</f>
        <v>C</v>
      </c>
      <c r="J25" s="228" t="str">
        <f ca="1">IF(Giocatori!Q31=0,"",Giocatori!Q31)</f>
        <v/>
      </c>
      <c r="K25" s="229" t="str">
        <f ca="1">IF(Giocatori!R31=0,"",Giocatori!R31)</f>
        <v/>
      </c>
      <c r="L25" s="229" t="str">
        <f ca="1">IF(Giocatori!P31=0,"",Giocatori!P31)</f>
        <v/>
      </c>
      <c r="M25" s="228" t="str">
        <f ca="1">IF(Giocatori!N31=0,"",Giocatori!N31)</f>
        <v>DESTRO</v>
      </c>
      <c r="N25" s="229" t="str">
        <f ca="1">IF(Giocatori!O31=0,"",Giocatori!O31)</f>
        <v>Bologna</v>
      </c>
      <c r="O25" s="229" t="str">
        <f ca="1">IF(Giocatori!M31=0,"",Giocatori!M31)</f>
        <v>A</v>
      </c>
      <c r="Z25" s="56" t="str">
        <f ca="1">'I.A. + Fasce'!AC25</f>
        <v/>
      </c>
      <c r="AA25" s="56" t="str">
        <f ca="1">'I.A. + Fasce'!AD25</f>
        <v/>
      </c>
      <c r="AB25" s="56" t="str">
        <f ca="1">'I.A. + Fasce'!AE25</f>
        <v/>
      </c>
      <c r="AC25" s="56" t="str">
        <f ca="1">'I.A. + Fasce'!AF25</f>
        <v/>
      </c>
      <c r="AD25" s="56" t="str">
        <f ca="1">'I.A. + Fasce'!AG25</f>
        <v/>
      </c>
    </row>
    <row r="26" spans="1:30">
      <c r="A26" s="228" t="str">
        <f ca="1">IF(Giocatori!E32=0,"",Giocatori!E32)</f>
        <v>GUERRIERI</v>
      </c>
      <c r="B26" s="229" t="str">
        <f ca="1">IF(Giocatori!F32=0,"",Giocatori!F32)</f>
        <v>Lazio</v>
      </c>
      <c r="C26" s="229" t="str">
        <f ca="1">IF(Giocatori!D32=0,"",Giocatori!D32)</f>
        <v>P</v>
      </c>
      <c r="D26" s="228" t="str">
        <f ca="1">IF(Giocatori!H32=0,"",Giocatori!H32)</f>
        <v>BERESZYNSKI</v>
      </c>
      <c r="E26" s="229" t="str">
        <f ca="1">IF(Giocatori!I32=0,"",Giocatori!I32)</f>
        <v>Sampdoria</v>
      </c>
      <c r="F26" s="229" t="str">
        <f ca="1">IF(Giocatori!G32=0,"",Giocatori!G32)</f>
        <v>D</v>
      </c>
      <c r="G26" s="228" t="str">
        <f ca="1">IF(Giocatori!K32=0,"",Giocatori!K32)</f>
        <v>BRLEK</v>
      </c>
      <c r="H26" s="229" t="str">
        <f ca="1">IF(Giocatori!L32=0,"",Giocatori!L32)</f>
        <v>Genoa</v>
      </c>
      <c r="I26" s="229" t="str">
        <f ca="1">IF(Giocatori!J32=0,"",Giocatori!J32)</f>
        <v>C</v>
      </c>
      <c r="J26" s="228" t="str">
        <f ca="1">IF(Giocatori!Q32=0,"",Giocatori!Q32)</f>
        <v/>
      </c>
      <c r="K26" s="229" t="str">
        <f ca="1">IF(Giocatori!R32=0,"",Giocatori!R32)</f>
        <v/>
      </c>
      <c r="L26" s="229" t="str">
        <f ca="1">IF(Giocatori!P32=0,"",Giocatori!P32)</f>
        <v/>
      </c>
      <c r="M26" s="228" t="str">
        <f ca="1">IF(Giocatori!N32=0,"",Giocatori!N32)</f>
        <v>DI FRANCESCO F</v>
      </c>
      <c r="N26" s="229" t="str">
        <f ca="1">IF(Giocatori!O32=0,"",Giocatori!O32)</f>
        <v>Bologna</v>
      </c>
      <c r="O26" s="229" t="str">
        <f ca="1">IF(Giocatori!M32=0,"",Giocatori!M32)</f>
        <v>A</v>
      </c>
      <c r="Z26" s="56" t="str">
        <f ca="1">'I.A. + Fasce'!AC26</f>
        <v/>
      </c>
      <c r="AA26" s="56" t="str">
        <f ca="1">'I.A. + Fasce'!AD26</f>
        <v/>
      </c>
      <c r="AB26" s="56" t="str">
        <f ca="1">'I.A. + Fasce'!AE26</f>
        <v/>
      </c>
      <c r="AC26" s="56" t="str">
        <f ca="1">'I.A. + Fasce'!AF26</f>
        <v/>
      </c>
      <c r="AD26" s="56" t="str">
        <f ca="1">'I.A. + Fasce'!AG26</f>
        <v/>
      </c>
    </row>
    <row r="27" spans="1:30">
      <c r="A27" s="228" t="str">
        <f ca="1">IF(Giocatori!E33=0,"",Giocatori!E33)</f>
        <v>HANDANOVIC</v>
      </c>
      <c r="B27" s="229" t="str">
        <f ca="1">IF(Giocatori!F33=0,"",Giocatori!F33)</f>
        <v>Inter</v>
      </c>
      <c r="C27" s="229" t="str">
        <f ca="1">IF(Giocatori!D33=0,"",Giocatori!D33)</f>
        <v>P</v>
      </c>
      <c r="D27" s="228" t="str">
        <f ca="1">IF(Giocatori!H33=0,"",Giocatori!H33)</f>
        <v>BIANCHETTI</v>
      </c>
      <c r="E27" s="229" t="str">
        <f ca="1">IF(Giocatori!I33=0,"",Giocatori!I33)</f>
        <v>Verona</v>
      </c>
      <c r="F27" s="229" t="str">
        <f ca="1">IF(Giocatori!G33=0,"",Giocatori!G33)</f>
        <v>D</v>
      </c>
      <c r="G27" s="228" t="str">
        <f ca="1">IF(Giocatori!K33=0,"",Giocatori!K33)</f>
        <v>BROZOVIC</v>
      </c>
      <c r="H27" s="229" t="str">
        <f ca="1">IF(Giocatori!L33=0,"",Giocatori!L33)</f>
        <v>Inter</v>
      </c>
      <c r="I27" s="229" t="str">
        <f ca="1">IF(Giocatori!J33=0,"",Giocatori!J33)</f>
        <v>C</v>
      </c>
      <c r="J27" s="228" t="str">
        <f ca="1">IF(Giocatori!Q33=0,"",Giocatori!Q33)</f>
        <v/>
      </c>
      <c r="K27" s="229" t="str">
        <f ca="1">IF(Giocatori!R33=0,"",Giocatori!R33)</f>
        <v/>
      </c>
      <c r="L27" s="229" t="str">
        <f ca="1">IF(Giocatori!P33=0,"",Giocatori!P33)</f>
        <v/>
      </c>
      <c r="M27" s="228" t="str">
        <f ca="1">IF(Giocatori!N33=0,"",Giocatori!N33)</f>
        <v>DJORDJEVIC</v>
      </c>
      <c r="N27" s="229" t="str">
        <f ca="1">IF(Giocatori!O33=0,"",Giocatori!O33)</f>
        <v>Lazio</v>
      </c>
      <c r="O27" s="229" t="str">
        <f ca="1">IF(Giocatori!M33=0,"",Giocatori!M33)</f>
        <v>A</v>
      </c>
      <c r="Z27" s="56" t="str">
        <f ca="1">'I.A. + Fasce'!AC27</f>
        <v/>
      </c>
      <c r="AA27" s="56" t="str">
        <f ca="1">'I.A. + Fasce'!AD27</f>
        <v/>
      </c>
      <c r="AB27" s="56" t="str">
        <f ca="1">'I.A. + Fasce'!AE27</f>
        <v/>
      </c>
      <c r="AC27" s="56" t="str">
        <f ca="1">'I.A. + Fasce'!AF27</f>
        <v/>
      </c>
      <c r="AD27" s="56" t="str">
        <f ca="1">'I.A. + Fasce'!AG27</f>
        <v/>
      </c>
    </row>
    <row r="28" spans="1:30">
      <c r="A28" s="228" t="str">
        <f ca="1">IF(Giocatori!E34=0,"",Giocatori!E34)</f>
        <v>ICHAZO</v>
      </c>
      <c r="B28" s="229" t="str">
        <f ca="1">IF(Giocatori!F34=0,"",Giocatori!F34)</f>
        <v>Torino</v>
      </c>
      <c r="C28" s="229" t="str">
        <f ca="1">IF(Giocatori!D34=0,"",Giocatori!D34)</f>
        <v>P</v>
      </c>
      <c r="D28" s="228" t="str">
        <f ca="1">IF(Giocatori!H34=0,"",Giocatori!H34)</f>
        <v>BIRAGHI</v>
      </c>
      <c r="E28" s="229" t="str">
        <f ca="1">IF(Giocatori!I34=0,"",Giocatori!I34)</f>
        <v>Fiorentina</v>
      </c>
      <c r="F28" s="229" t="str">
        <f ca="1">IF(Giocatori!G34=0,"",Giocatori!G34)</f>
        <v>D</v>
      </c>
      <c r="G28" s="228" t="str">
        <f ca="1">IF(Giocatori!K34=0,"",Giocatori!K34)</f>
        <v>BUCHEL</v>
      </c>
      <c r="H28" s="229" t="str">
        <f ca="1">IF(Giocatori!L34=0,"",Giocatori!L34)</f>
        <v>Verona</v>
      </c>
      <c r="I28" s="229" t="str">
        <f ca="1">IF(Giocatori!J34=0,"",Giocatori!J34)</f>
        <v>C</v>
      </c>
      <c r="J28" s="228" t="str">
        <f ca="1">IF(Giocatori!Q34=0,"",Giocatori!Q34)</f>
        <v/>
      </c>
      <c r="K28" s="229" t="str">
        <f ca="1">IF(Giocatori!R34=0,"",Giocatori!R34)</f>
        <v/>
      </c>
      <c r="L28" s="229" t="str">
        <f ca="1">IF(Giocatori!P34=0,"",Giocatori!P34)</f>
        <v/>
      </c>
      <c r="M28" s="228" t="str">
        <f ca="1">IF(Giocatori!N34=0,"",Giocatori!N34)</f>
        <v>DYBALA</v>
      </c>
      <c r="N28" s="229" t="str">
        <f ca="1">IF(Giocatori!O34=0,"",Giocatori!O34)</f>
        <v>Juventus</v>
      </c>
      <c r="O28" s="229" t="str">
        <f ca="1">IF(Giocatori!M34=0,"",Giocatori!M34)</f>
        <v>A</v>
      </c>
      <c r="Z28" s="56" t="str">
        <f ca="1">'I.A. + Fasce'!AC28</f>
        <v/>
      </c>
      <c r="AA28" s="56" t="str">
        <f ca="1">'I.A. + Fasce'!AD28</f>
        <v/>
      </c>
      <c r="AB28" s="56" t="str">
        <f ca="1">'I.A. + Fasce'!AE28</f>
        <v/>
      </c>
      <c r="AC28" s="56" t="str">
        <f ca="1">'I.A. + Fasce'!AF28</f>
        <v/>
      </c>
      <c r="AD28" s="56" t="str">
        <f ca="1">'I.A. + Fasce'!AG28</f>
        <v/>
      </c>
    </row>
    <row r="29" spans="1:30">
      <c r="A29" s="228" t="str">
        <f ca="1">IF(Giocatori!E35=0,"",Giocatori!E35)</f>
        <v>LAMANNA</v>
      </c>
      <c r="B29" s="229" t="str">
        <f ca="1">IF(Giocatori!F35=0,"",Giocatori!F35)</f>
        <v>Genoa</v>
      </c>
      <c r="C29" s="229" t="str">
        <f ca="1">IF(Giocatori!D35=0,"",Giocatori!D35)</f>
        <v>P</v>
      </c>
      <c r="D29" s="228" t="str">
        <f ca="1">IF(Giocatori!H35=0,"",Giocatori!H35)</f>
        <v>BIRASCHI</v>
      </c>
      <c r="E29" s="229" t="str">
        <f ca="1">IF(Giocatori!I35=0,"",Giocatori!I35)</f>
        <v>Genoa</v>
      </c>
      <c r="F29" s="229" t="str">
        <f ca="1">IF(Giocatori!G35=0,"",Giocatori!G35)</f>
        <v>D</v>
      </c>
      <c r="G29" s="228" t="str">
        <f ca="1">IF(Giocatori!K35=0,"",Giocatori!K35)</f>
        <v>CALHANOGLU</v>
      </c>
      <c r="H29" s="229" t="str">
        <f ca="1">IF(Giocatori!L35=0,"",Giocatori!L35)</f>
        <v>Milan</v>
      </c>
      <c r="I29" s="229" t="str">
        <f ca="1">IF(Giocatori!J35=0,"",Giocatori!J35)</f>
        <v>C</v>
      </c>
      <c r="J29" s="228" t="str">
        <f ca="1">IF(Giocatori!Q35=0,"",Giocatori!Q35)</f>
        <v/>
      </c>
      <c r="K29" s="229" t="str">
        <f ca="1">IF(Giocatori!R35=0,"",Giocatori!R35)</f>
        <v/>
      </c>
      <c r="L29" s="229" t="str">
        <f ca="1">IF(Giocatori!P35=0,"",Giocatori!P35)</f>
        <v/>
      </c>
      <c r="M29" s="228" t="str">
        <f ca="1">IF(Giocatori!N35=0,"",Giocatori!N35)</f>
        <v>DZEKO</v>
      </c>
      <c r="N29" s="229" t="str">
        <f ca="1">IF(Giocatori!O35=0,"",Giocatori!O35)</f>
        <v>Roma</v>
      </c>
      <c r="O29" s="229" t="str">
        <f ca="1">IF(Giocatori!M35=0,"",Giocatori!M35)</f>
        <v>A</v>
      </c>
      <c r="Z29" s="56" t="str">
        <f ca="1">'I.A. + Fasce'!AC29</f>
        <v/>
      </c>
      <c r="AA29" s="56" t="str">
        <f ca="1">'I.A. + Fasce'!AD29</f>
        <v/>
      </c>
      <c r="AB29" s="56" t="str">
        <f ca="1">'I.A. + Fasce'!AE29</f>
        <v/>
      </c>
      <c r="AC29" s="56" t="str">
        <f ca="1">'I.A. + Fasce'!AF29</f>
        <v/>
      </c>
      <c r="AD29" s="56" t="str">
        <f ca="1">'I.A. + Fasce'!AG29</f>
        <v/>
      </c>
    </row>
    <row r="30" spans="1:30">
      <c r="A30" s="228" t="str">
        <f ca="1">IF(Giocatori!E36=0,"",Giocatori!E36)</f>
        <v>LOBONT</v>
      </c>
      <c r="B30" s="229" t="str">
        <f ca="1">IF(Giocatori!F36=0,"",Giocatori!F36)</f>
        <v>Roma</v>
      </c>
      <c r="C30" s="229" t="str">
        <f ca="1">IF(Giocatori!D36=0,"",Giocatori!D36)</f>
        <v>P</v>
      </c>
      <c r="D30" s="228" t="str">
        <f ca="1">IF(Giocatori!H36=0,"",Giocatori!H36)</f>
        <v>BOCHNIEWICZ</v>
      </c>
      <c r="E30" s="229" t="str">
        <f ca="1">IF(Giocatori!I36=0,"",Giocatori!I36)</f>
        <v>Udinese</v>
      </c>
      <c r="F30" s="229" t="str">
        <f ca="1">IF(Giocatori!G36=0,"",Giocatori!G36)</f>
        <v>D</v>
      </c>
      <c r="G30" s="228" t="str">
        <f ca="1">IF(Giocatori!K36=0,"",Giocatori!K36)</f>
        <v>CANDREVA</v>
      </c>
      <c r="H30" s="229" t="str">
        <f ca="1">IF(Giocatori!L36=0,"",Giocatori!L36)</f>
        <v>Inter</v>
      </c>
      <c r="I30" s="229" t="str">
        <f ca="1">IF(Giocatori!J36=0,"",Giocatori!J36)</f>
        <v>C</v>
      </c>
      <c r="J30" s="228" t="str">
        <f ca="1">IF(Giocatori!Q36=0,"",Giocatori!Q36)</f>
        <v/>
      </c>
      <c r="K30" s="229" t="str">
        <f ca="1">IF(Giocatori!R36=0,"",Giocatori!R36)</f>
        <v/>
      </c>
      <c r="L30" s="229" t="str">
        <f ca="1">IF(Giocatori!P36=0,"",Giocatori!P36)</f>
        <v/>
      </c>
      <c r="M30" s="228" t="str">
        <f ca="1">IF(Giocatori!N36=0,"",Giocatori!N36)</f>
        <v>EDER</v>
      </c>
      <c r="N30" s="229" t="str">
        <f ca="1">IF(Giocatori!O36=0,"",Giocatori!O36)</f>
        <v>Inter</v>
      </c>
      <c r="O30" s="229" t="str">
        <f ca="1">IF(Giocatori!M36=0,"",Giocatori!M36)</f>
        <v>A</v>
      </c>
      <c r="Z30" s="56" t="str">
        <f ca="1">'I.A. + Fasce'!AC30</f>
        <v/>
      </c>
      <c r="AA30" s="56" t="str">
        <f ca="1">'I.A. + Fasce'!AD30</f>
        <v/>
      </c>
      <c r="AB30" s="56" t="str">
        <f ca="1">'I.A. + Fasce'!AE30</f>
        <v/>
      </c>
      <c r="AC30" s="56" t="str">
        <f ca="1">'I.A. + Fasce'!AF30</f>
        <v/>
      </c>
      <c r="AD30" s="56" t="str">
        <f ca="1">'I.A. + Fasce'!AG30</f>
        <v/>
      </c>
    </row>
    <row r="31" spans="1:30">
      <c r="A31" s="228" t="str">
        <f ca="1">IF(Giocatori!E37=0,"",Giocatori!E37)</f>
        <v>MARCHEGIANI</v>
      </c>
      <c r="B31" s="229" t="str">
        <f ca="1">IF(Giocatori!F37=0,"",Giocatori!F37)</f>
        <v>SPAL</v>
      </c>
      <c r="C31" s="229" t="str">
        <f ca="1">IF(Giocatori!D37=0,"",Giocatori!D37)</f>
        <v>P</v>
      </c>
      <c r="D31" s="228" t="str">
        <f ca="1">IF(Giocatori!H37=0,"",Giocatori!H37)</f>
        <v>BONIFAZI</v>
      </c>
      <c r="E31" s="229" t="str">
        <f ca="1">IF(Giocatori!I37=0,"",Giocatori!I37)</f>
        <v>Torino</v>
      </c>
      <c r="F31" s="229" t="str">
        <f ca="1">IF(Giocatori!G37=0,"",Giocatori!G37)</f>
        <v>D</v>
      </c>
      <c r="G31" s="228" t="str">
        <f ca="1">IF(Giocatori!K37=0,"",Giocatori!K37)</f>
        <v>CAPEZZI</v>
      </c>
      <c r="H31" s="229" t="str">
        <f ca="1">IF(Giocatori!L37=0,"",Giocatori!L37)</f>
        <v>Sampdoria</v>
      </c>
      <c r="I31" s="229" t="str">
        <f ca="1">IF(Giocatori!J37=0,"",Giocatori!J37)</f>
        <v>C</v>
      </c>
      <c r="J31" s="228" t="str">
        <f ca="1">IF(Giocatori!Q37=0,"",Giocatori!Q37)</f>
        <v/>
      </c>
      <c r="K31" s="229" t="str">
        <f ca="1">IF(Giocatori!R37=0,"",Giocatori!R37)</f>
        <v/>
      </c>
      <c r="L31" s="229" t="str">
        <f ca="1">IF(Giocatori!P37=0,"",Giocatori!P37)</f>
        <v/>
      </c>
      <c r="M31" s="228" t="str">
        <f ca="1">IF(Giocatori!N37=0,"",Giocatori!N37)</f>
        <v>EDERA</v>
      </c>
      <c r="N31" s="229" t="str">
        <f ca="1">IF(Giocatori!O37=0,"",Giocatori!O37)</f>
        <v>Torino</v>
      </c>
      <c r="O31" s="229" t="str">
        <f ca="1">IF(Giocatori!M37=0,"",Giocatori!M37)</f>
        <v>A</v>
      </c>
      <c r="Z31" s="56" t="str">
        <f ca="1">'I.A. + Fasce'!AC31</f>
        <v/>
      </c>
      <c r="AA31" s="56" t="str">
        <f ca="1">'I.A. + Fasce'!AD31</f>
        <v/>
      </c>
      <c r="AB31" s="56" t="str">
        <f ca="1">'I.A. + Fasce'!AE31</f>
        <v/>
      </c>
      <c r="AC31" s="56" t="str">
        <f ca="1">'I.A. + Fasce'!AF31</f>
        <v/>
      </c>
      <c r="AD31" s="56" t="str">
        <f ca="1">'I.A. + Fasce'!AG31</f>
        <v/>
      </c>
    </row>
    <row r="32" spans="1:30">
      <c r="A32" s="228" t="str">
        <f ca="1">IF(Giocatori!E38=0,"",Giocatori!E38)</f>
        <v>MARCHETTI</v>
      </c>
      <c r="B32" s="229" t="str">
        <f ca="1">IF(Giocatori!F38=0,"",Giocatori!F38)</f>
        <v>Lazio</v>
      </c>
      <c r="C32" s="229" t="str">
        <f ca="1">IF(Giocatori!D38=0,"",Giocatori!D38)</f>
        <v>P</v>
      </c>
      <c r="D32" s="228" t="str">
        <f ca="1">IF(Giocatori!H38=0,"",Giocatori!H38)</f>
        <v>BONUCCI</v>
      </c>
      <c r="E32" s="229" t="str">
        <f ca="1">IF(Giocatori!I38=0,"",Giocatori!I38)</f>
        <v>Milan</v>
      </c>
      <c r="F32" s="229" t="str">
        <f ca="1">IF(Giocatori!G38=0,"",Giocatori!G38)</f>
        <v>D</v>
      </c>
      <c r="G32" s="228" t="str">
        <f ca="1">IF(Giocatori!K38=0,"",Giocatori!K38)</f>
        <v>CASSATA</v>
      </c>
      <c r="H32" s="229" t="str">
        <f ca="1">IF(Giocatori!L38=0,"",Giocatori!L38)</f>
        <v>Sassuolo</v>
      </c>
      <c r="I32" s="229" t="str">
        <f ca="1">IF(Giocatori!J38=0,"",Giocatori!J38)</f>
        <v>C</v>
      </c>
      <c r="J32" s="228" t="str">
        <f ca="1">IF(Giocatori!Q38=0,"",Giocatori!Q38)</f>
        <v/>
      </c>
      <c r="K32" s="229" t="str">
        <f ca="1">IF(Giocatori!R38=0,"",Giocatori!R38)</f>
        <v/>
      </c>
      <c r="L32" s="229" t="str">
        <f ca="1">IF(Giocatori!P38=0,"",Giocatori!P38)</f>
        <v/>
      </c>
      <c r="M32" s="228" t="str">
        <f ca="1">IF(Giocatori!N38=0,"",Giocatori!N38)</f>
        <v>EL SHAARAWY</v>
      </c>
      <c r="N32" s="229" t="str">
        <f ca="1">IF(Giocatori!O38=0,"",Giocatori!O38)</f>
        <v>Roma</v>
      </c>
      <c r="O32" s="229" t="str">
        <f ca="1">IF(Giocatori!M38=0,"",Giocatori!M38)</f>
        <v>A</v>
      </c>
      <c r="Z32" s="56">
        <f>'I.A. + Fasce'!AC32</f>
        <v>0</v>
      </c>
      <c r="AA32" s="56" t="str">
        <f ca="1">'I.A. + Fasce'!AD32</f>
        <v/>
      </c>
      <c r="AB32" s="56" t="str">
        <f ca="1">'I.A. + Fasce'!AE32</f>
        <v/>
      </c>
      <c r="AC32" s="56" t="str">
        <f ca="1">'I.A. + Fasce'!AF32</f>
        <v/>
      </c>
      <c r="AD32" s="56" t="str">
        <f ca="1">'I.A. + Fasce'!AG32</f>
        <v/>
      </c>
    </row>
    <row r="33" spans="1:30">
      <c r="A33" s="228" t="str">
        <f ca="1">IF(Giocatori!E39=0,"",Giocatori!E39)</f>
        <v>MARSON</v>
      </c>
      <c r="B33" s="229" t="str">
        <f ca="1">IF(Giocatori!F39=0,"",Giocatori!F39)</f>
        <v>Sassuolo</v>
      </c>
      <c r="C33" s="229" t="str">
        <f ca="1">IF(Giocatori!D39=0,"",Giocatori!D39)</f>
        <v>P</v>
      </c>
      <c r="D33" s="228" t="str">
        <f ca="1">IF(Giocatori!H39=0,"",Giocatori!H39)</f>
        <v>BRUNO PERES</v>
      </c>
      <c r="E33" s="229" t="str">
        <f ca="1">IF(Giocatori!I39=0,"",Giocatori!I39)</f>
        <v>Roma</v>
      </c>
      <c r="F33" s="229" t="str">
        <f ca="1">IF(Giocatori!G39=0,"",Giocatori!G39)</f>
        <v>D</v>
      </c>
      <c r="G33" s="228" t="str">
        <f ca="1">IF(Giocatori!K39=0,"",Giocatori!K39)</f>
        <v>CASTRO</v>
      </c>
      <c r="H33" s="229" t="str">
        <f ca="1">IF(Giocatori!L39=0,"",Giocatori!L39)</f>
        <v>Chievo</v>
      </c>
      <c r="I33" s="229" t="str">
        <f ca="1">IF(Giocatori!J39=0,"",Giocatori!J39)</f>
        <v>C</v>
      </c>
      <c r="J33" s="228" t="str">
        <f ca="1">IF(Giocatori!Q39=0,"",Giocatori!Q39)</f>
        <v/>
      </c>
      <c r="K33" s="229" t="str">
        <f ca="1">IF(Giocatori!R39=0,"",Giocatori!R39)</f>
        <v/>
      </c>
      <c r="L33" s="229" t="str">
        <f ca="1">IF(Giocatori!P39=0,"",Giocatori!P39)</f>
        <v/>
      </c>
      <c r="M33" s="228" t="str">
        <f ca="1">IF(Giocatori!N39=0,"",Giocatori!N39)</f>
        <v>FALCINELLI</v>
      </c>
      <c r="N33" s="229" t="str">
        <f ca="1">IF(Giocatori!O39=0,"",Giocatori!O39)</f>
        <v>Sassuolo</v>
      </c>
      <c r="O33" s="229" t="str">
        <f ca="1">IF(Giocatori!M39=0,"",Giocatori!M39)</f>
        <v>A</v>
      </c>
      <c r="Z33" s="56">
        <f>'I.A. + Fasce'!AC33</f>
        <v>0</v>
      </c>
      <c r="AA33" s="56" t="str">
        <f ca="1">'I.A. + Fasce'!AD33</f>
        <v/>
      </c>
      <c r="AB33" s="56" t="str">
        <f ca="1">'I.A. + Fasce'!AE33</f>
        <v/>
      </c>
      <c r="AC33" s="56" t="str">
        <f ca="1">'I.A. + Fasce'!AF33</f>
        <v/>
      </c>
      <c r="AD33" s="56" t="str">
        <f ca="1">'I.A. + Fasce'!AG33</f>
        <v/>
      </c>
    </row>
    <row r="34" spans="1:30">
      <c r="A34" s="228" t="str">
        <f ca="1">IF(Giocatori!E40=0,"",Giocatori!E40)</f>
        <v>MERET</v>
      </c>
      <c r="B34" s="229" t="str">
        <f ca="1">IF(Giocatori!F40=0,"",Giocatori!F40)</f>
        <v>SPAL</v>
      </c>
      <c r="C34" s="229" t="str">
        <f ca="1">IF(Giocatori!D40=0,"",Giocatori!D40)</f>
        <v>P</v>
      </c>
      <c r="D34" s="228" t="str">
        <f ca="1">IF(Giocatori!H40=0,"",Giocatori!H40)</f>
        <v>BURDISSO</v>
      </c>
      <c r="E34" s="229" t="str">
        <f ca="1">IF(Giocatori!I40=0,"",Giocatori!I40)</f>
        <v>Torino</v>
      </c>
      <c r="F34" s="229" t="str">
        <f ca="1">IF(Giocatori!G40=0,"",Giocatori!G40)</f>
        <v>D</v>
      </c>
      <c r="G34" s="228" t="str">
        <f ca="1">IF(Giocatori!K40=0,"",Giocatori!K40)</f>
        <v>CATALDI</v>
      </c>
      <c r="H34" s="229" t="str">
        <f ca="1">IF(Giocatori!L40=0,"",Giocatori!L40)</f>
        <v>Benevento</v>
      </c>
      <c r="I34" s="229" t="str">
        <f ca="1">IF(Giocatori!J40=0,"",Giocatori!J40)</f>
        <v>C</v>
      </c>
      <c r="J34" s="228" t="str">
        <f ca="1">IF(Giocatori!Q40=0,"",Giocatori!Q40)</f>
        <v/>
      </c>
      <c r="K34" s="229" t="str">
        <f ca="1">IF(Giocatori!R40=0,"",Giocatori!R40)</f>
        <v/>
      </c>
      <c r="L34" s="229" t="str">
        <f ca="1">IF(Giocatori!P40=0,"",Giocatori!P40)</f>
        <v/>
      </c>
      <c r="M34" s="228" t="str">
        <f ca="1">IF(Giocatori!N40=0,"",Giocatori!N40)</f>
        <v>FARIAS</v>
      </c>
      <c r="N34" s="229" t="str">
        <f ca="1">IF(Giocatori!O40=0,"",Giocatori!O40)</f>
        <v>Cagliari</v>
      </c>
      <c r="O34" s="229" t="str">
        <f ca="1">IF(Giocatori!M40=0,"",Giocatori!M40)</f>
        <v>A</v>
      </c>
      <c r="Z34" s="56" t="str">
        <f ca="1">'I.A. + Fasce'!AC34</f>
        <v/>
      </c>
      <c r="AA34" s="56" t="str">
        <f ca="1">'I.A. + Fasce'!AD34</f>
        <v/>
      </c>
      <c r="AB34" s="56" t="str">
        <f ca="1">'I.A. + Fasce'!AE34</f>
        <v/>
      </c>
      <c r="AC34" s="56" t="str">
        <f ca="1">'I.A. + Fasce'!AF34</f>
        <v/>
      </c>
      <c r="AD34" s="56" t="str">
        <f ca="1">'I.A. + Fasce'!AG34</f>
        <v/>
      </c>
    </row>
    <row r="35" spans="1:30">
      <c r="A35" s="228" t="str">
        <f ca="1">IF(Giocatori!E41=0,"",Giocatori!E41)</f>
        <v>MILINKOVIC-SAVIC V</v>
      </c>
      <c r="B35" s="229" t="str">
        <f ca="1">IF(Giocatori!F41=0,"",Giocatori!F41)</f>
        <v>Torino</v>
      </c>
      <c r="C35" s="229" t="str">
        <f ca="1">IF(Giocatori!D41=0,"",Giocatori!D41)</f>
        <v>P</v>
      </c>
      <c r="D35" s="228" t="str">
        <f ca="1">IF(Giocatori!H41=0,"",Giocatori!H41)</f>
        <v>CABRERA</v>
      </c>
      <c r="E35" s="229" t="str">
        <f ca="1">IF(Giocatori!I41=0,"",Giocatori!I41)</f>
        <v>Crotone</v>
      </c>
      <c r="F35" s="229" t="str">
        <f ca="1">IF(Giocatori!G41=0,"",Giocatori!G41)</f>
        <v>D</v>
      </c>
      <c r="G35" s="228" t="str">
        <f ca="1">IF(Giocatori!K41=0,"",Giocatori!K41)</f>
        <v>CHIBSAH</v>
      </c>
      <c r="H35" s="229" t="str">
        <f ca="1">IF(Giocatori!L41=0,"",Giocatori!L41)</f>
        <v>Benevento</v>
      </c>
      <c r="I35" s="229" t="str">
        <f ca="1">IF(Giocatori!J41=0,"",Giocatori!J41)</f>
        <v>C</v>
      </c>
      <c r="J35" s="228" t="str">
        <f ca="1">IF(Giocatori!Q41=0,"",Giocatori!Q41)</f>
        <v/>
      </c>
      <c r="K35" s="229" t="str">
        <f ca="1">IF(Giocatori!R41=0,"",Giocatori!R41)</f>
        <v/>
      </c>
      <c r="L35" s="229" t="str">
        <f ca="1">IF(Giocatori!P41=0,"",Giocatori!P41)</f>
        <v/>
      </c>
      <c r="M35" s="228" t="str">
        <f ca="1">IF(Giocatori!N41=0,"",Giocatori!N41)</f>
        <v>FLOCCARI</v>
      </c>
      <c r="N35" s="229" t="str">
        <f ca="1">IF(Giocatori!O41=0,"",Giocatori!O41)</f>
        <v>SPAL</v>
      </c>
      <c r="O35" s="229" t="str">
        <f ca="1">IF(Giocatori!M41=0,"",Giocatori!M41)</f>
        <v>A</v>
      </c>
      <c r="Z35" s="56" t="str">
        <f ca="1">'I.A. + Fasce'!AC35</f>
        <v/>
      </c>
      <c r="AA35" s="56" t="str">
        <f ca="1">'I.A. + Fasce'!AD35</f>
        <v/>
      </c>
      <c r="AB35" s="56" t="str">
        <f ca="1">'I.A. + Fasce'!AE35</f>
        <v/>
      </c>
      <c r="AC35" s="56" t="str">
        <f ca="1">'I.A. + Fasce'!AF35</f>
        <v/>
      </c>
      <c r="AD35" s="56" t="str">
        <f ca="1">'I.A. + Fasce'!AG35</f>
        <v/>
      </c>
    </row>
    <row r="36" spans="1:30">
      <c r="A36" s="228" t="str">
        <f ca="1">IF(Giocatori!E42=0,"",Giocatori!E42)</f>
        <v>MIRANTE</v>
      </c>
      <c r="B36" s="229" t="str">
        <f ca="1">IF(Giocatori!F42=0,"",Giocatori!F42)</f>
        <v>Bologna</v>
      </c>
      <c r="C36" s="229" t="str">
        <f ca="1">IF(Giocatori!D42=0,"",Giocatori!D42)</f>
        <v>P</v>
      </c>
      <c r="D36" s="228" t="str">
        <f ca="1">IF(Giocatori!H42=0,"",Giocatori!H42)</f>
        <v>CACCIATORE</v>
      </c>
      <c r="E36" s="229" t="str">
        <f ca="1">IF(Giocatori!I42=0,"",Giocatori!I42)</f>
        <v>Chievo</v>
      </c>
      <c r="F36" s="229" t="str">
        <f ca="1">IF(Giocatori!G42=0,"",Giocatori!G42)</f>
        <v>D</v>
      </c>
      <c r="G36" s="228" t="str">
        <f ca="1">IF(Giocatori!K42=0,"",Giocatori!K42)</f>
        <v>CHIESA</v>
      </c>
      <c r="H36" s="229" t="str">
        <f ca="1">IF(Giocatori!L42=0,"",Giocatori!L42)</f>
        <v>Fiorentina</v>
      </c>
      <c r="I36" s="229" t="str">
        <f ca="1">IF(Giocatori!J42=0,"",Giocatori!J42)</f>
        <v>C</v>
      </c>
      <c r="J36" s="228" t="str">
        <f ca="1">IF(Giocatori!Q42=0,"",Giocatori!Q42)</f>
        <v/>
      </c>
      <c r="K36" s="229" t="str">
        <f ca="1">IF(Giocatori!R42=0,"",Giocatori!R42)</f>
        <v/>
      </c>
      <c r="L36" s="229" t="str">
        <f ca="1">IF(Giocatori!P42=0,"",Giocatori!P42)</f>
        <v/>
      </c>
      <c r="M36" s="228" t="str">
        <f ca="1">IF(Giocatori!N42=0,"",Giocatori!N42)</f>
        <v>GALABINOV</v>
      </c>
      <c r="N36" s="229" t="str">
        <f ca="1">IF(Giocatori!O42=0,"",Giocatori!O42)</f>
        <v>Genoa</v>
      </c>
      <c r="O36" s="229" t="str">
        <f ca="1">IF(Giocatori!M42=0,"",Giocatori!M42)</f>
        <v>A</v>
      </c>
      <c r="Z36" s="56" t="str">
        <f ca="1">'I.A. + Fasce'!AC36</f>
        <v/>
      </c>
      <c r="AA36" s="56" t="str">
        <f ca="1">'I.A. + Fasce'!AD36</f>
        <v/>
      </c>
      <c r="AB36" s="56" t="str">
        <f ca="1">'I.A. + Fasce'!AE36</f>
        <v/>
      </c>
      <c r="AC36" s="56" t="str">
        <f ca="1">'I.A. + Fasce'!AF36</f>
        <v/>
      </c>
      <c r="AD36" s="56" t="str">
        <f ca="1">'I.A. + Fasce'!AG36</f>
        <v/>
      </c>
    </row>
    <row r="37" spans="1:30">
      <c r="A37" s="228" t="str">
        <f ca="1">IF(Giocatori!E43=0,"",Giocatori!E43)</f>
        <v>NICOLAS</v>
      </c>
      <c r="B37" s="229" t="str">
        <f ca="1">IF(Giocatori!F43=0,"",Giocatori!F43)</f>
        <v>Verona</v>
      </c>
      <c r="C37" s="229" t="str">
        <f ca="1">IF(Giocatori!D43=0,"",Giocatori!D43)</f>
        <v>P</v>
      </c>
      <c r="D37" s="228" t="str">
        <f ca="1">IF(Giocatori!H43=0,"",Giocatori!H43)</f>
        <v>CACERES</v>
      </c>
      <c r="E37" s="229" t="str">
        <f ca="1">IF(Giocatori!I43=0,"",Giocatori!I43)</f>
        <v>Verona</v>
      </c>
      <c r="F37" s="229" t="str">
        <f ca="1">IF(Giocatori!G43=0,"",Giocatori!G43)</f>
        <v>D</v>
      </c>
      <c r="G37" s="228" t="str">
        <f ca="1">IF(Giocatori!K43=0,"",Giocatori!K43)</f>
        <v>CICIRETTI</v>
      </c>
      <c r="H37" s="229" t="str">
        <f ca="1">IF(Giocatori!L43=0,"",Giocatori!L43)</f>
        <v>Benevento</v>
      </c>
      <c r="I37" s="229" t="str">
        <f ca="1">IF(Giocatori!J43=0,"",Giocatori!J43)</f>
        <v>C</v>
      </c>
      <c r="J37" s="228" t="str">
        <f ca="1">IF(Giocatori!Q43=0,"",Giocatori!Q43)</f>
        <v/>
      </c>
      <c r="K37" s="229" t="str">
        <f ca="1">IF(Giocatori!R43=0,"",Giocatori!R43)</f>
        <v/>
      </c>
      <c r="L37" s="229" t="str">
        <f ca="1">IF(Giocatori!P43=0,"",Giocatori!P43)</f>
        <v/>
      </c>
      <c r="M37" s="228" t="str">
        <f ca="1">IF(Giocatori!N43=0,"",Giocatori!N43)</f>
        <v>GIANNETTI</v>
      </c>
      <c r="N37" s="229" t="str">
        <f ca="1">IF(Giocatori!O43=0,"",Giocatori!O43)</f>
        <v>Cagliari</v>
      </c>
      <c r="O37" s="229" t="str">
        <f ca="1">IF(Giocatori!M43=0,"",Giocatori!M43)</f>
        <v>A</v>
      </c>
      <c r="Z37" s="56" t="str">
        <f ca="1">'I.A. + Fasce'!AC37</f>
        <v/>
      </c>
      <c r="AA37" s="56" t="str">
        <f ca="1">'I.A. + Fasce'!AD37</f>
        <v/>
      </c>
      <c r="AB37" s="56" t="str">
        <f ca="1">'I.A. + Fasce'!AE37</f>
        <v/>
      </c>
      <c r="AC37" s="56" t="str">
        <f ca="1">'I.A. + Fasce'!AF37</f>
        <v/>
      </c>
      <c r="AD37" s="56" t="str">
        <f ca="1">'I.A. + Fasce'!AG37</f>
        <v/>
      </c>
    </row>
    <row r="38" spans="1:30">
      <c r="A38" s="228" t="str">
        <f ca="1">IF(Giocatori!E44=0,"",Giocatori!E44)</f>
        <v>PADELLI</v>
      </c>
      <c r="B38" s="229" t="str">
        <f ca="1">IF(Giocatori!F44=0,"",Giocatori!F44)</f>
        <v>Inter</v>
      </c>
      <c r="C38" s="229" t="str">
        <f ca="1">IF(Giocatori!D44=0,"",Giocatori!D44)</f>
        <v>P</v>
      </c>
      <c r="D38" s="228" t="str">
        <f ca="1">IF(Giocatori!H44=0,"",Giocatori!H44)</f>
        <v>CALABRIA</v>
      </c>
      <c r="E38" s="229" t="str">
        <f ca="1">IF(Giocatori!I44=0,"",Giocatori!I44)</f>
        <v>Milan</v>
      </c>
      <c r="F38" s="229" t="str">
        <f ca="1">IF(Giocatori!G44=0,"",Giocatori!G44)</f>
        <v>D</v>
      </c>
      <c r="G38" s="228" t="str">
        <f ca="1">IF(Giocatori!K44=0,"",Giocatori!K44)</f>
        <v>CIGARINI</v>
      </c>
      <c r="H38" s="229" t="str">
        <f ca="1">IF(Giocatori!L44=0,"",Giocatori!L44)</f>
        <v>Cagliari</v>
      </c>
      <c r="I38" s="229" t="str">
        <f ca="1">IF(Giocatori!J44=0,"",Giocatori!J44)</f>
        <v>C</v>
      </c>
      <c r="J38" s="228" t="str">
        <f ca="1">IF(Giocatori!Q44=0,"",Giocatori!Q44)</f>
        <v/>
      </c>
      <c r="K38" s="229" t="str">
        <f ca="1">IF(Giocatori!R44=0,"",Giocatori!R44)</f>
        <v/>
      </c>
      <c r="L38" s="229" t="str">
        <f ca="1">IF(Giocatori!P44=0,"",Giocatori!P44)</f>
        <v/>
      </c>
      <c r="M38" s="228" t="str">
        <f ca="1">IF(Giocatori!N44=0,"",Giocatori!N44)</f>
        <v>GOMEZ A</v>
      </c>
      <c r="N38" s="229" t="str">
        <f ca="1">IF(Giocatori!O44=0,"",Giocatori!O44)</f>
        <v>Atalanta</v>
      </c>
      <c r="O38" s="229" t="str">
        <f ca="1">IF(Giocatori!M44=0,"",Giocatori!M44)</f>
        <v>A</v>
      </c>
      <c r="Z38" s="56" t="str">
        <f ca="1">'I.A. + Fasce'!AC38</f>
        <v/>
      </c>
      <c r="AA38" s="56" t="str">
        <f ca="1">'I.A. + Fasce'!AD38</f>
        <v/>
      </c>
      <c r="AB38" s="56" t="str">
        <f ca="1">'I.A. + Fasce'!AE38</f>
        <v/>
      </c>
      <c r="AC38" s="56" t="str">
        <f ca="1">'I.A. + Fasce'!AF38</f>
        <v/>
      </c>
      <c r="AD38" s="56" t="str">
        <f ca="1">'I.A. + Fasce'!AG38</f>
        <v/>
      </c>
    </row>
    <row r="39" spans="1:30">
      <c r="A39" s="228" t="str">
        <f ca="1">IF(Giocatori!E45=0,"",Giocatori!E45)</f>
        <v>PEGOLO</v>
      </c>
      <c r="B39" s="229" t="str">
        <f ca="1">IF(Giocatori!F45=0,"",Giocatori!F45)</f>
        <v>Sassuolo</v>
      </c>
      <c r="C39" s="229" t="str">
        <f ca="1">IF(Giocatori!D45=0,"",Giocatori!D45)</f>
        <v>P</v>
      </c>
      <c r="D39" s="228" t="str">
        <f ca="1">IF(Giocatori!H45=0,"",Giocatori!H45)</f>
        <v>CALDARA</v>
      </c>
      <c r="E39" s="229" t="str">
        <f ca="1">IF(Giocatori!I45=0,"",Giocatori!I45)</f>
        <v>Atalanta</v>
      </c>
      <c r="F39" s="229" t="str">
        <f ca="1">IF(Giocatori!G45=0,"",Giocatori!G45)</f>
        <v>D</v>
      </c>
      <c r="G39" s="228" t="str">
        <f ca="1">IF(Giocatori!K45=0,"",Giocatori!K45)</f>
        <v>COFIE</v>
      </c>
      <c r="H39" s="229" t="str">
        <f ca="1">IF(Giocatori!L45=0,"",Giocatori!L45)</f>
        <v>Genoa</v>
      </c>
      <c r="I39" s="229" t="str">
        <f ca="1">IF(Giocatori!J45=0,"",Giocatori!J45)</f>
        <v>C</v>
      </c>
      <c r="J39" s="228" t="str">
        <f ca="1">IF(Giocatori!Q45=0,"",Giocatori!Q45)</f>
        <v/>
      </c>
      <c r="K39" s="229" t="str">
        <f ca="1">IF(Giocatori!R45=0,"",Giocatori!R45)</f>
        <v/>
      </c>
      <c r="L39" s="229" t="str">
        <f ca="1">IF(Giocatori!P45=0,"",Giocatori!P45)</f>
        <v/>
      </c>
      <c r="M39" s="228" t="str">
        <f ca="1">IF(Giocatori!N45=0,"",Giocatori!N45)</f>
        <v>HIGUAIN</v>
      </c>
      <c r="N39" s="229" t="str">
        <f ca="1">IF(Giocatori!O45=0,"",Giocatori!O45)</f>
        <v>Juventus</v>
      </c>
      <c r="O39" s="229" t="str">
        <f ca="1">IF(Giocatori!M45=0,"",Giocatori!M45)</f>
        <v>A</v>
      </c>
      <c r="Z39" s="56" t="str">
        <f ca="1">'I.A. + Fasce'!AC39</f>
        <v/>
      </c>
      <c r="AA39" s="56" t="str">
        <f ca="1">'I.A. + Fasce'!AD39</f>
        <v/>
      </c>
      <c r="AB39" s="56" t="str">
        <f ca="1">'I.A. + Fasce'!AE39</f>
        <v/>
      </c>
      <c r="AC39" s="56" t="str">
        <f ca="1">'I.A. + Fasce'!AF39</f>
        <v/>
      </c>
      <c r="AD39" s="56" t="str">
        <f ca="1">'I.A. + Fasce'!AG39</f>
        <v/>
      </c>
    </row>
    <row r="40" spans="1:30">
      <c r="A40" s="228" t="str">
        <f ca="1">IF(Giocatori!E46=0,"",Giocatori!E46)</f>
        <v>PERIN</v>
      </c>
      <c r="B40" s="229" t="str">
        <f ca="1">IF(Giocatori!F46=0,"",Giocatori!F46)</f>
        <v>Genoa</v>
      </c>
      <c r="C40" s="229" t="str">
        <f ca="1">IF(Giocatori!D46=0,"",Giocatori!D46)</f>
        <v>P</v>
      </c>
      <c r="D40" s="228" t="str">
        <f ca="1">IF(Giocatori!H46=0,"",Giocatori!H46)</f>
        <v>CANCELO</v>
      </c>
      <c r="E40" s="229" t="str">
        <f ca="1">IF(Giocatori!I46=0,"",Giocatori!I46)</f>
        <v>Inter</v>
      </c>
      <c r="F40" s="229" t="str">
        <f ca="1">IF(Giocatori!G46=0,"",Giocatori!G46)</f>
        <v>D</v>
      </c>
      <c r="G40" s="228" t="str">
        <f ca="1">IF(Giocatori!K46=0,"",Giocatori!K46)</f>
        <v>COSSU</v>
      </c>
      <c r="H40" s="229" t="str">
        <f ca="1">IF(Giocatori!L46=0,"",Giocatori!L46)</f>
        <v>Cagliari</v>
      </c>
      <c r="I40" s="229" t="str">
        <f ca="1">IF(Giocatori!J46=0,"",Giocatori!J46)</f>
        <v>C</v>
      </c>
      <c r="J40" s="228" t="str">
        <f ca="1">IF(Giocatori!Q46=0,"",Giocatori!Q46)</f>
        <v/>
      </c>
      <c r="K40" s="229" t="str">
        <f ca="1">IF(Giocatori!R46=0,"",Giocatori!R46)</f>
        <v/>
      </c>
      <c r="L40" s="229" t="str">
        <f ca="1">IF(Giocatori!P46=0,"",Giocatori!P46)</f>
        <v/>
      </c>
      <c r="M40" s="228" t="str">
        <f ca="1">IF(Giocatori!N46=0,"",Giocatori!N46)</f>
        <v>ICARDI</v>
      </c>
      <c r="N40" s="229" t="str">
        <f ca="1">IF(Giocatori!O46=0,"",Giocatori!O46)</f>
        <v>Inter</v>
      </c>
      <c r="O40" s="229" t="str">
        <f ca="1">IF(Giocatori!M46=0,"",Giocatori!M46)</f>
        <v>A</v>
      </c>
      <c r="Z40" s="56" t="str">
        <f ca="1">'I.A. + Fasce'!AC40</f>
        <v/>
      </c>
      <c r="AA40" s="56" t="str">
        <f ca="1">'I.A. + Fasce'!AD40</f>
        <v/>
      </c>
      <c r="AB40" s="56" t="str">
        <f ca="1">'I.A. + Fasce'!AE40</f>
        <v/>
      </c>
      <c r="AC40" s="56" t="str">
        <f ca="1">'I.A. + Fasce'!AF40</f>
        <v/>
      </c>
      <c r="AD40" s="56" t="str">
        <f ca="1">'I.A. + Fasce'!AG40</f>
        <v/>
      </c>
    </row>
    <row r="41" spans="1:30">
      <c r="A41" s="228" t="str">
        <f ca="1">IF(Giocatori!E47=0,"",Giocatori!E47)</f>
        <v>PINSOGLIO</v>
      </c>
      <c r="B41" s="229" t="str">
        <f ca="1">IF(Giocatori!F47=0,"",Giocatori!F47)</f>
        <v>Juventus</v>
      </c>
      <c r="C41" s="229" t="str">
        <f ca="1">IF(Giocatori!D47=0,"",Giocatori!D47)</f>
        <v>P</v>
      </c>
      <c r="D41" s="228" t="str">
        <f ca="1">IF(Giocatori!H47=0,"",Giocatori!H47)</f>
        <v>CANNAVARO</v>
      </c>
      <c r="E41" s="229" t="str">
        <f ca="1">IF(Giocatori!I47=0,"",Giocatori!I47)</f>
        <v>Sassuolo</v>
      </c>
      <c r="F41" s="229" t="str">
        <f ca="1">IF(Giocatori!G47=0,"",Giocatori!G47)</f>
        <v>D</v>
      </c>
      <c r="G41" s="228" t="str">
        <f ca="1">IF(Giocatori!K47=0,"",Giocatori!K47)</f>
        <v>CRECCO</v>
      </c>
      <c r="H41" s="229" t="str">
        <f ca="1">IF(Giocatori!L47=0,"",Giocatori!L47)</f>
        <v>Lazio</v>
      </c>
      <c r="I41" s="229" t="str">
        <f ca="1">IF(Giocatori!J47=0,"",Giocatori!J47)</f>
        <v>C</v>
      </c>
      <c r="J41" s="228" t="str">
        <f ca="1">IF(Giocatori!Q47=0,"",Giocatori!Q47)</f>
        <v/>
      </c>
      <c r="K41" s="229" t="str">
        <f ca="1">IF(Giocatori!R47=0,"",Giocatori!R47)</f>
        <v/>
      </c>
      <c r="L41" s="229" t="str">
        <f ca="1">IF(Giocatori!P47=0,"",Giocatori!P47)</f>
        <v/>
      </c>
      <c r="M41" s="228" t="str">
        <f ca="1">IF(Giocatori!N47=0,"",Giocatori!N47)</f>
        <v>IEMMELLO</v>
      </c>
      <c r="N41" s="229" t="str">
        <f ca="1">IF(Giocatori!O47=0,"",Giocatori!O47)</f>
        <v>Benevento</v>
      </c>
      <c r="O41" s="229" t="str">
        <f ca="1">IF(Giocatori!M47=0,"",Giocatori!M47)</f>
        <v>A</v>
      </c>
      <c r="Z41" s="56" t="str">
        <f ca="1">'I.A. + Fasce'!AC41</f>
        <v/>
      </c>
      <c r="AA41" s="56">
        <f>'I.A. + Fasce'!AD41</f>
        <v>0</v>
      </c>
      <c r="AB41" s="56" t="str">
        <f ca="1">'I.A. + Fasce'!AE41</f>
        <v/>
      </c>
      <c r="AC41" s="56" t="str">
        <f ca="1">'I.A. + Fasce'!AF41</f>
        <v/>
      </c>
      <c r="AD41" s="56" t="str">
        <f ca="1">'I.A. + Fasce'!AG41</f>
        <v/>
      </c>
    </row>
    <row r="42" spans="1:30">
      <c r="A42" s="228" t="str">
        <f ca="1">IF(Giocatori!E48=0,"",Giocatori!E48)</f>
        <v>PISCITELLI</v>
      </c>
      <c r="B42" s="229" t="str">
        <f ca="1">IF(Giocatori!F48=0,"",Giocatori!F48)</f>
        <v>Benevento</v>
      </c>
      <c r="C42" s="229" t="str">
        <f ca="1">IF(Giocatori!D48=0,"",Giocatori!D48)</f>
        <v>P</v>
      </c>
      <c r="D42" s="228" t="str">
        <f ca="1">IF(Giocatori!H48=0,"",Giocatori!H48)</f>
        <v>CAPUANO</v>
      </c>
      <c r="E42" s="229" t="str">
        <f ca="1">IF(Giocatori!I48=0,"",Giocatori!I48)</f>
        <v>Cagliari</v>
      </c>
      <c r="F42" s="229" t="str">
        <f ca="1">IF(Giocatori!G48=0,"",Giocatori!G48)</f>
        <v>D</v>
      </c>
      <c r="G42" s="228" t="str">
        <f ca="1">IF(Giocatori!K48=0,"",Giocatori!K48)</f>
        <v>CRISETIG</v>
      </c>
      <c r="H42" s="229" t="str">
        <f ca="1">IF(Giocatori!L48=0,"",Giocatori!L48)</f>
        <v>Bologna</v>
      </c>
      <c r="I42" s="229" t="str">
        <f ca="1">IF(Giocatori!J48=0,"",Giocatori!J48)</f>
        <v>C</v>
      </c>
      <c r="J42" s="228" t="str">
        <f ca="1">IF(Giocatori!Q48=0,"",Giocatori!Q48)</f>
        <v/>
      </c>
      <c r="K42" s="229" t="str">
        <f ca="1">IF(Giocatori!R48=0,"",Giocatori!R48)</f>
        <v/>
      </c>
      <c r="L42" s="229" t="str">
        <f ca="1">IF(Giocatori!P48=0,"",Giocatori!P48)</f>
        <v/>
      </c>
      <c r="M42" s="228" t="str">
        <f ca="1">IF(Giocatori!N48=0,"",Giocatori!N48)</f>
        <v>IMMOBILE</v>
      </c>
      <c r="N42" s="229" t="str">
        <f ca="1">IF(Giocatori!O48=0,"",Giocatori!O48)</f>
        <v>Lazio</v>
      </c>
      <c r="O42" s="229" t="str">
        <f ca="1">IF(Giocatori!M48=0,"",Giocatori!M48)</f>
        <v>A</v>
      </c>
      <c r="Z42" s="56">
        <f>'I.A. + Fasce'!AC42</f>
        <v>0</v>
      </c>
      <c r="AA42" s="56">
        <f>'I.A. + Fasce'!AD42</f>
        <v>0</v>
      </c>
      <c r="AB42" s="56" t="str">
        <f ca="1">'I.A. + Fasce'!AE42</f>
        <v/>
      </c>
      <c r="AC42" s="56" t="str">
        <f ca="1">'I.A. + Fasce'!AF42</f>
        <v/>
      </c>
      <c r="AD42" s="56" t="str">
        <f ca="1">'I.A. + Fasce'!AG42</f>
        <v/>
      </c>
    </row>
    <row r="43" spans="1:30">
      <c r="A43" s="228" t="str">
        <f ca="1">IF(Giocatori!E49=0,"",Giocatori!E49)</f>
        <v>POLUZZI</v>
      </c>
      <c r="B43" s="229" t="str">
        <f ca="1">IF(Giocatori!F49=0,"",Giocatori!F49)</f>
        <v>SPAL</v>
      </c>
      <c r="C43" s="229" t="str">
        <f ca="1">IF(Giocatori!D49=0,"",Giocatori!D49)</f>
        <v>P</v>
      </c>
      <c r="D43" s="228" t="str">
        <f ca="1">IF(Giocatori!H49=0,"",Giocatori!H49)</f>
        <v>CARACCIOLO A</v>
      </c>
      <c r="E43" s="229" t="str">
        <f ca="1">IF(Giocatori!I49=0,"",Giocatori!I49)</f>
        <v>Verona</v>
      </c>
      <c r="F43" s="229" t="str">
        <f ca="1">IF(Giocatori!G49=0,"",Giocatori!G49)</f>
        <v>D</v>
      </c>
      <c r="G43" s="228" t="str">
        <f ca="1">IF(Giocatori!K49=0,"",Giocatori!K49)</f>
        <v>CRISTANTE</v>
      </c>
      <c r="H43" s="229" t="str">
        <f ca="1">IF(Giocatori!L49=0,"",Giocatori!L49)</f>
        <v>Atalanta</v>
      </c>
      <c r="I43" s="229" t="str">
        <f ca="1">IF(Giocatori!J49=0,"",Giocatori!J49)</f>
        <v>C</v>
      </c>
      <c r="J43" s="228" t="str">
        <f ca="1">IF(Giocatori!Q49=0,"",Giocatori!Q49)</f>
        <v/>
      </c>
      <c r="K43" s="229" t="str">
        <f ca="1">IF(Giocatori!R49=0,"",Giocatori!R49)</f>
        <v/>
      </c>
      <c r="L43" s="229" t="str">
        <f ca="1">IF(Giocatori!P49=0,"",Giocatori!P49)</f>
        <v/>
      </c>
      <c r="M43" s="228" t="str">
        <f ca="1">IF(Giocatori!N49=0,"",Giocatori!N49)</f>
        <v>INGLESE</v>
      </c>
      <c r="N43" s="229" t="str">
        <f ca="1">IF(Giocatori!O49=0,"",Giocatori!O49)</f>
        <v>Chievo</v>
      </c>
      <c r="O43" s="229" t="str">
        <f ca="1">IF(Giocatori!M49=0,"",Giocatori!M49)</f>
        <v>A</v>
      </c>
      <c r="Z43" s="56">
        <f>'I.A. + Fasce'!AC43</f>
        <v>0</v>
      </c>
      <c r="AA43" s="56">
        <f>'I.A. + Fasce'!AD43</f>
        <v>0</v>
      </c>
      <c r="AB43" s="56" t="str">
        <f ca="1">'I.A. + Fasce'!AE43</f>
        <v/>
      </c>
      <c r="AC43" s="56" t="str">
        <f ca="1">'I.A. + Fasce'!AF43</f>
        <v/>
      </c>
      <c r="AD43" s="56" t="str">
        <f ca="1">'I.A. + Fasce'!AG43</f>
        <v/>
      </c>
    </row>
    <row r="44" spans="1:30">
      <c r="A44" s="228" t="str">
        <f ca="1">IF(Giocatori!E50=0,"",Giocatori!E50)</f>
        <v>PUGGIONI</v>
      </c>
      <c r="B44" s="229" t="str">
        <f ca="1">IF(Giocatori!F50=0,"",Giocatori!F50)</f>
        <v>Sampdoria</v>
      </c>
      <c r="C44" s="229" t="str">
        <f ca="1">IF(Giocatori!D50=0,"",Giocatori!D50)</f>
        <v>P</v>
      </c>
      <c r="D44" s="228" t="str">
        <f ca="1">IF(Giocatori!H50=0,"",Giocatori!H50)</f>
        <v>CASTAGNE</v>
      </c>
      <c r="E44" s="229" t="str">
        <f ca="1">IF(Giocatori!I50=0,"",Giocatori!I50)</f>
        <v>Atalanta</v>
      </c>
      <c r="F44" s="229" t="str">
        <f ca="1">IF(Giocatori!G50=0,"",Giocatori!G50)</f>
        <v>D</v>
      </c>
      <c r="G44" s="228" t="str">
        <f ca="1">IF(Giocatori!K50=0,"",Giocatori!K50)</f>
        <v>CRISTOFORO</v>
      </c>
      <c r="H44" s="229" t="str">
        <f ca="1">IF(Giocatori!L50=0,"",Giocatori!L50)</f>
        <v>Fiorentina</v>
      </c>
      <c r="I44" s="229" t="str">
        <f ca="1">IF(Giocatori!J50=0,"",Giocatori!J50)</f>
        <v>C</v>
      </c>
      <c r="J44" s="228" t="str">
        <f ca="1">IF(Giocatori!Q50=0,"",Giocatori!Q50)</f>
        <v/>
      </c>
      <c r="K44" s="229" t="str">
        <f ca="1">IF(Giocatori!R50=0,"",Giocatori!R50)</f>
        <v/>
      </c>
      <c r="L44" s="229" t="str">
        <f ca="1">IF(Giocatori!P50=0,"",Giocatori!P50)</f>
        <v/>
      </c>
      <c r="M44" s="228" t="str">
        <f ca="1">IF(Giocatori!N50=0,"",Giocatori!N50)</f>
        <v>INSIGNE</v>
      </c>
      <c r="N44" s="229" t="str">
        <f ca="1">IF(Giocatori!O50=0,"",Giocatori!O50)</f>
        <v>Napoli</v>
      </c>
      <c r="O44" s="229" t="str">
        <f ca="1">IF(Giocatori!M50=0,"",Giocatori!M50)</f>
        <v>A</v>
      </c>
      <c r="Z44" s="56">
        <f>'I.A. + Fasce'!AC44</f>
        <v>0</v>
      </c>
      <c r="AA44" s="56">
        <f>'I.A. + Fasce'!AD44</f>
        <v>0</v>
      </c>
      <c r="AB44" s="56" t="str">
        <f ca="1">'I.A. + Fasce'!AE44</f>
        <v/>
      </c>
      <c r="AC44" s="56" t="str">
        <f ca="1">'I.A. + Fasce'!AF44</f>
        <v/>
      </c>
      <c r="AD44" s="56" t="str">
        <f ca="1">'I.A. + Fasce'!AG44</f>
        <v/>
      </c>
    </row>
    <row r="45" spans="1:30">
      <c r="A45" s="228" t="str">
        <f ca="1">IF(Giocatori!E51=0,"",Giocatori!E51)</f>
        <v>RAFAEL</v>
      </c>
      <c r="B45" s="229" t="str">
        <f ca="1">IF(Giocatori!F51=0,"",Giocatori!F51)</f>
        <v>Cagliari</v>
      </c>
      <c r="C45" s="229" t="str">
        <f ca="1">IF(Giocatori!D51=0,"",Giocatori!D51)</f>
        <v>P</v>
      </c>
      <c r="D45" s="228" t="str">
        <f ca="1">IF(Giocatori!H51=0,"",Giocatori!H51)</f>
        <v>CASTAN</v>
      </c>
      <c r="E45" s="229" t="str">
        <f ca="1">IF(Giocatori!I51=0,"",Giocatori!I51)</f>
        <v>Roma</v>
      </c>
      <c r="F45" s="229" t="str">
        <f ca="1">IF(Giocatori!G51=0,"",Giocatori!G51)</f>
        <v>D</v>
      </c>
      <c r="G45" s="228" t="str">
        <f ca="1">IF(Giocatori!K51=0,"",Giocatori!K51)</f>
        <v>CROCIATA</v>
      </c>
      <c r="H45" s="229" t="str">
        <f ca="1">IF(Giocatori!L51=0,"",Giocatori!L51)</f>
        <v>Crotone</v>
      </c>
      <c r="I45" s="229" t="str">
        <f ca="1">IF(Giocatori!J51=0,"",Giocatori!J51)</f>
        <v>C</v>
      </c>
      <c r="J45" s="228" t="str">
        <f ca="1">IF(Giocatori!Q51=0,"",Giocatori!Q51)</f>
        <v/>
      </c>
      <c r="K45" s="229" t="str">
        <f ca="1">IF(Giocatori!R51=0,"",Giocatori!R51)</f>
        <v/>
      </c>
      <c r="L45" s="229" t="str">
        <f ca="1">IF(Giocatori!P51=0,"",Giocatori!P51)</f>
        <v/>
      </c>
      <c r="M45" s="228" t="str">
        <f ca="1">IF(Giocatori!N51=0,"",Giocatori!N51)</f>
        <v>KALINIC</v>
      </c>
      <c r="N45" s="229" t="str">
        <f ca="1">IF(Giocatori!O51=0,"",Giocatori!O51)</f>
        <v>Milan</v>
      </c>
      <c r="O45" s="229" t="str">
        <f ca="1">IF(Giocatori!M51=0,"",Giocatori!M51)</f>
        <v>A</v>
      </c>
      <c r="Z45" s="56">
        <f>'I.A. + Fasce'!AC45</f>
        <v>0</v>
      </c>
      <c r="AA45" s="56">
        <f>'I.A. + Fasce'!AD45</f>
        <v>0</v>
      </c>
      <c r="AB45" s="56" t="str">
        <f ca="1">'I.A. + Fasce'!AE45</f>
        <v/>
      </c>
      <c r="AC45" s="56" t="str">
        <f ca="1">'I.A. + Fasce'!AF45</f>
        <v/>
      </c>
      <c r="AD45" s="56" t="str">
        <f ca="1">'I.A. + Fasce'!AG45</f>
        <v/>
      </c>
    </row>
    <row r="46" spans="1:30">
      <c r="A46" s="228" t="str">
        <f ca="1">IF(Giocatori!E52=0,"",Giocatori!E52)</f>
        <v>RAFAEL CABRAL</v>
      </c>
      <c r="B46" s="229" t="str">
        <f ca="1">IF(Giocatori!F52=0,"",Giocatori!F52)</f>
        <v>Napoli</v>
      </c>
      <c r="C46" s="229" t="str">
        <f ca="1">IF(Giocatori!D52=0,"",Giocatori!D52)</f>
        <v>P</v>
      </c>
      <c r="D46" s="228" t="str">
        <f ca="1">IF(Giocatori!H52=0,"",Giocatori!H52)</f>
        <v>CECCHERINI</v>
      </c>
      <c r="E46" s="229" t="str">
        <f ca="1">IF(Giocatori!I52=0,"",Giocatori!I52)</f>
        <v>Crotone</v>
      </c>
      <c r="F46" s="229" t="str">
        <f ca="1">IF(Giocatori!G52=0,"",Giocatori!G52)</f>
        <v>D</v>
      </c>
      <c r="G46" s="228" t="str">
        <f ca="1">IF(Giocatori!K52=0,"",Giocatori!K52)</f>
        <v>CUADRADO</v>
      </c>
      <c r="H46" s="229" t="str">
        <f ca="1">IF(Giocatori!L52=0,"",Giocatori!L52)</f>
        <v>Juventus</v>
      </c>
      <c r="I46" s="229" t="str">
        <f ca="1">IF(Giocatori!J52=0,"",Giocatori!J52)</f>
        <v>C</v>
      </c>
      <c r="J46" s="228" t="str">
        <f ca="1">IF(Giocatori!Q52=0,"",Giocatori!Q52)</f>
        <v/>
      </c>
      <c r="K46" s="229" t="str">
        <f ca="1">IF(Giocatori!R52=0,"",Giocatori!R52)</f>
        <v/>
      </c>
      <c r="L46" s="229" t="str">
        <f ca="1">IF(Giocatori!P52=0,"",Giocatori!P52)</f>
        <v/>
      </c>
      <c r="M46" s="228" t="str">
        <f ca="1">IF(Giocatori!N52=0,"",Giocatori!N52)</f>
        <v>KARAMOH</v>
      </c>
      <c r="N46" s="229" t="str">
        <f ca="1">IF(Giocatori!O52=0,"",Giocatori!O52)</f>
        <v>Inter</v>
      </c>
      <c r="O46" s="229" t="str">
        <f ca="1">IF(Giocatori!M52=0,"",Giocatori!M52)</f>
        <v>A</v>
      </c>
      <c r="Z46" s="56">
        <f>'I.A. + Fasce'!AC46</f>
        <v>0</v>
      </c>
      <c r="AA46" s="56">
        <f>'I.A. + Fasce'!AD46</f>
        <v>0</v>
      </c>
      <c r="AB46" s="56" t="str">
        <f ca="1">'I.A. + Fasce'!AE46</f>
        <v/>
      </c>
      <c r="AC46" s="56" t="str">
        <f ca="1">'I.A. + Fasce'!AF46</f>
        <v/>
      </c>
      <c r="AD46" s="56" t="str">
        <f ca="1">'I.A. + Fasce'!AG46</f>
        <v/>
      </c>
    </row>
    <row r="47" spans="1:30">
      <c r="A47" s="228" t="str">
        <f ca="1">IF(Giocatori!E53=0,"",Giocatori!E53)</f>
        <v>REINA</v>
      </c>
      <c r="B47" s="229" t="str">
        <f ca="1">IF(Giocatori!F53=0,"",Giocatori!F53)</f>
        <v>Napoli</v>
      </c>
      <c r="C47" s="229" t="str">
        <f ca="1">IF(Giocatori!D53=0,"",Giocatori!D53)</f>
        <v>P</v>
      </c>
      <c r="D47" s="228" t="str">
        <f ca="1">IF(Giocatori!H53=0,"",Giocatori!H53)</f>
        <v>CEPPITELLI</v>
      </c>
      <c r="E47" s="229" t="str">
        <f ca="1">IF(Giocatori!I53=0,"",Giocatori!I53)</f>
        <v>Cagliari</v>
      </c>
      <c r="F47" s="229" t="str">
        <f ca="1">IF(Giocatori!G53=0,"",Giocatori!G53)</f>
        <v>D</v>
      </c>
      <c r="G47" s="228" t="str">
        <f ca="1">IF(Giocatori!K53=0,"",Giocatori!K53)</f>
        <v>D'ALESSANDRO</v>
      </c>
      <c r="H47" s="229" t="str">
        <f ca="1">IF(Giocatori!L53=0,"",Giocatori!L53)</f>
        <v>Benevento</v>
      </c>
      <c r="I47" s="229" t="str">
        <f ca="1">IF(Giocatori!J53=0,"",Giocatori!J53)</f>
        <v>C</v>
      </c>
      <c r="J47" s="228" t="str">
        <f ca="1">IF(Giocatori!Q53=0,"",Giocatori!Q53)</f>
        <v/>
      </c>
      <c r="K47" s="229" t="str">
        <f ca="1">IF(Giocatori!R53=0,"",Giocatori!R53)</f>
        <v/>
      </c>
      <c r="L47" s="229" t="str">
        <f ca="1">IF(Giocatori!P53=0,"",Giocatori!P53)</f>
        <v/>
      </c>
      <c r="M47" s="228" t="str">
        <f ca="1">IF(Giocatori!N53=0,"",Giocatori!N53)</f>
        <v>KEAN</v>
      </c>
      <c r="N47" s="229" t="str">
        <f ca="1">IF(Giocatori!O53=0,"",Giocatori!O53)</f>
        <v>Verona</v>
      </c>
      <c r="O47" s="229" t="str">
        <f ca="1">IF(Giocatori!M53=0,"",Giocatori!M53)</f>
        <v>A</v>
      </c>
      <c r="Z47" s="56">
        <f>'I.A. + Fasce'!AC47</f>
        <v>0</v>
      </c>
      <c r="AA47" s="56">
        <f>'I.A. + Fasce'!AD47</f>
        <v>0</v>
      </c>
      <c r="AB47" s="56" t="str">
        <f ca="1">'I.A. + Fasce'!AE47</f>
        <v/>
      </c>
      <c r="AC47" s="56" t="str">
        <f ca="1">'I.A. + Fasce'!AF47</f>
        <v/>
      </c>
      <c r="AD47" s="56" t="str">
        <f ca="1">'I.A. + Fasce'!AG47</f>
        <v/>
      </c>
    </row>
    <row r="48" spans="1:30">
      <c r="A48" s="228" t="str">
        <f ca="1">IF(Giocatori!E54=0,"",Giocatori!E54)</f>
        <v>ROSSI F</v>
      </c>
      <c r="B48" s="229" t="str">
        <f ca="1">IF(Giocatori!F54=0,"",Giocatori!F54)</f>
        <v>Atalanta</v>
      </c>
      <c r="C48" s="229" t="str">
        <f ca="1">IF(Giocatori!D54=0,"",Giocatori!D54)</f>
        <v>P</v>
      </c>
      <c r="D48" s="228" t="str">
        <f ca="1">IF(Giocatori!H54=0,"",Giocatori!H54)</f>
        <v>CESAR</v>
      </c>
      <c r="E48" s="229" t="str">
        <f ca="1">IF(Giocatori!I54=0,"",Giocatori!I54)</f>
        <v>Chievo</v>
      </c>
      <c r="F48" s="229" t="str">
        <f ca="1">IF(Giocatori!G54=0,"",Giocatori!G54)</f>
        <v>D</v>
      </c>
      <c r="G48" s="228" t="str">
        <f ca="1">IF(Giocatori!K54=0,"",Giocatori!K54)</f>
        <v>DE PAUL</v>
      </c>
      <c r="H48" s="229" t="str">
        <f ca="1">IF(Giocatori!L54=0,"",Giocatori!L54)</f>
        <v>Udinese</v>
      </c>
      <c r="I48" s="229" t="str">
        <f ca="1">IF(Giocatori!J54=0,"",Giocatori!J54)</f>
        <v>C</v>
      </c>
      <c r="J48" s="228" t="str">
        <f ca="1">IF(Giocatori!Q54=0,"",Giocatori!Q54)</f>
        <v/>
      </c>
      <c r="K48" s="229" t="str">
        <f ca="1">IF(Giocatori!R54=0,"",Giocatori!R54)</f>
        <v/>
      </c>
      <c r="L48" s="229" t="str">
        <f ca="1">IF(Giocatori!P54=0,"",Giocatori!P54)</f>
        <v/>
      </c>
      <c r="M48" s="228" t="str">
        <f ca="1">IF(Giocatori!N54=0,"",Giocatori!N54)</f>
        <v>KOTNIK</v>
      </c>
      <c r="N48" s="229" t="str">
        <f ca="1">IF(Giocatori!O54=0,"",Giocatori!O54)</f>
        <v>Crotone</v>
      </c>
      <c r="O48" s="229" t="str">
        <f ca="1">IF(Giocatori!M54=0,"",Giocatori!M54)</f>
        <v>A</v>
      </c>
      <c r="Z48" s="56">
        <f>'I.A. + Fasce'!AC48</f>
        <v>0</v>
      </c>
      <c r="AA48" s="56">
        <f>'I.A. + Fasce'!AD48</f>
        <v>0</v>
      </c>
      <c r="AB48" s="56" t="str">
        <f ca="1">'I.A. + Fasce'!AE48</f>
        <v/>
      </c>
      <c r="AC48" s="56" t="str">
        <f ca="1">'I.A. + Fasce'!AF48</f>
        <v/>
      </c>
      <c r="AD48" s="56" t="str">
        <f ca="1">'I.A. + Fasce'!AG48</f>
        <v/>
      </c>
    </row>
    <row r="49" spans="1:30">
      <c r="A49" s="228" t="str">
        <f ca="1">IF(Giocatori!E55=0,"",Giocatori!E55)</f>
        <v>SANTURRO</v>
      </c>
      <c r="B49" s="229" t="str">
        <f ca="1">IF(Giocatori!F55=0,"",Giocatori!F55)</f>
        <v>Bologna</v>
      </c>
      <c r="C49" s="229" t="str">
        <f ca="1">IF(Giocatori!D55=0,"",Giocatori!D55)</f>
        <v>P</v>
      </c>
      <c r="D49" s="228" t="str">
        <f ca="1">IF(Giocatori!H55=0,"",Giocatori!H55)</f>
        <v>CHERUBIN</v>
      </c>
      <c r="E49" s="229" t="str">
        <f ca="1">IF(Giocatori!I55=0,"",Giocatori!I55)</f>
        <v>Verona</v>
      </c>
      <c r="F49" s="229" t="str">
        <f ca="1">IF(Giocatori!G55=0,"",Giocatori!G55)</f>
        <v>D</v>
      </c>
      <c r="G49" s="228" t="str">
        <f ca="1">IF(Giocatori!K55=0,"",Giocatori!K55)</f>
        <v>DE ROON</v>
      </c>
      <c r="H49" s="229" t="str">
        <f ca="1">IF(Giocatori!L55=0,"",Giocatori!L55)</f>
        <v>Atalanta</v>
      </c>
      <c r="I49" s="229" t="str">
        <f ca="1">IF(Giocatori!J55=0,"",Giocatori!J55)</f>
        <v>C</v>
      </c>
      <c r="J49" s="228" t="str">
        <f ca="1">IF(Giocatori!Q55=0,"",Giocatori!Q55)</f>
        <v/>
      </c>
      <c r="K49" s="229" t="str">
        <f ca="1">IF(Giocatori!R55=0,"",Giocatori!R55)</f>
        <v/>
      </c>
      <c r="L49" s="229" t="str">
        <f ca="1">IF(Giocatori!P55=0,"",Giocatori!P55)</f>
        <v/>
      </c>
      <c r="M49" s="228" t="str">
        <f ca="1">IF(Giocatori!N55=0,"",Giocatori!N55)</f>
        <v>KOWNACKI</v>
      </c>
      <c r="N49" s="229" t="str">
        <f ca="1">IF(Giocatori!O55=0,"",Giocatori!O55)</f>
        <v>Sampdoria</v>
      </c>
      <c r="O49" s="229" t="str">
        <f ca="1">IF(Giocatori!M55=0,"",Giocatori!M55)</f>
        <v>A</v>
      </c>
      <c r="Z49" s="56">
        <f>'I.A. + Fasce'!AC49</f>
        <v>0</v>
      </c>
      <c r="AA49" s="56">
        <f>'I.A. + Fasce'!AD49</f>
        <v>0</v>
      </c>
      <c r="AB49" s="56" t="str">
        <f ca="1">'I.A. + Fasce'!AE49</f>
        <v/>
      </c>
      <c r="AC49" s="56" t="str">
        <f ca="1">'I.A. + Fasce'!AF49</f>
        <v/>
      </c>
      <c r="AD49" s="56" t="str">
        <f ca="1">'I.A. + Fasce'!AG49</f>
        <v/>
      </c>
    </row>
    <row r="50" spans="1:30">
      <c r="A50" s="228" t="str">
        <f ca="1">IF(Giocatori!E56=0,"",Giocatori!E56)</f>
        <v>SATALINO</v>
      </c>
      <c r="B50" s="229" t="str">
        <f ca="1">IF(Giocatori!F56=0,"",Giocatori!F56)</f>
        <v>Sassuolo</v>
      </c>
      <c r="C50" s="229" t="str">
        <f ca="1">IF(Giocatori!D56=0,"",Giocatori!D56)</f>
        <v>P</v>
      </c>
      <c r="D50" s="228" t="str">
        <f ca="1">IF(Giocatori!H56=0,"",Giocatori!H56)</f>
        <v>CHIELLINI</v>
      </c>
      <c r="E50" s="229" t="str">
        <f ca="1">IF(Giocatori!I56=0,"",Giocatori!I56)</f>
        <v>Juventus</v>
      </c>
      <c r="F50" s="229" t="str">
        <f ca="1">IF(Giocatori!G56=0,"",Giocatori!G56)</f>
        <v>D</v>
      </c>
      <c r="G50" s="228" t="str">
        <f ca="1">IF(Giocatori!K56=0,"",Giocatori!K56)</f>
        <v>DE ROSSI</v>
      </c>
      <c r="H50" s="229" t="str">
        <f ca="1">IF(Giocatori!L56=0,"",Giocatori!L56)</f>
        <v>Roma</v>
      </c>
      <c r="I50" s="229" t="str">
        <f ca="1">IF(Giocatori!J56=0,"",Giocatori!J56)</f>
        <v>C</v>
      </c>
      <c r="J50" s="228" t="str">
        <f ca="1">IF(Giocatori!Q56=0,"",Giocatori!Q56)</f>
        <v/>
      </c>
      <c r="K50" s="229" t="str">
        <f ca="1">IF(Giocatori!R56=0,"",Giocatori!R56)</f>
        <v/>
      </c>
      <c r="L50" s="229" t="str">
        <f ca="1">IF(Giocatori!P56=0,"",Giocatori!P56)</f>
        <v/>
      </c>
      <c r="M50" s="228" t="str">
        <f ca="1">IF(Giocatori!N56=0,"",Giocatori!N56)</f>
        <v>LAPADULA</v>
      </c>
      <c r="N50" s="229" t="str">
        <f ca="1">IF(Giocatori!O56=0,"",Giocatori!O56)</f>
        <v>Genoa</v>
      </c>
      <c r="O50" s="229" t="str">
        <f ca="1">IF(Giocatori!M56=0,"",Giocatori!M56)</f>
        <v>A</v>
      </c>
      <c r="Z50" s="56">
        <f>'I.A. + Fasce'!AC50</f>
        <v>0</v>
      </c>
      <c r="AA50" s="56">
        <f>'I.A. + Fasce'!AD50</f>
        <v>0</v>
      </c>
      <c r="AB50" s="56" t="str">
        <f ca="1">'I.A. + Fasce'!AE50</f>
        <v/>
      </c>
      <c r="AC50" s="56" t="str">
        <f ca="1">'I.A. + Fasce'!AF50</f>
        <v/>
      </c>
      <c r="AD50" s="56" t="str">
        <f ca="1">'I.A. + Fasce'!AG50</f>
        <v/>
      </c>
    </row>
    <row r="51" spans="1:30">
      <c r="A51" s="228" t="str">
        <f ca="1">IF(Giocatori!E57=0,"",Giocatori!E57)</f>
        <v>SCUFFET</v>
      </c>
      <c r="B51" s="229" t="str">
        <f ca="1">IF(Giocatori!F57=0,"",Giocatori!F57)</f>
        <v>Udinese</v>
      </c>
      <c r="C51" s="229" t="str">
        <f ca="1">IF(Giocatori!D57=0,"",Giocatori!D57)</f>
        <v>P</v>
      </c>
      <c r="D51" s="228" t="str">
        <f ca="1">IF(Giocatori!H57=0,"",Giocatori!H57)</f>
        <v>CHIRICHES</v>
      </c>
      <c r="E51" s="229" t="str">
        <f ca="1">IF(Giocatori!I57=0,"",Giocatori!I57)</f>
        <v>Napoli</v>
      </c>
      <c r="F51" s="229" t="str">
        <f ca="1">IF(Giocatori!G57=0,"",Giocatori!G57)</f>
        <v>D</v>
      </c>
      <c r="G51" s="228" t="str">
        <f ca="1">IF(Giocatori!K57=0,"",Giocatori!K57)</f>
        <v>DEIOLA</v>
      </c>
      <c r="H51" s="229" t="str">
        <f ca="1">IF(Giocatori!L57=0,"",Giocatori!L57)</f>
        <v>Cagliari</v>
      </c>
      <c r="I51" s="229" t="str">
        <f ca="1">IF(Giocatori!J57=0,"",Giocatori!J57)</f>
        <v>C</v>
      </c>
      <c r="J51" s="228" t="str">
        <f ca="1">IF(Giocatori!Q57=0,"",Giocatori!Q57)</f>
        <v/>
      </c>
      <c r="K51" s="229" t="str">
        <f ca="1">IF(Giocatori!R57=0,"",Giocatori!R57)</f>
        <v/>
      </c>
      <c r="L51" s="229" t="str">
        <f ca="1">IF(Giocatori!P57=0,"",Giocatori!P57)</f>
        <v/>
      </c>
      <c r="M51" s="228" t="str">
        <f ca="1">IF(Giocatori!N57=0,"",Giocatori!N57)</f>
        <v>LASAGNA</v>
      </c>
      <c r="N51" s="229" t="str">
        <f ca="1">IF(Giocatori!O57=0,"",Giocatori!O57)</f>
        <v>Udinese</v>
      </c>
      <c r="O51" s="229" t="str">
        <f ca="1">IF(Giocatori!M57=0,"",Giocatori!M57)</f>
        <v>A</v>
      </c>
      <c r="Z51" s="56" t="str">
        <f>'I.A. + Fasce'!AC51</f>
        <v/>
      </c>
      <c r="AA51" s="56">
        <f>'I.A. + Fasce'!AD51</f>
        <v>0</v>
      </c>
      <c r="AB51" s="56" t="str">
        <f ca="1">'I.A. + Fasce'!AE51</f>
        <v/>
      </c>
      <c r="AC51" s="56" t="str">
        <f ca="1">'I.A. + Fasce'!AF51</f>
        <v/>
      </c>
      <c r="AD51" s="56" t="str">
        <f ca="1">'I.A. + Fasce'!AG51</f>
        <v/>
      </c>
    </row>
    <row r="52" spans="1:30">
      <c r="A52" s="228" t="str">
        <f ca="1">IF(Giocatori!E58=0,"",Giocatori!E58)</f>
        <v>SECULIN</v>
      </c>
      <c r="B52" s="229" t="str">
        <f ca="1">IF(Giocatori!F58=0,"",Giocatori!F58)</f>
        <v>Chievo</v>
      </c>
      <c r="C52" s="229" t="str">
        <f ca="1">IF(Giocatori!D58=0,"",Giocatori!D58)</f>
        <v>P</v>
      </c>
      <c r="D52" s="228" t="str">
        <f ca="1">IF(Giocatori!H58=0,"",Giocatori!H58)</f>
        <v>CONTI</v>
      </c>
      <c r="E52" s="229" t="str">
        <f ca="1">IF(Giocatori!I58=0,"",Giocatori!I58)</f>
        <v>Milan</v>
      </c>
      <c r="F52" s="229" t="str">
        <f ca="1">IF(Giocatori!G58=0,"",Giocatori!G58)</f>
        <v>D</v>
      </c>
      <c r="G52" s="228" t="str">
        <f ca="1">IF(Giocatori!K58=0,"",Giocatori!K58)</f>
        <v>DEL PINTO</v>
      </c>
      <c r="H52" s="229" t="str">
        <f ca="1">IF(Giocatori!L58=0,"",Giocatori!L58)</f>
        <v>Benevento</v>
      </c>
      <c r="I52" s="229" t="str">
        <f ca="1">IF(Giocatori!J58=0,"",Giocatori!J58)</f>
        <v>C</v>
      </c>
      <c r="J52" s="228" t="str">
        <f ca="1">IF(Giocatori!Q58=0,"",Giocatori!Q58)</f>
        <v/>
      </c>
      <c r="K52" s="229" t="str">
        <f ca="1">IF(Giocatori!R58=0,"",Giocatori!R58)</f>
        <v/>
      </c>
      <c r="L52" s="229" t="str">
        <f ca="1">IF(Giocatori!P58=0,"",Giocatori!P58)</f>
        <v/>
      </c>
      <c r="M52" s="228" t="str">
        <f ca="1">IF(Giocatori!N58=0,"",Giocatori!N58)</f>
        <v>LEE</v>
      </c>
      <c r="N52" s="229" t="str">
        <f ca="1">IF(Giocatori!O58=0,"",Giocatori!O58)</f>
        <v>Verona</v>
      </c>
      <c r="O52" s="229" t="str">
        <f ca="1">IF(Giocatori!M58=0,"",Giocatori!M58)</f>
        <v>A</v>
      </c>
      <c r="Z52" s="56" t="str">
        <f>'I.A. + Fasce'!AC52</f>
        <v/>
      </c>
      <c r="AA52" s="56">
        <f>'I.A. + Fasce'!AD52</f>
        <v>0</v>
      </c>
      <c r="AB52" s="56" t="str">
        <f ca="1">'I.A. + Fasce'!AE52</f>
        <v/>
      </c>
      <c r="AC52" s="56" t="str">
        <f ca="1">'I.A. + Fasce'!AF52</f>
        <v/>
      </c>
      <c r="AD52" s="56" t="str">
        <f ca="1">'I.A. + Fasce'!AG52</f>
        <v/>
      </c>
    </row>
    <row r="53" spans="1:30">
      <c r="A53" s="228" t="str">
        <f ca="1">IF(Giocatori!E59=0,"",Giocatori!E59)</f>
        <v>SEPE</v>
      </c>
      <c r="B53" s="229" t="str">
        <f ca="1">IF(Giocatori!F59=0,"",Giocatori!F59)</f>
        <v>Napoli</v>
      </c>
      <c r="C53" s="229" t="str">
        <f ca="1">IF(Giocatori!D59=0,"",Giocatori!D59)</f>
        <v>P</v>
      </c>
      <c r="D53" s="228" t="str">
        <f ca="1">IF(Giocatori!H59=0,"",Giocatori!H59)</f>
        <v>COSTA</v>
      </c>
      <c r="E53" s="229" t="str">
        <f ca="1">IF(Giocatori!I59=0,"",Giocatori!I59)</f>
        <v>Benevento</v>
      </c>
      <c r="F53" s="229" t="str">
        <f ca="1">IF(Giocatori!G59=0,"",Giocatori!G59)</f>
        <v>D</v>
      </c>
      <c r="G53" s="228" t="str">
        <f ca="1">IF(Giocatori!K59=0,"",Giocatori!K59)</f>
        <v>DESSENA</v>
      </c>
      <c r="H53" s="229" t="str">
        <f ca="1">IF(Giocatori!L59=0,"",Giocatori!L59)</f>
        <v>Cagliari</v>
      </c>
      <c r="I53" s="229" t="str">
        <f ca="1">IF(Giocatori!J59=0,"",Giocatori!J59)</f>
        <v>C</v>
      </c>
      <c r="J53" s="228" t="str">
        <f ca="1">IF(Giocatori!Q59=0,"",Giocatori!Q59)</f>
        <v/>
      </c>
      <c r="K53" s="229" t="str">
        <f ca="1">IF(Giocatori!R59=0,"",Giocatori!R59)</f>
        <v/>
      </c>
      <c r="L53" s="229" t="str">
        <f ca="1">IF(Giocatori!P59=0,"",Giocatori!P59)</f>
        <v/>
      </c>
      <c r="M53" s="228" t="str">
        <f ca="1">IF(Giocatori!N59=0,"",Giocatori!N59)</f>
        <v>LO FASO</v>
      </c>
      <c r="N53" s="229" t="str">
        <f ca="1">IF(Giocatori!O59=0,"",Giocatori!O59)</f>
        <v>Fiorentina</v>
      </c>
      <c r="O53" s="229" t="str">
        <f ca="1">IF(Giocatori!M59=0,"",Giocatori!M59)</f>
        <v>A</v>
      </c>
      <c r="Z53" s="56" t="str">
        <f>'I.A. + Fasce'!AC53</f>
        <v/>
      </c>
      <c r="AA53" s="56">
        <f>'I.A. + Fasce'!AD53</f>
        <v>0</v>
      </c>
      <c r="AB53" s="56" t="str">
        <f ca="1">'I.A. + Fasce'!AE53</f>
        <v/>
      </c>
      <c r="AC53" s="56" t="str">
        <f ca="1">'I.A. + Fasce'!AF53</f>
        <v/>
      </c>
      <c r="AD53" s="56" t="str">
        <f ca="1">'I.A. + Fasce'!AG53</f>
        <v/>
      </c>
    </row>
    <row r="54" spans="1:30">
      <c r="A54" s="228" t="str">
        <f ca="1">IF(Giocatori!E60=0,"",Giocatori!E60)</f>
        <v>SILVESTRI</v>
      </c>
      <c r="B54" s="229" t="str">
        <f ca="1">IF(Giocatori!F60=0,"",Giocatori!F60)</f>
        <v>Verona</v>
      </c>
      <c r="C54" s="229" t="str">
        <f ca="1">IF(Giocatori!D60=0,"",Giocatori!D60)</f>
        <v>P</v>
      </c>
      <c r="D54" s="228" t="str">
        <f ca="1">IF(Giocatori!H60=0,"",Giocatori!H60)</f>
        <v>COSTA F</v>
      </c>
      <c r="E54" s="229" t="str">
        <f ca="1">IF(Giocatori!I60=0,"",Giocatori!I60)</f>
        <v>SPAL</v>
      </c>
      <c r="F54" s="229" t="str">
        <f ca="1">IF(Giocatori!G60=0,"",Giocatori!G60)</f>
        <v>D</v>
      </c>
      <c r="G54" s="228" t="str">
        <f ca="1">IF(Giocatori!K60=0,"",Giocatori!K60)</f>
        <v>DI GENNARO D</v>
      </c>
      <c r="H54" s="229" t="str">
        <f ca="1">IF(Giocatori!L60=0,"",Giocatori!L60)</f>
        <v>Lazio</v>
      </c>
      <c r="I54" s="229" t="str">
        <f ca="1">IF(Giocatori!J60=0,"",Giocatori!J60)</f>
        <v>C</v>
      </c>
      <c r="J54" s="228" t="str">
        <f ca="1">IF(Giocatori!Q60=0,"",Giocatori!Q60)</f>
        <v/>
      </c>
      <c r="K54" s="229" t="str">
        <f ca="1">IF(Giocatori!R60=0,"",Giocatori!R60)</f>
        <v/>
      </c>
      <c r="L54" s="229" t="str">
        <f ca="1">IF(Giocatori!P60=0,"",Giocatori!P60)</f>
        <v/>
      </c>
      <c r="M54" s="228" t="str">
        <f ca="1">IF(Giocatori!N60=0,"",Giocatori!N60)</f>
        <v>LOMBARDI</v>
      </c>
      <c r="N54" s="229" t="str">
        <f ca="1">IF(Giocatori!O60=0,"",Giocatori!O60)</f>
        <v>Benevento</v>
      </c>
      <c r="O54" s="229" t="str">
        <f ca="1">IF(Giocatori!M60=0,"",Giocatori!M60)</f>
        <v>A</v>
      </c>
      <c r="Z54" s="56" t="str">
        <f>'I.A. + Fasce'!AC54</f>
        <v/>
      </c>
      <c r="AA54" s="56">
        <f>'I.A. + Fasce'!AD54</f>
        <v>0</v>
      </c>
      <c r="AB54" s="56" t="str">
        <f ca="1">'I.A. + Fasce'!AE54</f>
        <v/>
      </c>
      <c r="AC54" s="56" t="str">
        <f ca="1">'I.A. + Fasce'!AF54</f>
        <v/>
      </c>
      <c r="AD54" s="56" t="str">
        <f ca="1">'I.A. + Fasce'!AG54</f>
        <v/>
      </c>
    </row>
    <row r="55" spans="1:30">
      <c r="A55" s="228" t="str">
        <f ca="1">IF(Giocatori!E61=0,"",Giocatori!E61)</f>
        <v>SIRIGU</v>
      </c>
      <c r="B55" s="229" t="str">
        <f ca="1">IF(Giocatori!F61=0,"",Giocatori!F61)</f>
        <v>Torino</v>
      </c>
      <c r="C55" s="229" t="str">
        <f ca="1">IF(Giocatori!D61=0,"",Giocatori!D61)</f>
        <v>P</v>
      </c>
      <c r="D55" s="228" t="str">
        <f ca="1">IF(Giocatori!H61=0,"",Giocatori!H61)</f>
        <v>CREMONESI</v>
      </c>
      <c r="E55" s="229" t="str">
        <f ca="1">IF(Giocatori!I61=0,"",Giocatori!I61)</f>
        <v>SPAL</v>
      </c>
      <c r="F55" s="229" t="str">
        <f ca="1">IF(Giocatori!G61=0,"",Giocatori!G61)</f>
        <v>D</v>
      </c>
      <c r="G55" s="228" t="str">
        <f ca="1">IF(Giocatori!K61=0,"",Giocatori!K61)</f>
        <v>DIAWARA</v>
      </c>
      <c r="H55" s="229" t="str">
        <f ca="1">IF(Giocatori!L61=0,"",Giocatori!L61)</f>
        <v>Napoli</v>
      </c>
      <c r="I55" s="229" t="str">
        <f ca="1">IF(Giocatori!J61=0,"",Giocatori!J61)</f>
        <v>C</v>
      </c>
      <c r="J55" s="228" t="str">
        <f ca="1">IF(Giocatori!Q61=0,"",Giocatori!Q61)</f>
        <v/>
      </c>
      <c r="K55" s="229" t="str">
        <f ca="1">IF(Giocatori!R61=0,"",Giocatori!R61)</f>
        <v/>
      </c>
      <c r="L55" s="229" t="str">
        <f ca="1">IF(Giocatori!P61=0,"",Giocatori!P61)</f>
        <v/>
      </c>
      <c r="M55" s="228" t="str">
        <f ca="1">IF(Giocatori!N61=0,"",Giocatori!N61)</f>
        <v>MANDZUKIC</v>
      </c>
      <c r="N55" s="229" t="str">
        <f ca="1">IF(Giocatori!O61=0,"",Giocatori!O61)</f>
        <v>Juventus</v>
      </c>
      <c r="O55" s="229" t="str">
        <f ca="1">IF(Giocatori!M61=0,"",Giocatori!M61)</f>
        <v>A</v>
      </c>
      <c r="Z55" s="56" t="str">
        <f>'I.A. + Fasce'!AC55</f>
        <v/>
      </c>
      <c r="AA55" s="56">
        <f>'I.A. + Fasce'!AD55</f>
        <v>0</v>
      </c>
      <c r="AB55" s="56" t="str">
        <f ca="1">'I.A. + Fasce'!AE55</f>
        <v/>
      </c>
      <c r="AC55" s="56" t="str">
        <f ca="1">'I.A. + Fasce'!AF55</f>
        <v/>
      </c>
      <c r="AD55" s="56" t="str">
        <f ca="1">'I.A. + Fasce'!AG55</f>
        <v/>
      </c>
    </row>
    <row r="56" spans="1:30">
      <c r="A56" s="228" t="str">
        <f ca="1">IF(Giocatori!E62=0,"",Giocatori!E62)</f>
        <v>SKORUPSKI</v>
      </c>
      <c r="B56" s="229" t="str">
        <f ca="1">IF(Giocatori!F62=0,"",Giocatori!F62)</f>
        <v>Roma</v>
      </c>
      <c r="C56" s="229" t="str">
        <f ca="1">IF(Giocatori!D62=0,"",Giocatori!D62)</f>
        <v>P</v>
      </c>
      <c r="D56" s="228" t="str">
        <f ca="1">IF(Giocatori!H62=0,"",Giocatori!H62)</f>
        <v>DAINELLI</v>
      </c>
      <c r="E56" s="229" t="str">
        <f ca="1">IF(Giocatori!I62=0,"",Giocatori!I62)</f>
        <v>Chievo</v>
      </c>
      <c r="F56" s="229" t="str">
        <f ca="1">IF(Giocatori!G62=0,"",Giocatori!G62)</f>
        <v>D</v>
      </c>
      <c r="G56" s="228" t="str">
        <f ca="1">IF(Giocatori!K62=0,"",Giocatori!K62)</f>
        <v>DJURICIC</v>
      </c>
      <c r="H56" s="229" t="str">
        <f ca="1">IF(Giocatori!L62=0,"",Giocatori!L62)</f>
        <v>Sampdoria</v>
      </c>
      <c r="I56" s="229" t="str">
        <f ca="1">IF(Giocatori!J62=0,"",Giocatori!J62)</f>
        <v>C</v>
      </c>
      <c r="J56" s="228" t="str">
        <f ca="1">IF(Giocatori!Q62=0,"",Giocatori!Q62)</f>
        <v/>
      </c>
      <c r="K56" s="229" t="str">
        <f ca="1">IF(Giocatori!R62=0,"",Giocatori!R62)</f>
        <v/>
      </c>
      <c r="L56" s="229" t="str">
        <f ca="1">IF(Giocatori!P62=0,"",Giocatori!P62)</f>
        <v/>
      </c>
      <c r="M56" s="228" t="str">
        <f ca="1">IF(Giocatori!N62=0,"",Giocatori!N62)</f>
        <v>MATOS</v>
      </c>
      <c r="N56" s="229" t="str">
        <f ca="1">IF(Giocatori!O62=0,"",Giocatori!O62)</f>
        <v>Udinese</v>
      </c>
      <c r="O56" s="229" t="str">
        <f ca="1">IF(Giocatori!M62=0,"",Giocatori!M62)</f>
        <v>A</v>
      </c>
      <c r="Z56" s="56" t="str">
        <f>'I.A. + Fasce'!AC56</f>
        <v/>
      </c>
      <c r="AA56" s="56">
        <f>'I.A. + Fasce'!AD56</f>
        <v>0</v>
      </c>
      <c r="AB56" s="56" t="str">
        <f ca="1">'I.A. + Fasce'!AE56</f>
        <v/>
      </c>
      <c r="AC56" s="56" t="str">
        <f ca="1">'I.A. + Fasce'!AF56</f>
        <v/>
      </c>
      <c r="AD56" s="56" t="str">
        <f ca="1">'I.A. + Fasce'!AG56</f>
        <v/>
      </c>
    </row>
    <row r="57" spans="1:30">
      <c r="A57" s="228" t="str">
        <f ca="1">IF(Giocatori!E63=0,"",Giocatori!E63)</f>
        <v>SORRENTINO</v>
      </c>
      <c r="B57" s="229" t="str">
        <f ca="1">IF(Giocatori!F63=0,"",Giocatori!F63)</f>
        <v>Chievo</v>
      </c>
      <c r="C57" s="229" t="str">
        <f ca="1">IF(Giocatori!D63=0,"",Giocatori!D63)</f>
        <v>P</v>
      </c>
      <c r="D57" s="228" t="str">
        <f ca="1">IF(Giocatori!H63=0,"",Giocatori!H63)</f>
        <v>DALBERT</v>
      </c>
      <c r="E57" s="229" t="str">
        <f ca="1">IF(Giocatori!I63=0,"",Giocatori!I63)</f>
        <v>Inter</v>
      </c>
      <c r="F57" s="229" t="str">
        <f ca="1">IF(Giocatori!G63=0,"",Giocatori!G63)</f>
        <v>D</v>
      </c>
      <c r="G57" s="228" t="str">
        <f ca="1">IF(Giocatori!K63=0,"",Giocatori!K63)</f>
        <v>DONSAH</v>
      </c>
      <c r="H57" s="229" t="str">
        <f ca="1">IF(Giocatori!L63=0,"",Giocatori!L63)</f>
        <v>Bologna</v>
      </c>
      <c r="I57" s="229" t="str">
        <f ca="1">IF(Giocatori!J63=0,"",Giocatori!J63)</f>
        <v>C</v>
      </c>
      <c r="J57" s="228" t="str">
        <f ca="1">IF(Giocatori!Q63=0,"",Giocatori!Q63)</f>
        <v/>
      </c>
      <c r="K57" s="229" t="str">
        <f ca="1">IF(Giocatori!R63=0,"",Giocatori!R63)</f>
        <v/>
      </c>
      <c r="L57" s="229" t="str">
        <f ca="1">IF(Giocatori!P63=0,"",Giocatori!P63)</f>
        <v/>
      </c>
      <c r="M57" s="228" t="str">
        <f ca="1">IF(Giocatori!N63=0,"",Giocatori!N63)</f>
        <v>MATRI</v>
      </c>
      <c r="N57" s="229" t="str">
        <f ca="1">IF(Giocatori!O63=0,"",Giocatori!O63)</f>
        <v>Sassuolo</v>
      </c>
      <c r="O57" s="229" t="str">
        <f ca="1">IF(Giocatori!M63=0,"",Giocatori!M63)</f>
        <v>A</v>
      </c>
      <c r="Z57" s="56" t="str">
        <f>'I.A. + Fasce'!AC57</f>
        <v/>
      </c>
      <c r="AA57" s="56">
        <f>'I.A. + Fasce'!AD57</f>
        <v>0</v>
      </c>
      <c r="AB57" s="56" t="str">
        <f ca="1">'I.A. + Fasce'!AE57</f>
        <v/>
      </c>
      <c r="AC57" s="56" t="str">
        <f ca="1">'I.A. + Fasce'!AF57</f>
        <v/>
      </c>
      <c r="AD57" s="56" t="str">
        <f ca="1">'I.A. + Fasce'!AG57</f>
        <v/>
      </c>
    </row>
    <row r="58" spans="1:30">
      <c r="A58" s="228" t="str">
        <f ca="1">IF(Giocatori!E64=0,"",Giocatori!E64)</f>
        <v>SPORTIELLO</v>
      </c>
      <c r="B58" s="229" t="str">
        <f ca="1">IF(Giocatori!F64=0,"",Giocatori!F64)</f>
        <v>Fiorentina</v>
      </c>
      <c r="C58" s="229" t="str">
        <f ca="1">IF(Giocatori!D64=0,"",Giocatori!D64)</f>
        <v>P</v>
      </c>
      <c r="D58" s="228" t="str">
        <f ca="1">IF(Giocatori!H64=0,"",Giocatori!H64)</f>
        <v>D'AMBROSIO</v>
      </c>
      <c r="E58" s="229" t="str">
        <f ca="1">IF(Giocatori!I64=0,"",Giocatori!I64)</f>
        <v>Inter</v>
      </c>
      <c r="F58" s="229" t="str">
        <f ca="1">IF(Giocatori!G64=0,"",Giocatori!G64)</f>
        <v>D</v>
      </c>
      <c r="G58" s="228" t="str">
        <f ca="1">IF(Giocatori!K64=0,"",Giocatori!K64)</f>
        <v>DOUGLAS COSTA</v>
      </c>
      <c r="H58" s="229" t="str">
        <f ca="1">IF(Giocatori!L64=0,"",Giocatori!L64)</f>
        <v>Juventus</v>
      </c>
      <c r="I58" s="229" t="str">
        <f ca="1">IF(Giocatori!J64=0,"",Giocatori!J64)</f>
        <v>C</v>
      </c>
      <c r="J58" s="228" t="str">
        <f ca="1">IF(Giocatori!Q64=0,"",Giocatori!Q64)</f>
        <v/>
      </c>
      <c r="K58" s="229" t="str">
        <f ca="1">IF(Giocatori!R64=0,"",Giocatori!R64)</f>
        <v/>
      </c>
      <c r="L58" s="229" t="str">
        <f ca="1">IF(Giocatori!P64=0,"",Giocatori!P64)</f>
        <v/>
      </c>
      <c r="M58" s="228" t="str">
        <f ca="1">IF(Giocatori!N64=0,"",Giocatori!N64)</f>
        <v>MAXI LOPEZ</v>
      </c>
      <c r="N58" s="229" t="str">
        <f ca="1">IF(Giocatori!O64=0,"",Giocatori!O64)</f>
        <v>Udinese</v>
      </c>
      <c r="O58" s="229" t="str">
        <f ca="1">IF(Giocatori!M64=0,"",Giocatori!M64)</f>
        <v>A</v>
      </c>
      <c r="Z58" s="56">
        <f>'I.A. + Fasce'!AC58</f>
        <v>0</v>
      </c>
      <c r="AA58" s="56">
        <f>'I.A. + Fasce'!AD58</f>
        <v>0</v>
      </c>
      <c r="AB58" s="56" t="str">
        <f ca="1">'I.A. + Fasce'!AE58</f>
        <v/>
      </c>
      <c r="AC58" s="56" t="str">
        <f ca="1">'I.A. + Fasce'!AF58</f>
        <v/>
      </c>
      <c r="AD58" s="56" t="str">
        <f ca="1">'I.A. + Fasce'!AG58</f>
        <v/>
      </c>
    </row>
    <row r="59" spans="1:30">
      <c r="A59" s="228" t="str">
        <f ca="1">IF(Giocatori!E65=0,"",Giocatori!E65)</f>
        <v>STORARI</v>
      </c>
      <c r="B59" s="229" t="str">
        <f ca="1">IF(Giocatori!F65=0,"",Giocatori!F65)</f>
        <v>Milan</v>
      </c>
      <c r="C59" s="229" t="str">
        <f ca="1">IF(Giocatori!D65=0,"",Giocatori!D65)</f>
        <v>P</v>
      </c>
      <c r="D59" s="228" t="str">
        <f ca="1">IF(Giocatori!H65=0,"",Giocatori!H65)</f>
        <v>DANILO</v>
      </c>
      <c r="E59" s="229" t="str">
        <f ca="1">IF(Giocatori!I65=0,"",Giocatori!I65)</f>
        <v>Udinese</v>
      </c>
      <c r="F59" s="229" t="str">
        <f ca="1">IF(Giocatori!G65=0,"",Giocatori!G65)</f>
        <v>D</v>
      </c>
      <c r="G59" s="228" t="str">
        <f ca="1">IF(Giocatori!K65=0,"",Giocatori!K65)</f>
        <v>DUNCAN</v>
      </c>
      <c r="H59" s="229" t="str">
        <f ca="1">IF(Giocatori!L65=0,"",Giocatori!L65)</f>
        <v>Sassuolo</v>
      </c>
      <c r="I59" s="229" t="str">
        <f ca="1">IF(Giocatori!J65=0,"",Giocatori!J65)</f>
        <v>C</v>
      </c>
      <c r="J59" s="228" t="str">
        <f ca="1">IF(Giocatori!Q65=0,"",Giocatori!Q65)</f>
        <v/>
      </c>
      <c r="K59" s="229" t="str">
        <f ca="1">IF(Giocatori!R65=0,"",Giocatori!R65)</f>
        <v/>
      </c>
      <c r="L59" s="229" t="str">
        <f ca="1">IF(Giocatori!P65=0,"",Giocatori!P65)</f>
        <v/>
      </c>
      <c r="M59" s="228" t="str">
        <f ca="1">IF(Giocatori!N65=0,"",Giocatori!N65)</f>
        <v>MEGGIORINI</v>
      </c>
      <c r="N59" s="229" t="str">
        <f ca="1">IF(Giocatori!O65=0,"",Giocatori!O65)</f>
        <v>Chievo</v>
      </c>
      <c r="O59" s="229" t="str">
        <f ca="1">IF(Giocatori!M65=0,"",Giocatori!M65)</f>
        <v>A</v>
      </c>
      <c r="Z59" s="56">
        <f>'I.A. + Fasce'!AC59</f>
        <v>0</v>
      </c>
      <c r="AA59" s="56">
        <f>'I.A. + Fasce'!AD59</f>
        <v>0</v>
      </c>
      <c r="AB59" s="56" t="str">
        <f ca="1">'I.A. + Fasce'!AE59</f>
        <v/>
      </c>
      <c r="AC59" s="56" t="str">
        <f ca="1">'I.A. + Fasce'!AF59</f>
        <v/>
      </c>
      <c r="AD59" s="56" t="str">
        <f ca="1">'I.A. + Fasce'!AG59</f>
        <v/>
      </c>
    </row>
    <row r="60" spans="1:30">
      <c r="A60" s="228" t="str">
        <f ca="1">IF(Giocatori!E66=0,"",Giocatori!E66)</f>
        <v>STRAKOSHA</v>
      </c>
      <c r="B60" s="229" t="str">
        <f ca="1">IF(Giocatori!F66=0,"",Giocatori!F66)</f>
        <v>Lazio</v>
      </c>
      <c r="C60" s="229" t="str">
        <f ca="1">IF(Giocatori!D66=0,"",Giocatori!D66)</f>
        <v>P</v>
      </c>
      <c r="D60" s="228" t="str">
        <f ca="1">IF(Giocatori!H66=0,"",Giocatori!H66)</f>
        <v>DE MAIO</v>
      </c>
      <c r="E60" s="229" t="str">
        <f ca="1">IF(Giocatori!I66=0,"",Giocatori!I66)</f>
        <v>Bologna</v>
      </c>
      <c r="F60" s="229" t="str">
        <f ca="1">IF(Giocatori!G66=0,"",Giocatori!G66)</f>
        <v>D</v>
      </c>
      <c r="G60" s="228" t="str">
        <f ca="1">IF(Giocatori!K66=0,"",Giocatori!K66)</f>
        <v>EWANDRO</v>
      </c>
      <c r="H60" s="229" t="str">
        <f ca="1">IF(Giocatori!L66=0,"",Giocatori!L66)</f>
        <v>Udinese</v>
      </c>
      <c r="I60" s="229" t="str">
        <f ca="1">IF(Giocatori!J66=0,"",Giocatori!J66)</f>
        <v>C</v>
      </c>
      <c r="J60" s="228" t="str">
        <f ca="1">IF(Giocatori!Q66=0,"",Giocatori!Q66)</f>
        <v/>
      </c>
      <c r="K60" s="229" t="str">
        <f ca="1">IF(Giocatori!R66=0,"",Giocatori!R66)</f>
        <v/>
      </c>
      <c r="L60" s="229" t="str">
        <f ca="1">IF(Giocatori!P66=0,"",Giocatori!P66)</f>
        <v/>
      </c>
      <c r="M60" s="228" t="str">
        <f ca="1">IF(Giocatori!N66=0,"",Giocatori!N66)</f>
        <v>MELCHIORRI</v>
      </c>
      <c r="N60" s="229" t="str">
        <f ca="1">IF(Giocatori!O66=0,"",Giocatori!O66)</f>
        <v>Cagliari</v>
      </c>
      <c r="O60" s="229" t="str">
        <f ca="1">IF(Giocatori!M66=0,"",Giocatori!M66)</f>
        <v>A</v>
      </c>
      <c r="Z60" s="56">
        <f>'I.A. + Fasce'!AC60</f>
        <v>0</v>
      </c>
      <c r="AA60" s="56">
        <f>'I.A. + Fasce'!AD60</f>
        <v>0</v>
      </c>
      <c r="AB60" s="56" t="str">
        <f ca="1">'I.A. + Fasce'!AE60</f>
        <v/>
      </c>
      <c r="AC60" s="56" t="str">
        <f ca="1">'I.A. + Fasce'!AF60</f>
        <v/>
      </c>
      <c r="AD60" s="56" t="str">
        <f ca="1">'I.A. + Fasce'!AG60</f>
        <v/>
      </c>
    </row>
    <row r="61" spans="1:30">
      <c r="A61" s="228" t="str">
        <f ca="1">IF(Giocatori!E67=0,"",Giocatori!E67)</f>
        <v>SZCZESNY</v>
      </c>
      <c r="B61" s="229" t="str">
        <f ca="1">IF(Giocatori!F67=0,"",Giocatori!F67)</f>
        <v>Juventus</v>
      </c>
      <c r="C61" s="229" t="str">
        <f ca="1">IF(Giocatori!D67=0,"",Giocatori!D67)</f>
        <v>P</v>
      </c>
      <c r="D61" s="228" t="str">
        <f ca="1">IF(Giocatori!H67=0,"",Giocatori!H67)</f>
        <v>DE SCIGLIO</v>
      </c>
      <c r="E61" s="229" t="str">
        <f ca="1">IF(Giocatori!I67=0,"",Giocatori!I67)</f>
        <v>Juventus</v>
      </c>
      <c r="F61" s="229" t="str">
        <f ca="1">IF(Giocatori!G67=0,"",Giocatori!G67)</f>
        <v>D</v>
      </c>
      <c r="G61" s="228" t="str">
        <f ca="1">IF(Giocatori!K67=0,"",Giocatori!K67)</f>
        <v>EYSSERIC</v>
      </c>
      <c r="H61" s="229" t="str">
        <f ca="1">IF(Giocatori!L67=0,"",Giocatori!L67)</f>
        <v>Fiorentina</v>
      </c>
      <c r="I61" s="229" t="str">
        <f ca="1">IF(Giocatori!J67=0,"",Giocatori!J67)</f>
        <v>C</v>
      </c>
      <c r="J61" s="228" t="str">
        <f ca="1">IF(Giocatori!Q67=0,"",Giocatori!Q67)</f>
        <v/>
      </c>
      <c r="K61" s="229" t="str">
        <f ca="1">IF(Giocatori!R67=0,"",Giocatori!R67)</f>
        <v/>
      </c>
      <c r="L61" s="229" t="str">
        <f ca="1">IF(Giocatori!P67=0,"",Giocatori!P67)</f>
        <v/>
      </c>
      <c r="M61" s="228" t="str">
        <f ca="1">IF(Giocatori!N67=0,"",Giocatori!N67)</f>
        <v>MERTENS</v>
      </c>
      <c r="N61" s="229" t="str">
        <f ca="1">IF(Giocatori!O67=0,"",Giocatori!O67)</f>
        <v>Napoli</v>
      </c>
      <c r="O61" s="229" t="str">
        <f ca="1">IF(Giocatori!M67=0,"",Giocatori!M67)</f>
        <v>A</v>
      </c>
      <c r="Z61" s="56">
        <f>'I.A. + Fasce'!AC61</f>
        <v>0</v>
      </c>
      <c r="AA61" s="56">
        <f>'I.A. + Fasce'!AD61</f>
        <v>0</v>
      </c>
      <c r="AB61" s="56" t="str">
        <f ca="1">'I.A. + Fasce'!AE61</f>
        <v/>
      </c>
      <c r="AC61" s="56" t="str">
        <f ca="1">'I.A. + Fasce'!AF61</f>
        <v/>
      </c>
      <c r="AD61" s="56" t="str">
        <f ca="1">'I.A. + Fasce'!AG61</f>
        <v/>
      </c>
    </row>
    <row r="62" spans="1:30">
      <c r="A62" s="228" t="str">
        <f ca="1">IF(Giocatori!E68=0,"",Giocatori!E68)</f>
        <v>TOZZO</v>
      </c>
      <c r="B62" s="229" t="str">
        <f ca="1">IF(Giocatori!F68=0,"",Giocatori!F68)</f>
        <v>Sampdoria</v>
      </c>
      <c r="C62" s="229" t="str">
        <f ca="1">IF(Giocatori!D68=0,"",Giocatori!D68)</f>
        <v>P</v>
      </c>
      <c r="D62" s="228" t="str">
        <f ca="1">IF(Giocatori!H68=0,"",Giocatori!H68)</f>
        <v>DE SILVESTRI</v>
      </c>
      <c r="E62" s="229" t="str">
        <f ca="1">IF(Giocatori!I68=0,"",Giocatori!I68)</f>
        <v>Torino</v>
      </c>
      <c r="F62" s="229" t="str">
        <f ca="1">IF(Giocatori!G68=0,"",Giocatori!G68)</f>
        <v>D</v>
      </c>
      <c r="G62" s="228" t="str">
        <f ca="1">IF(Giocatori!K68=0,"",Giocatori!K68)</f>
        <v>FALLETTI</v>
      </c>
      <c r="H62" s="229" t="str">
        <f ca="1">IF(Giocatori!L68=0,"",Giocatori!L68)</f>
        <v>Bologna</v>
      </c>
      <c r="I62" s="229" t="str">
        <f ca="1">IF(Giocatori!J68=0,"",Giocatori!J68)</f>
        <v>C</v>
      </c>
      <c r="J62" s="228" t="str">
        <f ca="1">IF(Giocatori!Q68=0,"",Giocatori!Q68)</f>
        <v/>
      </c>
      <c r="K62" s="229" t="str">
        <f ca="1">IF(Giocatori!R68=0,"",Giocatori!R68)</f>
        <v/>
      </c>
      <c r="L62" s="229" t="str">
        <f ca="1">IF(Giocatori!P68=0,"",Giocatori!P68)</f>
        <v/>
      </c>
      <c r="M62" s="228" t="str">
        <f ca="1">IF(Giocatori!N68=0,"",Giocatori!N68)</f>
        <v>MILIK</v>
      </c>
      <c r="N62" s="229" t="str">
        <f ca="1">IF(Giocatori!O68=0,"",Giocatori!O68)</f>
        <v>Napoli</v>
      </c>
      <c r="O62" s="229" t="str">
        <f ca="1">IF(Giocatori!M68=0,"",Giocatori!M68)</f>
        <v>A</v>
      </c>
      <c r="Z62" s="56">
        <f>'I.A. + Fasce'!AC62</f>
        <v>0</v>
      </c>
      <c r="AA62" s="56">
        <f>'I.A. + Fasce'!AD62</f>
        <v>0</v>
      </c>
      <c r="AB62" s="56" t="str">
        <f ca="1">'I.A. + Fasce'!AE62</f>
        <v/>
      </c>
      <c r="AC62" s="56" t="str">
        <f ca="1">'I.A. + Fasce'!AF62</f>
        <v/>
      </c>
      <c r="AD62" s="56" t="str">
        <f ca="1">'I.A. + Fasce'!AG62</f>
        <v/>
      </c>
    </row>
    <row r="63" spans="1:30">
      <c r="A63" s="228" t="str">
        <f ca="1">IF(Giocatori!E69=0,"",Giocatori!E69)</f>
        <v>VARGIC</v>
      </c>
      <c r="B63" s="229" t="str">
        <f ca="1">IF(Giocatori!F69=0,"",Giocatori!F69)</f>
        <v>Lazio</v>
      </c>
      <c r="C63" s="229" t="str">
        <f ca="1">IF(Giocatori!D69=0,"",Giocatori!D69)</f>
        <v>P</v>
      </c>
      <c r="D63" s="228" t="str">
        <f ca="1">IF(Giocatori!H69=0,"",Giocatori!H69)</f>
        <v>DE VRIJ</v>
      </c>
      <c r="E63" s="229" t="str">
        <f ca="1">IF(Giocatori!I69=0,"",Giocatori!I69)</f>
        <v>Lazio</v>
      </c>
      <c r="F63" s="229" t="str">
        <f ca="1">IF(Giocatori!G69=0,"",Giocatori!G69)</f>
        <v>D</v>
      </c>
      <c r="G63" s="228" t="str">
        <f ca="1">IF(Giocatori!K69=0,"",Giocatori!K69)</f>
        <v>FARAGO'</v>
      </c>
      <c r="H63" s="229" t="str">
        <f ca="1">IF(Giocatori!L69=0,"",Giocatori!L69)</f>
        <v>Cagliari</v>
      </c>
      <c r="I63" s="229" t="str">
        <f ca="1">IF(Giocatori!J69=0,"",Giocatori!J69)</f>
        <v>C</v>
      </c>
      <c r="J63" s="228" t="str">
        <f ca="1">IF(Giocatori!Q69=0,"",Giocatori!Q69)</f>
        <v/>
      </c>
      <c r="K63" s="229" t="str">
        <f ca="1">IF(Giocatori!R69=0,"",Giocatori!R69)</f>
        <v/>
      </c>
      <c r="L63" s="229" t="str">
        <f ca="1">IF(Giocatori!P69=0,"",Giocatori!P69)</f>
        <v/>
      </c>
      <c r="M63" s="228" t="str">
        <f ca="1">IF(Giocatori!N69=0,"",Giocatori!N69)</f>
        <v>NANI</v>
      </c>
      <c r="N63" s="229" t="str">
        <f ca="1">IF(Giocatori!O69=0,"",Giocatori!O69)</f>
        <v>Lazio</v>
      </c>
      <c r="O63" s="229" t="str">
        <f ca="1">IF(Giocatori!M69=0,"",Giocatori!M69)</f>
        <v>A</v>
      </c>
      <c r="Z63" s="56">
        <f>'I.A. + Fasce'!AC63</f>
        <v>0</v>
      </c>
      <c r="AA63" s="56">
        <f>'I.A. + Fasce'!AD63</f>
        <v>0</v>
      </c>
      <c r="AB63" s="56" t="str">
        <f ca="1">'I.A. + Fasce'!AE63</f>
        <v/>
      </c>
      <c r="AC63" s="56" t="str">
        <f ca="1">'I.A. + Fasce'!AF63</f>
        <v/>
      </c>
      <c r="AD63" s="56" t="str">
        <f ca="1">'I.A. + Fasce'!AG63</f>
        <v/>
      </c>
    </row>
    <row r="64" spans="1:30">
      <c r="A64" s="228" t="str">
        <f ca="1">IF(Giocatori!E70=0,"",Giocatori!E70)</f>
        <v>VISCOVO</v>
      </c>
      <c r="B64" s="229" t="str">
        <f ca="1">IF(Giocatori!F70=0,"",Giocatori!F70)</f>
        <v>Crotone</v>
      </c>
      <c r="C64" s="229" t="str">
        <f ca="1">IF(Giocatori!D70=0,"",Giocatori!D70)</f>
        <v>P</v>
      </c>
      <c r="D64" s="228" t="str">
        <f ca="1">IF(Giocatori!H70=0,"",Giocatori!H70)</f>
        <v>DELLA GIOVANNA</v>
      </c>
      <c r="E64" s="229" t="str">
        <f ca="1">IF(Giocatori!I70=0,"",Giocatori!I70)</f>
        <v>SPAL</v>
      </c>
      <c r="F64" s="229" t="str">
        <f ca="1">IF(Giocatori!G70=0,"",Giocatori!G70)</f>
        <v>D</v>
      </c>
      <c r="G64" s="228" t="str">
        <f ca="1">IF(Giocatori!K70=0,"",Giocatori!K70)</f>
        <v>FARES</v>
      </c>
      <c r="H64" s="229" t="str">
        <f ca="1">IF(Giocatori!L70=0,"",Giocatori!L70)</f>
        <v>Verona</v>
      </c>
      <c r="I64" s="229" t="str">
        <f ca="1">IF(Giocatori!J70=0,"",Giocatori!J70)</f>
        <v>C</v>
      </c>
      <c r="J64" s="228" t="str">
        <f ca="1">IF(Giocatori!Q70=0,"",Giocatori!Q70)</f>
        <v/>
      </c>
      <c r="K64" s="229" t="str">
        <f ca="1">IF(Giocatori!R70=0,"",Giocatori!R70)</f>
        <v/>
      </c>
      <c r="L64" s="229" t="str">
        <f ca="1">IF(Giocatori!P70=0,"",Giocatori!P70)</f>
        <v/>
      </c>
      <c r="M64" s="228" t="str">
        <f ca="1">IF(Giocatori!N70=0,"",Giocatori!N70)</f>
        <v>NIANG</v>
      </c>
      <c r="N64" s="229" t="str">
        <f ca="1">IF(Giocatori!O70=0,"",Giocatori!O70)</f>
        <v>Torino</v>
      </c>
      <c r="O64" s="229" t="str">
        <f ca="1">IF(Giocatori!M70=0,"",Giocatori!M70)</f>
        <v>A</v>
      </c>
      <c r="Z64" s="56">
        <f>'I.A. + Fasce'!AC64</f>
        <v>0</v>
      </c>
      <c r="AA64" s="56">
        <f>'I.A. + Fasce'!AD64</f>
        <v>0</v>
      </c>
      <c r="AB64" s="56" t="str">
        <f ca="1">'I.A. + Fasce'!AE64</f>
        <v/>
      </c>
      <c r="AC64" s="56" t="str">
        <f ca="1">'I.A. + Fasce'!AF64</f>
        <v/>
      </c>
      <c r="AD64" s="56" t="str">
        <f ca="1">'I.A. + Fasce'!AG64</f>
        <v/>
      </c>
    </row>
    <row r="65" spans="1:30">
      <c r="A65" s="228" t="str">
        <f ca="1">IF(Giocatori!E71=0,"",Giocatori!E71)</f>
        <v>VIVIANO</v>
      </c>
      <c r="B65" s="229" t="str">
        <f ca="1">IF(Giocatori!F71=0,"",Giocatori!F71)</f>
        <v>Sampdoria</v>
      </c>
      <c r="C65" s="229" t="str">
        <f ca="1">IF(Giocatori!D71=0,"",Giocatori!D71)</f>
        <v>P</v>
      </c>
      <c r="D65" s="228" t="str">
        <f ca="1">IF(Giocatori!H71=0,"",Giocatori!H71)</f>
        <v>DELL'ORCO</v>
      </c>
      <c r="E65" s="229" t="str">
        <f ca="1">IF(Giocatori!I71=0,"",Giocatori!I71)</f>
        <v>Sassuolo</v>
      </c>
      <c r="F65" s="229" t="str">
        <f ca="1">IF(Giocatori!G71=0,"",Giocatori!G71)</f>
        <v>D</v>
      </c>
      <c r="G65" s="228" t="str">
        <f ca="1">IF(Giocatori!K71=0,"",Giocatori!K71)</f>
        <v>FELIPE ANDERSON</v>
      </c>
      <c r="H65" s="229" t="str">
        <f ca="1">IF(Giocatori!L71=0,"",Giocatori!L71)</f>
        <v>Lazio</v>
      </c>
      <c r="I65" s="229" t="str">
        <f ca="1">IF(Giocatori!J71=0,"",Giocatori!J71)</f>
        <v>C</v>
      </c>
      <c r="J65" s="228" t="str">
        <f ca="1">IF(Giocatori!Q71=0,"",Giocatori!Q71)</f>
        <v/>
      </c>
      <c r="K65" s="229" t="str">
        <f ca="1">IF(Giocatori!R71=0,"",Giocatori!R71)</f>
        <v/>
      </c>
      <c r="L65" s="229" t="str">
        <f ca="1">IF(Giocatori!P71=0,"",Giocatori!P71)</f>
        <v/>
      </c>
      <c r="M65" s="228" t="str">
        <f ca="1">IF(Giocatori!N71=0,"",Giocatori!N71)</f>
        <v>OKWONKWO</v>
      </c>
      <c r="N65" s="229" t="str">
        <f ca="1">IF(Giocatori!O71=0,"",Giocatori!O71)</f>
        <v>Bologna</v>
      </c>
      <c r="O65" s="229" t="str">
        <f ca="1">IF(Giocatori!M71=0,"",Giocatori!M71)</f>
        <v>A</v>
      </c>
      <c r="Z65" s="56">
        <f>'I.A. + Fasce'!AC65</f>
        <v>0</v>
      </c>
      <c r="AA65" s="56">
        <f>'I.A. + Fasce'!AD65</f>
        <v>0</v>
      </c>
      <c r="AB65" s="56" t="str">
        <f ca="1">'I.A. + Fasce'!AE65</f>
        <v/>
      </c>
      <c r="AC65" s="56" t="str">
        <f ca="1">'I.A. + Fasce'!AF65</f>
        <v/>
      </c>
      <c r="AD65" s="56" t="str">
        <f ca="1">'I.A. + Fasce'!AG65</f>
        <v/>
      </c>
    </row>
    <row r="66" spans="1:30">
      <c r="A66" s="228" t="str">
        <f ca="1">IF(Giocatori!E72=0,"",Giocatori!E72)</f>
        <v>ZIMA</v>
      </c>
      <c r="B66" s="229" t="str">
        <f ca="1">IF(Giocatori!F72=0,"",Giocatori!F72)</f>
        <v>Genoa</v>
      </c>
      <c r="C66" s="229" t="str">
        <f ca="1">IF(Giocatori!D72=0,"",Giocatori!D72)</f>
        <v>P</v>
      </c>
      <c r="D66" s="228" t="str">
        <f ca="1">IF(Giocatori!H72=0,"",Giocatori!H72)</f>
        <v>DEPAOLI</v>
      </c>
      <c r="E66" s="229" t="str">
        <f ca="1">IF(Giocatori!I72=0,"",Giocatori!I72)</f>
        <v>Chievo</v>
      </c>
      <c r="F66" s="229" t="str">
        <f ca="1">IF(Giocatori!G72=0,"",Giocatori!G72)</f>
        <v>D</v>
      </c>
      <c r="G66" s="228" t="str">
        <f ca="1">IF(Giocatori!K72=0,"",Giocatori!K72)</f>
        <v>FERNANDEZ M</v>
      </c>
      <c r="H66" s="229" t="str">
        <f ca="1">IF(Giocatori!L72=0,"",Giocatori!L72)</f>
        <v>Fiorentina</v>
      </c>
      <c r="I66" s="229" t="str">
        <f ca="1">IF(Giocatori!J72=0,"",Giocatori!J72)</f>
        <v>C</v>
      </c>
      <c r="J66" s="228" t="str">
        <f ca="1">IF(Giocatori!Q72=0,"",Giocatori!Q72)</f>
        <v/>
      </c>
      <c r="K66" s="229" t="str">
        <f ca="1">IF(Giocatori!R72=0,"",Giocatori!R72)</f>
        <v/>
      </c>
      <c r="L66" s="229" t="str">
        <f ca="1">IF(Giocatori!P72=0,"",Giocatori!P72)</f>
        <v/>
      </c>
      <c r="M66" s="228" t="str">
        <f ca="1">IF(Giocatori!N72=0,"",Giocatori!N72)</f>
        <v>ORSOLINI</v>
      </c>
      <c r="N66" s="229" t="str">
        <f ca="1">IF(Giocatori!O72=0,"",Giocatori!O72)</f>
        <v>Atalanta</v>
      </c>
      <c r="O66" s="229" t="str">
        <f ca="1">IF(Giocatori!M72=0,"",Giocatori!M72)</f>
        <v>A</v>
      </c>
      <c r="Z66" s="56">
        <f>'I.A. + Fasce'!AC66</f>
        <v>0</v>
      </c>
      <c r="AA66" s="56">
        <f>'I.A. + Fasce'!AD66</f>
        <v>0</v>
      </c>
      <c r="AB66" s="56" t="str">
        <f ca="1">'I.A. + Fasce'!AE66</f>
        <v/>
      </c>
      <c r="AC66" s="56" t="str">
        <f ca="1">'I.A. + Fasce'!AF66</f>
        <v/>
      </c>
      <c r="AD66" s="56" t="str">
        <f ca="1">'I.A. + Fasce'!AG66</f>
        <v/>
      </c>
    </row>
    <row r="67" spans="1:30">
      <c r="A67" s="228" t="str">
        <f ca="1">IF(Giocatori!E73=0,"",Giocatori!E73)</f>
        <v/>
      </c>
      <c r="B67" s="229" t="str">
        <f ca="1">IF(Giocatori!F73=0,"",Giocatori!F73)</f>
        <v/>
      </c>
      <c r="C67" s="229" t="str">
        <f ca="1">IF(Giocatori!D73=0,"",Giocatori!D73)</f>
        <v/>
      </c>
      <c r="D67" s="228" t="str">
        <f ca="1">IF(Giocatori!H73=0,"",Giocatori!H73)</f>
        <v>DI CHIARA</v>
      </c>
      <c r="E67" s="229" t="str">
        <f ca="1">IF(Giocatori!I73=0,"",Giocatori!I73)</f>
        <v>Benevento</v>
      </c>
      <c r="F67" s="229" t="str">
        <f ca="1">IF(Giocatori!G73=0,"",Giocatori!G73)</f>
        <v>D</v>
      </c>
      <c r="G67" s="228" t="str">
        <f ca="1">IF(Giocatori!K73=0,"",Giocatori!K73)</f>
        <v>FOFANA</v>
      </c>
      <c r="H67" s="229" t="str">
        <f ca="1">IF(Giocatori!L73=0,"",Giocatori!L73)</f>
        <v>Udinese</v>
      </c>
      <c r="I67" s="229" t="str">
        <f ca="1">IF(Giocatori!J73=0,"",Giocatori!J73)</f>
        <v>C</v>
      </c>
      <c r="J67" s="228" t="str">
        <f ca="1">IF(Giocatori!Q73=0,"",Giocatori!Q73)</f>
        <v/>
      </c>
      <c r="K67" s="229" t="str">
        <f ca="1">IF(Giocatori!R73=0,"",Giocatori!R73)</f>
        <v/>
      </c>
      <c r="L67" s="229" t="str">
        <f ca="1">IF(Giocatori!P73=0,"",Giocatori!P73)</f>
        <v/>
      </c>
      <c r="M67" s="228" t="str">
        <f ca="1">IF(Giocatori!N73=0,"",Giocatori!N73)</f>
        <v>OUNAS</v>
      </c>
      <c r="N67" s="229" t="str">
        <f ca="1">IF(Giocatori!O73=0,"",Giocatori!O73)</f>
        <v>Napoli</v>
      </c>
      <c r="O67" s="229" t="str">
        <f ca="1">IF(Giocatori!M73=0,"",Giocatori!M73)</f>
        <v>A</v>
      </c>
      <c r="Z67" s="56">
        <f>'I.A. + Fasce'!AC67</f>
        <v>0</v>
      </c>
      <c r="AA67" s="56">
        <f>'I.A. + Fasce'!AD67</f>
        <v>0</v>
      </c>
      <c r="AB67" s="56" t="str">
        <f ca="1">'I.A. + Fasce'!AE67</f>
        <v/>
      </c>
      <c r="AC67" s="56" t="str">
        <f ca="1">'I.A. + Fasce'!AF67</f>
        <v/>
      </c>
      <c r="AD67" s="56" t="str">
        <f ca="1">'I.A. + Fasce'!AG67</f>
        <v/>
      </c>
    </row>
    <row r="68" spans="1:30">
      <c r="A68" s="228" t="str">
        <f ca="1">IF(Giocatori!E74=0,"",Giocatori!E74)</f>
        <v/>
      </c>
      <c r="B68" s="229" t="str">
        <f ca="1">IF(Giocatori!F74=0,"",Giocatori!F74)</f>
        <v/>
      </c>
      <c r="C68" s="229" t="str">
        <f ca="1">IF(Giocatori!D74=0,"",Giocatori!D74)</f>
        <v/>
      </c>
      <c r="D68" s="228" t="str">
        <f ca="1">IF(Giocatori!H74=0,"",Giocatori!H74)</f>
        <v>DJIMSITI</v>
      </c>
      <c r="E68" s="229" t="str">
        <f ca="1">IF(Giocatori!I74=0,"",Giocatori!I74)</f>
        <v>Benevento</v>
      </c>
      <c r="F68" s="229" t="str">
        <f ca="1">IF(Giocatori!G74=0,"",Giocatori!G74)</f>
        <v>D</v>
      </c>
      <c r="G68" s="228" t="str">
        <f ca="1">IF(Giocatori!K74=0,"",Giocatori!K74)</f>
        <v>FOSSATI</v>
      </c>
      <c r="H68" s="229" t="str">
        <f ca="1">IF(Giocatori!L74=0,"",Giocatori!L74)</f>
        <v>Verona</v>
      </c>
      <c r="I68" s="229" t="str">
        <f ca="1">IF(Giocatori!J74=0,"",Giocatori!J74)</f>
        <v>C</v>
      </c>
      <c r="J68" s="228" t="str">
        <f ca="1">IF(Giocatori!Q74=0,"",Giocatori!Q74)</f>
        <v/>
      </c>
      <c r="K68" s="229" t="str">
        <f ca="1">IF(Giocatori!R74=0,"",Giocatori!R74)</f>
        <v/>
      </c>
      <c r="L68" s="229" t="str">
        <f ca="1">IF(Giocatori!P74=0,"",Giocatori!P74)</f>
        <v/>
      </c>
      <c r="M68" s="228" t="str">
        <f ca="1">IF(Giocatori!N74=0,"",Giocatori!N74)</f>
        <v>PALACIO</v>
      </c>
      <c r="N68" s="229" t="str">
        <f ca="1">IF(Giocatori!O74=0,"",Giocatori!O74)</f>
        <v>Bologna</v>
      </c>
      <c r="O68" s="229" t="str">
        <f ca="1">IF(Giocatori!M74=0,"",Giocatori!M74)</f>
        <v>A</v>
      </c>
      <c r="Z68" s="56">
        <f>'I.A. + Fasce'!AC68</f>
        <v>0</v>
      </c>
      <c r="AA68" s="56">
        <f>'I.A. + Fasce'!AD68</f>
        <v>0</v>
      </c>
      <c r="AB68" s="56" t="str">
        <f ca="1">'I.A. + Fasce'!AE68</f>
        <v/>
      </c>
      <c r="AC68" s="56" t="str">
        <f ca="1">'I.A. + Fasce'!AF68</f>
        <v/>
      </c>
      <c r="AD68" s="56" t="str">
        <f ca="1">'I.A. + Fasce'!AG68</f>
        <v/>
      </c>
    </row>
    <row r="69" spans="1:30" s="1" customFormat="1" ht="14.25">
      <c r="A69" s="228" t="str">
        <f ca="1">IF(Giocatori!E75=0,"",Giocatori!E75)</f>
        <v/>
      </c>
      <c r="B69" s="229" t="str">
        <f ca="1">IF(Giocatori!F75=0,"",Giocatori!F75)</f>
        <v/>
      </c>
      <c r="C69" s="229" t="str">
        <f ca="1">IF(Giocatori!D75=0,"",Giocatori!D75)</f>
        <v/>
      </c>
      <c r="D69" s="228" t="str">
        <f ca="1">IF(Giocatori!H75=0,"",Giocatori!H75)</f>
        <v>DODO'</v>
      </c>
      <c r="E69" s="229" t="str">
        <f ca="1">IF(Giocatori!I75=0,"",Giocatori!I75)</f>
        <v>Sampdoria</v>
      </c>
      <c r="F69" s="229" t="str">
        <f ca="1">IF(Giocatori!G75=0,"",Giocatori!G75)</f>
        <v>D</v>
      </c>
      <c r="G69" s="228" t="str">
        <f ca="1">IF(Giocatori!K75=0,"",Giocatori!K75)</f>
        <v>FREULER</v>
      </c>
      <c r="H69" s="229" t="str">
        <f ca="1">IF(Giocatori!L75=0,"",Giocatori!L75)</f>
        <v>Atalanta</v>
      </c>
      <c r="I69" s="229" t="str">
        <f ca="1">IF(Giocatori!J75=0,"",Giocatori!J75)</f>
        <v>C</v>
      </c>
      <c r="J69" s="228" t="str">
        <f ca="1">IF(Giocatori!Q75=0,"",Giocatori!Q75)</f>
        <v/>
      </c>
      <c r="K69" s="229" t="str">
        <f ca="1">IF(Giocatori!R75=0,"",Giocatori!R75)</f>
        <v/>
      </c>
      <c r="L69" s="229" t="str">
        <f ca="1">IF(Giocatori!P75=0,"",Giocatori!P75)</f>
        <v/>
      </c>
      <c r="M69" s="228" t="str">
        <f ca="1">IF(Giocatori!N75=0,"",Giocatori!N75)</f>
        <v>PALLADINO</v>
      </c>
      <c r="N69" s="229" t="str">
        <f ca="1">IF(Giocatori!O75=0,"",Giocatori!O75)</f>
        <v>Genoa</v>
      </c>
      <c r="O69" s="229" t="str">
        <f ca="1">IF(Giocatori!M75=0,"",Giocatori!M75)</f>
        <v>A</v>
      </c>
      <c r="Z69" s="56">
        <f>'I.A. + Fasce'!AC69</f>
        <v>0</v>
      </c>
      <c r="AA69" s="56">
        <f>'I.A. + Fasce'!AD69</f>
        <v>0</v>
      </c>
      <c r="AB69" s="56" t="str">
        <f ca="1">'I.A. + Fasce'!AE69</f>
        <v/>
      </c>
      <c r="AC69" s="56" t="str">
        <f ca="1">'I.A. + Fasce'!AF69</f>
        <v/>
      </c>
      <c r="AD69" s="56" t="str">
        <f ca="1">'I.A. + Fasce'!AG69</f>
        <v/>
      </c>
    </row>
    <row r="70" spans="1:30" s="1" customFormat="1" ht="14.25">
      <c r="A70" s="228" t="str">
        <f ca="1">IF(Giocatori!E76=0,"",Giocatori!E76)</f>
        <v/>
      </c>
      <c r="B70" s="229" t="str">
        <f ca="1">IF(Giocatori!F76=0,"",Giocatori!F76)</f>
        <v/>
      </c>
      <c r="C70" s="229" t="str">
        <f ca="1">IF(Giocatori!D76=0,"",Giocatori!D76)</f>
        <v/>
      </c>
      <c r="D70" s="228" t="str">
        <f ca="1">IF(Giocatori!H76=0,"",Giocatori!H76)</f>
        <v>DRAME'</v>
      </c>
      <c r="E70" s="229" t="str">
        <f ca="1">IF(Giocatori!I76=0,"",Giocatori!I76)</f>
        <v>Atalanta</v>
      </c>
      <c r="F70" s="229" t="str">
        <f ca="1">IF(Giocatori!G76=0,"",Giocatori!G76)</f>
        <v>D</v>
      </c>
      <c r="G70" s="228" t="str">
        <f ca="1">IF(Giocatori!K76=0,"",Giocatori!K76)</f>
        <v>GAGLIARDINI</v>
      </c>
      <c r="H70" s="229" t="str">
        <f ca="1">IF(Giocatori!L76=0,"",Giocatori!L76)</f>
        <v>Inter</v>
      </c>
      <c r="I70" s="229" t="str">
        <f ca="1">IF(Giocatori!J76=0,"",Giocatori!J76)</f>
        <v>C</v>
      </c>
      <c r="J70" s="228" t="str">
        <f ca="1">IF(Giocatori!Q76=0,"",Giocatori!Q76)</f>
        <v/>
      </c>
      <c r="K70" s="229" t="str">
        <f ca="1">IF(Giocatori!R76=0,"",Giocatori!R76)</f>
        <v/>
      </c>
      <c r="L70" s="229" t="str">
        <f ca="1">IF(Giocatori!P76=0,"",Giocatori!P76)</f>
        <v/>
      </c>
      <c r="M70" s="228" t="str">
        <f ca="1">IF(Giocatori!N76=0,"",Giocatori!N76)</f>
        <v>PALOMBI</v>
      </c>
      <c r="N70" s="229" t="str">
        <f ca="1">IF(Giocatori!O76=0,"",Giocatori!O76)</f>
        <v>Lazio</v>
      </c>
      <c r="O70" s="229" t="str">
        <f ca="1">IF(Giocatori!M76=0,"",Giocatori!M76)</f>
        <v>A</v>
      </c>
      <c r="Z70" s="56">
        <f>'I.A. + Fasce'!AC70</f>
        <v>0</v>
      </c>
      <c r="AA70" s="56">
        <f>'I.A. + Fasce'!AD70</f>
        <v>0</v>
      </c>
      <c r="AB70" s="56" t="str">
        <f ca="1">'I.A. + Fasce'!AE70</f>
        <v/>
      </c>
      <c r="AC70" s="56" t="str">
        <f ca="1">'I.A. + Fasce'!AF70</f>
        <v/>
      </c>
      <c r="AD70" s="56" t="str">
        <f ca="1">'I.A. + Fasce'!AG70</f>
        <v/>
      </c>
    </row>
    <row r="71" spans="1:30" s="1" customFormat="1" ht="14.25">
      <c r="A71" s="228" t="str">
        <f ca="1">IF(Giocatori!E77=0,"",Giocatori!E77)</f>
        <v/>
      </c>
      <c r="B71" s="229" t="str">
        <f ca="1">IF(Giocatori!F77=0,"",Giocatori!F77)</f>
        <v/>
      </c>
      <c r="C71" s="229" t="str">
        <f ca="1">IF(Giocatori!D77=0,"",Giocatori!D77)</f>
        <v/>
      </c>
      <c r="D71" s="228" t="str">
        <f ca="1">IF(Giocatori!H77=0,"",Giocatori!H77)</f>
        <v>EMERSON</v>
      </c>
      <c r="E71" s="229" t="str">
        <f ca="1">IF(Giocatori!I77=0,"",Giocatori!I77)</f>
        <v>Roma</v>
      </c>
      <c r="F71" s="229" t="str">
        <f ca="1">IF(Giocatori!G77=0,"",Giocatori!G77)</f>
        <v>D</v>
      </c>
      <c r="G71" s="228" t="str">
        <f ca="1">IF(Giocatori!K77=0,"",Giocatori!K77)</f>
        <v>GARRITANO</v>
      </c>
      <c r="H71" s="229" t="str">
        <f ca="1">IF(Giocatori!L77=0,"",Giocatori!L77)</f>
        <v>Chievo</v>
      </c>
      <c r="I71" s="229" t="str">
        <f ca="1">IF(Giocatori!J77=0,"",Giocatori!J77)</f>
        <v>C</v>
      </c>
      <c r="J71" s="228" t="str">
        <f ca="1">IF(Giocatori!Q77=0,"",Giocatori!Q77)</f>
        <v/>
      </c>
      <c r="K71" s="229" t="str">
        <f ca="1">IF(Giocatori!R77=0,"",Giocatori!R77)</f>
        <v/>
      </c>
      <c r="L71" s="229" t="str">
        <f ca="1">IF(Giocatori!P77=0,"",Giocatori!P77)</f>
        <v/>
      </c>
      <c r="M71" s="228" t="str">
        <f ca="1">IF(Giocatori!N77=0,"",Giocatori!N77)</f>
        <v>PALOSCHI</v>
      </c>
      <c r="N71" s="229" t="str">
        <f ca="1">IF(Giocatori!O77=0,"",Giocatori!O77)</f>
        <v>SPAL</v>
      </c>
      <c r="O71" s="229" t="str">
        <f ca="1">IF(Giocatori!M77=0,"",Giocatori!M77)</f>
        <v>A</v>
      </c>
      <c r="Z71" s="56">
        <f>'I.A. + Fasce'!AC71</f>
        <v>0</v>
      </c>
      <c r="AA71" s="56">
        <f>'I.A. + Fasce'!AD71</f>
        <v>0</v>
      </c>
      <c r="AB71" s="56" t="str">
        <f ca="1">'I.A. + Fasce'!AE71</f>
        <v/>
      </c>
      <c r="AC71" s="56" t="str">
        <f ca="1">'I.A. + Fasce'!AF71</f>
        <v/>
      </c>
      <c r="AD71" s="56" t="str">
        <f ca="1">'I.A. + Fasce'!AG71</f>
        <v/>
      </c>
    </row>
    <row r="72" spans="1:30" s="1" customFormat="1" ht="14.25">
      <c r="A72" s="228" t="str">
        <f ca="1">IF(Giocatori!E78=0,"",Giocatori!E78)</f>
        <v/>
      </c>
      <c r="B72" s="229" t="str">
        <f ca="1">IF(Giocatori!F78=0,"",Giocatori!F78)</f>
        <v/>
      </c>
      <c r="C72" s="229" t="str">
        <f ca="1">IF(Giocatori!D78=0,"",Giocatori!D78)</f>
        <v/>
      </c>
      <c r="D72" s="228" t="str">
        <f ca="1">IF(Giocatori!H78=0,"",Giocatori!H78)</f>
        <v>FARAONI</v>
      </c>
      <c r="E72" s="229" t="str">
        <f ca="1">IF(Giocatori!I78=0,"",Giocatori!I78)</f>
        <v>Crotone</v>
      </c>
      <c r="F72" s="229" t="str">
        <f ca="1">IF(Giocatori!G78=0,"",Giocatori!G78)</f>
        <v>D</v>
      </c>
      <c r="G72" s="228" t="str">
        <f ca="1">IF(Giocatori!K78=0,"",Giocatori!K78)</f>
        <v>GAUDINO</v>
      </c>
      <c r="H72" s="229" t="str">
        <f ca="1">IF(Giocatori!L78=0,"",Giocatori!L78)</f>
        <v>Chievo</v>
      </c>
      <c r="I72" s="229" t="str">
        <f ca="1">IF(Giocatori!J78=0,"",Giocatori!J78)</f>
        <v>C</v>
      </c>
      <c r="J72" s="228" t="str">
        <f ca="1">IF(Giocatori!Q78=0,"",Giocatori!Q78)</f>
        <v/>
      </c>
      <c r="K72" s="229" t="str">
        <f ca="1">IF(Giocatori!R78=0,"",Giocatori!R78)</f>
        <v/>
      </c>
      <c r="L72" s="229" t="str">
        <f ca="1">IF(Giocatori!P78=0,"",Giocatori!P78)</f>
        <v/>
      </c>
      <c r="M72" s="228" t="str">
        <f ca="1">IF(Giocatori!N78=0,"",Giocatori!N78)</f>
        <v>PANDEV</v>
      </c>
      <c r="N72" s="229" t="str">
        <f ca="1">IF(Giocatori!O78=0,"",Giocatori!O78)</f>
        <v>Genoa</v>
      </c>
      <c r="O72" s="229" t="str">
        <f ca="1">IF(Giocatori!M78=0,"",Giocatori!M78)</f>
        <v>A</v>
      </c>
      <c r="Z72" s="56">
        <f>'I.A. + Fasce'!AC72</f>
        <v>0</v>
      </c>
      <c r="AA72" s="56">
        <f>'I.A. + Fasce'!AD72</f>
        <v>0</v>
      </c>
      <c r="AB72" s="56" t="str">
        <f ca="1">'I.A. + Fasce'!AE72</f>
        <v/>
      </c>
      <c r="AC72" s="56" t="str">
        <f ca="1">'I.A. + Fasce'!AF72</f>
        <v/>
      </c>
      <c r="AD72" s="56" t="str">
        <f ca="1">'I.A. + Fasce'!AG72</f>
        <v/>
      </c>
    </row>
    <row r="73" spans="1:30" s="1" customFormat="1" ht="14.25">
      <c r="A73" s="228" t="str">
        <f ca="1">IF(Giocatori!E79=0,"",Giocatori!E79)</f>
        <v/>
      </c>
      <c r="B73" s="229" t="str">
        <f ca="1">IF(Giocatori!F79=0,"",Giocatori!F79)</f>
        <v/>
      </c>
      <c r="C73" s="229" t="str">
        <f ca="1">IF(Giocatori!D79=0,"",Giocatori!D79)</f>
        <v/>
      </c>
      <c r="D73" s="228" t="str">
        <f ca="1">IF(Giocatori!H79=0,"",Giocatori!H79)</f>
        <v>FAZIO</v>
      </c>
      <c r="E73" s="229" t="str">
        <f ca="1">IF(Giocatori!I79=0,"",Giocatori!I79)</f>
        <v>Roma</v>
      </c>
      <c r="F73" s="229" t="str">
        <f ca="1">IF(Giocatori!G79=0,"",Giocatori!G79)</f>
        <v>D</v>
      </c>
      <c r="G73" s="228" t="str">
        <f ca="1">IF(Giocatori!K79=0,"",Giocatori!K79)</f>
        <v>GERSON</v>
      </c>
      <c r="H73" s="229" t="str">
        <f ca="1">IF(Giocatori!L79=0,"",Giocatori!L79)</f>
        <v>Roma</v>
      </c>
      <c r="I73" s="229" t="str">
        <f ca="1">IF(Giocatori!J79=0,"",Giocatori!J79)</f>
        <v>C</v>
      </c>
      <c r="J73" s="228" t="str">
        <f ca="1">IF(Giocatori!Q79=0,"",Giocatori!Q79)</f>
        <v/>
      </c>
      <c r="K73" s="229" t="str">
        <f ca="1">IF(Giocatori!R79=0,"",Giocatori!R79)</f>
        <v/>
      </c>
      <c r="L73" s="229" t="str">
        <f ca="1">IF(Giocatori!P79=0,"",Giocatori!P79)</f>
        <v/>
      </c>
      <c r="M73" s="228" t="str">
        <f ca="1">IF(Giocatori!N79=0,"",Giocatori!N79)</f>
        <v>PARIGINI</v>
      </c>
      <c r="N73" s="229" t="str">
        <f ca="1">IF(Giocatori!O79=0,"",Giocatori!O79)</f>
        <v>Benevento</v>
      </c>
      <c r="O73" s="229" t="str">
        <f ca="1">IF(Giocatori!M79=0,"",Giocatori!M79)</f>
        <v>A</v>
      </c>
      <c r="Z73" s="56">
        <f>'I.A. + Fasce'!AC73</f>
        <v>0</v>
      </c>
      <c r="AA73" s="56">
        <f>'I.A. + Fasce'!AD73</f>
        <v>0</v>
      </c>
      <c r="AB73" s="56" t="str">
        <f ca="1">'I.A. + Fasce'!AE73</f>
        <v/>
      </c>
      <c r="AC73" s="56" t="str">
        <f ca="1">'I.A. + Fasce'!AF73</f>
        <v/>
      </c>
      <c r="AD73" s="56" t="str">
        <f ca="1">'I.A. + Fasce'!AG73</f>
        <v/>
      </c>
    </row>
    <row r="74" spans="1:30" s="1" customFormat="1" ht="14.25">
      <c r="A74" s="228" t="str">
        <f ca="1">IF(Giocatori!E80=0,"",Giocatori!E80)</f>
        <v/>
      </c>
      <c r="B74" s="229" t="str">
        <f ca="1">IF(Giocatori!F80=0,"",Giocatori!F80)</f>
        <v/>
      </c>
      <c r="C74" s="229" t="str">
        <f ca="1">IF(Giocatori!D80=0,"",Giocatori!D80)</f>
        <v/>
      </c>
      <c r="D74" s="228" t="str">
        <f ca="1">IF(Giocatori!H80=0,"",Giocatori!H80)</f>
        <v>FELICIOLI</v>
      </c>
      <c r="E74" s="229" t="str">
        <f ca="1">IF(Giocatori!I80=0,"",Giocatori!I80)</f>
        <v>Verona</v>
      </c>
      <c r="F74" s="229" t="str">
        <f ca="1">IF(Giocatori!G80=0,"",Giocatori!G80)</f>
        <v>D</v>
      </c>
      <c r="G74" s="228" t="str">
        <f ca="1">IF(Giocatori!K80=0,"",Giocatori!K80)</f>
        <v>GIACCHERINI</v>
      </c>
      <c r="H74" s="229" t="str">
        <f ca="1">IF(Giocatori!L80=0,"",Giocatori!L80)</f>
        <v>Napoli</v>
      </c>
      <c r="I74" s="229" t="str">
        <f ca="1">IF(Giocatori!J80=0,"",Giocatori!J80)</f>
        <v>C</v>
      </c>
      <c r="J74" s="228" t="str">
        <f ca="1">IF(Giocatori!Q80=0,"",Giocatori!Q80)</f>
        <v/>
      </c>
      <c r="K74" s="229" t="str">
        <f ca="1">IF(Giocatori!R80=0,"",Giocatori!R80)</f>
        <v/>
      </c>
      <c r="L74" s="229" t="str">
        <f ca="1">IF(Giocatori!P80=0,"",Giocatori!P80)</f>
        <v/>
      </c>
      <c r="M74" s="228" t="str">
        <f ca="1">IF(Giocatori!N80=0,"",Giocatori!N80)</f>
        <v>PAVOLETTI</v>
      </c>
      <c r="N74" s="229" t="str">
        <f ca="1">IF(Giocatori!O80=0,"",Giocatori!O80)</f>
        <v>Cagliari</v>
      </c>
      <c r="O74" s="229" t="str">
        <f ca="1">IF(Giocatori!M80=0,"",Giocatori!M80)</f>
        <v>A</v>
      </c>
      <c r="Z74" s="56">
        <f>'I.A. + Fasce'!AC74</f>
        <v>0</v>
      </c>
      <c r="AA74" s="56">
        <f>'I.A. + Fasce'!AD74</f>
        <v>0</v>
      </c>
      <c r="AB74" s="56" t="str">
        <f ca="1">'I.A. + Fasce'!AE74</f>
        <v/>
      </c>
      <c r="AC74" s="56" t="str">
        <f ca="1">'I.A. + Fasce'!AF74</f>
        <v/>
      </c>
      <c r="AD74" s="56" t="str">
        <f ca="1">'I.A. + Fasce'!AG74</f>
        <v/>
      </c>
    </row>
    <row r="75" spans="1:30" s="1" customFormat="1" ht="14.25">
      <c r="A75" s="228" t="str">
        <f ca="1">IF(Giocatori!E81=0,"",Giocatori!E81)</f>
        <v/>
      </c>
      <c r="B75" s="229" t="str">
        <f ca="1">IF(Giocatori!F81=0,"",Giocatori!F81)</f>
        <v/>
      </c>
      <c r="C75" s="229" t="str">
        <f ca="1">IF(Giocatori!D81=0,"",Giocatori!D81)</f>
        <v/>
      </c>
      <c r="D75" s="228" t="str">
        <f ca="1">IF(Giocatori!H81=0,"",Giocatori!H81)</f>
        <v>FELIPE</v>
      </c>
      <c r="E75" s="229" t="str">
        <f ca="1">IF(Giocatori!I81=0,"",Giocatori!I81)</f>
        <v>SPAL</v>
      </c>
      <c r="F75" s="229" t="str">
        <f ca="1">IF(Giocatori!G81=0,"",Giocatori!G81)</f>
        <v>D</v>
      </c>
      <c r="G75" s="228" t="str">
        <f ca="1">IF(Giocatori!K81=0,"",Giocatori!K81)</f>
        <v>GIL DIAS</v>
      </c>
      <c r="H75" s="229" t="str">
        <f ca="1">IF(Giocatori!L81=0,"",Giocatori!L81)</f>
        <v>Fiorentina</v>
      </c>
      <c r="I75" s="229" t="str">
        <f ca="1">IF(Giocatori!J81=0,"",Giocatori!J81)</f>
        <v>C</v>
      </c>
      <c r="J75" s="228" t="str">
        <f ca="1">IF(Giocatori!Q81=0,"",Giocatori!Q81)</f>
        <v/>
      </c>
      <c r="K75" s="229" t="str">
        <f ca="1">IF(Giocatori!R81=0,"",Giocatori!R81)</f>
        <v/>
      </c>
      <c r="L75" s="229" t="str">
        <f ca="1">IF(Giocatori!P81=0,"",Giocatori!P81)</f>
        <v/>
      </c>
      <c r="M75" s="228" t="str">
        <f ca="1">IF(Giocatori!N81=0,"",Giocatori!N81)</f>
        <v>PAZZINI</v>
      </c>
      <c r="N75" s="229" t="str">
        <f ca="1">IF(Giocatori!O81=0,"",Giocatori!O81)</f>
        <v>Verona</v>
      </c>
      <c r="O75" s="229" t="str">
        <f ca="1">IF(Giocatori!M81=0,"",Giocatori!M81)</f>
        <v>A</v>
      </c>
      <c r="Z75" s="56">
        <f>'I.A. + Fasce'!AC75</f>
        <v>0</v>
      </c>
      <c r="AA75" s="56">
        <f>'I.A. + Fasce'!AD75</f>
        <v>0</v>
      </c>
      <c r="AB75" s="56" t="str">
        <f ca="1">'I.A. + Fasce'!AE75</f>
        <v/>
      </c>
      <c r="AC75" s="56" t="str">
        <f ca="1">'I.A. + Fasce'!AF75</f>
        <v/>
      </c>
      <c r="AD75" s="56" t="str">
        <f ca="1">'I.A. + Fasce'!AG75</f>
        <v/>
      </c>
    </row>
    <row r="76" spans="1:30" s="1" customFormat="1" ht="14.25">
      <c r="A76" s="228" t="str">
        <f ca="1">IF(Giocatori!E82=0,"",Giocatori!E82)</f>
        <v/>
      </c>
      <c r="B76" s="229" t="str">
        <f ca="1">IF(Giocatori!F82=0,"",Giocatori!F82)</f>
        <v/>
      </c>
      <c r="C76" s="229" t="str">
        <f ca="1">IF(Giocatori!D82=0,"",Giocatori!D82)</f>
        <v/>
      </c>
      <c r="D76" s="228" t="str">
        <f ca="1">IF(Giocatori!H82=0,"",Giocatori!H82)</f>
        <v>FERRARI A</v>
      </c>
      <c r="E76" s="229" t="str">
        <f ca="1">IF(Giocatori!I82=0,"",Giocatori!I82)</f>
        <v>Verona</v>
      </c>
      <c r="F76" s="229" t="str">
        <f ca="1">IF(Giocatori!G82=0,"",Giocatori!G82)</f>
        <v>D</v>
      </c>
      <c r="G76" s="228" t="str">
        <f ca="1">IF(Giocatori!K82=0,"",Giocatori!K82)</f>
        <v>GNOUKOURI</v>
      </c>
      <c r="H76" s="229" t="str">
        <f ca="1">IF(Giocatori!L82=0,"",Giocatori!L82)</f>
        <v>Inter</v>
      </c>
      <c r="I76" s="229" t="str">
        <f ca="1">IF(Giocatori!J82=0,"",Giocatori!J82)</f>
        <v>C</v>
      </c>
      <c r="J76" s="228" t="str">
        <f ca="1">IF(Giocatori!Q82=0,"",Giocatori!Q82)</f>
        <v/>
      </c>
      <c r="K76" s="229" t="str">
        <f ca="1">IF(Giocatori!R82=0,"",Giocatori!R82)</f>
        <v/>
      </c>
      <c r="L76" s="229" t="str">
        <f ca="1">IF(Giocatori!P82=0,"",Giocatori!P82)</f>
        <v/>
      </c>
      <c r="M76" s="228" t="str">
        <f ca="1">IF(Giocatori!N82=0,"",Giocatori!N82)</f>
        <v>PELLEGRI</v>
      </c>
      <c r="N76" s="229" t="str">
        <f ca="1">IF(Giocatori!O82=0,"",Giocatori!O82)</f>
        <v>Genoa</v>
      </c>
      <c r="O76" s="229" t="str">
        <f ca="1">IF(Giocatori!M82=0,"",Giocatori!M82)</f>
        <v>A</v>
      </c>
      <c r="Z76" s="56">
        <f>'I.A. + Fasce'!AC76</f>
        <v>0</v>
      </c>
      <c r="AA76" s="56">
        <f>'I.A. + Fasce'!AD76</f>
        <v>0</v>
      </c>
      <c r="AB76" s="56" t="str">
        <f ca="1">'I.A. + Fasce'!AE76</f>
        <v/>
      </c>
      <c r="AC76" s="56" t="str">
        <f ca="1">'I.A. + Fasce'!AF76</f>
        <v/>
      </c>
      <c r="AD76" s="56" t="str">
        <f ca="1">'I.A. + Fasce'!AG76</f>
        <v/>
      </c>
    </row>
    <row r="77" spans="1:30" s="1" customFormat="1" ht="14.25">
      <c r="A77" s="228" t="str">
        <f ca="1">IF(Giocatori!E83=0,"",Giocatori!E83)</f>
        <v/>
      </c>
      <c r="B77" s="229" t="str">
        <f ca="1">IF(Giocatori!F83=0,"",Giocatori!F83)</f>
        <v/>
      </c>
      <c r="C77" s="229" t="str">
        <f ca="1">IF(Giocatori!D83=0,"",Giocatori!D83)</f>
        <v/>
      </c>
      <c r="D77" s="228" t="str">
        <f ca="1">IF(Giocatori!H83=0,"",Giocatori!H83)</f>
        <v>FERRARI G</v>
      </c>
      <c r="E77" s="229" t="str">
        <f ca="1">IF(Giocatori!I83=0,"",Giocatori!I83)</f>
        <v>Sampdoria</v>
      </c>
      <c r="F77" s="229" t="str">
        <f ca="1">IF(Giocatori!G83=0,"",Giocatori!G83)</f>
        <v>D</v>
      </c>
      <c r="G77" s="228" t="str">
        <f ca="1">IF(Giocatori!K83=0,"",Giocatori!K83)</f>
        <v>GONALONS</v>
      </c>
      <c r="H77" s="229" t="str">
        <f ca="1">IF(Giocatori!L83=0,"",Giocatori!L83)</f>
        <v>Roma</v>
      </c>
      <c r="I77" s="229" t="str">
        <f ca="1">IF(Giocatori!J83=0,"",Giocatori!J83)</f>
        <v>C</v>
      </c>
      <c r="J77" s="228" t="str">
        <f ca="1">IF(Giocatori!Q83=0,"",Giocatori!Q83)</f>
        <v/>
      </c>
      <c r="K77" s="229" t="str">
        <f ca="1">IF(Giocatori!R83=0,"",Giocatori!R83)</f>
        <v/>
      </c>
      <c r="L77" s="229" t="str">
        <f ca="1">IF(Giocatori!P83=0,"",Giocatori!P83)</f>
        <v/>
      </c>
      <c r="M77" s="228" t="str">
        <f ca="1">IF(Giocatori!N83=0,"",Giocatori!N83)</f>
        <v>PELLISSIER</v>
      </c>
      <c r="N77" s="229" t="str">
        <f ca="1">IF(Giocatori!O83=0,"",Giocatori!O83)</f>
        <v>Chievo</v>
      </c>
      <c r="O77" s="229" t="str">
        <f ca="1">IF(Giocatori!M83=0,"",Giocatori!M83)</f>
        <v>A</v>
      </c>
      <c r="Z77" s="56">
        <f>'I.A. + Fasce'!AC77</f>
        <v>0</v>
      </c>
      <c r="AA77" s="56">
        <f>'I.A. + Fasce'!AD77</f>
        <v>0</v>
      </c>
      <c r="AB77" s="56" t="str">
        <f ca="1">'I.A. + Fasce'!AE77</f>
        <v/>
      </c>
      <c r="AC77" s="56" t="str">
        <f ca="1">'I.A. + Fasce'!AF77</f>
        <v/>
      </c>
      <c r="AD77" s="56" t="str">
        <f ca="1">'I.A. + Fasce'!AG77</f>
        <v/>
      </c>
    </row>
    <row r="78" spans="1:30" s="1" customFormat="1" ht="14.25">
      <c r="A78" s="228" t="str">
        <f ca="1">IF(Giocatori!E84=0,"",Giocatori!E84)</f>
        <v/>
      </c>
      <c r="B78" s="229" t="str">
        <f ca="1">IF(Giocatori!F84=0,"",Giocatori!F84)</f>
        <v/>
      </c>
      <c r="C78" s="229" t="str">
        <f ca="1">IF(Giocatori!D84=0,"",Giocatori!D84)</f>
        <v/>
      </c>
      <c r="D78" s="228" t="str">
        <f ca="1">IF(Giocatori!H84=0,"",Giocatori!H84)</f>
        <v>FLORENZI</v>
      </c>
      <c r="E78" s="229" t="str">
        <f ca="1">IF(Giocatori!I84=0,"",Giocatori!I84)</f>
        <v>Roma</v>
      </c>
      <c r="F78" s="229" t="str">
        <f ca="1">IF(Giocatori!G84=0,"",Giocatori!G84)</f>
        <v>D</v>
      </c>
      <c r="G78" s="228" t="str">
        <f ca="1">IF(Giocatori!K84=0,"",Giocatori!K84)</f>
        <v>GRASSI</v>
      </c>
      <c r="H78" s="229" t="str">
        <f ca="1">IF(Giocatori!L84=0,"",Giocatori!L84)</f>
        <v>SPAL</v>
      </c>
      <c r="I78" s="229" t="str">
        <f ca="1">IF(Giocatori!J84=0,"",Giocatori!J84)</f>
        <v>C</v>
      </c>
      <c r="J78" s="228" t="str">
        <f ca="1">IF(Giocatori!Q84=0,"",Giocatori!Q84)</f>
        <v/>
      </c>
      <c r="K78" s="229" t="str">
        <f ca="1">IF(Giocatori!R84=0,"",Giocatori!R84)</f>
        <v/>
      </c>
      <c r="L78" s="229" t="str">
        <f ca="1">IF(Giocatori!P84=0,"",Giocatori!P84)</f>
        <v/>
      </c>
      <c r="M78" s="228" t="str">
        <f ca="1">IF(Giocatori!N84=0,"",Giocatori!N84)</f>
        <v>PERICA</v>
      </c>
      <c r="N78" s="229" t="str">
        <f ca="1">IF(Giocatori!O84=0,"",Giocatori!O84)</f>
        <v>Udinese</v>
      </c>
      <c r="O78" s="229" t="str">
        <f ca="1">IF(Giocatori!M84=0,"",Giocatori!M84)</f>
        <v>A</v>
      </c>
      <c r="Z78" s="56">
        <f>'I.A. + Fasce'!AC78</f>
        <v>0</v>
      </c>
      <c r="AA78" s="56">
        <f>'I.A. + Fasce'!AD78</f>
        <v>0</v>
      </c>
      <c r="AB78" s="56" t="str">
        <f ca="1">'I.A. + Fasce'!AE78</f>
        <v/>
      </c>
      <c r="AC78" s="56" t="str">
        <f ca="1">'I.A. + Fasce'!AF78</f>
        <v/>
      </c>
      <c r="AD78" s="56" t="str">
        <f ca="1">'I.A. + Fasce'!AG78</f>
        <v/>
      </c>
    </row>
    <row r="79" spans="1:30" s="1" customFormat="1" ht="14.25">
      <c r="A79" s="228" t="str">
        <f ca="1">IF(Giocatori!E85=0,"",Giocatori!E85)</f>
        <v/>
      </c>
      <c r="B79" s="229" t="str">
        <f ca="1">IF(Giocatori!F85=0,"",Giocatori!F85)</f>
        <v/>
      </c>
      <c r="C79" s="229" t="str">
        <f ca="1">IF(Giocatori!D85=0,"",Giocatori!D85)</f>
        <v/>
      </c>
      <c r="D79" s="228" t="str">
        <f ca="1">IF(Giocatori!H85=0,"",Giocatori!H85)</f>
        <v>FREY</v>
      </c>
      <c r="E79" s="229" t="str">
        <f ca="1">IF(Giocatori!I85=0,"",Giocatori!I85)</f>
        <v>Chievo</v>
      </c>
      <c r="F79" s="229" t="str">
        <f ca="1">IF(Giocatori!G85=0,"",Giocatori!G85)</f>
        <v>D</v>
      </c>
      <c r="G79" s="228" t="str">
        <f ca="1">IF(Giocatori!K85=0,"",Giocatori!K85)</f>
        <v>GUSTAFSON</v>
      </c>
      <c r="H79" s="229" t="str">
        <f ca="1">IF(Giocatori!L85=0,"",Giocatori!L85)</f>
        <v>Torino</v>
      </c>
      <c r="I79" s="229" t="str">
        <f ca="1">IF(Giocatori!J85=0,"",Giocatori!J85)</f>
        <v>C</v>
      </c>
      <c r="J79" s="228" t="str">
        <f ca="1">IF(Giocatori!Q85=0,"",Giocatori!Q85)</f>
        <v/>
      </c>
      <c r="K79" s="229" t="str">
        <f ca="1">IF(Giocatori!R85=0,"",Giocatori!R85)</f>
        <v/>
      </c>
      <c r="L79" s="229" t="str">
        <f ca="1">IF(Giocatori!P85=0,"",Giocatori!P85)</f>
        <v/>
      </c>
      <c r="M79" s="228" t="str">
        <f ca="1">IF(Giocatori!N85=0,"",Giocatori!N85)</f>
        <v>PETAGNA</v>
      </c>
      <c r="N79" s="229" t="str">
        <f ca="1">IF(Giocatori!O85=0,"",Giocatori!O85)</f>
        <v>Atalanta</v>
      </c>
      <c r="O79" s="229" t="str">
        <f ca="1">IF(Giocatori!M85=0,"",Giocatori!M85)</f>
        <v>A</v>
      </c>
      <c r="Z79" s="56">
        <f>'I.A. + Fasce'!AC79</f>
        <v>0</v>
      </c>
      <c r="AA79" s="56">
        <f>'I.A. + Fasce'!AD79</f>
        <v>0</v>
      </c>
      <c r="AB79" s="56" t="str">
        <f ca="1">'I.A. + Fasce'!AE79</f>
        <v/>
      </c>
      <c r="AC79" s="56" t="str">
        <f ca="1">'I.A. + Fasce'!AF79</f>
        <v/>
      </c>
      <c r="AD79" s="56" t="str">
        <f ca="1">'I.A. + Fasce'!AG79</f>
        <v/>
      </c>
    </row>
    <row r="80" spans="1:30" s="1" customFormat="1" ht="14.25">
      <c r="A80" s="228" t="str">
        <f ca="1">IF(Giocatori!E86=0,"",Giocatori!E86)</f>
        <v/>
      </c>
      <c r="B80" s="229" t="str">
        <f ca="1">IF(Giocatori!F86=0,"",Giocatori!F86)</f>
        <v/>
      </c>
      <c r="C80" s="229" t="str">
        <f ca="1">IF(Giocatori!D86=0,"",Giocatori!D86)</f>
        <v/>
      </c>
      <c r="D80" s="228" t="str">
        <f ca="1">IF(Giocatori!H86=0,"",Giocatori!H86)</f>
        <v>GAMBERINI</v>
      </c>
      <c r="E80" s="229" t="str">
        <f ca="1">IF(Giocatori!I86=0,"",Giocatori!I86)</f>
        <v>Chievo</v>
      </c>
      <c r="F80" s="229" t="str">
        <f ca="1">IF(Giocatori!G86=0,"",Giocatori!G86)</f>
        <v>D</v>
      </c>
      <c r="G80" s="228" t="str">
        <f ca="1">IF(Giocatori!K86=0,"",Giocatori!K86)</f>
        <v>HAAS</v>
      </c>
      <c r="H80" s="229" t="str">
        <f ca="1">IF(Giocatori!L86=0,"",Giocatori!L86)</f>
        <v>Atalanta</v>
      </c>
      <c r="I80" s="229" t="str">
        <f ca="1">IF(Giocatori!J86=0,"",Giocatori!J86)</f>
        <v>C</v>
      </c>
      <c r="J80" s="228" t="str">
        <f ca="1">IF(Giocatori!Q86=0,"",Giocatori!Q86)</f>
        <v/>
      </c>
      <c r="K80" s="229" t="str">
        <f ca="1">IF(Giocatori!R86=0,"",Giocatori!R86)</f>
        <v/>
      </c>
      <c r="L80" s="229" t="str">
        <f ca="1">IF(Giocatori!P86=0,"",Giocatori!P86)</f>
        <v/>
      </c>
      <c r="M80" s="228" t="str">
        <f ca="1">IF(Giocatori!N86=0,"",Giocatori!N86)</f>
        <v>PETKOVIC</v>
      </c>
      <c r="N80" s="229" t="str">
        <f ca="1">IF(Giocatori!O86=0,"",Giocatori!O86)</f>
        <v>Bologna</v>
      </c>
      <c r="O80" s="229" t="str">
        <f ca="1">IF(Giocatori!M86=0,"",Giocatori!M86)</f>
        <v>A</v>
      </c>
      <c r="Z80" s="56">
        <f>'I.A. + Fasce'!AC80</f>
        <v>0</v>
      </c>
      <c r="AA80" s="56">
        <f>'I.A. + Fasce'!AD80</f>
        <v>0</v>
      </c>
      <c r="AB80" s="56" t="str">
        <f ca="1">'I.A. + Fasce'!AE80</f>
        <v/>
      </c>
      <c r="AC80" s="56" t="str">
        <f ca="1">'I.A. + Fasce'!AF80</f>
        <v/>
      </c>
      <c r="AD80" s="56" t="str">
        <f ca="1">'I.A. + Fasce'!AG80</f>
        <v/>
      </c>
    </row>
    <row r="81" spans="1:30" s="1" customFormat="1" ht="14.25">
      <c r="A81" s="228" t="str">
        <f ca="1">IF(Giocatori!E87=0,"",Giocatori!E87)</f>
        <v/>
      </c>
      <c r="B81" s="229" t="str">
        <f ca="1">IF(Giocatori!F87=0,"",Giocatori!F87)</f>
        <v/>
      </c>
      <c r="C81" s="229" t="str">
        <f ca="1">IF(Giocatori!D87=0,"",Giocatori!D87)</f>
        <v/>
      </c>
      <c r="D81" s="228" t="str">
        <f ca="1">IF(Giocatori!H87=0,"",Giocatori!H87)</f>
        <v>GASPAR</v>
      </c>
      <c r="E81" s="229" t="str">
        <f ca="1">IF(Giocatori!I87=0,"",Giocatori!I87)</f>
        <v>Fiorentina</v>
      </c>
      <c r="F81" s="229" t="str">
        <f ca="1">IF(Giocatori!G87=0,"",Giocatori!G87)</f>
        <v>D</v>
      </c>
      <c r="G81" s="228" t="str">
        <f ca="1">IF(Giocatori!K87=0,"",Giocatori!K87)</f>
        <v>HAGI</v>
      </c>
      <c r="H81" s="229" t="str">
        <f ca="1">IF(Giocatori!L87=0,"",Giocatori!L87)</f>
        <v>Fiorentina</v>
      </c>
      <c r="I81" s="229" t="str">
        <f ca="1">IF(Giocatori!J87=0,"",Giocatori!J87)</f>
        <v>C</v>
      </c>
      <c r="J81" s="228" t="str">
        <f ca="1">IF(Giocatori!Q87=0,"",Giocatori!Q87)</f>
        <v/>
      </c>
      <c r="K81" s="229" t="str">
        <f ca="1">IF(Giocatori!R87=0,"",Giocatori!R87)</f>
        <v/>
      </c>
      <c r="L81" s="229" t="str">
        <f ca="1">IF(Giocatori!P87=0,"",Giocatori!P87)</f>
        <v/>
      </c>
      <c r="M81" s="228" t="str">
        <f ca="1">IF(Giocatori!N87=0,"",Giocatori!N87)</f>
        <v>PINAMONTI</v>
      </c>
      <c r="N81" s="229" t="str">
        <f ca="1">IF(Giocatori!O87=0,"",Giocatori!O87)</f>
        <v>Inter</v>
      </c>
      <c r="O81" s="229" t="str">
        <f ca="1">IF(Giocatori!M87=0,"",Giocatori!M87)</f>
        <v>A</v>
      </c>
      <c r="Z81" s="56">
        <f>'I.A. + Fasce'!AC81</f>
        <v>0</v>
      </c>
      <c r="AA81" s="56">
        <f>'I.A. + Fasce'!AD81</f>
        <v>0</v>
      </c>
      <c r="AB81" s="56" t="str">
        <f ca="1">'I.A. + Fasce'!AE81</f>
        <v/>
      </c>
      <c r="AC81" s="56" t="str">
        <f ca="1">'I.A. + Fasce'!AF81</f>
        <v/>
      </c>
      <c r="AD81" s="56" t="str">
        <f ca="1">'I.A. + Fasce'!AG81</f>
        <v/>
      </c>
    </row>
    <row r="82" spans="1:30" s="1" customFormat="1" ht="14.25">
      <c r="A82" s="228" t="str">
        <f ca="1">IF(Giocatori!E88=0,"",Giocatori!E88)</f>
        <v/>
      </c>
      <c r="B82" s="229" t="str">
        <f ca="1">IF(Giocatori!F88=0,"",Giocatori!F88)</f>
        <v/>
      </c>
      <c r="C82" s="229" t="str">
        <f ca="1">IF(Giocatori!D88=0,"",Giocatori!D88)</f>
        <v/>
      </c>
      <c r="D82" s="228" t="str">
        <f ca="1">IF(Giocatori!H88=0,"",Giocatori!H88)</f>
        <v>GAZZOLA</v>
      </c>
      <c r="E82" s="229" t="str">
        <f ca="1">IF(Giocatori!I88=0,"",Giocatori!I88)</f>
        <v>Sassuolo</v>
      </c>
      <c r="F82" s="229" t="str">
        <f ca="1">IF(Giocatori!G88=0,"",Giocatori!G88)</f>
        <v>D</v>
      </c>
      <c r="G82" s="228" t="str">
        <f ca="1">IF(Giocatori!K88=0,"",Giocatori!K88)</f>
        <v>HALLFREDSSON</v>
      </c>
      <c r="H82" s="229" t="str">
        <f ca="1">IF(Giocatori!L88=0,"",Giocatori!L88)</f>
        <v>Udinese</v>
      </c>
      <c r="I82" s="229" t="str">
        <f ca="1">IF(Giocatori!J88=0,"",Giocatori!J88)</f>
        <v>C</v>
      </c>
      <c r="J82" s="228" t="str">
        <f ca="1">IF(Giocatori!Q88=0,"",Giocatori!Q88)</f>
        <v/>
      </c>
      <c r="K82" s="229" t="str">
        <f ca="1">IF(Giocatori!R88=0,"",Giocatori!R88)</f>
        <v/>
      </c>
      <c r="L82" s="229" t="str">
        <f ca="1">IF(Giocatori!P88=0,"",Giocatori!P88)</f>
        <v/>
      </c>
      <c r="M82" s="228" t="str">
        <f ca="1">IF(Giocatori!N88=0,"",Giocatori!N88)</f>
        <v>PJACA</v>
      </c>
      <c r="N82" s="229" t="str">
        <f ca="1">IF(Giocatori!O88=0,"",Giocatori!O88)</f>
        <v>Juventus</v>
      </c>
      <c r="O82" s="229" t="str">
        <f ca="1">IF(Giocatori!M88=0,"",Giocatori!M88)</f>
        <v>A</v>
      </c>
      <c r="Z82" s="56">
        <f>'I.A. + Fasce'!AC82</f>
        <v>0</v>
      </c>
      <c r="AA82" s="56">
        <f>'I.A. + Fasce'!AD82</f>
        <v>0</v>
      </c>
      <c r="AB82" s="56" t="str">
        <f ca="1">'I.A. + Fasce'!AE82</f>
        <v/>
      </c>
      <c r="AC82" s="56" t="str">
        <f ca="1">'I.A. + Fasce'!AF82</f>
        <v/>
      </c>
      <c r="AD82" s="56" t="str">
        <f ca="1">'I.A. + Fasce'!AG82</f>
        <v/>
      </c>
    </row>
    <row r="83" spans="1:30" s="1" customFormat="1" ht="14.25">
      <c r="A83" s="228" t="str">
        <f ca="1">IF(Giocatori!E89=0,"",Giocatori!E89)</f>
        <v/>
      </c>
      <c r="B83" s="229" t="str">
        <f ca="1">IF(Giocatori!F89=0,"",Giocatori!F89)</f>
        <v/>
      </c>
      <c r="C83" s="229" t="str">
        <f ca="1">IF(Giocatori!D89=0,"",Giocatori!D89)</f>
        <v/>
      </c>
      <c r="D83" s="228" t="str">
        <f ca="1">IF(Giocatori!H89=0,"",Giocatori!H89)</f>
        <v>GENTILETTI</v>
      </c>
      <c r="E83" s="229" t="str">
        <f ca="1">IF(Giocatori!I89=0,"",Giocatori!I89)</f>
        <v>Genoa</v>
      </c>
      <c r="F83" s="229" t="str">
        <f ca="1">IF(Giocatori!G89=0,"",Giocatori!G89)</f>
        <v>D</v>
      </c>
      <c r="G83" s="228" t="str">
        <f ca="1">IF(Giocatori!K89=0,"",Giocatori!K89)</f>
        <v>HAMSIK</v>
      </c>
      <c r="H83" s="229" t="str">
        <f ca="1">IF(Giocatori!L89=0,"",Giocatori!L89)</f>
        <v>Napoli</v>
      </c>
      <c r="I83" s="229" t="str">
        <f ca="1">IF(Giocatori!J89=0,"",Giocatori!J89)</f>
        <v>C</v>
      </c>
      <c r="J83" s="228" t="str">
        <f ca="1">IF(Giocatori!Q89=0,"",Giocatori!Q89)</f>
        <v/>
      </c>
      <c r="K83" s="229" t="str">
        <f ca="1">IF(Giocatori!R89=0,"",Giocatori!R89)</f>
        <v/>
      </c>
      <c r="L83" s="229" t="str">
        <f ca="1">IF(Giocatori!P89=0,"",Giocatori!P89)</f>
        <v/>
      </c>
      <c r="M83" s="228" t="str">
        <f ca="1">IF(Giocatori!N89=0,"",Giocatori!N89)</f>
        <v>POLITANO</v>
      </c>
      <c r="N83" s="229" t="str">
        <f ca="1">IF(Giocatori!O89=0,"",Giocatori!O89)</f>
        <v>Sassuolo</v>
      </c>
      <c r="O83" s="229" t="str">
        <f ca="1">IF(Giocatori!M89=0,"",Giocatori!M89)</f>
        <v>A</v>
      </c>
      <c r="Z83" s="56">
        <f>'I.A. + Fasce'!AC83</f>
        <v>0</v>
      </c>
      <c r="AA83" s="56">
        <f>'I.A. + Fasce'!AD83</f>
        <v>0</v>
      </c>
      <c r="AB83" s="56" t="str">
        <f ca="1">'I.A. + Fasce'!AE83</f>
        <v/>
      </c>
      <c r="AC83" s="56" t="str">
        <f ca="1">'I.A. + Fasce'!AF83</f>
        <v/>
      </c>
      <c r="AD83" s="56" t="str">
        <f ca="1">'I.A. + Fasce'!AG83</f>
        <v/>
      </c>
    </row>
    <row r="84" spans="1:30" s="1" customFormat="1" ht="14.25">
      <c r="A84" s="228" t="str">
        <f ca="1">IF(Giocatori!E90=0,"",Giocatori!E90)</f>
        <v/>
      </c>
      <c r="B84" s="229" t="str">
        <f ca="1">IF(Giocatori!F90=0,"",Giocatori!F90)</f>
        <v/>
      </c>
      <c r="C84" s="229" t="str">
        <f ca="1">IF(Giocatori!D90=0,"",Giocatori!D90)</f>
        <v/>
      </c>
      <c r="D84" s="228" t="str">
        <f ca="1">IF(Giocatori!H90=0,"",Giocatori!H90)</f>
        <v>GHOULAM</v>
      </c>
      <c r="E84" s="229" t="str">
        <f ca="1">IF(Giocatori!I90=0,"",Giocatori!I90)</f>
        <v>Napoli</v>
      </c>
      <c r="F84" s="229" t="str">
        <f ca="1">IF(Giocatori!G90=0,"",Giocatori!G90)</f>
        <v>D</v>
      </c>
      <c r="G84" s="228" t="str">
        <f ca="1">IF(Giocatori!K90=0,"",Giocatori!K90)</f>
        <v>HETEMAJ</v>
      </c>
      <c r="H84" s="229" t="str">
        <f ca="1">IF(Giocatori!L90=0,"",Giocatori!L90)</f>
        <v>Chievo</v>
      </c>
      <c r="I84" s="229" t="str">
        <f ca="1">IF(Giocatori!J90=0,"",Giocatori!J90)</f>
        <v>C</v>
      </c>
      <c r="J84" s="228" t="str">
        <f ca="1">IF(Giocatori!Q90=0,"",Giocatori!Q90)</f>
        <v/>
      </c>
      <c r="K84" s="229" t="str">
        <f ca="1">IF(Giocatori!R90=0,"",Giocatori!R90)</f>
        <v/>
      </c>
      <c r="L84" s="229" t="str">
        <f ca="1">IF(Giocatori!P90=0,"",Giocatori!P90)</f>
        <v/>
      </c>
      <c r="M84" s="228" t="str">
        <f ca="1">IF(Giocatori!N90=0,"",Giocatori!N90)</f>
        <v>PUCCIARELLI</v>
      </c>
      <c r="N84" s="229" t="str">
        <f ca="1">IF(Giocatori!O90=0,"",Giocatori!O90)</f>
        <v>Chievo</v>
      </c>
      <c r="O84" s="229" t="str">
        <f ca="1">IF(Giocatori!M90=0,"",Giocatori!M90)</f>
        <v>A</v>
      </c>
      <c r="Z84" s="56">
        <f>'I.A. + Fasce'!AC84</f>
        <v>0</v>
      </c>
      <c r="AA84" s="56">
        <f>'I.A. + Fasce'!AD84</f>
        <v>0</v>
      </c>
      <c r="AB84" s="56" t="str">
        <f ca="1">'I.A. + Fasce'!AE84</f>
        <v/>
      </c>
      <c r="AC84" s="56" t="str">
        <f ca="1">'I.A. + Fasce'!AF84</f>
        <v/>
      </c>
      <c r="AD84" s="56" t="str">
        <f ca="1">'I.A. + Fasce'!AG84</f>
        <v/>
      </c>
    </row>
    <row r="85" spans="1:30" s="1" customFormat="1" ht="14.25">
      <c r="A85" s="228" t="str">
        <f ca="1">IF(Giocatori!E91=0,"",Giocatori!E91)</f>
        <v/>
      </c>
      <c r="B85" s="229" t="str">
        <f ca="1">IF(Giocatori!F91=0,"",Giocatori!F91)</f>
        <v/>
      </c>
      <c r="C85" s="229" t="str">
        <f ca="1">IF(Giocatori!D91=0,"",Giocatori!D91)</f>
        <v/>
      </c>
      <c r="D85" s="228" t="str">
        <f ca="1">IF(Giocatori!H91=0,"",Giocatori!H91)</f>
        <v>GOBBI</v>
      </c>
      <c r="E85" s="229" t="str">
        <f ca="1">IF(Giocatori!I91=0,"",Giocatori!I91)</f>
        <v>Chievo</v>
      </c>
      <c r="F85" s="229" t="str">
        <f ca="1">IF(Giocatori!G91=0,"",Giocatori!G91)</f>
        <v>D</v>
      </c>
      <c r="G85" s="228" t="str">
        <f ca="1">IF(Giocatori!K91=0,"",Giocatori!K91)</f>
        <v>IAGO FALQUE</v>
      </c>
      <c r="H85" s="229" t="str">
        <f ca="1">IF(Giocatori!L91=0,"",Giocatori!L91)</f>
        <v>Torino</v>
      </c>
      <c r="I85" s="229" t="str">
        <f ca="1">IF(Giocatori!J91=0,"",Giocatori!J91)</f>
        <v>C</v>
      </c>
      <c r="J85" s="228" t="str">
        <f ca="1">IF(Giocatori!Q91=0,"",Giocatori!Q91)</f>
        <v/>
      </c>
      <c r="K85" s="229" t="str">
        <f ca="1">IF(Giocatori!R91=0,"",Giocatori!R91)</f>
        <v/>
      </c>
      <c r="L85" s="229" t="str">
        <f ca="1">IF(Giocatori!P91=0,"",Giocatori!P91)</f>
        <v/>
      </c>
      <c r="M85" s="228" t="str">
        <f ca="1">IF(Giocatori!N91=0,"",Giocatori!N91)</f>
        <v>PUSCAS</v>
      </c>
      <c r="N85" s="229" t="str">
        <f ca="1">IF(Giocatori!O91=0,"",Giocatori!O91)</f>
        <v>Benevento</v>
      </c>
      <c r="O85" s="229" t="str">
        <f ca="1">IF(Giocatori!M91=0,"",Giocatori!M91)</f>
        <v>A</v>
      </c>
      <c r="Z85" s="56">
        <f>'I.A. + Fasce'!AC85</f>
        <v>0</v>
      </c>
      <c r="AA85" s="56">
        <f>'I.A. + Fasce'!AD85</f>
        <v>0</v>
      </c>
      <c r="AB85" s="56" t="str">
        <f ca="1">'I.A. + Fasce'!AE85</f>
        <v/>
      </c>
      <c r="AC85" s="56" t="str">
        <f ca="1">'I.A. + Fasce'!AF85</f>
        <v/>
      </c>
      <c r="AD85" s="56" t="str">
        <f ca="1">'I.A. + Fasce'!AG85</f>
        <v/>
      </c>
    </row>
    <row r="86" spans="1:30" s="1" customFormat="1" ht="14.25">
      <c r="A86" s="228" t="str">
        <f ca="1">IF(Giocatori!E92=0,"",Giocatori!E92)</f>
        <v/>
      </c>
      <c r="B86" s="229" t="str">
        <f ca="1">IF(Giocatori!F92=0,"",Giocatori!F92)</f>
        <v/>
      </c>
      <c r="C86" s="229" t="str">
        <f ca="1">IF(Giocatori!D92=0,"",Giocatori!D92)</f>
        <v/>
      </c>
      <c r="D86" s="228" t="str">
        <f ca="1">IF(Giocatori!H92=0,"",Giocatori!H92)</f>
        <v>GOLDANIGA</v>
      </c>
      <c r="E86" s="229" t="str">
        <f ca="1">IF(Giocatori!I92=0,"",Giocatori!I92)</f>
        <v>Sassuolo</v>
      </c>
      <c r="F86" s="229" t="str">
        <f ca="1">IF(Giocatori!G92=0,"",Giocatori!G92)</f>
        <v>D</v>
      </c>
      <c r="G86" s="228" t="str">
        <f ca="1">IF(Giocatori!K92=0,"",Giocatori!K92)</f>
        <v>ILICIC</v>
      </c>
      <c r="H86" s="229" t="str">
        <f ca="1">IF(Giocatori!L92=0,"",Giocatori!L92)</f>
        <v>Atalanta</v>
      </c>
      <c r="I86" s="229" t="str">
        <f ca="1">IF(Giocatori!J92=0,"",Giocatori!J92)</f>
        <v>C</v>
      </c>
      <c r="J86" s="228" t="str">
        <f ca="1">IF(Giocatori!Q92=0,"",Giocatori!Q92)</f>
        <v/>
      </c>
      <c r="K86" s="229" t="str">
        <f ca="1">IF(Giocatori!R92=0,"",Giocatori!R92)</f>
        <v/>
      </c>
      <c r="L86" s="229" t="str">
        <f ca="1">IF(Giocatori!P92=0,"",Giocatori!P92)</f>
        <v/>
      </c>
      <c r="M86" s="228" t="str">
        <f ca="1">IF(Giocatori!N92=0,"",Giocatori!N92)</f>
        <v>QUAGLIARELLA</v>
      </c>
      <c r="N86" s="229" t="str">
        <f ca="1">IF(Giocatori!O92=0,"",Giocatori!O92)</f>
        <v>Sampdoria</v>
      </c>
      <c r="O86" s="229" t="str">
        <f ca="1">IF(Giocatori!M92=0,"",Giocatori!M92)</f>
        <v>A</v>
      </c>
      <c r="Z86" s="56">
        <f>'I.A. + Fasce'!AC86</f>
        <v>0</v>
      </c>
      <c r="AA86" s="56">
        <f>'I.A. + Fasce'!AD86</f>
        <v>0</v>
      </c>
      <c r="AB86" s="56" t="str">
        <f ca="1">'I.A. + Fasce'!AE86</f>
        <v/>
      </c>
      <c r="AC86" s="56" t="str">
        <f ca="1">'I.A. + Fasce'!AF86</f>
        <v/>
      </c>
      <c r="AD86" s="56" t="str">
        <f ca="1">'I.A. + Fasce'!AG86</f>
        <v/>
      </c>
    </row>
    <row r="87" spans="1:30" s="1" customFormat="1" ht="14.25">
      <c r="A87" s="228" t="str">
        <f ca="1">IF(Giocatori!E93=0,"",Giocatori!E93)</f>
        <v/>
      </c>
      <c r="B87" s="229" t="str">
        <f ca="1">IF(Giocatori!F93=0,"",Giocatori!F93)</f>
        <v/>
      </c>
      <c r="C87" s="229" t="str">
        <f ca="1">IF(Giocatori!D93=0,"",Giocatori!D93)</f>
        <v/>
      </c>
      <c r="D87" s="228" t="str">
        <f ca="1">IF(Giocatori!H93=0,"",Giocatori!H93)</f>
        <v>GOMEZ G</v>
      </c>
      <c r="E87" s="229" t="str">
        <f ca="1">IF(Giocatori!I93=0,"",Giocatori!I93)</f>
        <v>Milan</v>
      </c>
      <c r="F87" s="229" t="str">
        <f ca="1">IF(Giocatori!G93=0,"",Giocatori!G93)</f>
        <v>D</v>
      </c>
      <c r="G87" s="228" t="str">
        <f ca="1">IF(Giocatori!K93=0,"",Giocatori!K93)</f>
        <v>INGELSSON</v>
      </c>
      <c r="H87" s="229" t="str">
        <f ca="1">IF(Giocatori!L93=0,"",Giocatori!L93)</f>
        <v>Udinese</v>
      </c>
      <c r="I87" s="229" t="str">
        <f ca="1">IF(Giocatori!J93=0,"",Giocatori!J93)</f>
        <v>C</v>
      </c>
      <c r="J87" s="228" t="str">
        <f ca="1">IF(Giocatori!Q93=0,"",Giocatori!Q93)</f>
        <v/>
      </c>
      <c r="K87" s="229" t="str">
        <f ca="1">IF(Giocatori!R93=0,"",Giocatori!R93)</f>
        <v/>
      </c>
      <c r="L87" s="229" t="str">
        <f ca="1">IF(Giocatori!P93=0,"",Giocatori!P93)</f>
        <v/>
      </c>
      <c r="M87" s="228" t="str">
        <f ca="1">IF(Giocatori!N93=0,"",Giocatori!N93)</f>
        <v>RAGUSA</v>
      </c>
      <c r="N87" s="229" t="str">
        <f ca="1">IF(Giocatori!O93=0,"",Giocatori!O93)</f>
        <v>Sassuolo</v>
      </c>
      <c r="O87" s="229" t="str">
        <f ca="1">IF(Giocatori!M93=0,"",Giocatori!M93)</f>
        <v>A</v>
      </c>
      <c r="Z87" s="56">
        <f>'I.A. + Fasce'!AC87</f>
        <v>0</v>
      </c>
      <c r="AA87" s="56">
        <f>'I.A. + Fasce'!AD87</f>
        <v>0</v>
      </c>
      <c r="AB87" s="56" t="str">
        <f ca="1">'I.A. + Fasce'!AE87</f>
        <v/>
      </c>
      <c r="AC87" s="56" t="str">
        <f ca="1">'I.A. + Fasce'!AF87</f>
        <v/>
      </c>
      <c r="AD87" s="56" t="str">
        <f ca="1">'I.A. + Fasce'!AG87</f>
        <v/>
      </c>
    </row>
    <row r="88" spans="1:30" s="1" customFormat="1" ht="14.25">
      <c r="A88" s="228" t="str">
        <f ca="1">IF(Giocatori!E94=0,"",Giocatori!E94)</f>
        <v/>
      </c>
      <c r="B88" s="229" t="str">
        <f ca="1">IF(Giocatori!F94=0,"",Giocatori!F94)</f>
        <v/>
      </c>
      <c r="C88" s="229" t="str">
        <f ca="1">IF(Giocatori!D94=0,"",Giocatori!D94)</f>
        <v/>
      </c>
      <c r="D88" s="228" t="str">
        <f ca="1">IF(Giocatori!H94=0,"",Giocatori!H94)</f>
        <v>GONZALEZ G</v>
      </c>
      <c r="E88" s="229" t="str">
        <f ca="1">IF(Giocatori!I94=0,"",Giocatori!I94)</f>
        <v>Bologna</v>
      </c>
      <c r="F88" s="229" t="str">
        <f ca="1">IF(Giocatori!G94=0,"",Giocatori!G94)</f>
        <v>D</v>
      </c>
      <c r="G88" s="228" t="str">
        <f ca="1">IF(Giocatori!K94=0,"",Giocatori!K94)</f>
        <v>IONITA</v>
      </c>
      <c r="H88" s="229" t="str">
        <f ca="1">IF(Giocatori!L94=0,"",Giocatori!L94)</f>
        <v>Cagliari</v>
      </c>
      <c r="I88" s="229" t="str">
        <f ca="1">IF(Giocatori!J94=0,"",Giocatori!J94)</f>
        <v>C</v>
      </c>
      <c r="J88" s="228" t="str">
        <f ca="1">IF(Giocatori!Q94=0,"",Giocatori!Q94)</f>
        <v/>
      </c>
      <c r="K88" s="229" t="str">
        <f ca="1">IF(Giocatori!R94=0,"",Giocatori!R94)</f>
        <v/>
      </c>
      <c r="L88" s="229" t="str">
        <f ca="1">IF(Giocatori!P94=0,"",Giocatori!P94)</f>
        <v/>
      </c>
      <c r="M88" s="228" t="str">
        <f ca="1">IF(Giocatori!N94=0,"",Giocatori!N94)</f>
        <v>RICCI</v>
      </c>
      <c r="N88" s="229" t="str">
        <f ca="1">IF(Giocatori!O94=0,"",Giocatori!O94)</f>
        <v>Genoa</v>
      </c>
      <c r="O88" s="229" t="str">
        <f ca="1">IF(Giocatori!M94=0,"",Giocatori!M94)</f>
        <v>A</v>
      </c>
      <c r="Z88" s="56">
        <f>'I.A. + Fasce'!AC88</f>
        <v>0</v>
      </c>
      <c r="AA88" s="56">
        <f>'I.A. + Fasce'!AD88</f>
        <v>0</v>
      </c>
      <c r="AB88" s="56" t="str">
        <f ca="1">'I.A. + Fasce'!AE88</f>
        <v/>
      </c>
      <c r="AC88" s="56" t="str">
        <f ca="1">'I.A. + Fasce'!AF88</f>
        <v/>
      </c>
      <c r="AD88" s="56" t="str">
        <f ca="1">'I.A. + Fasce'!AG88</f>
        <v/>
      </c>
    </row>
    <row r="89" spans="1:30" s="1" customFormat="1" ht="14.25">
      <c r="A89" s="228" t="str">
        <f ca="1">IF(Giocatori!E95=0,"",Giocatori!E95)</f>
        <v/>
      </c>
      <c r="B89" s="229" t="str">
        <f ca="1">IF(Giocatori!F95=0,"",Giocatori!F95)</f>
        <v/>
      </c>
      <c r="C89" s="229" t="str">
        <f ca="1">IF(Giocatori!D95=0,"",Giocatori!D95)</f>
        <v/>
      </c>
      <c r="D89" s="228" t="str">
        <f ca="1">IF(Giocatori!H95=0,"",Giocatori!H95)</f>
        <v>GOSENS</v>
      </c>
      <c r="E89" s="229" t="str">
        <f ca="1">IF(Giocatori!I95=0,"",Giocatori!I95)</f>
        <v>Atalanta</v>
      </c>
      <c r="F89" s="229" t="str">
        <f ca="1">IF(Giocatori!G95=0,"",Giocatori!G95)</f>
        <v>D</v>
      </c>
      <c r="G89" s="228" t="str">
        <f ca="1">IF(Giocatori!K95=0,"",Giocatori!K95)</f>
        <v>IZCO</v>
      </c>
      <c r="H89" s="229" t="str">
        <f ca="1">IF(Giocatori!L95=0,"",Giocatori!L95)</f>
        <v>Crotone</v>
      </c>
      <c r="I89" s="229" t="str">
        <f ca="1">IF(Giocatori!J95=0,"",Giocatori!J95)</f>
        <v>C</v>
      </c>
      <c r="J89" s="228" t="str">
        <f ca="1">IF(Giocatori!Q95=0,"",Giocatori!Q95)</f>
        <v/>
      </c>
      <c r="K89" s="229" t="str">
        <f ca="1">IF(Giocatori!R95=0,"",Giocatori!R95)</f>
        <v/>
      </c>
      <c r="L89" s="229" t="str">
        <f ca="1">IF(Giocatori!P95=0,"",Giocatori!P95)</f>
        <v/>
      </c>
      <c r="M89" s="228" t="str">
        <f ca="1">IF(Giocatori!N95=0,"",Giocatori!N95)</f>
        <v>SADIQ</v>
      </c>
      <c r="N89" s="229" t="str">
        <f ca="1">IF(Giocatori!O95=0,"",Giocatori!O95)</f>
        <v>Torino</v>
      </c>
      <c r="O89" s="229" t="str">
        <f ca="1">IF(Giocatori!M95=0,"",Giocatori!M95)</f>
        <v>A</v>
      </c>
      <c r="Z89" s="56">
        <f>'I.A. + Fasce'!AC89</f>
        <v>0</v>
      </c>
      <c r="AA89" s="56">
        <f>'I.A. + Fasce'!AD89</f>
        <v>0</v>
      </c>
      <c r="AB89" s="56" t="str">
        <f ca="1">'I.A. + Fasce'!AE89</f>
        <v/>
      </c>
      <c r="AC89" s="56" t="str">
        <f ca="1">'I.A. + Fasce'!AF89</f>
        <v/>
      </c>
      <c r="AD89" s="56" t="str">
        <f ca="1">'I.A. + Fasce'!AG89</f>
        <v/>
      </c>
    </row>
    <row r="90" spans="1:30" s="1" customFormat="1" ht="14.25">
      <c r="A90" s="228" t="str">
        <f ca="1">IF(Giocatori!E96=0,"",Giocatori!E96)</f>
        <v/>
      </c>
      <c r="B90" s="229" t="str">
        <f ca="1">IF(Giocatori!F96=0,"",Giocatori!F96)</f>
        <v/>
      </c>
      <c r="C90" s="229" t="str">
        <f ca="1">IF(Giocatori!D96=0,"",Giocatori!D96)</f>
        <v/>
      </c>
      <c r="D90" s="228" t="str">
        <f ca="1">IF(Giocatori!H96=0,"",Giocatori!H96)</f>
        <v>GRAVILLON</v>
      </c>
      <c r="E90" s="229" t="str">
        <f ca="1">IF(Giocatori!I96=0,"",Giocatori!I96)</f>
        <v>Benevento</v>
      </c>
      <c r="F90" s="229" t="str">
        <f ca="1">IF(Giocatori!G96=0,"",Giocatori!G96)</f>
        <v>D</v>
      </c>
      <c r="G90" s="228" t="str">
        <f ca="1">IF(Giocatori!K96=0,"",Giocatori!K96)</f>
        <v>JANKTO</v>
      </c>
      <c r="H90" s="229" t="str">
        <f ca="1">IF(Giocatori!L96=0,"",Giocatori!L96)</f>
        <v>Udinese</v>
      </c>
      <c r="I90" s="229" t="str">
        <f ca="1">IF(Giocatori!J96=0,"",Giocatori!J96)</f>
        <v>C</v>
      </c>
      <c r="J90" s="228" t="str">
        <f ca="1">IF(Giocatori!Q96=0,"",Giocatori!Q96)</f>
        <v/>
      </c>
      <c r="K90" s="229" t="str">
        <f ca="1">IF(Giocatori!R96=0,"",Giocatori!R96)</f>
        <v/>
      </c>
      <c r="L90" s="229" t="str">
        <f ca="1">IF(Giocatori!P96=0,"",Giocatori!P96)</f>
        <v/>
      </c>
      <c r="M90" s="228" t="str">
        <f ca="1">IF(Giocatori!N96=0,"",Giocatori!N96)</f>
        <v>SALCEDO MORA</v>
      </c>
      <c r="N90" s="229" t="str">
        <f ca="1">IF(Giocatori!O96=0,"",Giocatori!O96)</f>
        <v>Genoa</v>
      </c>
      <c r="O90" s="229" t="str">
        <f ca="1">IF(Giocatori!M96=0,"",Giocatori!M96)</f>
        <v>A</v>
      </c>
      <c r="Z90" s="56">
        <f>'I.A. + Fasce'!AC90</f>
        <v>0</v>
      </c>
      <c r="AA90" s="56">
        <f>'I.A. + Fasce'!AD90</f>
        <v>0</v>
      </c>
      <c r="AB90" s="56" t="str">
        <f ca="1">'I.A. + Fasce'!AE90</f>
        <v/>
      </c>
      <c r="AC90" s="56" t="str">
        <f ca="1">'I.A. + Fasce'!AF90</f>
        <v/>
      </c>
      <c r="AD90" s="56" t="str">
        <f ca="1">'I.A. + Fasce'!AG90</f>
        <v/>
      </c>
    </row>
    <row r="91" spans="1:30" s="1" customFormat="1" ht="14.25">
      <c r="A91" s="228" t="str">
        <f ca="1">IF(Giocatori!E97=0,"",Giocatori!E97)</f>
        <v/>
      </c>
      <c r="B91" s="229" t="str">
        <f ca="1">IF(Giocatori!F97=0,"",Giocatori!F97)</f>
        <v/>
      </c>
      <c r="C91" s="229" t="str">
        <f ca="1">IF(Giocatori!D97=0,"",Giocatori!D97)</f>
        <v/>
      </c>
      <c r="D91" s="228" t="str">
        <f ca="1">IF(Giocatori!H97=0,"",Giocatori!H97)</f>
        <v>GYAMFI</v>
      </c>
      <c r="E91" s="229" t="str">
        <f ca="1">IF(Giocatori!I97=0,"",Giocatori!I97)</f>
        <v>Benevento</v>
      </c>
      <c r="F91" s="229" t="str">
        <f ca="1">IF(Giocatori!G97=0,"",Giocatori!G97)</f>
        <v>D</v>
      </c>
      <c r="G91" s="228" t="str">
        <f ca="1">IF(Giocatori!K97=0,"",Giocatori!K97)</f>
        <v>JOAO MARIO</v>
      </c>
      <c r="H91" s="229" t="str">
        <f ca="1">IF(Giocatori!L97=0,"",Giocatori!L97)</f>
        <v>Inter</v>
      </c>
      <c r="I91" s="229" t="str">
        <f ca="1">IF(Giocatori!J97=0,"",Giocatori!J97)</f>
        <v>C</v>
      </c>
      <c r="J91" s="228" t="str">
        <f ca="1">IF(Giocatori!Q97=0,"",Giocatori!Q97)</f>
        <v/>
      </c>
      <c r="K91" s="229" t="str">
        <f ca="1">IF(Giocatori!R97=0,"",Giocatori!R97)</f>
        <v/>
      </c>
      <c r="L91" s="229" t="str">
        <f ca="1">IF(Giocatori!P97=0,"",Giocatori!P97)</f>
        <v/>
      </c>
      <c r="M91" s="228" t="str">
        <f ca="1">IF(Giocatori!N97=0,"",Giocatori!N97)</f>
        <v>SAU</v>
      </c>
      <c r="N91" s="229" t="str">
        <f ca="1">IF(Giocatori!O97=0,"",Giocatori!O97)</f>
        <v>Cagliari</v>
      </c>
      <c r="O91" s="229" t="str">
        <f ca="1">IF(Giocatori!M97=0,"",Giocatori!M97)</f>
        <v>A</v>
      </c>
      <c r="Z91" s="56">
        <f>'I.A. + Fasce'!AC91</f>
        <v>0</v>
      </c>
      <c r="AA91" s="56">
        <f>'I.A. + Fasce'!AD91</f>
        <v>0</v>
      </c>
      <c r="AB91" s="56" t="str">
        <f ca="1">'I.A. + Fasce'!AE91</f>
        <v/>
      </c>
      <c r="AC91" s="56" t="str">
        <f ca="1">'I.A. + Fasce'!AF91</f>
        <v/>
      </c>
      <c r="AD91" s="56" t="str">
        <f ca="1">'I.A. + Fasce'!AG91</f>
        <v/>
      </c>
    </row>
    <row r="92" spans="1:30" s="1" customFormat="1" ht="14.25">
      <c r="A92" s="228" t="str">
        <f ca="1">IF(Giocatori!E98=0,"",Giocatori!E98)</f>
        <v/>
      </c>
      <c r="B92" s="229" t="str">
        <f ca="1">IF(Giocatori!F98=0,"",Giocatori!F98)</f>
        <v/>
      </c>
      <c r="C92" s="229" t="str">
        <f ca="1">IF(Giocatori!D98=0,"",Giocatori!D98)</f>
        <v/>
      </c>
      <c r="D92" s="228" t="str">
        <f ca="1">IF(Giocatori!H98=0,"",Giocatori!H98)</f>
        <v>HATEBOER</v>
      </c>
      <c r="E92" s="229" t="str">
        <f ca="1">IF(Giocatori!I98=0,"",Giocatori!I98)</f>
        <v>Atalanta</v>
      </c>
      <c r="F92" s="229" t="str">
        <f ca="1">IF(Giocatori!G98=0,"",Giocatori!G98)</f>
        <v>D</v>
      </c>
      <c r="G92" s="228" t="str">
        <f ca="1">IF(Giocatori!K98=0,"",Giocatori!K98)</f>
        <v>JOAO PEDRO</v>
      </c>
      <c r="H92" s="229" t="str">
        <f ca="1">IF(Giocatori!L98=0,"",Giocatori!L98)</f>
        <v>Cagliari</v>
      </c>
      <c r="I92" s="229" t="str">
        <f ca="1">IF(Giocatori!J98=0,"",Giocatori!J98)</f>
        <v>C</v>
      </c>
      <c r="J92" s="228" t="str">
        <f ca="1">IF(Giocatori!Q98=0,"",Giocatori!Q98)</f>
        <v/>
      </c>
      <c r="K92" s="229" t="str">
        <f ca="1">IF(Giocatori!R98=0,"",Giocatori!R98)</f>
        <v/>
      </c>
      <c r="L92" s="229" t="str">
        <f ca="1">IF(Giocatori!P98=0,"",Giocatori!P98)</f>
        <v/>
      </c>
      <c r="M92" s="228" t="str">
        <f ca="1">IF(Giocatori!N98=0,"",Giocatori!N98)</f>
        <v>SCAMACCA</v>
      </c>
      <c r="N92" s="229" t="str">
        <f ca="1">IF(Giocatori!O98=0,"",Giocatori!O98)</f>
        <v>Sassuolo</v>
      </c>
      <c r="O92" s="229" t="str">
        <f ca="1">IF(Giocatori!M98=0,"",Giocatori!M98)</f>
        <v>A</v>
      </c>
      <c r="Z92" s="56">
        <f>'I.A. + Fasce'!AC92</f>
        <v>0</v>
      </c>
      <c r="AA92" s="56">
        <f>'I.A. + Fasce'!AD92</f>
        <v>0</v>
      </c>
      <c r="AB92" s="56" t="str">
        <f ca="1">'I.A. + Fasce'!AE92</f>
        <v/>
      </c>
      <c r="AC92" s="56" t="str">
        <f ca="1">'I.A. + Fasce'!AF92</f>
        <v/>
      </c>
      <c r="AD92" s="56" t="str">
        <f ca="1">'I.A. + Fasce'!AG92</f>
        <v/>
      </c>
    </row>
    <row r="93" spans="1:30" s="1" customFormat="1" ht="14.25">
      <c r="A93" s="228" t="str">
        <f ca="1">IF(Giocatori!E99=0,"",Giocatori!E99)</f>
        <v/>
      </c>
      <c r="B93" s="229" t="str">
        <f ca="1">IF(Giocatori!F99=0,"",Giocatori!F99)</f>
        <v/>
      </c>
      <c r="C93" s="229" t="str">
        <f ca="1">IF(Giocatori!D99=0,"",Giocatori!D99)</f>
        <v/>
      </c>
      <c r="D93" s="228" t="str">
        <f ca="1">IF(Giocatori!H99=0,"",Giocatori!H99)</f>
        <v>HECTOR MORENO</v>
      </c>
      <c r="E93" s="229" t="str">
        <f ca="1">IF(Giocatori!I99=0,"",Giocatori!I99)</f>
        <v>Roma</v>
      </c>
      <c r="F93" s="229" t="str">
        <f ca="1">IF(Giocatori!G99=0,"",Giocatori!G99)</f>
        <v>D</v>
      </c>
      <c r="G93" s="228" t="str">
        <f ca="1">IF(Giocatori!K99=0,"",Giocatori!K99)</f>
        <v>JOAO SCHMIDT</v>
      </c>
      <c r="H93" s="229" t="str">
        <f ca="1">IF(Giocatori!L99=0,"",Giocatori!L99)</f>
        <v>Atalanta</v>
      </c>
      <c r="I93" s="229" t="str">
        <f ca="1">IF(Giocatori!J99=0,"",Giocatori!J99)</f>
        <v>C</v>
      </c>
      <c r="J93" s="228" t="str">
        <f ca="1">IF(Giocatori!Q99=0,"",Giocatori!Q99)</f>
        <v/>
      </c>
      <c r="K93" s="229" t="str">
        <f ca="1">IF(Giocatori!R99=0,"",Giocatori!R99)</f>
        <v/>
      </c>
      <c r="L93" s="229" t="str">
        <f ca="1">IF(Giocatori!P99=0,"",Giocatori!P99)</f>
        <v/>
      </c>
      <c r="M93" s="228" t="str">
        <f ca="1">IF(Giocatori!N99=0,"",Giocatori!N99)</f>
        <v>SCHICK</v>
      </c>
      <c r="N93" s="229" t="str">
        <f ca="1">IF(Giocatori!O99=0,"",Giocatori!O99)</f>
        <v>Roma</v>
      </c>
      <c r="O93" s="229" t="str">
        <f ca="1">IF(Giocatori!M99=0,"",Giocatori!M99)</f>
        <v>A</v>
      </c>
      <c r="Z93" s="56">
        <f>'I.A. + Fasce'!AC93</f>
        <v>0</v>
      </c>
      <c r="AA93" s="56">
        <f>'I.A. + Fasce'!AD93</f>
        <v>0</v>
      </c>
      <c r="AB93" s="56" t="str">
        <f ca="1">'I.A. + Fasce'!AE93</f>
        <v/>
      </c>
      <c r="AC93" s="56" t="str">
        <f ca="1">'I.A. + Fasce'!AF93</f>
        <v/>
      </c>
      <c r="AD93" s="56" t="str">
        <f ca="1">'I.A. + Fasce'!AG93</f>
        <v/>
      </c>
    </row>
    <row r="94" spans="1:30" s="1" customFormat="1" ht="14.25">
      <c r="A94" s="228" t="str">
        <f ca="1">IF(Giocatori!E100=0,"",Giocatori!E100)</f>
        <v/>
      </c>
      <c r="B94" s="229" t="str">
        <f ca="1">IF(Giocatori!F100=0,"",Giocatori!F100)</f>
        <v/>
      </c>
      <c r="C94" s="229" t="str">
        <f ca="1">IF(Giocatori!D100=0,"",Giocatori!D100)</f>
        <v/>
      </c>
      <c r="D94" s="228" t="str">
        <f ca="1">IF(Giocatori!H100=0,"",Giocatori!H100)</f>
        <v>HELANDER</v>
      </c>
      <c r="E94" s="229" t="str">
        <f ca="1">IF(Giocatori!I100=0,"",Giocatori!I100)</f>
        <v>Bologna</v>
      </c>
      <c r="F94" s="229" t="str">
        <f ca="1">IF(Giocatori!G100=0,"",Giocatori!G100)</f>
        <v>D</v>
      </c>
      <c r="G94" s="228" t="str">
        <f ca="1">IF(Giocatori!K100=0,"",Giocatori!K100)</f>
        <v>JORGINHO</v>
      </c>
      <c r="H94" s="229" t="str">
        <f ca="1">IF(Giocatori!L100=0,"",Giocatori!L100)</f>
        <v>Napoli</v>
      </c>
      <c r="I94" s="229" t="str">
        <f ca="1">IF(Giocatori!J100=0,"",Giocatori!J100)</f>
        <v>C</v>
      </c>
      <c r="J94" s="228" t="str">
        <f ca="1">IF(Giocatori!Q100=0,"",Giocatori!Q100)</f>
        <v/>
      </c>
      <c r="K94" s="229" t="str">
        <f ca="1">IF(Giocatori!R100=0,"",Giocatori!R100)</f>
        <v/>
      </c>
      <c r="L94" s="229" t="str">
        <f ca="1">IF(Giocatori!P100=0,"",Giocatori!P100)</f>
        <v/>
      </c>
      <c r="M94" s="228" t="str">
        <f ca="1">IF(Giocatori!N100=0,"",Giocatori!N100)</f>
        <v>SIMEONE</v>
      </c>
      <c r="N94" s="229" t="str">
        <f ca="1">IF(Giocatori!O100=0,"",Giocatori!O100)</f>
        <v>Fiorentina</v>
      </c>
      <c r="O94" s="229" t="str">
        <f ca="1">IF(Giocatori!M100=0,"",Giocatori!M100)</f>
        <v>A</v>
      </c>
      <c r="Z94" s="56">
        <f>'I.A. + Fasce'!AC94</f>
        <v>0</v>
      </c>
      <c r="AA94" s="56">
        <f>'I.A. + Fasce'!AD94</f>
        <v>0</v>
      </c>
      <c r="AB94" s="56" t="str">
        <f ca="1">'I.A. + Fasce'!AE94</f>
        <v/>
      </c>
      <c r="AC94" s="56" t="str">
        <f ca="1">'I.A. + Fasce'!AF94</f>
        <v/>
      </c>
      <c r="AD94" s="56" t="str">
        <f ca="1">'I.A. + Fasce'!AG94</f>
        <v/>
      </c>
    </row>
    <row r="95" spans="1:30" s="1" customFormat="1" ht="14.25">
      <c r="A95" s="228" t="str">
        <f ca="1">IF(Giocatori!E101=0,"",Giocatori!E101)</f>
        <v/>
      </c>
      <c r="B95" s="229" t="str">
        <f ca="1">IF(Giocatori!F101=0,"",Giocatori!F101)</f>
        <v/>
      </c>
      <c r="C95" s="229" t="str">
        <f ca="1">IF(Giocatori!D101=0,"",Giocatori!D101)</f>
        <v/>
      </c>
      <c r="D95" s="228" t="str">
        <f ca="1">IF(Giocatori!H101=0,"",Giocatori!H101)</f>
        <v>HEURTAUX</v>
      </c>
      <c r="E95" s="229" t="str">
        <f ca="1">IF(Giocatori!I101=0,"",Giocatori!I101)</f>
        <v>Verona</v>
      </c>
      <c r="F95" s="229" t="str">
        <f ca="1">IF(Giocatori!G101=0,"",Giocatori!G101)</f>
        <v>D</v>
      </c>
      <c r="G95" s="228" t="str">
        <f ca="1">IF(Giocatori!K101=0,"",Giocatori!K101)</f>
        <v>JOSE' SOSA</v>
      </c>
      <c r="H95" s="229" t="str">
        <f ca="1">IF(Giocatori!L101=0,"",Giocatori!L101)</f>
        <v>Milan</v>
      </c>
      <c r="I95" s="229" t="str">
        <f ca="1">IF(Giocatori!J101=0,"",Giocatori!J101)</f>
        <v>C</v>
      </c>
      <c r="J95" s="228" t="str">
        <f ca="1">IF(Giocatori!Q101=0,"",Giocatori!Q101)</f>
        <v/>
      </c>
      <c r="K95" s="229" t="str">
        <f ca="1">IF(Giocatori!R101=0,"",Giocatori!R101)</f>
        <v/>
      </c>
      <c r="L95" s="229" t="str">
        <f ca="1">IF(Giocatori!P101=0,"",Giocatori!P101)</f>
        <v/>
      </c>
      <c r="M95" s="228" t="str">
        <f ca="1">IF(Giocatori!N101=0,"",Giocatori!N101)</f>
        <v>SIMY</v>
      </c>
      <c r="N95" s="229" t="str">
        <f ca="1">IF(Giocatori!O101=0,"",Giocatori!O101)</f>
        <v>Crotone</v>
      </c>
      <c r="O95" s="229" t="str">
        <f ca="1">IF(Giocatori!M101=0,"",Giocatori!M101)</f>
        <v>A</v>
      </c>
      <c r="Z95" s="56">
        <f>'I.A. + Fasce'!AC95</f>
        <v>0</v>
      </c>
      <c r="AA95" s="56">
        <f>'I.A. + Fasce'!AD95</f>
        <v>0</v>
      </c>
      <c r="AB95" s="56" t="str">
        <f ca="1">'I.A. + Fasce'!AE95</f>
        <v/>
      </c>
      <c r="AC95" s="56" t="str">
        <f ca="1">'I.A. + Fasce'!AF95</f>
        <v/>
      </c>
      <c r="AD95" s="56" t="str">
        <f ca="1">'I.A. + Fasce'!AG95</f>
        <v/>
      </c>
    </row>
    <row r="96" spans="1:30" s="1" customFormat="1" ht="14.25">
      <c r="A96" s="228" t="str">
        <f ca="1">IF(Giocatori!E102=0,"",Giocatori!E102)</f>
        <v/>
      </c>
      <c r="B96" s="229" t="str">
        <f ca="1">IF(Giocatori!F102=0,"",Giocatori!F102)</f>
        <v/>
      </c>
      <c r="C96" s="229" t="str">
        <f ca="1">IF(Giocatori!D102=0,"",Giocatori!D102)</f>
        <v/>
      </c>
      <c r="D96" s="228" t="str">
        <f ca="1">IF(Giocatori!H102=0,"",Giocatori!H102)</f>
        <v>HOWEDES</v>
      </c>
      <c r="E96" s="229" t="str">
        <f ca="1">IF(Giocatori!I102=0,"",Giocatori!I102)</f>
        <v>Juventus</v>
      </c>
      <c r="F96" s="229" t="str">
        <f ca="1">IF(Giocatori!G102=0,"",Giocatori!G102)</f>
        <v>D</v>
      </c>
      <c r="G96" s="228" t="str">
        <f ca="1">IF(Giocatori!K102=0,"",Giocatori!K102)</f>
        <v>KESSIE'</v>
      </c>
      <c r="H96" s="229" t="str">
        <f ca="1">IF(Giocatori!L102=0,"",Giocatori!L102)</f>
        <v>Milan</v>
      </c>
      <c r="I96" s="229" t="str">
        <f ca="1">IF(Giocatori!J102=0,"",Giocatori!J102)</f>
        <v>C</v>
      </c>
      <c r="J96" s="228" t="str">
        <f ca="1">IF(Giocatori!Q102=0,"",Giocatori!Q102)</f>
        <v/>
      </c>
      <c r="K96" s="229" t="str">
        <f ca="1">IF(Giocatori!R102=0,"",Giocatori!R102)</f>
        <v/>
      </c>
      <c r="L96" s="229" t="str">
        <f ca="1">IF(Giocatori!P102=0,"",Giocatori!P102)</f>
        <v/>
      </c>
      <c r="M96" s="228" t="str">
        <f ca="1">IF(Giocatori!N102=0,"",Giocatori!N102)</f>
        <v>STEPINSKI</v>
      </c>
      <c r="N96" s="229" t="str">
        <f ca="1">IF(Giocatori!O102=0,"",Giocatori!O102)</f>
        <v>Chievo</v>
      </c>
      <c r="O96" s="229" t="str">
        <f ca="1">IF(Giocatori!M102=0,"",Giocatori!M102)</f>
        <v>A</v>
      </c>
      <c r="Z96" s="56">
        <f>'I.A. + Fasce'!AC96</f>
        <v>0</v>
      </c>
      <c r="AA96" s="56">
        <f>'I.A. + Fasce'!AD96</f>
        <v>0</v>
      </c>
      <c r="AB96" s="56" t="str">
        <f ca="1">'I.A. + Fasce'!AE96</f>
        <v/>
      </c>
      <c r="AC96" s="56" t="str">
        <f ca="1">'I.A. + Fasce'!AF96</f>
        <v/>
      </c>
      <c r="AD96" s="56" t="str">
        <f ca="1">'I.A. + Fasce'!AG96</f>
        <v/>
      </c>
    </row>
    <row r="97" spans="1:30" s="1" customFormat="1" ht="14.25">
      <c r="A97" s="228" t="str">
        <f ca="1">IF(Giocatori!E103=0,"",Giocatori!E103)</f>
        <v/>
      </c>
      <c r="B97" s="229" t="str">
        <f ca="1">IF(Giocatori!F103=0,"",Giocatori!F103)</f>
        <v/>
      </c>
      <c r="C97" s="229" t="str">
        <f ca="1">IF(Giocatori!D103=0,"",Giocatori!D103)</f>
        <v/>
      </c>
      <c r="D97" s="228" t="str">
        <f ca="1">IF(Giocatori!H103=0,"",Giocatori!H103)</f>
        <v>HRISTOV</v>
      </c>
      <c r="E97" s="229" t="str">
        <f ca="1">IF(Giocatori!I103=0,"",Giocatori!I103)</f>
        <v>Fiorentina</v>
      </c>
      <c r="F97" s="229" t="str">
        <f ca="1">IF(Giocatori!G103=0,"",Giocatori!G103)</f>
        <v>D</v>
      </c>
      <c r="G97" s="228" t="str">
        <f ca="1">IF(Giocatori!K103=0,"",Giocatori!K103)</f>
        <v>KHEDIRA</v>
      </c>
      <c r="H97" s="229" t="str">
        <f ca="1">IF(Giocatori!L103=0,"",Giocatori!L103)</f>
        <v>Juventus</v>
      </c>
      <c r="I97" s="229" t="str">
        <f ca="1">IF(Giocatori!J103=0,"",Giocatori!J103)</f>
        <v>C</v>
      </c>
      <c r="J97" s="228" t="str">
        <f ca="1">IF(Giocatori!Q103=0,"",Giocatori!Q103)</f>
        <v/>
      </c>
      <c r="K97" s="229" t="str">
        <f ca="1">IF(Giocatori!R103=0,"",Giocatori!R103)</f>
        <v/>
      </c>
      <c r="L97" s="229" t="str">
        <f ca="1">IF(Giocatori!P103=0,"",Giocatori!P103)</f>
        <v/>
      </c>
      <c r="M97" s="228" t="str">
        <f ca="1">IF(Giocatori!N103=0,"",Giocatori!N103)</f>
        <v>SUSO</v>
      </c>
      <c r="N97" s="229" t="str">
        <f ca="1">IF(Giocatori!O103=0,"",Giocatori!O103)</f>
        <v>Milan</v>
      </c>
      <c r="O97" s="229" t="str">
        <f ca="1">IF(Giocatori!M103=0,"",Giocatori!M103)</f>
        <v>A</v>
      </c>
      <c r="Z97" s="56">
        <f>'I.A. + Fasce'!AC97</f>
        <v>0</v>
      </c>
      <c r="AA97" s="56">
        <f>'I.A. + Fasce'!AD97</f>
        <v>0</v>
      </c>
      <c r="AB97" s="56" t="str">
        <f ca="1">'I.A. + Fasce'!AE97</f>
        <v/>
      </c>
      <c r="AC97" s="56" t="str">
        <f ca="1">'I.A. + Fasce'!AF97</f>
        <v/>
      </c>
      <c r="AD97" s="56" t="str">
        <f ca="1">'I.A. + Fasce'!AG97</f>
        <v/>
      </c>
    </row>
    <row r="98" spans="1:30" s="1" customFormat="1" ht="14.25">
      <c r="A98" s="228" t="str">
        <f ca="1">IF(Giocatori!E104=0,"",Giocatori!E104)</f>
        <v/>
      </c>
      <c r="B98" s="229" t="str">
        <f ca="1">IF(Giocatori!F104=0,"",Giocatori!F104)</f>
        <v/>
      </c>
      <c r="C98" s="229" t="str">
        <f ca="1">IF(Giocatori!D104=0,"",Giocatori!D104)</f>
        <v/>
      </c>
      <c r="D98" s="228" t="str">
        <f ca="1">IF(Giocatori!H104=0,"",Giocatori!H104)</f>
        <v>HYSAJ</v>
      </c>
      <c r="E98" s="229" t="str">
        <f ca="1">IF(Giocatori!I104=0,"",Giocatori!I104)</f>
        <v>Napoli</v>
      </c>
      <c r="F98" s="229" t="str">
        <f ca="1">IF(Giocatori!G104=0,"",Giocatori!G104)</f>
        <v>D</v>
      </c>
      <c r="G98" s="228" t="str">
        <f ca="1">IF(Giocatori!K104=0,"",Giocatori!K104)</f>
        <v>KRAGL</v>
      </c>
      <c r="H98" s="229" t="str">
        <f ca="1">IF(Giocatori!L104=0,"",Giocatori!L104)</f>
        <v>Crotone</v>
      </c>
      <c r="I98" s="229" t="str">
        <f ca="1">IF(Giocatori!J104=0,"",Giocatori!J104)</f>
        <v>C</v>
      </c>
      <c r="J98" s="228" t="str">
        <f ca="1">IF(Giocatori!Q104=0,"",Giocatori!Q104)</f>
        <v/>
      </c>
      <c r="K98" s="229" t="str">
        <f ca="1">IF(Giocatori!R104=0,"",Giocatori!R104)</f>
        <v/>
      </c>
      <c r="L98" s="229" t="str">
        <f ca="1">IF(Giocatori!P104=0,"",Giocatori!P104)</f>
        <v/>
      </c>
      <c r="M98" s="228" t="str">
        <f ca="1">IF(Giocatori!N104=0,"",Giocatori!N104)</f>
        <v>TAARABT</v>
      </c>
      <c r="N98" s="229" t="str">
        <f ca="1">IF(Giocatori!O104=0,"",Giocatori!O104)</f>
        <v>Genoa</v>
      </c>
      <c r="O98" s="229" t="str">
        <f ca="1">IF(Giocatori!M104=0,"",Giocatori!M104)</f>
        <v>A</v>
      </c>
      <c r="Z98" s="56">
        <f>'I.A. + Fasce'!AC98</f>
        <v>0</v>
      </c>
      <c r="AA98" s="56">
        <f>'I.A. + Fasce'!AD98</f>
        <v>0</v>
      </c>
      <c r="AB98" s="56" t="str">
        <f ca="1">'I.A. + Fasce'!AE98</f>
        <v/>
      </c>
      <c r="AC98" s="56" t="str">
        <f ca="1">'I.A. + Fasce'!AF98</f>
        <v/>
      </c>
      <c r="AD98" s="56" t="str">
        <f ca="1">'I.A. + Fasce'!AG98</f>
        <v/>
      </c>
    </row>
    <row r="99" spans="1:30" s="1" customFormat="1" ht="14.25">
      <c r="A99" s="228" t="str">
        <f ca="1">IF(Giocatori!E105=0,"",Giocatori!E105)</f>
        <v/>
      </c>
      <c r="B99" s="229" t="str">
        <f ca="1">IF(Giocatori!F105=0,"",Giocatori!F105)</f>
        <v/>
      </c>
      <c r="C99" s="229" t="str">
        <f ca="1">IF(Giocatori!D105=0,"",Giocatori!D105)</f>
        <v/>
      </c>
      <c r="D99" s="228" t="str">
        <f ca="1">IF(Giocatori!H105=0,"",Giocatori!H105)</f>
        <v>IZZO</v>
      </c>
      <c r="E99" s="229" t="str">
        <f ca="1">IF(Giocatori!I105=0,"",Giocatori!I105)</f>
        <v>Genoa</v>
      </c>
      <c r="F99" s="229" t="str">
        <f ca="1">IF(Giocatori!G105=0,"",Giocatori!G105)</f>
        <v>D</v>
      </c>
      <c r="G99" s="228" t="str">
        <f ca="1">IF(Giocatori!K105=0,"",Giocatori!K105)</f>
        <v>KREJCI</v>
      </c>
      <c r="H99" s="229" t="str">
        <f ca="1">IF(Giocatori!L105=0,"",Giocatori!L105)</f>
        <v>Bologna</v>
      </c>
      <c r="I99" s="229" t="str">
        <f ca="1">IF(Giocatori!J105=0,"",Giocatori!J105)</f>
        <v>C</v>
      </c>
      <c r="J99" s="228" t="str">
        <f ca="1">IF(Giocatori!Q105=0,"",Giocatori!Q105)</f>
        <v/>
      </c>
      <c r="K99" s="229" t="str">
        <f ca="1">IF(Giocatori!R105=0,"",Giocatori!R105)</f>
        <v/>
      </c>
      <c r="L99" s="229" t="str">
        <f ca="1">IF(Giocatori!P105=0,"",Giocatori!P105)</f>
        <v/>
      </c>
      <c r="M99" s="228" t="str">
        <f ca="1">IF(Giocatori!N105=0,"",Giocatori!N105)</f>
        <v>THEREAU</v>
      </c>
      <c r="N99" s="229" t="str">
        <f ca="1">IF(Giocatori!O105=0,"",Giocatori!O105)</f>
        <v>Fiorentina</v>
      </c>
      <c r="O99" s="229" t="str">
        <f ca="1">IF(Giocatori!M105=0,"",Giocatori!M105)</f>
        <v>A</v>
      </c>
      <c r="Z99" s="56">
        <f>'I.A. + Fasce'!AC99</f>
        <v>0</v>
      </c>
      <c r="AA99" s="56">
        <f>'I.A. + Fasce'!AD99</f>
        <v>0</v>
      </c>
      <c r="AB99" s="56" t="str">
        <f ca="1">'I.A. + Fasce'!AE99</f>
        <v/>
      </c>
      <c r="AC99" s="56" t="str">
        <f ca="1">'I.A. + Fasce'!AF99</f>
        <v/>
      </c>
      <c r="AD99" s="56" t="str">
        <f ca="1">'I.A. + Fasce'!AG99</f>
        <v/>
      </c>
    </row>
    <row r="100" spans="1:30" s="1" customFormat="1" ht="14.25">
      <c r="A100" s="228" t="str">
        <f ca="1">IF(Giocatori!E106=0,"",Giocatori!E106)</f>
        <v/>
      </c>
      <c r="B100" s="229" t="str">
        <f ca="1">IF(Giocatori!F106=0,"",Giocatori!F106)</f>
        <v/>
      </c>
      <c r="C100" s="229" t="str">
        <f ca="1">IF(Giocatori!D106=0,"",Giocatori!D106)</f>
        <v/>
      </c>
      <c r="D100" s="228" t="str">
        <f ca="1">IF(Giocatori!H106=0,"",Giocatori!H106)</f>
        <v>JAROSZYNSKI</v>
      </c>
      <c r="E100" s="229" t="str">
        <f ca="1">IF(Giocatori!I106=0,"",Giocatori!I106)</f>
        <v>Chievo</v>
      </c>
      <c r="F100" s="229" t="str">
        <f ca="1">IF(Giocatori!G106=0,"",Giocatori!G106)</f>
        <v>D</v>
      </c>
      <c r="G100" s="228" t="str">
        <f ca="1">IF(Giocatori!K106=0,"",Giocatori!K106)</f>
        <v>KURTIC</v>
      </c>
      <c r="H100" s="229" t="str">
        <f ca="1">IF(Giocatori!L106=0,"",Giocatori!L106)</f>
        <v>Atalanta</v>
      </c>
      <c r="I100" s="229" t="str">
        <f ca="1">IF(Giocatori!J106=0,"",Giocatori!J106)</f>
        <v>C</v>
      </c>
      <c r="J100" s="228" t="str">
        <f ca="1">IF(Giocatori!Q106=0,"",Giocatori!Q106)</f>
        <v/>
      </c>
      <c r="K100" s="229" t="str">
        <f ca="1">IF(Giocatori!R106=0,"",Giocatori!R106)</f>
        <v/>
      </c>
      <c r="L100" s="229" t="str">
        <f ca="1">IF(Giocatori!P106=0,"",Giocatori!P106)</f>
        <v/>
      </c>
      <c r="M100" s="228" t="str">
        <f ca="1">IF(Giocatori!N106=0,"",Giocatori!N106)</f>
        <v>TONEV</v>
      </c>
      <c r="N100" s="229" t="str">
        <f ca="1">IF(Giocatori!O106=0,"",Giocatori!O106)</f>
        <v>Crotone</v>
      </c>
      <c r="O100" s="229" t="str">
        <f ca="1">IF(Giocatori!M106=0,"",Giocatori!M106)</f>
        <v>A</v>
      </c>
      <c r="Z100" s="56">
        <f>'I.A. + Fasce'!AC100</f>
        <v>0</v>
      </c>
      <c r="AA100" s="56">
        <f>'I.A. + Fasce'!AD100</f>
        <v>0</v>
      </c>
      <c r="AB100" s="56" t="str">
        <f ca="1">'I.A. + Fasce'!AE100</f>
        <v/>
      </c>
      <c r="AC100" s="56" t="str">
        <f ca="1">'I.A. + Fasce'!AF100</f>
        <v/>
      </c>
      <c r="AD100" s="56" t="str">
        <f ca="1">'I.A. + Fasce'!AG100</f>
        <v/>
      </c>
    </row>
    <row r="101" spans="1:30" s="1" customFormat="1" ht="14.25">
      <c r="A101" s="228" t="str">
        <f ca="1">IF(Giocatori!E107=0,"",Giocatori!E107)</f>
        <v/>
      </c>
      <c r="B101" s="229" t="str">
        <f ca="1">IF(Giocatori!F107=0,"",Giocatori!F107)</f>
        <v/>
      </c>
      <c r="C101" s="229" t="str">
        <f ca="1">IF(Giocatori!D107=0,"",Giocatori!D107)</f>
        <v/>
      </c>
      <c r="D101" s="228" t="str">
        <f ca="1">IF(Giocatori!H107=0,"",Giocatori!H107)</f>
        <v>JUAN JESUS</v>
      </c>
      <c r="E101" s="229" t="str">
        <f ca="1">IF(Giocatori!I107=0,"",Giocatori!I107)</f>
        <v>Roma</v>
      </c>
      <c r="F101" s="229" t="str">
        <f ca="1">IF(Giocatori!G107=0,"",Giocatori!G107)</f>
        <v>D</v>
      </c>
      <c r="G101" s="228" t="str">
        <f ca="1">IF(Giocatori!K107=0,"",Giocatori!K107)</f>
        <v>LAXALT</v>
      </c>
      <c r="H101" s="229" t="str">
        <f ca="1">IF(Giocatori!L107=0,"",Giocatori!L107)</f>
        <v>Genoa</v>
      </c>
      <c r="I101" s="229" t="str">
        <f ca="1">IF(Giocatori!J107=0,"",Giocatori!J107)</f>
        <v>C</v>
      </c>
      <c r="J101" s="228" t="str">
        <f ca="1">IF(Giocatori!Q107=0,"",Giocatori!Q107)</f>
        <v/>
      </c>
      <c r="K101" s="229" t="str">
        <f ca="1">IF(Giocatori!R107=0,"",Giocatori!R107)</f>
        <v/>
      </c>
      <c r="L101" s="229" t="str">
        <f ca="1">IF(Giocatori!P107=0,"",Giocatori!P107)</f>
        <v/>
      </c>
      <c r="M101" s="228" t="str">
        <f ca="1">IF(Giocatori!N107=0,"",Giocatori!N107)</f>
        <v>TROTTA</v>
      </c>
      <c r="N101" s="229" t="str">
        <f ca="1">IF(Giocatori!O107=0,"",Giocatori!O107)</f>
        <v>Crotone</v>
      </c>
      <c r="O101" s="229" t="str">
        <f ca="1">IF(Giocatori!M107=0,"",Giocatori!M107)</f>
        <v>A</v>
      </c>
      <c r="Z101" s="56">
        <f>'I.A. + Fasce'!AC101</f>
        <v>0</v>
      </c>
      <c r="AA101" s="56">
        <f>'I.A. + Fasce'!AD101</f>
        <v>0</v>
      </c>
      <c r="AB101" s="56" t="str">
        <f ca="1">'I.A. + Fasce'!AE101</f>
        <v/>
      </c>
      <c r="AC101" s="56" t="str">
        <f ca="1">'I.A. + Fasce'!AF101</f>
        <v/>
      </c>
      <c r="AD101" s="56">
        <f>'I.A. + Fasce'!AG101</f>
        <v>0</v>
      </c>
    </row>
    <row r="102" spans="1:30" s="1" customFormat="1" ht="14.25">
      <c r="A102" s="228" t="str">
        <f ca="1">IF(Giocatori!E108=0,"",Giocatori!E108)</f>
        <v/>
      </c>
      <c r="B102" s="229" t="str">
        <f ca="1">IF(Giocatori!F108=0,"",Giocatori!F108)</f>
        <v/>
      </c>
      <c r="C102" s="229" t="str">
        <f ca="1">IF(Giocatori!D108=0,"",Giocatori!D108)</f>
        <v/>
      </c>
      <c r="D102" s="228" t="str">
        <f ca="1">IF(Giocatori!H108=0,"",Giocatori!H108)</f>
        <v>KARSDORP</v>
      </c>
      <c r="E102" s="229" t="str">
        <f ca="1">IF(Giocatori!I108=0,"",Giocatori!I108)</f>
        <v>Roma</v>
      </c>
      <c r="F102" s="229" t="str">
        <f ca="1">IF(Giocatori!G108=0,"",Giocatori!G108)</f>
        <v>D</v>
      </c>
      <c r="G102" s="228" t="str">
        <f ca="1">IF(Giocatori!K108=0,"",Giocatori!K108)</f>
        <v>LAZOVIC</v>
      </c>
      <c r="H102" s="229" t="str">
        <f ca="1">IF(Giocatori!L108=0,"",Giocatori!L108)</f>
        <v>Genoa</v>
      </c>
      <c r="I102" s="229" t="str">
        <f ca="1">IF(Giocatori!J108=0,"",Giocatori!J108)</f>
        <v>C</v>
      </c>
      <c r="J102" s="228" t="str">
        <f ca="1">IF(Giocatori!Q108=0,"",Giocatori!Q108)</f>
        <v/>
      </c>
      <c r="K102" s="229" t="str">
        <f ca="1">IF(Giocatori!R108=0,"",Giocatori!R108)</f>
        <v/>
      </c>
      <c r="L102" s="229" t="str">
        <f ca="1">IF(Giocatori!P108=0,"",Giocatori!P108)</f>
        <v/>
      </c>
      <c r="M102" s="228" t="str">
        <f ca="1">IF(Giocatori!N108=0,"",Giocatori!N108)</f>
        <v>TUMMINELLO</v>
      </c>
      <c r="N102" s="229" t="str">
        <f ca="1">IF(Giocatori!O108=0,"",Giocatori!O108)</f>
        <v>Crotone</v>
      </c>
      <c r="O102" s="229" t="str">
        <f ca="1">IF(Giocatori!M108=0,"",Giocatori!M108)</f>
        <v>A</v>
      </c>
      <c r="Z102" s="56">
        <f>'I.A. + Fasce'!AC102</f>
        <v>0</v>
      </c>
      <c r="AA102" s="56">
        <f>'I.A. + Fasce'!AD102</f>
        <v>0</v>
      </c>
      <c r="AB102" s="56" t="str">
        <f ca="1">'I.A. + Fasce'!AE102</f>
        <v/>
      </c>
      <c r="AC102" s="56" t="str">
        <f ca="1">'I.A. + Fasce'!AF102</f>
        <v/>
      </c>
      <c r="AD102" s="56">
        <f>'I.A. + Fasce'!AG102</f>
        <v>0</v>
      </c>
    </row>
    <row r="103" spans="1:30" s="1" customFormat="1" ht="14.25">
      <c r="A103" s="228" t="str">
        <f ca="1">IF(Giocatori!E109=0,"",Giocatori!E109)</f>
        <v/>
      </c>
      <c r="B103" s="229" t="str">
        <f ca="1">IF(Giocatori!F109=0,"",Giocatori!F109)</f>
        <v/>
      </c>
      <c r="C103" s="229" t="str">
        <f ca="1">IF(Giocatori!D109=0,"",Giocatori!D109)</f>
        <v/>
      </c>
      <c r="D103" s="228" t="str">
        <f ca="1">IF(Giocatori!H109=0,"",Giocatori!H109)</f>
        <v>KEITA C</v>
      </c>
      <c r="E103" s="229" t="str">
        <f ca="1">IF(Giocatori!I109=0,"",Giocatori!I109)</f>
        <v>Bologna</v>
      </c>
      <c r="F103" s="229" t="str">
        <f ca="1">IF(Giocatori!G109=0,"",Giocatori!G109)</f>
        <v>D</v>
      </c>
      <c r="G103" s="228" t="str">
        <f ca="1">IF(Giocatori!K109=0,"",Giocatori!K109)</f>
        <v>LAZZARI M</v>
      </c>
      <c r="H103" s="229" t="str">
        <f ca="1">IF(Giocatori!L109=0,"",Giocatori!L109)</f>
        <v>SPAL</v>
      </c>
      <c r="I103" s="229" t="str">
        <f ca="1">IF(Giocatori!J109=0,"",Giocatori!J109)</f>
        <v>C</v>
      </c>
      <c r="J103" s="228" t="str">
        <f ca="1">IF(Giocatori!Q109=0,"",Giocatori!Q109)</f>
        <v/>
      </c>
      <c r="K103" s="229" t="str">
        <f ca="1">IF(Giocatori!R109=0,"",Giocatori!R109)</f>
        <v/>
      </c>
      <c r="L103" s="229" t="str">
        <f ca="1">IF(Giocatori!P109=0,"",Giocatori!P109)</f>
        <v/>
      </c>
      <c r="M103" s="228" t="str">
        <f ca="1">IF(Giocatori!N109=0,"",Giocatori!N109)</f>
        <v>VERDE</v>
      </c>
      <c r="N103" s="229" t="str">
        <f ca="1">IF(Giocatori!O109=0,"",Giocatori!O109)</f>
        <v>Verona</v>
      </c>
      <c r="O103" s="229" t="str">
        <f ca="1">IF(Giocatori!M109=0,"",Giocatori!M109)</f>
        <v>A</v>
      </c>
      <c r="Z103" s="56">
        <f>'I.A. + Fasce'!AC103</f>
        <v>0</v>
      </c>
      <c r="AA103" s="56">
        <f>'I.A. + Fasce'!AD103</f>
        <v>0</v>
      </c>
      <c r="AB103" s="56" t="str">
        <f ca="1">'I.A. + Fasce'!AE103</f>
        <v/>
      </c>
      <c r="AC103" s="56" t="str">
        <f ca="1">'I.A. + Fasce'!AF103</f>
        <v/>
      </c>
      <c r="AD103" s="56">
        <f>'I.A. + Fasce'!AG103</f>
        <v>0</v>
      </c>
    </row>
    <row r="104" spans="1:30" s="1" customFormat="1" ht="14.25">
      <c r="A104" s="228" t="str">
        <f ca="1">IF(Giocatori!E110=0,"",Giocatori!E110)</f>
        <v/>
      </c>
      <c r="B104" s="229" t="str">
        <f ca="1">IF(Giocatori!F110=0,"",Giocatori!F110)</f>
        <v/>
      </c>
      <c r="C104" s="229" t="str">
        <f ca="1">IF(Giocatori!D110=0,"",Giocatori!D110)</f>
        <v/>
      </c>
      <c r="D104" s="228" t="str">
        <f ca="1">IF(Giocatori!H110=0,"",Giocatori!H110)</f>
        <v>KOLAROV</v>
      </c>
      <c r="E104" s="229" t="str">
        <f ca="1">IF(Giocatori!I110=0,"",Giocatori!I110)</f>
        <v>Roma</v>
      </c>
      <c r="F104" s="229" t="str">
        <f ca="1">IF(Giocatori!G110=0,"",Giocatori!G110)</f>
        <v>D</v>
      </c>
      <c r="G104" s="228" t="str">
        <f ca="1">IF(Giocatori!K110=0,"",Giocatori!K110)</f>
        <v>LINETTY</v>
      </c>
      <c r="H104" s="229" t="str">
        <f ca="1">IF(Giocatori!L110=0,"",Giocatori!L110)</f>
        <v>Sampdoria</v>
      </c>
      <c r="I104" s="229" t="str">
        <f ca="1">IF(Giocatori!J110=0,"",Giocatori!J110)</f>
        <v>C</v>
      </c>
      <c r="J104" s="228" t="str">
        <f ca="1">IF(Giocatori!Q110=0,"",Giocatori!Q110)</f>
        <v/>
      </c>
      <c r="K104" s="229" t="str">
        <f ca="1">IF(Giocatori!R110=0,"",Giocatori!R110)</f>
        <v/>
      </c>
      <c r="L104" s="229" t="str">
        <f ca="1">IF(Giocatori!P110=0,"",Giocatori!P110)</f>
        <v/>
      </c>
      <c r="M104" s="228" t="str">
        <f ca="1">IF(Giocatori!N110=0,"",Giocatori!N110)</f>
        <v>VERDI</v>
      </c>
      <c r="N104" s="229" t="str">
        <f ca="1">IF(Giocatori!O110=0,"",Giocatori!O110)</f>
        <v>Bologna</v>
      </c>
      <c r="O104" s="229" t="str">
        <f ca="1">IF(Giocatori!M110=0,"",Giocatori!M110)</f>
        <v>A</v>
      </c>
      <c r="Z104" s="56">
        <f>'I.A. + Fasce'!AC104</f>
        <v>0</v>
      </c>
      <c r="AA104" s="56">
        <f>'I.A. + Fasce'!AD104</f>
        <v>0</v>
      </c>
      <c r="AB104" s="56" t="str">
        <f ca="1">'I.A. + Fasce'!AE104</f>
        <v/>
      </c>
      <c r="AC104" s="56" t="str">
        <f ca="1">'I.A. + Fasce'!AF104</f>
        <v/>
      </c>
      <c r="AD104" s="56">
        <f>'I.A. + Fasce'!AG104</f>
        <v>0</v>
      </c>
    </row>
    <row r="105" spans="1:30" s="1" customFormat="1" ht="14.25">
      <c r="A105" s="228" t="str">
        <f ca="1">IF(Giocatori!E111=0,"",Giocatori!E111)</f>
        <v/>
      </c>
      <c r="B105" s="229" t="str">
        <f ca="1">IF(Giocatori!F111=0,"",Giocatori!F111)</f>
        <v/>
      </c>
      <c r="C105" s="229" t="str">
        <f ca="1">IF(Giocatori!D111=0,"",Giocatori!D111)</f>
        <v/>
      </c>
      <c r="D105" s="228" t="str">
        <f ca="1">IF(Giocatori!H111=0,"",Giocatori!H111)</f>
        <v>KONATE</v>
      </c>
      <c r="E105" s="229" t="str">
        <f ca="1">IF(Giocatori!I111=0,"",Giocatori!I111)</f>
        <v>SPAL</v>
      </c>
      <c r="F105" s="229" t="str">
        <f ca="1">IF(Giocatori!G111=0,"",Giocatori!G111)</f>
        <v>D</v>
      </c>
      <c r="G105" s="228" t="str">
        <f ca="1">IF(Giocatori!K111=0,"",Giocatori!K111)</f>
        <v>LJAJIC</v>
      </c>
      <c r="H105" s="229" t="str">
        <f ca="1">IF(Giocatori!L111=0,"",Giocatori!L111)</f>
        <v>Torino</v>
      </c>
      <c r="I105" s="229" t="str">
        <f ca="1">IF(Giocatori!J111=0,"",Giocatori!J111)</f>
        <v>C</v>
      </c>
      <c r="J105" s="228" t="str">
        <f ca="1">IF(Giocatori!Q111=0,"",Giocatori!Q111)</f>
        <v/>
      </c>
      <c r="K105" s="229" t="str">
        <f ca="1">IF(Giocatori!R111=0,"",Giocatori!R111)</f>
        <v/>
      </c>
      <c r="L105" s="229" t="str">
        <f ca="1">IF(Giocatori!P111=0,"",Giocatori!P111)</f>
        <v/>
      </c>
      <c r="M105" s="228" t="str">
        <f ca="1">IF(Giocatori!N111=0,"",Giocatori!N111)</f>
        <v>VIDO</v>
      </c>
      <c r="N105" s="229" t="str">
        <f ca="1">IF(Giocatori!O111=0,"",Giocatori!O111)</f>
        <v>Atalanta</v>
      </c>
      <c r="O105" s="229" t="str">
        <f ca="1">IF(Giocatori!M111=0,"",Giocatori!M111)</f>
        <v>A</v>
      </c>
      <c r="Z105" s="56">
        <f>'I.A. + Fasce'!AC105</f>
        <v>0</v>
      </c>
      <c r="AA105" s="56">
        <f>'I.A. + Fasce'!AD105</f>
        <v>0</v>
      </c>
      <c r="AB105" s="56" t="str">
        <f ca="1">'I.A. + Fasce'!AE105</f>
        <v/>
      </c>
      <c r="AC105" s="56" t="str">
        <f ca="1">'I.A. + Fasce'!AF105</f>
        <v/>
      </c>
      <c r="AD105" s="56">
        <f>'I.A. + Fasce'!AG105</f>
        <v>0</v>
      </c>
    </row>
    <row r="106" spans="1:30" s="1" customFormat="1" ht="14.25">
      <c r="A106" s="228" t="str">
        <f ca="1">IF(Giocatori!E112=0,"",Giocatori!E112)</f>
        <v/>
      </c>
      <c r="B106" s="229" t="str">
        <f ca="1">IF(Giocatori!F112=0,"",Giocatori!F112)</f>
        <v/>
      </c>
      <c r="C106" s="229" t="str">
        <f ca="1">IF(Giocatori!D112=0,"",Giocatori!D112)</f>
        <v/>
      </c>
      <c r="D106" s="228" t="str">
        <f ca="1">IF(Giocatori!H112=0,"",Giocatori!H112)</f>
        <v>KOULIBALY</v>
      </c>
      <c r="E106" s="229" t="str">
        <f ca="1">IF(Giocatori!I112=0,"",Giocatori!I112)</f>
        <v>Napoli</v>
      </c>
      <c r="F106" s="229" t="str">
        <f ca="1">IF(Giocatori!G112=0,"",Giocatori!G112)</f>
        <v>D</v>
      </c>
      <c r="G106" s="228" t="str">
        <f ca="1">IF(Giocatori!K112=0,"",Giocatori!K112)</f>
        <v>LOCATELLI M</v>
      </c>
      <c r="H106" s="229" t="str">
        <f ca="1">IF(Giocatori!L112=0,"",Giocatori!L112)</f>
        <v>Milan</v>
      </c>
      <c r="I106" s="229" t="str">
        <f ca="1">IF(Giocatori!J112=0,"",Giocatori!J112)</f>
        <v>C</v>
      </c>
      <c r="J106" s="228" t="str">
        <f ca="1">IF(Giocatori!Q112=0,"",Giocatori!Q112)</f>
        <v/>
      </c>
      <c r="K106" s="229" t="str">
        <f ca="1">IF(Giocatori!R112=0,"",Giocatori!R112)</f>
        <v/>
      </c>
      <c r="L106" s="229" t="str">
        <f ca="1">IF(Giocatori!P112=0,"",Giocatori!P112)</f>
        <v/>
      </c>
      <c r="M106" s="228" t="str">
        <f ca="1">IF(Giocatori!N112=0,"",Giocatori!N112)</f>
        <v>ZAPATA D</v>
      </c>
      <c r="N106" s="229" t="str">
        <f ca="1">IF(Giocatori!O112=0,"",Giocatori!O112)</f>
        <v>Sampdoria</v>
      </c>
      <c r="O106" s="229" t="str">
        <f ca="1">IF(Giocatori!M112=0,"",Giocatori!M112)</f>
        <v>A</v>
      </c>
      <c r="Z106" s="56">
        <f>'I.A. + Fasce'!AC106</f>
        <v>0</v>
      </c>
      <c r="AA106" s="56">
        <f>'I.A. + Fasce'!AD106</f>
        <v>0</v>
      </c>
      <c r="AB106" s="56" t="str">
        <f ca="1">'I.A. + Fasce'!AE106</f>
        <v/>
      </c>
      <c r="AC106" s="56" t="str">
        <f ca="1">'I.A. + Fasce'!AF106</f>
        <v/>
      </c>
      <c r="AD106" s="56">
        <f>'I.A. + Fasce'!AG106</f>
        <v>0</v>
      </c>
    </row>
    <row r="107" spans="1:30" s="1" customFormat="1" ht="14.25">
      <c r="A107" s="228" t="str">
        <f ca="1">IF(Giocatori!E113=0,"",Giocatori!E113)</f>
        <v/>
      </c>
      <c r="B107" s="229" t="str">
        <f ca="1">IF(Giocatori!F113=0,"",Giocatori!F113)</f>
        <v/>
      </c>
      <c r="C107" s="229" t="str">
        <f ca="1">IF(Giocatori!D113=0,"",Giocatori!D113)</f>
        <v/>
      </c>
      <c r="D107" s="228" t="str">
        <f ca="1">IF(Giocatori!H113=0,"",Giocatori!H113)</f>
        <v>KRAFTH</v>
      </c>
      <c r="E107" s="229" t="str">
        <f ca="1">IF(Giocatori!I113=0,"",Giocatori!I113)</f>
        <v>Bologna</v>
      </c>
      <c r="F107" s="229" t="str">
        <f ca="1">IF(Giocatori!G113=0,"",Giocatori!G113)</f>
        <v>D</v>
      </c>
      <c r="G107" s="228" t="str">
        <f ca="1">IF(Giocatori!K113=0,"",Giocatori!K113)</f>
        <v>LUCAS LEIVA</v>
      </c>
      <c r="H107" s="229" t="str">
        <f ca="1">IF(Giocatori!L113=0,"",Giocatori!L113)</f>
        <v>Lazio</v>
      </c>
      <c r="I107" s="229" t="str">
        <f ca="1">IF(Giocatori!J113=0,"",Giocatori!J113)</f>
        <v>C</v>
      </c>
      <c r="J107" s="228" t="str">
        <f ca="1">IF(Giocatori!Q113=0,"",Giocatori!Q113)</f>
        <v/>
      </c>
      <c r="K107" s="229" t="str">
        <f ca="1">IF(Giocatori!R113=0,"",Giocatori!R113)</f>
        <v/>
      </c>
      <c r="L107" s="229" t="str">
        <f ca="1">IF(Giocatori!P113=0,"",Giocatori!P113)</f>
        <v/>
      </c>
      <c r="M107" s="228" t="str">
        <f ca="1">IF(Giocatori!N113=0,"",Giocatori!N113)</f>
        <v/>
      </c>
      <c r="N107" s="229" t="str">
        <f ca="1">IF(Giocatori!O113=0,"",Giocatori!O113)</f>
        <v/>
      </c>
      <c r="O107" s="229" t="str">
        <f ca="1">IF(Giocatori!M113=0,"",Giocatori!M113)</f>
        <v/>
      </c>
      <c r="Z107" s="56">
        <f>'I.A. + Fasce'!AC107</f>
        <v>0</v>
      </c>
      <c r="AA107" s="56">
        <f>'I.A. + Fasce'!AD107</f>
        <v>0</v>
      </c>
      <c r="AB107" s="56" t="str">
        <f ca="1">'I.A. + Fasce'!AE107</f>
        <v/>
      </c>
      <c r="AC107" s="56" t="str">
        <f ca="1">'I.A. + Fasce'!AF107</f>
        <v/>
      </c>
      <c r="AD107" s="56">
        <f>'I.A. + Fasce'!AG107</f>
        <v>0</v>
      </c>
    </row>
    <row r="108" spans="1:30" s="1" customFormat="1" ht="14.25">
      <c r="A108" s="228" t="str">
        <f ca="1">IF(Giocatori!E114=0,"",Giocatori!E114)</f>
        <v/>
      </c>
      <c r="B108" s="229" t="str">
        <f ca="1">IF(Giocatori!F114=0,"",Giocatori!F114)</f>
        <v/>
      </c>
      <c r="C108" s="229" t="str">
        <f ca="1">IF(Giocatori!D114=0,"",Giocatori!D114)</f>
        <v/>
      </c>
      <c r="D108" s="228" t="str">
        <f ca="1">IF(Giocatori!H114=0,"",Giocatori!H114)</f>
        <v>LAURINI</v>
      </c>
      <c r="E108" s="229" t="str">
        <f ca="1">IF(Giocatori!I114=0,"",Giocatori!I114)</f>
        <v>Fiorentina</v>
      </c>
      <c r="F108" s="229" t="str">
        <f ca="1">IF(Giocatori!G114=0,"",Giocatori!G114)</f>
        <v>D</v>
      </c>
      <c r="G108" s="228" t="str">
        <f ca="1">IF(Giocatori!K114=0,"",Giocatori!K114)</f>
        <v>LUIS ALBERTO</v>
      </c>
      <c r="H108" s="229" t="str">
        <f ca="1">IF(Giocatori!L114=0,"",Giocatori!L114)</f>
        <v>Lazio</v>
      </c>
      <c r="I108" s="229" t="str">
        <f ca="1">IF(Giocatori!J114=0,"",Giocatori!J114)</f>
        <v>C</v>
      </c>
      <c r="J108" s="228" t="str">
        <f ca="1">IF(Giocatori!Q114=0,"",Giocatori!Q114)</f>
        <v/>
      </c>
      <c r="K108" s="229" t="str">
        <f ca="1">IF(Giocatori!R114=0,"",Giocatori!R114)</f>
        <v/>
      </c>
      <c r="L108" s="229" t="str">
        <f ca="1">IF(Giocatori!P114=0,"",Giocatori!P114)</f>
        <v/>
      </c>
      <c r="M108" s="228" t="str">
        <f ca="1">IF(Giocatori!N114=0,"",Giocatori!N114)</f>
        <v/>
      </c>
      <c r="N108" s="229" t="str">
        <f ca="1">IF(Giocatori!O114=0,"",Giocatori!O114)</f>
        <v/>
      </c>
      <c r="O108" s="229" t="str">
        <f ca="1">IF(Giocatori!M114=0,"",Giocatori!M114)</f>
        <v/>
      </c>
      <c r="Z108" s="56">
        <f>'I.A. + Fasce'!AC108</f>
        <v>0</v>
      </c>
      <c r="AA108" s="56">
        <f>'I.A. + Fasce'!AD108</f>
        <v>0</v>
      </c>
      <c r="AB108" s="56" t="str">
        <f ca="1">'I.A. + Fasce'!AE108</f>
        <v/>
      </c>
      <c r="AC108" s="56" t="str">
        <f ca="1">'I.A. + Fasce'!AF108</f>
        <v/>
      </c>
      <c r="AD108" s="56">
        <f>'I.A. + Fasce'!AG108</f>
        <v>0</v>
      </c>
    </row>
    <row r="109" spans="1:30" s="1" customFormat="1" ht="14.25">
      <c r="A109" s="228" t="str">
        <f ca="1">IF(Giocatori!E115=0,"",Giocatori!E115)</f>
        <v/>
      </c>
      <c r="B109" s="229" t="str">
        <f ca="1">IF(Giocatori!F115=0,"",Giocatori!F115)</f>
        <v/>
      </c>
      <c r="C109" s="229" t="str">
        <f ca="1">IF(Giocatori!D115=0,"",Giocatori!D115)</f>
        <v/>
      </c>
      <c r="D109" s="228" t="str">
        <f ca="1">IF(Giocatori!H115=0,"",Giocatori!H115)</f>
        <v>LAZAAR</v>
      </c>
      <c r="E109" s="229" t="str">
        <f ca="1">IF(Giocatori!I115=0,"",Giocatori!I115)</f>
        <v>Benevento</v>
      </c>
      <c r="F109" s="229" t="str">
        <f ca="1">IF(Giocatori!G115=0,"",Giocatori!G115)</f>
        <v>D</v>
      </c>
      <c r="G109" s="228" t="str">
        <f ca="1">IF(Giocatori!K115=0,"",Giocatori!K115)</f>
        <v>LULIC</v>
      </c>
      <c r="H109" s="229" t="str">
        <f ca="1">IF(Giocatori!L115=0,"",Giocatori!L115)</f>
        <v>Lazio</v>
      </c>
      <c r="I109" s="229" t="str">
        <f ca="1">IF(Giocatori!J115=0,"",Giocatori!J115)</f>
        <v>C</v>
      </c>
      <c r="J109" s="228" t="str">
        <f ca="1">IF(Giocatori!Q115=0,"",Giocatori!Q115)</f>
        <v/>
      </c>
      <c r="K109" s="229" t="str">
        <f ca="1">IF(Giocatori!R115=0,"",Giocatori!R115)</f>
        <v/>
      </c>
      <c r="L109" s="229" t="str">
        <f ca="1">IF(Giocatori!P115=0,"",Giocatori!P115)</f>
        <v/>
      </c>
      <c r="M109" s="228" t="str">
        <f ca="1">IF(Giocatori!N115=0,"",Giocatori!N115)</f>
        <v/>
      </c>
      <c r="N109" s="229" t="str">
        <f ca="1">IF(Giocatori!O115=0,"",Giocatori!O115)</f>
        <v/>
      </c>
      <c r="O109" s="229" t="str">
        <f ca="1">IF(Giocatori!M115=0,"",Giocatori!M115)</f>
        <v/>
      </c>
      <c r="Z109" s="56">
        <f>'I.A. + Fasce'!AC109</f>
        <v>0</v>
      </c>
      <c r="AA109" s="56">
        <f>'I.A. + Fasce'!AD109</f>
        <v>0</v>
      </c>
      <c r="AB109" s="56" t="str">
        <f ca="1">'I.A. + Fasce'!AE109</f>
        <v/>
      </c>
      <c r="AC109" s="56" t="str">
        <f ca="1">'I.A. + Fasce'!AF109</f>
        <v/>
      </c>
      <c r="AD109" s="56">
        <f>'I.A. + Fasce'!AG109</f>
        <v>0</v>
      </c>
    </row>
    <row r="110" spans="1:30" s="1" customFormat="1" ht="14.25">
      <c r="A110" s="228" t="str">
        <f ca="1">IF(Giocatori!E116=0,"",Giocatori!E116)</f>
        <v/>
      </c>
      <c r="B110" s="229" t="str">
        <f ca="1">IF(Giocatori!F116=0,"",Giocatori!F116)</f>
        <v/>
      </c>
      <c r="C110" s="229" t="str">
        <f ca="1">IF(Giocatori!D116=0,"",Giocatori!D116)</f>
        <v/>
      </c>
      <c r="D110" s="228" t="str">
        <f ca="1">IF(Giocatori!H116=0,"",Giocatori!H116)</f>
        <v>LETIZIA</v>
      </c>
      <c r="E110" s="229" t="str">
        <f ca="1">IF(Giocatori!I116=0,"",Giocatori!I116)</f>
        <v>Benevento</v>
      </c>
      <c r="F110" s="229" t="str">
        <f ca="1">IF(Giocatori!G116=0,"",Giocatori!G116)</f>
        <v>D</v>
      </c>
      <c r="G110" s="228" t="str">
        <f ca="1">IF(Giocatori!K116=0,"",Giocatori!K116)</f>
        <v>MAGNANELLI</v>
      </c>
      <c r="H110" s="229" t="str">
        <f ca="1">IF(Giocatori!L116=0,"",Giocatori!L116)</f>
        <v>Sassuolo</v>
      </c>
      <c r="I110" s="229" t="str">
        <f ca="1">IF(Giocatori!J116=0,"",Giocatori!J116)</f>
        <v>C</v>
      </c>
      <c r="J110" s="228" t="str">
        <f ca="1">IF(Giocatori!Q116=0,"",Giocatori!Q116)</f>
        <v/>
      </c>
      <c r="K110" s="229" t="str">
        <f ca="1">IF(Giocatori!R116=0,"",Giocatori!R116)</f>
        <v/>
      </c>
      <c r="L110" s="229" t="str">
        <f ca="1">IF(Giocatori!P116=0,"",Giocatori!P116)</f>
        <v/>
      </c>
      <c r="M110" s="228" t="str">
        <f ca="1">IF(Giocatori!N116=0,"",Giocatori!N116)</f>
        <v/>
      </c>
      <c r="N110" s="229" t="str">
        <f ca="1">IF(Giocatori!O116=0,"",Giocatori!O116)</f>
        <v/>
      </c>
      <c r="O110" s="229" t="str">
        <f ca="1">IF(Giocatori!M116=0,"",Giocatori!M116)</f>
        <v/>
      </c>
      <c r="Z110" s="56">
        <f>'I.A. + Fasce'!AC110</f>
        <v>0</v>
      </c>
      <c r="AA110" s="56">
        <f>'I.A. + Fasce'!AD110</f>
        <v>0</v>
      </c>
      <c r="AB110" s="56" t="str">
        <f ca="1">'I.A. + Fasce'!AE110</f>
        <v/>
      </c>
      <c r="AC110" s="56" t="str">
        <f ca="1">'I.A. + Fasce'!AF110</f>
        <v/>
      </c>
      <c r="AD110" s="56">
        <f>'I.A. + Fasce'!AG110</f>
        <v>0</v>
      </c>
    </row>
    <row r="111" spans="1:30" s="1" customFormat="1" ht="14.25">
      <c r="A111" s="228" t="str">
        <f ca="1">IF(Giocatori!E117=0,"",Giocatori!E117)</f>
        <v/>
      </c>
      <c r="B111" s="229" t="str">
        <f ca="1">IF(Giocatori!F117=0,"",Giocatori!F117)</f>
        <v/>
      </c>
      <c r="C111" s="229" t="str">
        <f ca="1">IF(Giocatori!D117=0,"",Giocatori!D117)</f>
        <v/>
      </c>
      <c r="D111" s="228" t="str">
        <f ca="1">IF(Giocatori!H117=0,"",Giocatori!H117)</f>
        <v>LETSCHERT</v>
      </c>
      <c r="E111" s="229" t="str">
        <f ca="1">IF(Giocatori!I117=0,"",Giocatori!I117)</f>
        <v>Sassuolo</v>
      </c>
      <c r="F111" s="229" t="str">
        <f ca="1">IF(Giocatori!G117=0,"",Giocatori!G117)</f>
        <v>D</v>
      </c>
      <c r="G111" s="228" t="str">
        <f ca="1">IF(Giocatori!K117=0,"",Giocatori!K117)</f>
        <v>MALLE'</v>
      </c>
      <c r="H111" s="229" t="str">
        <f ca="1">IF(Giocatori!L117=0,"",Giocatori!L117)</f>
        <v>Udinese</v>
      </c>
      <c r="I111" s="229" t="str">
        <f ca="1">IF(Giocatori!J117=0,"",Giocatori!J117)</f>
        <v>C</v>
      </c>
      <c r="J111" s="228" t="str">
        <f ca="1">IF(Giocatori!Q117=0,"",Giocatori!Q117)</f>
        <v/>
      </c>
      <c r="K111" s="229" t="str">
        <f ca="1">IF(Giocatori!R117=0,"",Giocatori!R117)</f>
        <v/>
      </c>
      <c r="L111" s="229" t="str">
        <f ca="1">IF(Giocatori!P117=0,"",Giocatori!P117)</f>
        <v/>
      </c>
      <c r="M111" s="229" t="str">
        <f ca="1">IF(Giocatori!N117=0,"",Giocatori!N117)</f>
        <v/>
      </c>
      <c r="N111" s="229" t="str">
        <f ca="1">IF(Giocatori!O117=0,"",Giocatori!O117)</f>
        <v/>
      </c>
      <c r="O111" s="229" t="str">
        <f ca="1">IF(Giocatori!M117=0,"",Giocatori!M117)</f>
        <v/>
      </c>
      <c r="Z111" s="56">
        <f>'I.A. + Fasce'!AC111</f>
        <v>0</v>
      </c>
      <c r="AA111" s="56">
        <f>'I.A. + Fasce'!AD111</f>
        <v>0</v>
      </c>
      <c r="AB111" s="56" t="str">
        <f ca="1">'I.A. + Fasce'!AE111</f>
        <v/>
      </c>
      <c r="AC111" s="56" t="str">
        <f ca="1">'I.A. + Fasce'!AF111</f>
        <v/>
      </c>
      <c r="AD111" s="56">
        <f>'I.A. + Fasce'!AG111</f>
        <v>0</v>
      </c>
    </row>
    <row r="112" spans="1:30" s="1" customFormat="1" ht="14.25">
      <c r="A112" s="228" t="str">
        <f ca="1">IF(Giocatori!E118=0,"",Giocatori!E118)</f>
        <v/>
      </c>
      <c r="B112" s="229" t="str">
        <f ca="1">IF(Giocatori!F118=0,"",Giocatori!F118)</f>
        <v/>
      </c>
      <c r="C112" s="229" t="str">
        <f ca="1">IF(Giocatori!D118=0,"",Giocatori!D118)</f>
        <v/>
      </c>
      <c r="D112" s="228" t="str">
        <f ca="1">IF(Giocatori!H118=0,"",Giocatori!H118)</f>
        <v>LICHTSTEINER</v>
      </c>
      <c r="E112" s="229" t="str">
        <f ca="1">IF(Giocatori!I118=0,"",Giocatori!I118)</f>
        <v>Juventus</v>
      </c>
      <c r="F112" s="229" t="str">
        <f ca="1">IF(Giocatori!G118=0,"",Giocatori!G118)</f>
        <v>D</v>
      </c>
      <c r="G112" s="228" t="str">
        <f ca="1">IF(Giocatori!K118=0,"",Giocatori!K118)</f>
        <v>MANDRAGORA</v>
      </c>
      <c r="H112" s="229" t="str">
        <f ca="1">IF(Giocatori!L118=0,"",Giocatori!L118)</f>
        <v>Crotone</v>
      </c>
      <c r="I112" s="229" t="str">
        <f ca="1">IF(Giocatori!J118=0,"",Giocatori!J118)</f>
        <v>C</v>
      </c>
      <c r="J112" s="228" t="str">
        <f ca="1">IF(Giocatori!Q118=0,"",Giocatori!Q118)</f>
        <v/>
      </c>
      <c r="K112" s="229" t="str">
        <f ca="1">IF(Giocatori!R118=0,"",Giocatori!R118)</f>
        <v/>
      </c>
      <c r="L112" s="229" t="str">
        <f ca="1">IF(Giocatori!P118=0,"",Giocatori!P118)</f>
        <v/>
      </c>
      <c r="M112" s="229" t="str">
        <f ca="1">IF(Giocatori!N118=0,"",Giocatori!N118)</f>
        <v/>
      </c>
      <c r="N112" s="229" t="str">
        <f ca="1">IF(Giocatori!O118=0,"",Giocatori!O118)</f>
        <v/>
      </c>
      <c r="O112" s="229" t="str">
        <f ca="1">IF(Giocatori!M118=0,"",Giocatori!M118)</f>
        <v/>
      </c>
      <c r="Z112" s="56">
        <f>'I.A. + Fasce'!AC112</f>
        <v>0</v>
      </c>
      <c r="AA112" s="56">
        <f>'I.A. + Fasce'!AD112</f>
        <v>0</v>
      </c>
      <c r="AB112" s="56" t="str">
        <f ca="1">'I.A. + Fasce'!AE112</f>
        <v/>
      </c>
      <c r="AC112" s="56" t="str">
        <f ca="1">'I.A. + Fasce'!AF112</f>
        <v/>
      </c>
      <c r="AD112" s="56">
        <f>'I.A. + Fasce'!AG112</f>
        <v>0</v>
      </c>
    </row>
    <row r="113" spans="1:30" s="1" customFormat="1" ht="14.25">
      <c r="A113" s="228" t="str">
        <f ca="1">IF(Giocatori!E119=0,"",Giocatori!E119)</f>
        <v/>
      </c>
      <c r="B113" s="229" t="str">
        <f ca="1">IF(Giocatori!F119=0,"",Giocatori!F119)</f>
        <v/>
      </c>
      <c r="C113" s="229" t="str">
        <f ca="1">IF(Giocatori!D119=0,"",Giocatori!D119)</f>
        <v/>
      </c>
      <c r="D113" s="228" t="str">
        <f ca="1">IF(Giocatori!H119=0,"",Giocatori!H119)</f>
        <v>LIROLA</v>
      </c>
      <c r="E113" s="229" t="str">
        <f ca="1">IF(Giocatori!I119=0,"",Giocatori!I119)</f>
        <v>Sassuolo</v>
      </c>
      <c r="F113" s="229" t="str">
        <f ca="1">IF(Giocatori!G119=0,"",Giocatori!G119)</f>
        <v>D</v>
      </c>
      <c r="G113" s="228" t="str">
        <f ca="1">IF(Giocatori!K119=0,"",Giocatori!K119)</f>
        <v>MARCHISIO</v>
      </c>
      <c r="H113" s="229" t="str">
        <f ca="1">IF(Giocatori!L119=0,"",Giocatori!L119)</f>
        <v>Juventus</v>
      </c>
      <c r="I113" s="229" t="str">
        <f ca="1">IF(Giocatori!J119=0,"",Giocatori!J119)</f>
        <v>C</v>
      </c>
      <c r="J113" s="228" t="str">
        <f ca="1">IF(Giocatori!Q119=0,"",Giocatori!Q119)</f>
        <v/>
      </c>
      <c r="K113" s="229" t="str">
        <f ca="1">IF(Giocatori!R119=0,"",Giocatori!R119)</f>
        <v/>
      </c>
      <c r="L113" s="229" t="str">
        <f ca="1">IF(Giocatori!P119=0,"",Giocatori!P119)</f>
        <v/>
      </c>
      <c r="M113" s="229" t="str">
        <f ca="1">IF(Giocatori!N119=0,"",Giocatori!N119)</f>
        <v/>
      </c>
      <c r="N113" s="229" t="str">
        <f ca="1">IF(Giocatori!O119=0,"",Giocatori!O119)</f>
        <v/>
      </c>
      <c r="O113" s="229" t="str">
        <f ca="1">IF(Giocatori!M119=0,"",Giocatori!M119)</f>
        <v/>
      </c>
      <c r="Z113" s="56">
        <f>'I.A. + Fasce'!AC113</f>
        <v>0</v>
      </c>
      <c r="AA113" s="56">
        <f>'I.A. + Fasce'!AD113</f>
        <v>0</v>
      </c>
      <c r="AB113" s="56" t="str">
        <f ca="1">'I.A. + Fasce'!AE113</f>
        <v/>
      </c>
      <c r="AC113" s="56" t="str">
        <f ca="1">'I.A. + Fasce'!AF113</f>
        <v/>
      </c>
      <c r="AD113" s="56">
        <f>'I.A. + Fasce'!AG113</f>
        <v>0</v>
      </c>
    </row>
    <row r="114" spans="1:30" s="1" customFormat="1" ht="14.25">
      <c r="A114" s="228" t="str">
        <f ca="1">IF(Giocatori!E120=0,"",Giocatori!E120)</f>
        <v/>
      </c>
      <c r="B114" s="229" t="str">
        <f ca="1">IF(Giocatori!F120=0,"",Giocatori!F120)</f>
        <v/>
      </c>
      <c r="C114" s="229" t="str">
        <f ca="1">IF(Giocatori!D120=0,"",Giocatori!D120)</f>
        <v/>
      </c>
      <c r="D114" s="228" t="str">
        <f ca="1">IF(Giocatori!H120=0,"",Giocatori!H120)</f>
        <v>LUCIONI</v>
      </c>
      <c r="E114" s="229" t="str">
        <f ca="1">IF(Giocatori!I120=0,"",Giocatori!I120)</f>
        <v>Benevento</v>
      </c>
      <c r="F114" s="229" t="str">
        <f ca="1">IF(Giocatori!G120=0,"",Giocatori!G120)</f>
        <v>D</v>
      </c>
      <c r="G114" s="228" t="str">
        <f ca="1">IF(Giocatori!K120=0,"",Giocatori!K120)</f>
        <v>MATUIDI</v>
      </c>
      <c r="H114" s="229" t="str">
        <f ca="1">IF(Giocatori!L120=0,"",Giocatori!L120)</f>
        <v>Juventus</v>
      </c>
      <c r="I114" s="229" t="str">
        <f ca="1">IF(Giocatori!J120=0,"",Giocatori!J120)</f>
        <v>C</v>
      </c>
      <c r="J114" s="228" t="str">
        <f ca="1">IF(Giocatori!Q120=0,"",Giocatori!Q120)</f>
        <v/>
      </c>
      <c r="K114" s="229" t="str">
        <f ca="1">IF(Giocatori!R120=0,"",Giocatori!R120)</f>
        <v/>
      </c>
      <c r="L114" s="229" t="str">
        <f ca="1">IF(Giocatori!P120=0,"",Giocatori!P120)</f>
        <v/>
      </c>
      <c r="M114" s="229" t="str">
        <f ca="1">IF(Giocatori!N120=0,"",Giocatori!N120)</f>
        <v/>
      </c>
      <c r="N114" s="229" t="str">
        <f ca="1">IF(Giocatori!O120=0,"",Giocatori!O120)</f>
        <v/>
      </c>
      <c r="O114" s="229" t="str">
        <f ca="1">IF(Giocatori!M120=0,"",Giocatori!M120)</f>
        <v/>
      </c>
      <c r="Z114" s="56">
        <f>'I.A. + Fasce'!AC114</f>
        <v>0</v>
      </c>
      <c r="AA114" s="56">
        <f>'I.A. + Fasce'!AD114</f>
        <v>0</v>
      </c>
      <c r="AB114" s="56" t="str">
        <f ca="1">'I.A. + Fasce'!AE114</f>
        <v/>
      </c>
      <c r="AC114" s="56" t="str">
        <f ca="1">'I.A. + Fasce'!AF114</f>
        <v/>
      </c>
      <c r="AD114" s="56">
        <f>'I.A. + Fasce'!AG114</f>
        <v>0</v>
      </c>
    </row>
    <row r="115" spans="1:30" s="1" customFormat="1" ht="14.25">
      <c r="A115" s="228" t="str">
        <f ca="1">IF(Giocatori!E121=0,"",Giocatori!E121)</f>
        <v/>
      </c>
      <c r="B115" s="229" t="str">
        <f ca="1">IF(Giocatori!F121=0,"",Giocatori!F121)</f>
        <v/>
      </c>
      <c r="C115" s="229" t="str">
        <f ca="1">IF(Giocatori!D121=0,"",Giocatori!D121)</f>
        <v/>
      </c>
      <c r="D115" s="228" t="str">
        <f ca="1">IF(Giocatori!H121=0,"",Giocatori!H121)</f>
        <v>LUKAKU</v>
      </c>
      <c r="E115" s="229" t="str">
        <f ca="1">IF(Giocatori!I121=0,"",Giocatori!I121)</f>
        <v>Lazio</v>
      </c>
      <c r="F115" s="229" t="str">
        <f ca="1">IF(Giocatori!G121=0,"",Giocatori!G121)</f>
        <v>D</v>
      </c>
      <c r="G115" s="228" t="str">
        <f ca="1">IF(Giocatori!K121=0,"",Giocatori!K121)</f>
        <v>MAURI J</v>
      </c>
      <c r="H115" s="229" t="str">
        <f ca="1">IF(Giocatori!L121=0,"",Giocatori!L121)</f>
        <v>Milan</v>
      </c>
      <c r="I115" s="229" t="str">
        <f ca="1">IF(Giocatori!J121=0,"",Giocatori!J121)</f>
        <v>C</v>
      </c>
      <c r="J115" s="228" t="str">
        <f ca="1">IF(Giocatori!Q121=0,"",Giocatori!Q121)</f>
        <v/>
      </c>
      <c r="K115" s="229" t="str">
        <f ca="1">IF(Giocatori!R121=0,"",Giocatori!R121)</f>
        <v/>
      </c>
      <c r="L115" s="229" t="str">
        <f ca="1">IF(Giocatori!P121=0,"",Giocatori!P121)</f>
        <v/>
      </c>
      <c r="M115" s="229" t="str">
        <f ca="1">IF(Giocatori!N121=0,"",Giocatori!N121)</f>
        <v/>
      </c>
      <c r="N115" s="229" t="str">
        <f ca="1">IF(Giocatori!O121=0,"",Giocatori!O121)</f>
        <v/>
      </c>
      <c r="O115" s="229" t="str">
        <f ca="1">IF(Giocatori!M121=0,"",Giocatori!M121)</f>
        <v/>
      </c>
      <c r="Z115" s="56">
        <f>'I.A. + Fasce'!AC115</f>
        <v>0</v>
      </c>
      <c r="AA115" s="56">
        <f>'I.A. + Fasce'!AD115</f>
        <v>0</v>
      </c>
      <c r="AB115" s="56" t="str">
        <f ca="1">'I.A. + Fasce'!AE115</f>
        <v/>
      </c>
      <c r="AC115" s="56" t="str">
        <f ca="1">'I.A. + Fasce'!AF115</f>
        <v/>
      </c>
      <c r="AD115" s="56">
        <f>'I.A. + Fasce'!AG115</f>
        <v>0</v>
      </c>
    </row>
    <row r="116" spans="1:30" s="1" customFormat="1" ht="14.25">
      <c r="A116" s="228" t="str">
        <f ca="1">IF(Giocatori!E122=0,"",Giocatori!E122)</f>
        <v/>
      </c>
      <c r="B116" s="229" t="str">
        <f ca="1">IF(Giocatori!F122=0,"",Giocatori!F122)</f>
        <v/>
      </c>
      <c r="C116" s="229" t="str">
        <f ca="1">IF(Giocatori!D122=0,"",Giocatori!D122)</f>
        <v/>
      </c>
      <c r="D116" s="228" t="str">
        <f ca="1">IF(Giocatori!H122=0,"",Giocatori!H122)</f>
        <v>LYANCO</v>
      </c>
      <c r="E116" s="229" t="str">
        <f ca="1">IF(Giocatori!I122=0,"",Giocatori!I122)</f>
        <v>Torino</v>
      </c>
      <c r="F116" s="229" t="str">
        <f ca="1">IF(Giocatori!G122=0,"",Giocatori!G122)</f>
        <v>D</v>
      </c>
      <c r="G116" s="228" t="str">
        <f ca="1">IF(Giocatori!K122=0,"",Giocatori!K122)</f>
        <v>MAZZITELLI</v>
      </c>
      <c r="H116" s="229" t="str">
        <f ca="1">IF(Giocatori!L122=0,"",Giocatori!L122)</f>
        <v>Sassuolo</v>
      </c>
      <c r="I116" s="229" t="str">
        <f ca="1">IF(Giocatori!J122=0,"",Giocatori!J122)</f>
        <v>C</v>
      </c>
      <c r="J116" s="228" t="str">
        <f ca="1">IF(Giocatori!Q122=0,"",Giocatori!Q122)</f>
        <v/>
      </c>
      <c r="K116" s="229" t="str">
        <f ca="1">IF(Giocatori!R122=0,"",Giocatori!R122)</f>
        <v/>
      </c>
      <c r="L116" s="229" t="str">
        <f ca="1">IF(Giocatori!P122=0,"",Giocatori!P122)</f>
        <v/>
      </c>
      <c r="M116" s="229" t="str">
        <f ca="1">IF(Giocatori!N122=0,"",Giocatori!N122)</f>
        <v/>
      </c>
      <c r="N116" s="229" t="str">
        <f ca="1">IF(Giocatori!O122=0,"",Giocatori!O122)</f>
        <v/>
      </c>
      <c r="O116" s="229" t="str">
        <f ca="1">IF(Giocatori!M122=0,"",Giocatori!M122)</f>
        <v/>
      </c>
      <c r="Z116" s="56">
        <f>'I.A. + Fasce'!AC116</f>
        <v>0</v>
      </c>
      <c r="AA116" s="56">
        <f>'I.A. + Fasce'!AD116</f>
        <v>0</v>
      </c>
      <c r="AB116" s="56" t="str">
        <f ca="1">'I.A. + Fasce'!AE116</f>
        <v/>
      </c>
      <c r="AC116" s="56" t="str">
        <f ca="1">'I.A. + Fasce'!AF116</f>
        <v/>
      </c>
      <c r="AD116" s="56">
        <f>'I.A. + Fasce'!AG116</f>
        <v>0</v>
      </c>
    </row>
    <row r="117" spans="1:30" s="1" customFormat="1" ht="14.25">
      <c r="A117" s="228" t="str">
        <f ca="1">IF(Giocatori!E123=0,"",Giocatori!E123)</f>
        <v/>
      </c>
      <c r="B117" s="229" t="str">
        <f ca="1">IF(Giocatori!F123=0,"",Giocatori!F123)</f>
        <v/>
      </c>
      <c r="C117" s="229" t="str">
        <f ca="1">IF(Giocatori!D123=0,"",Giocatori!D123)</f>
        <v/>
      </c>
      <c r="D117" s="228" t="str">
        <f ca="1">IF(Giocatori!H123=0,"",Giocatori!H123)</f>
        <v>MAGGIO</v>
      </c>
      <c r="E117" s="229" t="str">
        <f ca="1">IF(Giocatori!I123=0,"",Giocatori!I123)</f>
        <v>Napoli</v>
      </c>
      <c r="F117" s="229" t="str">
        <f ca="1">IF(Giocatori!G123=0,"",Giocatori!G123)</f>
        <v>D</v>
      </c>
      <c r="G117" s="228" t="str">
        <f ca="1">IF(Giocatori!K123=0,"",Giocatori!K123)</f>
        <v>MELARA</v>
      </c>
      <c r="H117" s="229" t="str">
        <f ca="1">IF(Giocatori!L123=0,"",Giocatori!L123)</f>
        <v>Benevento</v>
      </c>
      <c r="I117" s="229" t="str">
        <f ca="1">IF(Giocatori!J123=0,"",Giocatori!J123)</f>
        <v>C</v>
      </c>
      <c r="J117" s="228" t="str">
        <f ca="1">IF(Giocatori!Q123=0,"",Giocatori!Q123)</f>
        <v/>
      </c>
      <c r="K117" s="229" t="str">
        <f ca="1">IF(Giocatori!R123=0,"",Giocatori!R123)</f>
        <v/>
      </c>
      <c r="L117" s="229" t="str">
        <f ca="1">IF(Giocatori!P123=0,"",Giocatori!P123)</f>
        <v/>
      </c>
      <c r="M117" s="229" t="str">
        <f ca="1">IF(Giocatori!N123=0,"",Giocatori!N123)</f>
        <v/>
      </c>
      <c r="N117" s="229" t="str">
        <f ca="1">IF(Giocatori!O123=0,"",Giocatori!O123)</f>
        <v/>
      </c>
      <c r="O117" s="229" t="str">
        <f ca="1">IF(Giocatori!M123=0,"",Giocatori!M123)</f>
        <v/>
      </c>
      <c r="Z117" s="56">
        <f>'I.A. + Fasce'!AC117</f>
        <v>0</v>
      </c>
      <c r="AA117" s="56">
        <f>'I.A. + Fasce'!AD117</f>
        <v>0</v>
      </c>
      <c r="AB117" s="56" t="str">
        <f ca="1">'I.A. + Fasce'!AE117</f>
        <v/>
      </c>
      <c r="AC117" s="56" t="str">
        <f ca="1">'I.A. + Fasce'!AF117</f>
        <v/>
      </c>
      <c r="AD117" s="56">
        <f>'I.A. + Fasce'!AG117</f>
        <v>0</v>
      </c>
    </row>
    <row r="118" spans="1:30" s="1" customFormat="1" ht="14.25">
      <c r="A118" s="228" t="str">
        <f ca="1">IF(Giocatori!E124=0,"",Giocatori!E124)</f>
        <v/>
      </c>
      <c r="B118" s="229" t="str">
        <f ca="1">IF(Giocatori!F124=0,"",Giocatori!F124)</f>
        <v/>
      </c>
      <c r="C118" s="229" t="str">
        <f ca="1">IF(Giocatori!D124=0,"",Giocatori!D124)</f>
        <v/>
      </c>
      <c r="D118" s="228" t="str">
        <f ca="1">IF(Giocatori!H124=0,"",Giocatori!H124)</f>
        <v>MAIETTA</v>
      </c>
      <c r="E118" s="229" t="str">
        <f ca="1">IF(Giocatori!I124=0,"",Giocatori!I124)</f>
        <v>Bologna</v>
      </c>
      <c r="F118" s="229" t="str">
        <f ca="1">IF(Giocatori!G124=0,"",Giocatori!G124)</f>
        <v>D</v>
      </c>
      <c r="G118" s="228" t="str">
        <f ca="1">IF(Giocatori!K124=0,"",Giocatori!K124)</f>
        <v>MELEGONI</v>
      </c>
      <c r="H118" s="229" t="str">
        <f ca="1">IF(Giocatori!L124=0,"",Giocatori!L124)</f>
        <v>Atalanta</v>
      </c>
      <c r="I118" s="229" t="str">
        <f ca="1">IF(Giocatori!J124=0,"",Giocatori!J124)</f>
        <v>C</v>
      </c>
      <c r="J118" s="228" t="str">
        <f ca="1">IF(Giocatori!Q124=0,"",Giocatori!Q124)</f>
        <v/>
      </c>
      <c r="K118" s="229" t="str">
        <f ca="1">IF(Giocatori!R124=0,"",Giocatori!R124)</f>
        <v/>
      </c>
      <c r="L118" s="229" t="str">
        <f ca="1">IF(Giocatori!P124=0,"",Giocatori!P124)</f>
        <v/>
      </c>
      <c r="M118" s="229" t="str">
        <f ca="1">IF(Giocatori!N124=0,"",Giocatori!N124)</f>
        <v/>
      </c>
      <c r="N118" s="229" t="str">
        <f ca="1">IF(Giocatori!O124=0,"",Giocatori!O124)</f>
        <v/>
      </c>
      <c r="O118" s="229" t="str">
        <f ca="1">IF(Giocatori!M124=0,"",Giocatori!M124)</f>
        <v/>
      </c>
      <c r="Z118" s="56">
        <f>'I.A. + Fasce'!AC118</f>
        <v>0</v>
      </c>
      <c r="AA118" s="56">
        <f>'I.A. + Fasce'!AD118</f>
        <v>0</v>
      </c>
      <c r="AB118" s="56" t="str">
        <f ca="1">'I.A. + Fasce'!AE118</f>
        <v/>
      </c>
      <c r="AC118" s="56" t="str">
        <f ca="1">'I.A. + Fasce'!AF118</f>
        <v/>
      </c>
      <c r="AD118" s="56">
        <f>'I.A. + Fasce'!AG118</f>
        <v>0</v>
      </c>
    </row>
    <row r="119" spans="1:30" s="1" customFormat="1" ht="14.25">
      <c r="A119" s="228" t="str">
        <f ca="1">IF(Giocatori!E125=0,"",Giocatori!E125)</f>
        <v/>
      </c>
      <c r="B119" s="229" t="str">
        <f ca="1">IF(Giocatori!F125=0,"",Giocatori!F125)</f>
        <v/>
      </c>
      <c r="C119" s="229" t="str">
        <f ca="1">IF(Giocatori!D125=0,"",Giocatori!D125)</f>
        <v/>
      </c>
      <c r="D119" s="228" t="str">
        <f ca="1">IF(Giocatori!H125=0,"",Giocatori!H125)</f>
        <v>MAKSIMOVIC</v>
      </c>
      <c r="E119" s="229" t="str">
        <f ca="1">IF(Giocatori!I125=0,"",Giocatori!I125)</f>
        <v>Napoli</v>
      </c>
      <c r="F119" s="229" t="str">
        <f ca="1">IF(Giocatori!G125=0,"",Giocatori!G125)</f>
        <v>D</v>
      </c>
      <c r="G119" s="228" t="str">
        <f ca="1">IF(Giocatori!K125=0,"",Giocatori!K125)</f>
        <v>MEMUSHAJ</v>
      </c>
      <c r="H119" s="229" t="str">
        <f ca="1">IF(Giocatori!L125=0,"",Giocatori!L125)</f>
        <v>Benevento</v>
      </c>
      <c r="I119" s="229" t="str">
        <f ca="1">IF(Giocatori!J125=0,"",Giocatori!J125)</f>
        <v>C</v>
      </c>
      <c r="J119" s="228" t="str">
        <f ca="1">IF(Giocatori!Q125=0,"",Giocatori!Q125)</f>
        <v/>
      </c>
      <c r="K119" s="229" t="str">
        <f ca="1">IF(Giocatori!R125=0,"",Giocatori!R125)</f>
        <v/>
      </c>
      <c r="L119" s="229" t="str">
        <f ca="1">IF(Giocatori!P125=0,"",Giocatori!P125)</f>
        <v/>
      </c>
      <c r="M119" s="229" t="str">
        <f ca="1">IF(Giocatori!N125=0,"",Giocatori!N125)</f>
        <v/>
      </c>
      <c r="N119" s="229" t="str">
        <f ca="1">IF(Giocatori!O125=0,"",Giocatori!O125)</f>
        <v/>
      </c>
      <c r="O119" s="229" t="str">
        <f ca="1">IF(Giocatori!M125=0,"",Giocatori!M125)</f>
        <v/>
      </c>
      <c r="Z119" s="56">
        <f>'I.A. + Fasce'!AC119</f>
        <v>0</v>
      </c>
      <c r="AA119" s="56">
        <f>'I.A. + Fasce'!AD119</f>
        <v>0</v>
      </c>
      <c r="AB119" s="56" t="str">
        <f ca="1">'I.A. + Fasce'!AE119</f>
        <v/>
      </c>
      <c r="AC119" s="56" t="str">
        <f ca="1">'I.A. + Fasce'!AF119</f>
        <v/>
      </c>
      <c r="AD119" s="56">
        <f>'I.A. + Fasce'!AG119</f>
        <v>0</v>
      </c>
    </row>
    <row r="120" spans="1:30" s="1" customFormat="1" ht="14.25">
      <c r="A120" s="228" t="str">
        <f ca="1">IF(Giocatori!E126=0,"",Giocatori!E126)</f>
        <v/>
      </c>
      <c r="B120" s="229" t="str">
        <f ca="1">IF(Giocatori!F126=0,"",Giocatori!F126)</f>
        <v/>
      </c>
      <c r="C120" s="229" t="str">
        <f ca="1">IF(Giocatori!D126=0,"",Giocatori!D126)</f>
        <v/>
      </c>
      <c r="D120" s="228" t="str">
        <f ca="1">IF(Giocatori!H126=0,"",Giocatori!H126)</f>
        <v>MANCINI G</v>
      </c>
      <c r="E120" s="229" t="str">
        <f ca="1">IF(Giocatori!I126=0,"",Giocatori!I126)</f>
        <v>Atalanta</v>
      </c>
      <c r="F120" s="229" t="str">
        <f ca="1">IF(Giocatori!G126=0,"",Giocatori!G126)</f>
        <v>D</v>
      </c>
      <c r="G120" s="228" t="str">
        <f ca="1">IF(Giocatori!K126=0,"",Giocatori!K126)</f>
        <v>MIGUEL VELOSO</v>
      </c>
      <c r="H120" s="229" t="str">
        <f ca="1">IF(Giocatori!L126=0,"",Giocatori!L126)</f>
        <v>Genoa</v>
      </c>
      <c r="I120" s="229" t="str">
        <f ca="1">IF(Giocatori!J126=0,"",Giocatori!J126)</f>
        <v>C</v>
      </c>
      <c r="J120" s="228" t="str">
        <f ca="1">IF(Giocatori!Q126=0,"",Giocatori!Q126)</f>
        <v/>
      </c>
      <c r="K120" s="229" t="str">
        <f ca="1">IF(Giocatori!R126=0,"",Giocatori!R126)</f>
        <v/>
      </c>
      <c r="L120" s="229" t="str">
        <f ca="1">IF(Giocatori!P126=0,"",Giocatori!P126)</f>
        <v/>
      </c>
      <c r="M120" s="229" t="str">
        <f ca="1">IF(Giocatori!N126=0,"",Giocatori!N126)</f>
        <v/>
      </c>
      <c r="N120" s="229" t="str">
        <f ca="1">IF(Giocatori!O126=0,"",Giocatori!O126)</f>
        <v/>
      </c>
      <c r="O120" s="229" t="str">
        <f ca="1">IF(Giocatori!M126=0,"",Giocatori!M126)</f>
        <v/>
      </c>
      <c r="Z120" s="56">
        <f>'I.A. + Fasce'!AC120</f>
        <v>0</v>
      </c>
      <c r="AA120" s="56">
        <f>'I.A. + Fasce'!AD120</f>
        <v>0</v>
      </c>
      <c r="AB120" s="56" t="str">
        <f ca="1">'I.A. + Fasce'!AE120</f>
        <v/>
      </c>
      <c r="AC120" s="56" t="str">
        <f ca="1">'I.A. + Fasce'!AF120</f>
        <v/>
      </c>
      <c r="AD120" s="56">
        <f>'I.A. + Fasce'!AG120</f>
        <v>0</v>
      </c>
    </row>
    <row r="121" spans="1:30" s="1" customFormat="1" ht="14.25">
      <c r="A121" s="228" t="str">
        <f ca="1">IF(Giocatori!E127=0,"",Giocatori!E127)</f>
        <v/>
      </c>
      <c r="B121" s="229" t="str">
        <f ca="1">IF(Giocatori!F127=0,"",Giocatori!F127)</f>
        <v/>
      </c>
      <c r="C121" s="229" t="str">
        <f ca="1">IF(Giocatori!D127=0,"",Giocatori!D127)</f>
        <v/>
      </c>
      <c r="D121" s="228" t="str">
        <f ca="1">IF(Giocatori!H127=0,"",Giocatori!H127)</f>
        <v>MANOLAS</v>
      </c>
      <c r="E121" s="229" t="str">
        <f ca="1">IF(Giocatori!I127=0,"",Giocatori!I127)</f>
        <v>Roma</v>
      </c>
      <c r="F121" s="229" t="str">
        <f ca="1">IF(Giocatori!G127=0,"",Giocatori!G127)</f>
        <v>D</v>
      </c>
      <c r="G121" s="228" t="str">
        <f ca="1">IF(Giocatori!K127=0,"",Giocatori!K127)</f>
        <v>MILINKOVIC-SAVIC</v>
      </c>
      <c r="H121" s="229" t="str">
        <f ca="1">IF(Giocatori!L127=0,"",Giocatori!L127)</f>
        <v>Lazio</v>
      </c>
      <c r="I121" s="229" t="str">
        <f ca="1">IF(Giocatori!J127=0,"",Giocatori!J127)</f>
        <v>C</v>
      </c>
      <c r="J121" s="228" t="str">
        <f ca="1">IF(Giocatori!Q127=0,"",Giocatori!Q127)</f>
        <v/>
      </c>
      <c r="K121" s="229" t="str">
        <f ca="1">IF(Giocatori!R127=0,"",Giocatori!R127)</f>
        <v/>
      </c>
      <c r="L121" s="229" t="str">
        <f ca="1">IF(Giocatori!P127=0,"",Giocatori!P127)</f>
        <v/>
      </c>
      <c r="M121" s="229" t="str">
        <f ca="1">IF(Giocatori!N127=0,"",Giocatori!N127)</f>
        <v/>
      </c>
      <c r="N121" s="229" t="str">
        <f ca="1">IF(Giocatori!O127=0,"",Giocatori!O127)</f>
        <v/>
      </c>
      <c r="O121" s="229" t="str">
        <f ca="1">IF(Giocatori!M127=0,"",Giocatori!M127)</f>
        <v/>
      </c>
      <c r="Z121" s="56">
        <f>'I.A. + Fasce'!AC121</f>
        <v>0</v>
      </c>
      <c r="AA121" s="56">
        <f>'I.A. + Fasce'!AD121</f>
        <v>0</v>
      </c>
      <c r="AB121" s="56" t="str">
        <f ca="1">'I.A. + Fasce'!AE121</f>
        <v/>
      </c>
      <c r="AC121" s="56" t="str">
        <f ca="1">'I.A. + Fasce'!AF121</f>
        <v/>
      </c>
      <c r="AD121" s="56">
        <f>'I.A. + Fasce'!AG121</f>
        <v>0</v>
      </c>
    </row>
    <row r="122" spans="1:30" s="1" customFormat="1" ht="14.25">
      <c r="A122" s="228" t="str">
        <f ca="1">IF(Giocatori!E128=0,"",Giocatori!E128)</f>
        <v/>
      </c>
      <c r="B122" s="229" t="str">
        <f ca="1">IF(Giocatori!F128=0,"",Giocatori!F128)</f>
        <v/>
      </c>
      <c r="C122" s="229" t="str">
        <f ca="1">IF(Giocatori!D128=0,"",Giocatori!D128)</f>
        <v/>
      </c>
      <c r="D122" s="228" t="str">
        <f ca="1">IF(Giocatori!H128=0,"",Giocatori!H128)</f>
        <v>MARIO RUI</v>
      </c>
      <c r="E122" s="229" t="str">
        <f ca="1">IF(Giocatori!I128=0,"",Giocatori!I128)</f>
        <v>Napoli</v>
      </c>
      <c r="F122" s="229" t="str">
        <f ca="1">IF(Giocatori!G128=0,"",Giocatori!G128)</f>
        <v>D</v>
      </c>
      <c r="G122" s="228" t="str">
        <f ca="1">IF(Giocatori!K128=0,"",Giocatori!K128)</f>
        <v>MISSIROLI</v>
      </c>
      <c r="H122" s="229" t="str">
        <f ca="1">IF(Giocatori!L128=0,"",Giocatori!L128)</f>
        <v>Sassuolo</v>
      </c>
      <c r="I122" s="229" t="str">
        <f ca="1">IF(Giocatori!J128=0,"",Giocatori!J128)</f>
        <v>C</v>
      </c>
      <c r="J122" s="228" t="str">
        <f ca="1">IF(Giocatori!Q128=0,"",Giocatori!Q128)</f>
        <v/>
      </c>
      <c r="K122" s="229" t="str">
        <f ca="1">IF(Giocatori!R128=0,"",Giocatori!R128)</f>
        <v/>
      </c>
      <c r="L122" s="229" t="str">
        <f ca="1">IF(Giocatori!P128=0,"",Giocatori!P128)</f>
        <v/>
      </c>
      <c r="M122" s="229" t="str">
        <f ca="1">IF(Giocatori!N128=0,"",Giocatori!N128)</f>
        <v/>
      </c>
      <c r="N122" s="229" t="str">
        <f ca="1">IF(Giocatori!O128=0,"",Giocatori!O128)</f>
        <v/>
      </c>
      <c r="O122" s="229" t="str">
        <f ca="1">IF(Giocatori!M128=0,"",Giocatori!M128)</f>
        <v/>
      </c>
      <c r="Z122" s="56">
        <f>'I.A. + Fasce'!AC122</f>
        <v>0</v>
      </c>
      <c r="AA122" s="56">
        <f>'I.A. + Fasce'!AD122</f>
        <v>0</v>
      </c>
      <c r="AB122" s="56" t="str">
        <f ca="1">'I.A. + Fasce'!AE122</f>
        <v/>
      </c>
      <c r="AC122" s="56" t="str">
        <f ca="1">'I.A. + Fasce'!AF122</f>
        <v/>
      </c>
      <c r="AD122" s="56">
        <f>'I.A. + Fasce'!AG122</f>
        <v>0</v>
      </c>
    </row>
    <row r="123" spans="1:30" s="1" customFormat="1" ht="14.25">
      <c r="A123" s="228" t="str">
        <f ca="1">IF(Giocatori!E129=0,"",Giocatori!E129)</f>
        <v/>
      </c>
      <c r="B123" s="229" t="str">
        <f ca="1">IF(Giocatori!F129=0,"",Giocatori!F129)</f>
        <v/>
      </c>
      <c r="C123" s="229" t="str">
        <f ca="1">IF(Giocatori!D129=0,"",Giocatori!D129)</f>
        <v/>
      </c>
      <c r="D123" s="228" t="str">
        <f ca="1">IF(Giocatori!H129=0,"",Giocatori!H129)</f>
        <v>MARTELLA</v>
      </c>
      <c r="E123" s="229" t="str">
        <f ca="1">IF(Giocatori!I129=0,"",Giocatori!I129)</f>
        <v>Crotone</v>
      </c>
      <c r="F123" s="229" t="str">
        <f ca="1">IF(Giocatori!G129=0,"",Giocatori!G129)</f>
        <v>D</v>
      </c>
      <c r="G123" s="228" t="str">
        <f ca="1">IF(Giocatori!K129=0,"",Giocatori!K129)</f>
        <v>MONTOLIVO</v>
      </c>
      <c r="H123" s="229" t="str">
        <f ca="1">IF(Giocatori!L129=0,"",Giocatori!L129)</f>
        <v>Milan</v>
      </c>
      <c r="I123" s="229" t="str">
        <f ca="1">IF(Giocatori!J129=0,"",Giocatori!J129)</f>
        <v>C</v>
      </c>
      <c r="J123" s="228" t="str">
        <f ca="1">IF(Giocatori!Q129=0,"",Giocatori!Q129)</f>
        <v/>
      </c>
      <c r="K123" s="229" t="str">
        <f ca="1">IF(Giocatori!R129=0,"",Giocatori!R129)</f>
        <v/>
      </c>
      <c r="L123" s="229" t="str">
        <f ca="1">IF(Giocatori!P129=0,"",Giocatori!P129)</f>
        <v/>
      </c>
      <c r="M123" s="229" t="str">
        <f ca="1">IF(Giocatori!N129=0,"",Giocatori!N129)</f>
        <v/>
      </c>
      <c r="N123" s="229" t="str">
        <f ca="1">IF(Giocatori!O129=0,"",Giocatori!O129)</f>
        <v/>
      </c>
      <c r="O123" s="229" t="str">
        <f ca="1">IF(Giocatori!M129=0,"",Giocatori!M129)</f>
        <v/>
      </c>
      <c r="Z123" s="56">
        <f>'I.A. + Fasce'!AC123</f>
        <v>0</v>
      </c>
      <c r="AA123" s="56">
        <f>'I.A. + Fasce'!AD123</f>
        <v>0</v>
      </c>
      <c r="AB123" s="56" t="str">
        <f ca="1">'I.A. + Fasce'!AE123</f>
        <v/>
      </c>
      <c r="AC123" s="56" t="str">
        <f ca="1">'I.A. + Fasce'!AF123</f>
        <v/>
      </c>
      <c r="AD123" s="56">
        <f>'I.A. + Fasce'!AG123</f>
        <v>0</v>
      </c>
    </row>
    <row r="124" spans="1:30" s="1" customFormat="1" ht="14.25">
      <c r="A124" s="228" t="str">
        <f ca="1">IF(Giocatori!E130=0,"",Giocatori!E130)</f>
        <v/>
      </c>
      <c r="B124" s="229" t="str">
        <f ca="1">IF(Giocatori!F130=0,"",Giocatori!F130)</f>
        <v/>
      </c>
      <c r="C124" s="229" t="str">
        <f ca="1">IF(Giocatori!D130=0,"",Giocatori!D130)</f>
        <v/>
      </c>
      <c r="D124" s="228" t="str">
        <f ca="1">IF(Giocatori!H130=0,"",Giocatori!H130)</f>
        <v>MARUSIC</v>
      </c>
      <c r="E124" s="229" t="str">
        <f ca="1">IF(Giocatori!I130=0,"",Giocatori!I130)</f>
        <v>Lazio</v>
      </c>
      <c r="F124" s="229" t="str">
        <f ca="1">IF(Giocatori!G130=0,"",Giocatori!G130)</f>
        <v>D</v>
      </c>
      <c r="G124" s="228" t="str">
        <f ca="1">IF(Giocatori!K130=0,"",Giocatori!K130)</f>
        <v>MORA</v>
      </c>
      <c r="H124" s="229" t="str">
        <f ca="1">IF(Giocatori!L130=0,"",Giocatori!L130)</f>
        <v>SPAL</v>
      </c>
      <c r="I124" s="229" t="str">
        <f ca="1">IF(Giocatori!J130=0,"",Giocatori!J130)</f>
        <v>C</v>
      </c>
      <c r="J124" s="228" t="str">
        <f ca="1">IF(Giocatori!Q130=0,"",Giocatori!Q130)</f>
        <v/>
      </c>
      <c r="K124" s="229" t="str">
        <f ca="1">IF(Giocatori!R130=0,"",Giocatori!R130)</f>
        <v/>
      </c>
      <c r="L124" s="229" t="str">
        <f ca="1">IF(Giocatori!P130=0,"",Giocatori!P130)</f>
        <v/>
      </c>
      <c r="M124" s="229" t="str">
        <f ca="1">IF(Giocatori!N130=0,"",Giocatori!N130)</f>
        <v/>
      </c>
      <c r="N124" s="229" t="str">
        <f ca="1">IF(Giocatori!O130=0,"",Giocatori!O130)</f>
        <v/>
      </c>
      <c r="O124" s="229" t="str">
        <f ca="1">IF(Giocatori!M130=0,"",Giocatori!M130)</f>
        <v/>
      </c>
      <c r="Z124" s="56">
        <f>'I.A. + Fasce'!AC124</f>
        <v>0</v>
      </c>
      <c r="AA124" s="56">
        <f>'I.A. + Fasce'!AD124</f>
        <v>0</v>
      </c>
      <c r="AB124" s="56" t="str">
        <f ca="1">'I.A. + Fasce'!AE124</f>
        <v/>
      </c>
      <c r="AC124" s="56" t="str">
        <f ca="1">'I.A. + Fasce'!AF124</f>
        <v/>
      </c>
      <c r="AD124" s="56">
        <f>'I.A. + Fasce'!AG124</f>
        <v>0</v>
      </c>
    </row>
    <row r="125" spans="1:30" s="1" customFormat="1" ht="14.25">
      <c r="A125" s="228" t="str">
        <f ca="1">IF(Giocatori!E131=0,"",Giocatori!E131)</f>
        <v/>
      </c>
      <c r="B125" s="229" t="str">
        <f ca="1">IF(Giocatori!F131=0,"",Giocatori!F131)</f>
        <v/>
      </c>
      <c r="C125" s="229" t="str">
        <f ca="1">IF(Giocatori!D131=0,"",Giocatori!D131)</f>
        <v/>
      </c>
      <c r="D125" s="228" t="str">
        <f ca="1">IF(Giocatori!H131=0,"",Giocatori!H131)</f>
        <v>MASIELLO A</v>
      </c>
      <c r="E125" s="229" t="str">
        <f ca="1">IF(Giocatori!I131=0,"",Giocatori!I131)</f>
        <v>Atalanta</v>
      </c>
      <c r="F125" s="229" t="str">
        <f ca="1">IF(Giocatori!G131=0,"",Giocatori!G131)</f>
        <v>D</v>
      </c>
      <c r="G125" s="228" t="str">
        <f ca="1">IF(Giocatori!K131=0,"",Giocatori!K131)</f>
        <v>MURGIA</v>
      </c>
      <c r="H125" s="229" t="str">
        <f ca="1">IF(Giocatori!L131=0,"",Giocatori!L131)</f>
        <v>Lazio</v>
      </c>
      <c r="I125" s="229" t="str">
        <f ca="1">IF(Giocatori!J131=0,"",Giocatori!J131)</f>
        <v>C</v>
      </c>
      <c r="J125" s="228" t="str">
        <f ca="1">IF(Giocatori!Q131=0,"",Giocatori!Q131)</f>
        <v/>
      </c>
      <c r="K125" s="229" t="str">
        <f ca="1">IF(Giocatori!R131=0,"",Giocatori!R131)</f>
        <v/>
      </c>
      <c r="L125" s="229" t="str">
        <f ca="1">IF(Giocatori!P131=0,"",Giocatori!P131)</f>
        <v/>
      </c>
      <c r="M125" s="229" t="str">
        <f ca="1">IF(Giocatori!N131=0,"",Giocatori!N131)</f>
        <v/>
      </c>
      <c r="N125" s="229" t="str">
        <f ca="1">IF(Giocatori!O131=0,"",Giocatori!O131)</f>
        <v/>
      </c>
      <c r="O125" s="229" t="str">
        <f ca="1">IF(Giocatori!M131=0,"",Giocatori!M131)</f>
        <v/>
      </c>
    </row>
    <row r="126" spans="1:30" s="1" customFormat="1" ht="14.25">
      <c r="A126" s="228" t="str">
        <f ca="1">IF(Giocatori!E132=0,"",Giocatori!E132)</f>
        <v/>
      </c>
      <c r="B126" s="229" t="str">
        <f ca="1">IF(Giocatori!F132=0,"",Giocatori!F132)</f>
        <v/>
      </c>
      <c r="C126" s="229" t="str">
        <f ca="1">IF(Giocatori!D132=0,"",Giocatori!D132)</f>
        <v/>
      </c>
      <c r="D126" s="228" t="str">
        <f ca="1">IF(Giocatori!H132=0,"",Giocatori!H132)</f>
        <v>MASINA</v>
      </c>
      <c r="E126" s="229" t="str">
        <f ca="1">IF(Giocatori!I132=0,"",Giocatori!I132)</f>
        <v>Bologna</v>
      </c>
      <c r="F126" s="229" t="str">
        <f ca="1">IF(Giocatori!G132=0,"",Giocatori!G132)</f>
        <v>D</v>
      </c>
      <c r="G126" s="228" t="str">
        <f ca="1">IF(Giocatori!K132=0,"",Giocatori!K132)</f>
        <v>NAGY</v>
      </c>
      <c r="H126" s="229" t="str">
        <f ca="1">IF(Giocatori!L132=0,"",Giocatori!L132)</f>
        <v>Bologna</v>
      </c>
      <c r="I126" s="229" t="str">
        <f ca="1">IF(Giocatori!J132=0,"",Giocatori!J132)</f>
        <v>C</v>
      </c>
      <c r="J126" s="228" t="str">
        <f ca="1">IF(Giocatori!Q132=0,"",Giocatori!Q132)</f>
        <v/>
      </c>
      <c r="K126" s="229" t="str">
        <f ca="1">IF(Giocatori!R132=0,"",Giocatori!R132)</f>
        <v/>
      </c>
      <c r="L126" s="229" t="str">
        <f ca="1">IF(Giocatori!P132=0,"",Giocatori!P132)</f>
        <v/>
      </c>
      <c r="M126" s="229" t="str">
        <f ca="1">IF(Giocatori!N132=0,"",Giocatori!N132)</f>
        <v/>
      </c>
      <c r="N126" s="229" t="str">
        <f ca="1">IF(Giocatori!O132=0,"",Giocatori!O132)</f>
        <v/>
      </c>
      <c r="O126" s="229" t="str">
        <f ca="1">IF(Giocatori!M132=0,"",Giocatori!M132)</f>
        <v/>
      </c>
    </row>
    <row r="127" spans="1:30" s="1" customFormat="1" ht="14.25">
      <c r="A127" s="228" t="str">
        <f ca="1">IF(Giocatori!E133=0,"",Giocatori!E133)</f>
        <v/>
      </c>
      <c r="B127" s="229" t="str">
        <f ca="1">IF(Giocatori!F133=0,"",Giocatori!F133)</f>
        <v/>
      </c>
      <c r="C127" s="229" t="str">
        <f ca="1">IF(Giocatori!D133=0,"",Giocatori!D133)</f>
        <v/>
      </c>
      <c r="D127" s="228" t="str">
        <f ca="1">IF(Giocatori!H133=0,"",Giocatori!H133)</f>
        <v>MATTIELLO</v>
      </c>
      <c r="E127" s="229" t="str">
        <f ca="1">IF(Giocatori!I133=0,"",Giocatori!I133)</f>
        <v>SPAL</v>
      </c>
      <c r="F127" s="229" t="str">
        <f ca="1">IF(Giocatori!G133=0,"",Giocatori!G133)</f>
        <v>D</v>
      </c>
      <c r="G127" s="228" t="str">
        <f ca="1">IF(Giocatori!K133=0,"",Giocatori!K133)</f>
        <v>NAINGGOLAN</v>
      </c>
      <c r="H127" s="229" t="str">
        <f ca="1">IF(Giocatori!L133=0,"",Giocatori!L133)</f>
        <v>Roma</v>
      </c>
      <c r="I127" s="229" t="str">
        <f ca="1">IF(Giocatori!J133=0,"",Giocatori!J133)</f>
        <v>C</v>
      </c>
      <c r="J127" s="228" t="str">
        <f ca="1">IF(Giocatori!Q133=0,"",Giocatori!Q133)</f>
        <v/>
      </c>
      <c r="K127" s="229" t="str">
        <f ca="1">IF(Giocatori!R133=0,"",Giocatori!R133)</f>
        <v/>
      </c>
      <c r="L127" s="229" t="str">
        <f ca="1">IF(Giocatori!P133=0,"",Giocatori!P133)</f>
        <v/>
      </c>
      <c r="M127" s="229" t="str">
        <f ca="1">IF(Giocatori!N133=0,"",Giocatori!N133)</f>
        <v/>
      </c>
      <c r="N127" s="229" t="str">
        <f ca="1">IF(Giocatori!O133=0,"",Giocatori!O133)</f>
        <v/>
      </c>
      <c r="O127" s="229" t="str">
        <f ca="1">IF(Giocatori!M133=0,"",Giocatori!M133)</f>
        <v/>
      </c>
    </row>
    <row r="128" spans="1:30" s="1" customFormat="1" ht="14.25">
      <c r="A128" s="228" t="str">
        <f ca="1">IF(Giocatori!E134=0,"",Giocatori!E134)</f>
        <v/>
      </c>
      <c r="B128" s="229" t="str">
        <f ca="1">IF(Giocatori!F134=0,"",Giocatori!F134)</f>
        <v/>
      </c>
      <c r="C128" s="229" t="str">
        <f ca="1">IF(Giocatori!D134=0,"",Giocatori!D134)</f>
        <v/>
      </c>
      <c r="D128" s="228" t="str">
        <f ca="1">IF(Giocatori!H134=0,"",Giocatori!H134)</f>
        <v>MBAYE</v>
      </c>
      <c r="E128" s="229" t="str">
        <f ca="1">IF(Giocatori!I134=0,"",Giocatori!I134)</f>
        <v>Bologna</v>
      </c>
      <c r="F128" s="229" t="str">
        <f ca="1">IF(Giocatori!G134=0,"",Giocatori!G134)</f>
        <v>D</v>
      </c>
      <c r="G128" s="228" t="str">
        <f ca="1">IF(Giocatori!K134=0,"",Giocatori!K134)</f>
        <v>NALINI</v>
      </c>
      <c r="H128" s="229" t="str">
        <f ca="1">IF(Giocatori!L134=0,"",Giocatori!L134)</f>
        <v>Crotone</v>
      </c>
      <c r="I128" s="229" t="str">
        <f ca="1">IF(Giocatori!J134=0,"",Giocatori!J134)</f>
        <v>C</v>
      </c>
      <c r="J128" s="228" t="str">
        <f ca="1">IF(Giocatori!Q134=0,"",Giocatori!Q134)</f>
        <v/>
      </c>
      <c r="K128" s="229" t="str">
        <f ca="1">IF(Giocatori!R134=0,"",Giocatori!R134)</f>
        <v/>
      </c>
      <c r="L128" s="229" t="str">
        <f ca="1">IF(Giocatori!P134=0,"",Giocatori!P134)</f>
        <v/>
      </c>
      <c r="M128" s="229" t="str">
        <f ca="1">IF(Giocatori!N134=0,"",Giocatori!N134)</f>
        <v/>
      </c>
      <c r="N128" s="229" t="str">
        <f ca="1">IF(Giocatori!O134=0,"",Giocatori!O134)</f>
        <v/>
      </c>
      <c r="O128" s="229" t="str">
        <f ca="1">IF(Giocatori!M134=0,"",Giocatori!M134)</f>
        <v/>
      </c>
    </row>
    <row r="129" spans="1:15" s="1" customFormat="1" ht="14.25">
      <c r="A129" s="228" t="str">
        <f ca="1">IF(Giocatori!E135=0,"",Giocatori!E135)</f>
        <v/>
      </c>
      <c r="B129" s="229" t="str">
        <f ca="1">IF(Giocatori!F135=0,"",Giocatori!F135)</f>
        <v/>
      </c>
      <c r="C129" s="229" t="str">
        <f ca="1">IF(Giocatori!D135=0,"",Giocatori!D135)</f>
        <v/>
      </c>
      <c r="D129" s="228" t="str">
        <f ca="1">IF(Giocatori!H135=0,"",Giocatori!H135)</f>
        <v>MIANGUE</v>
      </c>
      <c r="E129" s="229" t="str">
        <f ca="1">IF(Giocatori!I135=0,"",Giocatori!I135)</f>
        <v>Cagliari</v>
      </c>
      <c r="F129" s="229" t="str">
        <f ca="1">IF(Giocatori!G135=0,"",Giocatori!G135)</f>
        <v>D</v>
      </c>
      <c r="G129" s="228" t="str">
        <f ca="1">IF(Giocatori!K135=0,"",Giocatori!K135)</f>
        <v>OBI</v>
      </c>
      <c r="H129" s="229" t="str">
        <f ca="1">IF(Giocatori!L135=0,"",Giocatori!L135)</f>
        <v>Torino</v>
      </c>
      <c r="I129" s="229" t="str">
        <f ca="1">IF(Giocatori!J135=0,"",Giocatori!J135)</f>
        <v>C</v>
      </c>
      <c r="J129" s="228" t="str">
        <f ca="1">IF(Giocatori!Q135=0,"",Giocatori!Q135)</f>
        <v/>
      </c>
      <c r="K129" s="229" t="str">
        <f ca="1">IF(Giocatori!R135=0,"",Giocatori!R135)</f>
        <v/>
      </c>
      <c r="L129" s="229" t="str">
        <f ca="1">IF(Giocatori!P135=0,"",Giocatori!P135)</f>
        <v/>
      </c>
      <c r="M129" s="229" t="str">
        <f ca="1">IF(Giocatori!N135=0,"",Giocatori!N135)</f>
        <v/>
      </c>
      <c r="N129" s="229" t="str">
        <f ca="1">IF(Giocatori!O135=0,"",Giocatori!O135)</f>
        <v/>
      </c>
      <c r="O129" s="229" t="str">
        <f ca="1">IF(Giocatori!M135=0,"",Giocatori!M135)</f>
        <v/>
      </c>
    </row>
    <row r="130" spans="1:15" s="1" customFormat="1" ht="14.25">
      <c r="A130" s="228" t="str">
        <f ca="1">IF(Giocatori!E136=0,"",Giocatori!E136)</f>
        <v/>
      </c>
      <c r="B130" s="229" t="str">
        <f ca="1">IF(Giocatori!F136=0,"",Giocatori!F136)</f>
        <v/>
      </c>
      <c r="C130" s="229" t="str">
        <f ca="1">IF(Giocatori!D136=0,"",Giocatori!D136)</f>
        <v/>
      </c>
      <c r="D130" s="228" t="str">
        <f ca="1">IF(Giocatori!H136=0,"",Giocatori!H136)</f>
        <v>MIGLIORE</v>
      </c>
      <c r="E130" s="229" t="str">
        <f ca="1">IF(Giocatori!I136=0,"",Giocatori!I136)</f>
        <v>Genoa</v>
      </c>
      <c r="F130" s="229" t="str">
        <f ca="1">IF(Giocatori!G136=0,"",Giocatori!G136)</f>
        <v>D</v>
      </c>
      <c r="G130" s="228" t="str">
        <f ca="1">IF(Giocatori!K136=0,"",Giocatori!K136)</f>
        <v>OMEONGA</v>
      </c>
      <c r="H130" s="229" t="str">
        <f ca="1">IF(Giocatori!L136=0,"",Giocatori!L136)</f>
        <v>Genoa</v>
      </c>
      <c r="I130" s="229" t="str">
        <f ca="1">IF(Giocatori!J136=0,"",Giocatori!J136)</f>
        <v>C</v>
      </c>
      <c r="J130" s="228" t="str">
        <f ca="1">IF(Giocatori!Q136=0,"",Giocatori!Q136)</f>
        <v/>
      </c>
      <c r="K130" s="229" t="str">
        <f ca="1">IF(Giocatori!R136=0,"",Giocatori!R136)</f>
        <v/>
      </c>
      <c r="L130" s="229" t="str">
        <f ca="1">IF(Giocatori!P136=0,"",Giocatori!P136)</f>
        <v/>
      </c>
      <c r="M130" s="229" t="str">
        <f ca="1">IF(Giocatori!N136=0,"",Giocatori!N136)</f>
        <v/>
      </c>
      <c r="N130" s="229" t="str">
        <f ca="1">IF(Giocatori!O136=0,"",Giocatori!O136)</f>
        <v/>
      </c>
      <c r="O130" s="229" t="str">
        <f ca="1">IF(Giocatori!M136=0,"",Giocatori!M136)</f>
        <v/>
      </c>
    </row>
    <row r="131" spans="1:15" s="1" customFormat="1" ht="14.25">
      <c r="A131" s="228" t="str">
        <f ca="1">IF(Giocatori!E137=0,"",Giocatori!E137)</f>
        <v/>
      </c>
      <c r="B131" s="229" t="str">
        <f ca="1">IF(Giocatori!F137=0,"",Giocatori!F137)</f>
        <v/>
      </c>
      <c r="C131" s="229" t="str">
        <f ca="1">IF(Giocatori!D137=0,"",Giocatori!D137)</f>
        <v/>
      </c>
      <c r="D131" s="228" t="str">
        <f ca="1">IF(Giocatori!H137=0,"",Giocatori!H137)</f>
        <v>MIKULIC</v>
      </c>
      <c r="E131" s="229" t="str">
        <f ca="1">IF(Giocatori!I137=0,"",Giocatori!I137)</f>
        <v>Sampdoria</v>
      </c>
      <c r="F131" s="229" t="str">
        <f ca="1">IF(Giocatori!G137=0,"",Giocatori!G137)</f>
        <v>D</v>
      </c>
      <c r="G131" s="228" t="str">
        <f ca="1">IF(Giocatori!K137=0,"",Giocatori!K137)</f>
        <v>PADOIN</v>
      </c>
      <c r="H131" s="229" t="str">
        <f ca="1">IF(Giocatori!L137=0,"",Giocatori!L137)</f>
        <v>Cagliari</v>
      </c>
      <c r="I131" s="229" t="str">
        <f ca="1">IF(Giocatori!J137=0,"",Giocatori!J137)</f>
        <v>C</v>
      </c>
      <c r="J131" s="228" t="str">
        <f ca="1">IF(Giocatori!Q137=0,"",Giocatori!Q137)</f>
        <v/>
      </c>
      <c r="K131" s="229" t="str">
        <f ca="1">IF(Giocatori!R137=0,"",Giocatori!R137)</f>
        <v/>
      </c>
      <c r="L131" s="229" t="str">
        <f ca="1">IF(Giocatori!P137=0,"",Giocatori!P137)</f>
        <v/>
      </c>
      <c r="M131" s="229" t="str">
        <f ca="1">IF(Giocatori!N137=0,"",Giocatori!N137)</f>
        <v/>
      </c>
      <c r="N131" s="229" t="str">
        <f ca="1">IF(Giocatori!O137=0,"",Giocatori!O137)</f>
        <v/>
      </c>
      <c r="O131" s="229" t="str">
        <f ca="1">IF(Giocatori!M137=0,"",Giocatori!M137)</f>
        <v/>
      </c>
    </row>
    <row r="132" spans="1:15" s="1" customFormat="1" ht="14.25">
      <c r="A132" s="228" t="str">
        <f ca="1">IF(Giocatori!E138=0,"",Giocatori!E138)</f>
        <v/>
      </c>
      <c r="B132" s="229" t="str">
        <f ca="1">IF(Giocatori!F138=0,"",Giocatori!F138)</f>
        <v/>
      </c>
      <c r="C132" s="229" t="str">
        <f ca="1">IF(Giocatori!D138=0,"",Giocatori!D138)</f>
        <v/>
      </c>
      <c r="D132" s="228" t="str">
        <f ca="1">IF(Giocatori!H138=0,"",Giocatori!H138)</f>
        <v>MILENKOVIC</v>
      </c>
      <c r="E132" s="229" t="str">
        <f ca="1">IF(Giocatori!I138=0,"",Giocatori!I138)</f>
        <v>Fiorentina</v>
      </c>
      <c r="F132" s="229" t="str">
        <f ca="1">IF(Giocatori!G138=0,"",Giocatori!G138)</f>
        <v>D</v>
      </c>
      <c r="G132" s="228" t="str">
        <f ca="1">IF(Giocatori!K138=0,"",Giocatori!K138)</f>
        <v>PAROLO</v>
      </c>
      <c r="H132" s="229" t="str">
        <f ca="1">IF(Giocatori!L138=0,"",Giocatori!L138)</f>
        <v>Lazio</v>
      </c>
      <c r="I132" s="229" t="str">
        <f ca="1">IF(Giocatori!J138=0,"",Giocatori!J138)</f>
        <v>C</v>
      </c>
      <c r="J132" s="228" t="str">
        <f ca="1">IF(Giocatori!Q138=0,"",Giocatori!Q138)</f>
        <v/>
      </c>
      <c r="K132" s="229" t="str">
        <f ca="1">IF(Giocatori!R138=0,"",Giocatori!R138)</f>
        <v/>
      </c>
      <c r="L132" s="229" t="str">
        <f ca="1">IF(Giocatori!P138=0,"",Giocatori!P138)</f>
        <v/>
      </c>
      <c r="M132" s="229" t="str">
        <f ca="1">IF(Giocatori!N138=0,"",Giocatori!N138)</f>
        <v/>
      </c>
      <c r="N132" s="229" t="str">
        <f ca="1">IF(Giocatori!O138=0,"",Giocatori!O138)</f>
        <v/>
      </c>
      <c r="O132" s="229" t="str">
        <f ca="1">IF(Giocatori!M138=0,"",Giocatori!M138)</f>
        <v/>
      </c>
    </row>
    <row r="133" spans="1:15" s="1" customFormat="1" ht="14.25">
      <c r="A133" s="228" t="str">
        <f ca="1">IF(Giocatori!E139=0,"",Giocatori!E139)</f>
        <v/>
      </c>
      <c r="B133" s="229" t="str">
        <f ca="1">IF(Giocatori!F139=0,"",Giocatori!F139)</f>
        <v/>
      </c>
      <c r="C133" s="229" t="str">
        <f ca="1">IF(Giocatori!D139=0,"",Giocatori!D139)</f>
        <v/>
      </c>
      <c r="D133" s="228" t="str">
        <f ca="1">IF(Giocatori!H139=0,"",Giocatori!H139)</f>
        <v>MIRANDA</v>
      </c>
      <c r="E133" s="229" t="str">
        <f ca="1">IF(Giocatori!I139=0,"",Giocatori!I139)</f>
        <v>Inter</v>
      </c>
      <c r="F133" s="229" t="str">
        <f ca="1">IF(Giocatori!G139=0,"",Giocatori!G139)</f>
        <v>D</v>
      </c>
      <c r="G133" s="228" t="str">
        <f ca="1">IF(Giocatori!K139=0,"",Giocatori!K139)</f>
        <v>PELLEGRINI</v>
      </c>
      <c r="H133" s="229" t="str">
        <f ca="1">IF(Giocatori!L139=0,"",Giocatori!L139)</f>
        <v>Roma</v>
      </c>
      <c r="I133" s="229" t="str">
        <f ca="1">IF(Giocatori!J139=0,"",Giocatori!J139)</f>
        <v>C</v>
      </c>
      <c r="J133" s="228" t="str">
        <f ca="1">IF(Giocatori!Q139=0,"",Giocatori!Q139)</f>
        <v/>
      </c>
      <c r="K133" s="229" t="str">
        <f ca="1">IF(Giocatori!R139=0,"",Giocatori!R139)</f>
        <v/>
      </c>
      <c r="L133" s="229" t="str">
        <f ca="1">IF(Giocatori!P139=0,"",Giocatori!P139)</f>
        <v/>
      </c>
      <c r="M133" s="229" t="str">
        <f ca="1">IF(Giocatori!N139=0,"",Giocatori!N139)</f>
        <v/>
      </c>
      <c r="N133" s="229" t="str">
        <f ca="1">IF(Giocatori!O139=0,"",Giocatori!O139)</f>
        <v/>
      </c>
      <c r="O133" s="229" t="str">
        <f ca="1">IF(Giocatori!M139=0,"",Giocatori!M139)</f>
        <v/>
      </c>
    </row>
    <row r="134" spans="1:15" s="1" customFormat="1" ht="14.25">
      <c r="A134" s="228" t="str">
        <f ca="1">IF(Giocatori!E140=0,"",Giocatori!E140)</f>
        <v/>
      </c>
      <c r="B134" s="229" t="str">
        <f ca="1">IF(Giocatori!F140=0,"",Giocatori!F140)</f>
        <v/>
      </c>
      <c r="C134" s="229" t="str">
        <f ca="1">IF(Giocatori!D140=0,"",Giocatori!D140)</f>
        <v/>
      </c>
      <c r="D134" s="228" t="str">
        <f ca="1">IF(Giocatori!H140=0,"",Giocatori!H140)</f>
        <v>MOLINARO</v>
      </c>
      <c r="E134" s="229" t="str">
        <f ca="1">IF(Giocatori!I140=0,"",Giocatori!I140)</f>
        <v>Torino</v>
      </c>
      <c r="F134" s="229" t="str">
        <f ca="1">IF(Giocatori!G140=0,"",Giocatori!G140)</f>
        <v>D</v>
      </c>
      <c r="G134" s="228" t="str">
        <f ca="1">IF(Giocatori!K140=0,"",Giocatori!K140)</f>
        <v>PERISIC</v>
      </c>
      <c r="H134" s="229" t="str">
        <f ca="1">IF(Giocatori!L140=0,"",Giocatori!L140)</f>
        <v>Inter</v>
      </c>
      <c r="I134" s="229" t="str">
        <f ca="1">IF(Giocatori!J140=0,"",Giocatori!J140)</f>
        <v>C</v>
      </c>
      <c r="J134" s="228" t="str">
        <f ca="1">IF(Giocatori!Q140=0,"",Giocatori!Q140)</f>
        <v/>
      </c>
      <c r="K134" s="229" t="str">
        <f ca="1">IF(Giocatori!R140=0,"",Giocatori!R140)</f>
        <v/>
      </c>
      <c r="L134" s="229" t="str">
        <f ca="1">IF(Giocatori!P140=0,"",Giocatori!P140)</f>
        <v/>
      </c>
      <c r="M134" s="229" t="str">
        <f ca="1">IF(Giocatori!N140=0,"",Giocatori!N140)</f>
        <v/>
      </c>
      <c r="N134" s="229" t="str">
        <f ca="1">IF(Giocatori!O140=0,"",Giocatori!O140)</f>
        <v/>
      </c>
      <c r="O134" s="229" t="str">
        <f ca="1">IF(Giocatori!M140=0,"",Giocatori!M140)</f>
        <v/>
      </c>
    </row>
    <row r="135" spans="1:15" s="1" customFormat="1" ht="14.25">
      <c r="A135" s="228" t="str">
        <f ca="1">IF(Giocatori!E141=0,"",Giocatori!E141)</f>
        <v/>
      </c>
      <c r="B135" s="229" t="str">
        <f ca="1">IF(Giocatori!F141=0,"",Giocatori!F141)</f>
        <v/>
      </c>
      <c r="C135" s="229" t="str">
        <f ca="1">IF(Giocatori!D141=0,"",Giocatori!D141)</f>
        <v/>
      </c>
      <c r="D135" s="228" t="str">
        <f ca="1">IF(Giocatori!H141=0,"",Giocatori!H141)</f>
        <v>MORETTI</v>
      </c>
      <c r="E135" s="229" t="str">
        <f ca="1">IF(Giocatori!I141=0,"",Giocatori!I141)</f>
        <v>Torino</v>
      </c>
      <c r="F135" s="229" t="str">
        <f ca="1">IF(Giocatori!G141=0,"",Giocatori!G141)</f>
        <v>D</v>
      </c>
      <c r="G135" s="228" t="str">
        <f ca="1">IF(Giocatori!K141=0,"",Giocatori!K141)</f>
        <v>PEROTTI</v>
      </c>
      <c r="H135" s="229" t="str">
        <f ca="1">IF(Giocatori!L141=0,"",Giocatori!L141)</f>
        <v>Roma</v>
      </c>
      <c r="I135" s="229" t="str">
        <f ca="1">IF(Giocatori!J141=0,"",Giocatori!J141)</f>
        <v>C</v>
      </c>
      <c r="J135" s="228" t="str">
        <f ca="1">IF(Giocatori!Q141=0,"",Giocatori!Q141)</f>
        <v/>
      </c>
      <c r="K135" s="229" t="str">
        <f ca="1">IF(Giocatori!R141=0,"",Giocatori!R141)</f>
        <v/>
      </c>
      <c r="L135" s="229" t="str">
        <f ca="1">IF(Giocatori!P141=0,"",Giocatori!P141)</f>
        <v/>
      </c>
      <c r="M135" s="229" t="str">
        <f ca="1">IF(Giocatori!N141=0,"",Giocatori!N141)</f>
        <v/>
      </c>
      <c r="N135" s="229" t="str">
        <f ca="1">IF(Giocatori!O141=0,"",Giocatori!O141)</f>
        <v/>
      </c>
      <c r="O135" s="229" t="str">
        <f ca="1">IF(Giocatori!M141=0,"",Giocatori!M141)</f>
        <v/>
      </c>
    </row>
    <row r="136" spans="1:15" s="1" customFormat="1" ht="14.25">
      <c r="A136" s="228" t="str">
        <f ca="1">IF(Giocatori!E142=0,"",Giocatori!E142)</f>
        <v/>
      </c>
      <c r="B136" s="229" t="str">
        <f ca="1">IF(Giocatori!F142=0,"",Giocatori!F142)</f>
        <v/>
      </c>
      <c r="C136" s="229" t="str">
        <f ca="1">IF(Giocatori!D142=0,"",Giocatori!D142)</f>
        <v/>
      </c>
      <c r="D136" s="228" t="str">
        <f ca="1">IF(Giocatori!H142=0,"",Giocatori!H142)</f>
        <v>MURRU</v>
      </c>
      <c r="E136" s="229" t="str">
        <f ca="1">IF(Giocatori!I142=0,"",Giocatori!I142)</f>
        <v>Sampdoria</v>
      </c>
      <c r="F136" s="229" t="str">
        <f ca="1">IF(Giocatori!G142=0,"",Giocatori!G142)</f>
        <v>D</v>
      </c>
      <c r="G136" s="228" t="str">
        <f ca="1">IF(Giocatori!K142=0,"",Giocatori!K142)</f>
        <v>PJANIC</v>
      </c>
      <c r="H136" s="229" t="str">
        <f ca="1">IF(Giocatori!L142=0,"",Giocatori!L142)</f>
        <v>Juventus</v>
      </c>
      <c r="I136" s="229" t="str">
        <f ca="1">IF(Giocatori!J142=0,"",Giocatori!J142)</f>
        <v>C</v>
      </c>
      <c r="J136" s="228" t="str">
        <f ca="1">IF(Giocatori!Q142=0,"",Giocatori!Q142)</f>
        <v/>
      </c>
      <c r="K136" s="229" t="str">
        <f ca="1">IF(Giocatori!R142=0,"",Giocatori!R142)</f>
        <v/>
      </c>
      <c r="L136" s="229" t="str">
        <f ca="1">IF(Giocatori!P142=0,"",Giocatori!P142)</f>
        <v/>
      </c>
      <c r="M136" s="229" t="str">
        <f ca="1">IF(Giocatori!N142=0,"",Giocatori!N142)</f>
        <v/>
      </c>
      <c r="N136" s="229" t="str">
        <f ca="1">IF(Giocatori!O142=0,"",Giocatori!O142)</f>
        <v/>
      </c>
      <c r="O136" s="229" t="str">
        <f ca="1">IF(Giocatori!M142=0,"",Giocatori!M142)</f>
        <v/>
      </c>
    </row>
    <row r="137" spans="1:15" s="1" customFormat="1" ht="14.25">
      <c r="A137" s="228" t="str">
        <f ca="1">IF(Giocatori!E143=0,"",Giocatori!E143)</f>
        <v/>
      </c>
      <c r="B137" s="229" t="str">
        <f ca="1">IF(Giocatori!F143=0,"",Giocatori!F143)</f>
        <v/>
      </c>
      <c r="C137" s="229" t="str">
        <f ca="1">IF(Giocatori!D143=0,"",Giocatori!D143)</f>
        <v/>
      </c>
      <c r="D137" s="228" t="str">
        <f ca="1">IF(Giocatori!H143=0,"",Giocatori!H143)</f>
        <v>MUSACCHIO</v>
      </c>
      <c r="E137" s="229" t="str">
        <f ca="1">IF(Giocatori!I143=0,"",Giocatori!I143)</f>
        <v>Milan</v>
      </c>
      <c r="F137" s="229" t="str">
        <f ca="1">IF(Giocatori!G143=0,"",Giocatori!G143)</f>
        <v>D</v>
      </c>
      <c r="G137" s="228" t="str">
        <f ca="1">IF(Giocatori!K143=0,"",Giocatori!K143)</f>
        <v>POLI</v>
      </c>
      <c r="H137" s="229" t="str">
        <f ca="1">IF(Giocatori!L143=0,"",Giocatori!L143)</f>
        <v>Bologna</v>
      </c>
      <c r="I137" s="229" t="str">
        <f ca="1">IF(Giocatori!J143=0,"",Giocatori!J143)</f>
        <v>C</v>
      </c>
      <c r="J137" s="228" t="str">
        <f ca="1">IF(Giocatori!Q143=0,"",Giocatori!Q143)</f>
        <v/>
      </c>
      <c r="K137" s="229" t="str">
        <f ca="1">IF(Giocatori!R143=0,"",Giocatori!R143)</f>
        <v/>
      </c>
      <c r="L137" s="229" t="str">
        <f ca="1">IF(Giocatori!P143=0,"",Giocatori!P143)</f>
        <v/>
      </c>
      <c r="M137" s="229" t="str">
        <f ca="1">IF(Giocatori!N143=0,"",Giocatori!N143)</f>
        <v/>
      </c>
      <c r="N137" s="229" t="str">
        <f ca="1">IF(Giocatori!O143=0,"",Giocatori!O143)</f>
        <v/>
      </c>
      <c r="O137" s="229" t="str">
        <f ca="1">IF(Giocatori!M143=0,"",Giocatori!M143)</f>
        <v/>
      </c>
    </row>
    <row r="138" spans="1:15" s="1" customFormat="1" ht="14.25">
      <c r="A138" s="228" t="str">
        <f ca="1">IF(Giocatori!E144=0,"",Giocatori!E144)</f>
        <v/>
      </c>
      <c r="B138" s="229" t="str">
        <f ca="1">IF(Giocatori!F144=0,"",Giocatori!F144)</f>
        <v/>
      </c>
      <c r="C138" s="229" t="str">
        <f ca="1">IF(Giocatori!D144=0,"",Giocatori!D144)</f>
        <v/>
      </c>
      <c r="D138" s="228" t="str">
        <f ca="1">IF(Giocatori!H144=0,"",Giocatori!H144)</f>
        <v>NAGATOMO</v>
      </c>
      <c r="E138" s="229" t="str">
        <f ca="1">IF(Giocatori!I144=0,"",Giocatori!I144)</f>
        <v>Inter</v>
      </c>
      <c r="F138" s="229" t="str">
        <f ca="1">IF(Giocatori!G144=0,"",Giocatori!G144)</f>
        <v>D</v>
      </c>
      <c r="G138" s="228" t="str">
        <f ca="1">IF(Giocatori!K144=0,"",Giocatori!K144)</f>
        <v>PRAET</v>
      </c>
      <c r="H138" s="229" t="str">
        <f ca="1">IF(Giocatori!L144=0,"",Giocatori!L144)</f>
        <v>Sampdoria</v>
      </c>
      <c r="I138" s="229" t="str">
        <f ca="1">IF(Giocatori!J144=0,"",Giocatori!J144)</f>
        <v>C</v>
      </c>
      <c r="J138" s="228" t="str">
        <f ca="1">IF(Giocatori!Q144=0,"",Giocatori!Q144)</f>
        <v/>
      </c>
      <c r="K138" s="229" t="str">
        <f ca="1">IF(Giocatori!R144=0,"",Giocatori!R144)</f>
        <v/>
      </c>
      <c r="L138" s="229" t="str">
        <f ca="1">IF(Giocatori!P144=0,"",Giocatori!P144)</f>
        <v/>
      </c>
      <c r="M138" s="229" t="str">
        <f ca="1">IF(Giocatori!N144=0,"",Giocatori!N144)</f>
        <v/>
      </c>
      <c r="N138" s="229" t="str">
        <f ca="1">IF(Giocatori!O144=0,"",Giocatori!O144)</f>
        <v/>
      </c>
      <c r="O138" s="229" t="str">
        <f ca="1">IF(Giocatori!M144=0,"",Giocatori!M144)</f>
        <v/>
      </c>
    </row>
    <row r="139" spans="1:15" s="1" customFormat="1" ht="14.25">
      <c r="A139" s="228" t="str">
        <f ca="1">IF(Giocatori!E145=0,"",Giocatori!E145)</f>
        <v/>
      </c>
      <c r="B139" s="229" t="str">
        <f ca="1">IF(Giocatori!F145=0,"",Giocatori!F145)</f>
        <v/>
      </c>
      <c r="C139" s="229" t="str">
        <f ca="1">IF(Giocatori!D145=0,"",Giocatori!D145)</f>
        <v/>
      </c>
      <c r="D139" s="228" t="str">
        <f ca="1">IF(Giocatori!H145=0,"",Giocatori!H145)</f>
        <v>N'KOULOU</v>
      </c>
      <c r="E139" s="229" t="str">
        <f ca="1">IF(Giocatori!I145=0,"",Giocatori!I145)</f>
        <v>Torino</v>
      </c>
      <c r="F139" s="229" t="str">
        <f ca="1">IF(Giocatori!G145=0,"",Giocatori!G145)</f>
        <v>D</v>
      </c>
      <c r="G139" s="228" t="str">
        <f ca="1">IF(Giocatori!K145=0,"",Giocatori!K145)</f>
        <v>PULGAR</v>
      </c>
      <c r="H139" s="229" t="str">
        <f ca="1">IF(Giocatori!L145=0,"",Giocatori!L145)</f>
        <v>Bologna</v>
      </c>
      <c r="I139" s="229" t="str">
        <f ca="1">IF(Giocatori!J145=0,"",Giocatori!J145)</f>
        <v>C</v>
      </c>
      <c r="J139" s="228" t="str">
        <f ca="1">IF(Giocatori!Q145=0,"",Giocatori!Q145)</f>
        <v/>
      </c>
      <c r="K139" s="229" t="str">
        <f ca="1">IF(Giocatori!R145=0,"",Giocatori!R145)</f>
        <v/>
      </c>
      <c r="L139" s="229" t="str">
        <f ca="1">IF(Giocatori!P145=0,"",Giocatori!P145)</f>
        <v/>
      </c>
      <c r="M139" s="229" t="str">
        <f ca="1">IF(Giocatori!N145=0,"",Giocatori!N145)</f>
        <v/>
      </c>
      <c r="N139" s="229" t="str">
        <f ca="1">IF(Giocatori!O145=0,"",Giocatori!O145)</f>
        <v/>
      </c>
      <c r="O139" s="229" t="str">
        <f ca="1">IF(Giocatori!M145=0,"",Giocatori!M145)</f>
        <v/>
      </c>
    </row>
    <row r="140" spans="1:15" s="1" customFormat="1" ht="14.25">
      <c r="A140" s="228" t="str">
        <f ca="1">IF(Giocatori!E146=0,"",Giocatori!E146)</f>
        <v/>
      </c>
      <c r="B140" s="229" t="str">
        <f ca="1">IF(Giocatori!F146=0,"",Giocatori!F146)</f>
        <v/>
      </c>
      <c r="C140" s="229" t="str">
        <f ca="1">IF(Giocatori!D146=0,"",Giocatori!D146)</f>
        <v/>
      </c>
      <c r="D140" s="228" t="str">
        <f ca="1">IF(Giocatori!H146=0,"",Giocatori!H146)</f>
        <v>NUYTINCK</v>
      </c>
      <c r="E140" s="229" t="str">
        <f ca="1">IF(Giocatori!I146=0,"",Giocatori!I146)</f>
        <v>Udinese</v>
      </c>
      <c r="F140" s="229" t="str">
        <f ca="1">IF(Giocatori!G146=0,"",Giocatori!G146)</f>
        <v>D</v>
      </c>
      <c r="G140" s="228" t="str">
        <f ca="1">IF(Giocatori!K146=0,"",Giocatori!K146)</f>
        <v>RADOVANOVIC</v>
      </c>
      <c r="H140" s="229" t="str">
        <f ca="1">IF(Giocatori!L146=0,"",Giocatori!L146)</f>
        <v>Chievo</v>
      </c>
      <c r="I140" s="229" t="str">
        <f ca="1">IF(Giocatori!J146=0,"",Giocatori!J146)</f>
        <v>C</v>
      </c>
      <c r="J140" s="228" t="str">
        <f ca="1">IF(Giocatori!Q146=0,"",Giocatori!Q146)</f>
        <v/>
      </c>
      <c r="K140" s="229" t="str">
        <f ca="1">IF(Giocatori!R146=0,"",Giocatori!R146)</f>
        <v/>
      </c>
      <c r="L140" s="229" t="str">
        <f ca="1">IF(Giocatori!P146=0,"",Giocatori!P146)</f>
        <v/>
      </c>
      <c r="M140" s="229" t="str">
        <f ca="1">IF(Giocatori!N146=0,"",Giocatori!N146)</f>
        <v/>
      </c>
      <c r="N140" s="229" t="str">
        <f ca="1">IF(Giocatori!O146=0,"",Giocatori!O146)</f>
        <v/>
      </c>
      <c r="O140" s="229" t="str">
        <f ca="1">IF(Giocatori!M146=0,"",Giocatori!M146)</f>
        <v/>
      </c>
    </row>
    <row r="141" spans="1:15" s="1" customFormat="1" ht="14.25">
      <c r="A141" s="228" t="str">
        <f ca="1">IF(Giocatori!E147=0,"",Giocatori!E147)</f>
        <v/>
      </c>
      <c r="B141" s="229" t="str">
        <f ca="1">IF(Giocatori!F147=0,"",Giocatori!F147)</f>
        <v/>
      </c>
      <c r="C141" s="229" t="str">
        <f ca="1">IF(Giocatori!D147=0,"",Giocatori!D147)</f>
        <v/>
      </c>
      <c r="D141" s="228" t="str">
        <f ca="1">IF(Giocatori!H147=0,"",Giocatori!H147)</f>
        <v>OIKONOMOU</v>
      </c>
      <c r="E141" s="229" t="str">
        <f ca="1">IF(Giocatori!I147=0,"",Giocatori!I147)</f>
        <v>SPAL</v>
      </c>
      <c r="F141" s="229" t="str">
        <f ca="1">IF(Giocatori!G147=0,"",Giocatori!G147)</f>
        <v>D</v>
      </c>
      <c r="G141" s="228" t="str">
        <f ca="1">IF(Giocatori!K147=0,"",Giocatori!K147)</f>
        <v>RAMIREZ</v>
      </c>
      <c r="H141" s="229" t="str">
        <f ca="1">IF(Giocatori!L147=0,"",Giocatori!L147)</f>
        <v>Sampdoria</v>
      </c>
      <c r="I141" s="229" t="str">
        <f ca="1">IF(Giocatori!J147=0,"",Giocatori!J147)</f>
        <v>C</v>
      </c>
      <c r="J141" s="228" t="str">
        <f ca="1">IF(Giocatori!Q147=0,"",Giocatori!Q147)</f>
        <v/>
      </c>
      <c r="K141" s="229" t="str">
        <f ca="1">IF(Giocatori!R147=0,"",Giocatori!R147)</f>
        <v/>
      </c>
      <c r="L141" s="229" t="str">
        <f ca="1">IF(Giocatori!P147=0,"",Giocatori!P147)</f>
        <v/>
      </c>
      <c r="M141" s="229" t="str">
        <f ca="1">IF(Giocatori!N147=0,"",Giocatori!N147)</f>
        <v/>
      </c>
      <c r="N141" s="229" t="str">
        <f ca="1">IF(Giocatori!O147=0,"",Giocatori!O147)</f>
        <v/>
      </c>
      <c r="O141" s="229" t="str">
        <f ca="1">IF(Giocatori!M147=0,"",Giocatori!M147)</f>
        <v/>
      </c>
    </row>
    <row r="142" spans="1:15" s="1" customFormat="1" ht="14.25">
      <c r="A142" s="228" t="str">
        <f ca="1">IF(Giocatori!E148=0,"",Giocatori!E148)</f>
        <v/>
      </c>
      <c r="B142" s="229" t="str">
        <f ca="1">IF(Giocatori!F148=0,"",Giocatori!F148)</f>
        <v/>
      </c>
      <c r="C142" s="229" t="str">
        <f ca="1">IF(Giocatori!D148=0,"",Giocatori!D148)</f>
        <v/>
      </c>
      <c r="D142" s="228" t="str">
        <f ca="1">IF(Giocatori!H148=0,"",Giocatori!H148)</f>
        <v>OLIVERA M</v>
      </c>
      <c r="E142" s="229" t="str">
        <f ca="1">IF(Giocatori!I148=0,"",Giocatori!I148)</f>
        <v>Fiorentina</v>
      </c>
      <c r="F142" s="229" t="str">
        <f ca="1">IF(Giocatori!G148=0,"",Giocatori!G148)</f>
        <v>D</v>
      </c>
      <c r="G142" s="228" t="str">
        <f ca="1">IF(Giocatori!K148=0,"",Giocatori!K148)</f>
        <v>RIGONI L</v>
      </c>
      <c r="H142" s="229" t="str">
        <f ca="1">IF(Giocatori!L148=0,"",Giocatori!L148)</f>
        <v>Genoa</v>
      </c>
      <c r="I142" s="229" t="str">
        <f ca="1">IF(Giocatori!J148=0,"",Giocatori!J148)</f>
        <v>C</v>
      </c>
      <c r="J142" s="228" t="str">
        <f ca="1">IF(Giocatori!Q148=0,"",Giocatori!Q148)</f>
        <v/>
      </c>
      <c r="K142" s="229" t="str">
        <f ca="1">IF(Giocatori!R148=0,"",Giocatori!R148)</f>
        <v/>
      </c>
      <c r="L142" s="229" t="str">
        <f ca="1">IF(Giocatori!P148=0,"",Giocatori!P148)</f>
        <v/>
      </c>
      <c r="M142" s="229" t="str">
        <f ca="1">IF(Giocatori!N148=0,"",Giocatori!N148)</f>
        <v/>
      </c>
      <c r="N142" s="229" t="str">
        <f ca="1">IF(Giocatori!O148=0,"",Giocatori!O148)</f>
        <v/>
      </c>
      <c r="O142" s="229" t="str">
        <f ca="1">IF(Giocatori!M148=0,"",Giocatori!M148)</f>
        <v/>
      </c>
    </row>
    <row r="143" spans="1:15" s="1" customFormat="1" ht="14.25">
      <c r="A143" s="228" t="str">
        <f ca="1">IF(Giocatori!E149=0,"",Giocatori!E149)</f>
        <v/>
      </c>
      <c r="B143" s="229" t="str">
        <f ca="1">IF(Giocatori!F149=0,"",Giocatori!F149)</f>
        <v/>
      </c>
      <c r="C143" s="229" t="str">
        <f ca="1">IF(Giocatori!D149=0,"",Giocatori!D149)</f>
        <v/>
      </c>
      <c r="D143" s="228" t="str">
        <f ca="1">IF(Giocatori!H149=0,"",Giocatori!H149)</f>
        <v>PALETTA</v>
      </c>
      <c r="E143" s="229" t="str">
        <f ca="1">IF(Giocatori!I149=0,"",Giocatori!I149)</f>
        <v>Milan</v>
      </c>
      <c r="F143" s="229" t="str">
        <f ca="1">IF(Giocatori!G149=0,"",Giocatori!G149)</f>
        <v>D</v>
      </c>
      <c r="G143" s="228" t="str">
        <f ca="1">IF(Giocatori!K149=0,"",Giocatori!K149)</f>
        <v>RIGONI N</v>
      </c>
      <c r="H143" s="229" t="str">
        <f ca="1">IF(Giocatori!L149=0,"",Giocatori!L149)</f>
        <v>Chievo</v>
      </c>
      <c r="I143" s="229" t="str">
        <f ca="1">IF(Giocatori!J149=0,"",Giocatori!J149)</f>
        <v>C</v>
      </c>
      <c r="J143" s="228" t="str">
        <f ca="1">IF(Giocatori!Q149=0,"",Giocatori!Q149)</f>
        <v/>
      </c>
      <c r="K143" s="229" t="str">
        <f ca="1">IF(Giocatori!R149=0,"",Giocatori!R149)</f>
        <v/>
      </c>
      <c r="L143" s="229" t="str">
        <f ca="1">IF(Giocatori!P149=0,"",Giocatori!P149)</f>
        <v/>
      </c>
      <c r="M143" s="229" t="str">
        <f ca="1">IF(Giocatori!N149=0,"",Giocatori!N149)</f>
        <v/>
      </c>
      <c r="N143" s="229" t="str">
        <f ca="1">IF(Giocatori!O149=0,"",Giocatori!O149)</f>
        <v/>
      </c>
      <c r="O143" s="229" t="str">
        <f ca="1">IF(Giocatori!M149=0,"",Giocatori!M149)</f>
        <v/>
      </c>
    </row>
    <row r="144" spans="1:15" s="1" customFormat="1" ht="14.25">
      <c r="A144" s="228" t="str">
        <f ca="1">IF(Giocatori!E150=0,"",Giocatori!E150)</f>
        <v/>
      </c>
      <c r="B144" s="229" t="str">
        <f ca="1">IF(Giocatori!F150=0,"",Giocatori!F150)</f>
        <v/>
      </c>
      <c r="C144" s="229" t="str">
        <f ca="1">IF(Giocatori!D150=0,"",Giocatori!D150)</f>
        <v/>
      </c>
      <c r="D144" s="228" t="str">
        <f ca="1">IF(Giocatori!H150=0,"",Giocatori!H150)</f>
        <v>PALOMINO</v>
      </c>
      <c r="E144" s="229" t="str">
        <f ca="1">IF(Giocatori!I150=0,"",Giocatori!I150)</f>
        <v>Atalanta</v>
      </c>
      <c r="F144" s="229" t="str">
        <f ca="1">IF(Giocatori!G150=0,"",Giocatori!G150)</f>
        <v>D</v>
      </c>
      <c r="G144" s="228" t="str">
        <f ca="1">IF(Giocatori!K150=0,"",Giocatori!K150)</f>
        <v>RINCON</v>
      </c>
      <c r="H144" s="229" t="str">
        <f ca="1">IF(Giocatori!L150=0,"",Giocatori!L150)</f>
        <v>Torino</v>
      </c>
      <c r="I144" s="229" t="str">
        <f ca="1">IF(Giocatori!J150=0,"",Giocatori!J150)</f>
        <v>C</v>
      </c>
      <c r="J144" s="228" t="str">
        <f ca="1">IF(Giocatori!Q150=0,"",Giocatori!Q150)</f>
        <v/>
      </c>
      <c r="K144" s="229" t="str">
        <f ca="1">IF(Giocatori!R150=0,"",Giocatori!R150)</f>
        <v/>
      </c>
      <c r="L144" s="229" t="str">
        <f ca="1">IF(Giocatori!P150=0,"",Giocatori!P150)</f>
        <v/>
      </c>
      <c r="M144" s="229" t="str">
        <f ca="1">IF(Giocatori!N150=0,"",Giocatori!N150)</f>
        <v/>
      </c>
      <c r="N144" s="229" t="str">
        <f ca="1">IF(Giocatori!O150=0,"",Giocatori!O150)</f>
        <v/>
      </c>
      <c r="O144" s="229" t="str">
        <f ca="1">IF(Giocatori!M150=0,"",Giocatori!M150)</f>
        <v/>
      </c>
    </row>
    <row r="145" spans="1:15" s="1" customFormat="1" ht="14.25">
      <c r="A145" s="228" t="str">
        <f ca="1">IF(Giocatori!E151=0,"",Giocatori!E151)</f>
        <v/>
      </c>
      <c r="B145" s="229" t="str">
        <f ca="1">IF(Giocatori!F151=0,"",Giocatori!F151)</f>
        <v/>
      </c>
      <c r="C145" s="229" t="str">
        <f ca="1">IF(Giocatori!D151=0,"",Giocatori!D151)</f>
        <v/>
      </c>
      <c r="D145" s="228" t="str">
        <f ca="1">IF(Giocatori!H151=0,"",Giocatori!H151)</f>
        <v>PATRIC</v>
      </c>
      <c r="E145" s="229" t="str">
        <f ca="1">IF(Giocatori!I151=0,"",Giocatori!I151)</f>
        <v>Lazio</v>
      </c>
      <c r="F145" s="229" t="str">
        <f ca="1">IF(Giocatori!G151=0,"",Giocatori!G151)</f>
        <v>D</v>
      </c>
      <c r="G145" s="228" t="str">
        <f ca="1">IF(Giocatori!K151=0,"",Giocatori!K151)</f>
        <v>RIZZO</v>
      </c>
      <c r="H145" s="229" t="str">
        <f ca="1">IF(Giocatori!L151=0,"",Giocatori!L151)</f>
        <v>SPAL</v>
      </c>
      <c r="I145" s="229" t="str">
        <f ca="1">IF(Giocatori!J151=0,"",Giocatori!J151)</f>
        <v>C</v>
      </c>
      <c r="J145" s="228" t="str">
        <f ca="1">IF(Giocatori!Q151=0,"",Giocatori!Q151)</f>
        <v/>
      </c>
      <c r="K145" s="229" t="str">
        <f ca="1">IF(Giocatori!R151=0,"",Giocatori!R151)</f>
        <v/>
      </c>
      <c r="L145" s="229" t="str">
        <f ca="1">IF(Giocatori!P151=0,"",Giocatori!P151)</f>
        <v/>
      </c>
      <c r="M145" s="229" t="str">
        <f ca="1">IF(Giocatori!N151=0,"",Giocatori!N151)</f>
        <v/>
      </c>
      <c r="N145" s="229" t="str">
        <f ca="1">IF(Giocatori!O151=0,"",Giocatori!O151)</f>
        <v/>
      </c>
      <c r="O145" s="229" t="str">
        <f ca="1">IF(Giocatori!M151=0,"",Giocatori!M151)</f>
        <v/>
      </c>
    </row>
    <row r="146" spans="1:15" s="1" customFormat="1" ht="14.25">
      <c r="A146" s="228" t="str">
        <f ca="1">IF(Giocatori!E152=0,"",Giocatori!E152)</f>
        <v/>
      </c>
      <c r="B146" s="229" t="str">
        <f ca="1">IF(Giocatori!F152=0,"",Giocatori!F152)</f>
        <v/>
      </c>
      <c r="C146" s="229" t="str">
        <f ca="1">IF(Giocatori!D152=0,"",Giocatori!D152)</f>
        <v/>
      </c>
      <c r="D146" s="228" t="str">
        <f ca="1">IF(Giocatori!H152=0,"",Giocatori!H152)</f>
        <v>PAVLOVIC</v>
      </c>
      <c r="E146" s="229" t="str">
        <f ca="1">IF(Giocatori!I152=0,"",Giocatori!I152)</f>
        <v>Crotone</v>
      </c>
      <c r="F146" s="229" t="str">
        <f ca="1">IF(Giocatori!G152=0,"",Giocatori!G152)</f>
        <v>D</v>
      </c>
      <c r="G146" s="228" t="str">
        <f ca="1">IF(Giocatori!K152=0,"",Giocatori!K152)</f>
        <v>RODRIGUEZ T</v>
      </c>
      <c r="H146" s="229" t="str">
        <f ca="1">IF(Giocatori!L152=0,"",Giocatori!L152)</f>
        <v>Genoa</v>
      </c>
      <c r="I146" s="229" t="str">
        <f ca="1">IF(Giocatori!J152=0,"",Giocatori!J152)</f>
        <v>C</v>
      </c>
      <c r="J146" s="228" t="str">
        <f ca="1">IF(Giocatori!Q152=0,"",Giocatori!Q152)</f>
        <v/>
      </c>
      <c r="K146" s="229" t="str">
        <f ca="1">IF(Giocatori!R152=0,"",Giocatori!R152)</f>
        <v/>
      </c>
      <c r="L146" s="229" t="str">
        <f ca="1">IF(Giocatori!P152=0,"",Giocatori!P152)</f>
        <v/>
      </c>
      <c r="M146" s="229" t="str">
        <f ca="1">IF(Giocatori!N152=0,"",Giocatori!N152)</f>
        <v/>
      </c>
      <c r="N146" s="229" t="str">
        <f ca="1">IF(Giocatori!O152=0,"",Giocatori!O152)</f>
        <v/>
      </c>
      <c r="O146" s="229" t="str">
        <f ca="1">IF(Giocatori!M152=0,"",Giocatori!M152)</f>
        <v/>
      </c>
    </row>
    <row r="147" spans="1:15" s="1" customFormat="1" ht="14.25">
      <c r="A147" s="228" t="str">
        <f ca="1">IF(Giocatori!E153=0,"",Giocatori!E153)</f>
        <v/>
      </c>
      <c r="B147" s="229" t="str">
        <f ca="1">IF(Giocatori!F153=0,"",Giocatori!F153)</f>
        <v/>
      </c>
      <c r="C147" s="229" t="str">
        <f ca="1">IF(Giocatori!D153=0,"",Giocatori!D153)</f>
        <v/>
      </c>
      <c r="D147" s="228" t="str">
        <f ca="1">IF(Giocatori!H153=0,"",Giocatori!H153)</f>
        <v>PELUSO</v>
      </c>
      <c r="E147" s="229" t="str">
        <f ca="1">IF(Giocatori!I153=0,"",Giocatori!I153)</f>
        <v>Sassuolo</v>
      </c>
      <c r="F147" s="229" t="str">
        <f ca="1">IF(Giocatori!G153=0,"",Giocatori!G153)</f>
        <v>D</v>
      </c>
      <c r="G147" s="228" t="str">
        <f ca="1">IF(Giocatori!K153=0,"",Giocatori!K153)</f>
        <v>ROG</v>
      </c>
      <c r="H147" s="229" t="str">
        <f ca="1">IF(Giocatori!L153=0,"",Giocatori!L153)</f>
        <v>Napoli</v>
      </c>
      <c r="I147" s="229" t="str">
        <f ca="1">IF(Giocatori!J153=0,"",Giocatori!J153)</f>
        <v>C</v>
      </c>
      <c r="J147" s="228" t="str">
        <f ca="1">IF(Giocatori!Q153=0,"",Giocatori!Q153)</f>
        <v/>
      </c>
      <c r="K147" s="229" t="str">
        <f ca="1">IF(Giocatori!R153=0,"",Giocatori!R153)</f>
        <v/>
      </c>
      <c r="L147" s="229" t="str">
        <f ca="1">IF(Giocatori!P153=0,"",Giocatori!P153)</f>
        <v/>
      </c>
      <c r="M147" s="229" t="str">
        <f ca="1">IF(Giocatori!N153=0,"",Giocatori!N153)</f>
        <v/>
      </c>
      <c r="N147" s="229" t="str">
        <f ca="1">IF(Giocatori!O153=0,"",Giocatori!O153)</f>
        <v/>
      </c>
      <c r="O147" s="229" t="str">
        <f ca="1">IF(Giocatori!M153=0,"",Giocatori!M153)</f>
        <v/>
      </c>
    </row>
    <row r="148" spans="1:15" s="1" customFormat="1" ht="14.25">
      <c r="A148" s="228" t="str">
        <f ca="1">IF(Giocatori!E154=0,"",Giocatori!E154)</f>
        <v/>
      </c>
      <c r="B148" s="229" t="str">
        <f ca="1">IF(Giocatori!F154=0,"",Giocatori!F154)</f>
        <v/>
      </c>
      <c r="C148" s="229" t="str">
        <f ca="1">IF(Giocatori!D154=0,"",Giocatori!D154)</f>
        <v/>
      </c>
      <c r="D148" s="228" t="str">
        <f ca="1">IF(Giocatori!H154=0,"",Giocatori!H154)</f>
        <v>PEZZELLA GER</v>
      </c>
      <c r="E148" s="229" t="str">
        <f ca="1">IF(Giocatori!I154=0,"",Giocatori!I154)</f>
        <v>Fiorentina</v>
      </c>
      <c r="F148" s="229" t="str">
        <f ca="1">IF(Giocatori!G154=0,"",Giocatori!G154)</f>
        <v>D</v>
      </c>
      <c r="G148" s="228" t="str">
        <f ca="1">IF(Giocatori!K154=0,"",Giocatori!K154)</f>
        <v>ROHDEN</v>
      </c>
      <c r="H148" s="229" t="str">
        <f ca="1">IF(Giocatori!L154=0,"",Giocatori!L154)</f>
        <v>Crotone</v>
      </c>
      <c r="I148" s="229" t="str">
        <f ca="1">IF(Giocatori!J154=0,"",Giocatori!J154)</f>
        <v>C</v>
      </c>
      <c r="J148" s="228" t="str">
        <f ca="1">IF(Giocatori!Q154=0,"",Giocatori!Q154)</f>
        <v/>
      </c>
      <c r="K148" s="229" t="str">
        <f ca="1">IF(Giocatori!R154=0,"",Giocatori!R154)</f>
        <v/>
      </c>
      <c r="L148" s="229" t="str">
        <f ca="1">IF(Giocatori!P154=0,"",Giocatori!P154)</f>
        <v/>
      </c>
      <c r="M148" s="229" t="str">
        <f ca="1">IF(Giocatori!N154=0,"",Giocatori!N154)</f>
        <v/>
      </c>
      <c r="N148" s="229" t="str">
        <f ca="1">IF(Giocatori!O154=0,"",Giocatori!O154)</f>
        <v/>
      </c>
      <c r="O148" s="229" t="str">
        <f ca="1">IF(Giocatori!M154=0,"",Giocatori!M154)</f>
        <v/>
      </c>
    </row>
    <row r="149" spans="1:15" s="1" customFormat="1" ht="14.25">
      <c r="A149" s="228" t="str">
        <f ca="1">IF(Giocatori!E155=0,"",Giocatori!E155)</f>
        <v/>
      </c>
      <c r="B149" s="229" t="str">
        <f ca="1">IF(Giocatori!F155=0,"",Giocatori!F155)</f>
        <v/>
      </c>
      <c r="C149" s="229" t="str">
        <f ca="1">IF(Giocatori!D155=0,"",Giocatori!D155)</f>
        <v/>
      </c>
      <c r="D149" s="228" t="str">
        <f ca="1">IF(Giocatori!H155=0,"",Giocatori!H155)</f>
        <v>PEZZELLA GIU</v>
      </c>
      <c r="E149" s="229" t="str">
        <f ca="1">IF(Giocatori!I155=0,"",Giocatori!I155)</f>
        <v>Udinese</v>
      </c>
      <c r="F149" s="229" t="str">
        <f ca="1">IF(Giocatori!G155=0,"",Giocatori!G155)</f>
        <v>D</v>
      </c>
      <c r="G149" s="228" t="str">
        <f ca="1">IF(Giocatori!K155=0,"",Giocatori!K155)</f>
        <v>ROMERO</v>
      </c>
      <c r="H149" s="229" t="str">
        <f ca="1">IF(Giocatori!L155=0,"",Giocatori!L155)</f>
        <v>Crotone</v>
      </c>
      <c r="I149" s="229" t="str">
        <f ca="1">IF(Giocatori!J155=0,"",Giocatori!J155)</f>
        <v>C</v>
      </c>
      <c r="J149" s="228" t="str">
        <f ca="1">IF(Giocatori!Q155=0,"",Giocatori!Q155)</f>
        <v/>
      </c>
      <c r="K149" s="229" t="str">
        <f ca="1">IF(Giocatori!R155=0,"",Giocatori!R155)</f>
        <v/>
      </c>
      <c r="L149" s="229" t="str">
        <f ca="1">IF(Giocatori!P155=0,"",Giocatori!P155)</f>
        <v/>
      </c>
      <c r="M149" s="229" t="str">
        <f ca="1">IF(Giocatori!N155=0,"",Giocatori!N155)</f>
        <v/>
      </c>
      <c r="N149" s="229" t="str">
        <f ca="1">IF(Giocatori!O155=0,"",Giocatori!O155)</f>
        <v/>
      </c>
      <c r="O149" s="229" t="str">
        <f ca="1">IF(Giocatori!M155=0,"",Giocatori!M155)</f>
        <v/>
      </c>
    </row>
    <row r="150" spans="1:15" s="1" customFormat="1" ht="14.25">
      <c r="A150" s="228" t="str">
        <f ca="1">IF(Giocatori!E156=0,"",Giocatori!E156)</f>
        <v/>
      </c>
      <c r="B150" s="229" t="str">
        <f ca="1">IF(Giocatori!F156=0,"",Giocatori!F156)</f>
        <v/>
      </c>
      <c r="C150" s="229" t="str">
        <f ca="1">IF(Giocatori!D156=0,"",Giocatori!D156)</f>
        <v/>
      </c>
      <c r="D150" s="228" t="str">
        <f ca="1">IF(Giocatori!H156=0,"",Giocatori!H156)</f>
        <v>PISACANE</v>
      </c>
      <c r="E150" s="229" t="str">
        <f ca="1">IF(Giocatori!I156=0,"",Giocatori!I156)</f>
        <v>Cagliari</v>
      </c>
      <c r="F150" s="229" t="str">
        <f ca="1">IF(Giocatori!G156=0,"",Giocatori!G156)</f>
        <v>D</v>
      </c>
      <c r="G150" s="228" t="str">
        <f ca="1">IF(Giocatori!K156=0,"",Giocatori!K156)</f>
        <v>SANCHEZ</v>
      </c>
      <c r="H150" s="229" t="str">
        <f ca="1">IF(Giocatori!L156=0,"",Giocatori!L156)</f>
        <v>Fiorentina</v>
      </c>
      <c r="I150" s="229" t="str">
        <f ca="1">IF(Giocatori!J156=0,"",Giocatori!J156)</f>
        <v>C</v>
      </c>
      <c r="J150" s="228" t="str">
        <f ca="1">IF(Giocatori!Q156=0,"",Giocatori!Q156)</f>
        <v/>
      </c>
      <c r="K150" s="229" t="str">
        <f ca="1">IF(Giocatori!R156=0,"",Giocatori!R156)</f>
        <v/>
      </c>
      <c r="L150" s="229" t="str">
        <f ca="1">IF(Giocatori!P156=0,"",Giocatori!P156)</f>
        <v/>
      </c>
      <c r="M150" s="229" t="str">
        <f ca="1">IF(Giocatori!N156=0,"",Giocatori!N156)</f>
        <v/>
      </c>
      <c r="N150" s="229" t="str">
        <f ca="1">IF(Giocatori!O156=0,"",Giocatori!O156)</f>
        <v/>
      </c>
      <c r="O150" s="229" t="str">
        <f ca="1">IF(Giocatori!M156=0,"",Giocatori!M156)</f>
        <v/>
      </c>
    </row>
    <row r="151" spans="1:15" s="1" customFormat="1" ht="14.25">
      <c r="A151" s="228" t="str">
        <f ca="1">IF(Giocatori!E157=0,"",Giocatori!E157)</f>
        <v/>
      </c>
      <c r="B151" s="229" t="str">
        <f ca="1">IF(Giocatori!F157=0,"",Giocatori!F157)</f>
        <v/>
      </c>
      <c r="C151" s="229" t="str">
        <f ca="1">IF(Giocatori!D157=0,"",Giocatori!D157)</f>
        <v/>
      </c>
      <c r="D151" s="228" t="str">
        <f ca="1">IF(Giocatori!H157=0,"",Giocatori!H157)</f>
        <v>RADU</v>
      </c>
      <c r="E151" s="229" t="str">
        <f ca="1">IF(Giocatori!I157=0,"",Giocatori!I157)</f>
        <v>Lazio</v>
      </c>
      <c r="F151" s="229" t="str">
        <f ca="1">IF(Giocatori!G157=0,"",Giocatori!G157)</f>
        <v>D</v>
      </c>
      <c r="G151" s="228" t="str">
        <f ca="1">IF(Giocatori!K157=0,"",Giocatori!K157)</f>
        <v>SAPONARA</v>
      </c>
      <c r="H151" s="229" t="str">
        <f ca="1">IF(Giocatori!L157=0,"",Giocatori!L157)</f>
        <v>Fiorentina</v>
      </c>
      <c r="I151" s="229" t="str">
        <f ca="1">IF(Giocatori!J157=0,"",Giocatori!J157)</f>
        <v>C</v>
      </c>
      <c r="J151" s="228" t="str">
        <f ca="1">IF(Giocatori!Q157=0,"",Giocatori!Q157)</f>
        <v/>
      </c>
      <c r="K151" s="229" t="str">
        <f ca="1">IF(Giocatori!R157=0,"",Giocatori!R157)</f>
        <v/>
      </c>
      <c r="L151" s="229" t="str">
        <f ca="1">IF(Giocatori!P157=0,"",Giocatori!P157)</f>
        <v/>
      </c>
      <c r="M151" s="229" t="str">
        <f ca="1">IF(Giocatori!N157=0,"",Giocatori!N157)</f>
        <v/>
      </c>
      <c r="N151" s="229" t="str">
        <f ca="1">IF(Giocatori!O157=0,"",Giocatori!O157)</f>
        <v/>
      </c>
      <c r="O151" s="229" t="str">
        <f ca="1">IF(Giocatori!M157=0,"",Giocatori!M157)</f>
        <v/>
      </c>
    </row>
    <row r="152" spans="1:15" s="1" customFormat="1" ht="14.25">
      <c r="A152" s="228" t="str">
        <f ca="1">IF(Giocatori!E158=0,"",Giocatori!E158)</f>
        <v/>
      </c>
      <c r="B152" s="229" t="str">
        <f ca="1">IF(Giocatori!F158=0,"",Giocatori!F158)</f>
        <v/>
      </c>
      <c r="C152" s="229" t="str">
        <f ca="1">IF(Giocatori!D158=0,"",Giocatori!D158)</f>
        <v/>
      </c>
      <c r="D152" s="228" t="str">
        <f ca="1">IF(Giocatori!H158=0,"",Giocatori!H158)</f>
        <v>RANOCCHIA</v>
      </c>
      <c r="E152" s="229" t="str">
        <f ca="1">IF(Giocatori!I158=0,"",Giocatori!I158)</f>
        <v>Inter</v>
      </c>
      <c r="F152" s="229" t="str">
        <f ca="1">IF(Giocatori!G158=0,"",Giocatori!G158)</f>
        <v>D</v>
      </c>
      <c r="G152" s="228" t="str">
        <f ca="1">IF(Giocatori!K158=0,"",Giocatori!K158)</f>
        <v>SCHIATTARELLA</v>
      </c>
      <c r="H152" s="229" t="str">
        <f ca="1">IF(Giocatori!L158=0,"",Giocatori!L158)</f>
        <v>SPAL</v>
      </c>
      <c r="I152" s="229" t="str">
        <f ca="1">IF(Giocatori!J158=0,"",Giocatori!J158)</f>
        <v>C</v>
      </c>
      <c r="J152" s="228" t="str">
        <f ca="1">IF(Giocatori!Q158=0,"",Giocatori!Q158)</f>
        <v/>
      </c>
      <c r="K152" s="229" t="str">
        <f ca="1">IF(Giocatori!R158=0,"",Giocatori!R158)</f>
        <v/>
      </c>
      <c r="L152" s="229" t="str">
        <f ca="1">IF(Giocatori!P158=0,"",Giocatori!P158)</f>
        <v/>
      </c>
      <c r="M152" s="229" t="str">
        <f ca="1">IF(Giocatori!N158=0,"",Giocatori!N158)</f>
        <v/>
      </c>
      <c r="N152" s="229" t="str">
        <f ca="1">IF(Giocatori!O158=0,"",Giocatori!O158)</f>
        <v/>
      </c>
      <c r="O152" s="229" t="str">
        <f ca="1">IF(Giocatori!M158=0,"",Giocatori!M158)</f>
        <v/>
      </c>
    </row>
    <row r="153" spans="1:15" s="1" customFormat="1" ht="14.25">
      <c r="A153" s="228" t="str">
        <f ca="1">IF(Giocatori!E159=0,"",Giocatori!E159)</f>
        <v/>
      </c>
      <c r="B153" s="229" t="str">
        <f ca="1">IF(Giocatori!F159=0,"",Giocatori!F159)</f>
        <v/>
      </c>
      <c r="C153" s="229" t="str">
        <f ca="1">IF(Giocatori!D159=0,"",Giocatori!D159)</f>
        <v/>
      </c>
      <c r="D153" s="228" t="str">
        <f ca="1">IF(Giocatori!H159=0,"",Giocatori!H159)</f>
        <v>REGINI</v>
      </c>
      <c r="E153" s="229" t="str">
        <f ca="1">IF(Giocatori!I159=0,"",Giocatori!I159)</f>
        <v>Sampdoria</v>
      </c>
      <c r="F153" s="229" t="str">
        <f ca="1">IF(Giocatori!G159=0,"",Giocatori!G159)</f>
        <v>D</v>
      </c>
      <c r="G153" s="228" t="str">
        <f ca="1">IF(Giocatori!K159=0,"",Giocatori!K159)</f>
        <v>SCHIAVON</v>
      </c>
      <c r="H153" s="229" t="str">
        <f ca="1">IF(Giocatori!L159=0,"",Giocatori!L159)</f>
        <v>SPAL</v>
      </c>
      <c r="I153" s="229" t="str">
        <f ca="1">IF(Giocatori!J159=0,"",Giocatori!J159)</f>
        <v>C</v>
      </c>
      <c r="J153" s="228" t="str">
        <f ca="1">IF(Giocatori!Q159=0,"",Giocatori!Q159)</f>
        <v/>
      </c>
      <c r="K153" s="229" t="str">
        <f ca="1">IF(Giocatori!R159=0,"",Giocatori!R159)</f>
        <v/>
      </c>
      <c r="L153" s="229" t="str">
        <f ca="1">IF(Giocatori!P159=0,"",Giocatori!P159)</f>
        <v/>
      </c>
      <c r="M153" s="229" t="str">
        <f ca="1">IF(Giocatori!N159=0,"",Giocatori!N159)</f>
        <v/>
      </c>
      <c r="N153" s="229" t="str">
        <f ca="1">IF(Giocatori!O159=0,"",Giocatori!O159)</f>
        <v/>
      </c>
      <c r="O153" s="229" t="str">
        <f ca="1">IF(Giocatori!M159=0,"",Giocatori!M159)</f>
        <v/>
      </c>
    </row>
    <row r="154" spans="1:15" s="1" customFormat="1" ht="14.25">
      <c r="A154" s="228" t="str">
        <f ca="1">IF(Giocatori!E160=0,"",Giocatori!E160)</f>
        <v/>
      </c>
      <c r="B154" s="229" t="str">
        <f ca="1">IF(Giocatori!F160=0,"",Giocatori!F160)</f>
        <v/>
      </c>
      <c r="C154" s="229" t="str">
        <f ca="1">IF(Giocatori!D160=0,"",Giocatori!D160)</f>
        <v/>
      </c>
      <c r="D154" s="228" t="str">
        <f ca="1">IF(Giocatori!H160=0,"",Giocatori!H160)</f>
        <v>RODRIGUEZ R</v>
      </c>
      <c r="E154" s="229" t="str">
        <f ca="1">IF(Giocatori!I160=0,"",Giocatori!I160)</f>
        <v>Milan</v>
      </c>
      <c r="F154" s="229" t="str">
        <f ca="1">IF(Giocatori!G160=0,"",Giocatori!G160)</f>
        <v>D</v>
      </c>
      <c r="G154" s="228" t="str">
        <f ca="1">IF(Giocatori!K160=0,"",Giocatori!K160)</f>
        <v>SENSI</v>
      </c>
      <c r="H154" s="229" t="str">
        <f ca="1">IF(Giocatori!L160=0,"",Giocatori!L160)</f>
        <v>Sassuolo</v>
      </c>
      <c r="I154" s="229" t="str">
        <f ca="1">IF(Giocatori!J160=0,"",Giocatori!J160)</f>
        <v>C</v>
      </c>
      <c r="J154" s="228" t="str">
        <f ca="1">IF(Giocatori!Q160=0,"",Giocatori!Q160)</f>
        <v/>
      </c>
      <c r="K154" s="229" t="str">
        <f ca="1">IF(Giocatori!R160=0,"",Giocatori!R160)</f>
        <v/>
      </c>
      <c r="L154" s="229" t="str">
        <f ca="1">IF(Giocatori!P160=0,"",Giocatori!P160)</f>
        <v/>
      </c>
      <c r="M154" s="229" t="str">
        <f ca="1">IF(Giocatori!N160=0,"",Giocatori!N160)</f>
        <v/>
      </c>
      <c r="N154" s="229" t="str">
        <f ca="1">IF(Giocatori!O160=0,"",Giocatori!O160)</f>
        <v/>
      </c>
      <c r="O154" s="229" t="str">
        <f ca="1">IF(Giocatori!M160=0,"",Giocatori!M160)</f>
        <v/>
      </c>
    </row>
    <row r="155" spans="1:15" s="1" customFormat="1" ht="14.25">
      <c r="A155" s="228" t="str">
        <f ca="1">IF(Giocatori!E161=0,"",Giocatori!E161)</f>
        <v/>
      </c>
      <c r="B155" s="229" t="str">
        <f ca="1">IF(Giocatori!F161=0,"",Giocatori!F161)</f>
        <v/>
      </c>
      <c r="C155" s="229" t="str">
        <f ca="1">IF(Giocatori!D161=0,"",Giocatori!D161)</f>
        <v/>
      </c>
      <c r="D155" s="228" t="str">
        <f ca="1">IF(Giocatori!H161=0,"",Giocatori!H161)</f>
        <v>ROGERIO</v>
      </c>
      <c r="E155" s="229" t="str">
        <f ca="1">IF(Giocatori!I161=0,"",Giocatori!I161)</f>
        <v>Sassuolo</v>
      </c>
      <c r="F155" s="229" t="str">
        <f ca="1">IF(Giocatori!G161=0,"",Giocatori!G161)</f>
        <v>D</v>
      </c>
      <c r="G155" s="228" t="str">
        <f ca="1">IF(Giocatori!K161=0,"",Giocatori!K161)</f>
        <v>SPINAZZOLA</v>
      </c>
      <c r="H155" s="229" t="str">
        <f ca="1">IF(Giocatori!L161=0,"",Giocatori!L161)</f>
        <v>Atalanta</v>
      </c>
      <c r="I155" s="229" t="str">
        <f ca="1">IF(Giocatori!J161=0,"",Giocatori!J161)</f>
        <v>C</v>
      </c>
      <c r="J155" s="228" t="str">
        <f ca="1">IF(Giocatori!Q161=0,"",Giocatori!Q161)</f>
        <v/>
      </c>
      <c r="K155" s="229" t="str">
        <f ca="1">IF(Giocatori!R161=0,"",Giocatori!R161)</f>
        <v/>
      </c>
      <c r="L155" s="229" t="str">
        <f ca="1">IF(Giocatori!P161=0,"",Giocatori!P161)</f>
        <v/>
      </c>
      <c r="M155" s="229" t="str">
        <f ca="1">IF(Giocatori!N161=0,"",Giocatori!N161)</f>
        <v/>
      </c>
      <c r="N155" s="229" t="str">
        <f ca="1">IF(Giocatori!O161=0,"",Giocatori!O161)</f>
        <v/>
      </c>
      <c r="O155" s="229" t="str">
        <f ca="1">IF(Giocatori!M161=0,"",Giocatori!M161)</f>
        <v/>
      </c>
    </row>
    <row r="156" spans="1:15" s="1" customFormat="1" ht="14.25">
      <c r="A156" s="228" t="str">
        <f ca="1">IF(Giocatori!E162=0,"",Giocatori!E162)</f>
        <v/>
      </c>
      <c r="B156" s="229" t="str">
        <f ca="1">IF(Giocatori!F162=0,"",Giocatori!F162)</f>
        <v/>
      </c>
      <c r="C156" s="229" t="str">
        <f ca="1">IF(Giocatori!D162=0,"",Giocatori!D162)</f>
        <v/>
      </c>
      <c r="D156" s="228" t="str">
        <f ca="1">IF(Giocatori!H162=0,"",Giocatori!H162)</f>
        <v>ROMAGNA</v>
      </c>
      <c r="E156" s="229" t="str">
        <f ca="1">IF(Giocatori!I162=0,"",Giocatori!I162)</f>
        <v>Cagliari</v>
      </c>
      <c r="F156" s="229" t="str">
        <f ca="1">IF(Giocatori!G162=0,"",Giocatori!G162)</f>
        <v>D</v>
      </c>
      <c r="G156" s="228" t="str">
        <f ca="1">IF(Giocatori!K162=0,"",Giocatori!K162)</f>
        <v>STOIAN</v>
      </c>
      <c r="H156" s="229" t="str">
        <f ca="1">IF(Giocatori!L162=0,"",Giocatori!L162)</f>
        <v>Crotone</v>
      </c>
      <c r="I156" s="229" t="str">
        <f ca="1">IF(Giocatori!J162=0,"",Giocatori!J162)</f>
        <v>C</v>
      </c>
      <c r="J156" s="228" t="str">
        <f ca="1">IF(Giocatori!Q162=0,"",Giocatori!Q162)</f>
        <v/>
      </c>
      <c r="K156" s="229" t="str">
        <f ca="1">IF(Giocatori!R162=0,"",Giocatori!R162)</f>
        <v/>
      </c>
      <c r="L156" s="229" t="str">
        <f ca="1">IF(Giocatori!P162=0,"",Giocatori!P162)</f>
        <v/>
      </c>
      <c r="M156" s="229" t="str">
        <f ca="1">IF(Giocatori!N162=0,"",Giocatori!N162)</f>
        <v/>
      </c>
      <c r="N156" s="229" t="str">
        <f ca="1">IF(Giocatori!O162=0,"",Giocatori!O162)</f>
        <v/>
      </c>
      <c r="O156" s="229" t="str">
        <f ca="1">IF(Giocatori!M162=0,"",Giocatori!M162)</f>
        <v/>
      </c>
    </row>
    <row r="157" spans="1:15" s="1" customFormat="1" ht="14.25">
      <c r="A157" s="228" t="str">
        <f ca="1">IF(Giocatori!E163=0,"",Giocatori!E163)</f>
        <v/>
      </c>
      <c r="B157" s="229" t="str">
        <f ca="1">IF(Giocatori!F163=0,"",Giocatori!F163)</f>
        <v/>
      </c>
      <c r="C157" s="229" t="str">
        <f ca="1">IF(Giocatori!D163=0,"",Giocatori!D163)</f>
        <v/>
      </c>
      <c r="D157" s="228" t="str">
        <f ca="1">IF(Giocatori!H163=0,"",Giocatori!H163)</f>
        <v>ROMAGNOLI A</v>
      </c>
      <c r="E157" s="229" t="str">
        <f ca="1">IF(Giocatori!I163=0,"",Giocatori!I163)</f>
        <v>Milan</v>
      </c>
      <c r="F157" s="229" t="str">
        <f ca="1">IF(Giocatori!G163=0,"",Giocatori!G163)</f>
        <v>D</v>
      </c>
      <c r="G157" s="228" t="str">
        <f ca="1">IF(Giocatori!K163=0,"",Giocatori!K163)</f>
        <v>STROOTMAN</v>
      </c>
      <c r="H157" s="229" t="str">
        <f ca="1">IF(Giocatori!L163=0,"",Giocatori!L163)</f>
        <v>Roma</v>
      </c>
      <c r="I157" s="229" t="str">
        <f ca="1">IF(Giocatori!J163=0,"",Giocatori!J163)</f>
        <v>C</v>
      </c>
      <c r="J157" s="228" t="str">
        <f ca="1">IF(Giocatori!Q163=0,"",Giocatori!Q163)</f>
        <v/>
      </c>
      <c r="K157" s="229" t="str">
        <f ca="1">IF(Giocatori!R163=0,"",Giocatori!R163)</f>
        <v/>
      </c>
      <c r="L157" s="229" t="str">
        <f ca="1">IF(Giocatori!P163=0,"",Giocatori!P163)</f>
        <v/>
      </c>
      <c r="M157" s="229" t="str">
        <f ca="1">IF(Giocatori!N163=0,"",Giocatori!N163)</f>
        <v/>
      </c>
      <c r="N157" s="229" t="str">
        <f ca="1">IF(Giocatori!O163=0,"",Giocatori!O163)</f>
        <v/>
      </c>
      <c r="O157" s="229" t="str">
        <f ca="1">IF(Giocatori!M163=0,"",Giocatori!M163)</f>
        <v/>
      </c>
    </row>
    <row r="158" spans="1:15" s="1" customFormat="1" ht="14.25">
      <c r="A158" s="228" t="str">
        <f ca="1">IF(Giocatori!E164=0,"",Giocatori!E164)</f>
        <v/>
      </c>
      <c r="B158" s="229" t="str">
        <f ca="1">IF(Giocatori!F164=0,"",Giocatori!F164)</f>
        <v/>
      </c>
      <c r="C158" s="229" t="str">
        <f ca="1">IF(Giocatori!D164=0,"",Giocatori!D164)</f>
        <v/>
      </c>
      <c r="D158" s="228" t="str">
        <f ca="1">IF(Giocatori!H164=0,"",Giocatori!H164)</f>
        <v>ROMULO</v>
      </c>
      <c r="E158" s="229" t="str">
        <f ca="1">IF(Giocatori!I164=0,"",Giocatori!I164)</f>
        <v>Verona</v>
      </c>
      <c r="F158" s="229" t="str">
        <f ca="1">IF(Giocatori!G164=0,"",Giocatori!G164)</f>
        <v>D</v>
      </c>
      <c r="G158" s="228" t="str">
        <f ca="1">IF(Giocatori!K164=0,"",Giocatori!K164)</f>
        <v>STURARO</v>
      </c>
      <c r="H158" s="229" t="str">
        <f ca="1">IF(Giocatori!L164=0,"",Giocatori!L164)</f>
        <v>Juventus</v>
      </c>
      <c r="I158" s="229" t="str">
        <f ca="1">IF(Giocatori!J164=0,"",Giocatori!J164)</f>
        <v>C</v>
      </c>
      <c r="J158" s="228" t="str">
        <f ca="1">IF(Giocatori!Q164=0,"",Giocatori!Q164)</f>
        <v/>
      </c>
      <c r="K158" s="229" t="str">
        <f ca="1">IF(Giocatori!R164=0,"",Giocatori!R164)</f>
        <v/>
      </c>
      <c r="L158" s="229" t="str">
        <f ca="1">IF(Giocatori!P164=0,"",Giocatori!P164)</f>
        <v/>
      </c>
      <c r="M158" s="229" t="str">
        <f ca="1">IF(Giocatori!N164=0,"",Giocatori!N164)</f>
        <v/>
      </c>
      <c r="N158" s="229" t="str">
        <f ca="1">IF(Giocatori!O164=0,"",Giocatori!O164)</f>
        <v/>
      </c>
      <c r="O158" s="229" t="str">
        <f ca="1">IF(Giocatori!M164=0,"",Giocatori!M164)</f>
        <v/>
      </c>
    </row>
    <row r="159" spans="1:15" s="1" customFormat="1" ht="14.25">
      <c r="A159" s="228" t="str">
        <f ca="1">IF(Giocatori!E165=0,"",Giocatori!E165)</f>
        <v/>
      </c>
      <c r="B159" s="229" t="str">
        <f ca="1">IF(Giocatori!F165=0,"",Giocatori!F165)</f>
        <v/>
      </c>
      <c r="C159" s="229" t="str">
        <f ca="1">IF(Giocatori!D165=0,"",Giocatori!D165)</f>
        <v/>
      </c>
      <c r="D159" s="228" t="str">
        <f ca="1">IF(Giocatori!H165=0,"",Giocatori!H165)</f>
        <v>ROSI</v>
      </c>
      <c r="E159" s="229" t="str">
        <f ca="1">IF(Giocatori!I165=0,"",Giocatori!I165)</f>
        <v>Genoa</v>
      </c>
      <c r="F159" s="229" t="str">
        <f ca="1">IF(Giocatori!G165=0,"",Giocatori!G165)</f>
        <v>D</v>
      </c>
      <c r="G159" s="228" t="str">
        <f ca="1">IF(Giocatori!K165=0,"",Giocatori!K165)</f>
        <v>SULJIC</v>
      </c>
      <c r="H159" s="229" t="str">
        <f ca="1">IF(Giocatori!L165=0,"",Giocatori!L165)</f>
        <v>Crotone</v>
      </c>
      <c r="I159" s="229" t="str">
        <f ca="1">IF(Giocatori!J165=0,"",Giocatori!J165)</f>
        <v>C</v>
      </c>
      <c r="J159" s="228" t="str">
        <f ca="1">IF(Giocatori!Q165=0,"",Giocatori!Q165)</f>
        <v/>
      </c>
      <c r="K159" s="229" t="str">
        <f ca="1">IF(Giocatori!R165=0,"",Giocatori!R165)</f>
        <v/>
      </c>
      <c r="L159" s="229" t="str">
        <f ca="1">IF(Giocatori!P165=0,"",Giocatori!P165)</f>
        <v/>
      </c>
      <c r="M159" s="229" t="str">
        <f ca="1">IF(Giocatori!N165=0,"",Giocatori!N165)</f>
        <v/>
      </c>
      <c r="N159" s="229" t="str">
        <f ca="1">IF(Giocatori!O165=0,"",Giocatori!O165)</f>
        <v/>
      </c>
      <c r="O159" s="229" t="str">
        <f ca="1">IF(Giocatori!M165=0,"",Giocatori!M165)</f>
        <v/>
      </c>
    </row>
    <row r="160" spans="1:15" s="1" customFormat="1" ht="14.25">
      <c r="A160" s="228" t="str">
        <f ca="1">IF(Giocatori!E166=0,"",Giocatori!E166)</f>
        <v/>
      </c>
      <c r="B160" s="229" t="str">
        <f ca="1">IF(Giocatori!F166=0,"",Giocatori!F166)</f>
        <v/>
      </c>
      <c r="C160" s="229" t="str">
        <f ca="1">IF(Giocatori!D166=0,"",Giocatori!D166)</f>
        <v/>
      </c>
      <c r="D160" s="228" t="str">
        <f ca="1">IF(Giocatori!H166=0,"",Giocatori!H166)</f>
        <v>ROSSETTINI</v>
      </c>
      <c r="E160" s="229" t="str">
        <f ca="1">IF(Giocatori!I166=0,"",Giocatori!I166)</f>
        <v>Genoa</v>
      </c>
      <c r="F160" s="229" t="str">
        <f ca="1">IF(Giocatori!G166=0,"",Giocatori!G166)</f>
        <v>D</v>
      </c>
      <c r="G160" s="228" t="str">
        <f ca="1">IF(Giocatori!K166=0,"",Giocatori!K166)</f>
        <v>TAIDER</v>
      </c>
      <c r="H160" s="229" t="str">
        <f ca="1">IF(Giocatori!L166=0,"",Giocatori!L166)</f>
        <v>Bologna</v>
      </c>
      <c r="I160" s="229" t="str">
        <f ca="1">IF(Giocatori!J166=0,"",Giocatori!J166)</f>
        <v>C</v>
      </c>
      <c r="J160" s="228" t="str">
        <f ca="1">IF(Giocatori!Q166=0,"",Giocatori!Q166)</f>
        <v/>
      </c>
      <c r="K160" s="229" t="str">
        <f ca="1">IF(Giocatori!R166=0,"",Giocatori!R166)</f>
        <v/>
      </c>
      <c r="L160" s="229" t="str">
        <f ca="1">IF(Giocatori!P166=0,"",Giocatori!P166)</f>
        <v/>
      </c>
      <c r="M160" s="229" t="str">
        <f ca="1">IF(Giocatori!N166=0,"",Giocatori!N166)</f>
        <v/>
      </c>
      <c r="N160" s="229" t="str">
        <f ca="1">IF(Giocatori!O166=0,"",Giocatori!O166)</f>
        <v/>
      </c>
      <c r="O160" s="229" t="str">
        <f ca="1">IF(Giocatori!M166=0,"",Giocatori!M166)</f>
        <v/>
      </c>
    </row>
    <row r="161" spans="1:15" s="1" customFormat="1" ht="14.25">
      <c r="A161" s="228" t="str">
        <f ca="1">IF(Giocatori!E167=0,"",Giocatori!E167)</f>
        <v/>
      </c>
      <c r="B161" s="229" t="str">
        <f ca="1">IF(Giocatori!F167=0,"",Giocatori!F167)</f>
        <v/>
      </c>
      <c r="C161" s="229" t="str">
        <f ca="1">IF(Giocatori!D167=0,"",Giocatori!D167)</f>
        <v/>
      </c>
      <c r="D161" s="228" t="str">
        <f ca="1">IF(Giocatori!H167=0,"",Giocatori!H167)</f>
        <v>RUGANI</v>
      </c>
      <c r="E161" s="229" t="str">
        <f ca="1">IF(Giocatori!I167=0,"",Giocatori!I167)</f>
        <v>Juventus</v>
      </c>
      <c r="F161" s="229" t="str">
        <f ca="1">IF(Giocatori!G167=0,"",Giocatori!G167)</f>
        <v>D</v>
      </c>
      <c r="G161" s="228" t="str">
        <f ca="1">IF(Giocatori!K167=0,"",Giocatori!K167)</f>
        <v>TORREIRA</v>
      </c>
      <c r="H161" s="229" t="str">
        <f ca="1">IF(Giocatori!L167=0,"",Giocatori!L167)</f>
        <v>Sampdoria</v>
      </c>
      <c r="I161" s="229" t="str">
        <f ca="1">IF(Giocatori!J167=0,"",Giocatori!J167)</f>
        <v>C</v>
      </c>
      <c r="J161" s="228" t="str">
        <f ca="1">IF(Giocatori!Q167=0,"",Giocatori!Q167)</f>
        <v/>
      </c>
      <c r="K161" s="229" t="str">
        <f ca="1">IF(Giocatori!R167=0,"",Giocatori!R167)</f>
        <v/>
      </c>
      <c r="L161" s="229" t="str">
        <f ca="1">IF(Giocatori!P167=0,"",Giocatori!P167)</f>
        <v/>
      </c>
      <c r="M161" s="229" t="str">
        <f ca="1">IF(Giocatori!N167=0,"",Giocatori!N167)</f>
        <v/>
      </c>
      <c r="N161" s="229" t="str">
        <f ca="1">IF(Giocatori!O167=0,"",Giocatori!O167)</f>
        <v/>
      </c>
      <c r="O161" s="229" t="str">
        <f ca="1">IF(Giocatori!M167=0,"",Giocatori!M167)</f>
        <v/>
      </c>
    </row>
    <row r="162" spans="1:15" s="1" customFormat="1" ht="14.25">
      <c r="A162" s="228" t="str">
        <f ca="1">IF(Giocatori!E168=0,"",Giocatori!E168)</f>
        <v/>
      </c>
      <c r="B162" s="229" t="str">
        <f ca="1">IF(Giocatori!F168=0,"",Giocatori!F168)</f>
        <v/>
      </c>
      <c r="C162" s="229" t="str">
        <f ca="1">IF(Giocatori!D168=0,"",Giocatori!D168)</f>
        <v/>
      </c>
      <c r="D162" s="228" t="str">
        <f ca="1">IF(Giocatori!H168=0,"",Giocatori!H168)</f>
        <v>SALA</v>
      </c>
      <c r="E162" s="229" t="str">
        <f ca="1">IF(Giocatori!I168=0,"",Giocatori!I168)</f>
        <v>Sampdoria</v>
      </c>
      <c r="F162" s="229" t="str">
        <f ca="1">IF(Giocatori!G168=0,"",Giocatori!G168)</f>
        <v>D</v>
      </c>
      <c r="G162" s="228" t="str">
        <f ca="1">IF(Giocatori!K168=0,"",Giocatori!K168)</f>
        <v>UNDER</v>
      </c>
      <c r="H162" s="229" t="str">
        <f ca="1">IF(Giocatori!L168=0,"",Giocatori!L168)</f>
        <v>Roma</v>
      </c>
      <c r="I162" s="229" t="str">
        <f ca="1">IF(Giocatori!J168=0,"",Giocatori!J168)</f>
        <v>C</v>
      </c>
      <c r="J162" s="228" t="str">
        <f ca="1">IF(Giocatori!Q168=0,"",Giocatori!Q168)</f>
        <v/>
      </c>
      <c r="K162" s="229" t="str">
        <f ca="1">IF(Giocatori!R168=0,"",Giocatori!R168)</f>
        <v/>
      </c>
      <c r="L162" s="229" t="str">
        <f ca="1">IF(Giocatori!P168=0,"",Giocatori!P168)</f>
        <v/>
      </c>
      <c r="M162" s="229" t="str">
        <f ca="1">IF(Giocatori!N168=0,"",Giocatori!N168)</f>
        <v/>
      </c>
      <c r="N162" s="229" t="str">
        <f ca="1">IF(Giocatori!O168=0,"",Giocatori!O168)</f>
        <v/>
      </c>
      <c r="O162" s="229" t="str">
        <f ca="1">IF(Giocatori!M168=0,"",Giocatori!M168)</f>
        <v/>
      </c>
    </row>
    <row r="163" spans="1:15" s="1" customFormat="1" ht="14.25">
      <c r="A163" s="228" t="str">
        <f ca="1">IF(Giocatori!E169=0,"",Giocatori!E169)</f>
        <v/>
      </c>
      <c r="B163" s="229" t="str">
        <f ca="1">IF(Giocatori!F169=0,"",Giocatori!F169)</f>
        <v/>
      </c>
      <c r="C163" s="229" t="str">
        <f ca="1">IF(Giocatori!D169=0,"",Giocatori!D169)</f>
        <v/>
      </c>
      <c r="D163" s="228" t="str">
        <f ca="1">IF(Giocatori!H169=0,"",Giocatori!H169)</f>
        <v>SALAMON</v>
      </c>
      <c r="E163" s="229" t="str">
        <f ca="1">IF(Giocatori!I169=0,"",Giocatori!I169)</f>
        <v>SPAL</v>
      </c>
      <c r="F163" s="229" t="str">
        <f ca="1">IF(Giocatori!G169=0,"",Giocatori!G169)</f>
        <v>D</v>
      </c>
      <c r="G163" s="228" t="str">
        <f ca="1">IF(Giocatori!K169=0,"",Giocatori!K169)</f>
        <v>VALDIFIORI</v>
      </c>
      <c r="H163" s="229" t="str">
        <f ca="1">IF(Giocatori!L169=0,"",Giocatori!L169)</f>
        <v>Torino</v>
      </c>
      <c r="I163" s="229" t="str">
        <f ca="1">IF(Giocatori!J169=0,"",Giocatori!J169)</f>
        <v>C</v>
      </c>
      <c r="J163" s="228" t="str">
        <f ca="1">IF(Giocatori!Q169=0,"",Giocatori!Q169)</f>
        <v/>
      </c>
      <c r="K163" s="229" t="str">
        <f ca="1">IF(Giocatori!R169=0,"",Giocatori!R169)</f>
        <v/>
      </c>
      <c r="L163" s="229" t="str">
        <f ca="1">IF(Giocatori!P169=0,"",Giocatori!P169)</f>
        <v/>
      </c>
      <c r="M163" s="229" t="str">
        <f ca="1">IF(Giocatori!N169=0,"",Giocatori!N169)</f>
        <v/>
      </c>
      <c r="N163" s="229" t="str">
        <f ca="1">IF(Giocatori!O169=0,"",Giocatori!O169)</f>
        <v/>
      </c>
      <c r="O163" s="229" t="str">
        <f ca="1">IF(Giocatori!M169=0,"",Giocatori!M169)</f>
        <v/>
      </c>
    </row>
    <row r="164" spans="1:15" s="1" customFormat="1" ht="14.25">
      <c r="A164" s="228" t="str">
        <f ca="1">IF(Giocatori!E170=0,"",Giocatori!E170)</f>
        <v/>
      </c>
      <c r="B164" s="229" t="str">
        <f ca="1">IF(Giocatori!F170=0,"",Giocatori!F170)</f>
        <v/>
      </c>
      <c r="C164" s="229" t="str">
        <f ca="1">IF(Giocatori!D170=0,"",Giocatori!D170)</f>
        <v/>
      </c>
      <c r="D164" s="228" t="str">
        <f ca="1">IF(Giocatori!H170=0,"",Giocatori!H170)</f>
        <v>SAMIR</v>
      </c>
      <c r="E164" s="229" t="str">
        <f ca="1">IF(Giocatori!I170=0,"",Giocatori!I170)</f>
        <v>Udinese</v>
      </c>
      <c r="F164" s="229" t="str">
        <f ca="1">IF(Giocatori!G170=0,"",Giocatori!G170)</f>
        <v>D</v>
      </c>
      <c r="G164" s="228" t="str">
        <f ca="1">IF(Giocatori!K170=0,"",Giocatori!K170)</f>
        <v>VALENCIA</v>
      </c>
      <c r="H164" s="229" t="str">
        <f ca="1">IF(Giocatori!L170=0,"",Giocatori!L170)</f>
        <v>Bologna</v>
      </c>
      <c r="I164" s="229" t="str">
        <f ca="1">IF(Giocatori!J170=0,"",Giocatori!J170)</f>
        <v>c</v>
      </c>
      <c r="J164" s="228" t="str">
        <f ca="1">IF(Giocatori!Q170=0,"",Giocatori!Q170)</f>
        <v/>
      </c>
      <c r="K164" s="229" t="str">
        <f ca="1">IF(Giocatori!R170=0,"",Giocatori!R170)</f>
        <v/>
      </c>
      <c r="L164" s="229" t="str">
        <f ca="1">IF(Giocatori!P170=0,"",Giocatori!P170)</f>
        <v/>
      </c>
      <c r="M164" s="229" t="str">
        <f ca="1">IF(Giocatori!N170=0,"",Giocatori!N170)</f>
        <v/>
      </c>
      <c r="N164" s="229" t="str">
        <f ca="1">IF(Giocatori!O170=0,"",Giocatori!O170)</f>
        <v/>
      </c>
      <c r="O164" s="229" t="str">
        <f ca="1">IF(Giocatori!M170=0,"",Giocatori!M170)</f>
        <v/>
      </c>
    </row>
    <row r="165" spans="1:15" s="1" customFormat="1" ht="14.25">
      <c r="A165" s="228" t="str">
        <f ca="1">IF(Giocatori!E171=0,"",Giocatori!E171)</f>
        <v/>
      </c>
      <c r="B165" s="229" t="str">
        <f ca="1">IF(Giocatori!F171=0,"",Giocatori!F171)</f>
        <v/>
      </c>
      <c r="C165" s="229" t="str">
        <f ca="1">IF(Giocatori!D171=0,"",Giocatori!D171)</f>
        <v/>
      </c>
      <c r="D165" s="228" t="str">
        <f ca="1">IF(Giocatori!H171=0,"",Giocatori!H171)</f>
        <v>SAMPIRISI</v>
      </c>
      <c r="E165" s="229" t="str">
        <f ca="1">IF(Giocatori!I171=0,"",Giocatori!I171)</f>
        <v>Crotone</v>
      </c>
      <c r="F165" s="229" t="str">
        <f ca="1">IF(Giocatori!G171=0,"",Giocatori!G171)</f>
        <v>D</v>
      </c>
      <c r="G165" s="228" t="str">
        <f ca="1">IF(Giocatori!K171=0,"",Giocatori!K171)</f>
        <v>VALOTI</v>
      </c>
      <c r="H165" s="229" t="str">
        <f ca="1">IF(Giocatori!L171=0,"",Giocatori!L171)</f>
        <v>Verona</v>
      </c>
      <c r="I165" s="229" t="str">
        <f ca="1">IF(Giocatori!J171=0,"",Giocatori!J171)</f>
        <v>C</v>
      </c>
      <c r="J165" s="228" t="str">
        <f ca="1">IF(Giocatori!Q171=0,"",Giocatori!Q171)</f>
        <v/>
      </c>
      <c r="K165" s="229" t="str">
        <f ca="1">IF(Giocatori!R171=0,"",Giocatori!R171)</f>
        <v/>
      </c>
      <c r="L165" s="229" t="str">
        <f ca="1">IF(Giocatori!P171=0,"",Giocatori!P171)</f>
        <v/>
      </c>
      <c r="M165" s="229" t="str">
        <f ca="1">IF(Giocatori!N171=0,"",Giocatori!N171)</f>
        <v/>
      </c>
      <c r="N165" s="229" t="str">
        <f ca="1">IF(Giocatori!O171=0,"",Giocatori!O171)</f>
        <v/>
      </c>
      <c r="O165" s="229" t="str">
        <f ca="1">IF(Giocatori!M171=0,"",Giocatori!M171)</f>
        <v/>
      </c>
    </row>
    <row r="166" spans="1:15" s="1" customFormat="1" ht="14.25">
      <c r="A166" s="228" t="str">
        <f ca="1">IF(Giocatori!E172=0,"",Giocatori!E172)</f>
        <v/>
      </c>
      <c r="B166" s="229" t="str">
        <f ca="1">IF(Giocatori!F172=0,"",Giocatori!F172)</f>
        <v/>
      </c>
      <c r="C166" s="229" t="str">
        <f ca="1">IF(Giocatori!D172=0,"",Giocatori!D172)</f>
        <v/>
      </c>
      <c r="D166" s="228" t="str">
        <f ca="1">IF(Giocatori!H172=0,"",Giocatori!H172)</f>
        <v>SANTON</v>
      </c>
      <c r="E166" s="229" t="str">
        <f ca="1">IF(Giocatori!I172=0,"",Giocatori!I172)</f>
        <v>Inter</v>
      </c>
      <c r="F166" s="229" t="str">
        <f ca="1">IF(Giocatori!G172=0,"",Giocatori!G172)</f>
        <v>D</v>
      </c>
      <c r="G166" s="228" t="str">
        <f ca="1">IF(Giocatori!K172=0,"",Giocatori!K172)</f>
        <v>VECINO</v>
      </c>
      <c r="H166" s="229" t="str">
        <f ca="1">IF(Giocatori!L172=0,"",Giocatori!L172)</f>
        <v>Inter</v>
      </c>
      <c r="I166" s="229" t="str">
        <f ca="1">IF(Giocatori!J172=0,"",Giocatori!J172)</f>
        <v>C</v>
      </c>
      <c r="J166" s="228" t="str">
        <f ca="1">IF(Giocatori!Q172=0,"",Giocatori!Q172)</f>
        <v/>
      </c>
      <c r="K166" s="229" t="str">
        <f ca="1">IF(Giocatori!R172=0,"",Giocatori!R172)</f>
        <v/>
      </c>
      <c r="L166" s="229" t="str">
        <f ca="1">IF(Giocatori!P172=0,"",Giocatori!P172)</f>
        <v/>
      </c>
      <c r="M166" s="229" t="str">
        <f ca="1">IF(Giocatori!N172=0,"",Giocatori!N172)</f>
        <v/>
      </c>
      <c r="N166" s="229" t="str">
        <f ca="1">IF(Giocatori!O172=0,"",Giocatori!O172)</f>
        <v/>
      </c>
      <c r="O166" s="229" t="str">
        <f ca="1">IF(Giocatori!M172=0,"",Giocatori!M172)</f>
        <v/>
      </c>
    </row>
    <row r="167" spans="1:15" s="1" customFormat="1" ht="14.25">
      <c r="A167" s="228" t="str">
        <f ca="1">IF(Giocatori!E173=0,"",Giocatori!E173)</f>
        <v/>
      </c>
      <c r="B167" s="229" t="str">
        <f ca="1">IF(Giocatori!F173=0,"",Giocatori!F173)</f>
        <v/>
      </c>
      <c r="C167" s="229" t="str">
        <f ca="1">IF(Giocatori!D173=0,"",Giocatori!D173)</f>
        <v/>
      </c>
      <c r="D167" s="228" t="str">
        <f ca="1">IF(Giocatori!H173=0,"",Giocatori!H173)</f>
        <v>SILVESTRE</v>
      </c>
      <c r="E167" s="229" t="str">
        <f ca="1">IF(Giocatori!I173=0,"",Giocatori!I173)</f>
        <v>Sampdoria</v>
      </c>
      <c r="F167" s="229" t="str">
        <f ca="1">IF(Giocatori!G173=0,"",Giocatori!G173)</f>
        <v>D</v>
      </c>
      <c r="G167" s="228" t="str">
        <f ca="1">IF(Giocatori!K173=0,"",Giocatori!K173)</f>
        <v>VERETOUT</v>
      </c>
      <c r="H167" s="229" t="str">
        <f ca="1">IF(Giocatori!L173=0,"",Giocatori!L173)</f>
        <v>Fiorentina</v>
      </c>
      <c r="I167" s="229" t="str">
        <f ca="1">IF(Giocatori!J173=0,"",Giocatori!J173)</f>
        <v>C</v>
      </c>
      <c r="J167" s="228" t="str">
        <f ca="1">IF(Giocatori!Q173=0,"",Giocatori!Q173)</f>
        <v/>
      </c>
      <c r="K167" s="229" t="str">
        <f ca="1">IF(Giocatori!R173=0,"",Giocatori!R173)</f>
        <v/>
      </c>
      <c r="L167" s="229" t="str">
        <f ca="1">IF(Giocatori!P173=0,"",Giocatori!P173)</f>
        <v/>
      </c>
      <c r="M167" s="229" t="str">
        <f ca="1">IF(Giocatori!N173=0,"",Giocatori!N173)</f>
        <v/>
      </c>
      <c r="N167" s="229" t="str">
        <f ca="1">IF(Giocatori!O173=0,"",Giocatori!O173)</f>
        <v/>
      </c>
      <c r="O167" s="229" t="str">
        <f ca="1">IF(Giocatori!M173=0,"",Giocatori!M173)</f>
        <v/>
      </c>
    </row>
    <row r="168" spans="1:15" s="1" customFormat="1" ht="14.25">
      <c r="A168" s="228" t="str">
        <f ca="1">IF(Giocatori!E174=0,"",Giocatori!E174)</f>
        <v/>
      </c>
      <c r="B168" s="229" t="str">
        <f ca="1">IF(Giocatori!F174=0,"",Giocatori!F174)</f>
        <v/>
      </c>
      <c r="C168" s="229" t="str">
        <f ca="1">IF(Giocatori!D174=0,"",Giocatori!D174)</f>
        <v/>
      </c>
      <c r="D168" s="228" t="str">
        <f ca="1">IF(Giocatori!H174=0,"",Giocatori!H174)</f>
        <v>SIMIC S</v>
      </c>
      <c r="E168" s="229" t="str">
        <f ca="1">IF(Giocatori!I174=0,"",Giocatori!I174)</f>
        <v>Crotone</v>
      </c>
      <c r="F168" s="229" t="str">
        <f ca="1">IF(Giocatori!G174=0,"",Giocatori!G174)</f>
        <v>D</v>
      </c>
      <c r="G168" s="228" t="str">
        <f ca="1">IF(Giocatori!K174=0,"",Giocatori!K174)</f>
        <v>VERRE</v>
      </c>
      <c r="H168" s="229" t="str">
        <f ca="1">IF(Giocatori!L174=0,"",Giocatori!L174)</f>
        <v>Sampdoria</v>
      </c>
      <c r="I168" s="229" t="str">
        <f ca="1">IF(Giocatori!J174=0,"",Giocatori!J174)</f>
        <v>C</v>
      </c>
      <c r="J168" s="228" t="str">
        <f ca="1">IF(Giocatori!Q174=0,"",Giocatori!Q174)</f>
        <v/>
      </c>
      <c r="K168" s="229" t="str">
        <f ca="1">IF(Giocatori!R174=0,"",Giocatori!R174)</f>
        <v/>
      </c>
      <c r="L168" s="229" t="str">
        <f ca="1">IF(Giocatori!P174=0,"",Giocatori!P174)</f>
        <v/>
      </c>
      <c r="M168" s="229" t="str">
        <f ca="1">IF(Giocatori!N174=0,"",Giocatori!N174)</f>
        <v/>
      </c>
      <c r="N168" s="229" t="str">
        <f ca="1">IF(Giocatori!O174=0,"",Giocatori!O174)</f>
        <v/>
      </c>
      <c r="O168" s="229" t="str">
        <f ca="1">IF(Giocatori!M174=0,"",Giocatori!M174)</f>
        <v/>
      </c>
    </row>
    <row r="169" spans="1:15" s="1" customFormat="1" ht="14.25">
      <c r="A169" s="228" t="str">
        <f ca="1">IF(Giocatori!E175=0,"",Giocatori!E175)</f>
        <v/>
      </c>
      <c r="B169" s="229" t="str">
        <f ca="1">IF(Giocatori!F175=0,"",Giocatori!F175)</f>
        <v/>
      </c>
      <c r="C169" s="229" t="str">
        <f ca="1">IF(Giocatori!D175=0,"",Giocatori!D175)</f>
        <v/>
      </c>
      <c r="D169" s="228" t="str">
        <f ca="1">IF(Giocatori!H175=0,"",Giocatori!H175)</f>
        <v>SKRINIAR</v>
      </c>
      <c r="E169" s="229" t="str">
        <f ca="1">IF(Giocatori!I175=0,"",Giocatori!I175)</f>
        <v>Inter</v>
      </c>
      <c r="F169" s="229" t="str">
        <f ca="1">IF(Giocatori!G175=0,"",Giocatori!G175)</f>
        <v>D</v>
      </c>
      <c r="G169" s="228" t="str">
        <f ca="1">IF(Giocatori!K175=0,"",Giocatori!K175)</f>
        <v>VIOLA</v>
      </c>
      <c r="H169" s="229" t="str">
        <f ca="1">IF(Giocatori!L175=0,"",Giocatori!L175)</f>
        <v>Benevento</v>
      </c>
      <c r="I169" s="229" t="str">
        <f ca="1">IF(Giocatori!J175=0,"",Giocatori!J175)</f>
        <v>C</v>
      </c>
      <c r="J169" s="228" t="str">
        <f ca="1">IF(Giocatori!Q175=0,"",Giocatori!Q175)</f>
        <v/>
      </c>
      <c r="K169" s="229" t="str">
        <f ca="1">IF(Giocatori!R175=0,"",Giocatori!R175)</f>
        <v/>
      </c>
      <c r="L169" s="229" t="str">
        <f ca="1">IF(Giocatori!P175=0,"",Giocatori!P175)</f>
        <v/>
      </c>
      <c r="M169" s="229" t="str">
        <f ca="1">IF(Giocatori!N175=0,"",Giocatori!N175)</f>
        <v/>
      </c>
      <c r="N169" s="229" t="str">
        <f ca="1">IF(Giocatori!O175=0,"",Giocatori!O175)</f>
        <v/>
      </c>
      <c r="O169" s="229" t="str">
        <f ca="1">IF(Giocatori!M175=0,"",Giocatori!M175)</f>
        <v/>
      </c>
    </row>
    <row r="170" spans="1:15" s="1" customFormat="1" ht="14.25">
      <c r="A170" s="228" t="str">
        <f ca="1">IF(Giocatori!E176=0,"",Giocatori!E176)</f>
        <v/>
      </c>
      <c r="B170" s="229" t="str">
        <f ca="1">IF(Giocatori!F176=0,"",Giocatori!F176)</f>
        <v/>
      </c>
      <c r="C170" s="229" t="str">
        <f ca="1">IF(Giocatori!D176=0,"",Giocatori!D176)</f>
        <v/>
      </c>
      <c r="D170" s="228" t="str">
        <f ca="1">IF(Giocatori!H176=0,"",Giocatori!H176)</f>
        <v>SOUPRAYEN</v>
      </c>
      <c r="E170" s="229" t="str">
        <f ca="1">IF(Giocatori!I176=0,"",Giocatori!I176)</f>
        <v>Verona</v>
      </c>
      <c r="F170" s="229" t="str">
        <f ca="1">IF(Giocatori!G176=0,"",Giocatori!G176)</f>
        <v>D</v>
      </c>
      <c r="G170" s="228" t="str">
        <f ca="1">IF(Giocatori!K176=0,"",Giocatori!K176)</f>
        <v>VITALE</v>
      </c>
      <c r="H170" s="229" t="str">
        <f ca="1">IF(Giocatori!L176=0,"",Giocatori!L176)</f>
        <v>SPAL</v>
      </c>
      <c r="I170" s="229" t="str">
        <f ca="1">IF(Giocatori!J176=0,"",Giocatori!J176)</f>
        <v>C</v>
      </c>
      <c r="J170" s="228" t="str">
        <f ca="1">IF(Giocatori!Q176=0,"",Giocatori!Q176)</f>
        <v/>
      </c>
      <c r="K170" s="229" t="str">
        <f ca="1">IF(Giocatori!R176=0,"",Giocatori!R176)</f>
        <v/>
      </c>
      <c r="L170" s="229" t="str">
        <f ca="1">IF(Giocatori!P176=0,"",Giocatori!P176)</f>
        <v/>
      </c>
      <c r="M170" s="229" t="str">
        <f ca="1">IF(Giocatori!N176=0,"",Giocatori!N176)</f>
        <v/>
      </c>
      <c r="N170" s="229" t="str">
        <f ca="1">IF(Giocatori!O176=0,"",Giocatori!O176)</f>
        <v/>
      </c>
      <c r="O170" s="229" t="str">
        <f ca="1">IF(Giocatori!M176=0,"",Giocatori!M176)</f>
        <v/>
      </c>
    </row>
    <row r="171" spans="1:15" s="1" customFormat="1" ht="14.25">
      <c r="A171" s="228" t="str">
        <f ca="1">IF(Giocatori!E177=0,"",Giocatori!E177)</f>
        <v/>
      </c>
      <c r="B171" s="229" t="str">
        <f ca="1">IF(Giocatori!F177=0,"",Giocatori!F177)</f>
        <v/>
      </c>
      <c r="C171" s="229" t="str">
        <f ca="1">IF(Giocatori!D177=0,"",Giocatori!D177)</f>
        <v/>
      </c>
      <c r="D171" s="228" t="str">
        <f ca="1">IF(Giocatori!H177=0,"",Giocatori!H177)</f>
        <v>SPOLLI</v>
      </c>
      <c r="E171" s="229" t="str">
        <f ca="1">IF(Giocatori!I177=0,"",Giocatori!I177)</f>
        <v>Genoa</v>
      </c>
      <c r="F171" s="229" t="str">
        <f ca="1">IF(Giocatori!G177=0,"",Giocatori!G177)</f>
        <v>D</v>
      </c>
      <c r="G171" s="228" t="str">
        <f ca="1">IF(Giocatori!K177=0,"",Giocatori!K177)</f>
        <v>VIVIANI</v>
      </c>
      <c r="H171" s="229" t="str">
        <f ca="1">IF(Giocatori!L177=0,"",Giocatori!L177)</f>
        <v>SPAL</v>
      </c>
      <c r="I171" s="229" t="str">
        <f ca="1">IF(Giocatori!J177=0,"",Giocatori!J177)</f>
        <v>C</v>
      </c>
      <c r="J171" s="228" t="str">
        <f ca="1">IF(Giocatori!Q177=0,"",Giocatori!Q177)</f>
        <v/>
      </c>
      <c r="K171" s="229" t="str">
        <f ca="1">IF(Giocatori!R177=0,"",Giocatori!R177)</f>
        <v/>
      </c>
      <c r="L171" s="229" t="str">
        <f ca="1">IF(Giocatori!P177=0,"",Giocatori!P177)</f>
        <v/>
      </c>
      <c r="M171" s="229" t="str">
        <f ca="1">IF(Giocatori!N177=0,"",Giocatori!N177)</f>
        <v/>
      </c>
      <c r="N171" s="229" t="str">
        <f ca="1">IF(Giocatori!O177=0,"",Giocatori!O177)</f>
        <v/>
      </c>
      <c r="O171" s="229" t="str">
        <f ca="1">IF(Giocatori!M177=0,"",Giocatori!M177)</f>
        <v/>
      </c>
    </row>
    <row r="172" spans="1:15" s="1" customFormat="1" ht="14.25">
      <c r="A172" s="228" t="str">
        <f ca="1">IF(Giocatori!E178=0,"",Giocatori!E178)</f>
        <v/>
      </c>
      <c r="B172" s="229" t="str">
        <f ca="1">IF(Giocatori!F178=0,"",Giocatori!F178)</f>
        <v/>
      </c>
      <c r="C172" s="229" t="str">
        <f ca="1">IF(Giocatori!D178=0,"",Giocatori!D178)</f>
        <v/>
      </c>
      <c r="D172" s="228" t="str">
        <f ca="1">IF(Giocatori!H178=0,"",Giocatori!H178)</f>
        <v>STRINIC</v>
      </c>
      <c r="E172" s="229" t="str">
        <f ca="1">IF(Giocatori!I178=0,"",Giocatori!I178)</f>
        <v>Sampdoria</v>
      </c>
      <c r="F172" s="229" t="str">
        <f ca="1">IF(Giocatori!G178=0,"",Giocatori!G178)</f>
        <v>D</v>
      </c>
      <c r="G172" s="228" t="str">
        <f ca="1">IF(Giocatori!K178=0,"",Giocatori!K178)</f>
        <v>ZACCAGNI</v>
      </c>
      <c r="H172" s="229" t="str">
        <f ca="1">IF(Giocatori!L178=0,"",Giocatori!L178)</f>
        <v>Verona</v>
      </c>
      <c r="I172" s="229" t="str">
        <f ca="1">IF(Giocatori!J178=0,"",Giocatori!J178)</f>
        <v>C</v>
      </c>
      <c r="J172" s="228" t="str">
        <f ca="1">IF(Giocatori!Q178=0,"",Giocatori!Q178)</f>
        <v/>
      </c>
      <c r="K172" s="229" t="str">
        <f ca="1">IF(Giocatori!R178=0,"",Giocatori!R178)</f>
        <v/>
      </c>
      <c r="L172" s="229" t="str">
        <f ca="1">IF(Giocatori!P178=0,"",Giocatori!P178)</f>
        <v/>
      </c>
      <c r="M172" s="229" t="str">
        <f ca="1">IF(Giocatori!N178=0,"",Giocatori!N178)</f>
        <v/>
      </c>
      <c r="N172" s="229" t="str">
        <f ca="1">IF(Giocatori!O178=0,"",Giocatori!O178)</f>
        <v/>
      </c>
      <c r="O172" s="229" t="str">
        <f ca="1">IF(Giocatori!M178=0,"",Giocatori!M178)</f>
        <v/>
      </c>
    </row>
    <row r="173" spans="1:15" s="1" customFormat="1" ht="14.25">
      <c r="A173" s="228" t="str">
        <f ca="1">IF(Giocatori!E179=0,"",Giocatori!E179)</f>
        <v/>
      </c>
      <c r="B173" s="229" t="str">
        <f ca="1">IF(Giocatori!F179=0,"",Giocatori!F179)</f>
        <v/>
      </c>
      <c r="C173" s="229" t="str">
        <f ca="1">IF(Giocatori!D179=0,"",Giocatori!D179)</f>
        <v/>
      </c>
      <c r="D173" s="228" t="str">
        <f ca="1">IF(Giocatori!H179=0,"",Giocatori!H179)</f>
        <v>STRYGER LARSEN</v>
      </c>
      <c r="E173" s="229" t="str">
        <f ca="1">IF(Giocatori!I179=0,"",Giocatori!I179)</f>
        <v>Udinese</v>
      </c>
      <c r="F173" s="229" t="str">
        <f ca="1">IF(Giocatori!G179=0,"",Giocatori!G179)</f>
        <v>D</v>
      </c>
      <c r="G173" s="228" t="str">
        <f ca="1">IF(Giocatori!K179=0,"",Giocatori!K179)</f>
        <v>ZANELLATO</v>
      </c>
      <c r="H173" s="229" t="str">
        <f ca="1">IF(Giocatori!L179=0,"",Giocatori!L179)</f>
        <v>Milan</v>
      </c>
      <c r="I173" s="229" t="str">
        <f ca="1">IF(Giocatori!J179=0,"",Giocatori!J179)</f>
        <v>C</v>
      </c>
      <c r="J173" s="228" t="str">
        <f ca="1">IF(Giocatori!Q179=0,"",Giocatori!Q179)</f>
        <v/>
      </c>
      <c r="K173" s="229" t="str">
        <f ca="1">IF(Giocatori!R179=0,"",Giocatori!R179)</f>
        <v/>
      </c>
      <c r="L173" s="229" t="str">
        <f ca="1">IF(Giocatori!P179=0,"",Giocatori!P179)</f>
        <v/>
      </c>
      <c r="M173" s="229" t="str">
        <f ca="1">IF(Giocatori!N179=0,"",Giocatori!N179)</f>
        <v/>
      </c>
      <c r="N173" s="229" t="str">
        <f ca="1">IF(Giocatori!O179=0,"",Giocatori!O179)</f>
        <v/>
      </c>
      <c r="O173" s="229" t="str">
        <f ca="1">IF(Giocatori!M179=0,"",Giocatori!M179)</f>
        <v/>
      </c>
    </row>
    <row r="174" spans="1:15" s="1" customFormat="1" ht="14.25">
      <c r="A174" s="228" t="str">
        <f ca="1">IF(Giocatori!E180=0,"",Giocatori!E180)</f>
        <v/>
      </c>
      <c r="B174" s="229" t="str">
        <f ca="1">IF(Giocatori!F180=0,"",Giocatori!F180)</f>
        <v/>
      </c>
      <c r="C174" s="229" t="str">
        <f ca="1">IF(Giocatori!D180=0,"",Giocatori!D180)</f>
        <v/>
      </c>
      <c r="D174" s="228" t="str">
        <f ca="1">IF(Giocatori!H180=0,"",Giocatori!H180)</f>
        <v>TOLOI</v>
      </c>
      <c r="E174" s="229" t="str">
        <f ca="1">IF(Giocatori!I180=0,"",Giocatori!I180)</f>
        <v>Atalanta</v>
      </c>
      <c r="F174" s="229" t="str">
        <f ca="1">IF(Giocatori!G180=0,"",Giocatori!G180)</f>
        <v>D</v>
      </c>
      <c r="G174" s="228" t="str">
        <f ca="1">IF(Giocatori!K180=0,"",Giocatori!K180)</f>
        <v>ZEKHNINI</v>
      </c>
      <c r="H174" s="229" t="str">
        <f ca="1">IF(Giocatori!L180=0,"",Giocatori!L180)</f>
        <v>Fiorentina</v>
      </c>
      <c r="I174" s="229" t="str">
        <f ca="1">IF(Giocatori!J180=0,"",Giocatori!J180)</f>
        <v>C</v>
      </c>
      <c r="J174" s="228" t="str">
        <f ca="1">IF(Giocatori!Q180=0,"",Giocatori!Q180)</f>
        <v/>
      </c>
      <c r="K174" s="229" t="str">
        <f ca="1">IF(Giocatori!R180=0,"",Giocatori!R180)</f>
        <v/>
      </c>
      <c r="L174" s="229" t="str">
        <f ca="1">IF(Giocatori!P180=0,"",Giocatori!P180)</f>
        <v/>
      </c>
      <c r="M174" s="229" t="str">
        <f ca="1">IF(Giocatori!N180=0,"",Giocatori!N180)</f>
        <v/>
      </c>
      <c r="N174" s="229" t="str">
        <f ca="1">IF(Giocatori!O180=0,"",Giocatori!O180)</f>
        <v/>
      </c>
      <c r="O174" s="229" t="str">
        <f ca="1">IF(Giocatori!M180=0,"",Giocatori!M180)</f>
        <v/>
      </c>
    </row>
    <row r="175" spans="1:15" s="1" customFormat="1" ht="14.25">
      <c r="A175" s="228" t="str">
        <f ca="1">IF(Giocatori!E181=0,"",Giocatori!E181)</f>
        <v/>
      </c>
      <c r="B175" s="229" t="str">
        <f ca="1">IF(Giocatori!F181=0,"",Giocatori!F181)</f>
        <v/>
      </c>
      <c r="C175" s="229" t="str">
        <f ca="1">IF(Giocatori!D181=0,"",Giocatori!D181)</f>
        <v/>
      </c>
      <c r="D175" s="228" t="str">
        <f ca="1">IF(Giocatori!H181=0,"",Giocatori!H181)</f>
        <v>TOMIC</v>
      </c>
      <c r="E175" s="229" t="str">
        <f ca="1">IF(Giocatori!I181=0,"",Giocatori!I181)</f>
        <v>Sampdoria</v>
      </c>
      <c r="F175" s="229" t="str">
        <f ca="1">IF(Giocatori!G181=0,"",Giocatori!G181)</f>
        <v>D</v>
      </c>
      <c r="G175" s="228" t="str">
        <f ca="1">IF(Giocatori!K181=0,"",Giocatori!K181)</f>
        <v>ZIELINSKI</v>
      </c>
      <c r="H175" s="229" t="str">
        <f ca="1">IF(Giocatori!L181=0,"",Giocatori!L181)</f>
        <v>Napoli</v>
      </c>
      <c r="I175" s="229" t="str">
        <f ca="1">IF(Giocatori!J181=0,"",Giocatori!J181)</f>
        <v>C</v>
      </c>
      <c r="J175" s="228" t="str">
        <f ca="1">IF(Giocatori!Q181=0,"",Giocatori!Q181)</f>
        <v/>
      </c>
      <c r="K175" s="229" t="str">
        <f ca="1">IF(Giocatori!R181=0,"",Giocatori!R181)</f>
        <v/>
      </c>
      <c r="L175" s="229" t="str">
        <f ca="1">IF(Giocatori!P181=0,"",Giocatori!P181)</f>
        <v/>
      </c>
      <c r="M175" s="229" t="str">
        <f ca="1">IF(Giocatori!N181=0,"",Giocatori!N181)</f>
        <v/>
      </c>
      <c r="N175" s="229" t="str">
        <f ca="1">IF(Giocatori!O181=0,"",Giocatori!O181)</f>
        <v/>
      </c>
      <c r="O175" s="229" t="str">
        <f ca="1">IF(Giocatori!M181=0,"",Giocatori!M181)</f>
        <v/>
      </c>
    </row>
    <row r="176" spans="1:15" s="1" customFormat="1" ht="14.25">
      <c r="A176" s="228" t="str">
        <f ca="1">IF(Giocatori!E182=0,"",Giocatori!E182)</f>
        <v/>
      </c>
      <c r="B176" s="229" t="str">
        <f ca="1">IF(Giocatori!F182=0,"",Giocatori!F182)</f>
        <v/>
      </c>
      <c r="C176" s="229" t="str">
        <f ca="1">IF(Giocatori!D182=0,"",Giocatori!D182)</f>
        <v/>
      </c>
      <c r="D176" s="228" t="str">
        <f ca="1">IF(Giocatori!H182=0,"",Giocatori!H182)</f>
        <v>TOMOVIC</v>
      </c>
      <c r="E176" s="229" t="str">
        <f ca="1">IF(Giocatori!I182=0,"",Giocatori!I182)</f>
        <v>Chievo</v>
      </c>
      <c r="F176" s="229" t="str">
        <f ca="1">IF(Giocatori!G182=0,"",Giocatori!G182)</f>
        <v>D</v>
      </c>
      <c r="G176" s="228" t="str">
        <f ca="1">IF(Giocatori!K182=0,"",Giocatori!K182)</f>
        <v>ZUCULINI B</v>
      </c>
      <c r="H176" s="229" t="str">
        <f ca="1">IF(Giocatori!L182=0,"",Giocatori!L182)</f>
        <v>Verona</v>
      </c>
      <c r="I176" s="229" t="str">
        <f ca="1">IF(Giocatori!J182=0,"",Giocatori!J182)</f>
        <v>C</v>
      </c>
      <c r="J176" s="228" t="str">
        <f ca="1">IF(Giocatori!Q182=0,"",Giocatori!Q182)</f>
        <v/>
      </c>
      <c r="K176" s="229" t="str">
        <f ca="1">IF(Giocatori!R182=0,"",Giocatori!R182)</f>
        <v/>
      </c>
      <c r="L176" s="229" t="str">
        <f ca="1">IF(Giocatori!P182=0,"",Giocatori!P182)</f>
        <v/>
      </c>
      <c r="M176" s="229" t="str">
        <f ca="1">IF(Giocatori!N182=0,"",Giocatori!N182)</f>
        <v/>
      </c>
      <c r="N176" s="229" t="str">
        <f ca="1">IF(Giocatori!O182=0,"",Giocatori!O182)</f>
        <v/>
      </c>
      <c r="O176" s="229" t="str">
        <f ca="1">IF(Giocatori!M182=0,"",Giocatori!M182)</f>
        <v/>
      </c>
    </row>
    <row r="177" spans="1:15" s="1" customFormat="1" ht="14.25">
      <c r="A177" s="228" t="str">
        <f ca="1">IF(Giocatori!E183=0,"",Giocatori!E183)</f>
        <v/>
      </c>
      <c r="B177" s="229" t="str">
        <f ca="1">IF(Giocatori!F183=0,"",Giocatori!F183)</f>
        <v/>
      </c>
      <c r="C177" s="229" t="str">
        <f ca="1">IF(Giocatori!D183=0,"",Giocatori!D183)</f>
        <v/>
      </c>
      <c r="D177" s="228" t="str">
        <f ca="1">IF(Giocatori!H183=0,"",Giocatori!H183)</f>
        <v>TONELLI</v>
      </c>
      <c r="E177" s="229" t="str">
        <f ca="1">IF(Giocatori!I183=0,"",Giocatori!I183)</f>
        <v>Napoli</v>
      </c>
      <c r="F177" s="229" t="str">
        <f ca="1">IF(Giocatori!G183=0,"",Giocatori!G183)</f>
        <v>D</v>
      </c>
      <c r="G177" s="228" t="str">
        <f ca="1">IF(Giocatori!K183=0,"",Giocatori!K183)</f>
        <v>ZUCULINI F</v>
      </c>
      <c r="H177" s="229" t="str">
        <f ca="1">IF(Giocatori!L183=0,"",Giocatori!L183)</f>
        <v>Verona</v>
      </c>
      <c r="I177" s="229" t="str">
        <f ca="1">IF(Giocatori!J183=0,"",Giocatori!J183)</f>
        <v>C</v>
      </c>
      <c r="J177" s="228" t="str">
        <f ca="1">IF(Giocatori!Q183=0,"",Giocatori!Q183)</f>
        <v/>
      </c>
      <c r="K177" s="229" t="str">
        <f ca="1">IF(Giocatori!R183=0,"",Giocatori!R183)</f>
        <v/>
      </c>
      <c r="L177" s="229" t="str">
        <f ca="1">IF(Giocatori!P183=0,"",Giocatori!P183)</f>
        <v/>
      </c>
      <c r="M177" s="229" t="str">
        <f ca="1">IF(Giocatori!N183=0,"",Giocatori!N183)</f>
        <v/>
      </c>
      <c r="N177" s="229" t="str">
        <f ca="1">IF(Giocatori!O183=0,"",Giocatori!O183)</f>
        <v/>
      </c>
      <c r="O177" s="229" t="str">
        <f ca="1">IF(Giocatori!M183=0,"",Giocatori!M183)</f>
        <v/>
      </c>
    </row>
    <row r="178" spans="1:15" s="1" customFormat="1" ht="14.25">
      <c r="A178" s="228" t="str">
        <f ca="1">IF(Giocatori!E184=0,"",Giocatori!E184)</f>
        <v/>
      </c>
      <c r="B178" s="229" t="str">
        <f ca="1">IF(Giocatori!F184=0,"",Giocatori!F184)</f>
        <v/>
      </c>
      <c r="C178" s="229" t="str">
        <f ca="1">IF(Giocatori!D184=0,"",Giocatori!D184)</f>
        <v/>
      </c>
      <c r="D178" s="228" t="str">
        <f ca="1">IF(Giocatori!H184=0,"",Giocatori!H184)</f>
        <v>TOROSIDIS</v>
      </c>
      <c r="E178" s="229" t="str">
        <f ca="1">IF(Giocatori!I184=0,"",Giocatori!I184)</f>
        <v>Bologna</v>
      </c>
      <c r="F178" s="229" t="str">
        <f ca="1">IF(Giocatori!G184=0,"",Giocatori!G184)</f>
        <v>D</v>
      </c>
      <c r="G178" s="228" t="str">
        <f ca="1">IF(Giocatori!K184=0,"",Giocatori!K184)</f>
        <v/>
      </c>
      <c r="H178" s="229" t="str">
        <f ca="1">IF(Giocatori!L184=0,"",Giocatori!L184)</f>
        <v/>
      </c>
      <c r="I178" s="229" t="str">
        <f ca="1">IF(Giocatori!J184=0,"",Giocatori!J184)</f>
        <v/>
      </c>
      <c r="J178" s="228" t="str">
        <f ca="1">IF(Giocatori!Q184=0,"",Giocatori!Q184)</f>
        <v/>
      </c>
      <c r="K178" s="229" t="str">
        <f ca="1">IF(Giocatori!R184=0,"",Giocatori!R184)</f>
        <v/>
      </c>
      <c r="L178" s="229" t="str">
        <f ca="1">IF(Giocatori!P184=0,"",Giocatori!P184)</f>
        <v/>
      </c>
      <c r="M178" s="229" t="str">
        <f ca="1">IF(Giocatori!N184=0,"",Giocatori!N184)</f>
        <v/>
      </c>
      <c r="N178" s="229" t="str">
        <f ca="1">IF(Giocatori!O184=0,"",Giocatori!O184)</f>
        <v/>
      </c>
      <c r="O178" s="229" t="str">
        <f ca="1">IF(Giocatori!M184=0,"",Giocatori!M184)</f>
        <v/>
      </c>
    </row>
    <row r="179" spans="1:15" s="1" customFormat="1" ht="14.25">
      <c r="A179" s="228" t="str">
        <f ca="1">IF(Giocatori!E185=0,"",Giocatori!E185)</f>
        <v/>
      </c>
      <c r="B179" s="229" t="str">
        <f ca="1">IF(Giocatori!F185=0,"",Giocatori!F185)</f>
        <v/>
      </c>
      <c r="C179" s="229" t="str">
        <f ca="1">IF(Giocatori!D185=0,"",Giocatori!D185)</f>
        <v/>
      </c>
      <c r="D179" s="228" t="str">
        <f ca="1">IF(Giocatori!H185=0,"",Giocatori!H185)</f>
        <v>VAISANEN</v>
      </c>
      <c r="E179" s="229" t="str">
        <f ca="1">IF(Giocatori!I185=0,"",Giocatori!I185)</f>
        <v>SPAL</v>
      </c>
      <c r="F179" s="229" t="str">
        <f ca="1">IF(Giocatori!G185=0,"",Giocatori!G185)</f>
        <v>D</v>
      </c>
      <c r="G179" s="228" t="str">
        <f ca="1">IF(Giocatori!K185=0,"",Giocatori!K185)</f>
        <v/>
      </c>
      <c r="H179" s="229" t="str">
        <f ca="1">IF(Giocatori!L185=0,"",Giocatori!L185)</f>
        <v/>
      </c>
      <c r="I179" s="229" t="str">
        <f ca="1">IF(Giocatori!J185=0,"",Giocatori!J185)</f>
        <v/>
      </c>
      <c r="J179" s="228" t="str">
        <f ca="1">IF(Giocatori!Q185=0,"",Giocatori!Q185)</f>
        <v/>
      </c>
      <c r="K179" s="229" t="str">
        <f ca="1">IF(Giocatori!R185=0,"",Giocatori!R185)</f>
        <v/>
      </c>
      <c r="L179" s="229" t="str">
        <f ca="1">IF(Giocatori!P185=0,"",Giocatori!P185)</f>
        <v/>
      </c>
      <c r="M179" s="229" t="str">
        <f ca="1">IF(Giocatori!N185=0,"",Giocatori!N185)</f>
        <v/>
      </c>
      <c r="N179" s="229" t="str">
        <f ca="1">IF(Giocatori!O185=0,"",Giocatori!O185)</f>
        <v/>
      </c>
      <c r="O179" s="229" t="str">
        <f ca="1">IF(Giocatori!M185=0,"",Giocatori!M185)</f>
        <v/>
      </c>
    </row>
    <row r="180" spans="1:15" s="1" customFormat="1" ht="14.25">
      <c r="A180" s="228" t="str">
        <f ca="1">IF(Giocatori!E186=0,"",Giocatori!E186)</f>
        <v/>
      </c>
      <c r="B180" s="229" t="str">
        <f ca="1">IF(Giocatori!F186=0,"",Giocatori!F186)</f>
        <v/>
      </c>
      <c r="C180" s="229" t="str">
        <f ca="1">IF(Giocatori!D186=0,"",Giocatori!D186)</f>
        <v/>
      </c>
      <c r="D180" s="228" t="str">
        <f ca="1">IF(Giocatori!H186=0,"",Giocatori!H186)</f>
        <v>VAN DER WIEL</v>
      </c>
      <c r="E180" s="229" t="str">
        <f ca="1">IF(Giocatori!I186=0,"",Giocatori!I186)</f>
        <v>Cagliari</v>
      </c>
      <c r="F180" s="229" t="str">
        <f ca="1">IF(Giocatori!G186=0,"",Giocatori!G186)</f>
        <v>D</v>
      </c>
      <c r="G180" s="228" t="str">
        <f ca="1">IF(Giocatori!K186=0,"",Giocatori!K186)</f>
        <v/>
      </c>
      <c r="H180" s="229" t="str">
        <f ca="1">IF(Giocatori!L186=0,"",Giocatori!L186)</f>
        <v/>
      </c>
      <c r="I180" s="229" t="str">
        <f ca="1">IF(Giocatori!J186=0,"",Giocatori!J186)</f>
        <v/>
      </c>
      <c r="J180" s="228" t="str">
        <f ca="1">IF(Giocatori!Q186=0,"",Giocatori!Q186)</f>
        <v/>
      </c>
      <c r="K180" s="229" t="str">
        <f ca="1">IF(Giocatori!R186=0,"",Giocatori!R186)</f>
        <v/>
      </c>
      <c r="L180" s="229" t="str">
        <f ca="1">IF(Giocatori!P186=0,"",Giocatori!P186)</f>
        <v/>
      </c>
      <c r="M180" s="229" t="str">
        <f ca="1">IF(Giocatori!N186=0,"",Giocatori!N186)</f>
        <v/>
      </c>
      <c r="N180" s="229" t="str">
        <f ca="1">IF(Giocatori!O186=0,"",Giocatori!O186)</f>
        <v/>
      </c>
      <c r="O180" s="229" t="str">
        <f ca="1">IF(Giocatori!M186=0,"",Giocatori!M186)</f>
        <v/>
      </c>
    </row>
    <row r="181" spans="1:15" s="1" customFormat="1" ht="14.25">
      <c r="A181" s="228" t="str">
        <f ca="1">IF(Giocatori!E187=0,"",Giocatori!E187)</f>
        <v/>
      </c>
      <c r="B181" s="229" t="str">
        <f ca="1">IF(Giocatori!F187=0,"",Giocatori!F187)</f>
        <v/>
      </c>
      <c r="C181" s="229" t="str">
        <f ca="1">IF(Giocatori!D187=0,"",Giocatori!D187)</f>
        <v/>
      </c>
      <c r="D181" s="228" t="str">
        <f ca="1">IF(Giocatori!H187=0,"",Giocatori!H187)</f>
        <v>VANHEUSDEN</v>
      </c>
      <c r="E181" s="229" t="str">
        <f ca="1">IF(Giocatori!I187=0,"",Giocatori!I187)</f>
        <v>Inter</v>
      </c>
      <c r="F181" s="229" t="str">
        <f ca="1">IF(Giocatori!G187=0,"",Giocatori!G187)</f>
        <v>D</v>
      </c>
      <c r="G181" s="228" t="str">
        <f ca="1">IF(Giocatori!K187=0,"",Giocatori!K187)</f>
        <v/>
      </c>
      <c r="H181" s="229" t="str">
        <f ca="1">IF(Giocatori!L187=0,"",Giocatori!L187)</f>
        <v/>
      </c>
      <c r="I181" s="229" t="str">
        <f ca="1">IF(Giocatori!J187=0,"",Giocatori!J187)</f>
        <v/>
      </c>
      <c r="J181" s="228" t="str">
        <f ca="1">IF(Giocatori!Q187=0,"",Giocatori!Q187)</f>
        <v/>
      </c>
      <c r="K181" s="229" t="str">
        <f ca="1">IF(Giocatori!R187=0,"",Giocatori!R187)</f>
        <v/>
      </c>
      <c r="L181" s="229" t="str">
        <f ca="1">IF(Giocatori!P187=0,"",Giocatori!P187)</f>
        <v/>
      </c>
      <c r="M181" s="229" t="str">
        <f ca="1">IF(Giocatori!N187=0,"",Giocatori!N187)</f>
        <v/>
      </c>
      <c r="N181" s="229" t="str">
        <f ca="1">IF(Giocatori!O187=0,"",Giocatori!O187)</f>
        <v/>
      </c>
      <c r="O181" s="229" t="str">
        <f ca="1">IF(Giocatori!M187=0,"",Giocatori!M187)</f>
        <v/>
      </c>
    </row>
    <row r="182" spans="1:15" s="1" customFormat="1" ht="14.25">
      <c r="A182" s="228" t="str">
        <f ca="1">IF(Giocatori!E188=0,"",Giocatori!E188)</f>
        <v/>
      </c>
      <c r="B182" s="229" t="str">
        <f ca="1">IF(Giocatori!F188=0,"",Giocatori!F188)</f>
        <v/>
      </c>
      <c r="C182" s="229" t="str">
        <f ca="1">IF(Giocatori!D188=0,"",Giocatori!D188)</f>
        <v/>
      </c>
      <c r="D182" s="228" t="str">
        <f ca="1">IF(Giocatori!H188=0,"",Giocatori!H188)</f>
        <v>VENUTI</v>
      </c>
      <c r="E182" s="229" t="str">
        <f ca="1">IF(Giocatori!I188=0,"",Giocatori!I188)</f>
        <v>Benevento</v>
      </c>
      <c r="F182" s="229" t="str">
        <f ca="1">IF(Giocatori!G188=0,"",Giocatori!G188)</f>
        <v>D</v>
      </c>
      <c r="G182" s="228" t="str">
        <f ca="1">IF(Giocatori!K188=0,"",Giocatori!K188)</f>
        <v/>
      </c>
      <c r="H182" s="229" t="str">
        <f ca="1">IF(Giocatori!L188=0,"",Giocatori!L188)</f>
        <v/>
      </c>
      <c r="I182" s="229" t="str">
        <f ca="1">IF(Giocatori!J188=0,"",Giocatori!J188)</f>
        <v/>
      </c>
      <c r="J182" s="228" t="str">
        <f ca="1">IF(Giocatori!Q188=0,"",Giocatori!Q188)</f>
        <v/>
      </c>
      <c r="K182" s="229" t="str">
        <f ca="1">IF(Giocatori!R188=0,"",Giocatori!R188)</f>
        <v/>
      </c>
      <c r="L182" s="229" t="str">
        <f ca="1">IF(Giocatori!P188=0,"",Giocatori!P188)</f>
        <v/>
      </c>
      <c r="M182" s="229" t="str">
        <f ca="1">IF(Giocatori!N188=0,"",Giocatori!N188)</f>
        <v/>
      </c>
      <c r="N182" s="229" t="str">
        <f ca="1">IF(Giocatori!O188=0,"",Giocatori!O188)</f>
        <v/>
      </c>
      <c r="O182" s="229" t="str">
        <f ca="1">IF(Giocatori!M188=0,"",Giocatori!M188)</f>
        <v/>
      </c>
    </row>
    <row r="183" spans="1:15" s="1" customFormat="1" ht="14.25">
      <c r="A183" s="228" t="str">
        <f ca="1">IF(Giocatori!E189=0,"",Giocatori!E189)</f>
        <v/>
      </c>
      <c r="B183" s="229" t="str">
        <f ca="1">IF(Giocatori!F189=0,"",Giocatori!F189)</f>
        <v/>
      </c>
      <c r="C183" s="229" t="str">
        <f ca="1">IF(Giocatori!D189=0,"",Giocatori!D189)</f>
        <v/>
      </c>
      <c r="D183" s="228" t="str">
        <f ca="1">IF(Giocatori!H189=0,"",Giocatori!H189)</f>
        <v>VICARI</v>
      </c>
      <c r="E183" s="229" t="str">
        <f ca="1">IF(Giocatori!I189=0,"",Giocatori!I189)</f>
        <v>SPAL</v>
      </c>
      <c r="F183" s="229" t="str">
        <f ca="1">IF(Giocatori!G189=0,"",Giocatori!G189)</f>
        <v>D</v>
      </c>
      <c r="G183" s="228" t="str">
        <f ca="1">IF(Giocatori!K189=0,"",Giocatori!K189)</f>
        <v/>
      </c>
      <c r="H183" s="229" t="str">
        <f ca="1">IF(Giocatori!L189=0,"",Giocatori!L189)</f>
        <v/>
      </c>
      <c r="I183" s="229" t="str">
        <f ca="1">IF(Giocatori!J189=0,"",Giocatori!J189)</f>
        <v/>
      </c>
      <c r="J183" s="228" t="str">
        <f ca="1">IF(Giocatori!Q189=0,"",Giocatori!Q189)</f>
        <v/>
      </c>
      <c r="K183" s="229" t="str">
        <f ca="1">IF(Giocatori!R189=0,"",Giocatori!R189)</f>
        <v/>
      </c>
      <c r="L183" s="229" t="str">
        <f ca="1">IF(Giocatori!P189=0,"",Giocatori!P189)</f>
        <v/>
      </c>
      <c r="M183" s="229" t="str">
        <f ca="1">IF(Giocatori!N189=0,"",Giocatori!N189)</f>
        <v/>
      </c>
      <c r="N183" s="229" t="str">
        <f ca="1">IF(Giocatori!O189=0,"",Giocatori!O189)</f>
        <v/>
      </c>
      <c r="O183" s="229" t="str">
        <f ca="1">IF(Giocatori!M189=0,"",Giocatori!M189)</f>
        <v/>
      </c>
    </row>
    <row r="184" spans="1:15" s="1" customFormat="1" ht="14.25">
      <c r="A184" s="228" t="str">
        <f ca="1">IF(Giocatori!E190=0,"",Giocatori!E190)</f>
        <v/>
      </c>
      <c r="B184" s="229" t="str">
        <f ca="1">IF(Giocatori!F190=0,"",Giocatori!F190)</f>
        <v/>
      </c>
      <c r="C184" s="229" t="str">
        <f ca="1">IF(Giocatori!D190=0,"",Giocatori!D190)</f>
        <v/>
      </c>
      <c r="D184" s="228" t="str">
        <f ca="1">IF(Giocatori!H190=0,"",Giocatori!H190)</f>
        <v>VITOR HUGO</v>
      </c>
      <c r="E184" s="229" t="str">
        <f ca="1">IF(Giocatori!I190=0,"",Giocatori!I190)</f>
        <v>Fiorentina</v>
      </c>
      <c r="F184" s="229" t="str">
        <f ca="1">IF(Giocatori!G190=0,"",Giocatori!G190)</f>
        <v>D</v>
      </c>
      <c r="G184" s="228" t="str">
        <f ca="1">IF(Giocatori!K190=0,"",Giocatori!K190)</f>
        <v/>
      </c>
      <c r="H184" s="229" t="str">
        <f ca="1">IF(Giocatori!L190=0,"",Giocatori!L190)</f>
        <v/>
      </c>
      <c r="I184" s="229" t="str">
        <f ca="1">IF(Giocatori!J190=0,"",Giocatori!J190)</f>
        <v/>
      </c>
      <c r="J184" s="228" t="str">
        <f ca="1">IF(Giocatori!Q190=0,"",Giocatori!Q190)</f>
        <v/>
      </c>
      <c r="K184" s="229" t="str">
        <f ca="1">IF(Giocatori!R190=0,"",Giocatori!R190)</f>
        <v/>
      </c>
      <c r="L184" s="229" t="str">
        <f ca="1">IF(Giocatori!P190=0,"",Giocatori!P190)</f>
        <v/>
      </c>
      <c r="M184" s="229" t="str">
        <f ca="1">IF(Giocatori!N190=0,"",Giocatori!N190)</f>
        <v/>
      </c>
      <c r="N184" s="229" t="str">
        <f ca="1">IF(Giocatori!O190=0,"",Giocatori!O190)</f>
        <v/>
      </c>
      <c r="O184" s="229" t="str">
        <f ca="1">IF(Giocatori!M190=0,"",Giocatori!M190)</f>
        <v/>
      </c>
    </row>
    <row r="185" spans="1:15" s="1" customFormat="1" ht="14.25">
      <c r="A185" s="228" t="str">
        <f ca="1">IF(Giocatori!E191=0,"",Giocatori!E191)</f>
        <v/>
      </c>
      <c r="B185" s="229" t="str">
        <f ca="1">IF(Giocatori!F191=0,"",Giocatori!F191)</f>
        <v/>
      </c>
      <c r="C185" s="229" t="str">
        <f ca="1">IF(Giocatori!D191=0,"",Giocatori!D191)</f>
        <v/>
      </c>
      <c r="D185" s="228" t="str">
        <f ca="1">IF(Giocatori!H191=0,"",Giocatori!H191)</f>
        <v>WALLACE</v>
      </c>
      <c r="E185" s="229" t="str">
        <f ca="1">IF(Giocatori!I191=0,"",Giocatori!I191)</f>
        <v>Lazio</v>
      </c>
      <c r="F185" s="229" t="str">
        <f ca="1">IF(Giocatori!G191=0,"",Giocatori!G191)</f>
        <v>D</v>
      </c>
      <c r="G185" s="228" t="str">
        <f ca="1">IF(Giocatori!K191=0,"",Giocatori!K191)</f>
        <v/>
      </c>
      <c r="H185" s="229" t="str">
        <f ca="1">IF(Giocatori!L191=0,"",Giocatori!L191)</f>
        <v/>
      </c>
      <c r="I185" s="229" t="str">
        <f ca="1">IF(Giocatori!J191=0,"",Giocatori!J191)</f>
        <v/>
      </c>
      <c r="J185" s="228" t="str">
        <f ca="1">IF(Giocatori!Q191=0,"",Giocatori!Q191)</f>
        <v/>
      </c>
      <c r="K185" s="229" t="str">
        <f ca="1">IF(Giocatori!R191=0,"",Giocatori!R191)</f>
        <v/>
      </c>
      <c r="L185" s="229" t="str">
        <f ca="1">IF(Giocatori!P191=0,"",Giocatori!P191)</f>
        <v/>
      </c>
      <c r="M185" s="229" t="str">
        <f ca="1">IF(Giocatori!N191=0,"",Giocatori!N191)</f>
        <v/>
      </c>
      <c r="N185" s="229" t="str">
        <f ca="1">IF(Giocatori!O191=0,"",Giocatori!O191)</f>
        <v/>
      </c>
      <c r="O185" s="229" t="str">
        <f ca="1">IF(Giocatori!M191=0,"",Giocatori!M191)</f>
        <v/>
      </c>
    </row>
    <row r="186" spans="1:15" s="1" customFormat="1" ht="14.25">
      <c r="A186" s="228" t="str">
        <f ca="1">IF(Giocatori!E192=0,"",Giocatori!E192)</f>
        <v/>
      </c>
      <c r="B186" s="229" t="str">
        <f ca="1">IF(Giocatori!F192=0,"",Giocatori!F192)</f>
        <v/>
      </c>
      <c r="C186" s="229" t="str">
        <f ca="1">IF(Giocatori!D192=0,"",Giocatori!D192)</f>
        <v/>
      </c>
      <c r="D186" s="228" t="str">
        <f ca="1">IF(Giocatori!H192=0,"",Giocatori!H192)</f>
        <v>WIDMER</v>
      </c>
      <c r="E186" s="229" t="str">
        <f ca="1">IF(Giocatori!I192=0,"",Giocatori!I192)</f>
        <v>Udinese</v>
      </c>
      <c r="F186" s="229" t="str">
        <f ca="1">IF(Giocatori!G192=0,"",Giocatori!G192)</f>
        <v>D</v>
      </c>
      <c r="G186" s="228" t="str">
        <f ca="1">IF(Giocatori!K192=0,"",Giocatori!K192)</f>
        <v/>
      </c>
      <c r="H186" s="229" t="str">
        <f ca="1">IF(Giocatori!L192=0,"",Giocatori!L192)</f>
        <v/>
      </c>
      <c r="I186" s="229" t="str">
        <f ca="1">IF(Giocatori!J192=0,"",Giocatori!J192)</f>
        <v/>
      </c>
      <c r="J186" s="228" t="str">
        <f ca="1">IF(Giocatori!Q192=0,"",Giocatori!Q192)</f>
        <v/>
      </c>
      <c r="K186" s="229" t="str">
        <f ca="1">IF(Giocatori!R192=0,"",Giocatori!R192)</f>
        <v/>
      </c>
      <c r="L186" s="229" t="str">
        <f ca="1">IF(Giocatori!P192=0,"",Giocatori!P192)</f>
        <v/>
      </c>
      <c r="M186" s="229" t="str">
        <f ca="1">IF(Giocatori!N192=0,"",Giocatori!N192)</f>
        <v/>
      </c>
      <c r="N186" s="229" t="str">
        <f ca="1">IF(Giocatori!O192=0,"",Giocatori!O192)</f>
        <v/>
      </c>
      <c r="O186" s="229" t="str">
        <f ca="1">IF(Giocatori!M192=0,"",Giocatori!M192)</f>
        <v/>
      </c>
    </row>
    <row r="187" spans="1:15" s="1" customFormat="1" ht="14.25">
      <c r="A187" s="228" t="str">
        <f ca="1">IF(Giocatori!E193=0,"",Giocatori!E193)</f>
        <v/>
      </c>
      <c r="B187" s="229" t="str">
        <f ca="1">IF(Giocatori!F193=0,"",Giocatori!F193)</f>
        <v/>
      </c>
      <c r="C187" s="229" t="str">
        <f ca="1">IF(Giocatori!D193=0,"",Giocatori!D193)</f>
        <v/>
      </c>
      <c r="D187" s="228" t="str">
        <f ca="1">IF(Giocatori!H193=0,"",Giocatori!H193)</f>
        <v>ZAPATA C</v>
      </c>
      <c r="E187" s="229" t="str">
        <f ca="1">IF(Giocatori!I193=0,"",Giocatori!I193)</f>
        <v>Milan</v>
      </c>
      <c r="F187" s="229" t="str">
        <f ca="1">IF(Giocatori!G193=0,"",Giocatori!G193)</f>
        <v>D</v>
      </c>
      <c r="G187" s="228" t="str">
        <f ca="1">IF(Giocatori!K193=0,"",Giocatori!K193)</f>
        <v/>
      </c>
      <c r="H187" s="229" t="str">
        <f ca="1">IF(Giocatori!L193=0,"",Giocatori!L193)</f>
        <v/>
      </c>
      <c r="I187" s="229" t="str">
        <f ca="1">IF(Giocatori!J193=0,"",Giocatori!J193)</f>
        <v/>
      </c>
      <c r="J187" s="228" t="str">
        <f ca="1">IF(Giocatori!Q193=0,"",Giocatori!Q193)</f>
        <v/>
      </c>
      <c r="K187" s="229" t="str">
        <f ca="1">IF(Giocatori!R193=0,"",Giocatori!R193)</f>
        <v/>
      </c>
      <c r="L187" s="229" t="str">
        <f ca="1">IF(Giocatori!P193=0,"",Giocatori!P193)</f>
        <v/>
      </c>
      <c r="M187" s="229" t="str">
        <f ca="1">IF(Giocatori!N193=0,"",Giocatori!N193)</f>
        <v/>
      </c>
      <c r="N187" s="229" t="str">
        <f ca="1">IF(Giocatori!O193=0,"",Giocatori!O193)</f>
        <v/>
      </c>
      <c r="O187" s="229" t="str">
        <f ca="1">IF(Giocatori!M193=0,"",Giocatori!M193)</f>
        <v/>
      </c>
    </row>
    <row r="188" spans="1:15" s="1" customFormat="1" ht="14.25">
      <c r="A188" s="228" t="str">
        <f ca="1">IF(Giocatori!E194=0,"",Giocatori!E194)</f>
        <v/>
      </c>
      <c r="B188" s="229" t="str">
        <f ca="1">IF(Giocatori!F194=0,"",Giocatori!F194)</f>
        <v/>
      </c>
      <c r="C188" s="229" t="str">
        <f ca="1">IF(Giocatori!D194=0,"",Giocatori!D194)</f>
        <v/>
      </c>
      <c r="D188" s="228" t="str">
        <f ca="1">IF(Giocatori!H194=0,"",Giocatori!H194)</f>
        <v>ZUKANOVIC</v>
      </c>
      <c r="E188" s="229" t="str">
        <f ca="1">IF(Giocatori!I194=0,"",Giocatori!I194)</f>
        <v>Genoa</v>
      </c>
      <c r="F188" s="229" t="str">
        <f ca="1">IF(Giocatori!G194=0,"",Giocatori!G194)</f>
        <v>D</v>
      </c>
      <c r="G188" s="228" t="str">
        <f ca="1">IF(Giocatori!K194=0,"",Giocatori!K194)</f>
        <v/>
      </c>
      <c r="H188" s="229" t="str">
        <f ca="1">IF(Giocatori!L194=0,"",Giocatori!L194)</f>
        <v/>
      </c>
      <c r="I188" s="229" t="str">
        <f ca="1">IF(Giocatori!J194=0,"",Giocatori!J194)</f>
        <v/>
      </c>
      <c r="J188" s="228" t="str">
        <f ca="1">IF(Giocatori!Q194=0,"",Giocatori!Q194)</f>
        <v/>
      </c>
      <c r="K188" s="229" t="str">
        <f ca="1">IF(Giocatori!R194=0,"",Giocatori!R194)</f>
        <v/>
      </c>
      <c r="L188" s="229" t="str">
        <f ca="1">IF(Giocatori!P194=0,"",Giocatori!P194)</f>
        <v/>
      </c>
      <c r="M188" s="229" t="str">
        <f ca="1">IF(Giocatori!N194=0,"",Giocatori!N194)</f>
        <v/>
      </c>
      <c r="N188" s="229" t="str">
        <f ca="1">IF(Giocatori!O194=0,"",Giocatori!O194)</f>
        <v/>
      </c>
      <c r="O188" s="229" t="str">
        <f ca="1">IF(Giocatori!M194=0,"",Giocatori!M194)</f>
        <v/>
      </c>
    </row>
    <row r="189" spans="1:15" s="1" customFormat="1" ht="14.25">
      <c r="A189" s="228" t="str">
        <f ca="1">IF(Giocatori!E195=0,"",Giocatori!E195)</f>
        <v/>
      </c>
      <c r="B189" s="229" t="str">
        <f ca="1">IF(Giocatori!F195=0,"",Giocatori!F195)</f>
        <v/>
      </c>
      <c r="C189" s="229" t="str">
        <f ca="1">IF(Giocatori!D195=0,"",Giocatori!D195)</f>
        <v/>
      </c>
      <c r="D189" s="228" t="str">
        <f ca="1">IF(Giocatori!H195=0,"",Giocatori!H195)</f>
        <v/>
      </c>
      <c r="E189" s="229" t="str">
        <f ca="1">IF(Giocatori!I195=0,"",Giocatori!I195)</f>
        <v/>
      </c>
      <c r="F189" s="229" t="str">
        <f ca="1">IF(Giocatori!G195=0,"",Giocatori!G195)</f>
        <v/>
      </c>
      <c r="G189" s="228" t="str">
        <f ca="1">IF(Giocatori!K195=0,"",Giocatori!K195)</f>
        <v/>
      </c>
      <c r="H189" s="229" t="str">
        <f ca="1">IF(Giocatori!L195=0,"",Giocatori!L195)</f>
        <v/>
      </c>
      <c r="I189" s="229" t="str">
        <f ca="1">IF(Giocatori!J195=0,"",Giocatori!J195)</f>
        <v/>
      </c>
      <c r="J189" s="228" t="str">
        <f ca="1">IF(Giocatori!Q195=0,"",Giocatori!Q195)</f>
        <v/>
      </c>
      <c r="K189" s="229" t="str">
        <f ca="1">IF(Giocatori!R195=0,"",Giocatori!R195)</f>
        <v/>
      </c>
      <c r="L189" s="229" t="str">
        <f ca="1">IF(Giocatori!P195=0,"",Giocatori!P195)</f>
        <v/>
      </c>
      <c r="M189" s="229" t="str">
        <f ca="1">IF(Giocatori!N195=0,"",Giocatori!N195)</f>
        <v/>
      </c>
      <c r="N189" s="229" t="str">
        <f ca="1">IF(Giocatori!O195=0,"",Giocatori!O195)</f>
        <v/>
      </c>
      <c r="O189" s="229" t="str">
        <f ca="1">IF(Giocatori!M195=0,"",Giocatori!M195)</f>
        <v/>
      </c>
    </row>
    <row r="190" spans="1:15" s="1" customFormat="1" ht="14.25">
      <c r="A190" s="228" t="str">
        <f ca="1">IF(Giocatori!E196=0,"",Giocatori!E196)</f>
        <v/>
      </c>
      <c r="B190" s="229" t="str">
        <f ca="1">IF(Giocatori!F196=0,"",Giocatori!F196)</f>
        <v/>
      </c>
      <c r="C190" s="229" t="str">
        <f ca="1">IF(Giocatori!D196=0,"",Giocatori!D196)</f>
        <v/>
      </c>
      <c r="D190" s="228" t="str">
        <f ca="1">IF(Giocatori!H196=0,"",Giocatori!H196)</f>
        <v/>
      </c>
      <c r="E190" s="229" t="str">
        <f ca="1">IF(Giocatori!I196=0,"",Giocatori!I196)</f>
        <v/>
      </c>
      <c r="F190" s="229" t="str">
        <f ca="1">IF(Giocatori!G196=0,"",Giocatori!G196)</f>
        <v/>
      </c>
      <c r="G190" s="228" t="str">
        <f ca="1">IF(Giocatori!K196=0,"",Giocatori!K196)</f>
        <v/>
      </c>
      <c r="H190" s="229" t="str">
        <f ca="1">IF(Giocatori!L196=0,"",Giocatori!L196)</f>
        <v/>
      </c>
      <c r="I190" s="229" t="str">
        <f ca="1">IF(Giocatori!J196=0,"",Giocatori!J196)</f>
        <v/>
      </c>
      <c r="J190" s="228" t="str">
        <f ca="1">IF(Giocatori!Q196=0,"",Giocatori!Q196)</f>
        <v/>
      </c>
      <c r="K190" s="229" t="str">
        <f ca="1">IF(Giocatori!R196=0,"",Giocatori!R196)</f>
        <v/>
      </c>
      <c r="L190" s="229" t="str">
        <f ca="1">IF(Giocatori!P196=0,"",Giocatori!P196)</f>
        <v/>
      </c>
      <c r="M190" s="229" t="str">
        <f ca="1">IF(Giocatori!N196=0,"",Giocatori!N196)</f>
        <v/>
      </c>
      <c r="N190" s="229" t="str">
        <f ca="1">IF(Giocatori!O196=0,"",Giocatori!O196)</f>
        <v/>
      </c>
      <c r="O190" s="229" t="str">
        <f ca="1">IF(Giocatori!M196=0,"",Giocatori!M196)</f>
        <v/>
      </c>
    </row>
    <row r="191" spans="1:15" s="1" customFormat="1" ht="14.25">
      <c r="A191" s="228" t="str">
        <f ca="1">IF(Giocatori!E197=0,"",Giocatori!E197)</f>
        <v/>
      </c>
      <c r="B191" s="229" t="str">
        <f ca="1">IF(Giocatori!F197=0,"",Giocatori!F197)</f>
        <v/>
      </c>
      <c r="C191" s="229" t="str">
        <f ca="1">IF(Giocatori!D197=0,"",Giocatori!D197)</f>
        <v/>
      </c>
      <c r="D191" s="228" t="str">
        <f ca="1">IF(Giocatori!H197=0,"",Giocatori!H197)</f>
        <v/>
      </c>
      <c r="E191" s="229" t="str">
        <f ca="1">IF(Giocatori!I197=0,"",Giocatori!I197)</f>
        <v/>
      </c>
      <c r="F191" s="229" t="str">
        <f ca="1">IF(Giocatori!G197=0,"",Giocatori!G197)</f>
        <v/>
      </c>
      <c r="G191" s="228" t="str">
        <f ca="1">IF(Giocatori!K197=0,"",Giocatori!K197)</f>
        <v/>
      </c>
      <c r="H191" s="229" t="str">
        <f ca="1">IF(Giocatori!L197=0,"",Giocatori!L197)</f>
        <v/>
      </c>
      <c r="I191" s="229" t="str">
        <f ca="1">IF(Giocatori!J197=0,"",Giocatori!J197)</f>
        <v/>
      </c>
      <c r="J191" s="228" t="str">
        <f ca="1">IF(Giocatori!Q197=0,"",Giocatori!Q197)</f>
        <v/>
      </c>
      <c r="K191" s="229" t="str">
        <f ca="1">IF(Giocatori!R197=0,"",Giocatori!R197)</f>
        <v/>
      </c>
      <c r="L191" s="229" t="str">
        <f ca="1">IF(Giocatori!P197=0,"",Giocatori!P197)</f>
        <v/>
      </c>
      <c r="M191" s="229" t="str">
        <f ca="1">IF(Giocatori!N197=0,"",Giocatori!N197)</f>
        <v/>
      </c>
      <c r="N191" s="229" t="str">
        <f ca="1">IF(Giocatori!O197=0,"",Giocatori!O197)</f>
        <v/>
      </c>
      <c r="O191" s="229" t="str">
        <f ca="1">IF(Giocatori!M197=0,"",Giocatori!M197)</f>
        <v/>
      </c>
    </row>
    <row r="192" spans="1:15" s="1" customFormat="1" ht="14.25">
      <c r="A192" s="228" t="str">
        <f ca="1">IF(Giocatori!E198=0,"",Giocatori!E198)</f>
        <v/>
      </c>
      <c r="B192" s="229" t="str">
        <f ca="1">IF(Giocatori!F198=0,"",Giocatori!F198)</f>
        <v/>
      </c>
      <c r="C192" s="229" t="str">
        <f ca="1">IF(Giocatori!D198=0,"",Giocatori!D198)</f>
        <v/>
      </c>
      <c r="D192" s="228" t="str">
        <f ca="1">IF(Giocatori!H198=0,"",Giocatori!H198)</f>
        <v/>
      </c>
      <c r="E192" s="229" t="str">
        <f ca="1">IF(Giocatori!I198=0,"",Giocatori!I198)</f>
        <v/>
      </c>
      <c r="F192" s="229" t="str">
        <f ca="1">IF(Giocatori!G198=0,"",Giocatori!G198)</f>
        <v/>
      </c>
      <c r="G192" s="228" t="str">
        <f ca="1">IF(Giocatori!K198=0,"",Giocatori!K198)</f>
        <v/>
      </c>
      <c r="H192" s="229" t="str">
        <f ca="1">IF(Giocatori!L198=0,"",Giocatori!L198)</f>
        <v/>
      </c>
      <c r="I192" s="229" t="str">
        <f ca="1">IF(Giocatori!J198=0,"",Giocatori!J198)</f>
        <v/>
      </c>
      <c r="J192" s="228" t="str">
        <f ca="1">IF(Giocatori!Q198=0,"",Giocatori!Q198)</f>
        <v/>
      </c>
      <c r="K192" s="229" t="str">
        <f ca="1">IF(Giocatori!R198=0,"",Giocatori!R198)</f>
        <v/>
      </c>
      <c r="L192" s="229" t="str">
        <f ca="1">IF(Giocatori!P198=0,"",Giocatori!P198)</f>
        <v/>
      </c>
      <c r="M192" s="229" t="str">
        <f ca="1">IF(Giocatori!N198=0,"",Giocatori!N198)</f>
        <v/>
      </c>
      <c r="N192" s="229" t="str">
        <f ca="1">IF(Giocatori!O198=0,"",Giocatori!O198)</f>
        <v/>
      </c>
      <c r="O192" s="229" t="str">
        <f ca="1">IF(Giocatori!M198=0,"",Giocatori!M198)</f>
        <v/>
      </c>
    </row>
    <row r="193" spans="1:15" s="1" customFormat="1" ht="14.25">
      <c r="A193" s="228" t="str">
        <f ca="1">IF(Giocatori!E199=0,"",Giocatori!E199)</f>
        <v/>
      </c>
      <c r="B193" s="229" t="str">
        <f ca="1">IF(Giocatori!F199=0,"",Giocatori!F199)</f>
        <v/>
      </c>
      <c r="C193" s="229" t="str">
        <f ca="1">IF(Giocatori!D199=0,"",Giocatori!D199)</f>
        <v/>
      </c>
      <c r="D193" s="228" t="str">
        <f ca="1">IF(Giocatori!H199=0,"",Giocatori!H199)</f>
        <v/>
      </c>
      <c r="E193" s="229" t="str">
        <f ca="1">IF(Giocatori!I199=0,"",Giocatori!I199)</f>
        <v/>
      </c>
      <c r="F193" s="229" t="str">
        <f ca="1">IF(Giocatori!G199=0,"",Giocatori!G199)</f>
        <v/>
      </c>
      <c r="G193" s="229" t="str">
        <f ca="1">IF(Giocatori!K199=0,"",Giocatori!K199)</f>
        <v/>
      </c>
      <c r="H193" s="229" t="str">
        <f ca="1">IF(Giocatori!L199=0,"",Giocatori!L199)</f>
        <v/>
      </c>
      <c r="I193" s="229" t="str">
        <f ca="1">IF(Giocatori!J199=0,"",Giocatori!J199)</f>
        <v/>
      </c>
      <c r="J193" s="228" t="str">
        <f ca="1">IF(Giocatori!Q199=0,"",Giocatori!Q199)</f>
        <v/>
      </c>
      <c r="K193" s="229" t="str">
        <f ca="1">IF(Giocatori!R199=0,"",Giocatori!R199)</f>
        <v/>
      </c>
      <c r="L193" s="229" t="str">
        <f ca="1">IF(Giocatori!P199=0,"",Giocatori!P199)</f>
        <v/>
      </c>
      <c r="M193" s="229" t="str">
        <f ca="1">IF(Giocatori!N199=0,"",Giocatori!N199)</f>
        <v/>
      </c>
      <c r="N193" s="229" t="str">
        <f ca="1">IF(Giocatori!O199=0,"",Giocatori!O199)</f>
        <v/>
      </c>
      <c r="O193" s="229" t="str">
        <f ca="1">IF(Giocatori!M199=0,"",Giocatori!M199)</f>
        <v/>
      </c>
    </row>
    <row r="194" spans="1:15" s="1" customFormat="1" ht="14.25">
      <c r="A194" s="228" t="str">
        <f ca="1">IF(Giocatori!E200=0,"",Giocatori!E200)</f>
        <v/>
      </c>
      <c r="B194" s="229" t="str">
        <f ca="1">IF(Giocatori!F200=0,"",Giocatori!F200)</f>
        <v/>
      </c>
      <c r="C194" s="229" t="str">
        <f ca="1">IF(Giocatori!D200=0,"",Giocatori!D200)</f>
        <v/>
      </c>
      <c r="D194" s="228" t="str">
        <f ca="1">IF(Giocatori!H200=0,"",Giocatori!H200)</f>
        <v/>
      </c>
      <c r="E194" s="229" t="str">
        <f ca="1">IF(Giocatori!I200=0,"",Giocatori!I200)</f>
        <v/>
      </c>
      <c r="F194" s="229" t="str">
        <f ca="1">IF(Giocatori!G200=0,"",Giocatori!G200)</f>
        <v/>
      </c>
      <c r="G194" s="229" t="str">
        <f ca="1">IF(Giocatori!K200=0,"",Giocatori!K200)</f>
        <v/>
      </c>
      <c r="H194" s="229" t="str">
        <f ca="1">IF(Giocatori!L200=0,"",Giocatori!L200)</f>
        <v/>
      </c>
      <c r="I194" s="229" t="str">
        <f ca="1">IF(Giocatori!J200=0,"",Giocatori!J200)</f>
        <v/>
      </c>
      <c r="J194" s="228" t="str">
        <f ca="1">IF(Giocatori!Q200=0,"",Giocatori!Q200)</f>
        <v/>
      </c>
      <c r="K194" s="229" t="str">
        <f ca="1">IF(Giocatori!R200=0,"",Giocatori!R200)</f>
        <v/>
      </c>
      <c r="L194" s="229" t="str">
        <f ca="1">IF(Giocatori!P200=0,"",Giocatori!P200)</f>
        <v/>
      </c>
      <c r="M194" s="229" t="str">
        <f ca="1">IF(Giocatori!N200=0,"",Giocatori!N200)</f>
        <v/>
      </c>
      <c r="N194" s="229" t="str">
        <f ca="1">IF(Giocatori!O200=0,"",Giocatori!O200)</f>
        <v/>
      </c>
      <c r="O194" s="229" t="str">
        <f ca="1">IF(Giocatori!M200=0,"",Giocatori!M200)</f>
        <v/>
      </c>
    </row>
    <row r="195" spans="1:15" s="1" customFormat="1" ht="14.25">
      <c r="A195" s="228" t="str">
        <f ca="1">IF(Giocatori!E201=0,"",Giocatori!E201)</f>
        <v/>
      </c>
      <c r="B195" s="229" t="str">
        <f ca="1">IF(Giocatori!F201=0,"",Giocatori!F201)</f>
        <v/>
      </c>
      <c r="C195" s="229" t="str">
        <f ca="1">IF(Giocatori!D201=0,"",Giocatori!D201)</f>
        <v/>
      </c>
      <c r="D195" s="228" t="str">
        <f ca="1">IF(Giocatori!H201=0,"",Giocatori!H201)</f>
        <v/>
      </c>
      <c r="E195" s="229" t="str">
        <f ca="1">IF(Giocatori!I201=0,"",Giocatori!I201)</f>
        <v/>
      </c>
      <c r="F195" s="229" t="str">
        <f ca="1">IF(Giocatori!G201=0,"",Giocatori!G201)</f>
        <v/>
      </c>
      <c r="G195" s="229" t="str">
        <f ca="1">IF(Giocatori!K201=0,"",Giocatori!K201)</f>
        <v/>
      </c>
      <c r="H195" s="229" t="str">
        <f ca="1">IF(Giocatori!L201=0,"",Giocatori!L201)</f>
        <v/>
      </c>
      <c r="I195" s="229" t="str">
        <f ca="1">IF(Giocatori!J201=0,"",Giocatori!J201)</f>
        <v/>
      </c>
      <c r="J195" s="228" t="str">
        <f ca="1">IF(Giocatori!Q201=0,"",Giocatori!Q201)</f>
        <v/>
      </c>
      <c r="K195" s="229" t="str">
        <f ca="1">IF(Giocatori!R201=0,"",Giocatori!R201)</f>
        <v/>
      </c>
      <c r="L195" s="229" t="str">
        <f ca="1">IF(Giocatori!P201=0,"",Giocatori!P201)</f>
        <v/>
      </c>
      <c r="M195" s="229" t="str">
        <f ca="1">IF(Giocatori!N201=0,"",Giocatori!N201)</f>
        <v/>
      </c>
      <c r="N195" s="229" t="str">
        <f ca="1">IF(Giocatori!O201=0,"",Giocatori!O201)</f>
        <v/>
      </c>
      <c r="O195" s="229" t="str">
        <f ca="1">IF(Giocatori!M201=0,"",Giocatori!M201)</f>
        <v/>
      </c>
    </row>
    <row r="196" spans="1:15" s="1" customFormat="1" ht="14.25">
      <c r="A196" s="228" t="str">
        <f ca="1">IF(Giocatori!E202=0,"",Giocatori!E202)</f>
        <v/>
      </c>
      <c r="B196" s="229" t="str">
        <f ca="1">IF(Giocatori!F202=0,"",Giocatori!F202)</f>
        <v/>
      </c>
      <c r="C196" s="229" t="str">
        <f ca="1">IF(Giocatori!D202=0,"",Giocatori!D202)</f>
        <v/>
      </c>
      <c r="D196" s="228" t="str">
        <f ca="1">IF(Giocatori!H202=0,"",Giocatori!H202)</f>
        <v/>
      </c>
      <c r="E196" s="229" t="str">
        <f ca="1">IF(Giocatori!I202=0,"",Giocatori!I202)</f>
        <v/>
      </c>
      <c r="F196" s="229" t="str">
        <f ca="1">IF(Giocatori!G202=0,"",Giocatori!G202)</f>
        <v/>
      </c>
      <c r="G196" s="229" t="str">
        <f ca="1">IF(Giocatori!K202=0,"",Giocatori!K202)</f>
        <v/>
      </c>
      <c r="H196" s="229" t="str">
        <f ca="1">IF(Giocatori!L202=0,"",Giocatori!L202)</f>
        <v/>
      </c>
      <c r="I196" s="229" t="str">
        <f ca="1">IF(Giocatori!J202=0,"",Giocatori!J202)</f>
        <v/>
      </c>
      <c r="J196" s="228" t="str">
        <f ca="1">IF(Giocatori!Q202=0,"",Giocatori!Q202)</f>
        <v/>
      </c>
      <c r="K196" s="229" t="str">
        <f ca="1">IF(Giocatori!R202=0,"",Giocatori!R202)</f>
        <v/>
      </c>
      <c r="L196" s="229" t="str">
        <f ca="1">IF(Giocatori!P202=0,"",Giocatori!P202)</f>
        <v/>
      </c>
      <c r="M196" s="229" t="str">
        <f ca="1">IF(Giocatori!N202=0,"",Giocatori!N202)</f>
        <v/>
      </c>
      <c r="N196" s="229" t="str">
        <f ca="1">IF(Giocatori!O202=0,"",Giocatori!O202)</f>
        <v/>
      </c>
      <c r="O196" s="229" t="str">
        <f ca="1">IF(Giocatori!M202=0,"",Giocatori!M202)</f>
        <v/>
      </c>
    </row>
    <row r="197" spans="1:15" s="1" customFormat="1" ht="14.25">
      <c r="A197" s="228" t="str">
        <f ca="1">IF(Giocatori!E203=0,"",Giocatori!E203)</f>
        <v/>
      </c>
      <c r="B197" s="229" t="str">
        <f ca="1">IF(Giocatori!F203=0,"",Giocatori!F203)</f>
        <v/>
      </c>
      <c r="C197" s="229" t="str">
        <f ca="1">IF(Giocatori!D203=0,"",Giocatori!D203)</f>
        <v/>
      </c>
      <c r="D197" s="228" t="str">
        <f ca="1">IF(Giocatori!H203=0,"",Giocatori!H203)</f>
        <v/>
      </c>
      <c r="E197" s="229" t="str">
        <f ca="1">IF(Giocatori!I203=0,"",Giocatori!I203)</f>
        <v/>
      </c>
      <c r="F197" s="229" t="str">
        <f ca="1">IF(Giocatori!G203=0,"",Giocatori!G203)</f>
        <v/>
      </c>
      <c r="G197" s="229" t="str">
        <f ca="1">IF(Giocatori!K203=0,"",Giocatori!K203)</f>
        <v/>
      </c>
      <c r="H197" s="229" t="str">
        <f ca="1">IF(Giocatori!L203=0,"",Giocatori!L203)</f>
        <v/>
      </c>
      <c r="I197" s="229" t="str">
        <f ca="1">IF(Giocatori!J203=0,"",Giocatori!J203)</f>
        <v/>
      </c>
      <c r="J197" s="228" t="str">
        <f ca="1">IF(Giocatori!Q203=0,"",Giocatori!Q203)</f>
        <v/>
      </c>
      <c r="K197" s="229" t="str">
        <f ca="1">IF(Giocatori!R203=0,"",Giocatori!R203)</f>
        <v/>
      </c>
      <c r="L197" s="229" t="str">
        <f ca="1">IF(Giocatori!P203=0,"",Giocatori!P203)</f>
        <v/>
      </c>
      <c r="M197" s="229" t="str">
        <f ca="1">IF(Giocatori!N203=0,"",Giocatori!N203)</f>
        <v/>
      </c>
      <c r="N197" s="229" t="str">
        <f ca="1">IF(Giocatori!O203=0,"",Giocatori!O203)</f>
        <v/>
      </c>
      <c r="O197" s="229" t="str">
        <f ca="1">IF(Giocatori!M203=0,"",Giocatori!M203)</f>
        <v/>
      </c>
    </row>
    <row r="198" spans="1:15" s="1" customFormat="1" ht="14.25">
      <c r="A198" s="228" t="str">
        <f ca="1">IF(Giocatori!E204=0,"",Giocatori!E204)</f>
        <v/>
      </c>
      <c r="B198" s="229" t="str">
        <f ca="1">IF(Giocatori!F204=0,"",Giocatori!F204)</f>
        <v/>
      </c>
      <c r="C198" s="229" t="str">
        <f ca="1">IF(Giocatori!D204=0,"",Giocatori!D204)</f>
        <v/>
      </c>
      <c r="D198" s="228" t="str">
        <f ca="1">IF(Giocatori!H204=0,"",Giocatori!H204)</f>
        <v/>
      </c>
      <c r="E198" s="229" t="str">
        <f ca="1">IF(Giocatori!I204=0,"",Giocatori!I204)</f>
        <v/>
      </c>
      <c r="F198" s="229" t="str">
        <f ca="1">IF(Giocatori!G204=0,"",Giocatori!G204)</f>
        <v/>
      </c>
      <c r="G198" s="229" t="str">
        <f ca="1">IF(Giocatori!K204=0,"",Giocatori!K204)</f>
        <v/>
      </c>
      <c r="H198" s="229" t="str">
        <f ca="1">IF(Giocatori!L204=0,"",Giocatori!L204)</f>
        <v/>
      </c>
      <c r="I198" s="229" t="str">
        <f ca="1">IF(Giocatori!J204=0,"",Giocatori!J204)</f>
        <v/>
      </c>
      <c r="J198" s="228" t="str">
        <f ca="1">IF(Giocatori!Q204=0,"",Giocatori!Q204)</f>
        <v/>
      </c>
      <c r="K198" s="229" t="str">
        <f ca="1">IF(Giocatori!R204=0,"",Giocatori!R204)</f>
        <v/>
      </c>
      <c r="L198" s="229" t="str">
        <f ca="1">IF(Giocatori!P204=0,"",Giocatori!P204)</f>
        <v/>
      </c>
      <c r="M198" s="229" t="str">
        <f ca="1">IF(Giocatori!N204=0,"",Giocatori!N204)</f>
        <v/>
      </c>
      <c r="N198" s="229" t="str">
        <f ca="1">IF(Giocatori!O204=0,"",Giocatori!O204)</f>
        <v/>
      </c>
      <c r="O198" s="229" t="str">
        <f ca="1">IF(Giocatori!M204=0,"",Giocatori!M204)</f>
        <v/>
      </c>
    </row>
    <row r="199" spans="1:15" s="1" customFormat="1" ht="14.25">
      <c r="A199" s="228" t="str">
        <f ca="1">IF(Giocatori!E205=0,"",Giocatori!E205)</f>
        <v/>
      </c>
      <c r="B199" s="229" t="str">
        <f ca="1">IF(Giocatori!F205=0,"",Giocatori!F205)</f>
        <v/>
      </c>
      <c r="C199" s="229" t="str">
        <f ca="1">IF(Giocatori!D205=0,"",Giocatori!D205)</f>
        <v/>
      </c>
      <c r="D199" s="228" t="str">
        <f ca="1">IF(Giocatori!H205=0,"",Giocatori!H205)</f>
        <v/>
      </c>
      <c r="E199" s="229" t="str">
        <f ca="1">IF(Giocatori!I205=0,"",Giocatori!I205)</f>
        <v/>
      </c>
      <c r="F199" s="229" t="str">
        <f ca="1">IF(Giocatori!G205=0,"",Giocatori!G205)</f>
        <v/>
      </c>
      <c r="G199" s="229" t="str">
        <f ca="1">IF(Giocatori!K205=0,"",Giocatori!K205)</f>
        <v/>
      </c>
      <c r="H199" s="229" t="str">
        <f ca="1">IF(Giocatori!L205=0,"",Giocatori!L205)</f>
        <v/>
      </c>
      <c r="I199" s="229" t="str">
        <f ca="1">IF(Giocatori!J205=0,"",Giocatori!J205)</f>
        <v/>
      </c>
      <c r="J199" s="228" t="str">
        <f ca="1">IF(Giocatori!Q205=0,"",Giocatori!Q205)</f>
        <v/>
      </c>
      <c r="K199" s="229" t="str">
        <f ca="1">IF(Giocatori!R205=0,"",Giocatori!R205)</f>
        <v/>
      </c>
      <c r="L199" s="229" t="str">
        <f ca="1">IF(Giocatori!P205=0,"",Giocatori!P205)</f>
        <v/>
      </c>
      <c r="M199" s="229" t="str">
        <f ca="1">IF(Giocatori!N205=0,"",Giocatori!N205)</f>
        <v/>
      </c>
      <c r="N199" s="229" t="str">
        <f ca="1">IF(Giocatori!O205=0,"",Giocatori!O205)</f>
        <v/>
      </c>
      <c r="O199" s="229" t="str">
        <f ca="1">IF(Giocatori!M205=0,"",Giocatori!M205)</f>
        <v/>
      </c>
    </row>
    <row r="200" spans="1:15" s="1" customFormat="1" ht="14.25">
      <c r="A200" s="228" t="str">
        <f ca="1">IF(Giocatori!E206=0,"",Giocatori!E206)</f>
        <v/>
      </c>
      <c r="B200" s="229" t="str">
        <f ca="1">IF(Giocatori!F206=0,"",Giocatori!F206)</f>
        <v/>
      </c>
      <c r="C200" s="229" t="str">
        <f ca="1">IF(Giocatori!D206=0,"",Giocatori!D206)</f>
        <v/>
      </c>
      <c r="D200" s="228" t="str">
        <f ca="1">IF(Giocatori!H206=0,"",Giocatori!H206)</f>
        <v/>
      </c>
      <c r="E200" s="229" t="str">
        <f ca="1">IF(Giocatori!I206=0,"",Giocatori!I206)</f>
        <v/>
      </c>
      <c r="F200" s="229" t="str">
        <f ca="1">IF(Giocatori!G206=0,"",Giocatori!G206)</f>
        <v/>
      </c>
      <c r="G200" s="229" t="str">
        <f ca="1">IF(Giocatori!K206=0,"",Giocatori!K206)</f>
        <v/>
      </c>
      <c r="H200" s="229" t="str">
        <f ca="1">IF(Giocatori!L206=0,"",Giocatori!L206)</f>
        <v/>
      </c>
      <c r="I200" s="229" t="str">
        <f ca="1">IF(Giocatori!J206=0,"",Giocatori!J206)</f>
        <v/>
      </c>
      <c r="J200" s="228" t="str">
        <f ca="1">IF(Giocatori!Q206=0,"",Giocatori!Q206)</f>
        <v/>
      </c>
      <c r="K200" s="229" t="str">
        <f ca="1">IF(Giocatori!R206=0,"",Giocatori!R206)</f>
        <v/>
      </c>
      <c r="L200" s="229" t="str">
        <f ca="1">IF(Giocatori!P206=0,"",Giocatori!P206)</f>
        <v/>
      </c>
      <c r="M200" s="229" t="str">
        <f ca="1">IF(Giocatori!N206=0,"",Giocatori!N206)</f>
        <v/>
      </c>
      <c r="N200" s="229" t="str">
        <f ca="1">IF(Giocatori!O206=0,"",Giocatori!O206)</f>
        <v/>
      </c>
      <c r="O200" s="229" t="str">
        <f ca="1">IF(Giocatori!M206=0,"",Giocatori!M206)</f>
        <v/>
      </c>
    </row>
    <row r="201" spans="1:15" s="1" customFormat="1" ht="14.25">
      <c r="A201" s="228" t="str">
        <f ca="1">IF(Giocatori!E207=0,"",Giocatori!E207)</f>
        <v/>
      </c>
      <c r="B201" s="229" t="str">
        <f ca="1">IF(Giocatori!F207=0,"",Giocatori!F207)</f>
        <v/>
      </c>
      <c r="C201" s="229" t="str">
        <f ca="1">IF(Giocatori!D207=0,"",Giocatori!D207)</f>
        <v/>
      </c>
      <c r="D201" s="228" t="str">
        <f ca="1">IF(Giocatori!H207=0,"",Giocatori!H207)</f>
        <v/>
      </c>
      <c r="E201" s="229" t="str">
        <f ca="1">IF(Giocatori!I207=0,"",Giocatori!I207)</f>
        <v/>
      </c>
      <c r="F201" s="229" t="str">
        <f ca="1">IF(Giocatori!G207=0,"",Giocatori!G207)</f>
        <v/>
      </c>
      <c r="G201" s="229" t="str">
        <f ca="1">IF(Giocatori!K207=0,"",Giocatori!K207)</f>
        <v/>
      </c>
      <c r="H201" s="229" t="str">
        <f ca="1">IF(Giocatori!L207=0,"",Giocatori!L207)</f>
        <v/>
      </c>
      <c r="I201" s="229" t="str">
        <f ca="1">IF(Giocatori!J207=0,"",Giocatori!J207)</f>
        <v/>
      </c>
      <c r="J201" s="228" t="str">
        <f ca="1">IF(Giocatori!Q207=0,"",Giocatori!Q207)</f>
        <v/>
      </c>
      <c r="K201" s="229" t="str">
        <f ca="1">IF(Giocatori!R207=0,"",Giocatori!R207)</f>
        <v/>
      </c>
      <c r="L201" s="229" t="str">
        <f ca="1">IF(Giocatori!P207=0,"",Giocatori!P207)</f>
        <v/>
      </c>
      <c r="M201" s="229" t="str">
        <f ca="1">IF(Giocatori!N207=0,"",Giocatori!N207)</f>
        <v/>
      </c>
      <c r="N201" s="229" t="str">
        <f ca="1">IF(Giocatori!O207=0,"",Giocatori!O207)</f>
        <v/>
      </c>
      <c r="O201" s="229" t="str">
        <f ca="1">IF(Giocatori!M207=0,"",Giocatori!M207)</f>
        <v/>
      </c>
    </row>
    <row r="202" spans="1:15" s="1" customFormat="1" ht="14.25">
      <c r="A202" s="228" t="str">
        <f ca="1">IF(Giocatori!E208=0,"",Giocatori!E208)</f>
        <v/>
      </c>
      <c r="B202" s="229" t="str">
        <f ca="1">IF(Giocatori!F208=0,"",Giocatori!F208)</f>
        <v/>
      </c>
      <c r="C202" s="229" t="str">
        <f ca="1">IF(Giocatori!D208=0,"",Giocatori!D208)</f>
        <v/>
      </c>
      <c r="D202" s="228" t="str">
        <f ca="1">IF(Giocatori!H208=0,"",Giocatori!H208)</f>
        <v/>
      </c>
      <c r="E202" s="229" t="str">
        <f ca="1">IF(Giocatori!I208=0,"",Giocatori!I208)</f>
        <v/>
      </c>
      <c r="F202" s="229" t="str">
        <f ca="1">IF(Giocatori!G208=0,"",Giocatori!G208)</f>
        <v/>
      </c>
      <c r="G202" s="229" t="str">
        <f ca="1">IF(Giocatori!K208=0,"",Giocatori!K208)</f>
        <v/>
      </c>
      <c r="H202" s="229" t="str">
        <f ca="1">IF(Giocatori!L208=0,"",Giocatori!L208)</f>
        <v/>
      </c>
      <c r="I202" s="229" t="str">
        <f ca="1">IF(Giocatori!J208=0,"",Giocatori!J208)</f>
        <v/>
      </c>
      <c r="J202" s="228" t="str">
        <f ca="1">IF(Giocatori!Q208=0,"",Giocatori!Q208)</f>
        <v/>
      </c>
      <c r="K202" s="229" t="str">
        <f ca="1">IF(Giocatori!R208=0,"",Giocatori!R208)</f>
        <v/>
      </c>
      <c r="L202" s="229" t="str">
        <f ca="1">IF(Giocatori!P208=0,"",Giocatori!P208)</f>
        <v/>
      </c>
      <c r="M202" s="229" t="str">
        <f ca="1">IF(Giocatori!N208=0,"",Giocatori!N208)</f>
        <v/>
      </c>
      <c r="N202" s="229" t="str">
        <f ca="1">IF(Giocatori!O208=0,"",Giocatori!O208)</f>
        <v/>
      </c>
      <c r="O202" s="229" t="str">
        <f ca="1">IF(Giocatori!M208=0,"",Giocatori!M208)</f>
        <v/>
      </c>
    </row>
    <row r="203" spans="1:15" s="1" customFormat="1" ht="14.25">
      <c r="A203" s="228" t="str">
        <f ca="1">IF(Giocatori!E209=0,"",Giocatori!E209)</f>
        <v/>
      </c>
      <c r="B203" s="229" t="str">
        <f ca="1">IF(Giocatori!F209=0,"",Giocatori!F209)</f>
        <v/>
      </c>
      <c r="C203" s="229" t="str">
        <f ca="1">IF(Giocatori!D209=0,"",Giocatori!D209)</f>
        <v/>
      </c>
      <c r="D203" s="228" t="str">
        <f ca="1">IF(Giocatori!H209=0,"",Giocatori!H209)</f>
        <v/>
      </c>
      <c r="E203" s="229" t="str">
        <f ca="1">IF(Giocatori!I209=0,"",Giocatori!I209)</f>
        <v/>
      </c>
      <c r="F203" s="229" t="str">
        <f ca="1">IF(Giocatori!G209=0,"",Giocatori!G209)</f>
        <v/>
      </c>
      <c r="G203" s="229" t="str">
        <f ca="1">IF(Giocatori!K209=0,"",Giocatori!K209)</f>
        <v/>
      </c>
      <c r="H203" s="229" t="str">
        <f ca="1">IF(Giocatori!L209=0,"",Giocatori!L209)</f>
        <v/>
      </c>
      <c r="I203" s="229" t="str">
        <f ca="1">IF(Giocatori!J209=0,"",Giocatori!J209)</f>
        <v/>
      </c>
      <c r="J203" s="228" t="str">
        <f ca="1">IF(Giocatori!Q209=0,"",Giocatori!Q209)</f>
        <v/>
      </c>
      <c r="K203" s="229" t="str">
        <f ca="1">IF(Giocatori!R209=0,"",Giocatori!R209)</f>
        <v/>
      </c>
      <c r="L203" s="229" t="str">
        <f ca="1">IF(Giocatori!P209=0,"",Giocatori!P209)</f>
        <v/>
      </c>
      <c r="M203" s="229" t="str">
        <f ca="1">IF(Giocatori!N209=0,"",Giocatori!N209)</f>
        <v/>
      </c>
      <c r="N203" s="229" t="str">
        <f ca="1">IF(Giocatori!O209=0,"",Giocatori!O209)</f>
        <v/>
      </c>
      <c r="O203" s="229" t="str">
        <f ca="1">IF(Giocatori!M209=0,"",Giocatori!M209)</f>
        <v/>
      </c>
    </row>
    <row r="204" spans="1:15" s="1" customFormat="1" ht="14.25">
      <c r="A204" s="228" t="str">
        <f ca="1">IF(Giocatori!E210=0,"",Giocatori!E210)</f>
        <v/>
      </c>
      <c r="B204" s="229" t="str">
        <f ca="1">IF(Giocatori!F210=0,"",Giocatori!F210)</f>
        <v/>
      </c>
      <c r="C204" s="229" t="str">
        <f ca="1">IF(Giocatori!D210=0,"",Giocatori!D210)</f>
        <v/>
      </c>
      <c r="D204" s="228" t="str">
        <f ca="1">IF(Giocatori!H210=0,"",Giocatori!H210)</f>
        <v/>
      </c>
      <c r="E204" s="229" t="str">
        <f ca="1">IF(Giocatori!I210=0,"",Giocatori!I210)</f>
        <v/>
      </c>
      <c r="F204" s="229" t="str">
        <f ca="1">IF(Giocatori!G210=0,"",Giocatori!G210)</f>
        <v/>
      </c>
      <c r="G204" s="229" t="str">
        <f ca="1">IF(Giocatori!K210=0,"",Giocatori!K210)</f>
        <v/>
      </c>
      <c r="H204" s="229" t="str">
        <f ca="1">IF(Giocatori!L210=0,"",Giocatori!L210)</f>
        <v/>
      </c>
      <c r="I204" s="229" t="str">
        <f ca="1">IF(Giocatori!J210=0,"",Giocatori!J210)</f>
        <v/>
      </c>
      <c r="J204" s="228" t="str">
        <f ca="1">IF(Giocatori!Q210=0,"",Giocatori!Q210)</f>
        <v/>
      </c>
      <c r="K204" s="229" t="str">
        <f ca="1">IF(Giocatori!R210=0,"",Giocatori!R210)</f>
        <v/>
      </c>
      <c r="L204" s="229" t="str">
        <f ca="1">IF(Giocatori!P210=0,"",Giocatori!P210)</f>
        <v/>
      </c>
      <c r="M204" s="229" t="str">
        <f ca="1">IF(Giocatori!N210=0,"",Giocatori!N210)</f>
        <v/>
      </c>
      <c r="N204" s="229" t="str">
        <f ca="1">IF(Giocatori!O210=0,"",Giocatori!O210)</f>
        <v/>
      </c>
      <c r="O204" s="229" t="str">
        <f ca="1">IF(Giocatori!M210=0,"",Giocatori!M210)</f>
        <v/>
      </c>
    </row>
    <row r="205" spans="1:15" s="1" customFormat="1" ht="14.25">
      <c r="A205" s="228" t="str">
        <f ca="1">IF(Giocatori!E211=0,"",Giocatori!E211)</f>
        <v/>
      </c>
      <c r="B205" s="229" t="str">
        <f ca="1">IF(Giocatori!F211=0,"",Giocatori!F211)</f>
        <v/>
      </c>
      <c r="C205" s="229" t="str">
        <f ca="1">IF(Giocatori!D211=0,"",Giocatori!D211)</f>
        <v/>
      </c>
      <c r="D205" s="228" t="str">
        <f ca="1">IF(Giocatori!H211=0,"",Giocatori!H211)</f>
        <v/>
      </c>
      <c r="E205" s="229" t="str">
        <f ca="1">IF(Giocatori!I211=0,"",Giocatori!I211)</f>
        <v/>
      </c>
      <c r="F205" s="229" t="str">
        <f ca="1">IF(Giocatori!G211=0,"",Giocatori!G211)</f>
        <v/>
      </c>
      <c r="G205" s="229" t="str">
        <f ca="1">IF(Giocatori!K211=0,"",Giocatori!K211)</f>
        <v/>
      </c>
      <c r="H205" s="229" t="str">
        <f ca="1">IF(Giocatori!L211=0,"",Giocatori!L211)</f>
        <v/>
      </c>
      <c r="I205" s="229" t="str">
        <f ca="1">IF(Giocatori!J211=0,"",Giocatori!J211)</f>
        <v/>
      </c>
      <c r="J205" s="228" t="str">
        <f ca="1">IF(Giocatori!Q211=0,"",Giocatori!Q211)</f>
        <v/>
      </c>
      <c r="K205" s="229" t="str">
        <f ca="1">IF(Giocatori!R211=0,"",Giocatori!R211)</f>
        <v/>
      </c>
      <c r="L205" s="229" t="str">
        <f ca="1">IF(Giocatori!P211=0,"",Giocatori!P211)</f>
        <v/>
      </c>
      <c r="M205" s="229" t="str">
        <f ca="1">IF(Giocatori!N211=0,"",Giocatori!N211)</f>
        <v/>
      </c>
      <c r="N205" s="229" t="str">
        <f ca="1">IF(Giocatori!O211=0,"",Giocatori!O211)</f>
        <v/>
      </c>
      <c r="O205" s="229" t="str">
        <f ca="1">IF(Giocatori!M211=0,"",Giocatori!M211)</f>
        <v/>
      </c>
    </row>
    <row r="206" spans="1:15" s="1" customFormat="1" ht="14.25">
      <c r="A206" s="228" t="str">
        <f ca="1">IF(Giocatori!E212=0,"",Giocatori!E212)</f>
        <v/>
      </c>
      <c r="B206" s="229" t="str">
        <f ca="1">IF(Giocatori!F212=0,"",Giocatori!F212)</f>
        <v/>
      </c>
      <c r="C206" s="229" t="str">
        <f ca="1">IF(Giocatori!D212=0,"",Giocatori!D212)</f>
        <v/>
      </c>
      <c r="D206" s="228" t="str">
        <f ca="1">IF(Giocatori!H212=0,"",Giocatori!H212)</f>
        <v/>
      </c>
      <c r="E206" s="229" t="str">
        <f ca="1">IF(Giocatori!I212=0,"",Giocatori!I212)</f>
        <v/>
      </c>
      <c r="F206" s="229" t="str">
        <f ca="1">IF(Giocatori!G212=0,"",Giocatori!G212)</f>
        <v/>
      </c>
      <c r="G206" s="229" t="str">
        <f ca="1">IF(Giocatori!K212=0,"",Giocatori!K212)</f>
        <v/>
      </c>
      <c r="H206" s="229" t="str">
        <f ca="1">IF(Giocatori!L212=0,"",Giocatori!L212)</f>
        <v/>
      </c>
      <c r="I206" s="229" t="str">
        <f ca="1">IF(Giocatori!J212=0,"",Giocatori!J212)</f>
        <v/>
      </c>
      <c r="J206" s="228" t="str">
        <f ca="1">IF(Giocatori!Q212=0,"",Giocatori!Q212)</f>
        <v/>
      </c>
      <c r="K206" s="229" t="str">
        <f ca="1">IF(Giocatori!R212=0,"",Giocatori!R212)</f>
        <v/>
      </c>
      <c r="L206" s="229" t="str">
        <f ca="1">IF(Giocatori!P212=0,"",Giocatori!P212)</f>
        <v/>
      </c>
      <c r="M206" s="229" t="str">
        <f ca="1">IF(Giocatori!N212=0,"",Giocatori!N212)</f>
        <v/>
      </c>
      <c r="N206" s="229" t="str">
        <f ca="1">IF(Giocatori!O212=0,"",Giocatori!O212)</f>
        <v/>
      </c>
      <c r="O206" s="229" t="str">
        <f ca="1">IF(Giocatori!M212=0,"",Giocatori!M212)</f>
        <v/>
      </c>
    </row>
    <row r="207" spans="1:15" s="1" customFormat="1" ht="14.25">
      <c r="A207" s="228" t="str">
        <f ca="1">IF(Giocatori!E213=0,"",Giocatori!E213)</f>
        <v/>
      </c>
      <c r="B207" s="229" t="str">
        <f ca="1">IF(Giocatori!F213=0,"",Giocatori!F213)</f>
        <v/>
      </c>
      <c r="C207" s="229" t="str">
        <f ca="1">IF(Giocatori!D213=0,"",Giocatori!D213)</f>
        <v/>
      </c>
      <c r="D207" s="228" t="str">
        <f ca="1">IF(Giocatori!H213=0,"",Giocatori!H213)</f>
        <v/>
      </c>
      <c r="E207" s="229" t="str">
        <f ca="1">IF(Giocatori!I213=0,"",Giocatori!I213)</f>
        <v/>
      </c>
      <c r="F207" s="229" t="str">
        <f ca="1">IF(Giocatori!G213=0,"",Giocatori!G213)</f>
        <v/>
      </c>
      <c r="G207" s="229" t="str">
        <f ca="1">IF(Giocatori!K213=0,"",Giocatori!K213)</f>
        <v/>
      </c>
      <c r="H207" s="229" t="str">
        <f ca="1">IF(Giocatori!L213=0,"",Giocatori!L213)</f>
        <v/>
      </c>
      <c r="I207" s="229" t="str">
        <f ca="1">IF(Giocatori!J213=0,"",Giocatori!J213)</f>
        <v/>
      </c>
      <c r="J207" s="228" t="str">
        <f ca="1">IF(Giocatori!Q213=0,"",Giocatori!Q213)</f>
        <v/>
      </c>
      <c r="K207" s="229" t="str">
        <f ca="1">IF(Giocatori!R213=0,"",Giocatori!R213)</f>
        <v/>
      </c>
      <c r="L207" s="229" t="str">
        <f ca="1">IF(Giocatori!P213=0,"",Giocatori!P213)</f>
        <v/>
      </c>
      <c r="M207" s="229" t="str">
        <f ca="1">IF(Giocatori!N213=0,"",Giocatori!N213)</f>
        <v/>
      </c>
      <c r="N207" s="229" t="str">
        <f ca="1">IF(Giocatori!O213=0,"",Giocatori!O213)</f>
        <v/>
      </c>
      <c r="O207" s="229" t="str">
        <f ca="1">IF(Giocatori!M213=0,"",Giocatori!M213)</f>
        <v/>
      </c>
    </row>
    <row r="208" spans="1:15" s="1" customFormat="1" ht="14.25">
      <c r="A208" s="228" t="str">
        <f ca="1">IF(Giocatori!E214=0,"",Giocatori!E214)</f>
        <v/>
      </c>
      <c r="B208" s="229" t="str">
        <f ca="1">IF(Giocatori!F214=0,"",Giocatori!F214)</f>
        <v/>
      </c>
      <c r="C208" s="229" t="str">
        <f ca="1">IF(Giocatori!D214=0,"",Giocatori!D214)</f>
        <v/>
      </c>
      <c r="D208" s="228" t="str">
        <f ca="1">IF(Giocatori!H214=0,"",Giocatori!H214)</f>
        <v/>
      </c>
      <c r="E208" s="229" t="str">
        <f ca="1">IF(Giocatori!I214=0,"",Giocatori!I214)</f>
        <v/>
      </c>
      <c r="F208" s="229" t="str">
        <f ca="1">IF(Giocatori!G214=0,"",Giocatori!G214)</f>
        <v/>
      </c>
      <c r="G208" s="229" t="str">
        <f ca="1">IF(Giocatori!K214=0,"",Giocatori!K214)</f>
        <v/>
      </c>
      <c r="H208" s="229" t="str">
        <f ca="1">IF(Giocatori!L214=0,"",Giocatori!L214)</f>
        <v/>
      </c>
      <c r="I208" s="229" t="str">
        <f ca="1">IF(Giocatori!J214=0,"",Giocatori!J214)</f>
        <v/>
      </c>
      <c r="J208" s="228" t="str">
        <f ca="1">IF(Giocatori!Q214=0,"",Giocatori!Q214)</f>
        <v/>
      </c>
      <c r="K208" s="229" t="str">
        <f ca="1">IF(Giocatori!R214=0,"",Giocatori!R214)</f>
        <v/>
      </c>
      <c r="L208" s="229" t="str">
        <f ca="1">IF(Giocatori!P214=0,"",Giocatori!P214)</f>
        <v/>
      </c>
      <c r="M208" s="229" t="str">
        <f ca="1">IF(Giocatori!N214=0,"",Giocatori!N214)</f>
        <v/>
      </c>
      <c r="N208" s="229" t="str">
        <f ca="1">IF(Giocatori!O214=0,"",Giocatori!O214)</f>
        <v/>
      </c>
      <c r="O208" s="229" t="str">
        <f ca="1">IF(Giocatori!M214=0,"",Giocatori!M214)</f>
        <v/>
      </c>
    </row>
    <row r="209" spans="1:15">
      <c r="A209" s="228" t="str">
        <f ca="1">IF(Giocatori!E215=0,"",Giocatori!E215)</f>
        <v/>
      </c>
      <c r="B209" s="229" t="str">
        <f ca="1">IF(Giocatori!F215=0,"",Giocatori!F215)</f>
        <v/>
      </c>
      <c r="C209" s="229" t="str">
        <f ca="1">IF(Giocatori!D215=0,"",Giocatori!D215)</f>
        <v/>
      </c>
      <c r="D209" s="229" t="str">
        <f ca="1">IF(Giocatori!H215=0,"",Giocatori!H215)</f>
        <v/>
      </c>
      <c r="E209" s="229" t="str">
        <f ca="1">IF(Giocatori!I215=0,"",Giocatori!I215)</f>
        <v/>
      </c>
      <c r="F209" s="229" t="str">
        <f ca="1">IF(Giocatori!G215=0,"",Giocatori!G215)</f>
        <v/>
      </c>
      <c r="G209" s="229" t="str">
        <f ca="1">IF(Giocatori!K215=0,"",Giocatori!K215)</f>
        <v/>
      </c>
      <c r="H209" s="229" t="str">
        <f ca="1">IF(Giocatori!L215=0,"",Giocatori!L215)</f>
        <v/>
      </c>
      <c r="I209" s="229" t="str">
        <f ca="1">IF(Giocatori!J215=0,"",Giocatori!J215)</f>
        <v/>
      </c>
      <c r="J209" s="228" t="str">
        <f ca="1">IF(Giocatori!Q215=0,"",Giocatori!Q215)</f>
        <v/>
      </c>
      <c r="K209" s="229" t="str">
        <f ca="1">IF(Giocatori!R215=0,"",Giocatori!R215)</f>
        <v/>
      </c>
      <c r="L209" s="229" t="str">
        <f ca="1">IF(Giocatori!P215=0,"",Giocatori!P215)</f>
        <v/>
      </c>
      <c r="M209" s="229" t="str">
        <f ca="1">IF(Giocatori!N215=0,"",Giocatori!N215)</f>
        <v/>
      </c>
      <c r="N209" s="229" t="str">
        <f ca="1">IF(Giocatori!O215=0,"",Giocatori!O215)</f>
        <v/>
      </c>
      <c r="O209" s="229" t="str">
        <f ca="1">IF(Giocatori!M215=0,"",Giocatori!M215)</f>
        <v/>
      </c>
    </row>
  </sheetData>
  <mergeCells count="5">
    <mergeCell ref="A1:C1"/>
    <mergeCell ref="D1:F1"/>
    <mergeCell ref="G1:I1"/>
    <mergeCell ref="J1:L1"/>
    <mergeCell ref="M1:O1"/>
  </mergeCells>
  <conditionalFormatting sqref="A3:O209">
    <cfRule type="expression" priority="49" stopIfTrue="1">
      <formula>LEN(TRIM(A3))=0</formula>
    </cfRule>
  </conditionalFormatting>
  <conditionalFormatting sqref="M3:O209">
    <cfRule type="expression" dxfId="374" priority="50" stopIfTrue="1">
      <formula>OR(COUNTIF($Z$5:$Z$211,$M3)&gt;0)</formula>
    </cfRule>
    <cfRule type="expression" dxfId="373" priority="51" stopIfTrue="1">
      <formula>OR(COUNTIF($AD$5:$AD$211,$M3)&gt;0)</formula>
    </cfRule>
  </conditionalFormatting>
  <conditionalFormatting sqref="J3:L209">
    <cfRule type="expression" dxfId="372" priority="107" stopIfTrue="1">
      <formula>OR(COUNTIF($Z$5:$Z$211,$J3)&gt;0)</formula>
    </cfRule>
    <cfRule type="expression" dxfId="371" priority="108" stopIfTrue="1">
      <formula>OR(COUNTIF($AE$5:$AE$211,$J3)&gt;0)</formula>
    </cfRule>
  </conditionalFormatting>
  <conditionalFormatting sqref="G3:I209">
    <cfRule type="expression" dxfId="370" priority="109" stopIfTrue="1">
      <formula>OR(COUNTIF($Z$5:$Z$211,$G3)&gt;0)</formula>
    </cfRule>
    <cfRule type="expression" dxfId="369" priority="110" stopIfTrue="1">
      <formula>OR(COUNTIF($AC$5:$AC$211,$G3)&gt;0)</formula>
    </cfRule>
  </conditionalFormatting>
  <conditionalFormatting sqref="D3:F209">
    <cfRule type="expression" dxfId="368" priority="111" stopIfTrue="1">
      <formula>OR(COUNTIF($Z$5:$Z$211,$D3)&gt;0)</formula>
    </cfRule>
    <cfRule type="expression" dxfId="367" priority="112" stopIfTrue="1">
      <formula>OR(COUNTIF($AB$5:$AB$211,$D3)&gt;0)</formula>
    </cfRule>
  </conditionalFormatting>
  <conditionalFormatting sqref="A3:C209">
    <cfRule type="expression" dxfId="366" priority="113" stopIfTrue="1">
      <formula>OR(COUNTIF($Z$5:$Z$211,$A3)&gt;0)</formula>
    </cfRule>
    <cfRule type="expression" dxfId="365" priority="114" stopIfTrue="1">
      <formula>OR(COUNTIF($AA$5:$AA$211,$A3)&gt;0)</formula>
    </cfRule>
  </conditionalFormatting>
  <printOptions horizontalCentered="1"/>
  <pageMargins left="0.7" right="0.7" top="0.75" bottom="0.75" header="0.51180555555555551" footer="0.51180555555555551"/>
  <pageSetup paperSize="9" scale="39" firstPageNumber="0" orientation="portrait" horizontalDpi="300" verticalDpi="300" r:id="rId1"/>
  <headerFooter alignWithMargins="0"/>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2">
    <tabColor indexed="47"/>
  </sheetPr>
  <dimension ref="A1:AM208"/>
  <sheetViews>
    <sheetView zoomScale="80" zoomScaleNormal="80" workbookViewId="0">
      <pane xSplit="12" ySplit="2" topLeftCell="M3" activePane="bottomRight" state="frozen"/>
      <selection pane="topRight" activeCell="L1" sqref="L1"/>
      <selection pane="bottomLeft" activeCell="A3" sqref="A3"/>
      <selection pane="bottomRight" activeCell="M4" sqref="M4"/>
    </sheetView>
  </sheetViews>
  <sheetFormatPr defaultColWidth="9" defaultRowHeight="12.75"/>
  <cols>
    <col min="1" max="1" width="4.7109375" style="26" customWidth="1"/>
    <col min="2" max="2" width="19.5703125" style="26" customWidth="1"/>
    <col min="3" max="3" width="19.5703125" style="26" hidden="1" customWidth="1"/>
    <col min="4" max="4" width="7.140625" style="26" customWidth="1"/>
    <col min="5" max="5" width="7.28515625" style="26" customWidth="1"/>
    <col min="6" max="6" width="7.7109375" style="26" customWidth="1"/>
    <col min="7" max="7" width="12" style="26" bestFit="1" customWidth="1"/>
    <col min="8" max="8" width="13.42578125" style="26" customWidth="1"/>
    <col min="9" max="9" width="12" style="26" customWidth="1"/>
    <col min="10" max="10" width="9" style="26" customWidth="1"/>
    <col min="11" max="11" width="12.28515625" style="26" customWidth="1"/>
    <col min="12" max="12" width="14.28515625" style="26" customWidth="1"/>
    <col min="13" max="13" width="17.5703125" style="26" customWidth="1"/>
    <col min="14" max="23" width="17.7109375" style="26" customWidth="1"/>
    <col min="24" max="24" width="17.5703125" style="26" customWidth="1"/>
    <col min="25" max="25" width="3.42578125" style="27" hidden="1" customWidth="1"/>
    <col min="26" max="29" width="2.7109375" style="27" customWidth="1"/>
    <col min="30" max="30" width="10.7109375" style="27" customWidth="1"/>
    <col min="31" max="32" width="10.7109375" style="27" hidden="1" customWidth="1"/>
    <col min="33" max="36" width="9" style="28" hidden="1" customWidth="1"/>
    <col min="37" max="37" width="10.7109375" style="28" hidden="1" customWidth="1"/>
    <col min="38" max="39" width="10.7109375" style="27" hidden="1" customWidth="1"/>
    <col min="40" max="91" width="9.140625" style="27" customWidth="1"/>
    <col min="92" max="16384" width="9" style="27"/>
  </cols>
  <sheetData>
    <row r="1" spans="1:37" ht="14.25">
      <c r="A1" s="197" t="s">
        <v>1310</v>
      </c>
      <c r="B1" s="198"/>
      <c r="C1" s="198"/>
      <c r="D1" s="198"/>
      <c r="E1" s="198"/>
      <c r="F1" s="198"/>
      <c r="M1" s="544" t="s">
        <v>1278</v>
      </c>
      <c r="N1" s="544"/>
      <c r="O1" s="544"/>
      <c r="P1" s="544"/>
      <c r="Q1" s="544"/>
      <c r="R1" s="544"/>
      <c r="S1" s="544"/>
      <c r="T1" s="544"/>
      <c r="U1" s="544"/>
      <c r="V1" s="544"/>
      <c r="W1" s="544"/>
      <c r="X1" s="544"/>
    </row>
    <row r="2" spans="1:37" ht="13.5" customHeight="1">
      <c r="A2" s="328" t="s">
        <v>639</v>
      </c>
      <c r="B2" s="329" t="s">
        <v>640</v>
      </c>
      <c r="C2" s="329"/>
      <c r="D2" s="329" t="s">
        <v>641</v>
      </c>
      <c r="E2" s="330" t="s">
        <v>642</v>
      </c>
      <c r="F2" s="330" t="s">
        <v>642</v>
      </c>
      <c r="G2" s="330" t="s">
        <v>643</v>
      </c>
      <c r="H2" s="331"/>
      <c r="I2" s="331"/>
      <c r="J2" s="331"/>
      <c r="K2" s="331"/>
      <c r="L2" s="331"/>
      <c r="M2" s="544"/>
      <c r="N2" s="544"/>
      <c r="O2" s="544"/>
      <c r="P2" s="544"/>
      <c r="Q2" s="544"/>
      <c r="R2" s="544"/>
      <c r="S2" s="544"/>
      <c r="T2" s="544"/>
      <c r="U2" s="544"/>
      <c r="V2" s="544"/>
      <c r="W2" s="544"/>
      <c r="X2" s="544"/>
    </row>
    <row r="3" spans="1:37">
      <c r="A3" s="543" t="s">
        <v>36</v>
      </c>
      <c r="B3" s="543"/>
      <c r="C3" s="432" t="s">
        <v>637</v>
      </c>
      <c r="D3" s="330" t="s">
        <v>644</v>
      </c>
      <c r="E3" s="329" t="s">
        <v>645</v>
      </c>
      <c r="F3" s="329" t="s">
        <v>646</v>
      </c>
      <c r="G3" s="329" t="s">
        <v>642</v>
      </c>
      <c r="H3" s="545" t="s">
        <v>647</v>
      </c>
      <c r="I3" s="545"/>
      <c r="J3" s="545"/>
      <c r="K3" s="545"/>
      <c r="L3" s="545"/>
      <c r="M3" s="29">
        <f>IF(Asta!$H$3&lt;1,"",1)</f>
        <v>1</v>
      </c>
      <c r="N3" s="29">
        <f>IF(Asta!$H$3&lt;2,"",2)</f>
        <v>2</v>
      </c>
      <c r="O3" s="29">
        <f>IF(Asta!$H$3&lt;3,"",3)</f>
        <v>3</v>
      </c>
      <c r="P3" s="29">
        <f>IF(Asta!$H$3&lt;4,"",4)</f>
        <v>4</v>
      </c>
      <c r="Q3" s="29">
        <f>IF(Asta!$H$3&lt;5,"",5)</f>
        <v>5</v>
      </c>
      <c r="R3" s="29">
        <f>IF(Asta!$H$3&lt;6,"",6)</f>
        <v>6</v>
      </c>
      <c r="S3" s="29">
        <f>IF(Asta!$H$3&lt;7,"",7)</f>
        <v>7</v>
      </c>
      <c r="T3" s="29">
        <f>IF(Asta!$H$3&lt;8,"",8)</f>
        <v>8</v>
      </c>
      <c r="U3" s="29" t="str">
        <f>IF(Asta!$H$3&lt;9,"",9)</f>
        <v/>
      </c>
      <c r="V3" s="29" t="str">
        <f>IF(Asta!$H$3&lt;10,"",10)</f>
        <v/>
      </c>
      <c r="W3" s="29" t="str">
        <f>IF(Asta!$H$3&lt;11,"",11)</f>
        <v/>
      </c>
      <c r="X3" s="29" t="str">
        <f>IF(Asta!$H$3&lt;12,"",12)</f>
        <v/>
      </c>
    </row>
    <row r="4" spans="1:37">
      <c r="A4" s="30" t="str">
        <f>IF(Asta!$AB$3&lt;Y4,"","P")</f>
        <v>P</v>
      </c>
      <c r="B4" s="31" t="str">
        <f ca="1">INDIRECT(ADDRESS(ROW()+1,MATCH(Asta!$D$3,Rose!$A$3:$AJ$3,0)+1,1,1,"Rose"))</f>
        <v/>
      </c>
      <c r="C4" s="38">
        <f ca="1">IF(ISNA(VLOOKUP(B4,Giocatori!$B$9:$C$545,2,FALSE)),ROW(),VLOOKUP(B4,Giocatori!$B$9:$C$545,2,FALSE))</f>
        <v>4</v>
      </c>
      <c r="D4" s="31" t="str">
        <f ca="1">INDIRECT(ADDRESS(ROW()+1,MATCH(Asta!$D$3,Rose!$A$3:$AJ$3,0)+2,1,1,"Rose"))</f>
        <v/>
      </c>
      <c r="E4" s="32">
        <v>25</v>
      </c>
      <c r="F4" s="33">
        <f>100*E4/$E$50</f>
        <v>7.1428571428571432</v>
      </c>
      <c r="G4" s="32">
        <f ca="1">IF(D4="",0,E4-D4)</f>
        <v>0</v>
      </c>
      <c r="H4" s="34" t="str">
        <f t="shared" ref="H4:L6" ca="1" si="0">M4</f>
        <v>BUFFON</v>
      </c>
      <c r="I4" s="34" t="str">
        <f t="shared" ca="1" si="0"/>
        <v>DONNARUMMA G</v>
      </c>
      <c r="J4" s="34" t="str">
        <f t="shared" ca="1" si="0"/>
        <v>HANDANOVIC</v>
      </c>
      <c r="K4" s="34" t="str">
        <f t="shared" ca="1" si="0"/>
        <v>REINA</v>
      </c>
      <c r="L4" s="34" t="str">
        <f ca="1">Q4</f>
        <v>ALISSON</v>
      </c>
      <c r="M4" s="28" t="str">
        <f ca="1">IF(ISNUMBER(M$3),INDIRECT("'I.A. + Fasce'!B" &amp; 6 + MATCH(M$3+COUNTIF($M$3:$X$3,"&gt;0")*($Y4-1),INDIRECT(ADDRESS(7,22+MATCH('I.A. + Fasce'!$P$26,'I.A. + Fasce'!$W$6:$AA$6,0),1,1,"I.A. + Fasce") &amp; ":" &amp; ADDRESS(79,22+MATCH('I.A. + Fasce'!$P$26,'I.A. + Fasce'!$W$6:$AA$6,0),1,1)),0)),"")</f>
        <v>BUFFON</v>
      </c>
      <c r="N4" s="28" t="str">
        <f ca="1">IF(ISNUMBER(N$3),INDIRECT("'I.A. + Fasce'!B" &amp; 6 + MATCH(N$3+COUNTIF($M$3:$X$3,"&gt;0")*($Y4-1),INDIRECT(ADDRESS(7,22+MATCH('I.A. + Fasce'!$P$26,'I.A. + Fasce'!$W$6:$AA$6,0),1,1,"I.A. + Fasce") &amp; ":" &amp; ADDRESS(79,22+MATCH('I.A. + Fasce'!$P$26,'I.A. + Fasce'!$W$6:$AA$6,0),1,1)),0)),"")</f>
        <v>DONNARUMMA G</v>
      </c>
      <c r="O4" s="28" t="str">
        <f ca="1">IF(ISNUMBER(O$3),INDIRECT("'I.A. + Fasce'!B" &amp; 6 + MATCH(O$3+COUNTIF($M$3:$X$3,"&gt;0")*($Y4-1),INDIRECT(ADDRESS(7,22+MATCH('I.A. + Fasce'!$P$26,'I.A. + Fasce'!$W$6:$AA$6,0),1,1,"I.A. + Fasce") &amp; ":" &amp; ADDRESS(79,22+MATCH('I.A. + Fasce'!$P$26,'I.A. + Fasce'!$W$6:$AA$6,0),1,1)),0)),"")</f>
        <v>HANDANOVIC</v>
      </c>
      <c r="P4" s="28" t="str">
        <f ca="1">IF(ISNUMBER(P$3),INDIRECT("'I.A. + Fasce'!B" &amp; 6 + MATCH(P$3+COUNTIF($M$3:$X$3,"&gt;0")*($Y4-1),INDIRECT(ADDRESS(7,22+MATCH('I.A. + Fasce'!$P$26,'I.A. + Fasce'!$W$6:$AA$6,0),1,1,"I.A. + Fasce") &amp; ":" &amp; ADDRESS(79,22+MATCH('I.A. + Fasce'!$P$26,'I.A. + Fasce'!$W$6:$AA$6,0),1,1)),0)),"")</f>
        <v>REINA</v>
      </c>
      <c r="Q4" s="28" t="str">
        <f ca="1">IF(ISNUMBER(Q$3),INDIRECT("'I.A. + Fasce'!B" &amp; 6 + MATCH(Q$3+COUNTIF($M$3:$X$3,"&gt;0")*($Y4-1),INDIRECT(ADDRESS(7,22+MATCH('I.A. + Fasce'!$P$26,'I.A. + Fasce'!$W$6:$AA$6,0),1,1,"I.A. + Fasce") &amp; ":" &amp; ADDRESS(79,22+MATCH('I.A. + Fasce'!$P$26,'I.A. + Fasce'!$W$6:$AA$6,0),1,1)),0)),"")</f>
        <v>ALISSON</v>
      </c>
      <c r="R4" s="28" t="str">
        <f ca="1">IF(ISNUMBER(R$3),INDIRECT("'I.A. + Fasce'!B" &amp; 6 + MATCH(R$3+COUNTIF($M$3:$X$3,"&gt;0")*($Y4-1),INDIRECT(ADDRESS(7,22+MATCH('I.A. + Fasce'!$P$26,'I.A. + Fasce'!$W$6:$AA$6,0),1,1,"I.A. + Fasce") &amp; ":" &amp; ADDRESS(79,22+MATCH('I.A. + Fasce'!$P$26,'I.A. + Fasce'!$W$6:$AA$6,0),1,1)),0)),"")</f>
        <v>CONSIGLI</v>
      </c>
      <c r="S4" s="28" t="str">
        <f ca="1">IF(ISNUMBER(S$3),INDIRECT("'I.A. + Fasce'!B" &amp; 6 + MATCH(S$3+COUNTIF($M$3:$X$3,"&gt;0")*($Y4-1),INDIRECT(ADDRESS(7,22+MATCH('I.A. + Fasce'!$P$26,'I.A. + Fasce'!$W$6:$AA$6,0),1,1,"I.A. + Fasce") &amp; ":" &amp; ADDRESS(79,22+MATCH('I.A. + Fasce'!$P$26,'I.A. + Fasce'!$W$6:$AA$6,0),1,1)),0)),"")</f>
        <v>BERISHA</v>
      </c>
      <c r="T4" s="28" t="str">
        <f ca="1">IF(ISNUMBER(T$3),INDIRECT("'I.A. + Fasce'!B" &amp; 6 + MATCH(T$3+COUNTIF($M$3:$X$3,"&gt;0")*($Y4-1),INDIRECT(ADDRESS(7,22+MATCH('I.A. + Fasce'!$P$26,'I.A. + Fasce'!$W$6:$AA$6,0),1,1,"I.A. + Fasce") &amp; ":" &amp; ADDRESS(79,22+MATCH('I.A. + Fasce'!$P$26,'I.A. + Fasce'!$W$6:$AA$6,0),1,1)),0)),"")</f>
        <v>STRAKOSHA</v>
      </c>
      <c r="U4" s="28" t="str">
        <f ca="1">IF(ISNUMBER(U$3),INDIRECT("'I.A. + Fasce'!B" &amp; 6 + MATCH(U$3+COUNTIF($M$3:$X$3,"&gt;0")*($Y4-1),INDIRECT(ADDRESS(7,22+MATCH('I.A. + Fasce'!$P$26,'I.A. + Fasce'!$W$6:$AA$6,0),1,1,"I.A. + Fasce") &amp; ":" &amp; ADDRESS(79,22+MATCH('I.A. + Fasce'!$P$26,'I.A. + Fasce'!$W$6:$AA$6,0),1,1)),0)),"")</f>
        <v/>
      </c>
      <c r="V4" s="28" t="str">
        <f ca="1">IF(ISNUMBER(V$3),INDIRECT("'I.A. + Fasce'!B" &amp; 6 + MATCH(V$3+COUNTIF($M$3:$X$3,"&gt;0")*($Y4-1),INDIRECT(ADDRESS(7,22+MATCH('I.A. + Fasce'!$P$26,'I.A. + Fasce'!$W$6:$AA$6,0),1,1,"I.A. + Fasce") &amp; ":" &amp; ADDRESS(79,22+MATCH('I.A. + Fasce'!$P$26,'I.A. + Fasce'!$W$6:$AA$6,0),1,1)),0)),"")</f>
        <v/>
      </c>
      <c r="W4" s="28" t="str">
        <f ca="1">IF(ISNUMBER(W$3),INDIRECT("'I.A. + Fasce'!B" &amp; 6 + MATCH(W$3+COUNTIF($M$3:$X$3,"&gt;0")*($Y4-1),INDIRECT(ADDRESS(7,22+MATCH('I.A. + Fasce'!$P$26,'I.A. + Fasce'!$W$6:$AA$6,0),1,1,"I.A. + Fasce") &amp; ":" &amp; ADDRESS(79,22+MATCH('I.A. + Fasce'!$P$26,'I.A. + Fasce'!$W$6:$AA$6,0),1,1)),0)),"")</f>
        <v/>
      </c>
      <c r="X4" s="28" t="str">
        <f ca="1">IF(ISNUMBER(X$3),INDIRECT("'I.A. + Fasce'!B" &amp; 6 + MATCH(X$3+COUNTIF($M$3:$X$3,"&gt;0")*($Y4-1),INDIRECT(ADDRESS(7,22+MATCH('I.A. + Fasce'!$P$26,'I.A. + Fasce'!$W$6:$AA$6,0),1,1,"I.A. + Fasce") &amp; ":" &amp; ADDRESS(79,22+MATCH('I.A. + Fasce'!$P$26,'I.A. + Fasce'!$W$6:$AA$6,0),1,1)),0)),"")</f>
        <v/>
      </c>
      <c r="Y4" s="27">
        <v>1</v>
      </c>
    </row>
    <row r="5" spans="1:37">
      <c r="A5" s="30" t="str">
        <f>IF(Asta!$AB$3&lt;Y5,"","P")</f>
        <v>P</v>
      </c>
      <c r="B5" s="31" t="str">
        <f ca="1">INDIRECT(ADDRESS(ROW()+1,MATCH(Asta!$D$3,Rose!$A$3:$AJ$3,0)+1,1,1,"Rose"))</f>
        <v/>
      </c>
      <c r="C5" s="38">
        <f ca="1">IF(ISNA(VLOOKUP(B5,Giocatori!$B$9:$C$545,2,FALSE)),ROW(),VLOOKUP(B5,Giocatori!$B$9:$C$545,2,FALSE))</f>
        <v>5</v>
      </c>
      <c r="D5" s="31" t="str">
        <f ca="1">INDIRECT(ADDRESS(ROW()+1,MATCH(Asta!$D$3,Rose!$A$3:$AJ$3,0)+2,1,1,"Rose"))</f>
        <v/>
      </c>
      <c r="E5" s="32">
        <v>1</v>
      </c>
      <c r="F5" s="33">
        <f>100*E5/$E$50</f>
        <v>0.2857142857142857</v>
      </c>
      <c r="G5" s="32">
        <f t="shared" ref="G5:G6" ca="1" si="1">IF(D5="",0,E5-D5)</f>
        <v>0</v>
      </c>
      <c r="H5" s="34" t="str">
        <f t="shared" ca="1" si="0"/>
        <v>VIVIANO</v>
      </c>
      <c r="I5" s="34" t="str">
        <f t="shared" ca="1" si="0"/>
        <v>SIRIGU</v>
      </c>
      <c r="J5" s="34" t="str">
        <f t="shared" ca="1" si="0"/>
        <v>SPORTIELLO</v>
      </c>
      <c r="K5" s="34" t="str">
        <f t="shared" ca="1" si="0"/>
        <v>PERIN</v>
      </c>
      <c r="L5" s="34" t="str">
        <f t="shared" ca="1" si="0"/>
        <v>SORRENTINO</v>
      </c>
      <c r="M5" s="28" t="str">
        <f ca="1">IF(ISNUMBER(M$3),INDIRECT("'I.A. + Fasce'!B" &amp; 6 + MATCH(M$3+COUNTIF($M$3:$X$3,"&gt;0")*($Y5-1),INDIRECT(ADDRESS(7,22+MATCH('I.A. + Fasce'!$P$26,'I.A. + Fasce'!$W$6:$AA$6,0),1,1,"I.A. + Fasce") &amp; ":" &amp; ADDRESS(79,22+MATCH('I.A. + Fasce'!$P$26,'I.A. + Fasce'!$W$6:$AA$6,0),1,1)),0)),"")</f>
        <v>VIVIANO</v>
      </c>
      <c r="N5" s="28" t="str">
        <f ca="1">IF(ISNUMBER(N$3),INDIRECT("'I.A. + Fasce'!B" &amp; 6 + MATCH(N$3+COUNTIF($M$3:$X$3,"&gt;0")*($Y5-1),INDIRECT(ADDRESS(7,22+MATCH('I.A. + Fasce'!$P$26,'I.A. + Fasce'!$W$6:$AA$6,0),1,1,"I.A. + Fasce") &amp; ":" &amp; ADDRESS(79,22+MATCH('I.A. + Fasce'!$P$26,'I.A. + Fasce'!$W$6:$AA$6,0),1,1)),0)),"")</f>
        <v>SIRIGU</v>
      </c>
      <c r="O5" s="28" t="str">
        <f ca="1">IF(ISNUMBER(O$3),INDIRECT("'I.A. + Fasce'!B" &amp; 6 + MATCH(O$3+COUNTIF($M$3:$X$3,"&gt;0")*($Y5-1),INDIRECT(ADDRESS(7,22+MATCH('I.A. + Fasce'!$P$26,'I.A. + Fasce'!$W$6:$AA$6,0),1,1,"I.A. + Fasce") &amp; ":" &amp; ADDRESS(79,22+MATCH('I.A. + Fasce'!$P$26,'I.A. + Fasce'!$W$6:$AA$6,0),1,1)),0)),"")</f>
        <v>SPORTIELLO</v>
      </c>
      <c r="P5" s="28" t="str">
        <f ca="1">IF(ISNUMBER(P$3),INDIRECT("'I.A. + Fasce'!B" &amp; 6 + MATCH(P$3+COUNTIF($M$3:$X$3,"&gt;0")*($Y5-1),INDIRECT(ADDRESS(7,22+MATCH('I.A. + Fasce'!$P$26,'I.A. + Fasce'!$W$6:$AA$6,0),1,1,"I.A. + Fasce") &amp; ":" &amp; ADDRESS(79,22+MATCH('I.A. + Fasce'!$P$26,'I.A. + Fasce'!$W$6:$AA$6,0),1,1)),0)),"")</f>
        <v>PERIN</v>
      </c>
      <c r="Q5" s="28" t="str">
        <f ca="1">IF(ISNUMBER(Q$3),INDIRECT("'I.A. + Fasce'!B" &amp; 6 + MATCH(Q$3+COUNTIF($M$3:$X$3,"&gt;0")*($Y5-1),INDIRECT(ADDRESS(7,22+MATCH('I.A. + Fasce'!$P$26,'I.A. + Fasce'!$W$6:$AA$6,0),1,1,"I.A. + Fasce") &amp; ":" &amp; ADDRESS(79,22+MATCH('I.A. + Fasce'!$P$26,'I.A. + Fasce'!$W$6:$AA$6,0),1,1)),0)),"")</f>
        <v>SORRENTINO</v>
      </c>
      <c r="R5" s="28" t="str">
        <f ca="1">IF(ISNUMBER(R$3),INDIRECT("'I.A. + Fasce'!B" &amp; 6 + MATCH(R$3+COUNTIF($M$3:$X$3,"&gt;0")*($Y5-1),INDIRECT(ADDRESS(7,22+MATCH('I.A. + Fasce'!$P$26,'I.A. + Fasce'!$W$6:$AA$6,0),1,1,"I.A. + Fasce") &amp; ":" &amp; ADDRESS(79,22+MATCH('I.A. + Fasce'!$P$26,'I.A. + Fasce'!$W$6:$AA$6,0),1,1)),0)),"")</f>
        <v>SCUFFET</v>
      </c>
      <c r="S5" s="28" t="str">
        <f ca="1">IF(ISNUMBER(S$3),INDIRECT("'I.A. + Fasce'!B" &amp; 6 + MATCH(S$3+COUNTIF($M$3:$X$3,"&gt;0")*($Y5-1),INDIRECT(ADDRESS(7,22+MATCH('I.A. + Fasce'!$P$26,'I.A. + Fasce'!$W$6:$AA$6,0),1,1,"I.A. + Fasce") &amp; ":" &amp; ADDRESS(79,22+MATCH('I.A. + Fasce'!$P$26,'I.A. + Fasce'!$W$6:$AA$6,0),1,1)),0)),"")</f>
        <v>MIRANTE</v>
      </c>
      <c r="T5" s="28" t="str">
        <f ca="1">IF(ISNUMBER(T$3),INDIRECT("'I.A. + Fasce'!B" &amp; 6 + MATCH(T$3+COUNTIF($M$3:$X$3,"&gt;0")*($Y5-1),INDIRECT(ADDRESS(7,22+MATCH('I.A. + Fasce'!$P$26,'I.A. + Fasce'!$W$6:$AA$6,0),1,1,"I.A. + Fasce") &amp; ":" &amp; ADDRESS(79,22+MATCH('I.A. + Fasce'!$P$26,'I.A. + Fasce'!$W$6:$AA$6,0),1,1)),0)),"")</f>
        <v>CORDAZ</v>
      </c>
      <c r="U5" s="28" t="str">
        <f ca="1">IF(ISNUMBER(U$3),INDIRECT("'I.A. + Fasce'!B" &amp; 6 + MATCH(U$3+COUNTIF($M$3:$X$3,"&gt;0")*($Y5-1),INDIRECT(ADDRESS(7,22+MATCH('I.A. + Fasce'!$P$26,'I.A. + Fasce'!$W$6:$AA$6,0),1,1,"I.A. + Fasce") &amp; ":" &amp; ADDRESS(79,22+MATCH('I.A. + Fasce'!$P$26,'I.A. + Fasce'!$W$6:$AA$6,0),1,1)),0)),"")</f>
        <v/>
      </c>
      <c r="V5" s="28" t="str">
        <f ca="1">IF(ISNUMBER(V$3),INDIRECT("'I.A. + Fasce'!B" &amp; 6 + MATCH(V$3+COUNTIF($M$3:$X$3,"&gt;0")*($Y5-1),INDIRECT(ADDRESS(7,22+MATCH('I.A. + Fasce'!$P$26,'I.A. + Fasce'!$W$6:$AA$6,0),1,1,"I.A. + Fasce") &amp; ":" &amp; ADDRESS(79,22+MATCH('I.A. + Fasce'!$P$26,'I.A. + Fasce'!$W$6:$AA$6,0),1,1)),0)),"")</f>
        <v/>
      </c>
      <c r="W5" s="28" t="str">
        <f ca="1">IF(ISNUMBER(W$3),INDIRECT("'I.A. + Fasce'!B" &amp; 6 + MATCH(W$3+COUNTIF($M$3:$X$3,"&gt;0")*($Y5-1),INDIRECT(ADDRESS(7,22+MATCH('I.A. + Fasce'!$P$26,'I.A. + Fasce'!$W$6:$AA$6,0),1,1,"I.A. + Fasce") &amp; ":" &amp; ADDRESS(79,22+MATCH('I.A. + Fasce'!$P$26,'I.A. + Fasce'!$W$6:$AA$6,0),1,1)),0)),"")</f>
        <v/>
      </c>
      <c r="X5" s="28" t="str">
        <f ca="1">IF(ISNUMBER(X$3),INDIRECT("'I.A. + Fasce'!B" &amp; 6 + MATCH(X$3+COUNTIF($M$3:$X$3,"&gt;0")*($Y5-1),INDIRECT(ADDRESS(7,22+MATCH('I.A. + Fasce'!$P$26,'I.A. + Fasce'!$W$6:$AA$6,0),1,1,"I.A. + Fasce") &amp; ":" &amp; ADDRESS(79,22+MATCH('I.A. + Fasce'!$P$26,'I.A. + Fasce'!$W$6:$AA$6,0),1,1)),0)),"")</f>
        <v/>
      </c>
      <c r="Y5" s="27">
        <v>2</v>
      </c>
      <c r="AG5" s="35" t="str">
        <f ca="1">Rose!B5</f>
        <v/>
      </c>
      <c r="AH5" s="35" t="str">
        <f ca="1">Rose!B14</f>
        <v/>
      </c>
      <c r="AI5" s="35" t="str">
        <f ca="1">Rose!B30</f>
        <v/>
      </c>
      <c r="AJ5" s="35" t="str">
        <f ca="1">Rose!B46</f>
        <v/>
      </c>
      <c r="AK5" s="35"/>
    </row>
    <row r="6" spans="1:37">
      <c r="A6" s="30" t="str">
        <f>IF(Asta!$AB$3&lt;Y6,"","P")</f>
        <v>P</v>
      </c>
      <c r="B6" s="31" t="str">
        <f ca="1">INDIRECT(ADDRESS(ROW()+1,MATCH(Asta!$D$3,Rose!$A$3:$AJ$3,0)+1,1,1,"Rose"))</f>
        <v/>
      </c>
      <c r="C6" s="38">
        <f ca="1">IF(ISNA(VLOOKUP(B6,Giocatori!$B$9:$C$545,2,FALSE)),ROW(),VLOOKUP(B6,Giocatori!$B$9:$C$545,2,FALSE))</f>
        <v>6</v>
      </c>
      <c r="D6" s="31" t="str">
        <f ca="1">INDIRECT(ADDRESS(ROW()+1,MATCH(Asta!$D$3,Rose!$A$3:$AJ$3,0)+2,1,1,"Rose"))</f>
        <v/>
      </c>
      <c r="E6" s="36">
        <v>1</v>
      </c>
      <c r="F6" s="33">
        <f>100*E6/$E$50</f>
        <v>0.2857142857142857</v>
      </c>
      <c r="G6" s="32">
        <f t="shared" ca="1" si="1"/>
        <v>0</v>
      </c>
      <c r="H6" s="34" t="str">
        <f t="shared" ca="1" si="0"/>
        <v>CRAGNO</v>
      </c>
      <c r="I6" s="34" t="str">
        <f t="shared" ca="1" si="0"/>
        <v>MERET</v>
      </c>
      <c r="J6" s="34" t="str">
        <f t="shared" ca="1" si="0"/>
        <v>NICOLAS</v>
      </c>
      <c r="K6" s="34" t="str">
        <f t="shared" ca="1" si="0"/>
        <v>BELEC</v>
      </c>
      <c r="L6" s="34" t="str">
        <f t="shared" ca="1" si="0"/>
        <v>GOMIS A</v>
      </c>
      <c r="M6" s="28" t="str">
        <f ca="1">IF(ISNUMBER(M$3),INDIRECT("'I.A. + Fasce'!B" &amp; 6 + MATCH(M$3+COUNTIF($M$3:$X$3,"&gt;0")*($Y6-1),INDIRECT(ADDRESS(7,22+MATCH('I.A. + Fasce'!$P$26,'I.A. + Fasce'!$W$6:$AA$6,0),1,1,"I.A. + Fasce") &amp; ":" &amp; ADDRESS(79,22+MATCH('I.A. + Fasce'!$P$26,'I.A. + Fasce'!$W$6:$AA$6,0),1,1)),0)),"")</f>
        <v>CRAGNO</v>
      </c>
      <c r="N6" s="28" t="str">
        <f ca="1">IF(ISNUMBER(N$3),INDIRECT("'I.A. + Fasce'!B" &amp; 6 + MATCH(N$3+COUNTIF($M$3:$X$3,"&gt;0")*($Y6-1),INDIRECT(ADDRESS(7,22+MATCH('I.A. + Fasce'!$P$26,'I.A. + Fasce'!$W$6:$AA$6,0),1,1,"I.A. + Fasce") &amp; ":" &amp; ADDRESS(79,22+MATCH('I.A. + Fasce'!$P$26,'I.A. + Fasce'!$W$6:$AA$6,0),1,1)),0)),"")</f>
        <v>MERET</v>
      </c>
      <c r="O6" s="28" t="str">
        <f ca="1">IF(ISNUMBER(O$3),INDIRECT("'I.A. + Fasce'!B" &amp; 6 + MATCH(O$3+COUNTIF($M$3:$X$3,"&gt;0")*($Y6-1),INDIRECT(ADDRESS(7,22+MATCH('I.A. + Fasce'!$P$26,'I.A. + Fasce'!$W$6:$AA$6,0),1,1,"I.A. + Fasce") &amp; ":" &amp; ADDRESS(79,22+MATCH('I.A. + Fasce'!$P$26,'I.A. + Fasce'!$W$6:$AA$6,0),1,1)),0)),"")</f>
        <v>NICOLAS</v>
      </c>
      <c r="P6" s="28" t="str">
        <f ca="1">IF(ISNUMBER(P$3),INDIRECT("'I.A. + Fasce'!B" &amp; 6 + MATCH(P$3+COUNTIF($M$3:$X$3,"&gt;0")*($Y6-1),INDIRECT(ADDRESS(7,22+MATCH('I.A. + Fasce'!$P$26,'I.A. + Fasce'!$W$6:$AA$6,0),1,1,"I.A. + Fasce") &amp; ":" &amp; ADDRESS(79,22+MATCH('I.A. + Fasce'!$P$26,'I.A. + Fasce'!$W$6:$AA$6,0),1,1)),0)),"")</f>
        <v>BELEC</v>
      </c>
      <c r="Q6" s="28" t="str">
        <f ca="1">IF(ISNUMBER(Q$3),INDIRECT("'I.A. + Fasce'!B" &amp; 6 + MATCH(Q$3+COUNTIF($M$3:$X$3,"&gt;0")*($Y6-1),INDIRECT(ADDRESS(7,22+MATCH('I.A. + Fasce'!$P$26,'I.A. + Fasce'!$W$6:$AA$6,0),1,1,"I.A. + Fasce") &amp; ":" &amp; ADDRESS(79,22+MATCH('I.A. + Fasce'!$P$26,'I.A. + Fasce'!$W$6:$AA$6,0),1,1)),0)),"")</f>
        <v>GOMIS A</v>
      </c>
      <c r="R6" s="28" t="str">
        <f ca="1">IF(ISNUMBER(R$3),INDIRECT("'I.A. + Fasce'!B" &amp; 6 + MATCH(R$3+COUNTIF($M$3:$X$3,"&gt;0")*($Y6-1),INDIRECT(ADDRESS(7,22+MATCH('I.A. + Fasce'!$P$26,'I.A. + Fasce'!$W$6:$AA$6,0),1,1,"I.A. + Fasce") &amp; ":" &amp; ADDRESS(79,22+MATCH('I.A. + Fasce'!$P$26,'I.A. + Fasce'!$W$6:$AA$6,0),1,1)),0)),"")</f>
        <v>SZCZESNY</v>
      </c>
      <c r="S6" s="28" t="str">
        <f ca="1">IF(ISNUMBER(S$3),INDIRECT("'I.A. + Fasce'!B" &amp; 6 + MATCH(S$3+COUNTIF($M$3:$X$3,"&gt;0")*($Y6-1),INDIRECT(ADDRESS(7,22+MATCH('I.A. + Fasce'!$P$26,'I.A. + Fasce'!$W$6:$AA$6,0),1,1,"I.A. + Fasce") &amp; ":" &amp; ADDRESS(79,22+MATCH('I.A. + Fasce'!$P$26,'I.A. + Fasce'!$W$6:$AA$6,0),1,1)),0)),"")</f>
        <v>SKORUPSKI</v>
      </c>
      <c r="T6" s="28" t="str">
        <f ca="1">IF(ISNUMBER(T$3),INDIRECT("'I.A. + Fasce'!B" &amp; 6 + MATCH(T$3+COUNTIF($M$3:$X$3,"&gt;0")*($Y6-1),INDIRECT(ADDRESS(7,22+MATCH('I.A. + Fasce'!$P$26,'I.A. + Fasce'!$W$6:$AA$6,0),1,1,"I.A. + Fasce") &amp; ":" &amp; ADDRESS(79,22+MATCH('I.A. + Fasce'!$P$26,'I.A. + Fasce'!$W$6:$AA$6,0),1,1)),0)),"")</f>
        <v>DA COSTA</v>
      </c>
      <c r="U6" s="28" t="str">
        <f ca="1">IF(ISNUMBER(U$3),INDIRECT("'I.A. + Fasce'!B" &amp; 6 + MATCH(U$3+COUNTIF($M$3:$X$3,"&gt;0")*($Y6-1),INDIRECT(ADDRESS(7,22+MATCH('I.A. + Fasce'!$P$26,'I.A. + Fasce'!$W$6:$AA$6,0),1,1,"I.A. + Fasce") &amp; ":" &amp; ADDRESS(79,22+MATCH('I.A. + Fasce'!$P$26,'I.A. + Fasce'!$W$6:$AA$6,0),1,1)),0)),"")</f>
        <v/>
      </c>
      <c r="V6" s="28" t="str">
        <f ca="1">IF(ISNUMBER(V$3),INDIRECT("'I.A. + Fasce'!B" &amp; 6 + MATCH(V$3+COUNTIF($M$3:$X$3,"&gt;0")*($Y6-1),INDIRECT(ADDRESS(7,22+MATCH('I.A. + Fasce'!$P$26,'I.A. + Fasce'!$W$6:$AA$6,0),1,1,"I.A. + Fasce") &amp; ":" &amp; ADDRESS(79,22+MATCH('I.A. + Fasce'!$P$26,'I.A. + Fasce'!$W$6:$AA$6,0),1,1)),0)),"")</f>
        <v/>
      </c>
      <c r="W6" s="28" t="str">
        <f ca="1">IF(ISNUMBER(W$3),INDIRECT("'I.A. + Fasce'!B" &amp; 6 + MATCH(W$3+COUNTIF($M$3:$X$3,"&gt;0")*($Y6-1),INDIRECT(ADDRESS(7,22+MATCH('I.A. + Fasce'!$P$26,'I.A. + Fasce'!$W$6:$AA$6,0),1,1,"I.A. + Fasce") &amp; ":" &amp; ADDRESS(79,22+MATCH('I.A. + Fasce'!$P$26,'I.A. + Fasce'!$W$6:$AA$6,0),1,1)),0)),"")</f>
        <v/>
      </c>
      <c r="X6" s="28" t="str">
        <f ca="1">IF(ISNUMBER(X$3),INDIRECT("'I.A. + Fasce'!B" &amp; 6 + MATCH(X$3+COUNTIF($M$3:$X$3,"&gt;0")*($Y6-1),INDIRECT(ADDRESS(7,22+MATCH('I.A. + Fasce'!$P$26,'I.A. + Fasce'!$W$6:$AA$6,0),1,1,"I.A. + Fasce") &amp; ":" &amp; ADDRESS(79,22+MATCH('I.A. + Fasce'!$P$26,'I.A. + Fasce'!$W$6:$AA$6,0),1,1)),0)),"")</f>
        <v/>
      </c>
      <c r="Y6" s="27">
        <v>3</v>
      </c>
      <c r="AG6" s="35" t="str">
        <f ca="1">Rose!B6</f>
        <v/>
      </c>
      <c r="AH6" s="35" t="str">
        <f ca="1">Rose!B15</f>
        <v/>
      </c>
      <c r="AI6" s="35" t="str">
        <f ca="1">Rose!B31</f>
        <v/>
      </c>
      <c r="AJ6" s="35" t="str">
        <f ca="1">Rose!B47</f>
        <v/>
      </c>
      <c r="AK6" s="35"/>
    </row>
    <row r="7" spans="1:37">
      <c r="B7" s="329" t="s">
        <v>648</v>
      </c>
      <c r="C7" s="329"/>
      <c r="D7" s="329">
        <f ca="1">SUM(D4:D6)</f>
        <v>0</v>
      </c>
      <c r="E7" s="332">
        <f>SUM(E4:E6)</f>
        <v>27</v>
      </c>
      <c r="F7" s="333">
        <f>SUM(F4:F6)</f>
        <v>7.7142857142857144</v>
      </c>
      <c r="G7" s="37">
        <f ca="1">E7-D7</f>
        <v>27</v>
      </c>
      <c r="I7" s="38"/>
      <c r="J7" s="38"/>
      <c r="K7" s="38"/>
      <c r="L7" s="38"/>
      <c r="N7" s="39"/>
      <c r="O7" s="39"/>
      <c r="P7" s="39"/>
      <c r="Q7" s="39"/>
      <c r="R7" s="39"/>
      <c r="S7" s="39"/>
      <c r="T7" s="39"/>
      <c r="U7" s="39"/>
      <c r="V7" s="39"/>
      <c r="AG7" s="35" t="str">
        <f ca="1">Rose!B7</f>
        <v/>
      </c>
      <c r="AH7" s="35" t="str">
        <f ca="1">Rose!B16</f>
        <v/>
      </c>
      <c r="AI7" s="35" t="str">
        <f ca="1">Rose!B32</f>
        <v/>
      </c>
      <c r="AJ7" s="35" t="str">
        <f ca="1">Rose!B48</f>
        <v/>
      </c>
      <c r="AK7" s="35"/>
    </row>
    <row r="8" spans="1:37">
      <c r="B8" s="329" t="s">
        <v>649</v>
      </c>
      <c r="C8" s="329"/>
      <c r="D8" s="329">
        <f ca="1">D7+D60</f>
        <v>0</v>
      </c>
      <c r="E8" s="40"/>
      <c r="F8" s="40"/>
      <c r="G8" s="41"/>
      <c r="H8" s="42"/>
      <c r="I8" s="42"/>
      <c r="J8" s="42"/>
      <c r="K8" s="42"/>
      <c r="L8" s="42"/>
      <c r="M8" s="39"/>
      <c r="N8" s="39"/>
      <c r="O8" s="39"/>
      <c r="P8" s="39"/>
      <c r="Q8" s="39"/>
      <c r="R8" s="39"/>
      <c r="S8" s="39"/>
      <c r="T8" s="39"/>
      <c r="U8" s="39"/>
      <c r="V8" s="39"/>
      <c r="AG8" s="35" t="str">
        <f ca="1">Rose!E5</f>
        <v/>
      </c>
      <c r="AH8" s="35" t="str">
        <f ca="1">Rose!B17</f>
        <v/>
      </c>
      <c r="AI8" s="35" t="str">
        <f ca="1">Rose!B33</f>
        <v/>
      </c>
      <c r="AJ8" s="35" t="str">
        <f ca="1">Rose!B49</f>
        <v/>
      </c>
      <c r="AK8" s="35"/>
    </row>
    <row r="9" spans="1:37">
      <c r="A9" s="543" t="s">
        <v>38</v>
      </c>
      <c r="B9" s="543"/>
      <c r="C9" s="432" t="s">
        <v>637</v>
      </c>
      <c r="D9" s="330" t="s">
        <v>644</v>
      </c>
      <c r="E9" s="330" t="s">
        <v>644</v>
      </c>
      <c r="F9" s="330" t="s">
        <v>646</v>
      </c>
      <c r="G9" s="41"/>
      <c r="H9" s="545" t="s">
        <v>647</v>
      </c>
      <c r="I9" s="545"/>
      <c r="J9" s="545"/>
      <c r="K9" s="545"/>
      <c r="L9" s="545"/>
      <c r="M9" s="43">
        <f t="shared" ref="M9:X9" si="2">M$3</f>
        <v>1</v>
      </c>
      <c r="N9" s="43">
        <f t="shared" si="2"/>
        <v>2</v>
      </c>
      <c r="O9" s="43">
        <f t="shared" si="2"/>
        <v>3</v>
      </c>
      <c r="P9" s="43">
        <f t="shared" si="2"/>
        <v>4</v>
      </c>
      <c r="Q9" s="43">
        <f t="shared" si="2"/>
        <v>5</v>
      </c>
      <c r="R9" s="43">
        <f t="shared" si="2"/>
        <v>6</v>
      </c>
      <c r="S9" s="43">
        <f t="shared" si="2"/>
        <v>7</v>
      </c>
      <c r="T9" s="43">
        <f t="shared" si="2"/>
        <v>8</v>
      </c>
      <c r="U9" s="43" t="str">
        <f t="shared" si="2"/>
        <v/>
      </c>
      <c r="V9" s="43" t="str">
        <f t="shared" si="2"/>
        <v/>
      </c>
      <c r="W9" s="43" t="str">
        <f t="shared" si="2"/>
        <v/>
      </c>
      <c r="X9" s="43" t="str">
        <f t="shared" si="2"/>
        <v/>
      </c>
      <c r="AG9" s="35" t="str">
        <f ca="1">Rose!E6</f>
        <v/>
      </c>
      <c r="AH9" s="35" t="str">
        <f ca="1">Rose!B18</f>
        <v/>
      </c>
      <c r="AI9" s="35" t="str">
        <f ca="1">Rose!B34</f>
        <v/>
      </c>
      <c r="AJ9" s="35" t="str">
        <f ca="1">Rose!B50</f>
        <v/>
      </c>
      <c r="AK9" s="35"/>
    </row>
    <row r="10" spans="1:37">
      <c r="A10" s="30" t="str">
        <f>IF(Asta!$AC$3&lt;Y10,"","D")</f>
        <v>D</v>
      </c>
      <c r="B10" s="31" t="str">
        <f ca="1">INDIRECT(ADDRESS(ROW()+4,MATCH(Asta!$D$3,Rose!$A$3:$AJ$3,0)+1,1,1,"Rose"))</f>
        <v/>
      </c>
      <c r="C10" s="38">
        <f ca="1">IF(ISNA(VLOOKUP(B10,Giocatori!$B$9:$C$545,2,FALSE)),ROW(),VLOOKUP(B10,Giocatori!$B$9:$C$545,2,FALSE))</f>
        <v>10</v>
      </c>
      <c r="D10" s="31" t="str">
        <f ca="1">INDIRECT(ADDRESS(ROW()+4,MATCH(Asta!$D$3,Rose!$A$3:$AJ$3,0)+2,1,1,"Rose"))</f>
        <v/>
      </c>
      <c r="E10" s="32">
        <v>14</v>
      </c>
      <c r="F10" s="33">
        <f t="shared" ref="F10:F19" si="3">100*E10/$E$50</f>
        <v>4</v>
      </c>
      <c r="G10" s="32">
        <f ca="1">IF(D10="",0,E10-D10)</f>
        <v>0</v>
      </c>
      <c r="H10" s="34" t="str">
        <f t="shared" ref="H10:H19" ca="1" si="4">M10</f>
        <v>KOULIBALY</v>
      </c>
      <c r="I10" s="34" t="str">
        <f t="shared" ref="I10:I19" ca="1" si="5">N10</f>
        <v>ALEX SANDRO</v>
      </c>
      <c r="J10" s="34" t="str">
        <f t="shared" ref="J10:J19" ca="1" si="6">O10</f>
        <v>ACERBI</v>
      </c>
      <c r="K10" s="34" t="str">
        <f t="shared" ref="K10:K19" ca="1" si="7">P10</f>
        <v>BONUCCI</v>
      </c>
      <c r="L10" s="34" t="str">
        <f t="shared" ref="L10:L19" ca="1" si="8">Q10</f>
        <v>GHOULAM</v>
      </c>
      <c r="M10" s="28" t="str">
        <f ca="1">IF(ISNUMBER(M$3),INDIRECT("'I.A. + Fasce'!B" &amp; 84 + MATCH(M$3+COUNTIF($M$3:$X$3,"&gt;0")*($Y10-1),INDIRECT(ADDRESS(85,22+MATCH('I.A. + Fasce'!$P$27,'I.A. + Fasce'!$W$84:$AA$84,0),1,1,"I.A. + Fasce") &amp; ":" &amp; ADDRESS(305,22+MATCH('I.A. + Fasce'!$P$27,'I.A. + Fasce'!$W$84:$AA$84,0),1,1)),0)),"")</f>
        <v>KOULIBALY</v>
      </c>
      <c r="N10" s="28" t="str">
        <f ca="1">IF(ISNUMBER(N$3),INDIRECT("'I.A. + Fasce'!B" &amp; 84 + MATCH(N$3+COUNTIF($M$3:$X$3,"&gt;0")*($Y10-1),INDIRECT(ADDRESS(85,22+MATCH('I.A. + Fasce'!$P$27,'I.A. + Fasce'!$W$84:$AA$84,0),1,1,"I.A. + Fasce") &amp; ":" &amp; ADDRESS(305,22+MATCH('I.A. + Fasce'!$P$27,'I.A. + Fasce'!$W$84:$AA$84,0),1,1)),0)),"")</f>
        <v>ALEX SANDRO</v>
      </c>
      <c r="O10" s="28" t="str">
        <f ca="1">IF(ISNUMBER(O$3),INDIRECT("'I.A. + Fasce'!B" &amp; 84 + MATCH(O$3+COUNTIF($M$3:$X$3,"&gt;0")*($Y10-1),INDIRECT(ADDRESS(85,22+MATCH('I.A. + Fasce'!$P$27,'I.A. + Fasce'!$W$84:$AA$84,0),1,1,"I.A. + Fasce") &amp; ":" &amp; ADDRESS(305,22+MATCH('I.A. + Fasce'!$P$27,'I.A. + Fasce'!$W$84:$AA$84,0),1,1)),0)),"")</f>
        <v>ACERBI</v>
      </c>
      <c r="P10" s="28" t="str">
        <f ca="1">IF(ISNUMBER(P$3),INDIRECT("'I.A. + Fasce'!B" &amp; 84 + MATCH(P$3+COUNTIF($M$3:$X$3,"&gt;0")*($Y10-1),INDIRECT(ADDRESS(85,22+MATCH('I.A. + Fasce'!$P$27,'I.A. + Fasce'!$W$84:$AA$84,0),1,1,"I.A. + Fasce") &amp; ":" &amp; ADDRESS(305,22+MATCH('I.A. + Fasce'!$P$27,'I.A. + Fasce'!$W$84:$AA$84,0),1,1)),0)),"")</f>
        <v>BONUCCI</v>
      </c>
      <c r="Q10" s="28" t="str">
        <f ca="1">IF(ISNUMBER(Q$3),INDIRECT("'I.A. + Fasce'!B" &amp; 84 + MATCH(Q$3+COUNTIF($M$3:$X$3,"&gt;0")*($Y10-1),INDIRECT(ADDRESS(85,22+MATCH('I.A. + Fasce'!$P$27,'I.A. + Fasce'!$W$84:$AA$84,0),1,1,"I.A. + Fasce") &amp; ":" &amp; ADDRESS(305,22+MATCH('I.A. + Fasce'!$P$27,'I.A. + Fasce'!$W$84:$AA$84,0),1,1)),0)),"")</f>
        <v>GHOULAM</v>
      </c>
      <c r="R10" s="28" t="str">
        <f ca="1">IF(ISNUMBER(R$3),INDIRECT("'I.A. + Fasce'!B" &amp; 84 + MATCH(R$3+COUNTIF($M$3:$X$3,"&gt;0")*($Y10-1),INDIRECT(ADDRESS(85,22+MATCH('I.A. + Fasce'!$P$27,'I.A. + Fasce'!$W$84:$AA$84,0),1,1,"I.A. + Fasce") &amp; ":" &amp; ADDRESS(305,22+MATCH('I.A. + Fasce'!$P$27,'I.A. + Fasce'!$W$84:$AA$84,0),1,1)),0)),"")</f>
        <v>RODRIGUEZ R</v>
      </c>
      <c r="S10" s="28" t="str">
        <f ca="1">IF(ISNUMBER(S$3),INDIRECT("'I.A. + Fasce'!B" &amp; 84 + MATCH(S$3+COUNTIF($M$3:$X$3,"&gt;0")*($Y10-1),INDIRECT(ADDRESS(85,22+MATCH('I.A. + Fasce'!$P$27,'I.A. + Fasce'!$W$84:$AA$84,0),1,1,"I.A. + Fasce") &amp; ":" &amp; ADDRESS(305,22+MATCH('I.A. + Fasce'!$P$27,'I.A. + Fasce'!$W$84:$AA$84,0),1,1)),0)),"")</f>
        <v>CONTI</v>
      </c>
      <c r="T10" s="28" t="str">
        <f ca="1">IF(ISNUMBER(T$3),INDIRECT("'I.A. + Fasce'!B" &amp; 84 + MATCH(T$3+COUNTIF($M$3:$X$3,"&gt;0")*($Y10-1),INDIRECT(ADDRESS(85,22+MATCH('I.A. + Fasce'!$P$27,'I.A. + Fasce'!$W$84:$AA$84,0),1,1,"I.A. + Fasce") &amp; ":" &amp; ADDRESS(305,22+MATCH('I.A. + Fasce'!$P$27,'I.A. + Fasce'!$W$84:$AA$84,0),1,1)),0)),"")</f>
        <v>CALDARA</v>
      </c>
      <c r="U10" s="28" t="str">
        <f ca="1">IF(ISNUMBER(U$3),INDIRECT("'I.A. + Fasce'!B" &amp; 84 + MATCH(U$3+COUNTIF($M$3:$X$3,"&gt;0")*($Y10-1),INDIRECT(ADDRESS(85,22+MATCH('I.A. + Fasce'!$P$27,'I.A. + Fasce'!$W$84:$AA$84,0),1,1,"I.A. + Fasce") &amp; ":" &amp; ADDRESS(305,22+MATCH('I.A. + Fasce'!$P$27,'I.A. + Fasce'!$W$84:$AA$84,0),1,1)),0)),"")</f>
        <v/>
      </c>
      <c r="V10" s="28" t="str">
        <f ca="1">IF(ISNUMBER(V$3),INDIRECT("'I.A. + Fasce'!B" &amp; 84 + MATCH(V$3+COUNTIF($M$3:$X$3,"&gt;0")*($Y10-1),INDIRECT(ADDRESS(85,22+MATCH('I.A. + Fasce'!$P$27,'I.A. + Fasce'!$W$84:$AA$84,0),1,1,"I.A. + Fasce") &amp; ":" &amp; ADDRESS(305,22+MATCH('I.A. + Fasce'!$P$27,'I.A. + Fasce'!$W$84:$AA$84,0),1,1)),0)),"")</f>
        <v/>
      </c>
      <c r="W10" s="28" t="str">
        <f ca="1">IF(ISNUMBER(W$3),INDIRECT("'I.A. + Fasce'!B" &amp; 84 + MATCH(W$3+COUNTIF($M$3:$X$3,"&gt;0")*($Y10-1),INDIRECT(ADDRESS(85,22+MATCH('I.A. + Fasce'!$P$27,'I.A. + Fasce'!$W$84:$AA$84,0),1,1,"I.A. + Fasce") &amp; ":" &amp; ADDRESS(305,22+MATCH('I.A. + Fasce'!$P$27,'I.A. + Fasce'!$W$84:$AA$84,0),1,1)),0)),"")</f>
        <v/>
      </c>
      <c r="X10" s="28" t="str">
        <f ca="1">IF(ISNUMBER(X$3),INDIRECT("'I.A. + Fasce'!B" &amp; 84 + MATCH(X$3+COUNTIF($M$3:$X$3,"&gt;0")*($Y10-1),INDIRECT(ADDRESS(85,22+MATCH('I.A. + Fasce'!$P$27,'I.A. + Fasce'!$W$84:$AA$84,0),1,1,"I.A. + Fasce") &amp; ":" &amp; ADDRESS(305,22+MATCH('I.A. + Fasce'!$P$27,'I.A. + Fasce'!$W$84:$AA$84,0),1,1)),0)),"")</f>
        <v/>
      </c>
      <c r="Y10" s="27">
        <v>1</v>
      </c>
      <c r="AG10" s="35" t="str">
        <f ca="1">Rose!E7</f>
        <v/>
      </c>
      <c r="AH10" s="35" t="str">
        <f ca="1">Rose!B19</f>
        <v/>
      </c>
      <c r="AI10" s="35" t="str">
        <f ca="1">Rose!B35</f>
        <v/>
      </c>
      <c r="AJ10" s="35" t="str">
        <f ca="1">Rose!B51</f>
        <v/>
      </c>
      <c r="AK10" s="35"/>
    </row>
    <row r="11" spans="1:37">
      <c r="A11" s="30" t="str">
        <f>IF(Asta!$AC$3&lt;Y11,"","D")</f>
        <v>D</v>
      </c>
      <c r="B11" s="31" t="str">
        <f ca="1">INDIRECT(ADDRESS(ROW()+4,MATCH(Asta!$D$3,Rose!$A$3:$AJ$3,0)+1,1,1,"Rose"))</f>
        <v/>
      </c>
      <c r="C11" s="38">
        <f ca="1">IF(ISNA(VLOOKUP(B11,Giocatori!$B$9:$C$545,2,FALSE)),ROW(),VLOOKUP(B11,Giocatori!$B$9:$C$545,2,FALSE))</f>
        <v>11</v>
      </c>
      <c r="D11" s="31" t="str">
        <f ca="1">INDIRECT(ADDRESS(ROW()+4,MATCH(Asta!$D$3,Rose!$A$3:$AJ$3,0)+2,1,1,"Rose"))</f>
        <v/>
      </c>
      <c r="E11" s="32">
        <v>5</v>
      </c>
      <c r="F11" s="33">
        <f t="shared" si="3"/>
        <v>1.4285714285714286</v>
      </c>
      <c r="G11" s="32">
        <f t="shared" ref="G11:G19" ca="1" si="9">IF(D11="",0,E11-D11)</f>
        <v>0</v>
      </c>
      <c r="H11" s="34" t="str">
        <f t="shared" ca="1" si="4"/>
        <v>ALBIOL</v>
      </c>
      <c r="I11" s="34" t="str">
        <f t="shared" ca="1" si="5"/>
        <v>FLORENZI</v>
      </c>
      <c r="J11" s="34" t="str">
        <f t="shared" ca="1" si="6"/>
        <v>DE VRIJ</v>
      </c>
      <c r="K11" s="34" t="str">
        <f t="shared" ca="1" si="7"/>
        <v>CHIELLINI</v>
      </c>
      <c r="L11" s="34" t="str">
        <f t="shared" ca="1" si="8"/>
        <v>RUGANI</v>
      </c>
      <c r="M11" s="28" t="str">
        <f ca="1">IF(ISNUMBER(M$3),INDIRECT("'I.A. + Fasce'!B" &amp; 84 + MATCH(M$3+COUNTIF($M$3:$X$3,"&gt;0")*($Y11-1),INDIRECT(ADDRESS(85,22+MATCH('I.A. + Fasce'!$P$27,'I.A. + Fasce'!$W$84:$AA$84,0),1,1,"I.A. + Fasce") &amp; ":" &amp; ADDRESS(305,22+MATCH('I.A. + Fasce'!$P$27,'I.A. + Fasce'!$W$84:$AA$84,0),1,1)),0)),"")</f>
        <v>ALBIOL</v>
      </c>
      <c r="N11" s="28" t="str">
        <f ca="1">IF(ISNUMBER(N$3),INDIRECT("'I.A. + Fasce'!B" &amp; 84 + MATCH(N$3+COUNTIF($M$3:$X$3,"&gt;0")*($Y11-1),INDIRECT(ADDRESS(85,22+MATCH('I.A. + Fasce'!$P$27,'I.A. + Fasce'!$W$84:$AA$84,0),1,1,"I.A. + Fasce") &amp; ":" &amp; ADDRESS(305,22+MATCH('I.A. + Fasce'!$P$27,'I.A. + Fasce'!$W$84:$AA$84,0),1,1)),0)),"")</f>
        <v>FLORENZI</v>
      </c>
      <c r="O11" s="28" t="str">
        <f ca="1">IF(ISNUMBER(O$3),INDIRECT("'I.A. + Fasce'!B" &amp; 84 + MATCH(O$3+COUNTIF($M$3:$X$3,"&gt;0")*($Y11-1),INDIRECT(ADDRESS(85,22+MATCH('I.A. + Fasce'!$P$27,'I.A. + Fasce'!$W$84:$AA$84,0),1,1,"I.A. + Fasce") &amp; ":" &amp; ADDRESS(305,22+MATCH('I.A. + Fasce'!$P$27,'I.A. + Fasce'!$W$84:$AA$84,0),1,1)),0)),"")</f>
        <v>DE VRIJ</v>
      </c>
      <c r="P11" s="28" t="str">
        <f ca="1">IF(ISNUMBER(P$3),INDIRECT("'I.A. + Fasce'!B" &amp; 84 + MATCH(P$3+COUNTIF($M$3:$X$3,"&gt;0")*($Y11-1),INDIRECT(ADDRESS(85,22+MATCH('I.A. + Fasce'!$P$27,'I.A. + Fasce'!$W$84:$AA$84,0),1,1,"I.A. + Fasce") &amp; ":" &amp; ADDRESS(305,22+MATCH('I.A. + Fasce'!$P$27,'I.A. + Fasce'!$W$84:$AA$84,0),1,1)),0)),"")</f>
        <v>CHIELLINI</v>
      </c>
      <c r="Q11" s="28" t="str">
        <f ca="1">IF(ISNUMBER(Q$3),INDIRECT("'I.A. + Fasce'!B" &amp; 84 + MATCH(Q$3+COUNTIF($M$3:$X$3,"&gt;0")*($Y11-1),INDIRECT(ADDRESS(85,22+MATCH('I.A. + Fasce'!$P$27,'I.A. + Fasce'!$W$84:$AA$84,0),1,1,"I.A. + Fasce") &amp; ":" &amp; ADDRESS(305,22+MATCH('I.A. + Fasce'!$P$27,'I.A. + Fasce'!$W$84:$AA$84,0),1,1)),0)),"")</f>
        <v>RUGANI</v>
      </c>
      <c r="R11" s="28" t="str">
        <f ca="1">IF(ISNUMBER(R$3),INDIRECT("'I.A. + Fasce'!B" &amp; 84 + MATCH(R$3+COUNTIF($M$3:$X$3,"&gt;0")*($Y11-1),INDIRECT(ADDRESS(85,22+MATCH('I.A. + Fasce'!$P$27,'I.A. + Fasce'!$W$84:$AA$84,0),1,1,"I.A. + Fasce") &amp; ":" &amp; ADDRESS(305,22+MATCH('I.A. + Fasce'!$P$27,'I.A. + Fasce'!$W$84:$AA$84,0),1,1)),0)),"")</f>
        <v>ROMULO</v>
      </c>
      <c r="S11" s="28" t="str">
        <f ca="1">IF(ISNUMBER(S$3),INDIRECT("'I.A. + Fasce'!B" &amp; 84 + MATCH(S$3+COUNTIF($M$3:$X$3,"&gt;0")*($Y11-1),INDIRECT(ADDRESS(85,22+MATCH('I.A. + Fasce'!$P$27,'I.A. + Fasce'!$W$84:$AA$84,0),1,1,"I.A. + Fasce") &amp; ":" &amp; ADDRESS(305,22+MATCH('I.A. + Fasce'!$P$27,'I.A. + Fasce'!$W$84:$AA$84,0),1,1)),0)),"")</f>
        <v>ROMAGNOLI A</v>
      </c>
      <c r="T11" s="28" t="str">
        <f ca="1">IF(ISNUMBER(T$3),INDIRECT("'I.A. + Fasce'!B" &amp; 84 + MATCH(T$3+COUNTIF($M$3:$X$3,"&gt;0")*($Y11-1),INDIRECT(ADDRESS(85,22+MATCH('I.A. + Fasce'!$P$27,'I.A. + Fasce'!$W$84:$AA$84,0),1,1,"I.A. + Fasce") &amp; ":" &amp; ADDRESS(305,22+MATCH('I.A. + Fasce'!$P$27,'I.A. + Fasce'!$W$84:$AA$84,0),1,1)),0)),"")</f>
        <v>N'KOULOU</v>
      </c>
      <c r="U11" s="28" t="str">
        <f ca="1">IF(ISNUMBER(U$3),INDIRECT("'I.A. + Fasce'!B" &amp; 84 + MATCH(U$3+COUNTIF($M$3:$X$3,"&gt;0")*($Y11-1),INDIRECT(ADDRESS(85,22+MATCH('I.A. + Fasce'!$P$27,'I.A. + Fasce'!$W$84:$AA$84,0),1,1,"I.A. + Fasce") &amp; ":" &amp; ADDRESS(305,22+MATCH('I.A. + Fasce'!$P$27,'I.A. + Fasce'!$W$84:$AA$84,0),1,1)),0)),"")</f>
        <v/>
      </c>
      <c r="V11" s="28" t="str">
        <f ca="1">IF(ISNUMBER(V$3),INDIRECT("'I.A. + Fasce'!B" &amp; 84 + MATCH(V$3+COUNTIF($M$3:$X$3,"&gt;0")*($Y11-1),INDIRECT(ADDRESS(85,22+MATCH('I.A. + Fasce'!$P$27,'I.A. + Fasce'!$W$84:$AA$84,0),1,1,"I.A. + Fasce") &amp; ":" &amp; ADDRESS(305,22+MATCH('I.A. + Fasce'!$P$27,'I.A. + Fasce'!$W$84:$AA$84,0),1,1)),0)),"")</f>
        <v/>
      </c>
      <c r="W11" s="28" t="str">
        <f ca="1">IF(ISNUMBER(W$3),INDIRECT("'I.A. + Fasce'!B" &amp; 84 + MATCH(W$3+COUNTIF($M$3:$X$3,"&gt;0")*($Y11-1),INDIRECT(ADDRESS(85,22+MATCH('I.A. + Fasce'!$P$27,'I.A. + Fasce'!$W$84:$AA$84,0),1,1,"I.A. + Fasce") &amp; ":" &amp; ADDRESS(305,22+MATCH('I.A. + Fasce'!$P$27,'I.A. + Fasce'!$W$84:$AA$84,0),1,1)),0)),"")</f>
        <v/>
      </c>
      <c r="X11" s="28" t="str">
        <f ca="1">IF(ISNUMBER(X$3),INDIRECT("'I.A. + Fasce'!B" &amp; 84 + MATCH(X$3+COUNTIF($M$3:$X$3,"&gt;0")*($Y11-1),INDIRECT(ADDRESS(85,22+MATCH('I.A. + Fasce'!$P$27,'I.A. + Fasce'!$W$84:$AA$84,0),1,1,"I.A. + Fasce") &amp; ":" &amp; ADDRESS(305,22+MATCH('I.A. + Fasce'!$P$27,'I.A. + Fasce'!$W$84:$AA$84,0),1,1)),0)),"")</f>
        <v/>
      </c>
      <c r="Y11" s="27">
        <v>2</v>
      </c>
      <c r="AG11" s="35" t="str">
        <f ca="1">Rose!H5</f>
        <v/>
      </c>
      <c r="AH11" s="35" t="str">
        <f ca="1">Rose!B20</f>
        <v/>
      </c>
      <c r="AI11" s="35" t="str">
        <f ca="1">Rose!B36</f>
        <v/>
      </c>
      <c r="AJ11" s="35" t="str">
        <f ca="1">Rose!B52</f>
        <v/>
      </c>
      <c r="AK11" s="35"/>
    </row>
    <row r="12" spans="1:37">
      <c r="A12" s="30" t="str">
        <f>IF(Asta!$AC$3&lt;Y12,"","D")</f>
        <v>D</v>
      </c>
      <c r="B12" s="31" t="str">
        <f ca="1">INDIRECT(ADDRESS(ROW()+4,MATCH(Asta!$D$3,Rose!$A$3:$AJ$3,0)+1,1,1,"Rose"))</f>
        <v/>
      </c>
      <c r="C12" s="38">
        <f ca="1">IF(ISNA(VLOOKUP(B12,Giocatori!$B$9:$C$545,2,FALSE)),ROW(),VLOOKUP(B12,Giocatori!$B$9:$C$545,2,FALSE))</f>
        <v>12</v>
      </c>
      <c r="D12" s="31" t="str">
        <f ca="1">INDIRECT(ADDRESS(ROW()+4,MATCH(Asta!$D$3,Rose!$A$3:$AJ$3,0)+2,1,1,"Rose"))</f>
        <v/>
      </c>
      <c r="E12" s="32">
        <v>2</v>
      </c>
      <c r="F12" s="33">
        <f t="shared" si="3"/>
        <v>0.5714285714285714</v>
      </c>
      <c r="G12" s="32">
        <f t="shared" ca="1" si="9"/>
        <v>0</v>
      </c>
      <c r="H12" s="34" t="str">
        <f t="shared" ca="1" si="4"/>
        <v>MIRANDA</v>
      </c>
      <c r="I12" s="34" t="str">
        <f t="shared" ca="1" si="5"/>
        <v>MASIELLO A</v>
      </c>
      <c r="J12" s="34" t="str">
        <f t="shared" ca="1" si="6"/>
        <v>MANOLAS</v>
      </c>
      <c r="K12" s="34" t="str">
        <f t="shared" ca="1" si="7"/>
        <v>KOLAROV</v>
      </c>
      <c r="L12" s="34" t="str">
        <f t="shared" ca="1" si="8"/>
        <v>IZZO</v>
      </c>
      <c r="M12" s="28" t="str">
        <f ca="1">IF(ISNUMBER(M$3),INDIRECT("'I.A. + Fasce'!B" &amp; 84 + MATCH(M$3+COUNTIF($M$3:$X$3,"&gt;0")*($Y12-1),INDIRECT(ADDRESS(85,22+MATCH('I.A. + Fasce'!$P$27,'I.A. + Fasce'!$W$84:$AA$84,0),1,1,"I.A. + Fasce") &amp; ":" &amp; ADDRESS(305,22+MATCH('I.A. + Fasce'!$P$27,'I.A. + Fasce'!$W$84:$AA$84,0),1,1)),0)),"")</f>
        <v>MIRANDA</v>
      </c>
      <c r="N12" s="28" t="str">
        <f ca="1">IF(ISNUMBER(N$3),INDIRECT("'I.A. + Fasce'!B" &amp; 84 + MATCH(N$3+COUNTIF($M$3:$X$3,"&gt;0")*($Y12-1),INDIRECT(ADDRESS(85,22+MATCH('I.A. + Fasce'!$P$27,'I.A. + Fasce'!$W$84:$AA$84,0),1,1,"I.A. + Fasce") &amp; ":" &amp; ADDRESS(305,22+MATCH('I.A. + Fasce'!$P$27,'I.A. + Fasce'!$W$84:$AA$84,0),1,1)),0)),"")</f>
        <v>MASIELLO A</v>
      </c>
      <c r="O12" s="28" t="str">
        <f ca="1">IF(ISNUMBER(O$3),INDIRECT("'I.A. + Fasce'!B" &amp; 84 + MATCH(O$3+COUNTIF($M$3:$X$3,"&gt;0")*($Y12-1),INDIRECT(ADDRESS(85,22+MATCH('I.A. + Fasce'!$P$27,'I.A. + Fasce'!$W$84:$AA$84,0),1,1,"I.A. + Fasce") &amp; ":" &amp; ADDRESS(305,22+MATCH('I.A. + Fasce'!$P$27,'I.A. + Fasce'!$W$84:$AA$84,0),1,1)),0)),"")</f>
        <v>MANOLAS</v>
      </c>
      <c r="P12" s="28" t="str">
        <f ca="1">IF(ISNUMBER(P$3),INDIRECT("'I.A. + Fasce'!B" &amp; 84 + MATCH(P$3+COUNTIF($M$3:$X$3,"&gt;0")*($Y12-1),INDIRECT(ADDRESS(85,22+MATCH('I.A. + Fasce'!$P$27,'I.A. + Fasce'!$W$84:$AA$84,0),1,1,"I.A. + Fasce") &amp; ":" &amp; ADDRESS(305,22+MATCH('I.A. + Fasce'!$P$27,'I.A. + Fasce'!$W$84:$AA$84,0),1,1)),0)),"")</f>
        <v>KOLAROV</v>
      </c>
      <c r="Q12" s="28" t="str">
        <f ca="1">IF(ISNUMBER(Q$3),INDIRECT("'I.A. + Fasce'!B" &amp; 84 + MATCH(Q$3+COUNTIF($M$3:$X$3,"&gt;0")*($Y12-1),INDIRECT(ADDRESS(85,22+MATCH('I.A. + Fasce'!$P$27,'I.A. + Fasce'!$W$84:$AA$84,0),1,1,"I.A. + Fasce") &amp; ":" &amp; ADDRESS(305,22+MATCH('I.A. + Fasce'!$P$27,'I.A. + Fasce'!$W$84:$AA$84,0),1,1)),0)),"")</f>
        <v>IZZO</v>
      </c>
      <c r="R12" s="28" t="str">
        <f ca="1">IF(ISNUMBER(R$3),INDIRECT("'I.A. + Fasce'!B" &amp; 84 + MATCH(R$3+COUNTIF($M$3:$X$3,"&gt;0")*($Y12-1),INDIRECT(ADDRESS(85,22+MATCH('I.A. + Fasce'!$P$27,'I.A. + Fasce'!$W$84:$AA$84,0),1,1,"I.A. + Fasce") &amp; ":" &amp; ADDRESS(305,22+MATCH('I.A. + Fasce'!$P$27,'I.A. + Fasce'!$W$84:$AA$84,0),1,1)),0)),"")</f>
        <v>HYSAJ</v>
      </c>
      <c r="S12" s="28" t="str">
        <f ca="1">IF(ISNUMBER(S$3),INDIRECT("'I.A. + Fasce'!B" &amp; 84 + MATCH(S$3+COUNTIF($M$3:$X$3,"&gt;0")*($Y12-1),INDIRECT(ADDRESS(85,22+MATCH('I.A. + Fasce'!$P$27,'I.A. + Fasce'!$W$84:$AA$84,0),1,1,"I.A. + Fasce") &amp; ":" &amp; ADDRESS(305,22+MATCH('I.A. + Fasce'!$P$27,'I.A. + Fasce'!$W$84:$AA$84,0),1,1)),0)),"")</f>
        <v>BENATIA</v>
      </c>
      <c r="T12" s="28" t="str">
        <f ca="1">IF(ISNUMBER(T$3),INDIRECT("'I.A. + Fasce'!B" &amp; 84 + MATCH(T$3+COUNTIF($M$3:$X$3,"&gt;0")*($Y12-1),INDIRECT(ADDRESS(85,22+MATCH('I.A. + Fasce'!$P$27,'I.A. + Fasce'!$W$84:$AA$84,0),1,1,"I.A. + Fasce") &amp; ":" &amp; ADDRESS(305,22+MATCH('I.A. + Fasce'!$P$27,'I.A. + Fasce'!$W$84:$AA$84,0),1,1)),0)),"")</f>
        <v>WIDMER</v>
      </c>
      <c r="U12" s="28" t="str">
        <f ca="1">IF(ISNUMBER(U$3),INDIRECT("'I.A. + Fasce'!B" &amp; 84 + MATCH(U$3+COUNTIF($M$3:$X$3,"&gt;0")*($Y12-1),INDIRECT(ADDRESS(85,22+MATCH('I.A. + Fasce'!$P$27,'I.A. + Fasce'!$W$84:$AA$84,0),1,1,"I.A. + Fasce") &amp; ":" &amp; ADDRESS(305,22+MATCH('I.A. + Fasce'!$P$27,'I.A. + Fasce'!$W$84:$AA$84,0),1,1)),0)),"")</f>
        <v/>
      </c>
      <c r="V12" s="28" t="str">
        <f ca="1">IF(ISNUMBER(V$3),INDIRECT("'I.A. + Fasce'!B" &amp; 84 + MATCH(V$3+COUNTIF($M$3:$X$3,"&gt;0")*($Y12-1),INDIRECT(ADDRESS(85,22+MATCH('I.A. + Fasce'!$P$27,'I.A. + Fasce'!$W$84:$AA$84,0),1,1,"I.A. + Fasce") &amp; ":" &amp; ADDRESS(305,22+MATCH('I.A. + Fasce'!$P$27,'I.A. + Fasce'!$W$84:$AA$84,0),1,1)),0)),"")</f>
        <v/>
      </c>
      <c r="W12" s="28" t="str">
        <f ca="1">IF(ISNUMBER(W$3),INDIRECT("'I.A. + Fasce'!B" &amp; 84 + MATCH(W$3+COUNTIF($M$3:$X$3,"&gt;0")*($Y12-1),INDIRECT(ADDRESS(85,22+MATCH('I.A. + Fasce'!$P$27,'I.A. + Fasce'!$W$84:$AA$84,0),1,1,"I.A. + Fasce") &amp; ":" &amp; ADDRESS(305,22+MATCH('I.A. + Fasce'!$P$27,'I.A. + Fasce'!$W$84:$AA$84,0),1,1)),0)),"")</f>
        <v/>
      </c>
      <c r="X12" s="28" t="str">
        <f ca="1">IF(ISNUMBER(X$3),INDIRECT("'I.A. + Fasce'!B" &amp; 84 + MATCH(X$3+COUNTIF($M$3:$X$3,"&gt;0")*($Y12-1),INDIRECT(ADDRESS(85,22+MATCH('I.A. + Fasce'!$P$27,'I.A. + Fasce'!$W$84:$AA$84,0),1,1,"I.A. + Fasce") &amp; ":" &amp; ADDRESS(305,22+MATCH('I.A. + Fasce'!$P$27,'I.A. + Fasce'!$W$84:$AA$84,0),1,1)),0)),"")</f>
        <v/>
      </c>
      <c r="Y12" s="27">
        <v>3</v>
      </c>
      <c r="AG12" s="35" t="str">
        <f ca="1">Rose!H6</f>
        <v/>
      </c>
      <c r="AH12" s="35" t="str">
        <f ca="1">Rose!B21</f>
        <v/>
      </c>
      <c r="AI12" s="35" t="str">
        <f ca="1">Rose!B37</f>
        <v/>
      </c>
      <c r="AJ12" s="35" t="str">
        <f ca="1">Rose!B53</f>
        <v/>
      </c>
      <c r="AK12" s="35"/>
    </row>
    <row r="13" spans="1:37">
      <c r="A13" s="30" t="str">
        <f>IF(Asta!$AC$3&lt;Y13,"","D")</f>
        <v>D</v>
      </c>
      <c r="B13" s="31" t="str">
        <f ca="1">INDIRECT(ADDRESS(ROW()+4,MATCH(Asta!$D$3,Rose!$A$3:$AJ$3,0)+1,1,1,"Rose"))</f>
        <v/>
      </c>
      <c r="C13" s="38">
        <f ca="1">IF(ISNA(VLOOKUP(B13,Giocatori!$B$9:$C$545,2,FALSE)),ROW(),VLOOKUP(B13,Giocatori!$B$9:$C$545,2,FALSE))</f>
        <v>13</v>
      </c>
      <c r="D13" s="31" t="str">
        <f ca="1">INDIRECT(ADDRESS(ROW()+4,MATCH(Asta!$D$3,Rose!$A$3:$AJ$3,0)+2,1,1,"Rose"))</f>
        <v/>
      </c>
      <c r="E13" s="32">
        <v>3</v>
      </c>
      <c r="F13" s="33">
        <f t="shared" si="3"/>
        <v>0.8571428571428571</v>
      </c>
      <c r="G13" s="32">
        <f t="shared" ca="1" si="9"/>
        <v>0</v>
      </c>
      <c r="H13" s="34" t="str">
        <f t="shared" ca="1" si="4"/>
        <v>TOLOI</v>
      </c>
      <c r="I13" s="34" t="str">
        <f t="shared" ca="1" si="5"/>
        <v>SILVESTRE</v>
      </c>
      <c r="J13" s="34" t="str">
        <f t="shared" ca="1" si="6"/>
        <v>SAMIR</v>
      </c>
      <c r="K13" s="34" t="str">
        <f t="shared" ca="1" si="7"/>
        <v>LUCIONI</v>
      </c>
      <c r="L13" s="34" t="str">
        <f t="shared" ca="1" si="8"/>
        <v>CECCHERINI</v>
      </c>
      <c r="M13" s="28" t="str">
        <f ca="1">IF(ISNUMBER(M$3),INDIRECT("'I.A. + Fasce'!B" &amp; 84 + MATCH(M$3+COUNTIF($M$3:$X$3,"&gt;0")*($Y13-1),INDIRECT(ADDRESS(85,22+MATCH('I.A. + Fasce'!$P$27,'I.A. + Fasce'!$W$84:$AA$84,0),1,1,"I.A. + Fasce") &amp; ":" &amp; ADDRESS(305,22+MATCH('I.A. + Fasce'!$P$27,'I.A. + Fasce'!$W$84:$AA$84,0),1,1)),0)),"")</f>
        <v>TOLOI</v>
      </c>
      <c r="N13" s="28" t="str">
        <f ca="1">IF(ISNUMBER(N$3),INDIRECT("'I.A. + Fasce'!B" &amp; 84 + MATCH(N$3+COUNTIF($M$3:$X$3,"&gt;0")*($Y13-1),INDIRECT(ADDRESS(85,22+MATCH('I.A. + Fasce'!$P$27,'I.A. + Fasce'!$W$84:$AA$84,0),1,1,"I.A. + Fasce") &amp; ":" &amp; ADDRESS(305,22+MATCH('I.A. + Fasce'!$P$27,'I.A. + Fasce'!$W$84:$AA$84,0),1,1)),0)),"")</f>
        <v>SILVESTRE</v>
      </c>
      <c r="O13" s="28" t="str">
        <f ca="1">IF(ISNUMBER(O$3),INDIRECT("'I.A. + Fasce'!B" &amp; 84 + MATCH(O$3+COUNTIF($M$3:$X$3,"&gt;0")*($Y13-1),INDIRECT(ADDRESS(85,22+MATCH('I.A. + Fasce'!$P$27,'I.A. + Fasce'!$W$84:$AA$84,0),1,1,"I.A. + Fasce") &amp; ":" &amp; ADDRESS(305,22+MATCH('I.A. + Fasce'!$P$27,'I.A. + Fasce'!$W$84:$AA$84,0),1,1)),0)),"")</f>
        <v>SAMIR</v>
      </c>
      <c r="P13" s="28" t="str">
        <f ca="1">IF(ISNUMBER(P$3),INDIRECT("'I.A. + Fasce'!B" &amp; 84 + MATCH(P$3+COUNTIF($M$3:$X$3,"&gt;0")*($Y13-1),INDIRECT(ADDRESS(85,22+MATCH('I.A. + Fasce'!$P$27,'I.A. + Fasce'!$W$84:$AA$84,0),1,1,"I.A. + Fasce") &amp; ":" &amp; ADDRESS(305,22+MATCH('I.A. + Fasce'!$P$27,'I.A. + Fasce'!$W$84:$AA$84,0),1,1)),0)),"")</f>
        <v>LUCIONI</v>
      </c>
      <c r="Q13" s="28" t="str">
        <f ca="1">IF(ISNUMBER(Q$3),INDIRECT("'I.A. + Fasce'!B" &amp; 84 + MATCH(Q$3+COUNTIF($M$3:$X$3,"&gt;0")*($Y13-1),INDIRECT(ADDRESS(85,22+MATCH('I.A. + Fasce'!$P$27,'I.A. + Fasce'!$W$84:$AA$84,0),1,1,"I.A. + Fasce") &amp; ":" &amp; ADDRESS(305,22+MATCH('I.A. + Fasce'!$P$27,'I.A. + Fasce'!$W$84:$AA$84,0),1,1)),0)),"")</f>
        <v>CECCHERINI</v>
      </c>
      <c r="R13" s="28" t="str">
        <f ca="1">IF(ISNUMBER(R$3),INDIRECT("'I.A. + Fasce'!B" &amp; 84 + MATCH(R$3+COUNTIF($M$3:$X$3,"&gt;0")*($Y13-1),INDIRECT(ADDRESS(85,22+MATCH('I.A. + Fasce'!$P$27,'I.A. + Fasce'!$W$84:$AA$84,0),1,1,"I.A. + Fasce") &amp; ":" &amp; ADDRESS(305,22+MATCH('I.A. + Fasce'!$P$27,'I.A. + Fasce'!$W$84:$AA$84,0),1,1)),0)),"")</f>
        <v>BARRECA</v>
      </c>
      <c r="S13" s="28" t="str">
        <f ca="1">IF(ISNUMBER(S$3),INDIRECT("'I.A. + Fasce'!B" &amp; 84 + MATCH(S$3+COUNTIF($M$3:$X$3,"&gt;0")*($Y13-1),INDIRECT(ADDRESS(85,22+MATCH('I.A. + Fasce'!$P$27,'I.A. + Fasce'!$W$84:$AA$84,0),1,1,"I.A. + Fasce") &amp; ":" &amp; ADDRESS(305,22+MATCH('I.A. + Fasce'!$P$27,'I.A. + Fasce'!$W$84:$AA$84,0),1,1)),0)),"")</f>
        <v>VAN DER WIEL</v>
      </c>
      <c r="T13" s="28" t="str">
        <f ca="1">IF(ISNUMBER(T$3),INDIRECT("'I.A. + Fasce'!B" &amp; 84 + MATCH(T$3+COUNTIF($M$3:$X$3,"&gt;0")*($Y13-1),INDIRECT(ADDRESS(85,22+MATCH('I.A. + Fasce'!$P$27,'I.A. + Fasce'!$W$84:$AA$84,0),1,1,"I.A. + Fasce") &amp; ":" &amp; ADDRESS(305,22+MATCH('I.A. + Fasce'!$P$27,'I.A. + Fasce'!$W$84:$AA$84,0),1,1)),0)),"")</f>
        <v>PEZZELLA GER</v>
      </c>
      <c r="U13" s="28" t="str">
        <f ca="1">IF(ISNUMBER(U$3),INDIRECT("'I.A. + Fasce'!B" &amp; 84 + MATCH(U$3+COUNTIF($M$3:$X$3,"&gt;0")*($Y13-1),INDIRECT(ADDRESS(85,22+MATCH('I.A. + Fasce'!$P$27,'I.A. + Fasce'!$W$84:$AA$84,0),1,1,"I.A. + Fasce") &amp; ":" &amp; ADDRESS(305,22+MATCH('I.A. + Fasce'!$P$27,'I.A. + Fasce'!$W$84:$AA$84,0),1,1)),0)),"")</f>
        <v/>
      </c>
      <c r="V13" s="28" t="str">
        <f ca="1">IF(ISNUMBER(V$3),INDIRECT("'I.A. + Fasce'!B" &amp; 84 + MATCH(V$3+COUNTIF($M$3:$X$3,"&gt;0")*($Y13-1),INDIRECT(ADDRESS(85,22+MATCH('I.A. + Fasce'!$P$27,'I.A. + Fasce'!$W$84:$AA$84,0),1,1,"I.A. + Fasce") &amp; ":" &amp; ADDRESS(305,22+MATCH('I.A. + Fasce'!$P$27,'I.A. + Fasce'!$W$84:$AA$84,0),1,1)),0)),"")</f>
        <v/>
      </c>
      <c r="W13" s="28" t="str">
        <f ca="1">IF(ISNUMBER(W$3),INDIRECT("'I.A. + Fasce'!B" &amp; 84 + MATCH(W$3+COUNTIF($M$3:$X$3,"&gt;0")*($Y13-1),INDIRECT(ADDRESS(85,22+MATCH('I.A. + Fasce'!$P$27,'I.A. + Fasce'!$W$84:$AA$84,0),1,1,"I.A. + Fasce") &amp; ":" &amp; ADDRESS(305,22+MATCH('I.A. + Fasce'!$P$27,'I.A. + Fasce'!$W$84:$AA$84,0),1,1)),0)),"")</f>
        <v/>
      </c>
      <c r="X13" s="28" t="str">
        <f ca="1">IF(ISNUMBER(X$3),INDIRECT("'I.A. + Fasce'!B" &amp; 84 + MATCH(X$3+COUNTIF($M$3:$X$3,"&gt;0")*($Y13-1),INDIRECT(ADDRESS(85,22+MATCH('I.A. + Fasce'!$P$27,'I.A. + Fasce'!$W$84:$AA$84,0),1,1,"I.A. + Fasce") &amp; ":" &amp; ADDRESS(305,22+MATCH('I.A. + Fasce'!$P$27,'I.A. + Fasce'!$W$84:$AA$84,0),1,1)),0)),"")</f>
        <v/>
      </c>
      <c r="Y13" s="27">
        <v>4</v>
      </c>
      <c r="AG13" s="35" t="str">
        <f ca="1">Rose!H7</f>
        <v/>
      </c>
      <c r="AH13" s="35" t="str">
        <f ca="1">Rose!B22</f>
        <v/>
      </c>
      <c r="AI13" s="35" t="str">
        <f ca="1">Rose!B38</f>
        <v/>
      </c>
      <c r="AJ13" s="35" t="str">
        <f ca="1">Rose!E46</f>
        <v/>
      </c>
      <c r="AK13" s="35"/>
    </row>
    <row r="14" spans="1:37">
      <c r="A14" s="30" t="str">
        <f>IF(Asta!$AC$3&lt;Y14,"","D")</f>
        <v>D</v>
      </c>
      <c r="B14" s="31" t="str">
        <f ca="1">INDIRECT(ADDRESS(ROW()+4,MATCH(Asta!$D$3,Rose!$A$3:$AJ$3,0)+1,1,1,"Rose"))</f>
        <v/>
      </c>
      <c r="C14" s="38">
        <f ca="1">IF(ISNA(VLOOKUP(B14,Giocatori!$B$9:$C$545,2,FALSE)),ROW(),VLOOKUP(B14,Giocatori!$B$9:$C$545,2,FALSE))</f>
        <v>14</v>
      </c>
      <c r="D14" s="31" t="str">
        <f ca="1">INDIRECT(ADDRESS(ROW()+4,MATCH(Asta!$D$3,Rose!$A$3:$AJ$3,0)+2,1,1,"Rose"))</f>
        <v/>
      </c>
      <c r="E14" s="32">
        <v>1</v>
      </c>
      <c r="F14" s="33">
        <f t="shared" si="3"/>
        <v>0.2857142857142857</v>
      </c>
      <c r="G14" s="32">
        <f t="shared" ca="1" si="9"/>
        <v>0</v>
      </c>
      <c r="H14" s="34" t="str">
        <f t="shared" ca="1" si="4"/>
        <v>NUYTINCK</v>
      </c>
      <c r="I14" s="34" t="str">
        <f t="shared" ca="1" si="5"/>
        <v>MUSACCHIO</v>
      </c>
      <c r="J14" s="34" t="str">
        <f t="shared" ca="1" si="6"/>
        <v>MASINA</v>
      </c>
      <c r="K14" s="34" t="str">
        <f t="shared" ca="1" si="7"/>
        <v>LETIZIA</v>
      </c>
      <c r="L14" s="34" t="str">
        <f t="shared" ca="1" si="8"/>
        <v>KARSDORP</v>
      </c>
      <c r="M14" s="28" t="str">
        <f ca="1">IF(ISNUMBER(M$3),INDIRECT("'I.A. + Fasce'!B" &amp; 84 + MATCH(M$3+COUNTIF($M$3:$X$3,"&gt;0")*($Y14-1),INDIRECT(ADDRESS(85,22+MATCH('I.A. + Fasce'!$P$27,'I.A. + Fasce'!$W$84:$AA$84,0),1,1,"I.A. + Fasce") &amp; ":" &amp; ADDRESS(305,22+MATCH('I.A. + Fasce'!$P$27,'I.A. + Fasce'!$W$84:$AA$84,0),1,1)),0)),"")</f>
        <v>NUYTINCK</v>
      </c>
      <c r="N14" s="28" t="str">
        <f ca="1">IF(ISNUMBER(N$3),INDIRECT("'I.A. + Fasce'!B" &amp; 84 + MATCH(N$3+COUNTIF($M$3:$X$3,"&gt;0")*($Y14-1),INDIRECT(ADDRESS(85,22+MATCH('I.A. + Fasce'!$P$27,'I.A. + Fasce'!$W$84:$AA$84,0),1,1,"I.A. + Fasce") &amp; ":" &amp; ADDRESS(305,22+MATCH('I.A. + Fasce'!$P$27,'I.A. + Fasce'!$W$84:$AA$84,0),1,1)),0)),"")</f>
        <v>MUSACCHIO</v>
      </c>
      <c r="O14" s="28" t="str">
        <f ca="1">IF(ISNUMBER(O$3),INDIRECT("'I.A. + Fasce'!B" &amp; 84 + MATCH(O$3+COUNTIF($M$3:$X$3,"&gt;0")*($Y14-1),INDIRECT(ADDRESS(85,22+MATCH('I.A. + Fasce'!$P$27,'I.A. + Fasce'!$W$84:$AA$84,0),1,1,"I.A. + Fasce") &amp; ":" &amp; ADDRESS(305,22+MATCH('I.A. + Fasce'!$P$27,'I.A. + Fasce'!$W$84:$AA$84,0),1,1)),0)),"")</f>
        <v>MASINA</v>
      </c>
      <c r="P14" s="28" t="str">
        <f ca="1">IF(ISNUMBER(P$3),INDIRECT("'I.A. + Fasce'!B" &amp; 84 + MATCH(P$3+COUNTIF($M$3:$X$3,"&gt;0")*($Y14-1),INDIRECT(ADDRESS(85,22+MATCH('I.A. + Fasce'!$P$27,'I.A. + Fasce'!$W$84:$AA$84,0),1,1,"I.A. + Fasce") &amp; ":" &amp; ADDRESS(305,22+MATCH('I.A. + Fasce'!$P$27,'I.A. + Fasce'!$W$84:$AA$84,0),1,1)),0)),"")</f>
        <v>LETIZIA</v>
      </c>
      <c r="Q14" s="28" t="str">
        <f ca="1">IF(ISNUMBER(Q$3),INDIRECT("'I.A. + Fasce'!B" &amp; 84 + MATCH(Q$3+COUNTIF($M$3:$X$3,"&gt;0")*($Y14-1),INDIRECT(ADDRESS(85,22+MATCH('I.A. + Fasce'!$P$27,'I.A. + Fasce'!$W$84:$AA$84,0),1,1,"I.A. + Fasce") &amp; ":" &amp; ADDRESS(305,22+MATCH('I.A. + Fasce'!$P$27,'I.A. + Fasce'!$W$84:$AA$84,0),1,1)),0)),"")</f>
        <v>KARSDORP</v>
      </c>
      <c r="R14" s="28" t="str">
        <f ca="1">IF(ISNUMBER(R$3),INDIRECT("'I.A. + Fasce'!B" &amp; 84 + MATCH(R$3+COUNTIF($M$3:$X$3,"&gt;0")*($Y14-1),INDIRECT(ADDRESS(85,22+MATCH('I.A. + Fasce'!$P$27,'I.A. + Fasce'!$W$84:$AA$84,0),1,1,"I.A. + Fasce") &amp; ":" &amp; ADDRESS(305,22+MATCH('I.A. + Fasce'!$P$27,'I.A. + Fasce'!$W$84:$AA$84,0),1,1)),0)),"")</f>
        <v>HOWEDES</v>
      </c>
      <c r="S14" s="28" t="str">
        <f ca="1">IF(ISNUMBER(S$3),INDIRECT("'I.A. + Fasce'!B" &amp; 84 + MATCH(S$3+COUNTIF($M$3:$X$3,"&gt;0")*($Y14-1),INDIRECT(ADDRESS(85,22+MATCH('I.A. + Fasce'!$P$27,'I.A. + Fasce'!$W$84:$AA$84,0),1,1,"I.A. + Fasce") &amp; ":" &amp; ADDRESS(305,22+MATCH('I.A. + Fasce'!$P$27,'I.A. + Fasce'!$W$84:$AA$84,0),1,1)),0)),"")</f>
        <v>HECTOR MORENO</v>
      </c>
      <c r="T14" s="28" t="str">
        <f ca="1">IF(ISNUMBER(T$3),INDIRECT("'I.A. + Fasce'!B" &amp; 84 + MATCH(T$3+COUNTIF($M$3:$X$3,"&gt;0")*($Y14-1),INDIRECT(ADDRESS(85,22+MATCH('I.A. + Fasce'!$P$27,'I.A. + Fasce'!$W$84:$AA$84,0),1,1,"I.A. + Fasce") &amp; ":" &amp; ADDRESS(305,22+MATCH('I.A. + Fasce'!$P$27,'I.A. + Fasce'!$W$84:$AA$84,0),1,1)),0)),"")</f>
        <v>HATEBOER</v>
      </c>
      <c r="U14" s="28" t="str">
        <f ca="1">IF(ISNUMBER(U$3),INDIRECT("'I.A. + Fasce'!B" &amp; 84 + MATCH(U$3+COUNTIF($M$3:$X$3,"&gt;0")*($Y14-1),INDIRECT(ADDRESS(85,22+MATCH('I.A. + Fasce'!$P$27,'I.A. + Fasce'!$W$84:$AA$84,0),1,1,"I.A. + Fasce") &amp; ":" &amp; ADDRESS(305,22+MATCH('I.A. + Fasce'!$P$27,'I.A. + Fasce'!$W$84:$AA$84,0),1,1)),0)),"")</f>
        <v/>
      </c>
      <c r="V14" s="28" t="str">
        <f ca="1">IF(ISNUMBER(V$3),INDIRECT("'I.A. + Fasce'!B" &amp; 84 + MATCH(V$3+COUNTIF($M$3:$X$3,"&gt;0")*($Y14-1),INDIRECT(ADDRESS(85,22+MATCH('I.A. + Fasce'!$P$27,'I.A. + Fasce'!$W$84:$AA$84,0),1,1,"I.A. + Fasce") &amp; ":" &amp; ADDRESS(305,22+MATCH('I.A. + Fasce'!$P$27,'I.A. + Fasce'!$W$84:$AA$84,0),1,1)),0)),"")</f>
        <v/>
      </c>
      <c r="W14" s="28" t="str">
        <f ca="1">IF(ISNUMBER(W$3),INDIRECT("'I.A. + Fasce'!B" &amp; 84 + MATCH(W$3+COUNTIF($M$3:$X$3,"&gt;0")*($Y14-1),INDIRECT(ADDRESS(85,22+MATCH('I.A. + Fasce'!$P$27,'I.A. + Fasce'!$W$84:$AA$84,0),1,1,"I.A. + Fasce") &amp; ":" &amp; ADDRESS(305,22+MATCH('I.A. + Fasce'!$P$27,'I.A. + Fasce'!$W$84:$AA$84,0),1,1)),0)),"")</f>
        <v/>
      </c>
      <c r="X14" s="28" t="str">
        <f ca="1">IF(ISNUMBER(X$3),INDIRECT("'I.A. + Fasce'!B" &amp; 84 + MATCH(X$3+COUNTIF($M$3:$X$3,"&gt;0")*($Y14-1),INDIRECT(ADDRESS(85,22+MATCH('I.A. + Fasce'!$P$27,'I.A. + Fasce'!$W$84:$AA$84,0),1,1,"I.A. + Fasce") &amp; ":" &amp; ADDRESS(305,22+MATCH('I.A. + Fasce'!$P$27,'I.A. + Fasce'!$W$84:$AA$84,0),1,1)),0)),"")</f>
        <v/>
      </c>
      <c r="Y14" s="27">
        <v>5</v>
      </c>
      <c r="AG14" s="35" t="str">
        <f ca="1">Rose!K5</f>
        <v/>
      </c>
      <c r="AH14" s="35" t="str">
        <f ca="1">Rose!B23</f>
        <v/>
      </c>
      <c r="AI14" s="35" t="str">
        <f ca="1">Rose!B39</f>
        <v/>
      </c>
      <c r="AJ14" s="35" t="str">
        <f ca="1">Rose!E47</f>
        <v/>
      </c>
      <c r="AK14" s="35"/>
    </row>
    <row r="15" spans="1:37">
      <c r="A15" s="30" t="str">
        <f>IF(Asta!$AC$3&lt;Y15,"","D")</f>
        <v>D</v>
      </c>
      <c r="B15" s="31" t="str">
        <f ca="1">INDIRECT(ADDRESS(ROW()+4,MATCH(Asta!$D$3,Rose!$A$3:$AJ$3,0)+1,1,1,"Rose"))</f>
        <v/>
      </c>
      <c r="C15" s="38">
        <f ca="1">IF(ISNA(VLOOKUP(B15,Giocatori!$B$9:$C$545,2,FALSE)),ROW(),VLOOKUP(B15,Giocatori!$B$9:$C$545,2,FALSE))</f>
        <v>15</v>
      </c>
      <c r="D15" s="31" t="str">
        <f ca="1">INDIRECT(ADDRESS(ROW()+4,MATCH(Asta!$D$3,Rose!$A$3:$AJ$3,0)+2,1,1,"Rose"))</f>
        <v/>
      </c>
      <c r="E15" s="32">
        <v>1</v>
      </c>
      <c r="F15" s="33">
        <f t="shared" si="3"/>
        <v>0.2857142857142857</v>
      </c>
      <c r="G15" s="32">
        <f t="shared" ca="1" si="9"/>
        <v>0</v>
      </c>
      <c r="H15" s="34" t="str">
        <f t="shared" ca="1" si="4"/>
        <v>FAZIO</v>
      </c>
      <c r="I15" s="34" t="str">
        <f t="shared" ca="1" si="5"/>
        <v>DI CHIARA</v>
      </c>
      <c r="J15" s="34" t="str">
        <f t="shared" ca="1" si="6"/>
        <v>DANILO</v>
      </c>
      <c r="K15" s="34" t="str">
        <f t="shared" ca="1" si="7"/>
        <v>DALBERT</v>
      </c>
      <c r="L15" s="34" t="str">
        <f t="shared" ca="1" si="8"/>
        <v>CANCELO</v>
      </c>
      <c r="M15" s="28" t="str">
        <f ca="1">IF(ISNUMBER(M$3),INDIRECT("'I.A. + Fasce'!B" &amp; 84 + MATCH(M$3+COUNTIF($M$3:$X$3,"&gt;0")*($Y15-1),INDIRECT(ADDRESS(85,22+MATCH('I.A. + Fasce'!$P$27,'I.A. + Fasce'!$W$84:$AA$84,0),1,1,"I.A. + Fasce") &amp; ":" &amp; ADDRESS(305,22+MATCH('I.A. + Fasce'!$P$27,'I.A. + Fasce'!$W$84:$AA$84,0),1,1)),0)),"")</f>
        <v>FAZIO</v>
      </c>
      <c r="N15" s="28" t="str">
        <f ca="1">IF(ISNUMBER(N$3),INDIRECT("'I.A. + Fasce'!B" &amp; 84 + MATCH(N$3+COUNTIF($M$3:$X$3,"&gt;0")*($Y15-1),INDIRECT(ADDRESS(85,22+MATCH('I.A. + Fasce'!$P$27,'I.A. + Fasce'!$W$84:$AA$84,0),1,1,"I.A. + Fasce") &amp; ":" &amp; ADDRESS(305,22+MATCH('I.A. + Fasce'!$P$27,'I.A. + Fasce'!$W$84:$AA$84,0),1,1)),0)),"")</f>
        <v>DI CHIARA</v>
      </c>
      <c r="O15" s="28" t="str">
        <f ca="1">IF(ISNUMBER(O$3),INDIRECT("'I.A. + Fasce'!B" &amp; 84 + MATCH(O$3+COUNTIF($M$3:$X$3,"&gt;0")*($Y15-1),INDIRECT(ADDRESS(85,22+MATCH('I.A. + Fasce'!$P$27,'I.A. + Fasce'!$W$84:$AA$84,0),1,1,"I.A. + Fasce") &amp; ":" &amp; ADDRESS(305,22+MATCH('I.A. + Fasce'!$P$27,'I.A. + Fasce'!$W$84:$AA$84,0),1,1)),0)),"")</f>
        <v>DANILO</v>
      </c>
      <c r="P15" s="28" t="str">
        <f ca="1">IF(ISNUMBER(P$3),INDIRECT("'I.A. + Fasce'!B" &amp; 84 + MATCH(P$3+COUNTIF($M$3:$X$3,"&gt;0")*($Y15-1),INDIRECT(ADDRESS(85,22+MATCH('I.A. + Fasce'!$P$27,'I.A. + Fasce'!$W$84:$AA$84,0),1,1,"I.A. + Fasce") &amp; ":" &amp; ADDRESS(305,22+MATCH('I.A. + Fasce'!$P$27,'I.A. + Fasce'!$W$84:$AA$84,0),1,1)),0)),"")</f>
        <v>DALBERT</v>
      </c>
      <c r="Q15" s="28" t="str">
        <f ca="1">IF(ISNUMBER(Q$3),INDIRECT("'I.A. + Fasce'!B" &amp; 84 + MATCH(Q$3+COUNTIF($M$3:$X$3,"&gt;0")*($Y15-1),INDIRECT(ADDRESS(85,22+MATCH('I.A. + Fasce'!$P$27,'I.A. + Fasce'!$W$84:$AA$84,0),1,1,"I.A. + Fasce") &amp; ":" &amp; ADDRESS(305,22+MATCH('I.A. + Fasce'!$P$27,'I.A. + Fasce'!$W$84:$AA$84,0),1,1)),0)),"")</f>
        <v>CANCELO</v>
      </c>
      <c r="R15" s="28" t="str">
        <f ca="1">IF(ISNUMBER(R$3),INDIRECT("'I.A. + Fasce'!B" &amp; 84 + MATCH(R$3+COUNTIF($M$3:$X$3,"&gt;0")*($Y15-1),INDIRECT(ADDRESS(85,22+MATCH('I.A. + Fasce'!$P$27,'I.A. + Fasce'!$W$84:$AA$84,0),1,1,"I.A. + Fasce") &amp; ":" &amp; ADDRESS(305,22+MATCH('I.A. + Fasce'!$P$27,'I.A. + Fasce'!$W$84:$AA$84,0),1,1)),0)),"")</f>
        <v>BIRAGHI</v>
      </c>
      <c r="S15" s="28" t="str">
        <f ca="1">IF(ISNUMBER(S$3),INDIRECT("'I.A. + Fasce'!B" &amp; 84 + MATCH(S$3+COUNTIF($M$3:$X$3,"&gt;0")*($Y15-1),INDIRECT(ADDRESS(85,22+MATCH('I.A. + Fasce'!$P$27,'I.A. + Fasce'!$W$84:$AA$84,0),1,1,"I.A. + Fasce") &amp; ":" &amp; ADDRESS(305,22+MATCH('I.A. + Fasce'!$P$27,'I.A. + Fasce'!$W$84:$AA$84,0),1,1)),0)),"")</f>
        <v>BARZAGLI</v>
      </c>
      <c r="T15" s="28" t="str">
        <f ca="1">IF(ISNUMBER(T$3),INDIRECT("'I.A. + Fasce'!B" &amp; 84 + MATCH(T$3+COUNTIF($M$3:$X$3,"&gt;0")*($Y15-1),INDIRECT(ADDRESS(85,22+MATCH('I.A. + Fasce'!$P$27,'I.A. + Fasce'!$W$84:$AA$84,0),1,1,"I.A. + Fasce") &amp; ":" &amp; ADDRESS(305,22+MATCH('I.A. + Fasce'!$P$27,'I.A. + Fasce'!$W$84:$AA$84,0),1,1)),0)),"")</f>
        <v>ASTORI</v>
      </c>
      <c r="U15" s="28" t="str">
        <f ca="1">IF(ISNUMBER(U$3),INDIRECT("'I.A. + Fasce'!B" &amp; 84 + MATCH(U$3+COUNTIF($M$3:$X$3,"&gt;0")*($Y15-1),INDIRECT(ADDRESS(85,22+MATCH('I.A. + Fasce'!$P$27,'I.A. + Fasce'!$W$84:$AA$84,0),1,1,"I.A. + Fasce") &amp; ":" &amp; ADDRESS(305,22+MATCH('I.A. + Fasce'!$P$27,'I.A. + Fasce'!$W$84:$AA$84,0),1,1)),0)),"")</f>
        <v/>
      </c>
      <c r="V15" s="28" t="str">
        <f ca="1">IF(ISNUMBER(V$3),INDIRECT("'I.A. + Fasce'!B" &amp; 84 + MATCH(V$3+COUNTIF($M$3:$X$3,"&gt;0")*($Y15-1),INDIRECT(ADDRESS(85,22+MATCH('I.A. + Fasce'!$P$27,'I.A. + Fasce'!$W$84:$AA$84,0),1,1,"I.A. + Fasce") &amp; ":" &amp; ADDRESS(305,22+MATCH('I.A. + Fasce'!$P$27,'I.A. + Fasce'!$W$84:$AA$84,0),1,1)),0)),"")</f>
        <v/>
      </c>
      <c r="W15" s="28" t="str">
        <f ca="1">IF(ISNUMBER(W$3),INDIRECT("'I.A. + Fasce'!B" &amp; 84 + MATCH(W$3+COUNTIF($M$3:$X$3,"&gt;0")*($Y15-1),INDIRECT(ADDRESS(85,22+MATCH('I.A. + Fasce'!$P$27,'I.A. + Fasce'!$W$84:$AA$84,0),1,1,"I.A. + Fasce") &amp; ":" &amp; ADDRESS(305,22+MATCH('I.A. + Fasce'!$P$27,'I.A. + Fasce'!$W$84:$AA$84,0),1,1)),0)),"")</f>
        <v/>
      </c>
      <c r="X15" s="28" t="str">
        <f ca="1">IF(ISNUMBER(X$3),INDIRECT("'I.A. + Fasce'!B" &amp; 84 + MATCH(X$3+COUNTIF($M$3:$X$3,"&gt;0")*($Y15-1),INDIRECT(ADDRESS(85,22+MATCH('I.A. + Fasce'!$P$27,'I.A. + Fasce'!$W$84:$AA$84,0),1,1,"I.A. + Fasce") &amp; ":" &amp; ADDRESS(305,22+MATCH('I.A. + Fasce'!$P$27,'I.A. + Fasce'!$W$84:$AA$84,0),1,1)),0)),"")</f>
        <v/>
      </c>
      <c r="Y15" s="27">
        <v>6</v>
      </c>
      <c r="AG15" s="35" t="str">
        <f ca="1">Rose!K6</f>
        <v/>
      </c>
      <c r="AH15" s="35" t="str">
        <f ca="1">Rose!E14</f>
        <v/>
      </c>
      <c r="AI15" s="35" t="str">
        <f ca="1">Rose!E30</f>
        <v/>
      </c>
      <c r="AJ15" s="35" t="str">
        <f ca="1">Rose!E48</f>
        <v/>
      </c>
      <c r="AK15" s="35"/>
    </row>
    <row r="16" spans="1:37">
      <c r="A16" s="30" t="str">
        <f>IF(Asta!$AC$3&lt;Y16,"","D")</f>
        <v>D</v>
      </c>
      <c r="B16" s="31" t="str">
        <f ca="1">INDIRECT(ADDRESS(ROW()+4,MATCH(Asta!$D$3,Rose!$A$3:$AJ$3,0)+1,1,1,"Rose"))</f>
        <v/>
      </c>
      <c r="C16" s="38">
        <f ca="1">IF(ISNA(VLOOKUP(B16,Giocatori!$B$9:$C$545,2,FALSE)),ROW(),VLOOKUP(B16,Giocatori!$B$9:$C$545,2,FALSE))</f>
        <v>16</v>
      </c>
      <c r="D16" s="31" t="str">
        <f ca="1">INDIRECT(ADDRESS(ROW()+4,MATCH(Asta!$D$3,Rose!$A$3:$AJ$3,0)+2,1,1,"Rose"))</f>
        <v/>
      </c>
      <c r="E16" s="32">
        <v>1</v>
      </c>
      <c r="F16" s="33">
        <f t="shared" si="3"/>
        <v>0.2857142857142857</v>
      </c>
      <c r="G16" s="32">
        <f t="shared" ca="1" si="9"/>
        <v>0</v>
      </c>
      <c r="H16" s="34" t="str">
        <f t="shared" ca="1" si="4"/>
        <v>ANDREOLLI</v>
      </c>
      <c r="I16" s="34" t="str">
        <f t="shared" ca="1" si="5"/>
        <v>ZUKANOVIC</v>
      </c>
      <c r="J16" s="34" t="str">
        <f t="shared" ca="1" si="6"/>
        <v>SKRINIAR</v>
      </c>
      <c r="K16" s="34" t="str">
        <f t="shared" ca="1" si="7"/>
        <v>ROSSETTINI</v>
      </c>
      <c r="L16" s="34" t="str">
        <f t="shared" ca="1" si="8"/>
        <v>HEURTAUX</v>
      </c>
      <c r="M16" s="28" t="str">
        <f ca="1">IF(ISNUMBER(M$3),INDIRECT("'I.A. + Fasce'!B" &amp; 84 + MATCH(M$3+COUNTIF($M$3:$X$3,"&gt;0")*($Y16-1),INDIRECT(ADDRESS(85,22+MATCH('I.A. + Fasce'!$P$27,'I.A. + Fasce'!$W$84:$AA$84,0),1,1,"I.A. + Fasce") &amp; ":" &amp; ADDRESS(305,22+MATCH('I.A. + Fasce'!$P$27,'I.A. + Fasce'!$W$84:$AA$84,0),1,1)),0)),"")</f>
        <v>ANDREOLLI</v>
      </c>
      <c r="N16" s="28" t="str">
        <f ca="1">IF(ISNUMBER(N$3),INDIRECT("'I.A. + Fasce'!B" &amp; 84 + MATCH(N$3+COUNTIF($M$3:$X$3,"&gt;0")*($Y16-1),INDIRECT(ADDRESS(85,22+MATCH('I.A. + Fasce'!$P$27,'I.A. + Fasce'!$W$84:$AA$84,0),1,1,"I.A. + Fasce") &amp; ":" &amp; ADDRESS(305,22+MATCH('I.A. + Fasce'!$P$27,'I.A. + Fasce'!$W$84:$AA$84,0),1,1)),0)),"")</f>
        <v>ZUKANOVIC</v>
      </c>
      <c r="O16" s="28" t="str">
        <f ca="1">IF(ISNUMBER(O$3),INDIRECT("'I.A. + Fasce'!B" &amp; 84 + MATCH(O$3+COUNTIF($M$3:$X$3,"&gt;0")*($Y16-1),INDIRECT(ADDRESS(85,22+MATCH('I.A. + Fasce'!$P$27,'I.A. + Fasce'!$W$84:$AA$84,0),1,1,"I.A. + Fasce") &amp; ":" &amp; ADDRESS(305,22+MATCH('I.A. + Fasce'!$P$27,'I.A. + Fasce'!$W$84:$AA$84,0),1,1)),0)),"")</f>
        <v>SKRINIAR</v>
      </c>
      <c r="P16" s="28" t="str">
        <f ca="1">IF(ISNUMBER(P$3),INDIRECT("'I.A. + Fasce'!B" &amp; 84 + MATCH(P$3+COUNTIF($M$3:$X$3,"&gt;0")*($Y16-1),INDIRECT(ADDRESS(85,22+MATCH('I.A. + Fasce'!$P$27,'I.A. + Fasce'!$W$84:$AA$84,0),1,1,"I.A. + Fasce") &amp; ":" &amp; ADDRESS(305,22+MATCH('I.A. + Fasce'!$P$27,'I.A. + Fasce'!$W$84:$AA$84,0),1,1)),0)),"")</f>
        <v>ROSSETTINI</v>
      </c>
      <c r="Q16" s="28" t="str">
        <f ca="1">IF(ISNUMBER(Q$3),INDIRECT("'I.A. + Fasce'!B" &amp; 84 + MATCH(Q$3+COUNTIF($M$3:$X$3,"&gt;0")*($Y16-1),INDIRECT(ADDRESS(85,22+MATCH('I.A. + Fasce'!$P$27,'I.A. + Fasce'!$W$84:$AA$84,0),1,1,"I.A. + Fasce") &amp; ":" &amp; ADDRESS(305,22+MATCH('I.A. + Fasce'!$P$27,'I.A. + Fasce'!$W$84:$AA$84,0),1,1)),0)),"")</f>
        <v>HEURTAUX</v>
      </c>
      <c r="R16" s="28" t="str">
        <f ca="1">IF(ISNUMBER(R$3),INDIRECT("'I.A. + Fasce'!B" &amp; 84 + MATCH(R$3+COUNTIF($M$3:$X$3,"&gt;0")*($Y16-1),INDIRECT(ADDRESS(85,22+MATCH('I.A. + Fasce'!$P$27,'I.A. + Fasce'!$W$84:$AA$84,0),1,1,"I.A. + Fasce") &amp; ":" &amp; ADDRESS(305,22+MATCH('I.A. + Fasce'!$P$27,'I.A. + Fasce'!$W$84:$AA$84,0),1,1)),0)),"")</f>
        <v>FERRARI G</v>
      </c>
      <c r="S16" s="28" t="str">
        <f ca="1">IF(ISNUMBER(S$3),INDIRECT("'I.A. + Fasce'!B" &amp; 84 + MATCH(S$3+COUNTIF($M$3:$X$3,"&gt;0")*($Y16-1),INDIRECT(ADDRESS(85,22+MATCH('I.A. + Fasce'!$P$27,'I.A. + Fasce'!$W$84:$AA$84,0),1,1,"I.A. + Fasce") &amp; ":" &amp; ADDRESS(305,22+MATCH('I.A. + Fasce'!$P$27,'I.A. + Fasce'!$W$84:$AA$84,0),1,1)),0)),"")</f>
        <v>D'AMBROSIO</v>
      </c>
      <c r="T16" s="28" t="str">
        <f ca="1">IF(ISNUMBER(T$3),INDIRECT("'I.A. + Fasce'!B" &amp; 84 + MATCH(T$3+COUNTIF($M$3:$X$3,"&gt;0")*($Y16-1),INDIRECT(ADDRESS(85,22+MATCH('I.A. + Fasce'!$P$27,'I.A. + Fasce'!$W$84:$AA$84,0),1,1,"I.A. + Fasce") &amp; ":" &amp; ADDRESS(305,22+MATCH('I.A. + Fasce'!$P$27,'I.A. + Fasce'!$W$84:$AA$84,0),1,1)),0)),"")</f>
        <v>COSTA F</v>
      </c>
      <c r="U16" s="28" t="str">
        <f ca="1">IF(ISNUMBER(U$3),INDIRECT("'I.A. + Fasce'!B" &amp; 84 + MATCH(U$3+COUNTIF($M$3:$X$3,"&gt;0")*($Y16-1),INDIRECT(ADDRESS(85,22+MATCH('I.A. + Fasce'!$P$27,'I.A. + Fasce'!$W$84:$AA$84,0),1,1,"I.A. + Fasce") &amp; ":" &amp; ADDRESS(305,22+MATCH('I.A. + Fasce'!$P$27,'I.A. + Fasce'!$W$84:$AA$84,0),1,1)),0)),"")</f>
        <v/>
      </c>
      <c r="V16" s="28" t="str">
        <f ca="1">IF(ISNUMBER(V$3),INDIRECT("'I.A. + Fasce'!B" &amp; 84 + MATCH(V$3+COUNTIF($M$3:$X$3,"&gt;0")*($Y16-1),INDIRECT(ADDRESS(85,22+MATCH('I.A. + Fasce'!$P$27,'I.A. + Fasce'!$W$84:$AA$84,0),1,1,"I.A. + Fasce") &amp; ":" &amp; ADDRESS(305,22+MATCH('I.A. + Fasce'!$P$27,'I.A. + Fasce'!$W$84:$AA$84,0),1,1)),0)),"")</f>
        <v/>
      </c>
      <c r="W16" s="28" t="str">
        <f ca="1">IF(ISNUMBER(W$3),INDIRECT("'I.A. + Fasce'!B" &amp; 84 + MATCH(W$3+COUNTIF($M$3:$X$3,"&gt;0")*($Y16-1),INDIRECT(ADDRESS(85,22+MATCH('I.A. + Fasce'!$P$27,'I.A. + Fasce'!$W$84:$AA$84,0),1,1,"I.A. + Fasce") &amp; ":" &amp; ADDRESS(305,22+MATCH('I.A. + Fasce'!$P$27,'I.A. + Fasce'!$W$84:$AA$84,0),1,1)),0)),"")</f>
        <v/>
      </c>
      <c r="X16" s="28" t="str">
        <f ca="1">IF(ISNUMBER(X$3),INDIRECT("'I.A. + Fasce'!B" &amp; 84 + MATCH(X$3+COUNTIF($M$3:$X$3,"&gt;0")*($Y16-1),INDIRECT(ADDRESS(85,22+MATCH('I.A. + Fasce'!$P$27,'I.A. + Fasce'!$W$84:$AA$84,0),1,1,"I.A. + Fasce") &amp; ":" &amp; ADDRESS(305,22+MATCH('I.A. + Fasce'!$P$27,'I.A. + Fasce'!$W$84:$AA$84,0),1,1)),0)),"")</f>
        <v/>
      </c>
      <c r="Y16" s="27">
        <v>7</v>
      </c>
      <c r="AG16" s="35" t="str">
        <f ca="1">Rose!K7</f>
        <v/>
      </c>
      <c r="AH16" s="35" t="str">
        <f ca="1">Rose!E15</f>
        <v/>
      </c>
      <c r="AI16" s="35" t="str">
        <f ca="1">Rose!E31</f>
        <v/>
      </c>
      <c r="AJ16" s="35" t="str">
        <f ca="1">Rose!E49</f>
        <v/>
      </c>
      <c r="AK16" s="35"/>
    </row>
    <row r="17" spans="1:37">
      <c r="A17" s="30" t="str">
        <f>IF(Asta!$AC$3&lt;Y17,"","D")</f>
        <v>D</v>
      </c>
      <c r="B17" s="31" t="str">
        <f ca="1">INDIRECT(ADDRESS(ROW()+4,MATCH(Asta!$D$3,Rose!$A$3:$AJ$3,0)+1,1,1,"Rose"))</f>
        <v/>
      </c>
      <c r="C17" s="38">
        <f ca="1">IF(ISNA(VLOOKUP(B17,Giocatori!$B$9:$C$545,2,FALSE)),ROW(),VLOOKUP(B17,Giocatori!$B$9:$C$545,2,FALSE))</f>
        <v>17</v>
      </c>
      <c r="D17" s="31" t="str">
        <f ca="1">INDIRECT(ADDRESS(ROW()+4,MATCH(Asta!$D$3,Rose!$A$3:$AJ$3,0)+2,1,1,"Rose"))</f>
        <v/>
      </c>
      <c r="E17" s="32">
        <v>1</v>
      </c>
      <c r="F17" s="33">
        <f t="shared" si="3"/>
        <v>0.2857142857142857</v>
      </c>
      <c r="G17" s="32">
        <f t="shared" ca="1" si="9"/>
        <v>0</v>
      </c>
      <c r="H17" s="34" t="str">
        <f t="shared" ca="1" si="4"/>
        <v>CASTAGNE</v>
      </c>
      <c r="I17" s="34" t="str">
        <f t="shared" ca="1" si="5"/>
        <v>VITOR HUGO</v>
      </c>
      <c r="J17" s="34" t="str">
        <f t="shared" ca="1" si="6"/>
        <v>VENUTI</v>
      </c>
      <c r="K17" s="34" t="str">
        <f t="shared" ca="1" si="7"/>
        <v>PISACANE</v>
      </c>
      <c r="L17" s="34" t="str">
        <f t="shared" ca="1" si="8"/>
        <v>PALOMINO</v>
      </c>
      <c r="M17" s="28" t="str">
        <f ca="1">IF(ISNUMBER(M$3),INDIRECT("'I.A. + Fasce'!B" &amp; 84 + MATCH(M$3+COUNTIF($M$3:$X$3,"&gt;0")*($Y17-1),INDIRECT(ADDRESS(85,22+MATCH('I.A. + Fasce'!$P$27,'I.A. + Fasce'!$W$84:$AA$84,0),1,1,"I.A. + Fasce") &amp; ":" &amp; ADDRESS(305,22+MATCH('I.A. + Fasce'!$P$27,'I.A. + Fasce'!$W$84:$AA$84,0),1,1)),0)),"")</f>
        <v>CASTAGNE</v>
      </c>
      <c r="N17" s="28" t="str">
        <f ca="1">IF(ISNUMBER(N$3),INDIRECT("'I.A. + Fasce'!B" &amp; 84 + MATCH(N$3+COUNTIF($M$3:$X$3,"&gt;0")*($Y17-1),INDIRECT(ADDRESS(85,22+MATCH('I.A. + Fasce'!$P$27,'I.A. + Fasce'!$W$84:$AA$84,0),1,1,"I.A. + Fasce") &amp; ":" &amp; ADDRESS(305,22+MATCH('I.A. + Fasce'!$P$27,'I.A. + Fasce'!$W$84:$AA$84,0),1,1)),0)),"")</f>
        <v>VITOR HUGO</v>
      </c>
      <c r="O17" s="28" t="str">
        <f ca="1">IF(ISNUMBER(O$3),INDIRECT("'I.A. + Fasce'!B" &amp; 84 + MATCH(O$3+COUNTIF($M$3:$X$3,"&gt;0")*($Y17-1),INDIRECT(ADDRESS(85,22+MATCH('I.A. + Fasce'!$P$27,'I.A. + Fasce'!$W$84:$AA$84,0),1,1,"I.A. + Fasce") &amp; ":" &amp; ADDRESS(305,22+MATCH('I.A. + Fasce'!$P$27,'I.A. + Fasce'!$W$84:$AA$84,0),1,1)),0)),"")</f>
        <v>VENUTI</v>
      </c>
      <c r="P17" s="28" t="str">
        <f ca="1">IF(ISNUMBER(P$3),INDIRECT("'I.A. + Fasce'!B" &amp; 84 + MATCH(P$3+COUNTIF($M$3:$X$3,"&gt;0")*($Y17-1),INDIRECT(ADDRESS(85,22+MATCH('I.A. + Fasce'!$P$27,'I.A. + Fasce'!$W$84:$AA$84,0),1,1,"I.A. + Fasce") &amp; ":" &amp; ADDRESS(305,22+MATCH('I.A. + Fasce'!$P$27,'I.A. + Fasce'!$W$84:$AA$84,0),1,1)),0)),"")</f>
        <v>PISACANE</v>
      </c>
      <c r="Q17" s="28" t="str">
        <f ca="1">IF(ISNUMBER(Q$3),INDIRECT("'I.A. + Fasce'!B" &amp; 84 + MATCH(Q$3+COUNTIF($M$3:$X$3,"&gt;0")*($Y17-1),INDIRECT(ADDRESS(85,22+MATCH('I.A. + Fasce'!$P$27,'I.A. + Fasce'!$W$84:$AA$84,0),1,1,"I.A. + Fasce") &amp; ":" &amp; ADDRESS(305,22+MATCH('I.A. + Fasce'!$P$27,'I.A. + Fasce'!$W$84:$AA$84,0),1,1)),0)),"")</f>
        <v>PALOMINO</v>
      </c>
      <c r="R17" s="28" t="str">
        <f ca="1">IF(ISNUMBER(R$3),INDIRECT("'I.A. + Fasce'!B" &amp; 84 + MATCH(R$3+COUNTIF($M$3:$X$3,"&gt;0")*($Y17-1),INDIRECT(ADDRESS(85,22+MATCH('I.A. + Fasce'!$P$27,'I.A. + Fasce'!$W$84:$AA$84,0),1,1,"I.A. + Fasce") &amp; ":" &amp; ADDRESS(305,22+MATCH('I.A. + Fasce'!$P$27,'I.A. + Fasce'!$W$84:$AA$84,0),1,1)),0)),"")</f>
        <v>MARUSIC</v>
      </c>
      <c r="S17" s="28" t="str">
        <f ca="1">IF(ISNUMBER(S$3),INDIRECT("'I.A. + Fasce'!B" &amp; 84 + MATCH(S$3+COUNTIF($M$3:$X$3,"&gt;0")*($Y17-1),INDIRECT(ADDRESS(85,22+MATCH('I.A. + Fasce'!$P$27,'I.A. + Fasce'!$W$84:$AA$84,0),1,1,"I.A. + Fasce") &amp; ":" &amp; ADDRESS(305,22+MATCH('I.A. + Fasce'!$P$27,'I.A. + Fasce'!$W$84:$AA$84,0),1,1)),0)),"")</f>
        <v>MARTELLA</v>
      </c>
      <c r="T17" s="28" t="str">
        <f ca="1">IF(ISNUMBER(T$3),INDIRECT("'I.A. + Fasce'!B" &amp; 84 + MATCH(T$3+COUNTIF($M$3:$X$3,"&gt;0")*($Y17-1),INDIRECT(ADDRESS(85,22+MATCH('I.A. + Fasce'!$P$27,'I.A. + Fasce'!$W$84:$AA$84,0),1,1,"I.A. + Fasce") &amp; ":" &amp; ADDRESS(305,22+MATCH('I.A. + Fasce'!$P$27,'I.A. + Fasce'!$W$84:$AA$84,0),1,1)),0)),"")</f>
        <v>MARIO RUI</v>
      </c>
      <c r="U17" s="28" t="str">
        <f ca="1">IF(ISNUMBER(U$3),INDIRECT("'I.A. + Fasce'!B" &amp; 84 + MATCH(U$3+COUNTIF($M$3:$X$3,"&gt;0")*($Y17-1),INDIRECT(ADDRESS(85,22+MATCH('I.A. + Fasce'!$P$27,'I.A. + Fasce'!$W$84:$AA$84,0),1,1,"I.A. + Fasce") &amp; ":" &amp; ADDRESS(305,22+MATCH('I.A. + Fasce'!$P$27,'I.A. + Fasce'!$W$84:$AA$84,0),1,1)),0)),"")</f>
        <v/>
      </c>
      <c r="V17" s="28" t="str">
        <f ca="1">IF(ISNUMBER(V$3),INDIRECT("'I.A. + Fasce'!B" &amp; 84 + MATCH(V$3+COUNTIF($M$3:$X$3,"&gt;0")*($Y17-1),INDIRECT(ADDRESS(85,22+MATCH('I.A. + Fasce'!$P$27,'I.A. + Fasce'!$W$84:$AA$84,0),1,1,"I.A. + Fasce") &amp; ":" &amp; ADDRESS(305,22+MATCH('I.A. + Fasce'!$P$27,'I.A. + Fasce'!$W$84:$AA$84,0),1,1)),0)),"")</f>
        <v/>
      </c>
      <c r="W17" s="28" t="str">
        <f ca="1">IF(ISNUMBER(W$3),INDIRECT("'I.A. + Fasce'!B" &amp; 84 + MATCH(W$3+COUNTIF($M$3:$X$3,"&gt;0")*($Y17-1),INDIRECT(ADDRESS(85,22+MATCH('I.A. + Fasce'!$P$27,'I.A. + Fasce'!$W$84:$AA$84,0),1,1,"I.A. + Fasce") &amp; ":" &amp; ADDRESS(305,22+MATCH('I.A. + Fasce'!$P$27,'I.A. + Fasce'!$W$84:$AA$84,0),1,1)),0)),"")</f>
        <v/>
      </c>
      <c r="X17" s="28" t="str">
        <f ca="1">IF(ISNUMBER(X$3),INDIRECT("'I.A. + Fasce'!B" &amp; 84 + MATCH(X$3+COUNTIF($M$3:$X$3,"&gt;0")*($Y17-1),INDIRECT(ADDRESS(85,22+MATCH('I.A. + Fasce'!$P$27,'I.A. + Fasce'!$W$84:$AA$84,0),1,1,"I.A. + Fasce") &amp; ":" &amp; ADDRESS(305,22+MATCH('I.A. + Fasce'!$P$27,'I.A. + Fasce'!$W$84:$AA$84,0),1,1)),0)),"")</f>
        <v/>
      </c>
      <c r="Y17" s="27">
        <v>8</v>
      </c>
      <c r="AG17" s="35" t="str">
        <f ca="1">Rose!N5</f>
        <v/>
      </c>
      <c r="AH17" s="35" t="str">
        <f ca="1">Rose!E16</f>
        <v/>
      </c>
      <c r="AI17" s="35" t="str">
        <f ca="1">Rose!E32</f>
        <v/>
      </c>
      <c r="AJ17" s="35" t="str">
        <f ca="1">Rose!E50</f>
        <v/>
      </c>
      <c r="AK17" s="35"/>
    </row>
    <row r="18" spans="1:37">
      <c r="A18" s="30" t="str">
        <f>IF(Asta!$AC$3&lt;Y18,"","D")</f>
        <v/>
      </c>
      <c r="B18" s="31" t="str">
        <f ca="1">INDIRECT(ADDRESS(ROW()+4,MATCH(Asta!$D$3,Rose!$A$3:$AJ$3,0)+1,1,1,"Rose"))</f>
        <v/>
      </c>
      <c r="C18" s="38">
        <f ca="1">IF(ISNA(VLOOKUP(B18,Giocatori!$B$9:$C$545,2,FALSE)),ROW(),VLOOKUP(B18,Giocatori!$B$9:$C$545,2,FALSE))</f>
        <v>18</v>
      </c>
      <c r="D18" s="31" t="str">
        <f ca="1">INDIRECT(ADDRESS(ROW()+4,MATCH(Asta!$D$3,Rose!$A$3:$AJ$3,0)+2,1,1,"Rose"))</f>
        <v/>
      </c>
      <c r="E18" s="32">
        <v>1</v>
      </c>
      <c r="F18" s="33">
        <f t="shared" si="3"/>
        <v>0.2857142857142857</v>
      </c>
      <c r="G18" s="32">
        <f t="shared" ca="1" si="9"/>
        <v>0</v>
      </c>
      <c r="H18" s="34" t="str">
        <f t="shared" ca="1" si="4"/>
        <v>LYANCO</v>
      </c>
      <c r="I18" s="34" t="str">
        <f t="shared" ca="1" si="5"/>
        <v>GOSENS</v>
      </c>
      <c r="J18" s="34" t="str">
        <f t="shared" ca="1" si="6"/>
        <v>GONZALEZ G</v>
      </c>
      <c r="K18" s="34" t="str">
        <f t="shared" ca="1" si="7"/>
        <v>BRUNO PERES</v>
      </c>
      <c r="L18" s="34" t="str">
        <f t="shared" ca="1" si="8"/>
        <v>BIRASCHI</v>
      </c>
      <c r="M18" s="28" t="str">
        <f ca="1">IF(ISNUMBER(M$3),INDIRECT("'I.A. + Fasce'!B" &amp; 84 + MATCH(M$3+COUNTIF($M$3:$X$3,"&gt;0")*($Y18-1),INDIRECT(ADDRESS(85,22+MATCH('I.A. + Fasce'!$P$27,'I.A. + Fasce'!$W$84:$AA$84,0),1,1,"I.A. + Fasce") &amp; ":" &amp; ADDRESS(305,22+MATCH('I.A. + Fasce'!$P$27,'I.A. + Fasce'!$W$84:$AA$84,0),1,1)),0)),"")</f>
        <v>LYANCO</v>
      </c>
      <c r="N18" s="28" t="str">
        <f ca="1">IF(ISNUMBER(N$3),INDIRECT("'I.A. + Fasce'!B" &amp; 84 + MATCH(N$3+COUNTIF($M$3:$X$3,"&gt;0")*($Y18-1),INDIRECT(ADDRESS(85,22+MATCH('I.A. + Fasce'!$P$27,'I.A. + Fasce'!$W$84:$AA$84,0),1,1,"I.A. + Fasce") &amp; ":" &amp; ADDRESS(305,22+MATCH('I.A. + Fasce'!$P$27,'I.A. + Fasce'!$W$84:$AA$84,0),1,1)),0)),"")</f>
        <v>GOSENS</v>
      </c>
      <c r="O18" s="28" t="str">
        <f ca="1">IF(ISNUMBER(O$3),INDIRECT("'I.A. + Fasce'!B" &amp; 84 + MATCH(O$3+COUNTIF($M$3:$X$3,"&gt;0")*($Y18-1),INDIRECT(ADDRESS(85,22+MATCH('I.A. + Fasce'!$P$27,'I.A. + Fasce'!$W$84:$AA$84,0),1,1,"I.A. + Fasce") &amp; ":" &amp; ADDRESS(305,22+MATCH('I.A. + Fasce'!$P$27,'I.A. + Fasce'!$W$84:$AA$84,0),1,1)),0)),"")</f>
        <v>GONZALEZ G</v>
      </c>
      <c r="P18" s="28" t="str">
        <f ca="1">IF(ISNUMBER(P$3),INDIRECT("'I.A. + Fasce'!B" &amp; 84 + MATCH(P$3+COUNTIF($M$3:$X$3,"&gt;0")*($Y18-1),INDIRECT(ADDRESS(85,22+MATCH('I.A. + Fasce'!$P$27,'I.A. + Fasce'!$W$84:$AA$84,0),1,1,"I.A. + Fasce") &amp; ":" &amp; ADDRESS(305,22+MATCH('I.A. + Fasce'!$P$27,'I.A. + Fasce'!$W$84:$AA$84,0),1,1)),0)),"")</f>
        <v>BRUNO PERES</v>
      </c>
      <c r="Q18" s="28" t="str">
        <f ca="1">IF(ISNUMBER(Q$3),INDIRECT("'I.A. + Fasce'!B" &amp; 84 + MATCH(Q$3+COUNTIF($M$3:$X$3,"&gt;0")*($Y18-1),INDIRECT(ADDRESS(85,22+MATCH('I.A. + Fasce'!$P$27,'I.A. + Fasce'!$W$84:$AA$84,0),1,1,"I.A. + Fasce") &amp; ":" &amp; ADDRESS(305,22+MATCH('I.A. + Fasce'!$P$27,'I.A. + Fasce'!$W$84:$AA$84,0),1,1)),0)),"")</f>
        <v>BIRASCHI</v>
      </c>
      <c r="R18" s="28" t="str">
        <f ca="1">IF(ISNUMBER(R$3),INDIRECT("'I.A. + Fasce'!B" &amp; 84 + MATCH(R$3+COUNTIF($M$3:$X$3,"&gt;0")*($Y18-1),INDIRECT(ADDRESS(85,22+MATCH('I.A. + Fasce'!$P$27,'I.A. + Fasce'!$W$84:$AA$84,0),1,1,"I.A. + Fasce") &amp; ":" &amp; ADDRESS(305,22+MATCH('I.A. + Fasce'!$P$27,'I.A. + Fasce'!$W$84:$AA$84,0),1,1)),0)),"")</f>
        <v>BASTA</v>
      </c>
      <c r="S18" s="28" t="str">
        <f ca="1">IF(ISNUMBER(S$3),INDIRECT("'I.A. + Fasce'!B" &amp; 84 + MATCH(S$3+COUNTIF($M$3:$X$3,"&gt;0")*($Y18-1),INDIRECT(ADDRESS(85,22+MATCH('I.A. + Fasce'!$P$27,'I.A. + Fasce'!$W$84:$AA$84,0),1,1,"I.A. + Fasce") &amp; ":" &amp; ADDRESS(305,22+MATCH('I.A. + Fasce'!$P$27,'I.A. + Fasce'!$W$84:$AA$84,0),1,1)),0)),"")</f>
        <v>OLIVERA M</v>
      </c>
      <c r="T18" s="28" t="str">
        <f ca="1">IF(ISNUMBER(T$3),INDIRECT("'I.A. + Fasce'!B" &amp; 84 + MATCH(T$3+COUNTIF($M$3:$X$3,"&gt;0")*($Y18-1),INDIRECT(ADDRESS(85,22+MATCH('I.A. + Fasce'!$P$27,'I.A. + Fasce'!$W$84:$AA$84,0),1,1,"I.A. + Fasce") &amp; ":" &amp; ADDRESS(305,22+MATCH('I.A. + Fasce'!$P$27,'I.A. + Fasce'!$W$84:$AA$84,0),1,1)),0)),"")</f>
        <v>OIKONOMOU</v>
      </c>
      <c r="U18" s="28" t="str">
        <f ca="1">IF(ISNUMBER(U$3),INDIRECT("'I.A. + Fasce'!B" &amp; 84 + MATCH(U$3+COUNTIF($M$3:$X$3,"&gt;0")*($Y18-1),INDIRECT(ADDRESS(85,22+MATCH('I.A. + Fasce'!$P$27,'I.A. + Fasce'!$W$84:$AA$84,0),1,1,"I.A. + Fasce") &amp; ":" &amp; ADDRESS(305,22+MATCH('I.A. + Fasce'!$P$27,'I.A. + Fasce'!$W$84:$AA$84,0),1,1)),0)),"")</f>
        <v/>
      </c>
      <c r="V18" s="28" t="str">
        <f ca="1">IF(ISNUMBER(V$3),INDIRECT("'I.A. + Fasce'!B" &amp; 84 + MATCH(V$3+COUNTIF($M$3:$X$3,"&gt;0")*($Y18-1),INDIRECT(ADDRESS(85,22+MATCH('I.A. + Fasce'!$P$27,'I.A. + Fasce'!$W$84:$AA$84,0),1,1,"I.A. + Fasce") &amp; ":" &amp; ADDRESS(305,22+MATCH('I.A. + Fasce'!$P$27,'I.A. + Fasce'!$W$84:$AA$84,0),1,1)),0)),"")</f>
        <v/>
      </c>
      <c r="W18" s="28" t="str">
        <f ca="1">IF(ISNUMBER(W$3),INDIRECT("'I.A. + Fasce'!B" &amp; 84 + MATCH(W$3+COUNTIF($M$3:$X$3,"&gt;0")*($Y18-1),INDIRECT(ADDRESS(85,22+MATCH('I.A. + Fasce'!$P$27,'I.A. + Fasce'!$W$84:$AA$84,0),1,1,"I.A. + Fasce") &amp; ":" &amp; ADDRESS(305,22+MATCH('I.A. + Fasce'!$P$27,'I.A. + Fasce'!$W$84:$AA$84,0),1,1)),0)),"")</f>
        <v/>
      </c>
      <c r="X18" s="28" t="str">
        <f ca="1">IF(ISNUMBER(X$3),INDIRECT("'I.A. + Fasce'!B" &amp; 84 + MATCH(X$3+COUNTIF($M$3:$X$3,"&gt;0")*($Y18-1),INDIRECT(ADDRESS(85,22+MATCH('I.A. + Fasce'!$P$27,'I.A. + Fasce'!$W$84:$AA$84,0),1,1,"I.A. + Fasce") &amp; ":" &amp; ADDRESS(305,22+MATCH('I.A. + Fasce'!$P$27,'I.A. + Fasce'!$W$84:$AA$84,0),1,1)),0)),"")</f>
        <v/>
      </c>
      <c r="Y18" s="27">
        <v>9</v>
      </c>
      <c r="AG18" s="35" t="str">
        <f ca="1">Rose!N6</f>
        <v/>
      </c>
      <c r="AH18" s="35" t="str">
        <f ca="1">Rose!E17</f>
        <v/>
      </c>
      <c r="AI18" s="35" t="str">
        <f ca="1">Rose!E33</f>
        <v/>
      </c>
      <c r="AJ18" s="35" t="str">
        <f ca="1">Rose!E51</f>
        <v/>
      </c>
      <c r="AK18" s="35"/>
    </row>
    <row r="19" spans="1:37">
      <c r="A19" s="30" t="str">
        <f>IF(Asta!$AC$3&lt;Y19,"","D")</f>
        <v/>
      </c>
      <c r="B19" s="31" t="str">
        <f ca="1">INDIRECT(ADDRESS(ROW()+4,MATCH(Asta!$D$3,Rose!$A$3:$AJ$3,0)+1,1,1,"Rose"))</f>
        <v/>
      </c>
      <c r="C19" s="38">
        <f ca="1">IF(ISNA(VLOOKUP(B19,Giocatori!$B$9:$C$545,2,FALSE)),ROW(),VLOOKUP(B19,Giocatori!$B$9:$C$545,2,FALSE))</f>
        <v>19</v>
      </c>
      <c r="D19" s="31" t="str">
        <f ca="1">INDIRECT(ADDRESS(ROW()+4,MATCH(Asta!$D$3,Rose!$A$3:$AJ$3,0)+2,1,1,"Rose"))</f>
        <v/>
      </c>
      <c r="E19" s="36">
        <v>1</v>
      </c>
      <c r="F19" s="33">
        <f t="shared" si="3"/>
        <v>0.2857142857142857</v>
      </c>
      <c r="G19" s="32">
        <f t="shared" ca="1" si="9"/>
        <v>0</v>
      </c>
      <c r="H19" s="34" t="str">
        <f t="shared" ca="1" si="4"/>
        <v>MORETTI</v>
      </c>
      <c r="I19" s="34" t="str">
        <f t="shared" ca="1" si="5"/>
        <v>MILENKOVIC</v>
      </c>
      <c r="J19" s="34" t="str">
        <f t="shared" ca="1" si="6"/>
        <v>MAKSIMOVIC</v>
      </c>
      <c r="K19" s="34" t="str">
        <f t="shared" ca="1" si="7"/>
        <v>LICHTSTEINER</v>
      </c>
      <c r="L19" s="34" t="str">
        <f t="shared" ca="1" si="8"/>
        <v>LAZAAR</v>
      </c>
      <c r="M19" s="28" t="str">
        <f ca="1">IF(ISNUMBER(M$3),INDIRECT("'I.A. + Fasce'!B" &amp; 84 + MATCH(M$3+COUNTIF($M$3:$X$3,"&gt;0")*($Y19-1),INDIRECT(ADDRESS(85,22+MATCH('I.A. + Fasce'!$P$27,'I.A. + Fasce'!$W$84:$AA$84,0),1,1,"I.A. + Fasce") &amp; ":" &amp; ADDRESS(305,22+MATCH('I.A. + Fasce'!$P$27,'I.A. + Fasce'!$W$84:$AA$84,0),1,1)),0)),"")</f>
        <v>MORETTI</v>
      </c>
      <c r="N19" s="28" t="str">
        <f ca="1">IF(ISNUMBER(N$3),INDIRECT("'I.A. + Fasce'!B" &amp; 84 + MATCH(N$3+COUNTIF($M$3:$X$3,"&gt;0")*($Y19-1),INDIRECT(ADDRESS(85,22+MATCH('I.A. + Fasce'!$P$27,'I.A. + Fasce'!$W$84:$AA$84,0),1,1,"I.A. + Fasce") &amp; ":" &amp; ADDRESS(305,22+MATCH('I.A. + Fasce'!$P$27,'I.A. + Fasce'!$W$84:$AA$84,0),1,1)),0)),"")</f>
        <v>MILENKOVIC</v>
      </c>
      <c r="O19" s="28" t="str">
        <f ca="1">IF(ISNUMBER(O$3),INDIRECT("'I.A. + Fasce'!B" &amp; 84 + MATCH(O$3+COUNTIF($M$3:$X$3,"&gt;0")*($Y19-1),INDIRECT(ADDRESS(85,22+MATCH('I.A. + Fasce'!$P$27,'I.A. + Fasce'!$W$84:$AA$84,0),1,1,"I.A. + Fasce") &amp; ":" &amp; ADDRESS(305,22+MATCH('I.A. + Fasce'!$P$27,'I.A. + Fasce'!$W$84:$AA$84,0),1,1)),0)),"")</f>
        <v>MAKSIMOVIC</v>
      </c>
      <c r="P19" s="28" t="str">
        <f ca="1">IF(ISNUMBER(P$3),INDIRECT("'I.A. + Fasce'!B" &amp; 84 + MATCH(P$3+COUNTIF($M$3:$X$3,"&gt;0")*($Y19-1),INDIRECT(ADDRESS(85,22+MATCH('I.A. + Fasce'!$P$27,'I.A. + Fasce'!$W$84:$AA$84,0),1,1,"I.A. + Fasce") &amp; ":" &amp; ADDRESS(305,22+MATCH('I.A. + Fasce'!$P$27,'I.A. + Fasce'!$W$84:$AA$84,0),1,1)),0)),"")</f>
        <v>LICHTSTEINER</v>
      </c>
      <c r="Q19" s="28" t="str">
        <f ca="1">IF(ISNUMBER(Q$3),INDIRECT("'I.A. + Fasce'!B" &amp; 84 + MATCH(Q$3+COUNTIF($M$3:$X$3,"&gt;0")*($Y19-1),INDIRECT(ADDRESS(85,22+MATCH('I.A. + Fasce'!$P$27,'I.A. + Fasce'!$W$84:$AA$84,0),1,1,"I.A. + Fasce") &amp; ":" &amp; ADDRESS(305,22+MATCH('I.A. + Fasce'!$P$27,'I.A. + Fasce'!$W$84:$AA$84,0),1,1)),0)),"")</f>
        <v>LAZAAR</v>
      </c>
      <c r="R19" s="28" t="str">
        <f ca="1">IF(ISNUMBER(R$3),INDIRECT("'I.A. + Fasce'!B" &amp; 84 + MATCH(R$3+COUNTIF($M$3:$X$3,"&gt;0")*($Y19-1),INDIRECT(ADDRESS(85,22+MATCH('I.A. + Fasce'!$P$27,'I.A. + Fasce'!$W$84:$AA$84,0),1,1,"I.A. + Fasce") &amp; ":" &amp; ADDRESS(305,22+MATCH('I.A. + Fasce'!$P$27,'I.A. + Fasce'!$W$84:$AA$84,0),1,1)),0)),"")</f>
        <v>GASPAR</v>
      </c>
      <c r="S19" s="28" t="str">
        <f ca="1">IF(ISNUMBER(S$3),INDIRECT("'I.A. + Fasce'!B" &amp; 84 + MATCH(S$3+COUNTIF($M$3:$X$3,"&gt;0")*($Y19-1),INDIRECT(ADDRESS(85,22+MATCH('I.A. + Fasce'!$P$27,'I.A. + Fasce'!$W$84:$AA$84,0),1,1,"I.A. + Fasce") &amp; ":" &amp; ADDRESS(305,22+MATCH('I.A. + Fasce'!$P$27,'I.A. + Fasce'!$W$84:$AA$84,0),1,1)),0)),"")</f>
        <v>DE SILVESTRI</v>
      </c>
      <c r="T19" s="28" t="str">
        <f ca="1">IF(ISNUMBER(T$3),INDIRECT("'I.A. + Fasce'!B" &amp; 84 + MATCH(T$3+COUNTIF($M$3:$X$3,"&gt;0")*($Y19-1),INDIRECT(ADDRESS(85,22+MATCH('I.A. + Fasce'!$P$27,'I.A. + Fasce'!$W$84:$AA$84,0),1,1,"I.A. + Fasce") &amp; ":" &amp; ADDRESS(305,22+MATCH('I.A. + Fasce'!$P$27,'I.A. + Fasce'!$W$84:$AA$84,0),1,1)),0)),"")</f>
        <v>DE SCIGLIO</v>
      </c>
      <c r="U19" s="28" t="str">
        <f ca="1">IF(ISNUMBER(U$3),INDIRECT("'I.A. + Fasce'!B" &amp; 84 + MATCH(U$3+COUNTIF($M$3:$X$3,"&gt;0")*($Y19-1),INDIRECT(ADDRESS(85,22+MATCH('I.A. + Fasce'!$P$27,'I.A. + Fasce'!$W$84:$AA$84,0),1,1,"I.A. + Fasce") &amp; ":" &amp; ADDRESS(305,22+MATCH('I.A. + Fasce'!$P$27,'I.A. + Fasce'!$W$84:$AA$84,0),1,1)),0)),"")</f>
        <v/>
      </c>
      <c r="V19" s="28" t="str">
        <f ca="1">IF(ISNUMBER(V$3),INDIRECT("'I.A. + Fasce'!B" &amp; 84 + MATCH(V$3+COUNTIF($M$3:$X$3,"&gt;0")*($Y19-1),INDIRECT(ADDRESS(85,22+MATCH('I.A. + Fasce'!$P$27,'I.A. + Fasce'!$W$84:$AA$84,0),1,1,"I.A. + Fasce") &amp; ":" &amp; ADDRESS(305,22+MATCH('I.A. + Fasce'!$P$27,'I.A. + Fasce'!$W$84:$AA$84,0),1,1)),0)),"")</f>
        <v/>
      </c>
      <c r="W19" s="28" t="str">
        <f ca="1">IF(ISNUMBER(W$3),INDIRECT("'I.A. + Fasce'!B" &amp; 84 + MATCH(W$3+COUNTIF($M$3:$X$3,"&gt;0")*($Y19-1),INDIRECT(ADDRESS(85,22+MATCH('I.A. + Fasce'!$P$27,'I.A. + Fasce'!$W$84:$AA$84,0),1,1,"I.A. + Fasce") &amp; ":" &amp; ADDRESS(305,22+MATCH('I.A. + Fasce'!$P$27,'I.A. + Fasce'!$W$84:$AA$84,0),1,1)),0)),"")</f>
        <v/>
      </c>
      <c r="X19" s="28" t="str">
        <f ca="1">IF(ISNUMBER(X$3),INDIRECT("'I.A. + Fasce'!B" &amp; 84 + MATCH(X$3+COUNTIF($M$3:$X$3,"&gt;0")*($Y19-1),INDIRECT(ADDRESS(85,22+MATCH('I.A. + Fasce'!$P$27,'I.A. + Fasce'!$W$84:$AA$84,0),1,1,"I.A. + Fasce") &amp; ":" &amp; ADDRESS(305,22+MATCH('I.A. + Fasce'!$P$27,'I.A. + Fasce'!$W$84:$AA$84,0),1,1)),0)),"")</f>
        <v/>
      </c>
      <c r="Y19" s="27">
        <v>10</v>
      </c>
      <c r="AG19" s="35" t="str">
        <f ca="1">Rose!N7</f>
        <v/>
      </c>
      <c r="AH19" s="35" t="str">
        <f ca="1">Rose!E18</f>
        <v/>
      </c>
      <c r="AI19" s="35" t="str">
        <f ca="1">Rose!E34</f>
        <v/>
      </c>
      <c r="AJ19" s="35" t="str">
        <f ca="1">Rose!E52</f>
        <v/>
      </c>
      <c r="AK19" s="35"/>
    </row>
    <row r="20" spans="1:37">
      <c r="B20" s="329" t="s">
        <v>650</v>
      </c>
      <c r="C20" s="329"/>
      <c r="D20" s="329">
        <f ca="1">SUM(D10:D19)</f>
        <v>0</v>
      </c>
      <c r="E20" s="332">
        <f>SUM(E10:E19)</f>
        <v>30</v>
      </c>
      <c r="F20" s="333">
        <f>SUM(F10:F19)</f>
        <v>8.5714285714285712</v>
      </c>
      <c r="G20" s="37">
        <f t="shared" ref="G20" ca="1" si="10">E20-D20</f>
        <v>30</v>
      </c>
      <c r="H20" s="38"/>
      <c r="I20" s="38"/>
      <c r="J20" s="38"/>
      <c r="K20" s="38"/>
      <c r="L20" s="38"/>
      <c r="M20" s="39"/>
      <c r="N20" s="39"/>
      <c r="O20" s="39"/>
      <c r="P20" s="39"/>
      <c r="Q20" s="39"/>
      <c r="R20" s="39"/>
      <c r="S20" s="39"/>
      <c r="T20" s="39"/>
      <c r="U20" s="39"/>
      <c r="V20" s="39"/>
      <c r="AG20" s="35" t="str">
        <f ca="1">Rose!Q5</f>
        <v/>
      </c>
      <c r="AH20" s="35" t="str">
        <f ca="1">Rose!E19</f>
        <v/>
      </c>
      <c r="AI20" s="35" t="str">
        <f ca="1">Rose!E35</f>
        <v/>
      </c>
      <c r="AJ20" s="35" t="str">
        <f ca="1">Rose!E53</f>
        <v/>
      </c>
      <c r="AK20" s="35"/>
    </row>
    <row r="21" spans="1:37">
      <c r="B21" s="329" t="s">
        <v>649</v>
      </c>
      <c r="C21" s="329"/>
      <c r="D21" s="329">
        <f ca="1">D8+D20</f>
        <v>0</v>
      </c>
      <c r="E21" s="40"/>
      <c r="F21" s="40"/>
      <c r="G21" s="41"/>
      <c r="H21" s="42"/>
      <c r="I21" s="42"/>
      <c r="J21" s="42"/>
      <c r="K21" s="42"/>
      <c r="L21" s="42"/>
      <c r="M21" s="39"/>
      <c r="N21" s="39"/>
      <c r="O21" s="39"/>
      <c r="P21" s="39"/>
      <c r="Q21" s="39"/>
      <c r="R21" s="39"/>
      <c r="S21" s="39"/>
      <c r="T21" s="39"/>
      <c r="U21" s="39"/>
      <c r="V21" s="39"/>
      <c r="AG21" s="35" t="str">
        <f ca="1">Rose!Q6</f>
        <v/>
      </c>
      <c r="AH21" s="35" t="str">
        <f ca="1">Rose!E20</f>
        <v/>
      </c>
      <c r="AI21" s="35" t="str">
        <f ca="1">Rose!E36</f>
        <v/>
      </c>
      <c r="AJ21" s="35" t="str">
        <f ca="1">Rose!H46</f>
        <v/>
      </c>
      <c r="AK21" s="35"/>
    </row>
    <row r="22" spans="1:37">
      <c r="A22" s="543" t="s">
        <v>40</v>
      </c>
      <c r="B22" s="543"/>
      <c r="C22" s="432" t="s">
        <v>637</v>
      </c>
      <c r="D22" s="330" t="s">
        <v>644</v>
      </c>
      <c r="E22" s="330" t="s">
        <v>644</v>
      </c>
      <c r="F22" s="330" t="s">
        <v>646</v>
      </c>
      <c r="G22" s="41"/>
      <c r="H22" s="545" t="s">
        <v>647</v>
      </c>
      <c r="I22" s="545"/>
      <c r="J22" s="545"/>
      <c r="K22" s="545"/>
      <c r="L22" s="545"/>
      <c r="M22" s="43">
        <f t="shared" ref="M22:X22" si="11">M$3</f>
        <v>1</v>
      </c>
      <c r="N22" s="43">
        <f t="shared" si="11"/>
        <v>2</v>
      </c>
      <c r="O22" s="43">
        <f t="shared" si="11"/>
        <v>3</v>
      </c>
      <c r="P22" s="43">
        <f t="shared" si="11"/>
        <v>4</v>
      </c>
      <c r="Q22" s="43">
        <f t="shared" si="11"/>
        <v>5</v>
      </c>
      <c r="R22" s="43">
        <f t="shared" si="11"/>
        <v>6</v>
      </c>
      <c r="S22" s="43">
        <f t="shared" si="11"/>
        <v>7</v>
      </c>
      <c r="T22" s="43">
        <f t="shared" si="11"/>
        <v>8</v>
      </c>
      <c r="U22" s="43" t="str">
        <f t="shared" si="11"/>
        <v/>
      </c>
      <c r="V22" s="43" t="str">
        <f t="shared" si="11"/>
        <v/>
      </c>
      <c r="W22" s="43" t="str">
        <f t="shared" si="11"/>
        <v/>
      </c>
      <c r="X22" s="43" t="str">
        <f t="shared" si="11"/>
        <v/>
      </c>
      <c r="AG22" s="35" t="str">
        <f ca="1">Rose!Q7</f>
        <v/>
      </c>
      <c r="AH22" s="35" t="str">
        <f ca="1">Rose!E21</f>
        <v/>
      </c>
      <c r="AI22" s="35" t="str">
        <f ca="1">Rose!E37</f>
        <v/>
      </c>
      <c r="AJ22" s="35" t="str">
        <f ca="1">Rose!H47</f>
        <v/>
      </c>
      <c r="AK22" s="35"/>
    </row>
    <row r="23" spans="1:37">
      <c r="A23" s="30" t="str">
        <f>IF(Asta!$AD$3&lt;Y23,"","C")</f>
        <v>C</v>
      </c>
      <c r="B23" s="31" t="str">
        <f ca="1">INDIRECT(ADDRESS(ROW()+7,MATCH(Asta!$D$3,Rose!$A$3:$AJ$3,0)+1,1,1,"Rose"))</f>
        <v/>
      </c>
      <c r="C23" s="38">
        <f ca="1">IF(ISNA(VLOOKUP(B23,Giocatori!$B$9:$C$545,2,FALSE)),ROW(),VLOOKUP(B23,Giocatori!$B$9:$C$545,2,FALSE))</f>
        <v>23</v>
      </c>
      <c r="D23" s="31" t="str">
        <f ca="1">INDIRECT(ADDRESS(ROW()+7,MATCH(Asta!$D$3,Rose!$A$3:$AJ$3,0)+2,1,1,"Rose"))</f>
        <v/>
      </c>
      <c r="E23" s="32">
        <v>30</v>
      </c>
      <c r="F23" s="33">
        <f t="shared" ref="F23:F32" si="12">100*E23/$E$50</f>
        <v>8.5714285714285712</v>
      </c>
      <c r="G23" s="32">
        <f t="shared" ref="G23:G32" ca="1" si="13">IF(D23="",0,E23-D23)</f>
        <v>0</v>
      </c>
      <c r="H23" s="34" t="str">
        <f t="shared" ref="H23:H32" ca="1" si="14">M23</f>
        <v>HAMSIK</v>
      </c>
      <c r="I23" s="34" t="str">
        <f t="shared" ref="I23:I32" ca="1" si="15">N23</f>
        <v>PERISIC</v>
      </c>
      <c r="J23" s="34" t="str">
        <f t="shared" ref="J23:J32" ca="1" si="16">O23</f>
        <v>NAINGGOLAN</v>
      </c>
      <c r="K23" s="34" t="str">
        <f t="shared" ref="K23:K32" ca="1" si="17">P23</f>
        <v>DOUGLAS COSTA</v>
      </c>
      <c r="L23" s="34" t="str">
        <f t="shared" ref="L23:L32" ca="1" si="18">Q23</f>
        <v>PJANIC</v>
      </c>
      <c r="M23" s="28" t="str">
        <f ca="1">IF(ISNUMBER(M$3),INDIRECT("'I.A. + Fasce'!B" &amp; 310 + MATCH(M$3+COUNTIF($M$3:$X$3,"&gt;0")*($Y23-1),INDIRECT(ADDRESS(311,22+MATCH('I.A. + Fasce'!$P$28,'I.A. + Fasce'!$W$6:$AA$6,0),1,1,"I.A. + Fasce") &amp; ":" &amp; ADDRESS(531,22+MATCH('I.A. + Fasce'!$P$28,'I.A. + Fasce'!$W$6:$AA$6,0),1,1)),0)),"")</f>
        <v>HAMSIK</v>
      </c>
      <c r="N23" s="28" t="str">
        <f ca="1">IF(ISNUMBER(N$3),INDIRECT("'I.A. + Fasce'!B" &amp; 310 + MATCH(N$3+COUNTIF($M$3:$X$3,"&gt;0")*($Y23-1),INDIRECT(ADDRESS(311,22+MATCH('I.A. + Fasce'!$P$28,'I.A. + Fasce'!$W$6:$AA$6,0),1,1,"I.A. + Fasce") &amp; ":" &amp; ADDRESS(531,22+MATCH('I.A. + Fasce'!$P$28,'I.A. + Fasce'!$W$6:$AA$6,0),1,1)),0)),"")</f>
        <v>PERISIC</v>
      </c>
      <c r="O23" s="28" t="str">
        <f ca="1">IF(ISNUMBER(O$3),INDIRECT("'I.A. + Fasce'!B" &amp; 310 + MATCH(O$3+COUNTIF($M$3:$X$3,"&gt;0")*($Y23-1),INDIRECT(ADDRESS(311,22+MATCH('I.A. + Fasce'!$P$28,'I.A. + Fasce'!$W$6:$AA$6,0),1,1,"I.A. + Fasce") &amp; ":" &amp; ADDRESS(531,22+MATCH('I.A. + Fasce'!$P$28,'I.A. + Fasce'!$W$6:$AA$6,0),1,1)),0)),"")</f>
        <v>NAINGGOLAN</v>
      </c>
      <c r="P23" s="28" t="str">
        <f ca="1">IF(ISNUMBER(P$3),INDIRECT("'I.A. + Fasce'!B" &amp; 310 + MATCH(P$3+COUNTIF($M$3:$X$3,"&gt;0")*($Y23-1),INDIRECT(ADDRESS(311,22+MATCH('I.A. + Fasce'!$P$28,'I.A. + Fasce'!$W$6:$AA$6,0),1,1,"I.A. + Fasce") &amp; ":" &amp; ADDRESS(531,22+MATCH('I.A. + Fasce'!$P$28,'I.A. + Fasce'!$W$6:$AA$6,0),1,1)),0)),"")</f>
        <v>DOUGLAS COSTA</v>
      </c>
      <c r="Q23" s="28" t="str">
        <f ca="1">IF(ISNUMBER(Q$3),INDIRECT("'I.A. + Fasce'!B" &amp; 310 + MATCH(Q$3+COUNTIF($M$3:$X$3,"&gt;0")*($Y23-1),INDIRECT(ADDRESS(311,22+MATCH('I.A. + Fasce'!$P$28,'I.A. + Fasce'!$W$6:$AA$6,0),1,1,"I.A. + Fasce") &amp; ":" &amp; ADDRESS(531,22+MATCH('I.A. + Fasce'!$P$28,'I.A. + Fasce'!$W$6:$AA$6,0),1,1)),0)),"")</f>
        <v>PJANIC</v>
      </c>
      <c r="R23" s="28" t="str">
        <f ca="1">IF(ISNUMBER(R$3),INDIRECT("'I.A. + Fasce'!B" &amp; 310 + MATCH(R$3+COUNTIF($M$3:$X$3,"&gt;0")*($Y23-1),INDIRECT(ADDRESS(311,22+MATCH('I.A. + Fasce'!$P$28,'I.A. + Fasce'!$W$6:$AA$6,0),1,1,"I.A. + Fasce") &amp; ":" &amp; ADDRESS(531,22+MATCH('I.A. + Fasce'!$P$28,'I.A. + Fasce'!$W$6:$AA$6,0),1,1)),0)),"")</f>
        <v>FELIPE ANDERSON</v>
      </c>
      <c r="S23" s="28" t="str">
        <f ca="1">IF(ISNUMBER(S$3),INDIRECT("'I.A. + Fasce'!B" &amp; 310 + MATCH(S$3+COUNTIF($M$3:$X$3,"&gt;0")*($Y23-1),INDIRECT(ADDRESS(311,22+MATCH('I.A. + Fasce'!$P$28,'I.A. + Fasce'!$W$6:$AA$6,0),1,1,"I.A. + Fasce") &amp; ":" &amp; ADDRESS(531,22+MATCH('I.A. + Fasce'!$P$28,'I.A. + Fasce'!$W$6:$AA$6,0),1,1)),0)),"")</f>
        <v>BIRSA</v>
      </c>
      <c r="T23" s="28" t="str">
        <f ca="1">IF(ISNUMBER(T$3),INDIRECT("'I.A. + Fasce'!B" &amp; 310 + MATCH(T$3+COUNTIF($M$3:$X$3,"&gt;0")*($Y23-1),INDIRECT(ADDRESS(311,22+MATCH('I.A. + Fasce'!$P$28,'I.A. + Fasce'!$W$6:$AA$6,0),1,1,"I.A. + Fasce") &amp; ":" &amp; ADDRESS(531,22+MATCH('I.A. + Fasce'!$P$28,'I.A. + Fasce'!$W$6:$AA$6,0),1,1)),0)),"")</f>
        <v>JOAO PEDRO</v>
      </c>
      <c r="U23" s="28" t="str">
        <f ca="1">IF(ISNUMBER(U$3),INDIRECT("'I.A. + Fasce'!B" &amp; 310 + MATCH(U$3+COUNTIF($M$3:$X$3,"&gt;0")*($Y23-1),INDIRECT(ADDRESS(311,22+MATCH('I.A. + Fasce'!$P$28,'I.A. + Fasce'!$W$6:$AA$6,0),1,1,"I.A. + Fasce") &amp; ":" &amp; ADDRESS(531,22+MATCH('I.A. + Fasce'!$P$28,'I.A. + Fasce'!$W$6:$AA$6,0),1,1)),0)),"")</f>
        <v/>
      </c>
      <c r="V23" s="28" t="str">
        <f ca="1">IF(ISNUMBER(V$3),INDIRECT("'I.A. + Fasce'!B" &amp; 310 + MATCH(V$3+COUNTIF($M$3:$X$3,"&gt;0")*($Y23-1),INDIRECT(ADDRESS(311,22+MATCH('I.A. + Fasce'!$P$28,'I.A. + Fasce'!$W$6:$AA$6,0),1,1,"I.A. + Fasce") &amp; ":" &amp; ADDRESS(531,22+MATCH('I.A. + Fasce'!$P$28,'I.A. + Fasce'!$W$6:$AA$6,0),1,1)),0)),"")</f>
        <v/>
      </c>
      <c r="W23" s="28" t="str">
        <f ca="1">IF(ISNUMBER(W$3),INDIRECT("'I.A. + Fasce'!B" &amp; 310 + MATCH(W$3+COUNTIF($M$3:$X$3,"&gt;0")*($Y23-1),INDIRECT(ADDRESS(311,22+MATCH('I.A. + Fasce'!$P$28,'I.A. + Fasce'!$W$6:$AA$6,0),1,1,"I.A. + Fasce") &amp; ":" &amp; ADDRESS(531,22+MATCH('I.A. + Fasce'!$P$28,'I.A. + Fasce'!$W$6:$AA$6,0),1,1)),0)),"")</f>
        <v/>
      </c>
      <c r="X23" s="28" t="str">
        <f ca="1">IF(ISNUMBER(X$3),INDIRECT("'I.A. + Fasce'!B" &amp; 310 + MATCH(X$3+COUNTIF($M$3:$X$3,"&gt;0")*($Y23-1),INDIRECT(ADDRESS(311,22+MATCH('I.A. + Fasce'!$P$28,'I.A. + Fasce'!$W$6:$AA$6,0),1,1,"I.A. + Fasce") &amp; ":" &amp; ADDRESS(531,22+MATCH('I.A. + Fasce'!$P$28,'I.A. + Fasce'!$W$6:$AA$6,0),1,1)),0)),"")</f>
        <v/>
      </c>
      <c r="Y23" s="27">
        <v>1</v>
      </c>
      <c r="AG23" s="35" t="str">
        <f ca="1">Rose!T5</f>
        <v/>
      </c>
      <c r="AH23" s="35" t="str">
        <f ca="1">Rose!E22</f>
        <v/>
      </c>
      <c r="AI23" s="35" t="str">
        <f ca="1">Rose!E38</f>
        <v/>
      </c>
      <c r="AJ23" s="35" t="str">
        <f ca="1">Rose!H48</f>
        <v/>
      </c>
      <c r="AK23" s="35"/>
    </row>
    <row r="24" spans="1:37">
      <c r="A24" s="30" t="str">
        <f>IF(Asta!$AD$3&lt;Y24,"","C")</f>
        <v>C</v>
      </c>
      <c r="B24" s="31" t="str">
        <f ca="1">INDIRECT(ADDRESS(ROW()+7,MATCH(Asta!$D$3,Rose!$A$3:$AJ$3,0)+1,1,1,"Rose"))</f>
        <v/>
      </c>
      <c r="C24" s="38">
        <f ca="1">IF(ISNA(VLOOKUP(B24,Giocatori!$B$9:$C$545,2,FALSE)),ROW(),VLOOKUP(B24,Giocatori!$B$9:$C$545,2,FALSE))</f>
        <v>24</v>
      </c>
      <c r="D24" s="31" t="str">
        <f ca="1">INDIRECT(ADDRESS(ROW()+7,MATCH(Asta!$D$3,Rose!$A$3:$AJ$3,0)+2,1,1,"Rose"))</f>
        <v/>
      </c>
      <c r="E24" s="32">
        <v>20</v>
      </c>
      <c r="F24" s="33">
        <f t="shared" si="12"/>
        <v>5.7142857142857144</v>
      </c>
      <c r="G24" s="32">
        <f t="shared" ca="1" si="13"/>
        <v>0</v>
      </c>
      <c r="H24" s="34" t="str">
        <f t="shared" ca="1" si="14"/>
        <v>CALHANOGLU</v>
      </c>
      <c r="I24" s="34" t="str">
        <f t="shared" ca="1" si="15"/>
        <v>MILINKOVIC-SAVIC</v>
      </c>
      <c r="J24" s="34" t="str">
        <f t="shared" ca="1" si="16"/>
        <v>ZIELINSKI</v>
      </c>
      <c r="K24" s="34" t="str">
        <f t="shared" ca="1" si="17"/>
        <v>CHIESA</v>
      </c>
      <c r="L24" s="34" t="str">
        <f t="shared" ca="1" si="18"/>
        <v>CANDREVA</v>
      </c>
      <c r="M24" s="28" t="str">
        <f ca="1">IF(ISNUMBER(M$3),INDIRECT("'I.A. + Fasce'!B" &amp; 310 + MATCH(M$3+COUNTIF($M$3:$X$3,"&gt;0")*($Y24-1),INDIRECT(ADDRESS(311,22+MATCH('I.A. + Fasce'!$P$28,'I.A. + Fasce'!$W$6:$AA$6,0),1,1,"I.A. + Fasce") &amp; ":" &amp; ADDRESS(531,22+MATCH('I.A. + Fasce'!$P$28,'I.A. + Fasce'!$W$6:$AA$6,0),1,1)),0)),"")</f>
        <v>CALHANOGLU</v>
      </c>
      <c r="N24" s="28" t="str">
        <f ca="1">IF(ISNUMBER(N$3),INDIRECT("'I.A. + Fasce'!B" &amp; 310 + MATCH(N$3+COUNTIF($M$3:$X$3,"&gt;0")*($Y24-1),INDIRECT(ADDRESS(311,22+MATCH('I.A. + Fasce'!$P$28,'I.A. + Fasce'!$W$6:$AA$6,0),1,1,"I.A. + Fasce") &amp; ":" &amp; ADDRESS(531,22+MATCH('I.A. + Fasce'!$P$28,'I.A. + Fasce'!$W$6:$AA$6,0),1,1)),0)),"")</f>
        <v>MILINKOVIC-SAVIC</v>
      </c>
      <c r="O24" s="28" t="str">
        <f ca="1">IF(ISNUMBER(O$3),INDIRECT("'I.A. + Fasce'!B" &amp; 310 + MATCH(O$3+COUNTIF($M$3:$X$3,"&gt;0")*($Y24-1),INDIRECT(ADDRESS(311,22+MATCH('I.A. + Fasce'!$P$28,'I.A. + Fasce'!$W$6:$AA$6,0),1,1,"I.A. + Fasce") &amp; ":" &amp; ADDRESS(531,22+MATCH('I.A. + Fasce'!$P$28,'I.A. + Fasce'!$W$6:$AA$6,0),1,1)),0)),"")</f>
        <v>ZIELINSKI</v>
      </c>
      <c r="P24" s="28" t="str">
        <f ca="1">IF(ISNUMBER(P$3),INDIRECT("'I.A. + Fasce'!B" &amp; 310 + MATCH(P$3+COUNTIF($M$3:$X$3,"&gt;0")*($Y24-1),INDIRECT(ADDRESS(311,22+MATCH('I.A. + Fasce'!$P$28,'I.A. + Fasce'!$W$6:$AA$6,0),1,1,"I.A. + Fasce") &amp; ":" &amp; ADDRESS(531,22+MATCH('I.A. + Fasce'!$P$28,'I.A. + Fasce'!$W$6:$AA$6,0),1,1)),0)),"")</f>
        <v>CHIESA</v>
      </c>
      <c r="Q24" s="28" t="str">
        <f ca="1">IF(ISNUMBER(Q$3),INDIRECT("'I.A. + Fasce'!B" &amp; 310 + MATCH(Q$3+COUNTIF($M$3:$X$3,"&gt;0")*($Y24-1),INDIRECT(ADDRESS(311,22+MATCH('I.A. + Fasce'!$P$28,'I.A. + Fasce'!$W$6:$AA$6,0),1,1,"I.A. + Fasce") &amp; ":" &amp; ADDRESS(531,22+MATCH('I.A. + Fasce'!$P$28,'I.A. + Fasce'!$W$6:$AA$6,0),1,1)),0)),"")</f>
        <v>CANDREVA</v>
      </c>
      <c r="R24" s="28" t="str">
        <f ca="1">IF(ISNUMBER(R$3),INDIRECT("'I.A. + Fasce'!B" &amp; 310 + MATCH(R$3+COUNTIF($M$3:$X$3,"&gt;0")*($Y24-1),INDIRECT(ADDRESS(311,22+MATCH('I.A. + Fasce'!$P$28,'I.A. + Fasce'!$W$6:$AA$6,0),1,1,"I.A. + Fasce") &amp; ":" &amp; ADDRESS(531,22+MATCH('I.A. + Fasce'!$P$28,'I.A. + Fasce'!$W$6:$AA$6,0),1,1)),0)),"")</f>
        <v>RAMIREZ</v>
      </c>
      <c r="S24" s="28" t="str">
        <f ca="1">IF(ISNUMBER(S$3),INDIRECT("'I.A. + Fasce'!B" &amp; 310 + MATCH(S$3+COUNTIF($M$3:$X$3,"&gt;0")*($Y24-1),INDIRECT(ADDRESS(311,22+MATCH('I.A. + Fasce'!$P$28,'I.A. + Fasce'!$W$6:$AA$6,0),1,1,"I.A. + Fasce") &amp; ":" &amp; ADDRESS(531,22+MATCH('I.A. + Fasce'!$P$28,'I.A. + Fasce'!$W$6:$AA$6,0),1,1)),0)),"")</f>
        <v>KESSIE'</v>
      </c>
      <c r="T24" s="28" t="str">
        <f ca="1">IF(ISNUMBER(T$3),INDIRECT("'I.A. + Fasce'!B" &amp; 310 + MATCH(T$3+COUNTIF($M$3:$X$3,"&gt;0")*($Y24-1),INDIRECT(ADDRESS(311,22+MATCH('I.A. + Fasce'!$P$28,'I.A. + Fasce'!$W$6:$AA$6,0),1,1,"I.A. + Fasce") &amp; ":" &amp; ADDRESS(531,22+MATCH('I.A. + Fasce'!$P$28,'I.A. + Fasce'!$W$6:$AA$6,0),1,1)),0)),"")</f>
        <v>IAGO FALQUE</v>
      </c>
      <c r="U24" s="28" t="str">
        <f ca="1">IF(ISNUMBER(U$3),INDIRECT("'I.A. + Fasce'!B" &amp; 310 + MATCH(U$3+COUNTIF($M$3:$X$3,"&gt;0")*($Y24-1),INDIRECT(ADDRESS(311,22+MATCH('I.A. + Fasce'!$P$28,'I.A. + Fasce'!$W$6:$AA$6,0),1,1,"I.A. + Fasce") &amp; ":" &amp; ADDRESS(531,22+MATCH('I.A. + Fasce'!$P$28,'I.A. + Fasce'!$W$6:$AA$6,0),1,1)),0)),"")</f>
        <v/>
      </c>
      <c r="V24" s="28" t="str">
        <f ca="1">IF(ISNUMBER(V$3),INDIRECT("'I.A. + Fasce'!B" &amp; 310 + MATCH(V$3+COUNTIF($M$3:$X$3,"&gt;0")*($Y24-1),INDIRECT(ADDRESS(311,22+MATCH('I.A. + Fasce'!$P$28,'I.A. + Fasce'!$W$6:$AA$6,0),1,1,"I.A. + Fasce") &amp; ":" &amp; ADDRESS(531,22+MATCH('I.A. + Fasce'!$P$28,'I.A. + Fasce'!$W$6:$AA$6,0),1,1)),0)),"")</f>
        <v/>
      </c>
      <c r="W24" s="28" t="str">
        <f ca="1">IF(ISNUMBER(W$3),INDIRECT("'I.A. + Fasce'!B" &amp; 310 + MATCH(W$3+COUNTIF($M$3:$X$3,"&gt;0")*($Y24-1),INDIRECT(ADDRESS(311,22+MATCH('I.A. + Fasce'!$P$28,'I.A. + Fasce'!$W$6:$AA$6,0),1,1,"I.A. + Fasce") &amp; ":" &amp; ADDRESS(531,22+MATCH('I.A. + Fasce'!$P$28,'I.A. + Fasce'!$W$6:$AA$6,0),1,1)),0)),"")</f>
        <v/>
      </c>
      <c r="X24" s="28" t="str">
        <f ca="1">IF(ISNUMBER(X$3),INDIRECT("'I.A. + Fasce'!B" &amp; 310 + MATCH(X$3+COUNTIF($M$3:$X$3,"&gt;0")*($Y24-1),INDIRECT(ADDRESS(311,22+MATCH('I.A. + Fasce'!$P$28,'I.A. + Fasce'!$W$6:$AA$6,0),1,1,"I.A. + Fasce") &amp; ":" &amp; ADDRESS(531,22+MATCH('I.A. + Fasce'!$P$28,'I.A. + Fasce'!$W$6:$AA$6,0),1,1)),0)),"")</f>
        <v/>
      </c>
      <c r="Y24" s="27">
        <v>2</v>
      </c>
      <c r="AG24" s="35" t="str">
        <f ca="1">Rose!T6</f>
        <v/>
      </c>
      <c r="AH24" s="35" t="str">
        <f ca="1">Rose!E23</f>
        <v/>
      </c>
      <c r="AI24" s="35" t="str">
        <f ca="1">Rose!E39</f>
        <v/>
      </c>
      <c r="AJ24" s="35" t="str">
        <f ca="1">Rose!H49</f>
        <v/>
      </c>
      <c r="AK24" s="35"/>
    </row>
    <row r="25" spans="1:37">
      <c r="A25" s="30" t="str">
        <f>IF(Asta!$AD$3&lt;Y25,"","C")</f>
        <v>C</v>
      </c>
      <c r="B25" s="31" t="str">
        <f ca="1">INDIRECT(ADDRESS(ROW()+7,MATCH(Asta!$D$3,Rose!$A$3:$AJ$3,0)+1,1,1,"Rose"))</f>
        <v/>
      </c>
      <c r="C25" s="38">
        <f ca="1">IF(ISNA(VLOOKUP(B25,Giocatori!$B$9:$C$545,2,FALSE)),ROW(),VLOOKUP(B25,Giocatori!$B$9:$C$545,2,FALSE))</f>
        <v>25</v>
      </c>
      <c r="D25" s="31" t="str">
        <f ca="1">INDIRECT(ADDRESS(ROW()+7,MATCH(Asta!$D$3,Rose!$A$3:$AJ$3,0)+2,1,1,"Rose"))</f>
        <v/>
      </c>
      <c r="E25" s="32">
        <v>5</v>
      </c>
      <c r="F25" s="33">
        <f t="shared" si="12"/>
        <v>1.4285714285714286</v>
      </c>
      <c r="G25" s="32">
        <f t="shared" ca="1" si="13"/>
        <v>0</v>
      </c>
      <c r="H25" s="34" t="str">
        <f t="shared" ca="1" si="14"/>
        <v>LJAJIC</v>
      </c>
      <c r="I25" s="34" t="str">
        <f t="shared" ca="1" si="15"/>
        <v>PEROTTI</v>
      </c>
      <c r="J25" s="34" t="str">
        <f t="shared" ca="1" si="16"/>
        <v>BERNARDESCHI</v>
      </c>
      <c r="K25" s="34" t="str">
        <f t="shared" ca="1" si="17"/>
        <v>STROOTMAN</v>
      </c>
      <c r="L25" s="34" t="str">
        <f t="shared" ca="1" si="18"/>
        <v>BONAVENTURA</v>
      </c>
      <c r="M25" s="28" t="str">
        <f ca="1">IF(ISNUMBER(M$3),INDIRECT("'I.A. + Fasce'!B" &amp; 310 + MATCH(M$3+COUNTIF($M$3:$X$3,"&gt;0")*($Y25-1),INDIRECT(ADDRESS(311,22+MATCH('I.A. + Fasce'!$P$28,'I.A. + Fasce'!$W$6:$AA$6,0),1,1,"I.A. + Fasce") &amp; ":" &amp; ADDRESS(531,22+MATCH('I.A. + Fasce'!$P$28,'I.A. + Fasce'!$W$6:$AA$6,0),1,1)),0)),"")</f>
        <v>LJAJIC</v>
      </c>
      <c r="N25" s="28" t="str">
        <f ca="1">IF(ISNUMBER(N$3),INDIRECT("'I.A. + Fasce'!B" &amp; 310 + MATCH(N$3+COUNTIF($M$3:$X$3,"&gt;0")*($Y25-1),INDIRECT(ADDRESS(311,22+MATCH('I.A. + Fasce'!$P$28,'I.A. + Fasce'!$W$6:$AA$6,0),1,1,"I.A. + Fasce") &amp; ":" &amp; ADDRESS(531,22+MATCH('I.A. + Fasce'!$P$28,'I.A. + Fasce'!$W$6:$AA$6,0),1,1)),0)),"")</f>
        <v>PEROTTI</v>
      </c>
      <c r="O25" s="28" t="str">
        <f ca="1">IF(ISNUMBER(O$3),INDIRECT("'I.A. + Fasce'!B" &amp; 310 + MATCH(O$3+COUNTIF($M$3:$X$3,"&gt;0")*($Y25-1),INDIRECT(ADDRESS(311,22+MATCH('I.A. + Fasce'!$P$28,'I.A. + Fasce'!$W$6:$AA$6,0),1,1,"I.A. + Fasce") &amp; ":" &amp; ADDRESS(531,22+MATCH('I.A. + Fasce'!$P$28,'I.A. + Fasce'!$W$6:$AA$6,0),1,1)),0)),"")</f>
        <v>BERNARDESCHI</v>
      </c>
      <c r="P25" s="28" t="str">
        <f ca="1">IF(ISNUMBER(P$3),INDIRECT("'I.A. + Fasce'!B" &amp; 310 + MATCH(P$3+COUNTIF($M$3:$X$3,"&gt;0")*($Y25-1),INDIRECT(ADDRESS(311,22+MATCH('I.A. + Fasce'!$P$28,'I.A. + Fasce'!$W$6:$AA$6,0),1,1,"I.A. + Fasce") &amp; ":" &amp; ADDRESS(531,22+MATCH('I.A. + Fasce'!$P$28,'I.A. + Fasce'!$W$6:$AA$6,0),1,1)),0)),"")</f>
        <v>STROOTMAN</v>
      </c>
      <c r="Q25" s="28" t="str">
        <f ca="1">IF(ISNUMBER(Q$3),INDIRECT("'I.A. + Fasce'!B" &amp; 310 + MATCH(Q$3+COUNTIF($M$3:$X$3,"&gt;0")*($Y25-1),INDIRECT(ADDRESS(311,22+MATCH('I.A. + Fasce'!$P$28,'I.A. + Fasce'!$W$6:$AA$6,0),1,1,"I.A. + Fasce") &amp; ":" &amp; ADDRESS(531,22+MATCH('I.A. + Fasce'!$P$28,'I.A. + Fasce'!$W$6:$AA$6,0),1,1)),0)),"")</f>
        <v>BONAVENTURA</v>
      </c>
      <c r="R25" s="28" t="str">
        <f ca="1">IF(ISNUMBER(R$3),INDIRECT("'I.A. + Fasce'!B" &amp; 310 + MATCH(R$3+COUNTIF($M$3:$X$3,"&gt;0")*($Y25-1),INDIRECT(ADDRESS(311,22+MATCH('I.A. + Fasce'!$P$28,'I.A. + Fasce'!$W$6:$AA$6,0),1,1,"I.A. + Fasce") &amp; ":" &amp; ADDRESS(531,22+MATCH('I.A. + Fasce'!$P$28,'I.A. + Fasce'!$W$6:$AA$6,0),1,1)),0)),"")</f>
        <v>KHEDIRA</v>
      </c>
      <c r="S25" s="28" t="str">
        <f ca="1">IF(ISNUMBER(S$3),INDIRECT("'I.A. + Fasce'!B" &amp; 310 + MATCH(S$3+COUNTIF($M$3:$X$3,"&gt;0")*($Y25-1),INDIRECT(ADDRESS(311,22+MATCH('I.A. + Fasce'!$P$28,'I.A. + Fasce'!$W$6:$AA$6,0),1,1,"I.A. + Fasce") &amp; ":" &amp; ADDRESS(531,22+MATCH('I.A. + Fasce'!$P$28,'I.A. + Fasce'!$W$6:$AA$6,0),1,1)),0)),"")</f>
        <v>PAROLO</v>
      </c>
      <c r="T25" s="28" t="str">
        <f ca="1">IF(ISNUMBER(T$3),INDIRECT("'I.A. + Fasce'!B" &amp; 310 + MATCH(T$3+COUNTIF($M$3:$X$3,"&gt;0")*($Y25-1),INDIRECT(ADDRESS(311,22+MATCH('I.A. + Fasce'!$P$28,'I.A. + Fasce'!$W$6:$AA$6,0),1,1,"I.A. + Fasce") &amp; ":" &amp; ADDRESS(531,22+MATCH('I.A. + Fasce'!$P$28,'I.A. + Fasce'!$W$6:$AA$6,0),1,1)),0)),"")</f>
        <v>FREULER</v>
      </c>
      <c r="U25" s="28" t="str">
        <f ca="1">IF(ISNUMBER(U$3),INDIRECT("'I.A. + Fasce'!B" &amp; 310 + MATCH(U$3+COUNTIF($M$3:$X$3,"&gt;0")*($Y25-1),INDIRECT(ADDRESS(311,22+MATCH('I.A. + Fasce'!$P$28,'I.A. + Fasce'!$W$6:$AA$6,0),1,1,"I.A. + Fasce") &amp; ":" &amp; ADDRESS(531,22+MATCH('I.A. + Fasce'!$P$28,'I.A. + Fasce'!$W$6:$AA$6,0),1,1)),0)),"")</f>
        <v/>
      </c>
      <c r="V25" s="28" t="str">
        <f ca="1">IF(ISNUMBER(V$3),INDIRECT("'I.A. + Fasce'!B" &amp; 310 + MATCH(V$3+COUNTIF($M$3:$X$3,"&gt;0")*($Y25-1),INDIRECT(ADDRESS(311,22+MATCH('I.A. + Fasce'!$P$28,'I.A. + Fasce'!$W$6:$AA$6,0),1,1,"I.A. + Fasce") &amp; ":" &amp; ADDRESS(531,22+MATCH('I.A. + Fasce'!$P$28,'I.A. + Fasce'!$W$6:$AA$6,0),1,1)),0)),"")</f>
        <v/>
      </c>
      <c r="W25" s="28" t="str">
        <f ca="1">IF(ISNUMBER(W$3),INDIRECT("'I.A. + Fasce'!B" &amp; 310 + MATCH(W$3+COUNTIF($M$3:$X$3,"&gt;0")*($Y25-1),INDIRECT(ADDRESS(311,22+MATCH('I.A. + Fasce'!$P$28,'I.A. + Fasce'!$W$6:$AA$6,0),1,1,"I.A. + Fasce") &amp; ":" &amp; ADDRESS(531,22+MATCH('I.A. + Fasce'!$P$28,'I.A. + Fasce'!$W$6:$AA$6,0),1,1)),0)),"")</f>
        <v/>
      </c>
      <c r="X25" s="28" t="str">
        <f ca="1">IF(ISNUMBER(X$3),INDIRECT("'I.A. + Fasce'!B" &amp; 310 + MATCH(X$3+COUNTIF($M$3:$X$3,"&gt;0")*($Y25-1),INDIRECT(ADDRESS(311,22+MATCH('I.A. + Fasce'!$P$28,'I.A. + Fasce'!$W$6:$AA$6,0),1,1,"I.A. + Fasce") &amp; ":" &amp; ADDRESS(531,22+MATCH('I.A. + Fasce'!$P$28,'I.A. + Fasce'!$W$6:$AA$6,0),1,1)),0)),"")</f>
        <v/>
      </c>
      <c r="Y25" s="27">
        <v>3</v>
      </c>
      <c r="AG25" s="35" t="str">
        <f ca="1">Rose!T7</f>
        <v/>
      </c>
      <c r="AH25" s="35" t="str">
        <f ca="1">Rose!H14</f>
        <v/>
      </c>
      <c r="AI25" s="35" t="str">
        <f ca="1">Rose!H30</f>
        <v/>
      </c>
      <c r="AJ25" s="35" t="str">
        <f ca="1">Rose!H50</f>
        <v/>
      </c>
      <c r="AK25" s="35"/>
    </row>
    <row r="26" spans="1:37">
      <c r="A26" s="30" t="str">
        <f>IF(Asta!$AD$3&lt;Y26,"","C")</f>
        <v>C</v>
      </c>
      <c r="B26" s="31" t="str">
        <f ca="1">INDIRECT(ADDRESS(ROW()+7,MATCH(Asta!$D$3,Rose!$A$3:$AJ$3,0)+1,1,1,"Rose"))</f>
        <v/>
      </c>
      <c r="C26" s="38">
        <f ca="1">IF(ISNA(VLOOKUP(B26,Giocatori!$B$9:$C$545,2,FALSE)),ROW(),VLOOKUP(B26,Giocatori!$B$9:$C$545,2,FALSE))</f>
        <v>26</v>
      </c>
      <c r="D26" s="31" t="str">
        <f ca="1">INDIRECT(ADDRESS(ROW()+7,MATCH(Asta!$D$3,Rose!$A$3:$AJ$3,0)+2,1,1,"Rose"))</f>
        <v/>
      </c>
      <c r="E26" s="32">
        <v>1</v>
      </c>
      <c r="F26" s="33">
        <f t="shared" si="12"/>
        <v>0.2857142857142857</v>
      </c>
      <c r="G26" s="32">
        <f t="shared" ca="1" si="13"/>
        <v>0</v>
      </c>
      <c r="H26" s="34" t="str">
        <f t="shared" ca="1" si="14"/>
        <v>SAPONARA</v>
      </c>
      <c r="I26" s="34" t="str">
        <f t="shared" ca="1" si="15"/>
        <v>LULIC</v>
      </c>
      <c r="J26" s="34" t="str">
        <f t="shared" ca="1" si="16"/>
        <v>DE PAUL</v>
      </c>
      <c r="K26" s="34" t="str">
        <f t="shared" ca="1" si="17"/>
        <v>BORJA VALERO</v>
      </c>
      <c r="L26" s="34" t="str">
        <f t="shared" ca="1" si="18"/>
        <v>CUADRADO</v>
      </c>
      <c r="M26" s="28" t="str">
        <f ca="1">IF(ISNUMBER(M$3),INDIRECT("'I.A. + Fasce'!B" &amp; 310 + MATCH(M$3+COUNTIF($M$3:$X$3,"&gt;0")*($Y26-1),INDIRECT(ADDRESS(311,22+MATCH('I.A. + Fasce'!$P$28,'I.A. + Fasce'!$W$6:$AA$6,0),1,1,"I.A. + Fasce") &amp; ":" &amp; ADDRESS(531,22+MATCH('I.A. + Fasce'!$P$28,'I.A. + Fasce'!$W$6:$AA$6,0),1,1)),0)),"")</f>
        <v>SAPONARA</v>
      </c>
      <c r="N26" s="28" t="str">
        <f ca="1">IF(ISNUMBER(N$3),INDIRECT("'I.A. + Fasce'!B" &amp; 310 + MATCH(N$3+COUNTIF($M$3:$X$3,"&gt;0")*($Y26-1),INDIRECT(ADDRESS(311,22+MATCH('I.A. + Fasce'!$P$28,'I.A. + Fasce'!$W$6:$AA$6,0),1,1,"I.A. + Fasce") &amp; ":" &amp; ADDRESS(531,22+MATCH('I.A. + Fasce'!$P$28,'I.A. + Fasce'!$W$6:$AA$6,0),1,1)),0)),"")</f>
        <v>LULIC</v>
      </c>
      <c r="O26" s="28" t="str">
        <f ca="1">IF(ISNUMBER(O$3),INDIRECT("'I.A. + Fasce'!B" &amp; 310 + MATCH(O$3+COUNTIF($M$3:$X$3,"&gt;0")*($Y26-1),INDIRECT(ADDRESS(311,22+MATCH('I.A. + Fasce'!$P$28,'I.A. + Fasce'!$W$6:$AA$6,0),1,1,"I.A. + Fasce") &amp; ":" &amp; ADDRESS(531,22+MATCH('I.A. + Fasce'!$P$28,'I.A. + Fasce'!$W$6:$AA$6,0),1,1)),0)),"")</f>
        <v>DE PAUL</v>
      </c>
      <c r="P26" s="28" t="str">
        <f ca="1">IF(ISNUMBER(P$3),INDIRECT("'I.A. + Fasce'!B" &amp; 310 + MATCH(P$3+COUNTIF($M$3:$X$3,"&gt;0")*($Y26-1),INDIRECT(ADDRESS(311,22+MATCH('I.A. + Fasce'!$P$28,'I.A. + Fasce'!$W$6:$AA$6,0),1,1,"I.A. + Fasce") &amp; ":" &amp; ADDRESS(531,22+MATCH('I.A. + Fasce'!$P$28,'I.A. + Fasce'!$W$6:$AA$6,0),1,1)),0)),"")</f>
        <v>BORJA VALERO</v>
      </c>
      <c r="Q26" s="28" t="str">
        <f ca="1">IF(ISNUMBER(Q$3),INDIRECT("'I.A. + Fasce'!B" &amp; 310 + MATCH(Q$3+COUNTIF($M$3:$X$3,"&gt;0")*($Y26-1),INDIRECT(ADDRESS(311,22+MATCH('I.A. + Fasce'!$P$28,'I.A. + Fasce'!$W$6:$AA$6,0),1,1,"I.A. + Fasce") &amp; ":" &amp; ADDRESS(531,22+MATCH('I.A. + Fasce'!$P$28,'I.A. + Fasce'!$W$6:$AA$6,0),1,1)),0)),"")</f>
        <v>CUADRADO</v>
      </c>
      <c r="R26" s="28" t="str">
        <f ca="1">IF(ISNUMBER(R$3),INDIRECT("'I.A. + Fasce'!B" &amp; 310 + MATCH(R$3+COUNTIF($M$3:$X$3,"&gt;0")*($Y26-1),INDIRECT(ADDRESS(311,22+MATCH('I.A. + Fasce'!$P$28,'I.A. + Fasce'!$W$6:$AA$6,0),1,1,"I.A. + Fasce") &amp; ":" &amp; ADDRESS(531,22+MATCH('I.A. + Fasce'!$P$28,'I.A. + Fasce'!$W$6:$AA$6,0),1,1)),0)),"")</f>
        <v>EYSSERIC</v>
      </c>
      <c r="S26" s="28" t="str">
        <f ca="1">IF(ISNUMBER(S$3),INDIRECT("'I.A. + Fasce'!B" &amp; 310 + MATCH(S$3+COUNTIF($M$3:$X$3,"&gt;0")*($Y26-1),INDIRECT(ADDRESS(311,22+MATCH('I.A. + Fasce'!$P$28,'I.A. + Fasce'!$W$6:$AA$6,0),1,1,"I.A. + Fasce") &amp; ":" &amp; ADDRESS(531,22+MATCH('I.A. + Fasce'!$P$28,'I.A. + Fasce'!$W$6:$AA$6,0),1,1)),0)),"")</f>
        <v>JANKTO</v>
      </c>
      <c r="T26" s="28" t="str">
        <f ca="1">IF(ISNUMBER(T$3),INDIRECT("'I.A. + Fasce'!B" &amp; 310 + MATCH(T$3+COUNTIF($M$3:$X$3,"&gt;0")*($Y26-1),INDIRECT(ADDRESS(311,22+MATCH('I.A. + Fasce'!$P$28,'I.A. + Fasce'!$W$6:$AA$6,0),1,1,"I.A. + Fasce") &amp; ":" &amp; ADDRESS(531,22+MATCH('I.A. + Fasce'!$P$28,'I.A. + Fasce'!$W$6:$AA$6,0),1,1)),0)),"")</f>
        <v>MATUIDI</v>
      </c>
      <c r="U26" s="28" t="str">
        <f ca="1">IF(ISNUMBER(U$3),INDIRECT("'I.A. + Fasce'!B" &amp; 310 + MATCH(U$3+COUNTIF($M$3:$X$3,"&gt;0")*($Y26-1),INDIRECT(ADDRESS(311,22+MATCH('I.A. + Fasce'!$P$28,'I.A. + Fasce'!$W$6:$AA$6,0),1,1,"I.A. + Fasce") &amp; ":" &amp; ADDRESS(531,22+MATCH('I.A. + Fasce'!$P$28,'I.A. + Fasce'!$W$6:$AA$6,0),1,1)),0)),"")</f>
        <v/>
      </c>
      <c r="V26" s="28" t="str">
        <f ca="1">IF(ISNUMBER(V$3),INDIRECT("'I.A. + Fasce'!B" &amp; 310 + MATCH(V$3+COUNTIF($M$3:$X$3,"&gt;0")*($Y26-1),INDIRECT(ADDRESS(311,22+MATCH('I.A. + Fasce'!$P$28,'I.A. + Fasce'!$W$6:$AA$6,0),1,1,"I.A. + Fasce") &amp; ":" &amp; ADDRESS(531,22+MATCH('I.A. + Fasce'!$P$28,'I.A. + Fasce'!$W$6:$AA$6,0),1,1)),0)),"")</f>
        <v/>
      </c>
      <c r="W26" s="28" t="str">
        <f ca="1">IF(ISNUMBER(W$3),INDIRECT("'I.A. + Fasce'!B" &amp; 310 + MATCH(W$3+COUNTIF($M$3:$X$3,"&gt;0")*($Y26-1),INDIRECT(ADDRESS(311,22+MATCH('I.A. + Fasce'!$P$28,'I.A. + Fasce'!$W$6:$AA$6,0),1,1,"I.A. + Fasce") &amp; ":" &amp; ADDRESS(531,22+MATCH('I.A. + Fasce'!$P$28,'I.A. + Fasce'!$W$6:$AA$6,0),1,1)),0)),"")</f>
        <v/>
      </c>
      <c r="X26" s="28" t="str">
        <f ca="1">IF(ISNUMBER(X$3),INDIRECT("'I.A. + Fasce'!B" &amp; 310 + MATCH(X$3+COUNTIF($M$3:$X$3,"&gt;0")*($Y26-1),INDIRECT(ADDRESS(311,22+MATCH('I.A. + Fasce'!$P$28,'I.A. + Fasce'!$W$6:$AA$6,0),1,1,"I.A. + Fasce") &amp; ":" &amp; ADDRESS(531,22+MATCH('I.A. + Fasce'!$P$28,'I.A. + Fasce'!$W$6:$AA$6,0),1,1)),0)),"")</f>
        <v/>
      </c>
      <c r="Y26" s="27">
        <v>4</v>
      </c>
      <c r="AG26" s="35" t="str">
        <f ca="1">Rose!W5</f>
        <v/>
      </c>
      <c r="AH26" s="35" t="str">
        <f ca="1">Rose!H15</f>
        <v/>
      </c>
      <c r="AI26" s="35" t="str">
        <f ca="1">Rose!H31</f>
        <v/>
      </c>
      <c r="AJ26" s="35" t="str">
        <f ca="1">Rose!H51</f>
        <v/>
      </c>
      <c r="AK26" s="35"/>
    </row>
    <row r="27" spans="1:37">
      <c r="A27" s="30" t="str">
        <f>IF(Asta!$AD$3&lt;Y27,"","C")</f>
        <v>C</v>
      </c>
      <c r="B27" s="31" t="str">
        <f ca="1">INDIRECT(ADDRESS(ROW()+7,MATCH(Asta!$D$3,Rose!$A$3:$AJ$3,0)+1,1,1,"Rose"))</f>
        <v/>
      </c>
      <c r="C27" s="38">
        <f ca="1">IF(ISNA(VLOOKUP(B27,Giocatori!$B$9:$C$545,2,FALSE)),ROW(),VLOOKUP(B27,Giocatori!$B$9:$C$545,2,FALSE))</f>
        <v>27</v>
      </c>
      <c r="D27" s="31" t="str">
        <f ca="1">INDIRECT(ADDRESS(ROW()+7,MATCH(Asta!$D$3,Rose!$A$3:$AJ$3,0)+2,1,1,"Rose"))</f>
        <v/>
      </c>
      <c r="E27" s="32">
        <v>1</v>
      </c>
      <c r="F27" s="33">
        <f t="shared" si="12"/>
        <v>0.2857142857142857</v>
      </c>
      <c r="G27" s="32">
        <f t="shared" ca="1" si="13"/>
        <v>0</v>
      </c>
      <c r="H27" s="34" t="str">
        <f t="shared" ca="1" si="14"/>
        <v>BASELLI</v>
      </c>
      <c r="I27" s="34" t="str">
        <f t="shared" ca="1" si="15"/>
        <v>CICIRETTI</v>
      </c>
      <c r="J27" s="34" t="str">
        <f t="shared" ca="1" si="16"/>
        <v>FOFANA</v>
      </c>
      <c r="K27" s="34" t="str">
        <f t="shared" ca="1" si="17"/>
        <v>ILICIC</v>
      </c>
      <c r="L27" s="34" t="str">
        <f t="shared" ca="1" si="18"/>
        <v>CASTRO</v>
      </c>
      <c r="M27" s="28" t="str">
        <f ca="1">IF(ISNUMBER(M$3),INDIRECT("'I.A. + Fasce'!B" &amp; 310 + MATCH(M$3+COUNTIF($M$3:$X$3,"&gt;0")*($Y27-1),INDIRECT(ADDRESS(311,22+MATCH('I.A. + Fasce'!$P$28,'I.A. + Fasce'!$W$6:$AA$6,0),1,1,"I.A. + Fasce") &amp; ":" &amp; ADDRESS(531,22+MATCH('I.A. + Fasce'!$P$28,'I.A. + Fasce'!$W$6:$AA$6,0),1,1)),0)),"")</f>
        <v>BASELLI</v>
      </c>
      <c r="N27" s="28" t="str">
        <f ca="1">IF(ISNUMBER(N$3),INDIRECT("'I.A. + Fasce'!B" &amp; 310 + MATCH(N$3+COUNTIF($M$3:$X$3,"&gt;0")*($Y27-1),INDIRECT(ADDRESS(311,22+MATCH('I.A. + Fasce'!$P$28,'I.A. + Fasce'!$W$6:$AA$6,0),1,1,"I.A. + Fasce") &amp; ":" &amp; ADDRESS(531,22+MATCH('I.A. + Fasce'!$P$28,'I.A. + Fasce'!$W$6:$AA$6,0),1,1)),0)),"")</f>
        <v>CICIRETTI</v>
      </c>
      <c r="O27" s="28" t="str">
        <f ca="1">IF(ISNUMBER(O$3),INDIRECT("'I.A. + Fasce'!B" &amp; 310 + MATCH(O$3+COUNTIF($M$3:$X$3,"&gt;0")*($Y27-1),INDIRECT(ADDRESS(311,22+MATCH('I.A. + Fasce'!$P$28,'I.A. + Fasce'!$W$6:$AA$6,0),1,1,"I.A. + Fasce") &amp; ":" &amp; ADDRESS(531,22+MATCH('I.A. + Fasce'!$P$28,'I.A. + Fasce'!$W$6:$AA$6,0),1,1)),0)),"")</f>
        <v>FOFANA</v>
      </c>
      <c r="P27" s="28" t="str">
        <f ca="1">IF(ISNUMBER(P$3),INDIRECT("'I.A. + Fasce'!B" &amp; 310 + MATCH(P$3+COUNTIF($M$3:$X$3,"&gt;0")*($Y27-1),INDIRECT(ADDRESS(311,22+MATCH('I.A. + Fasce'!$P$28,'I.A. + Fasce'!$W$6:$AA$6,0),1,1,"I.A. + Fasce") &amp; ":" &amp; ADDRESS(531,22+MATCH('I.A. + Fasce'!$P$28,'I.A. + Fasce'!$W$6:$AA$6,0),1,1)),0)),"")</f>
        <v>ILICIC</v>
      </c>
      <c r="Q27" s="28" t="str">
        <f ca="1">IF(ISNUMBER(Q$3),INDIRECT("'I.A. + Fasce'!B" &amp; 310 + MATCH(Q$3+COUNTIF($M$3:$X$3,"&gt;0")*($Y27-1),INDIRECT(ADDRESS(311,22+MATCH('I.A. + Fasce'!$P$28,'I.A. + Fasce'!$W$6:$AA$6,0),1,1,"I.A. + Fasce") &amp; ":" &amp; ADDRESS(531,22+MATCH('I.A. + Fasce'!$P$28,'I.A. + Fasce'!$W$6:$AA$6,0),1,1)),0)),"")</f>
        <v>CASTRO</v>
      </c>
      <c r="R27" s="28" t="str">
        <f ca="1">IF(ISNUMBER(R$3),INDIRECT("'I.A. + Fasce'!B" &amp; 310 + MATCH(R$3+COUNTIF($M$3:$X$3,"&gt;0")*($Y27-1),INDIRECT(ADDRESS(311,22+MATCH('I.A. + Fasce'!$P$28,'I.A. + Fasce'!$W$6:$AA$6,0),1,1,"I.A. + Fasce") &amp; ":" &amp; ADDRESS(531,22+MATCH('I.A. + Fasce'!$P$28,'I.A. + Fasce'!$W$6:$AA$6,0),1,1)),0)),"")</f>
        <v>ALLAN</v>
      </c>
      <c r="S27" s="28" t="str">
        <f ca="1">IF(ISNUMBER(S$3),INDIRECT("'I.A. + Fasce'!B" &amp; 310 + MATCH(S$3+COUNTIF($M$3:$X$3,"&gt;0")*($Y27-1),INDIRECT(ADDRESS(311,22+MATCH('I.A. + Fasce'!$P$28,'I.A. + Fasce'!$W$6:$AA$6,0),1,1,"I.A. + Fasce") &amp; ":" &amp; ADDRESS(531,22+MATCH('I.A. + Fasce'!$P$28,'I.A. + Fasce'!$W$6:$AA$6,0),1,1)),0)),"")</f>
        <v>BERTOLACCI</v>
      </c>
      <c r="T27" s="28" t="str">
        <f ca="1">IF(ISNUMBER(T$3),INDIRECT("'I.A. + Fasce'!B" &amp; 310 + MATCH(T$3+COUNTIF($M$3:$X$3,"&gt;0")*($Y27-1),INDIRECT(ADDRESS(311,22+MATCH('I.A. + Fasce'!$P$28,'I.A. + Fasce'!$W$6:$AA$6,0),1,1,"I.A. + Fasce") &amp; ":" &amp; ADDRESS(531,22+MATCH('I.A. + Fasce'!$P$28,'I.A. + Fasce'!$W$6:$AA$6,0),1,1)),0)),"")</f>
        <v>JOAO MARIO</v>
      </c>
      <c r="U27" s="28" t="str">
        <f ca="1">IF(ISNUMBER(U$3),INDIRECT("'I.A. + Fasce'!B" &amp; 310 + MATCH(U$3+COUNTIF($M$3:$X$3,"&gt;0")*($Y27-1),INDIRECT(ADDRESS(311,22+MATCH('I.A. + Fasce'!$P$28,'I.A. + Fasce'!$W$6:$AA$6,0),1,1,"I.A. + Fasce") &amp; ":" &amp; ADDRESS(531,22+MATCH('I.A. + Fasce'!$P$28,'I.A. + Fasce'!$W$6:$AA$6,0),1,1)),0)),"")</f>
        <v/>
      </c>
      <c r="V27" s="28" t="str">
        <f ca="1">IF(ISNUMBER(V$3),INDIRECT("'I.A. + Fasce'!B" &amp; 310 + MATCH(V$3+COUNTIF($M$3:$X$3,"&gt;0")*($Y27-1),INDIRECT(ADDRESS(311,22+MATCH('I.A. + Fasce'!$P$28,'I.A. + Fasce'!$W$6:$AA$6,0),1,1,"I.A. + Fasce") &amp; ":" &amp; ADDRESS(531,22+MATCH('I.A. + Fasce'!$P$28,'I.A. + Fasce'!$W$6:$AA$6,0),1,1)),0)),"")</f>
        <v/>
      </c>
      <c r="W27" s="28" t="str">
        <f ca="1">IF(ISNUMBER(W$3),INDIRECT("'I.A. + Fasce'!B" &amp; 310 + MATCH(W$3+COUNTIF($M$3:$X$3,"&gt;0")*($Y27-1),INDIRECT(ADDRESS(311,22+MATCH('I.A. + Fasce'!$P$28,'I.A. + Fasce'!$W$6:$AA$6,0),1,1,"I.A. + Fasce") &amp; ":" &amp; ADDRESS(531,22+MATCH('I.A. + Fasce'!$P$28,'I.A. + Fasce'!$W$6:$AA$6,0),1,1)),0)),"")</f>
        <v/>
      </c>
      <c r="X27" s="28" t="str">
        <f ca="1">IF(ISNUMBER(X$3),INDIRECT("'I.A. + Fasce'!B" &amp; 310 + MATCH(X$3+COUNTIF($M$3:$X$3,"&gt;0")*($Y27-1),INDIRECT(ADDRESS(311,22+MATCH('I.A. + Fasce'!$P$28,'I.A. + Fasce'!$W$6:$AA$6,0),1,1,"I.A. + Fasce") &amp; ":" &amp; ADDRESS(531,22+MATCH('I.A. + Fasce'!$P$28,'I.A. + Fasce'!$W$6:$AA$6,0),1,1)),0)),"")</f>
        <v/>
      </c>
      <c r="Y27" s="27">
        <v>5</v>
      </c>
      <c r="AG27" s="35" t="str">
        <f ca="1">Rose!W6</f>
        <v/>
      </c>
      <c r="AH27" s="35" t="str">
        <f ca="1">Rose!H16</f>
        <v/>
      </c>
      <c r="AI27" s="35" t="str">
        <f ca="1">Rose!H32</f>
        <v/>
      </c>
      <c r="AJ27" s="35" t="str">
        <f ca="1">Rose!H52</f>
        <v/>
      </c>
      <c r="AK27" s="35"/>
    </row>
    <row r="28" spans="1:37">
      <c r="A28" s="30" t="str">
        <f>IF(Asta!$AD$3&lt;Y28,"","C")</f>
        <v>C</v>
      </c>
      <c r="B28" s="31" t="str">
        <f ca="1">INDIRECT(ADDRESS(ROW()+7,MATCH(Asta!$D$3,Rose!$A$3:$AJ$3,0)+1,1,1,"Rose"))</f>
        <v/>
      </c>
      <c r="C28" s="38">
        <f ca="1">IF(ISNA(VLOOKUP(B28,Giocatori!$B$9:$C$545,2,FALSE)),ROW(),VLOOKUP(B28,Giocatori!$B$9:$C$545,2,FALSE))</f>
        <v>28</v>
      </c>
      <c r="D28" s="31" t="str">
        <f ca="1">INDIRECT(ADDRESS(ROW()+7,MATCH(Asta!$D$3,Rose!$A$3:$AJ$3,0)+2,1,1,"Rose"))</f>
        <v/>
      </c>
      <c r="E28" s="32">
        <v>1</v>
      </c>
      <c r="F28" s="33">
        <f t="shared" si="12"/>
        <v>0.2857142857142857</v>
      </c>
      <c r="G28" s="32">
        <f t="shared" ca="1" si="13"/>
        <v>0</v>
      </c>
      <c r="H28" s="34" t="str">
        <f t="shared" ca="1" si="14"/>
        <v>LAXALT</v>
      </c>
      <c r="I28" s="34" t="str">
        <f t="shared" ca="1" si="15"/>
        <v>TORREIRA</v>
      </c>
      <c r="J28" s="34" t="str">
        <f t="shared" ca="1" si="16"/>
        <v>VECINO</v>
      </c>
      <c r="K28" s="34" t="str">
        <f t="shared" ca="1" si="17"/>
        <v>BERENGUER</v>
      </c>
      <c r="L28" s="34" t="str">
        <f t="shared" ca="1" si="18"/>
        <v>GIL DIAS</v>
      </c>
      <c r="M28" s="28" t="str">
        <f ca="1">IF(ISNUMBER(M$3),INDIRECT("'I.A. + Fasce'!B" &amp; 310 + MATCH(M$3+COUNTIF($M$3:$X$3,"&gt;0")*($Y28-1),INDIRECT(ADDRESS(311,22+MATCH('I.A. + Fasce'!$P$28,'I.A. + Fasce'!$W$6:$AA$6,0),1,1,"I.A. + Fasce") &amp; ":" &amp; ADDRESS(531,22+MATCH('I.A. + Fasce'!$P$28,'I.A. + Fasce'!$W$6:$AA$6,0),1,1)),0)),"")</f>
        <v>LAXALT</v>
      </c>
      <c r="N28" s="28" t="str">
        <f ca="1">IF(ISNUMBER(N$3),INDIRECT("'I.A. + Fasce'!B" &amp; 310 + MATCH(N$3+COUNTIF($M$3:$X$3,"&gt;0")*($Y28-1),INDIRECT(ADDRESS(311,22+MATCH('I.A. + Fasce'!$P$28,'I.A. + Fasce'!$W$6:$AA$6,0),1,1,"I.A. + Fasce") &amp; ":" &amp; ADDRESS(531,22+MATCH('I.A. + Fasce'!$P$28,'I.A. + Fasce'!$W$6:$AA$6,0),1,1)),0)),"")</f>
        <v>TORREIRA</v>
      </c>
      <c r="O28" s="28" t="str">
        <f ca="1">IF(ISNUMBER(O$3),INDIRECT("'I.A. + Fasce'!B" &amp; 310 + MATCH(O$3+COUNTIF($M$3:$X$3,"&gt;0")*($Y28-1),INDIRECT(ADDRESS(311,22+MATCH('I.A. + Fasce'!$P$28,'I.A. + Fasce'!$W$6:$AA$6,0),1,1,"I.A. + Fasce") &amp; ":" &amp; ADDRESS(531,22+MATCH('I.A. + Fasce'!$P$28,'I.A. + Fasce'!$W$6:$AA$6,0),1,1)),0)),"")</f>
        <v>VECINO</v>
      </c>
      <c r="P28" s="28" t="str">
        <f ca="1">IF(ISNUMBER(P$3),INDIRECT("'I.A. + Fasce'!B" &amp; 310 + MATCH(P$3+COUNTIF($M$3:$X$3,"&gt;0")*($Y28-1),INDIRECT(ADDRESS(311,22+MATCH('I.A. + Fasce'!$P$28,'I.A. + Fasce'!$W$6:$AA$6,0),1,1,"I.A. + Fasce") &amp; ":" &amp; ADDRESS(531,22+MATCH('I.A. + Fasce'!$P$28,'I.A. + Fasce'!$W$6:$AA$6,0),1,1)),0)),"")</f>
        <v>BERENGUER</v>
      </c>
      <c r="Q28" s="28" t="str">
        <f ca="1">IF(ISNUMBER(Q$3),INDIRECT("'I.A. + Fasce'!B" &amp; 310 + MATCH(Q$3+COUNTIF($M$3:$X$3,"&gt;0")*($Y28-1),INDIRECT(ADDRESS(311,22+MATCH('I.A. + Fasce'!$P$28,'I.A. + Fasce'!$W$6:$AA$6,0),1,1,"I.A. + Fasce") &amp; ":" &amp; ADDRESS(531,22+MATCH('I.A. + Fasce'!$P$28,'I.A. + Fasce'!$W$6:$AA$6,0),1,1)),0)),"")</f>
        <v>GIL DIAS</v>
      </c>
      <c r="R28" s="28" t="str">
        <f ca="1">IF(ISNUMBER(R$3),INDIRECT("'I.A. + Fasce'!B" &amp; 310 + MATCH(R$3+COUNTIF($M$3:$X$3,"&gt;0")*($Y28-1),INDIRECT(ADDRESS(311,22+MATCH('I.A. + Fasce'!$P$28,'I.A. + Fasce'!$W$6:$AA$6,0),1,1,"I.A. + Fasce") &amp; ":" &amp; ADDRESS(531,22+MATCH('I.A. + Fasce'!$P$28,'I.A. + Fasce'!$W$6:$AA$6,0),1,1)),0)),"")</f>
        <v>JORGINHO</v>
      </c>
      <c r="S28" s="28" t="str">
        <f ca="1">IF(ISNUMBER(S$3),INDIRECT("'I.A. + Fasce'!B" &amp; 310 + MATCH(S$3+COUNTIF($M$3:$X$3,"&gt;0")*($Y28-1),INDIRECT(ADDRESS(311,22+MATCH('I.A. + Fasce'!$P$28,'I.A. + Fasce'!$W$6:$AA$6,0),1,1,"I.A. + Fasce") &amp; ":" &amp; ADDRESS(531,22+MATCH('I.A. + Fasce'!$P$28,'I.A. + Fasce'!$W$6:$AA$6,0),1,1)),0)),"")</f>
        <v>BIGLIA</v>
      </c>
      <c r="T28" s="28" t="str">
        <f ca="1">IF(ISNUMBER(T$3),INDIRECT("'I.A. + Fasce'!B" &amp; 310 + MATCH(T$3+COUNTIF($M$3:$X$3,"&gt;0")*($Y28-1),INDIRECT(ADDRESS(311,22+MATCH('I.A. + Fasce'!$P$28,'I.A. + Fasce'!$W$6:$AA$6,0),1,1,"I.A. + Fasce") &amp; ":" &amp; ADDRESS(531,22+MATCH('I.A. + Fasce'!$P$28,'I.A. + Fasce'!$W$6:$AA$6,0),1,1)),0)),"")</f>
        <v>KURTIC</v>
      </c>
      <c r="U28" s="28" t="str">
        <f ca="1">IF(ISNUMBER(U$3),INDIRECT("'I.A. + Fasce'!B" &amp; 310 + MATCH(U$3+COUNTIF($M$3:$X$3,"&gt;0")*($Y28-1),INDIRECT(ADDRESS(311,22+MATCH('I.A. + Fasce'!$P$28,'I.A. + Fasce'!$W$6:$AA$6,0),1,1,"I.A. + Fasce") &amp; ":" &amp; ADDRESS(531,22+MATCH('I.A. + Fasce'!$P$28,'I.A. + Fasce'!$W$6:$AA$6,0),1,1)),0)),"")</f>
        <v/>
      </c>
      <c r="V28" s="28" t="str">
        <f ca="1">IF(ISNUMBER(V$3),INDIRECT("'I.A. + Fasce'!B" &amp; 310 + MATCH(V$3+COUNTIF($M$3:$X$3,"&gt;0")*($Y28-1),INDIRECT(ADDRESS(311,22+MATCH('I.A. + Fasce'!$P$28,'I.A. + Fasce'!$W$6:$AA$6,0),1,1,"I.A. + Fasce") &amp; ":" &amp; ADDRESS(531,22+MATCH('I.A. + Fasce'!$P$28,'I.A. + Fasce'!$W$6:$AA$6,0),1,1)),0)),"")</f>
        <v/>
      </c>
      <c r="W28" s="28" t="str">
        <f ca="1">IF(ISNUMBER(W$3),INDIRECT("'I.A. + Fasce'!B" &amp; 310 + MATCH(W$3+COUNTIF($M$3:$X$3,"&gt;0")*($Y28-1),INDIRECT(ADDRESS(311,22+MATCH('I.A. + Fasce'!$P$28,'I.A. + Fasce'!$W$6:$AA$6,0),1,1,"I.A. + Fasce") &amp; ":" &amp; ADDRESS(531,22+MATCH('I.A. + Fasce'!$P$28,'I.A. + Fasce'!$W$6:$AA$6,0),1,1)),0)),"")</f>
        <v/>
      </c>
      <c r="X28" s="28" t="str">
        <f ca="1">IF(ISNUMBER(X$3),INDIRECT("'I.A. + Fasce'!B" &amp; 310 + MATCH(X$3+COUNTIF($M$3:$X$3,"&gt;0")*($Y28-1),INDIRECT(ADDRESS(311,22+MATCH('I.A. + Fasce'!$P$28,'I.A. + Fasce'!$W$6:$AA$6,0),1,1,"I.A. + Fasce") &amp; ":" &amp; ADDRESS(531,22+MATCH('I.A. + Fasce'!$P$28,'I.A. + Fasce'!$W$6:$AA$6,0),1,1)),0)),"")</f>
        <v/>
      </c>
      <c r="Y28" s="27">
        <v>6</v>
      </c>
      <c r="AG28" s="35" t="str">
        <f ca="1">Rose!W7</f>
        <v/>
      </c>
      <c r="AH28" s="35" t="str">
        <f ca="1">Rose!H17</f>
        <v/>
      </c>
      <c r="AI28" s="35" t="str">
        <f ca="1">Rose!H33</f>
        <v/>
      </c>
      <c r="AJ28" s="35" t="str">
        <f ca="1">Rose!H53</f>
        <v/>
      </c>
      <c r="AK28" s="35"/>
    </row>
    <row r="29" spans="1:37">
      <c r="A29" s="30" t="str">
        <f>IF(Asta!$AD$3&lt;Y29,"","C")</f>
        <v>C</v>
      </c>
      <c r="B29" s="31" t="str">
        <f ca="1">INDIRECT(ADDRESS(ROW()+7,MATCH(Asta!$D$3,Rose!$A$3:$AJ$3,0)+1,1,1,"Rose"))</f>
        <v/>
      </c>
      <c r="C29" s="38">
        <f ca="1">IF(ISNA(VLOOKUP(B29,Giocatori!$B$9:$C$545,2,FALSE)),ROW(),VLOOKUP(B29,Giocatori!$B$9:$C$545,2,FALSE))</f>
        <v>29</v>
      </c>
      <c r="D29" s="31" t="str">
        <f ca="1">INDIRECT(ADDRESS(ROW()+7,MATCH(Asta!$D$3,Rose!$A$3:$AJ$3,0)+2,1,1,"Rose"))</f>
        <v/>
      </c>
      <c r="E29" s="32">
        <v>1</v>
      </c>
      <c r="F29" s="33">
        <f t="shared" si="12"/>
        <v>0.2857142857142857</v>
      </c>
      <c r="G29" s="32">
        <f t="shared" ca="1" si="13"/>
        <v>0</v>
      </c>
      <c r="H29" s="34" t="str">
        <f t="shared" ca="1" si="14"/>
        <v>GAGLIARDINI</v>
      </c>
      <c r="I29" s="34" t="str">
        <f t="shared" ca="1" si="15"/>
        <v>KREJCI</v>
      </c>
      <c r="J29" s="34" t="str">
        <f t="shared" ca="1" si="16"/>
        <v>BROZOVIC</v>
      </c>
      <c r="K29" s="34" t="str">
        <f t="shared" ca="1" si="17"/>
        <v>BESSA</v>
      </c>
      <c r="L29" s="34" t="str">
        <f t="shared" ca="1" si="18"/>
        <v>LINETTY</v>
      </c>
      <c r="M29" s="28" t="str">
        <f ca="1">IF(ISNUMBER(M$3),INDIRECT("'I.A. + Fasce'!B" &amp; 310 + MATCH(M$3+COUNTIF($M$3:$X$3,"&gt;0")*($Y29-1),INDIRECT(ADDRESS(311,22+MATCH('I.A. + Fasce'!$P$28,'I.A. + Fasce'!$W$6:$AA$6,0),1,1,"I.A. + Fasce") &amp; ":" &amp; ADDRESS(531,22+MATCH('I.A. + Fasce'!$P$28,'I.A. + Fasce'!$W$6:$AA$6,0),1,1)),0)),"")</f>
        <v>GAGLIARDINI</v>
      </c>
      <c r="N29" s="28" t="str">
        <f ca="1">IF(ISNUMBER(N$3),INDIRECT("'I.A. + Fasce'!B" &amp; 310 + MATCH(N$3+COUNTIF($M$3:$X$3,"&gt;0")*($Y29-1),INDIRECT(ADDRESS(311,22+MATCH('I.A. + Fasce'!$P$28,'I.A. + Fasce'!$W$6:$AA$6,0),1,1,"I.A. + Fasce") &amp; ":" &amp; ADDRESS(531,22+MATCH('I.A. + Fasce'!$P$28,'I.A. + Fasce'!$W$6:$AA$6,0),1,1)),0)),"")</f>
        <v>KREJCI</v>
      </c>
      <c r="O29" s="28" t="str">
        <f ca="1">IF(ISNUMBER(O$3),INDIRECT("'I.A. + Fasce'!B" &amp; 310 + MATCH(O$3+COUNTIF($M$3:$X$3,"&gt;0")*($Y29-1),INDIRECT(ADDRESS(311,22+MATCH('I.A. + Fasce'!$P$28,'I.A. + Fasce'!$W$6:$AA$6,0),1,1,"I.A. + Fasce") &amp; ":" &amp; ADDRESS(531,22+MATCH('I.A. + Fasce'!$P$28,'I.A. + Fasce'!$W$6:$AA$6,0),1,1)),0)),"")</f>
        <v>BROZOVIC</v>
      </c>
      <c r="P29" s="28" t="str">
        <f ca="1">IF(ISNUMBER(P$3),INDIRECT("'I.A. + Fasce'!B" &amp; 310 + MATCH(P$3+COUNTIF($M$3:$X$3,"&gt;0")*($Y29-1),INDIRECT(ADDRESS(311,22+MATCH('I.A. + Fasce'!$P$28,'I.A. + Fasce'!$W$6:$AA$6,0),1,1,"I.A. + Fasce") &amp; ":" &amp; ADDRESS(531,22+MATCH('I.A. + Fasce'!$P$28,'I.A. + Fasce'!$W$6:$AA$6,0),1,1)),0)),"")</f>
        <v>BESSA</v>
      </c>
      <c r="Q29" s="28" t="str">
        <f ca="1">IF(ISNUMBER(Q$3),INDIRECT("'I.A. + Fasce'!B" &amp; 310 + MATCH(Q$3+COUNTIF($M$3:$X$3,"&gt;0")*($Y29-1),INDIRECT(ADDRESS(311,22+MATCH('I.A. + Fasce'!$P$28,'I.A. + Fasce'!$W$6:$AA$6,0),1,1,"I.A. + Fasce") &amp; ":" &amp; ADDRESS(531,22+MATCH('I.A. + Fasce'!$P$28,'I.A. + Fasce'!$W$6:$AA$6,0),1,1)),0)),"")</f>
        <v>LINETTY</v>
      </c>
      <c r="R29" s="28" t="str">
        <f ca="1">IF(ISNUMBER(R$3),INDIRECT("'I.A. + Fasce'!B" &amp; 310 + MATCH(R$3+COUNTIF($M$3:$X$3,"&gt;0")*($Y29-1),INDIRECT(ADDRESS(311,22+MATCH('I.A. + Fasce'!$P$28,'I.A. + Fasce'!$W$6:$AA$6,0),1,1,"I.A. + Fasce") &amp; ":" &amp; ADDRESS(531,22+MATCH('I.A. + Fasce'!$P$28,'I.A. + Fasce'!$W$6:$AA$6,0),1,1)),0)),"")</f>
        <v>BENASSI</v>
      </c>
      <c r="S29" s="28" t="str">
        <f ca="1">IF(ISNUMBER(S$3),INDIRECT("'I.A. + Fasce'!B" &amp; 310 + MATCH(S$3+COUNTIF($M$3:$X$3,"&gt;0")*($Y29-1),INDIRECT(ADDRESS(311,22+MATCH('I.A. + Fasce'!$P$28,'I.A. + Fasce'!$W$6:$AA$6,0),1,1,"I.A. + Fasce") &amp; ":" &amp; ADDRESS(531,22+MATCH('I.A. + Fasce'!$P$28,'I.A. + Fasce'!$W$6:$AA$6,0),1,1)),0)),"")</f>
        <v>UNDER</v>
      </c>
      <c r="T29" s="28" t="str">
        <f ca="1">IF(ISNUMBER(T$3),INDIRECT("'I.A. + Fasce'!B" &amp; 310 + MATCH(T$3+COUNTIF($M$3:$X$3,"&gt;0")*($Y29-1),INDIRECT(ADDRESS(311,22+MATCH('I.A. + Fasce'!$P$28,'I.A. + Fasce'!$W$6:$AA$6,0),1,1,"I.A. + Fasce") &amp; ":" &amp; ADDRESS(531,22+MATCH('I.A. + Fasce'!$P$28,'I.A. + Fasce'!$W$6:$AA$6,0),1,1)),0)),"")</f>
        <v>CRISTANTE</v>
      </c>
      <c r="U29" s="28" t="str">
        <f ca="1">IF(ISNUMBER(U$3),INDIRECT("'I.A. + Fasce'!B" &amp; 310 + MATCH(U$3+COUNTIF($M$3:$X$3,"&gt;0")*($Y29-1),INDIRECT(ADDRESS(311,22+MATCH('I.A. + Fasce'!$P$28,'I.A. + Fasce'!$W$6:$AA$6,0),1,1,"I.A. + Fasce") &amp; ":" &amp; ADDRESS(531,22+MATCH('I.A. + Fasce'!$P$28,'I.A. + Fasce'!$W$6:$AA$6,0),1,1)),0)),"")</f>
        <v/>
      </c>
      <c r="V29" s="28" t="str">
        <f ca="1">IF(ISNUMBER(V$3),INDIRECT("'I.A. + Fasce'!B" &amp; 310 + MATCH(V$3+COUNTIF($M$3:$X$3,"&gt;0")*($Y29-1),INDIRECT(ADDRESS(311,22+MATCH('I.A. + Fasce'!$P$28,'I.A. + Fasce'!$W$6:$AA$6,0),1,1,"I.A. + Fasce") &amp; ":" &amp; ADDRESS(531,22+MATCH('I.A. + Fasce'!$P$28,'I.A. + Fasce'!$W$6:$AA$6,0),1,1)),0)),"")</f>
        <v/>
      </c>
      <c r="W29" s="28" t="str">
        <f ca="1">IF(ISNUMBER(W$3),INDIRECT("'I.A. + Fasce'!B" &amp; 310 + MATCH(W$3+COUNTIF($M$3:$X$3,"&gt;0")*($Y29-1),INDIRECT(ADDRESS(311,22+MATCH('I.A. + Fasce'!$P$28,'I.A. + Fasce'!$W$6:$AA$6,0),1,1,"I.A. + Fasce") &amp; ":" &amp; ADDRESS(531,22+MATCH('I.A. + Fasce'!$P$28,'I.A. + Fasce'!$W$6:$AA$6,0),1,1)),0)),"")</f>
        <v/>
      </c>
      <c r="X29" s="28" t="str">
        <f ca="1">IF(ISNUMBER(X$3),INDIRECT("'I.A. + Fasce'!B" &amp; 310 + MATCH(X$3+COUNTIF($M$3:$X$3,"&gt;0")*($Y29-1),INDIRECT(ADDRESS(311,22+MATCH('I.A. + Fasce'!$P$28,'I.A. + Fasce'!$W$6:$AA$6,0),1,1,"I.A. + Fasce") &amp; ":" &amp; ADDRESS(531,22+MATCH('I.A. + Fasce'!$P$28,'I.A. + Fasce'!$W$6:$AA$6,0),1,1)),0)),"")</f>
        <v/>
      </c>
      <c r="Y29" s="27">
        <v>7</v>
      </c>
      <c r="AG29" s="35" t="str">
        <f ca="1">Rose!Z5</f>
        <v/>
      </c>
      <c r="AH29" s="35" t="str">
        <f ca="1">Rose!H18</f>
        <v/>
      </c>
      <c r="AI29" s="35" t="str">
        <f ca="1">Rose!H34</f>
        <v/>
      </c>
      <c r="AJ29" s="35" t="str">
        <f ca="1">Rose!K46</f>
        <v/>
      </c>
      <c r="AK29" s="35"/>
    </row>
    <row r="30" spans="1:37">
      <c r="A30" s="30" t="str">
        <f>IF(Asta!$AD$3&lt;Y30,"","C")</f>
        <v>C</v>
      </c>
      <c r="B30" s="31" t="str">
        <f ca="1">INDIRECT(ADDRESS(ROW()+7,MATCH(Asta!$D$3,Rose!$A$3:$AJ$3,0)+1,1,1,"Rose"))</f>
        <v/>
      </c>
      <c r="C30" s="38">
        <f ca="1">IF(ISNA(VLOOKUP(B30,Giocatori!$B$9:$C$545,2,FALSE)),ROW(),VLOOKUP(B30,Giocatori!$B$9:$C$545,2,FALSE))</f>
        <v>30</v>
      </c>
      <c r="D30" s="31" t="str">
        <f ca="1">INDIRECT(ADDRESS(ROW()+7,MATCH(Asta!$D$3,Rose!$A$3:$AJ$3,0)+2,1,1,"Rose"))</f>
        <v/>
      </c>
      <c r="E30" s="32">
        <v>1</v>
      </c>
      <c r="F30" s="33">
        <f t="shared" si="12"/>
        <v>0.2857142857142857</v>
      </c>
      <c r="G30" s="32">
        <f t="shared" ca="1" si="13"/>
        <v>0</v>
      </c>
      <c r="H30" s="34" t="str">
        <f t="shared" ca="1" si="14"/>
        <v>DE ROON</v>
      </c>
      <c r="I30" s="34" t="str">
        <f t="shared" ca="1" si="15"/>
        <v>IONITA</v>
      </c>
      <c r="J30" s="34" t="str">
        <f t="shared" ca="1" si="16"/>
        <v>PRAET</v>
      </c>
      <c r="K30" s="34" t="str">
        <f t="shared" ca="1" si="17"/>
        <v>BARBERIS</v>
      </c>
      <c r="L30" s="34" t="str">
        <f t="shared" ca="1" si="18"/>
        <v>CIGARINI</v>
      </c>
      <c r="M30" s="28" t="str">
        <f ca="1">IF(ISNUMBER(M$3),INDIRECT("'I.A. + Fasce'!B" &amp; 310 + MATCH(M$3+COUNTIF($M$3:$X$3,"&gt;0")*($Y30-1),INDIRECT(ADDRESS(311,22+MATCH('I.A. + Fasce'!$P$28,'I.A. + Fasce'!$W$6:$AA$6,0),1,1,"I.A. + Fasce") &amp; ":" &amp; ADDRESS(531,22+MATCH('I.A. + Fasce'!$P$28,'I.A. + Fasce'!$W$6:$AA$6,0),1,1)),0)),"")</f>
        <v>DE ROON</v>
      </c>
      <c r="N30" s="28" t="str">
        <f ca="1">IF(ISNUMBER(N$3),INDIRECT("'I.A. + Fasce'!B" &amp; 310 + MATCH(N$3+COUNTIF($M$3:$X$3,"&gt;0")*($Y30-1),INDIRECT(ADDRESS(311,22+MATCH('I.A. + Fasce'!$P$28,'I.A. + Fasce'!$W$6:$AA$6,0),1,1,"I.A. + Fasce") &amp; ":" &amp; ADDRESS(531,22+MATCH('I.A. + Fasce'!$P$28,'I.A. + Fasce'!$W$6:$AA$6,0),1,1)),0)),"")</f>
        <v>IONITA</v>
      </c>
      <c r="O30" s="28" t="str">
        <f ca="1">IF(ISNUMBER(O$3),INDIRECT("'I.A. + Fasce'!B" &amp; 310 + MATCH(O$3+COUNTIF($M$3:$X$3,"&gt;0")*($Y30-1),INDIRECT(ADDRESS(311,22+MATCH('I.A. + Fasce'!$P$28,'I.A. + Fasce'!$W$6:$AA$6,0),1,1,"I.A. + Fasce") &amp; ":" &amp; ADDRESS(531,22+MATCH('I.A. + Fasce'!$P$28,'I.A. + Fasce'!$W$6:$AA$6,0),1,1)),0)),"")</f>
        <v>PRAET</v>
      </c>
      <c r="P30" s="28" t="str">
        <f ca="1">IF(ISNUMBER(P$3),INDIRECT("'I.A. + Fasce'!B" &amp; 310 + MATCH(P$3+COUNTIF($M$3:$X$3,"&gt;0")*($Y30-1),INDIRECT(ADDRESS(311,22+MATCH('I.A. + Fasce'!$P$28,'I.A. + Fasce'!$W$6:$AA$6,0),1,1,"I.A. + Fasce") &amp; ":" &amp; ADDRESS(531,22+MATCH('I.A. + Fasce'!$P$28,'I.A. + Fasce'!$W$6:$AA$6,0),1,1)),0)),"")</f>
        <v>BARBERIS</v>
      </c>
      <c r="Q30" s="28" t="str">
        <f ca="1">IF(ISNUMBER(Q$3),INDIRECT("'I.A. + Fasce'!B" &amp; 310 + MATCH(Q$3+COUNTIF($M$3:$X$3,"&gt;0")*($Y30-1),INDIRECT(ADDRESS(311,22+MATCH('I.A. + Fasce'!$P$28,'I.A. + Fasce'!$W$6:$AA$6,0),1,1,"I.A. + Fasce") &amp; ":" &amp; ADDRESS(531,22+MATCH('I.A. + Fasce'!$P$28,'I.A. + Fasce'!$W$6:$AA$6,0),1,1)),0)),"")</f>
        <v>CIGARINI</v>
      </c>
      <c r="R30" s="28" t="str">
        <f ca="1">IF(ISNUMBER(R$3),INDIRECT("'I.A. + Fasce'!B" &amp; 310 + MATCH(R$3+COUNTIF($M$3:$X$3,"&gt;0")*($Y30-1),INDIRECT(ADDRESS(311,22+MATCH('I.A. + Fasce'!$P$28,'I.A. + Fasce'!$W$6:$AA$6,0),1,1,"I.A. + Fasce") &amp; ":" &amp; ADDRESS(531,22+MATCH('I.A. + Fasce'!$P$28,'I.A. + Fasce'!$W$6:$AA$6,0),1,1)),0)),"")</f>
        <v>D'ALESSANDRO</v>
      </c>
      <c r="S30" s="28" t="str">
        <f ca="1">IF(ISNUMBER(S$3),INDIRECT("'I.A. + Fasce'!B" &amp; 310 + MATCH(S$3+COUNTIF($M$3:$X$3,"&gt;0")*($Y30-1),INDIRECT(ADDRESS(311,22+MATCH('I.A. + Fasce'!$P$28,'I.A. + Fasce'!$W$6:$AA$6,0),1,1,"I.A. + Fasce") &amp; ":" &amp; ADDRESS(531,22+MATCH('I.A. + Fasce'!$P$28,'I.A. + Fasce'!$W$6:$AA$6,0),1,1)),0)),"")</f>
        <v>BADELJ</v>
      </c>
      <c r="T30" s="28" t="str">
        <f ca="1">IF(ISNUMBER(T$3),INDIRECT("'I.A. + Fasce'!B" &amp; 310 + MATCH(T$3+COUNTIF($M$3:$X$3,"&gt;0")*($Y30-1),INDIRECT(ADDRESS(311,22+MATCH('I.A. + Fasce'!$P$28,'I.A. + Fasce'!$W$6:$AA$6,0),1,1,"I.A. + Fasce") &amp; ":" &amp; ADDRESS(531,22+MATCH('I.A. + Fasce'!$P$28,'I.A. + Fasce'!$W$6:$AA$6,0),1,1)),0)),"")</f>
        <v>DUNCAN</v>
      </c>
      <c r="U30" s="28" t="str">
        <f ca="1">IF(ISNUMBER(U$3),INDIRECT("'I.A. + Fasce'!B" &amp; 310 + MATCH(U$3+COUNTIF($M$3:$X$3,"&gt;0")*($Y30-1),INDIRECT(ADDRESS(311,22+MATCH('I.A. + Fasce'!$P$28,'I.A. + Fasce'!$W$6:$AA$6,0),1,1,"I.A. + Fasce") &amp; ":" &amp; ADDRESS(531,22+MATCH('I.A. + Fasce'!$P$28,'I.A. + Fasce'!$W$6:$AA$6,0),1,1)),0)),"")</f>
        <v/>
      </c>
      <c r="V30" s="28" t="str">
        <f ca="1">IF(ISNUMBER(V$3),INDIRECT("'I.A. + Fasce'!B" &amp; 310 + MATCH(V$3+COUNTIF($M$3:$X$3,"&gt;0")*($Y30-1),INDIRECT(ADDRESS(311,22+MATCH('I.A. + Fasce'!$P$28,'I.A. + Fasce'!$W$6:$AA$6,0),1,1,"I.A. + Fasce") &amp; ":" &amp; ADDRESS(531,22+MATCH('I.A. + Fasce'!$P$28,'I.A. + Fasce'!$W$6:$AA$6,0),1,1)),0)),"")</f>
        <v/>
      </c>
      <c r="W30" s="28" t="str">
        <f ca="1">IF(ISNUMBER(W$3),INDIRECT("'I.A. + Fasce'!B" &amp; 310 + MATCH(W$3+COUNTIF($M$3:$X$3,"&gt;0")*($Y30-1),INDIRECT(ADDRESS(311,22+MATCH('I.A. + Fasce'!$P$28,'I.A. + Fasce'!$W$6:$AA$6,0),1,1,"I.A. + Fasce") &amp; ":" &amp; ADDRESS(531,22+MATCH('I.A. + Fasce'!$P$28,'I.A. + Fasce'!$W$6:$AA$6,0),1,1)),0)),"")</f>
        <v/>
      </c>
      <c r="X30" s="28" t="str">
        <f ca="1">IF(ISNUMBER(X$3),INDIRECT("'I.A. + Fasce'!B" &amp; 310 + MATCH(X$3+COUNTIF($M$3:$X$3,"&gt;0")*($Y30-1),INDIRECT(ADDRESS(311,22+MATCH('I.A. + Fasce'!$P$28,'I.A. + Fasce'!$W$6:$AA$6,0),1,1,"I.A. + Fasce") &amp; ":" &amp; ADDRESS(531,22+MATCH('I.A. + Fasce'!$P$28,'I.A. + Fasce'!$W$6:$AA$6,0),1,1)),0)),"")</f>
        <v/>
      </c>
      <c r="Y30" s="27">
        <v>8</v>
      </c>
      <c r="AG30" s="35" t="str">
        <f ca="1">Rose!Z6</f>
        <v/>
      </c>
      <c r="AH30" s="35" t="str">
        <f ca="1">Rose!H19</f>
        <v/>
      </c>
      <c r="AI30" s="35" t="str">
        <f ca="1">Rose!H35</f>
        <v/>
      </c>
      <c r="AJ30" s="35" t="str">
        <f ca="1">Rose!K47</f>
        <v/>
      </c>
      <c r="AK30" s="35"/>
    </row>
    <row r="31" spans="1:37">
      <c r="A31" s="30" t="str">
        <f>IF(Asta!$AD$3&lt;Y31,"","C")</f>
        <v/>
      </c>
      <c r="B31" s="31" t="str">
        <f ca="1">INDIRECT(ADDRESS(ROW()+7,MATCH(Asta!$D$3,Rose!$A$3:$AJ$3,0)+1,1,1,"Rose"))</f>
        <v/>
      </c>
      <c r="C31" s="38">
        <f ca="1">IF(ISNA(VLOOKUP(B31,Giocatori!$B$9:$C$545,2,FALSE)),ROW(),VLOOKUP(B31,Giocatori!$B$9:$C$545,2,FALSE))</f>
        <v>31</v>
      </c>
      <c r="D31" s="31" t="str">
        <f ca="1">INDIRECT(ADDRESS(ROW()+7,MATCH(Asta!$D$3,Rose!$A$3:$AJ$3,0)+2,1,1,"Rose"))</f>
        <v/>
      </c>
      <c r="E31" s="32">
        <v>1</v>
      </c>
      <c r="F31" s="33">
        <f t="shared" si="12"/>
        <v>0.2857142857142857</v>
      </c>
      <c r="G31" s="32">
        <f t="shared" ca="1" si="13"/>
        <v>0</v>
      </c>
      <c r="H31" s="34" t="str">
        <f t="shared" ca="1" si="14"/>
        <v>MARCHISIO</v>
      </c>
      <c r="I31" s="34" t="str">
        <f t="shared" ca="1" si="15"/>
        <v>RINCON</v>
      </c>
      <c r="J31" s="34" t="str">
        <f t="shared" ca="1" si="16"/>
        <v>BARELLA</v>
      </c>
      <c r="K31" s="34" t="str">
        <f t="shared" ca="1" si="17"/>
        <v>DIAWARA</v>
      </c>
      <c r="L31" s="34" t="str">
        <f t="shared" ca="1" si="18"/>
        <v>VERETOUT</v>
      </c>
      <c r="M31" s="28" t="str">
        <f ca="1">IF(ISNUMBER(M$3),INDIRECT("'I.A. + Fasce'!B" &amp; 310 + MATCH(M$3+COUNTIF($M$3:$X$3,"&gt;0")*($Y31-1),INDIRECT(ADDRESS(311,22+MATCH('I.A. + Fasce'!$P$28,'I.A. + Fasce'!$W$6:$AA$6,0),1,1,"I.A. + Fasce") &amp; ":" &amp; ADDRESS(531,22+MATCH('I.A. + Fasce'!$P$28,'I.A. + Fasce'!$W$6:$AA$6,0),1,1)),0)),"")</f>
        <v>MARCHISIO</v>
      </c>
      <c r="N31" s="28" t="str">
        <f ca="1">IF(ISNUMBER(N$3),INDIRECT("'I.A. + Fasce'!B" &amp; 310 + MATCH(N$3+COUNTIF($M$3:$X$3,"&gt;0")*($Y31-1),INDIRECT(ADDRESS(311,22+MATCH('I.A. + Fasce'!$P$28,'I.A. + Fasce'!$W$6:$AA$6,0),1,1,"I.A. + Fasce") &amp; ":" &amp; ADDRESS(531,22+MATCH('I.A. + Fasce'!$P$28,'I.A. + Fasce'!$W$6:$AA$6,0),1,1)),0)),"")</f>
        <v>RINCON</v>
      </c>
      <c r="O31" s="28" t="str">
        <f ca="1">IF(ISNUMBER(O$3),INDIRECT("'I.A. + Fasce'!B" &amp; 310 + MATCH(O$3+COUNTIF($M$3:$X$3,"&gt;0")*($Y31-1),INDIRECT(ADDRESS(311,22+MATCH('I.A. + Fasce'!$P$28,'I.A. + Fasce'!$W$6:$AA$6,0),1,1,"I.A. + Fasce") &amp; ":" &amp; ADDRESS(531,22+MATCH('I.A. + Fasce'!$P$28,'I.A. + Fasce'!$W$6:$AA$6,0),1,1)),0)),"")</f>
        <v>BARELLA</v>
      </c>
      <c r="P31" s="28" t="str">
        <f ca="1">IF(ISNUMBER(P$3),INDIRECT("'I.A. + Fasce'!B" &amp; 310 + MATCH(P$3+COUNTIF($M$3:$X$3,"&gt;0")*($Y31-1),INDIRECT(ADDRESS(311,22+MATCH('I.A. + Fasce'!$P$28,'I.A. + Fasce'!$W$6:$AA$6,0),1,1,"I.A. + Fasce") &amp; ":" &amp; ADDRESS(531,22+MATCH('I.A. + Fasce'!$P$28,'I.A. + Fasce'!$W$6:$AA$6,0),1,1)),0)),"")</f>
        <v>DIAWARA</v>
      </c>
      <c r="Q31" s="28" t="str">
        <f ca="1">IF(ISNUMBER(Q$3),INDIRECT("'I.A. + Fasce'!B" &amp; 310 + MATCH(Q$3+COUNTIF($M$3:$X$3,"&gt;0")*($Y31-1),INDIRECT(ADDRESS(311,22+MATCH('I.A. + Fasce'!$P$28,'I.A. + Fasce'!$W$6:$AA$6,0),1,1,"I.A. + Fasce") &amp; ":" &amp; ADDRESS(531,22+MATCH('I.A. + Fasce'!$P$28,'I.A. + Fasce'!$W$6:$AA$6,0),1,1)),0)),"")</f>
        <v>VERETOUT</v>
      </c>
      <c r="R31" s="28" t="str">
        <f ca="1">IF(ISNUMBER(R$3),INDIRECT("'I.A. + Fasce'!B" &amp; 310 + MATCH(R$3+COUNTIF($M$3:$X$3,"&gt;0")*($Y31-1),INDIRECT(ADDRESS(311,22+MATCH('I.A. + Fasce'!$P$28,'I.A. + Fasce'!$W$6:$AA$6,0),1,1,"I.A. + Fasce") &amp; ":" &amp; ADDRESS(531,22+MATCH('I.A. + Fasce'!$P$28,'I.A. + Fasce'!$W$6:$AA$6,0),1,1)),0)),"")</f>
        <v>LAZOVIC</v>
      </c>
      <c r="S31" s="28" t="str">
        <f ca="1">IF(ISNUMBER(S$3),INDIRECT("'I.A. + Fasce'!B" &amp; 310 + MATCH(S$3+COUNTIF($M$3:$X$3,"&gt;0")*($Y31-1),INDIRECT(ADDRESS(311,22+MATCH('I.A. + Fasce'!$P$28,'I.A. + Fasce'!$W$6:$AA$6,0),1,1,"I.A. + Fasce") &amp; ":" &amp; ADDRESS(531,22+MATCH('I.A. + Fasce'!$P$28,'I.A. + Fasce'!$W$6:$AA$6,0),1,1)),0)),"")</f>
        <v>BARRETO E</v>
      </c>
      <c r="T31" s="28" t="str">
        <f ca="1">IF(ISNUMBER(T$3),INDIRECT("'I.A. + Fasce'!B" &amp; 310 + MATCH(T$3+COUNTIF($M$3:$X$3,"&gt;0")*($Y31-1),INDIRECT(ADDRESS(311,22+MATCH('I.A. + Fasce'!$P$28,'I.A. + Fasce'!$W$6:$AA$6,0),1,1,"I.A. + Fasce") &amp; ":" &amp; ADDRESS(531,22+MATCH('I.A. + Fasce'!$P$28,'I.A. + Fasce'!$W$6:$AA$6,0),1,1)),0)),"")</f>
        <v>TAIDER</v>
      </c>
      <c r="U31" s="28" t="str">
        <f ca="1">IF(ISNUMBER(U$3),INDIRECT("'I.A. + Fasce'!B" &amp; 310 + MATCH(U$3+COUNTIF($M$3:$X$3,"&gt;0")*($Y31-1),INDIRECT(ADDRESS(311,22+MATCH('I.A. + Fasce'!$P$28,'I.A. + Fasce'!$W$6:$AA$6,0),1,1,"I.A. + Fasce") &amp; ":" &amp; ADDRESS(531,22+MATCH('I.A. + Fasce'!$P$28,'I.A. + Fasce'!$W$6:$AA$6,0),1,1)),0)),"")</f>
        <v/>
      </c>
      <c r="V31" s="28" t="str">
        <f ca="1">IF(ISNUMBER(V$3),INDIRECT("'I.A. + Fasce'!B" &amp; 310 + MATCH(V$3+COUNTIF($M$3:$X$3,"&gt;0")*($Y31-1),INDIRECT(ADDRESS(311,22+MATCH('I.A. + Fasce'!$P$28,'I.A. + Fasce'!$W$6:$AA$6,0),1,1,"I.A. + Fasce") &amp; ":" &amp; ADDRESS(531,22+MATCH('I.A. + Fasce'!$P$28,'I.A. + Fasce'!$W$6:$AA$6,0),1,1)),0)),"")</f>
        <v/>
      </c>
      <c r="W31" s="28" t="str">
        <f ca="1">IF(ISNUMBER(W$3),INDIRECT("'I.A. + Fasce'!B" &amp; 310 + MATCH(W$3+COUNTIF($M$3:$X$3,"&gt;0")*($Y31-1),INDIRECT(ADDRESS(311,22+MATCH('I.A. + Fasce'!$P$28,'I.A. + Fasce'!$W$6:$AA$6,0),1,1,"I.A. + Fasce") &amp; ":" &amp; ADDRESS(531,22+MATCH('I.A. + Fasce'!$P$28,'I.A. + Fasce'!$W$6:$AA$6,0),1,1)),0)),"")</f>
        <v/>
      </c>
      <c r="X31" s="28" t="str">
        <f ca="1">IF(ISNUMBER(X$3),INDIRECT("'I.A. + Fasce'!B" &amp; 310 + MATCH(X$3+COUNTIF($M$3:$X$3,"&gt;0")*($Y31-1),INDIRECT(ADDRESS(311,22+MATCH('I.A. + Fasce'!$P$28,'I.A. + Fasce'!$W$6:$AA$6,0),1,1,"I.A. + Fasce") &amp; ":" &amp; ADDRESS(531,22+MATCH('I.A. + Fasce'!$P$28,'I.A. + Fasce'!$W$6:$AA$6,0),1,1)),0)),"")</f>
        <v/>
      </c>
      <c r="Y31" s="27">
        <v>9</v>
      </c>
      <c r="AG31" s="35" t="str">
        <f ca="1">Rose!Z7</f>
        <v/>
      </c>
      <c r="AH31" s="35" t="str">
        <f ca="1">Rose!H20</f>
        <v/>
      </c>
      <c r="AI31" s="35" t="str">
        <f ca="1">Rose!H36</f>
        <v/>
      </c>
      <c r="AJ31" s="35" t="str">
        <f ca="1">Rose!K48</f>
        <v/>
      </c>
      <c r="AK31" s="35"/>
    </row>
    <row r="32" spans="1:37">
      <c r="A32" s="30" t="str">
        <f>IF(Asta!$AD$3&lt;Y32,"","C")</f>
        <v/>
      </c>
      <c r="B32" s="31" t="str">
        <f ca="1">INDIRECT(ADDRESS(ROW()+7,MATCH(Asta!$D$3,Rose!$A$3:$AJ$3,0)+1,1,1,"Rose"))</f>
        <v/>
      </c>
      <c r="C32" s="38">
        <f ca="1">IF(ISNA(VLOOKUP(B32,Giocatori!$B$9:$C$545,2,FALSE)),ROW(),VLOOKUP(B32,Giocatori!$B$9:$C$545,2,FALSE))</f>
        <v>32</v>
      </c>
      <c r="D32" s="31" t="str">
        <f ca="1">INDIRECT(ADDRESS(ROW()+7,MATCH(Asta!$D$3,Rose!$A$3:$AJ$3,0)+2,1,1,"Rose"))</f>
        <v/>
      </c>
      <c r="E32" s="36">
        <v>1</v>
      </c>
      <c r="F32" s="33">
        <f t="shared" si="12"/>
        <v>0.2857142857142857</v>
      </c>
      <c r="G32" s="32">
        <f t="shared" ca="1" si="13"/>
        <v>0</v>
      </c>
      <c r="H32" s="34" t="str">
        <f t="shared" ca="1" si="14"/>
        <v>ROHDEN</v>
      </c>
      <c r="I32" s="34" t="str">
        <f t="shared" ca="1" si="15"/>
        <v>DE ROSSI</v>
      </c>
      <c r="J32" s="34" t="str">
        <f t="shared" ca="1" si="16"/>
        <v>LUCAS LEIVA</v>
      </c>
      <c r="K32" s="34" t="str">
        <f t="shared" ca="1" si="17"/>
        <v>POLI</v>
      </c>
      <c r="L32" s="34" t="str">
        <f t="shared" ca="1" si="18"/>
        <v>STOIAN</v>
      </c>
      <c r="M32" s="28" t="str">
        <f ca="1">IF(ISNUMBER(M$3),INDIRECT("'I.A. + Fasce'!B" &amp; 310 + MATCH(M$3+COUNTIF($M$3:$X$3,"&gt;0")*($Y32-1),INDIRECT(ADDRESS(311,22+MATCH('I.A. + Fasce'!$P$28,'I.A. + Fasce'!$W$6:$AA$6,0),1,1,"I.A. + Fasce") &amp; ":" &amp; ADDRESS(531,22+MATCH('I.A. + Fasce'!$P$28,'I.A. + Fasce'!$W$6:$AA$6,0),1,1)),0)),"")</f>
        <v>ROHDEN</v>
      </c>
      <c r="N32" s="28" t="str">
        <f ca="1">IF(ISNUMBER(N$3),INDIRECT("'I.A. + Fasce'!B" &amp; 310 + MATCH(N$3+COUNTIF($M$3:$X$3,"&gt;0")*($Y32-1),INDIRECT(ADDRESS(311,22+MATCH('I.A. + Fasce'!$P$28,'I.A. + Fasce'!$W$6:$AA$6,0),1,1,"I.A. + Fasce") &amp; ":" &amp; ADDRESS(531,22+MATCH('I.A. + Fasce'!$P$28,'I.A. + Fasce'!$W$6:$AA$6,0),1,1)),0)),"")</f>
        <v>DE ROSSI</v>
      </c>
      <c r="O32" s="28" t="str">
        <f ca="1">IF(ISNUMBER(O$3),INDIRECT("'I.A. + Fasce'!B" &amp; 310 + MATCH(O$3+COUNTIF($M$3:$X$3,"&gt;0")*($Y32-1),INDIRECT(ADDRESS(311,22+MATCH('I.A. + Fasce'!$P$28,'I.A. + Fasce'!$W$6:$AA$6,0),1,1,"I.A. + Fasce") &amp; ":" &amp; ADDRESS(531,22+MATCH('I.A. + Fasce'!$P$28,'I.A. + Fasce'!$W$6:$AA$6,0),1,1)),0)),"")</f>
        <v>LUCAS LEIVA</v>
      </c>
      <c r="P32" s="28" t="str">
        <f ca="1">IF(ISNUMBER(P$3),INDIRECT("'I.A. + Fasce'!B" &amp; 310 + MATCH(P$3+COUNTIF($M$3:$X$3,"&gt;0")*($Y32-1),INDIRECT(ADDRESS(311,22+MATCH('I.A. + Fasce'!$P$28,'I.A. + Fasce'!$W$6:$AA$6,0),1,1,"I.A. + Fasce") &amp; ":" &amp; ADDRESS(531,22+MATCH('I.A. + Fasce'!$P$28,'I.A. + Fasce'!$W$6:$AA$6,0),1,1)),0)),"")</f>
        <v>POLI</v>
      </c>
      <c r="Q32" s="28" t="str">
        <f ca="1">IF(ISNUMBER(Q$3),INDIRECT("'I.A. + Fasce'!B" &amp; 310 + MATCH(Q$3+COUNTIF($M$3:$X$3,"&gt;0")*($Y32-1),INDIRECT(ADDRESS(311,22+MATCH('I.A. + Fasce'!$P$28,'I.A. + Fasce'!$W$6:$AA$6,0),1,1,"I.A. + Fasce") &amp; ":" &amp; ADDRESS(531,22+MATCH('I.A. + Fasce'!$P$28,'I.A. + Fasce'!$W$6:$AA$6,0),1,1)),0)),"")</f>
        <v>STOIAN</v>
      </c>
      <c r="R32" s="28" t="str">
        <f ca="1">IF(ISNUMBER(R$3),INDIRECT("'I.A. + Fasce'!B" &amp; 310 + MATCH(R$3+COUNTIF($M$3:$X$3,"&gt;0")*($Y32-1),INDIRECT(ADDRESS(311,22+MATCH('I.A. + Fasce'!$P$28,'I.A. + Fasce'!$W$6:$AA$6,0),1,1,"I.A. + Fasce") &amp; ":" &amp; ADDRESS(531,22+MATCH('I.A. + Fasce'!$P$28,'I.A. + Fasce'!$W$6:$AA$6,0),1,1)),0)),"")</f>
        <v>VIVIANI</v>
      </c>
      <c r="S32" s="28" t="str">
        <f ca="1">IF(ISNUMBER(S$3),INDIRECT("'I.A. + Fasce'!B" &amp; 310 + MATCH(S$3+COUNTIF($M$3:$X$3,"&gt;0")*($Y32-1),INDIRECT(ADDRESS(311,22+MATCH('I.A. + Fasce'!$P$28,'I.A. + Fasce'!$W$6:$AA$6,0),1,1,"I.A. + Fasce") &amp; ":" &amp; ADDRESS(531,22+MATCH('I.A. + Fasce'!$P$28,'I.A. + Fasce'!$W$6:$AA$6,0),1,1)),0)),"")</f>
        <v>MIGUEL VELOSO</v>
      </c>
      <c r="T32" s="28" t="str">
        <f ca="1">IF(ISNUMBER(T$3),INDIRECT("'I.A. + Fasce'!B" &amp; 310 + MATCH(T$3+COUNTIF($M$3:$X$3,"&gt;0")*($Y32-1),INDIRECT(ADDRESS(311,22+MATCH('I.A. + Fasce'!$P$28,'I.A. + Fasce'!$W$6:$AA$6,0),1,1,"I.A. + Fasce") &amp; ":" &amp; ADDRESS(531,22+MATCH('I.A. + Fasce'!$P$28,'I.A. + Fasce'!$W$6:$AA$6,0),1,1)),0)),"")</f>
        <v>SPINAZZOLA</v>
      </c>
      <c r="U32" s="28" t="str">
        <f ca="1">IF(ISNUMBER(U$3),INDIRECT("'I.A. + Fasce'!B" &amp; 310 + MATCH(U$3+COUNTIF($M$3:$X$3,"&gt;0")*($Y32-1),INDIRECT(ADDRESS(311,22+MATCH('I.A. + Fasce'!$P$28,'I.A. + Fasce'!$W$6:$AA$6,0),1,1,"I.A. + Fasce") &amp; ":" &amp; ADDRESS(531,22+MATCH('I.A. + Fasce'!$P$28,'I.A. + Fasce'!$W$6:$AA$6,0),1,1)),0)),"")</f>
        <v/>
      </c>
      <c r="V32" s="28" t="str">
        <f ca="1">IF(ISNUMBER(V$3),INDIRECT("'I.A. + Fasce'!B" &amp; 310 + MATCH(V$3+COUNTIF($M$3:$X$3,"&gt;0")*($Y32-1),INDIRECT(ADDRESS(311,22+MATCH('I.A. + Fasce'!$P$28,'I.A. + Fasce'!$W$6:$AA$6,0),1,1,"I.A. + Fasce") &amp; ":" &amp; ADDRESS(531,22+MATCH('I.A. + Fasce'!$P$28,'I.A. + Fasce'!$W$6:$AA$6,0),1,1)),0)),"")</f>
        <v/>
      </c>
      <c r="W32" s="28" t="str">
        <f ca="1">IF(ISNUMBER(W$3),INDIRECT("'I.A. + Fasce'!B" &amp; 310 + MATCH(W$3+COUNTIF($M$3:$X$3,"&gt;0")*($Y32-1),INDIRECT(ADDRESS(311,22+MATCH('I.A. + Fasce'!$P$28,'I.A. + Fasce'!$W$6:$AA$6,0),1,1,"I.A. + Fasce") &amp; ":" &amp; ADDRESS(531,22+MATCH('I.A. + Fasce'!$P$28,'I.A. + Fasce'!$W$6:$AA$6,0),1,1)),0)),"")</f>
        <v/>
      </c>
      <c r="X32" s="28" t="str">
        <f ca="1">IF(ISNUMBER(X$3),INDIRECT("'I.A. + Fasce'!B" &amp; 310 + MATCH(X$3+COUNTIF($M$3:$X$3,"&gt;0")*($Y32-1),INDIRECT(ADDRESS(311,22+MATCH('I.A. + Fasce'!$P$28,'I.A. + Fasce'!$W$6:$AA$6,0),1,1,"I.A. + Fasce") &amp; ":" &amp; ADDRESS(531,22+MATCH('I.A. + Fasce'!$P$28,'I.A. + Fasce'!$W$6:$AA$6,0),1,1)),0)),"")</f>
        <v/>
      </c>
      <c r="Y32" s="27">
        <v>10</v>
      </c>
      <c r="AG32" s="35" t="str">
        <f ca="1">Rose!AC5</f>
        <v/>
      </c>
      <c r="AH32" s="35" t="str">
        <f ca="1">Rose!H21</f>
        <v/>
      </c>
      <c r="AI32" s="35" t="str">
        <f ca="1">Rose!H37</f>
        <v/>
      </c>
      <c r="AJ32" s="35" t="str">
        <f ca="1">Rose!K49</f>
        <v/>
      </c>
      <c r="AK32" s="35"/>
    </row>
    <row r="33" spans="1:37">
      <c r="B33" s="329" t="s">
        <v>651</v>
      </c>
      <c r="C33" s="329"/>
      <c r="D33" s="329">
        <f ca="1">SUM(D23:D32)</f>
        <v>0</v>
      </c>
      <c r="E33" s="332">
        <f>SUM(E23:E32)</f>
        <v>62</v>
      </c>
      <c r="F33" s="333">
        <f>SUM(F23:F32)</f>
        <v>17.714285714285708</v>
      </c>
      <c r="G33" s="37">
        <f t="shared" ref="G33" ca="1" si="19">E33-D33</f>
        <v>62</v>
      </c>
      <c r="H33" s="38"/>
      <c r="I33" s="38"/>
      <c r="J33" s="38"/>
      <c r="K33" s="38"/>
      <c r="L33" s="38"/>
      <c r="M33" s="39"/>
      <c r="N33" s="39"/>
      <c r="O33" s="39"/>
      <c r="P33" s="39"/>
      <c r="Q33" s="39"/>
      <c r="R33" s="39"/>
      <c r="S33" s="39"/>
      <c r="T33" s="39"/>
      <c r="U33" s="39"/>
      <c r="V33" s="39"/>
      <c r="AG33" s="35" t="str">
        <f ca="1">Rose!AC6</f>
        <v/>
      </c>
      <c r="AH33" s="35" t="str">
        <f ca="1">Rose!H22</f>
        <v/>
      </c>
      <c r="AI33" s="35" t="str">
        <f ca="1">Rose!H38</f>
        <v/>
      </c>
      <c r="AJ33" s="35" t="str">
        <f ca="1">Rose!K50</f>
        <v/>
      </c>
      <c r="AK33" s="35"/>
    </row>
    <row r="34" spans="1:37">
      <c r="B34" s="329" t="s">
        <v>649</v>
      </c>
      <c r="C34" s="329"/>
      <c r="D34" s="329">
        <f ca="1">D21+D33</f>
        <v>0</v>
      </c>
      <c r="E34" s="40"/>
      <c r="F34" s="40"/>
      <c r="G34" s="41"/>
      <c r="H34" s="42"/>
      <c r="I34" s="42"/>
      <c r="J34" s="42"/>
      <c r="K34" s="42"/>
      <c r="L34" s="42"/>
      <c r="M34" s="39"/>
      <c r="N34" s="39"/>
      <c r="O34" s="39"/>
      <c r="P34" s="39"/>
      <c r="Q34" s="39"/>
      <c r="R34" s="39"/>
      <c r="S34" s="39"/>
      <c r="T34" s="39"/>
      <c r="U34" s="39"/>
      <c r="V34" s="39"/>
      <c r="AG34" s="35" t="str">
        <f ca="1">Rose!AC7</f>
        <v/>
      </c>
      <c r="AH34" s="35" t="str">
        <f ca="1">Rose!H23</f>
        <v/>
      </c>
      <c r="AI34" s="35" t="str">
        <f ca="1">Rose!H39</f>
        <v/>
      </c>
      <c r="AJ34" s="35" t="str">
        <f ca="1">Rose!K51</f>
        <v/>
      </c>
      <c r="AK34" s="35"/>
    </row>
    <row r="35" spans="1:37">
      <c r="A35" s="543" t="s">
        <v>44</v>
      </c>
      <c r="B35" s="543"/>
      <c r="C35" s="432" t="s">
        <v>637</v>
      </c>
      <c r="D35" s="330" t="s">
        <v>644</v>
      </c>
      <c r="E35" s="330" t="s">
        <v>644</v>
      </c>
      <c r="F35" s="330" t="s">
        <v>646</v>
      </c>
      <c r="G35" s="41"/>
      <c r="H35" s="545" t="s">
        <v>647</v>
      </c>
      <c r="I35" s="545"/>
      <c r="J35" s="545"/>
      <c r="K35" s="545"/>
      <c r="L35" s="545"/>
      <c r="M35" s="43">
        <f t="shared" ref="M35:X35" si="20">M$3</f>
        <v>1</v>
      </c>
      <c r="N35" s="43">
        <f t="shared" si="20"/>
        <v>2</v>
      </c>
      <c r="O35" s="43">
        <f t="shared" si="20"/>
        <v>3</v>
      </c>
      <c r="P35" s="43">
        <f t="shared" si="20"/>
        <v>4</v>
      </c>
      <c r="Q35" s="43">
        <f t="shared" si="20"/>
        <v>5</v>
      </c>
      <c r="R35" s="43">
        <f t="shared" si="20"/>
        <v>6</v>
      </c>
      <c r="S35" s="43">
        <f t="shared" si="20"/>
        <v>7</v>
      </c>
      <c r="T35" s="43">
        <f t="shared" si="20"/>
        <v>8</v>
      </c>
      <c r="U35" s="43" t="str">
        <f t="shared" si="20"/>
        <v/>
      </c>
      <c r="V35" s="43" t="str">
        <f t="shared" si="20"/>
        <v/>
      </c>
      <c r="W35" s="43" t="str">
        <f t="shared" si="20"/>
        <v/>
      </c>
      <c r="X35" s="43" t="str">
        <f t="shared" si="20"/>
        <v/>
      </c>
      <c r="AG35" s="35" t="str">
        <f ca="1">Rose!AF5</f>
        <v/>
      </c>
      <c r="AH35" s="35" t="str">
        <f ca="1">Rose!K14</f>
        <v/>
      </c>
      <c r="AI35" s="35" t="str">
        <f ca="1">Rose!K30</f>
        <v/>
      </c>
      <c r="AJ35" s="35" t="str">
        <f ca="1">Rose!K52</f>
        <v/>
      </c>
      <c r="AK35" s="35"/>
    </row>
    <row r="36" spans="1:37">
      <c r="A36" s="30" t="str">
        <f>IF(Asta!$AE$3&lt;Y36,"","A")</f>
        <v>A</v>
      </c>
      <c r="B36" s="31" t="str">
        <f ca="1">INDIRECT(ADDRESS(ROW()+10,MATCH(Asta!$D$3,Rose!$A$3:$AJ$3,0)+1,1,1,"Rose"))</f>
        <v/>
      </c>
      <c r="C36" s="38">
        <f ca="1">IF(ISNA(VLOOKUP(B36,Giocatori!$B$9:$C$545,2,FALSE)),ROW(),VLOOKUP(B36,Giocatori!$B$9:$C$545,2,FALSE))</f>
        <v>36</v>
      </c>
      <c r="D36" s="31" t="str">
        <f ca="1">INDIRECT(ADDRESS(ROW()+10,MATCH(Asta!$D$3,Rose!$A$3:$AJ$3,0)+2,1,1,"Rose"))</f>
        <v/>
      </c>
      <c r="E36" s="32">
        <v>70</v>
      </c>
      <c r="F36" s="33">
        <f t="shared" ref="F36:F43" si="21">100*E36/$E$50</f>
        <v>20</v>
      </c>
      <c r="G36" s="32">
        <f t="shared" ref="G36:G43" ca="1" si="22">IF(D36="",0,E36-D36)</f>
        <v>0</v>
      </c>
      <c r="H36" s="34" t="str">
        <f t="shared" ref="H36:L43" ca="1" si="23">M36</f>
        <v>HIGUAIN</v>
      </c>
      <c r="I36" s="34" t="str">
        <f t="shared" ca="1" si="23"/>
        <v>DYBALA</v>
      </c>
      <c r="J36" s="34" t="str">
        <f t="shared" ca="1" si="23"/>
        <v>MERTENS</v>
      </c>
      <c r="K36" s="34" t="str">
        <f t="shared" ca="1" si="23"/>
        <v>DZEKO</v>
      </c>
      <c r="L36" s="34" t="str">
        <f t="shared" ca="1" si="23"/>
        <v>INSIGNE</v>
      </c>
      <c r="M36" s="28" t="str">
        <f ca="1">IF(ISNUMBER(M$3),INDIRECT("'I.A. + Fasce'!B" &amp; 642 + MATCH(M$3+COUNTIF($M$3:$X$3,"&gt;0")*($Y36-1),INDIRECT(ADDRESS(643,22+MATCH('I.A. + Fasce'!$P$30,'I.A. + Fasce'!$W$6:$AA$6,0),1,1,"I.A. + Fasce") &amp; ":" &amp; ADDRESS(762,22+MATCH('I.A. + Fasce'!$P$30,'I.A. + Fasce'!$W$6:$AA$6,0),1,1)),0)),"")</f>
        <v>HIGUAIN</v>
      </c>
      <c r="N36" s="28" t="str">
        <f ca="1">IF(ISNUMBER(N$3),INDIRECT("'I.A. + Fasce'!B" &amp; 642 + MATCH(N$3+COUNTIF($M$3:$X$3,"&gt;0")*($Y36-1),INDIRECT(ADDRESS(643,22+MATCH('I.A. + Fasce'!$P$30,'I.A. + Fasce'!$W$6:$AA$6,0),1,1,"I.A. + Fasce") &amp; ":" &amp; ADDRESS(762,22+MATCH('I.A. + Fasce'!$P$30,'I.A. + Fasce'!$W$6:$AA$6,0),1,1)),0)),"")</f>
        <v>DYBALA</v>
      </c>
      <c r="O36" s="28" t="str">
        <f ca="1">IF(ISNUMBER(O$3),INDIRECT("'I.A. + Fasce'!B" &amp; 642 + MATCH(O$3+COUNTIF($M$3:$X$3,"&gt;0")*($Y36-1),INDIRECT(ADDRESS(643,22+MATCH('I.A. + Fasce'!$P$30,'I.A. + Fasce'!$W$6:$AA$6,0),1,1,"I.A. + Fasce") &amp; ":" &amp; ADDRESS(762,22+MATCH('I.A. + Fasce'!$P$30,'I.A. + Fasce'!$W$6:$AA$6,0),1,1)),0)),"")</f>
        <v>MERTENS</v>
      </c>
      <c r="P36" s="28" t="str">
        <f ca="1">IF(ISNUMBER(P$3),INDIRECT("'I.A. + Fasce'!B" &amp; 642 + MATCH(P$3+COUNTIF($M$3:$X$3,"&gt;0")*($Y36-1),INDIRECT(ADDRESS(643,22+MATCH('I.A. + Fasce'!$P$30,'I.A. + Fasce'!$W$6:$AA$6,0),1,1,"I.A. + Fasce") &amp; ":" &amp; ADDRESS(762,22+MATCH('I.A. + Fasce'!$P$30,'I.A. + Fasce'!$W$6:$AA$6,0),1,1)),0)),"")</f>
        <v>DZEKO</v>
      </c>
      <c r="Q36" s="28" t="str">
        <f ca="1">IF(ISNUMBER(Q$3),INDIRECT("'I.A. + Fasce'!B" &amp; 642 + MATCH(Q$3+COUNTIF($M$3:$X$3,"&gt;0")*($Y36-1),INDIRECT(ADDRESS(643,22+MATCH('I.A. + Fasce'!$P$30,'I.A. + Fasce'!$W$6:$AA$6,0),1,1,"I.A. + Fasce") &amp; ":" &amp; ADDRESS(762,22+MATCH('I.A. + Fasce'!$P$30,'I.A. + Fasce'!$W$6:$AA$6,0),1,1)),0)),"")</f>
        <v>INSIGNE</v>
      </c>
      <c r="R36" s="28" t="str">
        <f ca="1">IF(ISNUMBER(R$3),INDIRECT("'I.A. + Fasce'!B" &amp; 642 + MATCH(R$3+COUNTIF($M$3:$X$3,"&gt;0")*($Y36-1),INDIRECT(ADDRESS(643,22+MATCH('I.A. + Fasce'!$P$30,'I.A. + Fasce'!$W$6:$AA$6,0),1,1,"I.A. + Fasce") &amp; ":" &amp; ADDRESS(762,22+MATCH('I.A. + Fasce'!$P$30,'I.A. + Fasce'!$W$6:$AA$6,0),1,1)),0)),"")</f>
        <v>CALLEJON</v>
      </c>
      <c r="S36" s="28" t="str">
        <f ca="1">IF(ISNUMBER(S$3),INDIRECT("'I.A. + Fasce'!B" &amp; 642 + MATCH(S$3+COUNTIF($M$3:$X$3,"&gt;0")*($Y36-1),INDIRECT(ADDRESS(643,22+MATCH('I.A. + Fasce'!$P$30,'I.A. + Fasce'!$W$6:$AA$6,0),1,1,"I.A. + Fasce") &amp; ":" &amp; ADDRESS(762,22+MATCH('I.A. + Fasce'!$P$30,'I.A. + Fasce'!$W$6:$AA$6,0),1,1)),0)),"")</f>
        <v>IMMOBILE</v>
      </c>
      <c r="T36" s="28" t="str">
        <f ca="1">IF(ISNUMBER(T$3),INDIRECT("'I.A. + Fasce'!B" &amp; 642 + MATCH(T$3+COUNTIF($M$3:$X$3,"&gt;0")*($Y36-1),INDIRECT(ADDRESS(643,22+MATCH('I.A. + Fasce'!$P$30,'I.A. + Fasce'!$W$6:$AA$6,0),1,1,"I.A. + Fasce") &amp; ":" &amp; ADDRESS(762,22+MATCH('I.A. + Fasce'!$P$30,'I.A. + Fasce'!$W$6:$AA$6,0),1,1)),0)),"")</f>
        <v>BELOTTI</v>
      </c>
      <c r="U36" s="28" t="str">
        <f ca="1">IF(ISNUMBER(U$3),INDIRECT("'I.A. + Fasce'!B" &amp; 642 + MATCH(U$3+COUNTIF($M$3:$X$3,"&gt;0")*($Y36-1),INDIRECT(ADDRESS(643,22+MATCH('I.A. + Fasce'!$P$30,'I.A. + Fasce'!$W$6:$AA$6,0),1,1,"I.A. + Fasce") &amp; ":" &amp; ADDRESS(762,22+MATCH('I.A. + Fasce'!$P$30,'I.A. + Fasce'!$W$6:$AA$6,0),1,1)),0)),"")</f>
        <v/>
      </c>
      <c r="V36" s="28" t="str">
        <f ca="1">IF(ISNUMBER(V$3),INDIRECT("'I.A. + Fasce'!B" &amp; 642 + MATCH(V$3+COUNTIF($M$3:$X$3,"&gt;0")*($Y36-1),INDIRECT(ADDRESS(643,22+MATCH('I.A. + Fasce'!$P$30,'I.A. + Fasce'!$W$6:$AA$6,0),1,1,"I.A. + Fasce") &amp; ":" &amp; ADDRESS(762,22+MATCH('I.A. + Fasce'!$P$30,'I.A. + Fasce'!$W$6:$AA$6,0),1,1)),0)),"")</f>
        <v/>
      </c>
      <c r="W36" s="28" t="str">
        <f ca="1">IF(ISNUMBER(W$3),INDIRECT("'I.A. + Fasce'!B" &amp; 642 + MATCH(W$3+COUNTIF($M$3:$X$3,"&gt;0")*($Y36-1),INDIRECT(ADDRESS(643,22+MATCH('I.A. + Fasce'!$P$30,'I.A. + Fasce'!$W$6:$AA$6,0),1,1,"I.A. + Fasce") &amp; ":" &amp; ADDRESS(762,22+MATCH('I.A. + Fasce'!$P$30,'I.A. + Fasce'!$W$6:$AA$6,0),1,1)),0)),"")</f>
        <v/>
      </c>
      <c r="X36" s="28" t="str">
        <f ca="1">IF(ISNUMBER(X$3),INDIRECT("'I.A. + Fasce'!B" &amp; 642 + MATCH(X$3+COUNTIF($M$3:$X$3,"&gt;0")*($Y36-1),INDIRECT(ADDRESS(643,22+MATCH('I.A. + Fasce'!$P$30,'I.A. + Fasce'!$W$6:$AA$6,0),1,1,"I.A. + Fasce") &amp; ":" &amp; ADDRESS(762,22+MATCH('I.A. + Fasce'!$P$30,'I.A. + Fasce'!$W$6:$AA$6,0),1,1)),0)),"")</f>
        <v/>
      </c>
      <c r="Y36" s="27">
        <v>1</v>
      </c>
      <c r="AG36" s="35" t="str">
        <f ca="1">Rose!AF6</f>
        <v/>
      </c>
      <c r="AH36" s="35" t="str">
        <f ca="1">Rose!K15</f>
        <v/>
      </c>
      <c r="AI36" s="35" t="str">
        <f ca="1">Rose!K31</f>
        <v/>
      </c>
      <c r="AJ36" s="35" t="str">
        <f ca="1">Rose!K53</f>
        <v/>
      </c>
      <c r="AK36" s="35"/>
    </row>
    <row r="37" spans="1:37">
      <c r="A37" s="30" t="str">
        <f>IF(Asta!$AE$3&lt;Y37,"","A")</f>
        <v>A</v>
      </c>
      <c r="B37" s="31" t="str">
        <f ca="1">INDIRECT(ADDRESS(ROW()+10,MATCH(Asta!$D$3,Rose!$A$3:$AJ$3,0)+1,1,1,"Rose"))</f>
        <v/>
      </c>
      <c r="C37" s="38">
        <f ca="1">IF(ISNA(VLOOKUP(B37,Giocatori!$B$9:$C$545,2,FALSE)),ROW(),VLOOKUP(B37,Giocatori!$B$9:$C$545,2,FALSE))</f>
        <v>37</v>
      </c>
      <c r="D37" s="31" t="str">
        <f ca="1">INDIRECT(ADDRESS(ROW()+10,MATCH(Asta!$D$3,Rose!$A$3:$AJ$3,0)+2,1,1,"Rose"))</f>
        <v/>
      </c>
      <c r="E37" s="32">
        <v>45</v>
      </c>
      <c r="F37" s="33">
        <f t="shared" si="21"/>
        <v>12.857142857142858</v>
      </c>
      <c r="G37" s="32">
        <f t="shared" ca="1" si="22"/>
        <v>0</v>
      </c>
      <c r="H37" s="34" t="str">
        <f t="shared" ca="1" si="23"/>
        <v>GOMEZ A</v>
      </c>
      <c r="I37" s="34" t="str">
        <f t="shared" ca="1" si="23"/>
        <v>ICARDI</v>
      </c>
      <c r="J37" s="34" t="str">
        <f t="shared" ca="1" si="23"/>
        <v>GOMEZ A</v>
      </c>
      <c r="K37" s="34" t="str">
        <f t="shared" ca="1" si="23"/>
        <v>SCHICK</v>
      </c>
      <c r="L37" s="34" t="str">
        <f t="shared" ca="1" si="23"/>
        <v>MILIK</v>
      </c>
      <c r="M37" s="28" t="str">
        <f ca="1">IF(ISNUMBER(M$3),INDIRECT("'I.A. + Fasce'!B" &amp; 642 + MATCH(M$3+COUNTIF($M$3:$X$3,"&gt;0")*($Y37-1),INDIRECT(ADDRESS(643,22+MATCH('I.A. + Fasce'!$P$28,'I.A. + Fasce'!$W$6:$AA$6,0),1,1,"I.A. + Fasce") &amp; ":" &amp; ADDRESS(762,22+MATCH('I.A. + Fasce'!$P$28,'I.A. + Fasce'!$W$6:$AA$6,0),1,1)),0)),"")</f>
        <v>GOMEZ A</v>
      </c>
      <c r="N37" s="28" t="str">
        <f ca="1">IF(ISNUMBER(N$3),INDIRECT("'I.A. + Fasce'!B" &amp; 642 + MATCH(N$3+COUNTIF($M$3:$X$3,"&gt;0")*($Y37-1),INDIRECT(ADDRESS(643,22+MATCH('I.A. + Fasce'!$P$30,'I.A. + Fasce'!$W$6:$AA$6,0),1,1,"I.A. + Fasce") &amp; ":" &amp; ADDRESS(762,22+MATCH('I.A. + Fasce'!$P$30,'I.A. + Fasce'!$W$6:$AA$6,0),1,1)),0)),"")</f>
        <v>ICARDI</v>
      </c>
      <c r="O37" s="28" t="str">
        <f ca="1">IF(ISNUMBER(O$3),INDIRECT("'I.A. + Fasce'!B" &amp; 642 + MATCH(O$3+COUNTIF($M$3:$X$3,"&gt;0")*($Y37-1),INDIRECT(ADDRESS(643,22+MATCH('I.A. + Fasce'!$P$30,'I.A. + Fasce'!$W$6:$AA$6,0),1,1,"I.A. + Fasce") &amp; ":" &amp; ADDRESS(762,22+MATCH('I.A. + Fasce'!$P$30,'I.A. + Fasce'!$W$6:$AA$6,0),1,1)),0)),"")</f>
        <v>GOMEZ A</v>
      </c>
      <c r="P37" s="28" t="str">
        <f ca="1">IF(ISNUMBER(P$3),INDIRECT("'I.A. + Fasce'!B" &amp; 642 + MATCH(P$3+COUNTIF($M$3:$X$3,"&gt;0")*($Y37-1),INDIRECT(ADDRESS(643,22+MATCH('I.A. + Fasce'!$P$30,'I.A. + Fasce'!$W$6:$AA$6,0),1,1,"I.A. + Fasce") &amp; ":" &amp; ADDRESS(762,22+MATCH('I.A. + Fasce'!$P$30,'I.A. + Fasce'!$W$6:$AA$6,0),1,1)),0)),"")</f>
        <v>SCHICK</v>
      </c>
      <c r="Q37" s="28" t="str">
        <f ca="1">IF(ISNUMBER(Q$3),INDIRECT("'I.A. + Fasce'!B" &amp; 642 + MATCH(Q$3+COUNTIF($M$3:$X$3,"&gt;0")*($Y37-1),INDIRECT(ADDRESS(643,22+MATCH('I.A. + Fasce'!$P$30,'I.A. + Fasce'!$W$6:$AA$6,0),1,1,"I.A. + Fasce") &amp; ":" &amp; ADDRESS(762,22+MATCH('I.A. + Fasce'!$P$30,'I.A. + Fasce'!$W$6:$AA$6,0),1,1)),0)),"")</f>
        <v>MILIK</v>
      </c>
      <c r="R37" s="28" t="str">
        <f ca="1">IF(ISNUMBER(R$3),INDIRECT("'I.A. + Fasce'!B" &amp; 642 + MATCH(R$3+COUNTIF($M$3:$X$3,"&gt;0")*($Y37-1),INDIRECT(ADDRESS(643,22+MATCH('I.A. + Fasce'!$P$30,'I.A. + Fasce'!$W$6:$AA$6,0),1,1,"I.A. + Fasce") &amp; ":" &amp; ADDRESS(762,22+MATCH('I.A. + Fasce'!$P$30,'I.A. + Fasce'!$W$6:$AA$6,0),1,1)),0)),"")</f>
        <v>SIMEONE</v>
      </c>
      <c r="S37" s="28" t="str">
        <f ca="1">IF(ISNUMBER(S$3),INDIRECT("'I.A. + Fasce'!B" &amp; 642 + MATCH(S$3+COUNTIF($M$3:$X$3,"&gt;0")*($Y37-1),INDIRECT(ADDRESS(643,22+MATCH('I.A. + Fasce'!$P$30,'I.A. + Fasce'!$W$6:$AA$6,0),1,1,"I.A. + Fasce") &amp; ":" &amp; ADDRESS(762,22+MATCH('I.A. + Fasce'!$P$30,'I.A. + Fasce'!$W$6:$AA$6,0),1,1)),0)),"")</f>
        <v>EL SHAARAWY</v>
      </c>
      <c r="T37" s="28" t="str">
        <f ca="1">IF(ISNUMBER(T$3),INDIRECT("'I.A. + Fasce'!B" &amp; 642 + MATCH(T$3+COUNTIF($M$3:$X$3,"&gt;0")*($Y37-1),INDIRECT(ADDRESS(643,22+MATCH('I.A. + Fasce'!$P$30,'I.A. + Fasce'!$W$6:$AA$6,0),1,1,"I.A. + Fasce") &amp; ":" &amp; ADDRESS(762,22+MATCH('I.A. + Fasce'!$P$30,'I.A. + Fasce'!$W$6:$AA$6,0),1,1)),0)),"")</f>
        <v>ANDRE' SILVA</v>
      </c>
      <c r="U37" s="28" t="str">
        <f ca="1">IF(ISNUMBER(U$3),INDIRECT("'I.A. + Fasce'!B" &amp; 642 + MATCH(U$3+COUNTIF($M$3:$X$3,"&gt;0")*($Y37-1),INDIRECT(ADDRESS(643,22+MATCH('I.A. + Fasce'!$P$30,'I.A. + Fasce'!$W$6:$AA$6,0),1,1,"I.A. + Fasce") &amp; ":" &amp; ADDRESS(762,22+MATCH('I.A. + Fasce'!$P$30,'I.A. + Fasce'!$W$6:$AA$6,0),1,1)),0)),"")</f>
        <v/>
      </c>
      <c r="V37" s="28" t="str">
        <f ca="1">IF(ISNUMBER(V$3),INDIRECT("'I.A. + Fasce'!B" &amp; 642 + MATCH(V$3+COUNTIF($M$3:$X$3,"&gt;0")*($Y37-1),INDIRECT(ADDRESS(643,22+MATCH('I.A. + Fasce'!$P$30,'I.A. + Fasce'!$W$6:$AA$6,0),1,1,"I.A. + Fasce") &amp; ":" &amp; ADDRESS(762,22+MATCH('I.A. + Fasce'!$P$30,'I.A. + Fasce'!$W$6:$AA$6,0),1,1)),0)),"")</f>
        <v/>
      </c>
      <c r="W37" s="28" t="str">
        <f ca="1">IF(ISNUMBER(W$3),INDIRECT("'I.A. + Fasce'!B" &amp; 642 + MATCH(W$3+COUNTIF($M$3:$X$3,"&gt;0")*($Y37-1),INDIRECT(ADDRESS(643,22+MATCH('I.A. + Fasce'!$P$30,'I.A. + Fasce'!$W$6:$AA$6,0),1,1,"I.A. + Fasce") &amp; ":" &amp; ADDRESS(762,22+MATCH('I.A. + Fasce'!$P$30,'I.A. + Fasce'!$W$6:$AA$6,0),1,1)),0)),"")</f>
        <v/>
      </c>
      <c r="X37" s="28" t="str">
        <f ca="1">IF(ISNUMBER(X$3),INDIRECT("'I.A. + Fasce'!B" &amp; 642 + MATCH(X$3+COUNTIF($M$3:$X$3,"&gt;0")*($Y37-1),INDIRECT(ADDRESS(643,22+MATCH('I.A. + Fasce'!$P$30,'I.A. + Fasce'!$W$6:$AA$6,0),1,1,"I.A. + Fasce") &amp; ":" &amp; ADDRESS(762,22+MATCH('I.A. + Fasce'!$P$30,'I.A. + Fasce'!$W$6:$AA$6,0),1,1)),0)),"")</f>
        <v/>
      </c>
      <c r="Y37" s="27">
        <v>2</v>
      </c>
      <c r="AG37" s="35" t="str">
        <f ca="1">Rose!AF7</f>
        <v/>
      </c>
      <c r="AH37" s="35" t="str">
        <f ca="1">Rose!K16</f>
        <v/>
      </c>
      <c r="AI37" s="35" t="str">
        <f ca="1">Rose!K32</f>
        <v/>
      </c>
      <c r="AJ37" s="35" t="str">
        <f ca="1">Rose!N46</f>
        <v/>
      </c>
      <c r="AK37" s="35"/>
    </row>
    <row r="38" spans="1:37">
      <c r="A38" s="30" t="str">
        <f>IF(Asta!$AE$3&lt;Y38,"","A")</f>
        <v>A</v>
      </c>
      <c r="B38" s="31" t="str">
        <f ca="1">INDIRECT(ADDRESS(ROW()+10,MATCH(Asta!$D$3,Rose!$A$3:$AJ$3,0)+1,1,1,"Rose"))</f>
        <v/>
      </c>
      <c r="C38" s="38">
        <f ca="1">IF(ISNA(VLOOKUP(B38,Giocatori!$B$9:$C$545,2,FALSE)),ROW(),VLOOKUP(B38,Giocatori!$B$9:$C$545,2,FALSE))</f>
        <v>38</v>
      </c>
      <c r="D38" s="31" t="str">
        <f ca="1">INDIRECT(ADDRESS(ROW()+10,MATCH(Asta!$D$3,Rose!$A$3:$AJ$3,0)+2,1,1,"Rose"))</f>
        <v/>
      </c>
      <c r="E38" s="32">
        <v>30</v>
      </c>
      <c r="F38" s="33">
        <f t="shared" si="21"/>
        <v>8.5714285714285712</v>
      </c>
      <c r="G38" s="32">
        <f t="shared" ca="1" si="22"/>
        <v>0</v>
      </c>
      <c r="H38" s="34" t="str">
        <f t="shared" ca="1" si="23"/>
        <v>KALINIC</v>
      </c>
      <c r="I38" s="34" t="str">
        <f t="shared" ca="1" si="23"/>
        <v>SUSO</v>
      </c>
      <c r="J38" s="34" t="str">
        <f t="shared" ca="1" si="23"/>
        <v>NANI</v>
      </c>
      <c r="K38" s="34" t="str">
        <f t="shared" ca="1" si="23"/>
        <v>FALCINELLI</v>
      </c>
      <c r="L38" s="34" t="str">
        <f t="shared" ca="1" si="23"/>
        <v>PETAGNA</v>
      </c>
      <c r="M38" s="28" t="str">
        <f ca="1">IF(ISNUMBER(M$3),INDIRECT("'I.A. + Fasce'!B" &amp; 642 + MATCH(M$3+COUNTIF($M$3:$X$3,"&gt;0")*($Y38-1),INDIRECT(ADDRESS(643,22+MATCH('I.A. + Fasce'!$P$28,'I.A. + Fasce'!$W$6:$AA$6,0),1,1,"I.A. + Fasce") &amp; ":" &amp; ADDRESS(762,22+MATCH('I.A. + Fasce'!$P$28,'I.A. + Fasce'!$W$6:$AA$6,0),1,1)),0)),"")</f>
        <v>KALINIC</v>
      </c>
      <c r="N38" s="28" t="str">
        <f ca="1">IF(ISNUMBER(N$3),INDIRECT("'I.A. + Fasce'!B" &amp; 642 + MATCH(N$3+COUNTIF($M$3:$X$3,"&gt;0")*($Y38-1),INDIRECT(ADDRESS(643,22+MATCH('I.A. + Fasce'!$P$30,'I.A. + Fasce'!$W$6:$AA$6,0),1,1,"I.A. + Fasce") &amp; ":" &amp; ADDRESS(762,22+MATCH('I.A. + Fasce'!$P$30,'I.A. + Fasce'!$W$6:$AA$6,0),1,1)),0)),"")</f>
        <v>SUSO</v>
      </c>
      <c r="O38" s="28" t="str">
        <f ca="1">IF(ISNUMBER(O$3),INDIRECT("'I.A. + Fasce'!B" &amp; 642 + MATCH(O$3+COUNTIF($M$3:$X$3,"&gt;0")*($Y38-1),INDIRECT(ADDRESS(643,22+MATCH('I.A. + Fasce'!$P$30,'I.A. + Fasce'!$W$6:$AA$6,0),1,1,"I.A. + Fasce") &amp; ":" &amp; ADDRESS(762,22+MATCH('I.A. + Fasce'!$P$30,'I.A. + Fasce'!$W$6:$AA$6,0),1,1)),0)),"")</f>
        <v>NANI</v>
      </c>
      <c r="P38" s="28" t="str">
        <f ca="1">IF(ISNUMBER(P$3),INDIRECT("'I.A. + Fasce'!B" &amp; 642 + MATCH(P$3+COUNTIF($M$3:$X$3,"&gt;0")*($Y38-1),INDIRECT(ADDRESS(643,22+MATCH('I.A. + Fasce'!$P$30,'I.A. + Fasce'!$W$6:$AA$6,0),1,1,"I.A. + Fasce") &amp; ":" &amp; ADDRESS(762,22+MATCH('I.A. + Fasce'!$P$30,'I.A. + Fasce'!$W$6:$AA$6,0),1,1)),0)),"")</f>
        <v>FALCINELLI</v>
      </c>
      <c r="Q38" s="28" t="str">
        <f ca="1">IF(ISNUMBER(Q$3),INDIRECT("'I.A. + Fasce'!B" &amp; 642 + MATCH(Q$3+COUNTIF($M$3:$X$3,"&gt;0")*($Y38-1),INDIRECT(ADDRESS(643,22+MATCH('I.A. + Fasce'!$P$30,'I.A. + Fasce'!$W$6:$AA$6,0),1,1,"I.A. + Fasce") &amp; ":" &amp; ADDRESS(762,22+MATCH('I.A. + Fasce'!$P$30,'I.A. + Fasce'!$W$6:$AA$6,0),1,1)),0)),"")</f>
        <v>PETAGNA</v>
      </c>
      <c r="R38" s="28" t="str">
        <f ca="1">IF(ISNUMBER(R$3),INDIRECT("'I.A. + Fasce'!B" &amp; 642 + MATCH(R$3+COUNTIF($M$3:$X$3,"&gt;0")*($Y38-1),INDIRECT(ADDRESS(643,22+MATCH('I.A. + Fasce'!$P$30,'I.A. + Fasce'!$W$6:$AA$6,0),1,1,"I.A. + Fasce") &amp; ":" &amp; ADDRESS(762,22+MATCH('I.A. + Fasce'!$P$30,'I.A. + Fasce'!$W$6:$AA$6,0),1,1)),0)),"")</f>
        <v>PAVOLETTI</v>
      </c>
      <c r="S38" s="28" t="str">
        <f ca="1">IF(ISNUMBER(S$3),INDIRECT("'I.A. + Fasce'!B" &amp; 642 + MATCH(S$3+COUNTIF($M$3:$X$3,"&gt;0")*($Y38-1),INDIRECT(ADDRESS(643,22+MATCH('I.A. + Fasce'!$P$30,'I.A. + Fasce'!$W$6:$AA$6,0),1,1,"I.A. + Fasce") &amp; ":" &amp; ADDRESS(762,22+MATCH('I.A. + Fasce'!$P$30,'I.A. + Fasce'!$W$6:$AA$6,0),1,1)),0)),"")</f>
        <v>CUTRONE</v>
      </c>
      <c r="T38" s="28" t="str">
        <f ca="1">IF(ISNUMBER(T$3),INDIRECT("'I.A. + Fasce'!B" &amp; 642 + MATCH(T$3+COUNTIF($M$3:$X$3,"&gt;0")*($Y38-1),INDIRECT(ADDRESS(643,22+MATCH('I.A. + Fasce'!$P$30,'I.A. + Fasce'!$W$6:$AA$6,0),1,1,"I.A. + Fasce") &amp; ":" &amp; ADDRESS(762,22+MATCH('I.A. + Fasce'!$P$30,'I.A. + Fasce'!$W$6:$AA$6,0),1,1)),0)),"")</f>
        <v>NIANG</v>
      </c>
      <c r="U38" s="28" t="str">
        <f ca="1">IF(ISNUMBER(U$3),INDIRECT("'I.A. + Fasce'!B" &amp; 642 + MATCH(U$3+COUNTIF($M$3:$X$3,"&gt;0")*($Y38-1),INDIRECT(ADDRESS(643,22+MATCH('I.A. + Fasce'!$P$30,'I.A. + Fasce'!$W$6:$AA$6,0),1,1,"I.A. + Fasce") &amp; ":" &amp; ADDRESS(762,22+MATCH('I.A. + Fasce'!$P$30,'I.A. + Fasce'!$W$6:$AA$6,0),1,1)),0)),"")</f>
        <v/>
      </c>
      <c r="V38" s="28" t="str">
        <f ca="1">IF(ISNUMBER(V$3),INDIRECT("'I.A. + Fasce'!B" &amp; 642 + MATCH(V$3+COUNTIF($M$3:$X$3,"&gt;0")*($Y38-1),INDIRECT(ADDRESS(643,22+MATCH('I.A. + Fasce'!$P$30,'I.A. + Fasce'!$W$6:$AA$6,0),1,1,"I.A. + Fasce") &amp; ":" &amp; ADDRESS(762,22+MATCH('I.A. + Fasce'!$P$30,'I.A. + Fasce'!$W$6:$AA$6,0),1,1)),0)),"")</f>
        <v/>
      </c>
      <c r="W38" s="28" t="str">
        <f ca="1">IF(ISNUMBER(W$3),INDIRECT("'I.A. + Fasce'!B" &amp; 642 + MATCH(W$3+COUNTIF($M$3:$X$3,"&gt;0")*($Y38-1),INDIRECT(ADDRESS(643,22+MATCH('I.A. + Fasce'!$P$30,'I.A. + Fasce'!$W$6:$AA$6,0),1,1,"I.A. + Fasce") &amp; ":" &amp; ADDRESS(762,22+MATCH('I.A. + Fasce'!$P$30,'I.A. + Fasce'!$W$6:$AA$6,0),1,1)),0)),"")</f>
        <v/>
      </c>
      <c r="X38" s="28" t="str">
        <f ca="1">IF(ISNUMBER(X$3),INDIRECT("'I.A. + Fasce'!B" &amp; 642 + MATCH(X$3+COUNTIF($M$3:$X$3,"&gt;0")*($Y38-1),INDIRECT(ADDRESS(643,22+MATCH('I.A. + Fasce'!$P$30,'I.A. + Fasce'!$W$6:$AA$6,0),1,1,"I.A. + Fasce") &amp; ":" &amp; ADDRESS(762,22+MATCH('I.A. + Fasce'!$P$30,'I.A. + Fasce'!$W$6:$AA$6,0),1,1)),0)),"")</f>
        <v/>
      </c>
      <c r="Y38" s="27">
        <v>3</v>
      </c>
      <c r="AG38" s="35" t="str">
        <f ca="1">Rose!AI5</f>
        <v/>
      </c>
      <c r="AH38" s="35" t="str">
        <f ca="1">Rose!K17</f>
        <v/>
      </c>
      <c r="AI38" s="35" t="str">
        <f ca="1">Rose!K33</f>
        <v/>
      </c>
      <c r="AJ38" s="35" t="str">
        <f ca="1">Rose!N47</f>
        <v/>
      </c>
      <c r="AK38" s="35"/>
    </row>
    <row r="39" spans="1:37">
      <c r="A39" s="30" t="str">
        <f>IF(Asta!$AE$3&lt;Y39,"","A")</f>
        <v>A</v>
      </c>
      <c r="B39" s="31" t="str">
        <f ca="1">INDIRECT(ADDRESS(ROW()+10,MATCH(Asta!$D$3,Rose!$A$3:$AJ$3,0)+1,1,1,"Rose"))</f>
        <v/>
      </c>
      <c r="C39" s="38">
        <f ca="1">IF(ISNA(VLOOKUP(B39,Giocatori!$B$9:$C$545,2,FALSE)),ROW(),VLOOKUP(B39,Giocatori!$B$9:$C$545,2,FALSE))</f>
        <v>39</v>
      </c>
      <c r="D39" s="31" t="str">
        <f ca="1">INDIRECT(ADDRESS(ROW()+10,MATCH(Asta!$D$3,Rose!$A$3:$AJ$3,0)+2,1,1,"Rose"))</f>
        <v/>
      </c>
      <c r="E39" s="32">
        <v>15</v>
      </c>
      <c r="F39" s="33">
        <f t="shared" si="21"/>
        <v>4.2857142857142856</v>
      </c>
      <c r="G39" s="32">
        <f t="shared" ca="1" si="22"/>
        <v>0</v>
      </c>
      <c r="H39" s="34" t="str">
        <f t="shared" ca="1" si="23"/>
        <v>EL SHAARAWY</v>
      </c>
      <c r="I39" s="34" t="str">
        <f t="shared" ca="1" si="23"/>
        <v>PJACA</v>
      </c>
      <c r="J39" s="34" t="str">
        <f t="shared" ca="1" si="23"/>
        <v>QUAGLIARELLA</v>
      </c>
      <c r="K39" s="34" t="str">
        <f t="shared" ca="1" si="23"/>
        <v>BERARDI</v>
      </c>
      <c r="L39" s="34" t="str">
        <f t="shared" ca="1" si="23"/>
        <v>BORINI</v>
      </c>
      <c r="M39" s="28" t="str">
        <f ca="1">IF(ISNUMBER(M$3),INDIRECT("'I.A. + Fasce'!B" &amp; 642 + MATCH(M$3+COUNTIF($M$3:$X$3,"&gt;0")*($Y39-1),INDIRECT(ADDRESS(643,22+MATCH('I.A. + Fasce'!$P$28,'I.A. + Fasce'!$W$6:$AA$6,0),1,1,"I.A. + Fasce") &amp; ":" &amp; ADDRESS(762,22+MATCH('I.A. + Fasce'!$P$28,'I.A. + Fasce'!$W$6:$AA$6,0),1,1)),0)),"")</f>
        <v>EL SHAARAWY</v>
      </c>
      <c r="N39" s="28" t="str">
        <f ca="1">IF(ISNUMBER(N$3),INDIRECT("'I.A. + Fasce'!B" &amp; 642 + MATCH(N$3+COUNTIF($M$3:$X$3,"&gt;0")*($Y39-1),INDIRECT(ADDRESS(643,22+MATCH('I.A. + Fasce'!$P$30,'I.A. + Fasce'!$W$6:$AA$6,0),1,1,"I.A. + Fasce") &amp; ":" &amp; ADDRESS(762,22+MATCH('I.A. + Fasce'!$P$30,'I.A. + Fasce'!$W$6:$AA$6,0),1,1)),0)),"")</f>
        <v>PJACA</v>
      </c>
      <c r="O39" s="28" t="str">
        <f ca="1">IF(ISNUMBER(O$3),INDIRECT("'I.A. + Fasce'!B" &amp; 642 + MATCH(O$3+COUNTIF($M$3:$X$3,"&gt;0")*($Y39-1),INDIRECT(ADDRESS(643,22+MATCH('I.A. + Fasce'!$P$30,'I.A. + Fasce'!$W$6:$AA$6,0),1,1,"I.A. + Fasce") &amp; ":" &amp; ADDRESS(762,22+MATCH('I.A. + Fasce'!$P$30,'I.A. + Fasce'!$W$6:$AA$6,0),1,1)),0)),"")</f>
        <v>QUAGLIARELLA</v>
      </c>
      <c r="P39" s="28" t="str">
        <f ca="1">IF(ISNUMBER(P$3),INDIRECT("'I.A. + Fasce'!B" &amp; 642 + MATCH(P$3+COUNTIF($M$3:$X$3,"&gt;0")*($Y39-1),INDIRECT(ADDRESS(643,22+MATCH('I.A. + Fasce'!$P$30,'I.A. + Fasce'!$W$6:$AA$6,0),1,1,"I.A. + Fasce") &amp; ":" &amp; ADDRESS(762,22+MATCH('I.A. + Fasce'!$P$30,'I.A. + Fasce'!$W$6:$AA$6,0),1,1)),0)),"")</f>
        <v>BERARDI</v>
      </c>
      <c r="Q39" s="28" t="str">
        <f ca="1">IF(ISNUMBER(Q$3),INDIRECT("'I.A. + Fasce'!B" &amp; 642 + MATCH(Q$3+COUNTIF($M$3:$X$3,"&gt;0")*($Y39-1),INDIRECT(ADDRESS(643,22+MATCH('I.A. + Fasce'!$P$30,'I.A. + Fasce'!$W$6:$AA$6,0),1,1,"I.A. + Fasce") &amp; ":" &amp; ADDRESS(762,22+MATCH('I.A. + Fasce'!$P$30,'I.A. + Fasce'!$W$6:$AA$6,0),1,1)),0)),"")</f>
        <v>BORINI</v>
      </c>
      <c r="R39" s="28" t="str">
        <f ca="1">IF(ISNUMBER(R$3),INDIRECT("'I.A. + Fasce'!B" &amp; 642 + MATCH(R$3+COUNTIF($M$3:$X$3,"&gt;0")*($Y39-1),INDIRECT(ADDRESS(643,22+MATCH('I.A. + Fasce'!$P$30,'I.A. + Fasce'!$W$6:$AA$6,0),1,1,"I.A. + Fasce") &amp; ":" &amp; ADDRESS(762,22+MATCH('I.A. + Fasce'!$P$30,'I.A. + Fasce'!$W$6:$AA$6,0),1,1)),0)),"")</f>
        <v>DEFREL</v>
      </c>
      <c r="S39" s="28" t="str">
        <f ca="1">IF(ISNUMBER(S$3),INDIRECT("'I.A. + Fasce'!B" &amp; 642 + MATCH(S$3+COUNTIF($M$3:$X$3,"&gt;0")*($Y39-1),INDIRECT(ADDRESS(643,22+MATCH('I.A. + Fasce'!$P$30,'I.A. + Fasce'!$W$6:$AA$6,0),1,1,"I.A. + Fasce") &amp; ":" &amp; ADDRESS(762,22+MATCH('I.A. + Fasce'!$P$30,'I.A. + Fasce'!$W$6:$AA$6,0),1,1)),0)),"")</f>
        <v>LAPADULA</v>
      </c>
      <c r="T39" s="28" t="str">
        <f ca="1">IF(ISNUMBER(T$3),INDIRECT("'I.A. + Fasce'!B" &amp; 642 + MATCH(T$3+COUNTIF($M$3:$X$3,"&gt;0")*($Y39-1),INDIRECT(ADDRESS(643,22+MATCH('I.A. + Fasce'!$P$30,'I.A. + Fasce'!$W$6:$AA$6,0),1,1,"I.A. + Fasce") &amp; ":" &amp; ADDRESS(762,22+MATCH('I.A. + Fasce'!$P$30,'I.A. + Fasce'!$W$6:$AA$6,0),1,1)),0)),"")</f>
        <v>OUNAS</v>
      </c>
      <c r="U39" s="28" t="str">
        <f ca="1">IF(ISNUMBER(U$3),INDIRECT("'I.A. + Fasce'!B" &amp; 642 + MATCH(U$3+COUNTIF($M$3:$X$3,"&gt;0")*($Y39-1),INDIRECT(ADDRESS(643,22+MATCH('I.A. + Fasce'!$P$30,'I.A. + Fasce'!$W$6:$AA$6,0),1,1,"I.A. + Fasce") &amp; ":" &amp; ADDRESS(762,22+MATCH('I.A. + Fasce'!$P$30,'I.A. + Fasce'!$W$6:$AA$6,0),1,1)),0)),"")</f>
        <v/>
      </c>
      <c r="V39" s="28" t="str">
        <f ca="1">IF(ISNUMBER(V$3),INDIRECT("'I.A. + Fasce'!B" &amp; 642 + MATCH(V$3+COUNTIF($M$3:$X$3,"&gt;0")*($Y39-1),INDIRECT(ADDRESS(643,22+MATCH('I.A. + Fasce'!$P$30,'I.A. + Fasce'!$W$6:$AA$6,0),1,1,"I.A. + Fasce") &amp; ":" &amp; ADDRESS(762,22+MATCH('I.A. + Fasce'!$P$30,'I.A. + Fasce'!$W$6:$AA$6,0),1,1)),0)),"")</f>
        <v/>
      </c>
      <c r="W39" s="28" t="str">
        <f ca="1">IF(ISNUMBER(W$3),INDIRECT("'I.A. + Fasce'!B" &amp; 642 + MATCH(W$3+COUNTIF($M$3:$X$3,"&gt;0")*($Y39-1),INDIRECT(ADDRESS(643,22+MATCH('I.A. + Fasce'!$P$30,'I.A. + Fasce'!$W$6:$AA$6,0),1,1,"I.A. + Fasce") &amp; ":" &amp; ADDRESS(762,22+MATCH('I.A. + Fasce'!$P$30,'I.A. + Fasce'!$W$6:$AA$6,0),1,1)),0)),"")</f>
        <v/>
      </c>
      <c r="X39" s="28" t="str">
        <f ca="1">IF(ISNUMBER(X$3),INDIRECT("'I.A. + Fasce'!B" &amp; 642 + MATCH(X$3+COUNTIF($M$3:$X$3,"&gt;0")*($Y39-1),INDIRECT(ADDRESS(643,22+MATCH('I.A. + Fasce'!$P$30,'I.A. + Fasce'!$W$6:$AA$6,0),1,1,"I.A. + Fasce") &amp; ":" &amp; ADDRESS(762,22+MATCH('I.A. + Fasce'!$P$30,'I.A. + Fasce'!$W$6:$AA$6,0),1,1)),0)),"")</f>
        <v/>
      </c>
      <c r="Y39" s="27">
        <v>4</v>
      </c>
      <c r="AG39" s="35" t="str">
        <f ca="1">Rose!AI6</f>
        <v/>
      </c>
      <c r="AH39" s="35" t="str">
        <f ca="1">Rose!K18</f>
        <v/>
      </c>
      <c r="AI39" s="35" t="str">
        <f ca="1">Rose!K34</f>
        <v/>
      </c>
      <c r="AJ39" s="35" t="str">
        <f ca="1">Rose!N48</f>
        <v/>
      </c>
      <c r="AK39" s="35"/>
    </row>
    <row r="40" spans="1:37">
      <c r="A40" s="30" t="str">
        <f>IF(Asta!$AE$3&lt;Y40,"","A")</f>
        <v>A</v>
      </c>
      <c r="B40" s="31" t="str">
        <f ca="1">INDIRECT(ADDRESS(ROW()+10,MATCH(Asta!$D$3,Rose!$A$3:$AJ$3,0)+1,1,1,"Rose"))</f>
        <v/>
      </c>
      <c r="C40" s="38">
        <f ca="1">IF(ISNA(VLOOKUP(B40,Giocatori!$B$9:$C$545,2,FALSE)),ROW(),VLOOKUP(B40,Giocatori!$B$9:$C$545,2,FALSE))</f>
        <v>40</v>
      </c>
      <c r="D40" s="31" t="str">
        <f ca="1">INDIRECT(ADDRESS(ROW()+10,MATCH(Asta!$D$3,Rose!$A$3:$AJ$3,0)+2,1,1,"Rose"))</f>
        <v/>
      </c>
      <c r="E40" s="32">
        <v>1</v>
      </c>
      <c r="F40" s="33">
        <f t="shared" si="21"/>
        <v>0.2857142857142857</v>
      </c>
      <c r="G40" s="32">
        <f t="shared" ca="1" si="22"/>
        <v>0</v>
      </c>
      <c r="H40" s="34" t="str">
        <f t="shared" ca="1" si="23"/>
        <v>IEMMELLO</v>
      </c>
      <c r="I40" s="34" t="str">
        <f t="shared" ca="1" si="23"/>
        <v>THEREAU</v>
      </c>
      <c r="J40" s="34" t="str">
        <f t="shared" ca="1" si="23"/>
        <v>CORNELIUS</v>
      </c>
      <c r="K40" s="34" t="str">
        <f t="shared" ca="1" si="23"/>
        <v>BABACAR</v>
      </c>
      <c r="L40" s="34" t="str">
        <f t="shared" ca="1" si="23"/>
        <v>INGLESE</v>
      </c>
      <c r="M40" s="28" t="str">
        <f ca="1">IF(ISNUMBER(M$3),INDIRECT("'I.A. + Fasce'!B" &amp; 642 + MATCH(M$3+COUNTIF($M$3:$X$3,"&gt;0")*($Y40-1),INDIRECT(ADDRESS(643,22+MATCH('I.A. + Fasce'!$P$28,'I.A. + Fasce'!$W$6:$AA$6,0),1,1,"I.A. + Fasce") &amp; ":" &amp; ADDRESS(762,22+MATCH('I.A. + Fasce'!$P$28,'I.A. + Fasce'!$W$6:$AA$6,0),1,1)),0)),"")</f>
        <v>IEMMELLO</v>
      </c>
      <c r="N40" s="28" t="str">
        <f ca="1">IF(ISNUMBER(N$3),INDIRECT("'I.A. + Fasce'!B" &amp; 642 + MATCH(N$3+COUNTIF($M$3:$X$3,"&gt;0")*($Y40-1),INDIRECT(ADDRESS(643,22+MATCH('I.A. + Fasce'!$P$30,'I.A. + Fasce'!$W$6:$AA$6,0),1,1,"I.A. + Fasce") &amp; ":" &amp; ADDRESS(762,22+MATCH('I.A. + Fasce'!$P$30,'I.A. + Fasce'!$W$6:$AA$6,0),1,1)),0)),"")</f>
        <v>THEREAU</v>
      </c>
      <c r="O40" s="28" t="str">
        <f ca="1">IF(ISNUMBER(O$3),INDIRECT("'I.A. + Fasce'!B" &amp; 642 + MATCH(O$3+COUNTIF($M$3:$X$3,"&gt;0")*($Y40-1),INDIRECT(ADDRESS(643,22+MATCH('I.A. + Fasce'!$P$30,'I.A. + Fasce'!$W$6:$AA$6,0),1,1,"I.A. + Fasce") &amp; ":" &amp; ADDRESS(762,22+MATCH('I.A. + Fasce'!$P$30,'I.A. + Fasce'!$W$6:$AA$6,0),1,1)),0)),"")</f>
        <v>CORNELIUS</v>
      </c>
      <c r="P40" s="28" t="str">
        <f ca="1">IF(ISNUMBER(P$3),INDIRECT("'I.A. + Fasce'!B" &amp; 642 + MATCH(P$3+COUNTIF($M$3:$X$3,"&gt;0")*($Y40-1),INDIRECT(ADDRESS(643,22+MATCH('I.A. + Fasce'!$P$30,'I.A. + Fasce'!$W$6:$AA$6,0),1,1,"I.A. + Fasce") &amp; ":" &amp; ADDRESS(762,22+MATCH('I.A. + Fasce'!$P$30,'I.A. + Fasce'!$W$6:$AA$6,0),1,1)),0)),"")</f>
        <v>BABACAR</v>
      </c>
      <c r="Q40" s="28" t="str">
        <f ca="1">IF(ISNUMBER(Q$3),INDIRECT("'I.A. + Fasce'!B" &amp; 642 + MATCH(Q$3+COUNTIF($M$3:$X$3,"&gt;0")*($Y40-1),INDIRECT(ADDRESS(643,22+MATCH('I.A. + Fasce'!$P$30,'I.A. + Fasce'!$W$6:$AA$6,0),1,1,"I.A. + Fasce") &amp; ":" &amp; ADDRESS(762,22+MATCH('I.A. + Fasce'!$P$30,'I.A. + Fasce'!$W$6:$AA$6,0),1,1)),0)),"")</f>
        <v>INGLESE</v>
      </c>
      <c r="R40" s="28" t="str">
        <f ca="1">IF(ISNUMBER(R$3),INDIRECT("'I.A. + Fasce'!B" &amp; 642 + MATCH(R$3+COUNTIF($M$3:$X$3,"&gt;0")*($Y40-1),INDIRECT(ADDRESS(643,22+MATCH('I.A. + Fasce'!$P$30,'I.A. + Fasce'!$W$6:$AA$6,0),1,1,"I.A. + Fasce") &amp; ":" &amp; ADDRESS(762,22+MATCH('I.A. + Fasce'!$P$30,'I.A. + Fasce'!$W$6:$AA$6,0),1,1)),0)),"")</f>
        <v>VERDI</v>
      </c>
      <c r="S40" s="28" t="str">
        <f ca="1">IF(ISNUMBER(S$3),INDIRECT("'I.A. + Fasce'!B" &amp; 642 + MATCH(S$3+COUNTIF($M$3:$X$3,"&gt;0")*($Y40-1),INDIRECT(ADDRESS(643,22+MATCH('I.A. + Fasce'!$P$30,'I.A. + Fasce'!$W$6:$AA$6,0),1,1,"I.A. + Fasce") &amp; ":" &amp; ADDRESS(762,22+MATCH('I.A. + Fasce'!$P$30,'I.A. + Fasce'!$W$6:$AA$6,0),1,1)),0)),"")</f>
        <v>ZAPATA D</v>
      </c>
      <c r="T40" s="28" t="str">
        <f ca="1">IF(ISNUMBER(T$3),INDIRECT("'I.A. + Fasce'!B" &amp; 642 + MATCH(T$3+COUNTIF($M$3:$X$3,"&gt;0")*($Y40-1),INDIRECT(ADDRESS(643,22+MATCH('I.A. + Fasce'!$P$30,'I.A. + Fasce'!$W$6:$AA$6,0),1,1,"I.A. + Fasce") &amp; ":" &amp; ADDRESS(762,22+MATCH('I.A. + Fasce'!$P$30,'I.A. + Fasce'!$W$6:$AA$6,0),1,1)),0)),"")</f>
        <v>DESTRO</v>
      </c>
      <c r="U40" s="28" t="str">
        <f ca="1">IF(ISNUMBER(U$3),INDIRECT("'I.A. + Fasce'!B" &amp; 642 + MATCH(U$3+COUNTIF($M$3:$X$3,"&gt;0")*($Y40-1),INDIRECT(ADDRESS(643,22+MATCH('I.A. + Fasce'!$P$30,'I.A. + Fasce'!$W$6:$AA$6,0),1,1,"I.A. + Fasce") &amp; ":" &amp; ADDRESS(762,22+MATCH('I.A. + Fasce'!$P$30,'I.A. + Fasce'!$W$6:$AA$6,0),1,1)),0)),"")</f>
        <v/>
      </c>
      <c r="V40" s="28" t="str">
        <f ca="1">IF(ISNUMBER(V$3),INDIRECT("'I.A. + Fasce'!B" &amp; 642 + MATCH(V$3+COUNTIF($M$3:$X$3,"&gt;0")*($Y40-1),INDIRECT(ADDRESS(643,22+MATCH('I.A. + Fasce'!$P$30,'I.A. + Fasce'!$W$6:$AA$6,0),1,1,"I.A. + Fasce") &amp; ":" &amp; ADDRESS(762,22+MATCH('I.A. + Fasce'!$P$30,'I.A. + Fasce'!$W$6:$AA$6,0),1,1)),0)),"")</f>
        <v/>
      </c>
      <c r="W40" s="28" t="str">
        <f ca="1">IF(ISNUMBER(W$3),INDIRECT("'I.A. + Fasce'!B" &amp; 642 + MATCH(W$3+COUNTIF($M$3:$X$3,"&gt;0")*($Y40-1),INDIRECT(ADDRESS(643,22+MATCH('I.A. + Fasce'!$P$30,'I.A. + Fasce'!$W$6:$AA$6,0),1,1,"I.A. + Fasce") &amp; ":" &amp; ADDRESS(762,22+MATCH('I.A. + Fasce'!$P$30,'I.A. + Fasce'!$W$6:$AA$6,0),1,1)),0)),"")</f>
        <v/>
      </c>
      <c r="X40" s="28" t="str">
        <f ca="1">IF(ISNUMBER(X$3),INDIRECT("'I.A. + Fasce'!B" &amp; 642 + MATCH(X$3+COUNTIF($M$3:$X$3,"&gt;0")*($Y40-1),INDIRECT(ADDRESS(643,22+MATCH('I.A. + Fasce'!$P$30,'I.A. + Fasce'!$W$6:$AA$6,0),1,1,"I.A. + Fasce") &amp; ":" &amp; ADDRESS(762,22+MATCH('I.A. + Fasce'!$P$30,'I.A. + Fasce'!$W$6:$AA$6,0),1,1)),0)),"")</f>
        <v/>
      </c>
      <c r="Y40" s="27">
        <v>5</v>
      </c>
      <c r="AG40" s="35" t="str">
        <f ca="1">Rose!AI7</f>
        <v/>
      </c>
      <c r="AH40" s="35" t="str">
        <f ca="1">Rose!K19</f>
        <v/>
      </c>
      <c r="AI40" s="35" t="str">
        <f ca="1">Rose!K35</f>
        <v/>
      </c>
      <c r="AJ40" s="35" t="str">
        <f ca="1">Rose!N49</f>
        <v/>
      </c>
      <c r="AK40" s="35"/>
    </row>
    <row r="41" spans="1:37">
      <c r="A41" s="30" t="str">
        <f>IF(Asta!$AE$3&lt;Y41,"","A")</f>
        <v>A</v>
      </c>
      <c r="B41" s="31" t="str">
        <f ca="1">INDIRECT(ADDRESS(ROW()+10,MATCH(Asta!$D$3,Rose!$A$3:$AJ$3,0)+1,1,1,"Rose"))</f>
        <v/>
      </c>
      <c r="C41" s="38">
        <f ca="1">IF(ISNA(VLOOKUP(B41,Giocatori!$B$9:$C$545,2,FALSE)),ROW(),VLOOKUP(B41,Giocatori!$B$9:$C$545,2,FALSE))</f>
        <v>41</v>
      </c>
      <c r="D41" s="31" t="str">
        <f ca="1">INDIRECT(ADDRESS(ROW()+10,MATCH(Asta!$D$3,Rose!$A$3:$AJ$3,0)+2,1,1,"Rose"))</f>
        <v/>
      </c>
      <c r="E41" s="32">
        <v>1</v>
      </c>
      <c r="F41" s="33">
        <f t="shared" si="21"/>
        <v>0.2857142857142857</v>
      </c>
      <c r="G41" s="32">
        <f t="shared" ca="1" si="22"/>
        <v>0</v>
      </c>
      <c r="H41" s="34" t="str">
        <f t="shared" ca="1" si="23"/>
        <v>EDER</v>
      </c>
      <c r="I41" s="34" t="str">
        <f t="shared" ca="1" si="23"/>
        <v>BUDIMIR</v>
      </c>
      <c r="J41" s="34" t="str">
        <f t="shared" ca="1" si="23"/>
        <v>BOYE'</v>
      </c>
      <c r="K41" s="34" t="str">
        <f t="shared" ca="1" si="23"/>
        <v>PERICA</v>
      </c>
      <c r="L41" s="34" t="str">
        <f t="shared" ca="1" si="23"/>
        <v>POLITANO</v>
      </c>
      <c r="M41" s="28" t="str">
        <f ca="1">IF(ISNUMBER(M$3),INDIRECT("'I.A. + Fasce'!B" &amp; 642 + MATCH(M$3+COUNTIF($M$3:$X$3,"&gt;0")*($Y41-1),INDIRECT(ADDRESS(643,22+MATCH('I.A. + Fasce'!$P$28,'I.A. + Fasce'!$W$6:$AA$6,0),1,1,"I.A. + Fasce") &amp; ":" &amp; ADDRESS(762,22+MATCH('I.A. + Fasce'!$P$28,'I.A. + Fasce'!$W$6:$AA$6,0),1,1)),0)),"")</f>
        <v>EDER</v>
      </c>
      <c r="N41" s="28" t="str">
        <f ca="1">IF(ISNUMBER(N$3),INDIRECT("'I.A. + Fasce'!B" &amp; 642 + MATCH(N$3+COUNTIF($M$3:$X$3,"&gt;0")*($Y41-1),INDIRECT(ADDRESS(643,22+MATCH('I.A. + Fasce'!$P$30,'I.A. + Fasce'!$W$6:$AA$6,0),1,1,"I.A. + Fasce") &amp; ":" &amp; ADDRESS(762,22+MATCH('I.A. + Fasce'!$P$30,'I.A. + Fasce'!$W$6:$AA$6,0),1,1)),0)),"")</f>
        <v>BUDIMIR</v>
      </c>
      <c r="O41" s="28" t="str">
        <f ca="1">IF(ISNUMBER(O$3),INDIRECT("'I.A. + Fasce'!B" &amp; 642 + MATCH(O$3+COUNTIF($M$3:$X$3,"&gt;0")*($Y41-1),INDIRECT(ADDRESS(643,22+MATCH('I.A. + Fasce'!$P$30,'I.A. + Fasce'!$W$6:$AA$6,0),1,1,"I.A. + Fasce") &amp; ":" &amp; ADDRESS(762,22+MATCH('I.A. + Fasce'!$P$30,'I.A. + Fasce'!$W$6:$AA$6,0),1,1)),0)),"")</f>
        <v>BOYE'</v>
      </c>
      <c r="P41" s="28" t="str">
        <f ca="1">IF(ISNUMBER(P$3),INDIRECT("'I.A. + Fasce'!B" &amp; 642 + MATCH(P$3+COUNTIF($M$3:$X$3,"&gt;0")*($Y41-1),INDIRECT(ADDRESS(643,22+MATCH('I.A. + Fasce'!$P$30,'I.A. + Fasce'!$W$6:$AA$6,0),1,1,"I.A. + Fasce") &amp; ":" &amp; ADDRESS(762,22+MATCH('I.A. + Fasce'!$P$30,'I.A. + Fasce'!$W$6:$AA$6,0),1,1)),0)),"")</f>
        <v>PERICA</v>
      </c>
      <c r="Q41" s="28" t="str">
        <f ca="1">IF(ISNUMBER(Q$3),INDIRECT("'I.A. + Fasce'!B" &amp; 642 + MATCH(Q$3+COUNTIF($M$3:$X$3,"&gt;0")*($Y41-1),INDIRECT(ADDRESS(643,22+MATCH('I.A. + Fasce'!$P$30,'I.A. + Fasce'!$W$6:$AA$6,0),1,1,"I.A. + Fasce") &amp; ":" &amp; ADDRESS(762,22+MATCH('I.A. + Fasce'!$P$30,'I.A. + Fasce'!$W$6:$AA$6,0),1,1)),0)),"")</f>
        <v>POLITANO</v>
      </c>
      <c r="R41" s="28" t="str">
        <f ca="1">IF(ISNUMBER(R$3),INDIRECT("'I.A. + Fasce'!B" &amp; 642 + MATCH(R$3+COUNTIF($M$3:$X$3,"&gt;0")*($Y41-1),INDIRECT(ADDRESS(643,22+MATCH('I.A. + Fasce'!$P$30,'I.A. + Fasce'!$W$6:$AA$6,0),1,1,"I.A. + Fasce") &amp; ":" &amp; ADDRESS(762,22+MATCH('I.A. + Fasce'!$P$30,'I.A. + Fasce'!$W$6:$AA$6,0),1,1)),0)),"")</f>
        <v>PAZZINI</v>
      </c>
      <c r="S41" s="28" t="str">
        <f ca="1">IF(ISNUMBER(S$3),INDIRECT("'I.A. + Fasce'!B" &amp; 642 + MATCH(S$3+COUNTIF($M$3:$X$3,"&gt;0")*($Y41-1),INDIRECT(ADDRESS(643,22+MATCH('I.A. + Fasce'!$P$30,'I.A. + Fasce'!$W$6:$AA$6,0),1,1,"I.A. + Fasce") &amp; ":" &amp; ADDRESS(762,22+MATCH('I.A. + Fasce'!$P$30,'I.A. + Fasce'!$W$6:$AA$6,0),1,1)),0)),"")</f>
        <v>LASAGNA</v>
      </c>
      <c r="T41" s="28" t="str">
        <f ca="1">IF(ISNUMBER(T$3),INDIRECT("'I.A. + Fasce'!B" &amp; 642 + MATCH(T$3+COUNTIF($M$3:$X$3,"&gt;0")*($Y41-1),INDIRECT(ADDRESS(643,22+MATCH('I.A. + Fasce'!$P$30,'I.A. + Fasce'!$W$6:$AA$6,0),1,1,"I.A. + Fasce") &amp; ":" &amp; ADDRESS(762,22+MATCH('I.A. + Fasce'!$P$30,'I.A. + Fasce'!$W$6:$AA$6,0),1,1)),0)),"")</f>
        <v>VIDO</v>
      </c>
      <c r="U41" s="28" t="str">
        <f ca="1">IF(ISNUMBER(U$3),INDIRECT("'I.A. + Fasce'!B" &amp; 642 + MATCH(U$3+COUNTIF($M$3:$X$3,"&gt;0")*($Y41-1),INDIRECT(ADDRESS(643,22+MATCH('I.A. + Fasce'!$P$30,'I.A. + Fasce'!$W$6:$AA$6,0),1,1,"I.A. + Fasce") &amp; ":" &amp; ADDRESS(762,22+MATCH('I.A. + Fasce'!$P$30,'I.A. + Fasce'!$W$6:$AA$6,0),1,1)),0)),"")</f>
        <v/>
      </c>
      <c r="V41" s="28" t="str">
        <f ca="1">IF(ISNUMBER(V$3),INDIRECT("'I.A. + Fasce'!B" &amp; 642 + MATCH(V$3+COUNTIF($M$3:$X$3,"&gt;0")*($Y41-1),INDIRECT(ADDRESS(643,22+MATCH('I.A. + Fasce'!$P$30,'I.A. + Fasce'!$W$6:$AA$6,0),1,1,"I.A. + Fasce") &amp; ":" &amp; ADDRESS(762,22+MATCH('I.A. + Fasce'!$P$30,'I.A. + Fasce'!$W$6:$AA$6,0),1,1)),0)),"")</f>
        <v/>
      </c>
      <c r="W41" s="28" t="str">
        <f ca="1">IF(ISNUMBER(W$3),INDIRECT("'I.A. + Fasce'!B" &amp; 642 + MATCH(W$3+COUNTIF($M$3:$X$3,"&gt;0")*($Y41-1),INDIRECT(ADDRESS(643,22+MATCH('I.A. + Fasce'!$P$30,'I.A. + Fasce'!$W$6:$AA$6,0),1,1,"I.A. + Fasce") &amp; ":" &amp; ADDRESS(762,22+MATCH('I.A. + Fasce'!$P$30,'I.A. + Fasce'!$W$6:$AA$6,0),1,1)),0)),"")</f>
        <v/>
      </c>
      <c r="X41" s="28" t="str">
        <f ca="1">IF(ISNUMBER(X$3),INDIRECT("'I.A. + Fasce'!B" &amp; 642 + MATCH(X$3+COUNTIF($M$3:$X$3,"&gt;0")*($Y41-1),INDIRECT(ADDRESS(643,22+MATCH('I.A. + Fasce'!$P$30,'I.A. + Fasce'!$W$6:$AA$6,0),1,1,"I.A. + Fasce") &amp; ":" &amp; ADDRESS(762,22+MATCH('I.A. + Fasce'!$P$30,'I.A. + Fasce'!$W$6:$AA$6,0),1,1)),0)),"")</f>
        <v/>
      </c>
      <c r="Y41" s="27">
        <v>6</v>
      </c>
      <c r="AG41" s="28">
        <f>Rose!B64</f>
        <v>0</v>
      </c>
      <c r="AH41" s="35" t="str">
        <f ca="1">Rose!K20</f>
        <v/>
      </c>
      <c r="AI41" s="35" t="str">
        <f ca="1">Rose!K36</f>
        <v/>
      </c>
      <c r="AJ41" s="35" t="str">
        <f ca="1">Rose!N50</f>
        <v/>
      </c>
      <c r="AK41" s="35"/>
    </row>
    <row r="42" spans="1:37">
      <c r="A42" s="30" t="str">
        <f>IF(Asta!$AE$3&lt;Y42,"","A")</f>
        <v/>
      </c>
      <c r="B42" s="31" t="str">
        <f ca="1">INDIRECT(ADDRESS(ROW()+10,MATCH(Asta!$D$3,Rose!$A$3:$AJ$3,0)+1,1,1,"Rose"))</f>
        <v/>
      </c>
      <c r="C42" s="38">
        <f ca="1">IF(ISNA(VLOOKUP(B42,Giocatori!$B$9:$C$545,2,FALSE)),ROW(),VLOOKUP(B42,Giocatori!$B$9:$C$545,2,FALSE))</f>
        <v>42</v>
      </c>
      <c r="D42" s="31" t="str">
        <f ca="1">INDIRECT(ADDRESS(ROW()+10,MATCH(Asta!$D$3,Rose!$A$3:$AJ$3,0)+2,1,1,"Rose"))</f>
        <v/>
      </c>
      <c r="E42" s="32">
        <v>1</v>
      </c>
      <c r="F42" s="33">
        <f t="shared" si="21"/>
        <v>0.2857142857142857</v>
      </c>
      <c r="G42" s="32">
        <f t="shared" ca="1" si="22"/>
        <v>0</v>
      </c>
      <c r="H42" s="34" t="str">
        <f t="shared" ca="1" si="23"/>
        <v>PELLISSIER</v>
      </c>
      <c r="I42" s="34" t="str">
        <f t="shared" ca="1" si="23"/>
        <v>RICCI</v>
      </c>
      <c r="J42" s="34" t="str">
        <f t="shared" ca="1" si="23"/>
        <v>CENTURION</v>
      </c>
      <c r="K42" s="34" t="str">
        <f t="shared" ca="1" si="23"/>
        <v>BAJIC</v>
      </c>
      <c r="L42" s="34" t="str">
        <f t="shared" ca="1" si="23"/>
        <v>SAU</v>
      </c>
      <c r="M42" s="28" t="str">
        <f ca="1">IF(ISNUMBER(M$3),INDIRECT("'I.A. + Fasce'!B" &amp; 642 + MATCH(M$3+COUNTIF($M$3:$X$3,"&gt;0")*($Y42-1),INDIRECT(ADDRESS(643,22+MATCH('I.A. + Fasce'!$P$28,'I.A. + Fasce'!$W$6:$AA$6,0),1,1,"I.A. + Fasce") &amp; ":" &amp; ADDRESS(762,22+MATCH('I.A. + Fasce'!$P$28,'I.A. + Fasce'!$W$6:$AA$6,0),1,1)),0)),"")</f>
        <v>PELLISSIER</v>
      </c>
      <c r="N42" s="28" t="str">
        <f ca="1">IF(ISNUMBER(N$3),INDIRECT("'I.A. + Fasce'!B" &amp; 642 + MATCH(N$3+COUNTIF($M$3:$X$3,"&gt;0")*($Y42-1),INDIRECT(ADDRESS(643,22+MATCH('I.A. + Fasce'!$P$30,'I.A. + Fasce'!$W$6:$AA$6,0),1,1,"I.A. + Fasce") &amp; ":" &amp; ADDRESS(762,22+MATCH('I.A. + Fasce'!$P$30,'I.A. + Fasce'!$W$6:$AA$6,0),1,1)),0)),"")</f>
        <v>RICCI</v>
      </c>
      <c r="O42" s="28" t="str">
        <f ca="1">IF(ISNUMBER(O$3),INDIRECT("'I.A. + Fasce'!B" &amp; 642 + MATCH(O$3+COUNTIF($M$3:$X$3,"&gt;0")*($Y42-1),INDIRECT(ADDRESS(643,22+MATCH('I.A. + Fasce'!$P$30,'I.A. + Fasce'!$W$6:$AA$6,0),1,1,"I.A. + Fasce") &amp; ":" &amp; ADDRESS(762,22+MATCH('I.A. + Fasce'!$P$30,'I.A. + Fasce'!$W$6:$AA$6,0),1,1)),0)),"")</f>
        <v>CENTURION</v>
      </c>
      <c r="P42" s="28" t="str">
        <f ca="1">IF(ISNUMBER(P$3),INDIRECT("'I.A. + Fasce'!B" &amp; 642 + MATCH(P$3+COUNTIF($M$3:$X$3,"&gt;0")*($Y42-1),INDIRECT(ADDRESS(643,22+MATCH('I.A. + Fasce'!$P$30,'I.A. + Fasce'!$W$6:$AA$6,0),1,1,"I.A. + Fasce") &amp; ":" &amp; ADDRESS(762,22+MATCH('I.A. + Fasce'!$P$30,'I.A. + Fasce'!$W$6:$AA$6,0),1,1)),0)),"")</f>
        <v>BAJIC</v>
      </c>
      <c r="Q42" s="28" t="str">
        <f ca="1">IF(ISNUMBER(Q$3),INDIRECT("'I.A. + Fasce'!B" &amp; 642 + MATCH(Q$3+COUNTIF($M$3:$X$3,"&gt;0")*($Y42-1),INDIRECT(ADDRESS(643,22+MATCH('I.A. + Fasce'!$P$30,'I.A. + Fasce'!$W$6:$AA$6,0),1,1,"I.A. + Fasce") &amp; ":" &amp; ADDRESS(762,22+MATCH('I.A. + Fasce'!$P$30,'I.A. + Fasce'!$W$6:$AA$6,0),1,1)),0)),"")</f>
        <v>SAU</v>
      </c>
      <c r="R42" s="28" t="str">
        <f ca="1">IF(ISNUMBER(R$3),INDIRECT("'I.A. + Fasce'!B" &amp; 642 + MATCH(R$3+COUNTIF($M$3:$X$3,"&gt;0")*($Y42-1),INDIRECT(ADDRESS(643,22+MATCH('I.A. + Fasce'!$P$30,'I.A. + Fasce'!$W$6:$AA$6,0),1,1,"I.A. + Fasce") &amp; ":" &amp; ADDRESS(762,22+MATCH('I.A. + Fasce'!$P$30,'I.A. + Fasce'!$W$6:$AA$6,0),1,1)),0)),"")</f>
        <v>CAPRARI</v>
      </c>
      <c r="S42" s="28" t="str">
        <f ca="1">IF(ISNUMBER(S$3),INDIRECT("'I.A. + Fasce'!B" &amp; 642 + MATCH(S$3+COUNTIF($M$3:$X$3,"&gt;0")*($Y42-1),INDIRECT(ADDRESS(643,22+MATCH('I.A. + Fasce'!$P$30,'I.A. + Fasce'!$W$6:$AA$6,0),1,1,"I.A. + Fasce") &amp; ":" &amp; ADDRESS(762,22+MATCH('I.A. + Fasce'!$P$30,'I.A. + Fasce'!$W$6:$AA$6,0),1,1)),0)),"")</f>
        <v>MELCHIORRI</v>
      </c>
      <c r="T42" s="28" t="str">
        <f ca="1">IF(ISNUMBER(T$3),INDIRECT("'I.A. + Fasce'!B" &amp; 642 + MATCH(T$3+COUNTIF($M$3:$X$3,"&gt;0")*($Y42-1),INDIRECT(ADDRESS(643,22+MATCH('I.A. + Fasce'!$P$30,'I.A. + Fasce'!$W$6:$AA$6,0),1,1,"I.A. + Fasce") &amp; ":" &amp; ADDRESS(762,22+MATCH('I.A. + Fasce'!$P$30,'I.A. + Fasce'!$W$6:$AA$6,0),1,1)),0)),"")</f>
        <v>GALABINOV</v>
      </c>
      <c r="U42" s="28" t="str">
        <f ca="1">IF(ISNUMBER(U$3),INDIRECT("'I.A. + Fasce'!B" &amp; 642 + MATCH(U$3+COUNTIF($M$3:$X$3,"&gt;0")*($Y42-1),INDIRECT(ADDRESS(643,22+MATCH('I.A. + Fasce'!$P$30,'I.A. + Fasce'!$W$6:$AA$6,0),1,1,"I.A. + Fasce") &amp; ":" &amp; ADDRESS(762,22+MATCH('I.A. + Fasce'!$P$30,'I.A. + Fasce'!$W$6:$AA$6,0),1,1)),0)),"")</f>
        <v/>
      </c>
      <c r="V42" s="28" t="str">
        <f ca="1">IF(ISNUMBER(V$3),INDIRECT("'I.A. + Fasce'!B" &amp; 642 + MATCH(V$3+COUNTIF($M$3:$X$3,"&gt;0")*($Y42-1),INDIRECT(ADDRESS(643,22+MATCH('I.A. + Fasce'!$P$30,'I.A. + Fasce'!$W$6:$AA$6,0),1,1,"I.A. + Fasce") &amp; ":" &amp; ADDRESS(762,22+MATCH('I.A. + Fasce'!$P$30,'I.A. + Fasce'!$W$6:$AA$6,0),1,1)),0)),"")</f>
        <v/>
      </c>
      <c r="W42" s="28" t="str">
        <f ca="1">IF(ISNUMBER(W$3),INDIRECT("'I.A. + Fasce'!B" &amp; 642 + MATCH(W$3+COUNTIF($M$3:$X$3,"&gt;0")*($Y42-1),INDIRECT(ADDRESS(643,22+MATCH('I.A. + Fasce'!$P$30,'I.A. + Fasce'!$W$6:$AA$6,0),1,1,"I.A. + Fasce") &amp; ":" &amp; ADDRESS(762,22+MATCH('I.A. + Fasce'!$P$30,'I.A. + Fasce'!$W$6:$AA$6,0),1,1)),0)),"")</f>
        <v/>
      </c>
      <c r="X42" s="28" t="str">
        <f ca="1">IF(ISNUMBER(X$3),INDIRECT("'I.A. + Fasce'!B" &amp; 642 + MATCH(X$3+COUNTIF($M$3:$X$3,"&gt;0")*($Y42-1),INDIRECT(ADDRESS(643,22+MATCH('I.A. + Fasce'!$P$30,'I.A. + Fasce'!$W$6:$AA$6,0),1,1,"I.A. + Fasce") &amp; ":" &amp; ADDRESS(762,22+MATCH('I.A. + Fasce'!$P$30,'I.A. + Fasce'!$W$6:$AA$6,0),1,1)),0)),"")</f>
        <v/>
      </c>
      <c r="Y42" s="27">
        <v>7</v>
      </c>
      <c r="AG42" s="28">
        <f>Rose!B65</f>
        <v>0</v>
      </c>
      <c r="AH42" s="35" t="str">
        <f ca="1">Rose!K21</f>
        <v/>
      </c>
      <c r="AI42" s="35" t="str">
        <f ca="1">Rose!K37</f>
        <v/>
      </c>
      <c r="AJ42" s="35" t="str">
        <f ca="1">Rose!N51</f>
        <v/>
      </c>
      <c r="AK42" s="35"/>
    </row>
    <row r="43" spans="1:37">
      <c r="A43" s="30" t="str">
        <f>IF(Asta!$AE$3&lt;Y43,"","A")</f>
        <v/>
      </c>
      <c r="B43" s="31" t="str">
        <f ca="1">INDIRECT(ADDRESS(ROW()+10,MATCH(Asta!$D$3,Rose!$A$3:$AJ$3,0)+1,1,1,"Rose"))</f>
        <v/>
      </c>
      <c r="C43" s="38">
        <f ca="1">IF(ISNA(VLOOKUP(B43,Giocatori!$B$9:$C$545,2,FALSE)),ROW(),VLOOKUP(B43,Giocatori!$B$9:$C$545,2,FALSE))</f>
        <v>43</v>
      </c>
      <c r="D43" s="31" t="str">
        <f ca="1">INDIRECT(ADDRESS(ROW()+10,MATCH(Asta!$D$3,Rose!$A$3:$AJ$3,0)+2,1,1,"Rose"))</f>
        <v/>
      </c>
      <c r="E43" s="36">
        <v>1</v>
      </c>
      <c r="F43" s="33">
        <f t="shared" si="21"/>
        <v>0.2857142857142857</v>
      </c>
      <c r="G43" s="32">
        <f t="shared" ca="1" si="22"/>
        <v>0</v>
      </c>
      <c r="H43" s="34" t="str">
        <f t="shared" ca="1" si="23"/>
        <v>MATRI</v>
      </c>
      <c r="I43" s="34" t="str">
        <f t="shared" ca="1" si="23"/>
        <v>MATRI</v>
      </c>
      <c r="J43" s="34" t="str">
        <f t="shared" ca="1" si="23"/>
        <v>DI FRANCESCO F</v>
      </c>
      <c r="K43" s="34" t="str">
        <f t="shared" ca="1" si="23"/>
        <v>VERDE</v>
      </c>
      <c r="L43" s="34" t="str">
        <f t="shared" ca="1" si="23"/>
        <v>TUMMINELLO</v>
      </c>
      <c r="M43" s="28" t="str">
        <f ca="1">IF(ISNUMBER(M$3),INDIRECT("'I.A. + Fasce'!B" &amp; 642 + MATCH(M$3+COUNTIF($M$3:$X$3,"&gt;0")*($Y43-1),INDIRECT(ADDRESS(643,22+MATCH('I.A. + Fasce'!$P$28,'I.A. + Fasce'!$W$6:$AA$6,0),1,1,"I.A. + Fasce") &amp; ":" &amp; ADDRESS(762,22+MATCH('I.A. + Fasce'!$P$28,'I.A. + Fasce'!$W$6:$AA$6,0),1,1)),0)),"")</f>
        <v>MATRI</v>
      </c>
      <c r="N43" s="28" t="str">
        <f ca="1">IF(ISNUMBER(N$3),INDIRECT("'I.A. + Fasce'!B" &amp; 642 + MATCH(N$3+COUNTIF($M$3:$X$3,"&gt;0")*($Y43-1),INDIRECT(ADDRESS(643,22+MATCH('I.A. + Fasce'!$P$30,'I.A. + Fasce'!$W$6:$AA$6,0),1,1,"I.A. + Fasce") &amp; ":" &amp; ADDRESS(762,22+MATCH('I.A. + Fasce'!$P$30,'I.A. + Fasce'!$W$6:$AA$6,0),1,1)),0)),"")</f>
        <v>MATRI</v>
      </c>
      <c r="O43" s="28" t="str">
        <f ca="1">IF(ISNUMBER(O$3),INDIRECT("'I.A. + Fasce'!B" &amp; 642 + MATCH(O$3+COUNTIF($M$3:$X$3,"&gt;0")*($Y43-1),INDIRECT(ADDRESS(643,22+MATCH('I.A. + Fasce'!$P$30,'I.A. + Fasce'!$W$6:$AA$6,0),1,1,"I.A. + Fasce") &amp; ":" &amp; ADDRESS(762,22+MATCH('I.A. + Fasce'!$P$30,'I.A. + Fasce'!$W$6:$AA$6,0),1,1)),0)),"")</f>
        <v>DI FRANCESCO F</v>
      </c>
      <c r="P43" s="28" t="str">
        <f ca="1">IF(ISNUMBER(P$3),INDIRECT("'I.A. + Fasce'!B" &amp; 642 + MATCH(P$3+COUNTIF($M$3:$X$3,"&gt;0")*($Y43-1),INDIRECT(ADDRESS(643,22+MATCH('I.A. + Fasce'!$P$30,'I.A. + Fasce'!$W$6:$AA$6,0),1,1,"I.A. + Fasce") &amp; ":" &amp; ADDRESS(762,22+MATCH('I.A. + Fasce'!$P$30,'I.A. + Fasce'!$W$6:$AA$6,0),1,1)),0)),"")</f>
        <v>VERDE</v>
      </c>
      <c r="Q43" s="28" t="str">
        <f ca="1">IF(ISNUMBER(Q$3),INDIRECT("'I.A. + Fasce'!B" &amp; 642 + MATCH(Q$3+COUNTIF($M$3:$X$3,"&gt;0")*($Y43-1),INDIRECT(ADDRESS(643,22+MATCH('I.A. + Fasce'!$P$30,'I.A. + Fasce'!$W$6:$AA$6,0),1,1,"I.A. + Fasce") &amp; ":" &amp; ADDRESS(762,22+MATCH('I.A. + Fasce'!$P$30,'I.A. + Fasce'!$W$6:$AA$6,0),1,1)),0)),"")</f>
        <v>TUMMINELLO</v>
      </c>
      <c r="R43" s="28" t="str">
        <f ca="1">IF(ISNUMBER(R$3),INDIRECT("'I.A. + Fasce'!B" &amp; 642 + MATCH(R$3+COUNTIF($M$3:$X$3,"&gt;0")*($Y43-1),INDIRECT(ADDRESS(643,22+MATCH('I.A. + Fasce'!$P$30,'I.A. + Fasce'!$W$6:$AA$6,0),1,1,"I.A. + Fasce") &amp; ":" &amp; ADDRESS(762,22+MATCH('I.A. + Fasce'!$P$30,'I.A. + Fasce'!$W$6:$AA$6,0),1,1)),0)),"")</f>
        <v>TROTTA</v>
      </c>
      <c r="S43" s="28" t="str">
        <f ca="1">IF(ISNUMBER(S$3),INDIRECT("'I.A. + Fasce'!B" &amp; 642 + MATCH(S$3+COUNTIF($M$3:$X$3,"&gt;0")*($Y43-1),INDIRECT(ADDRESS(643,22+MATCH('I.A. + Fasce'!$P$30,'I.A. + Fasce'!$W$6:$AA$6,0),1,1,"I.A. + Fasce") &amp; ":" &amp; ADDRESS(762,22+MATCH('I.A. + Fasce'!$P$30,'I.A. + Fasce'!$W$6:$AA$6,0),1,1)),0)),"")</f>
        <v>TONEV</v>
      </c>
      <c r="T43" s="28" t="str">
        <f ca="1">IF(ISNUMBER(T$3),INDIRECT("'I.A. + Fasce'!B" &amp; 642 + MATCH(T$3+COUNTIF($M$3:$X$3,"&gt;0")*($Y43-1),INDIRECT(ADDRESS(643,22+MATCH('I.A. + Fasce'!$P$30,'I.A. + Fasce'!$W$6:$AA$6,0),1,1,"I.A. + Fasce") &amp; ":" &amp; ADDRESS(762,22+MATCH('I.A. + Fasce'!$P$30,'I.A. + Fasce'!$W$6:$AA$6,0),1,1)),0)),"")</f>
        <v>STEPINSKI</v>
      </c>
      <c r="U43" s="28" t="str">
        <f ca="1">IF(ISNUMBER(U$3),INDIRECT("'I.A. + Fasce'!B" &amp; 642 + MATCH(U$3+COUNTIF($M$3:$X$3,"&gt;0")*($Y43-1),INDIRECT(ADDRESS(643,22+MATCH('I.A. + Fasce'!$P$30,'I.A. + Fasce'!$W$6:$AA$6,0),1,1,"I.A. + Fasce") &amp; ":" &amp; ADDRESS(762,22+MATCH('I.A. + Fasce'!$P$30,'I.A. + Fasce'!$W$6:$AA$6,0),1,1)),0)),"")</f>
        <v/>
      </c>
      <c r="V43" s="28" t="str">
        <f ca="1">IF(ISNUMBER(V$3),INDIRECT("'I.A. + Fasce'!B" &amp; 642 + MATCH(V$3+COUNTIF($M$3:$X$3,"&gt;0")*($Y43-1),INDIRECT(ADDRESS(643,22+MATCH('I.A. + Fasce'!$P$30,'I.A. + Fasce'!$W$6:$AA$6,0),1,1,"I.A. + Fasce") &amp; ":" &amp; ADDRESS(762,22+MATCH('I.A. + Fasce'!$P$30,'I.A. + Fasce'!$W$6:$AA$6,0),1,1)),0)),"")</f>
        <v/>
      </c>
      <c r="W43" s="28" t="str">
        <f ca="1">IF(ISNUMBER(W$3),INDIRECT("'I.A. + Fasce'!B" &amp; 642 + MATCH(W$3+COUNTIF($M$3:$X$3,"&gt;0")*($Y43-1),INDIRECT(ADDRESS(643,22+MATCH('I.A. + Fasce'!$P$30,'I.A. + Fasce'!$W$6:$AA$6,0),1,1,"I.A. + Fasce") &amp; ":" &amp; ADDRESS(762,22+MATCH('I.A. + Fasce'!$P$30,'I.A. + Fasce'!$W$6:$AA$6,0),1,1)),0)),"")</f>
        <v/>
      </c>
      <c r="X43" s="28" t="str">
        <f ca="1">IF(ISNUMBER(X$3),INDIRECT("'I.A. + Fasce'!B" &amp; 642 + MATCH(X$3+COUNTIF($M$3:$X$3,"&gt;0")*($Y43-1),INDIRECT(ADDRESS(643,22+MATCH('I.A. + Fasce'!$P$30,'I.A. + Fasce'!$W$6:$AA$6,0),1,1,"I.A. + Fasce") &amp; ":" &amp; ADDRESS(762,22+MATCH('I.A. + Fasce'!$P$30,'I.A. + Fasce'!$W$6:$AA$6,0),1,1)),0)),"")</f>
        <v/>
      </c>
      <c r="Y43" s="27">
        <v>8</v>
      </c>
      <c r="AG43" s="28">
        <f>Rose!B66</f>
        <v>0</v>
      </c>
      <c r="AH43" s="35" t="str">
        <f ca="1">Rose!K22</f>
        <v/>
      </c>
      <c r="AI43" s="35" t="str">
        <f ca="1">Rose!K38</f>
        <v/>
      </c>
      <c r="AJ43" s="35" t="str">
        <f ca="1">Rose!N52</f>
        <v/>
      </c>
      <c r="AK43" s="35"/>
    </row>
    <row r="44" spans="1:37">
      <c r="B44" s="330" t="s">
        <v>652</v>
      </c>
      <c r="C44" s="330"/>
      <c r="D44" s="330">
        <f ca="1">SUM(D36:D43)</f>
        <v>0</v>
      </c>
      <c r="E44" s="334">
        <f>SUM(E36:E43)</f>
        <v>164</v>
      </c>
      <c r="F44" s="335">
        <f>SUM(F36:F43)</f>
        <v>46.857142857142854</v>
      </c>
      <c r="G44" s="37">
        <f t="shared" ref="G44" ca="1" si="24">E44-D44</f>
        <v>164</v>
      </c>
      <c r="H44" s="44"/>
      <c r="I44" s="38"/>
      <c r="J44" s="38"/>
      <c r="K44" s="38"/>
      <c r="L44" s="38"/>
      <c r="M44" s="45"/>
      <c r="N44" s="45"/>
      <c r="O44" s="45"/>
      <c r="P44" s="45"/>
      <c r="Q44" s="45"/>
      <c r="R44" s="45"/>
      <c r="S44" s="45"/>
      <c r="T44" s="45"/>
      <c r="U44" s="45"/>
      <c r="V44" s="45"/>
      <c r="AG44" s="28">
        <f>Rose!B67</f>
        <v>0</v>
      </c>
      <c r="AH44" s="35" t="str">
        <f ca="1">Rose!K23</f>
        <v/>
      </c>
      <c r="AI44" s="35" t="str">
        <f ca="1">Rose!K39</f>
        <v/>
      </c>
      <c r="AJ44" s="35" t="str">
        <f ca="1">Rose!N53</f>
        <v/>
      </c>
      <c r="AK44" s="35"/>
    </row>
    <row r="45" spans="1:37">
      <c r="B45" s="330" t="s">
        <v>649</v>
      </c>
      <c r="C45" s="330"/>
      <c r="D45" s="330">
        <f ca="1">D34+D44</f>
        <v>0</v>
      </c>
      <c r="E45" s="46"/>
      <c r="F45" s="46"/>
      <c r="G45" s="41"/>
      <c r="H45" s="41"/>
      <c r="I45" s="41"/>
      <c r="J45" s="41"/>
      <c r="K45" s="41"/>
      <c r="L45" s="41"/>
      <c r="M45" s="45"/>
      <c r="N45" s="45"/>
      <c r="O45" s="45"/>
      <c r="P45" s="45"/>
      <c r="Q45" s="45"/>
      <c r="R45" s="45"/>
      <c r="S45" s="45"/>
      <c r="T45" s="45"/>
      <c r="U45" s="45"/>
      <c r="V45" s="45"/>
      <c r="AG45" s="28">
        <f>Rose!B68</f>
        <v>0</v>
      </c>
      <c r="AH45" s="35" t="str">
        <f ca="1">Rose!N14</f>
        <v/>
      </c>
      <c r="AI45" s="35" t="str">
        <f ca="1">Rose!N30</f>
        <v/>
      </c>
      <c r="AJ45" s="35" t="str">
        <f ca="1">Rose!Q46</f>
        <v/>
      </c>
      <c r="AK45" s="35"/>
    </row>
    <row r="46" spans="1:37" ht="23.1" customHeight="1">
      <c r="B46" s="47" t="s">
        <v>653</v>
      </c>
      <c r="C46" s="47"/>
      <c r="D46" s="47">
        <f ca="1">E50-D45</f>
        <v>350</v>
      </c>
      <c r="E46" s="40"/>
      <c r="F46" s="40"/>
      <c r="G46" s="40"/>
      <c r="H46" s="40"/>
      <c r="I46" s="40"/>
      <c r="J46" s="40"/>
      <c r="K46" s="40"/>
      <c r="L46" s="40"/>
      <c r="M46" s="45"/>
      <c r="N46" s="45"/>
      <c r="O46" s="45"/>
      <c r="P46" s="45"/>
      <c r="Q46" s="45"/>
      <c r="R46" s="45"/>
      <c r="S46" s="45"/>
      <c r="T46" s="45"/>
      <c r="U46" s="45"/>
      <c r="V46" s="45"/>
      <c r="AG46" s="28">
        <f>Rose!B69</f>
        <v>0</v>
      </c>
      <c r="AH46" s="35" t="str">
        <f ca="1">Rose!N15</f>
        <v/>
      </c>
      <c r="AI46" s="35" t="str">
        <f ca="1">Rose!N31</f>
        <v/>
      </c>
      <c r="AJ46" s="35" t="str">
        <f ca="1">Rose!Q47</f>
        <v/>
      </c>
      <c r="AK46" s="35"/>
    </row>
    <row r="47" spans="1:37" ht="11.25" customHeight="1">
      <c r="E47" s="329" t="s">
        <v>644</v>
      </c>
      <c r="F47" s="42"/>
      <c r="G47" s="42"/>
      <c r="H47" s="42"/>
      <c r="I47" s="42"/>
      <c r="J47" s="42"/>
      <c r="K47" s="42"/>
      <c r="L47" s="42"/>
      <c r="M47" s="45"/>
      <c r="N47" s="45"/>
      <c r="O47" s="45"/>
      <c r="P47" s="45"/>
      <c r="Q47" s="45"/>
      <c r="R47" s="45"/>
      <c r="S47" s="45"/>
      <c r="T47" s="45"/>
      <c r="U47" s="45"/>
      <c r="V47" s="45"/>
      <c r="AG47" s="28">
        <f>Rose!B70</f>
        <v>0</v>
      </c>
      <c r="AH47" s="35" t="str">
        <f ca="1">Rose!N16</f>
        <v/>
      </c>
      <c r="AI47" s="35" t="str">
        <f ca="1">Rose!N32</f>
        <v/>
      </c>
      <c r="AJ47" s="35" t="str">
        <f ca="1">Rose!Q48</f>
        <v/>
      </c>
      <c r="AK47" s="35"/>
    </row>
    <row r="48" spans="1:37" ht="19.5" customHeight="1">
      <c r="B48" s="546" t="s">
        <v>654</v>
      </c>
      <c r="C48" s="546"/>
      <c r="D48" s="546"/>
      <c r="E48" s="336">
        <f>E7+E20+E33+E44</f>
        <v>283</v>
      </c>
      <c r="F48" s="48"/>
      <c r="G48" s="38"/>
      <c r="H48" s="38"/>
      <c r="I48" s="38"/>
      <c r="J48" s="38"/>
      <c r="K48" s="38"/>
      <c r="L48" s="38"/>
      <c r="M48" s="45"/>
      <c r="N48" s="45"/>
      <c r="O48" s="45"/>
      <c r="P48" s="45"/>
      <c r="Q48" s="45"/>
      <c r="R48" s="45"/>
      <c r="S48" s="45"/>
      <c r="T48" s="45"/>
      <c r="U48" s="45"/>
      <c r="V48" s="45"/>
      <c r="AG48" s="49">
        <f>Rose!E64</f>
        <v>0</v>
      </c>
      <c r="AH48" s="35" t="str">
        <f ca="1">Rose!N17</f>
        <v/>
      </c>
      <c r="AI48" s="35" t="str">
        <f ca="1">Rose!N33</f>
        <v/>
      </c>
      <c r="AJ48" s="35" t="str">
        <f ca="1">Rose!Q49</f>
        <v/>
      </c>
      <c r="AK48" s="35"/>
    </row>
    <row r="49" spans="1:37">
      <c r="B49" s="50"/>
      <c r="C49" s="50"/>
      <c r="D49" s="50"/>
      <c r="E49" s="337"/>
      <c r="F49" s="50"/>
      <c r="G49" s="50"/>
      <c r="H49" s="50"/>
      <c r="I49" s="50"/>
      <c r="J49" s="50"/>
      <c r="K49" s="50"/>
      <c r="L49" s="50"/>
      <c r="Q49" s="51"/>
      <c r="R49" s="51"/>
      <c r="AG49" s="49">
        <f>Rose!E65</f>
        <v>0</v>
      </c>
      <c r="AH49" s="35" t="str">
        <f ca="1">Rose!N18</f>
        <v/>
      </c>
      <c r="AI49" s="35" t="str">
        <f ca="1">Rose!N34</f>
        <v/>
      </c>
      <c r="AJ49" s="35" t="str">
        <f ca="1">Rose!Q50</f>
        <v/>
      </c>
      <c r="AK49" s="35"/>
    </row>
    <row r="50" spans="1:37" ht="34.5" customHeight="1">
      <c r="B50" s="542" t="s">
        <v>655</v>
      </c>
      <c r="C50" s="542"/>
      <c r="D50" s="542"/>
      <c r="E50" s="338">
        <f>Rose!C61</f>
        <v>350</v>
      </c>
      <c r="F50" s="52"/>
      <c r="G50" s="53"/>
      <c r="H50" s="53"/>
      <c r="I50" s="53"/>
      <c r="J50" s="53"/>
      <c r="K50" s="53"/>
      <c r="L50" s="53"/>
      <c r="M50" s="53"/>
      <c r="N50" s="53"/>
      <c r="Q50" s="51"/>
      <c r="R50" s="51"/>
      <c r="AG50" s="49">
        <f>Rose!E66</f>
        <v>0</v>
      </c>
      <c r="AH50" s="35" t="str">
        <f ca="1">Rose!N19</f>
        <v/>
      </c>
      <c r="AI50" s="35" t="str">
        <f ca="1">Rose!N35</f>
        <v/>
      </c>
      <c r="AJ50" s="35" t="str">
        <f ca="1">Rose!Q51</f>
        <v/>
      </c>
      <c r="AK50" s="35"/>
    </row>
    <row r="51" spans="1:37">
      <c r="Q51" s="51"/>
      <c r="R51" s="51"/>
      <c r="AG51" s="49">
        <f>Rose!E67</f>
        <v>0</v>
      </c>
      <c r="AH51" s="35" t="str">
        <f ca="1">Rose!N20</f>
        <v/>
      </c>
      <c r="AI51" s="35" t="str">
        <f ca="1">Rose!N36</f>
        <v/>
      </c>
      <c r="AJ51" s="35" t="str">
        <f ca="1">Rose!Q52</f>
        <v/>
      </c>
      <c r="AK51" s="35"/>
    </row>
    <row r="52" spans="1:37">
      <c r="A52" s="543" t="s">
        <v>656</v>
      </c>
      <c r="B52" s="543"/>
      <c r="C52" s="432"/>
      <c r="D52" s="329" t="s">
        <v>641</v>
      </c>
      <c r="Q52" s="51"/>
      <c r="R52" s="51"/>
      <c r="AG52" s="49">
        <f>Rose!E68</f>
        <v>0</v>
      </c>
      <c r="AH52" s="35" t="str">
        <f ca="1">Rose!N21</f>
        <v/>
      </c>
      <c r="AI52" s="35" t="str">
        <f ca="1">Rose!N37</f>
        <v/>
      </c>
      <c r="AJ52" s="35" t="str">
        <f ca="1">Rose!Q53</f>
        <v/>
      </c>
      <c r="AK52" s="35"/>
    </row>
    <row r="53" spans="1:37">
      <c r="A53" s="30" t="s">
        <v>35</v>
      </c>
      <c r="B53" s="31" t="str">
        <f>IF(Rose!K64="","",Rose!K64)</f>
        <v/>
      </c>
      <c r="C53" s="31"/>
      <c r="D53" s="31">
        <f>IF(Rose!L64="",0,Rose!L64)</f>
        <v>0</v>
      </c>
      <c r="Q53" s="51"/>
      <c r="R53" s="51"/>
      <c r="AG53" s="49">
        <f>Rose!E69</f>
        <v>0</v>
      </c>
      <c r="AH53" s="35" t="str">
        <f ca="1">Rose!N22</f>
        <v/>
      </c>
      <c r="AI53" s="35" t="str">
        <f ca="1">Rose!N38</f>
        <v/>
      </c>
      <c r="AJ53" s="35" t="str">
        <f ca="1">Rose!T46</f>
        <v/>
      </c>
      <c r="AK53" s="35"/>
    </row>
    <row r="54" spans="1:37">
      <c r="A54" s="30" t="s">
        <v>37</v>
      </c>
      <c r="B54" s="31" t="str">
        <f>IF(Rose!K65="","",Rose!K65)</f>
        <v/>
      </c>
      <c r="C54" s="31"/>
      <c r="D54" s="31">
        <f>IF(Rose!L65="",0,Rose!L65)</f>
        <v>0</v>
      </c>
      <c r="Q54" s="51"/>
      <c r="R54" s="51"/>
      <c r="AG54" s="49">
        <f>Rose!E70</f>
        <v>0</v>
      </c>
      <c r="AH54" s="35" t="str">
        <f ca="1">Rose!N23</f>
        <v/>
      </c>
      <c r="AI54" s="35" t="str">
        <f ca="1">Rose!N39</f>
        <v/>
      </c>
      <c r="AJ54" s="35" t="str">
        <f ca="1">Rose!T47</f>
        <v/>
      </c>
      <c r="AK54" s="35"/>
    </row>
    <row r="55" spans="1:37">
      <c r="A55" s="30" t="s">
        <v>37</v>
      </c>
      <c r="B55" s="31" t="str">
        <f>IF(Rose!K66="","",Rose!K66)</f>
        <v/>
      </c>
      <c r="C55" s="31"/>
      <c r="D55" s="31">
        <f>IF(Rose!L66="",0,Rose!L66)</f>
        <v>0</v>
      </c>
      <c r="Q55" s="51"/>
      <c r="R55" s="51"/>
      <c r="AG55" s="49">
        <f>Rose!H64</f>
        <v>0</v>
      </c>
      <c r="AH55" s="35" t="str">
        <f ca="1">Rose!Q14</f>
        <v/>
      </c>
      <c r="AI55" s="35" t="str">
        <f ca="1">Rose!Q30</f>
        <v/>
      </c>
      <c r="AJ55" s="35" t="str">
        <f ca="1">Rose!T48</f>
        <v/>
      </c>
      <c r="AK55" s="35"/>
    </row>
    <row r="56" spans="1:37">
      <c r="A56" s="30" t="s">
        <v>39</v>
      </c>
      <c r="B56" s="31" t="str">
        <f>IF(Rose!K67="","",Rose!K67)</f>
        <v/>
      </c>
      <c r="C56" s="31"/>
      <c r="D56" s="31">
        <f>IF(Rose!L67="",0,Rose!L67)</f>
        <v>0</v>
      </c>
      <c r="Q56" s="51"/>
      <c r="R56" s="51"/>
      <c r="AG56" s="49">
        <f>Rose!H65</f>
        <v>0</v>
      </c>
      <c r="AH56" s="35" t="str">
        <f ca="1">Rose!Q15</f>
        <v/>
      </c>
      <c r="AI56" s="35" t="str">
        <f ca="1">Rose!Q31</f>
        <v/>
      </c>
      <c r="AJ56" s="35" t="str">
        <f ca="1">Rose!T49</f>
        <v/>
      </c>
      <c r="AK56" s="35"/>
    </row>
    <row r="57" spans="1:37">
      <c r="A57" s="30" t="s">
        <v>39</v>
      </c>
      <c r="B57" s="31" t="str">
        <f>IF(Rose!K68="","",Rose!K68)</f>
        <v/>
      </c>
      <c r="C57" s="31"/>
      <c r="D57" s="31">
        <f>IF(Rose!L68="",0,Rose!L68)</f>
        <v>0</v>
      </c>
      <c r="R57" s="51"/>
      <c r="AG57" s="49">
        <f>Rose!H66</f>
        <v>0</v>
      </c>
      <c r="AH57" s="35" t="str">
        <f ca="1">Rose!Q16</f>
        <v/>
      </c>
      <c r="AI57" s="35" t="str">
        <f ca="1">Rose!Q32</f>
        <v/>
      </c>
      <c r="AJ57" s="35" t="str">
        <f ca="1">Rose!T50</f>
        <v/>
      </c>
      <c r="AK57" s="35"/>
    </row>
    <row r="58" spans="1:37">
      <c r="A58" s="30" t="s">
        <v>43</v>
      </c>
      <c r="B58" s="31" t="str">
        <f>IF(Rose!K69="","",Rose!K69)</f>
        <v/>
      </c>
      <c r="C58" s="31"/>
      <c r="D58" s="31">
        <f>IF(Rose!L69="",0,Rose!L69)</f>
        <v>0</v>
      </c>
      <c r="AG58" s="49">
        <f>Rose!H67</f>
        <v>0</v>
      </c>
      <c r="AH58" s="35" t="str">
        <f ca="1">Rose!Q17</f>
        <v/>
      </c>
      <c r="AI58" s="35" t="str">
        <f ca="1">Rose!Q33</f>
        <v/>
      </c>
      <c r="AJ58" s="35" t="str">
        <f ca="1">Rose!T51</f>
        <v/>
      </c>
      <c r="AK58" s="35"/>
    </row>
    <row r="59" spans="1:37">
      <c r="A59" s="30" t="s">
        <v>43</v>
      </c>
      <c r="B59" s="31" t="str">
        <f>IF(Rose!K70="","",Rose!K70)</f>
        <v/>
      </c>
      <c r="C59" s="31"/>
      <c r="D59" s="31">
        <f>IF(Rose!L70="",0,Rose!L70)</f>
        <v>0</v>
      </c>
      <c r="AG59" s="49">
        <f>Rose!H68</f>
        <v>0</v>
      </c>
      <c r="AH59" s="35" t="str">
        <f ca="1">Rose!Q18</f>
        <v/>
      </c>
      <c r="AI59" s="35" t="str">
        <f ca="1">Rose!Q34</f>
        <v/>
      </c>
      <c r="AJ59" s="35" t="str">
        <f ca="1">Rose!T52</f>
        <v/>
      </c>
      <c r="AK59" s="35"/>
    </row>
    <row r="60" spans="1:37">
      <c r="B60" s="330" t="s">
        <v>657</v>
      </c>
      <c r="C60" s="330"/>
      <c r="D60" s="339">
        <f>SUM(D53:D59)</f>
        <v>0</v>
      </c>
      <c r="AG60" s="49">
        <f>Rose!H69</f>
        <v>0</v>
      </c>
      <c r="AH60" s="35" t="str">
        <f ca="1">Rose!Q19</f>
        <v/>
      </c>
      <c r="AI60" s="35" t="str">
        <f ca="1">Rose!Q35</f>
        <v/>
      </c>
      <c r="AJ60" s="35" t="str">
        <f ca="1">Rose!T53</f>
        <v/>
      </c>
      <c r="AK60" s="35"/>
    </row>
    <row r="61" spans="1:37">
      <c r="AG61" s="49">
        <f>Rose!H70</f>
        <v>0</v>
      </c>
      <c r="AH61" s="35" t="str">
        <f ca="1">Rose!Q20</f>
        <v/>
      </c>
      <c r="AI61" s="35" t="str">
        <f ca="1">Rose!Q36</f>
        <v/>
      </c>
      <c r="AJ61" s="35" t="str">
        <f ca="1">Rose!W46</f>
        <v/>
      </c>
      <c r="AK61" s="35"/>
    </row>
    <row r="62" spans="1:37">
      <c r="AG62" s="49">
        <f>Rose!K64</f>
        <v>0</v>
      </c>
      <c r="AH62" s="35" t="str">
        <f ca="1">Rose!Q21</f>
        <v/>
      </c>
      <c r="AI62" s="35" t="str">
        <f ca="1">Rose!Q37</f>
        <v/>
      </c>
      <c r="AJ62" s="35" t="str">
        <f ca="1">Rose!W47</f>
        <v/>
      </c>
      <c r="AK62" s="35"/>
    </row>
    <row r="63" spans="1:37">
      <c r="AG63" s="49">
        <f>Rose!K65</f>
        <v>0</v>
      </c>
      <c r="AH63" s="35" t="str">
        <f ca="1">Rose!Q22</f>
        <v/>
      </c>
      <c r="AI63" s="35" t="str">
        <f ca="1">Rose!Q38</f>
        <v/>
      </c>
      <c r="AJ63" s="35" t="str">
        <f ca="1">Rose!W48</f>
        <v/>
      </c>
      <c r="AK63" s="35"/>
    </row>
    <row r="64" spans="1:37">
      <c r="AG64" s="49">
        <f>Rose!K66</f>
        <v>0</v>
      </c>
      <c r="AH64" s="35" t="str">
        <f ca="1">Rose!Q23</f>
        <v/>
      </c>
      <c r="AI64" s="35" t="str">
        <f ca="1">Rose!Q39</f>
        <v/>
      </c>
      <c r="AJ64" s="35" t="str">
        <f ca="1">Rose!W49</f>
        <v/>
      </c>
      <c r="AK64" s="35"/>
    </row>
    <row r="65" spans="33:37">
      <c r="AG65" s="49">
        <f>Rose!K67</f>
        <v>0</v>
      </c>
      <c r="AH65" s="35" t="str">
        <f ca="1">Rose!T14</f>
        <v/>
      </c>
      <c r="AI65" s="35" t="str">
        <f ca="1">Rose!T30</f>
        <v/>
      </c>
      <c r="AJ65" s="35" t="str">
        <f ca="1">Rose!W50</f>
        <v/>
      </c>
      <c r="AK65" s="35"/>
    </row>
    <row r="66" spans="33:37">
      <c r="AG66" s="49">
        <f>Rose!K68</f>
        <v>0</v>
      </c>
      <c r="AH66" s="35" t="str">
        <f ca="1">Rose!T15</f>
        <v/>
      </c>
      <c r="AI66" s="35" t="str">
        <f ca="1">Rose!T31</f>
        <v/>
      </c>
      <c r="AJ66" s="35" t="str">
        <f ca="1">Rose!W51</f>
        <v/>
      </c>
      <c r="AK66" s="35"/>
    </row>
    <row r="67" spans="33:37">
      <c r="AG67" s="49">
        <f>Rose!K69</f>
        <v>0</v>
      </c>
      <c r="AH67" s="35" t="str">
        <f ca="1">Rose!T16</f>
        <v/>
      </c>
      <c r="AI67" s="35" t="str">
        <f ca="1">Rose!T32</f>
        <v/>
      </c>
      <c r="AJ67" s="35" t="str">
        <f ca="1">Rose!W52</f>
        <v/>
      </c>
      <c r="AK67" s="35"/>
    </row>
    <row r="68" spans="33:37">
      <c r="AG68" s="49">
        <f>Rose!K70</f>
        <v>0</v>
      </c>
      <c r="AH68" s="35" t="str">
        <f ca="1">Rose!T17</f>
        <v/>
      </c>
      <c r="AI68" s="35" t="str">
        <f ca="1">Rose!T33</f>
        <v/>
      </c>
      <c r="AJ68" s="35" t="str">
        <f ca="1">Rose!W53</f>
        <v/>
      </c>
      <c r="AK68" s="35"/>
    </row>
    <row r="69" spans="33:37">
      <c r="AG69" s="49">
        <f>Rose!N64</f>
        <v>0</v>
      </c>
      <c r="AH69" s="35" t="str">
        <f ca="1">Rose!T18</f>
        <v/>
      </c>
      <c r="AI69" s="35" t="str">
        <f ca="1">Rose!T34</f>
        <v/>
      </c>
      <c r="AJ69" s="35" t="str">
        <f ca="1">Rose!Z46</f>
        <v/>
      </c>
      <c r="AK69" s="35"/>
    </row>
    <row r="70" spans="33:37">
      <c r="AG70" s="49">
        <f>Rose!N65</f>
        <v>0</v>
      </c>
      <c r="AH70" s="35" t="str">
        <f ca="1">Rose!T19</f>
        <v/>
      </c>
      <c r="AI70" s="35" t="str">
        <f ca="1">Rose!T35</f>
        <v/>
      </c>
      <c r="AJ70" s="35" t="str">
        <f ca="1">Rose!Z47</f>
        <v/>
      </c>
      <c r="AK70" s="35"/>
    </row>
    <row r="71" spans="33:37">
      <c r="AG71" s="49">
        <f>Rose!N66</f>
        <v>0</v>
      </c>
      <c r="AH71" s="35" t="str">
        <f ca="1">Rose!T20</f>
        <v/>
      </c>
      <c r="AI71" s="35" t="str">
        <f ca="1">Rose!T36</f>
        <v/>
      </c>
      <c r="AJ71" s="35" t="str">
        <f ca="1">Rose!Z48</f>
        <v/>
      </c>
      <c r="AK71" s="49"/>
    </row>
    <row r="72" spans="33:37">
      <c r="AG72" s="49">
        <f>Rose!N67</f>
        <v>0</v>
      </c>
      <c r="AH72" s="35" t="str">
        <f ca="1">Rose!T21</f>
        <v/>
      </c>
      <c r="AI72" s="35" t="str">
        <f ca="1">Rose!T37</f>
        <v/>
      </c>
      <c r="AJ72" s="35" t="str">
        <f ca="1">Rose!Z49</f>
        <v/>
      </c>
      <c r="AK72" s="49"/>
    </row>
    <row r="73" spans="33:37">
      <c r="AG73" s="49">
        <f>Rose!N68</f>
        <v>0</v>
      </c>
      <c r="AH73" s="35" t="str">
        <f ca="1">Rose!T22</f>
        <v/>
      </c>
      <c r="AI73" s="35" t="str">
        <f ca="1">Rose!T38</f>
        <v/>
      </c>
      <c r="AJ73" s="35" t="str">
        <f ca="1">Rose!Z50</f>
        <v/>
      </c>
      <c r="AK73" s="49"/>
    </row>
    <row r="74" spans="33:37">
      <c r="AG74" s="49">
        <f>Rose!N69</f>
        <v>0</v>
      </c>
      <c r="AH74" s="35" t="str">
        <f ca="1">Rose!T23</f>
        <v/>
      </c>
      <c r="AI74" s="35" t="str">
        <f ca="1">Rose!T39</f>
        <v/>
      </c>
      <c r="AJ74" s="35" t="str">
        <f ca="1">Rose!Z51</f>
        <v/>
      </c>
      <c r="AK74" s="49"/>
    </row>
    <row r="75" spans="33:37">
      <c r="AG75" s="49">
        <f>Rose!N70</f>
        <v>0</v>
      </c>
      <c r="AH75" s="35" t="str">
        <f ca="1">Rose!W14</f>
        <v/>
      </c>
      <c r="AI75" s="35" t="str">
        <f ca="1">Rose!W30</f>
        <v/>
      </c>
      <c r="AJ75" s="35" t="str">
        <f ca="1">Rose!Z52</f>
        <v/>
      </c>
      <c r="AK75" s="49"/>
    </row>
    <row r="76" spans="33:37">
      <c r="AG76" s="49">
        <f>Rose!Q64</f>
        <v>0</v>
      </c>
      <c r="AH76" s="35" t="str">
        <f ca="1">Rose!W15</f>
        <v/>
      </c>
      <c r="AI76" s="35" t="str">
        <f ca="1">Rose!W31</f>
        <v/>
      </c>
      <c r="AJ76" s="35" t="str">
        <f ca="1">Rose!Z53</f>
        <v/>
      </c>
      <c r="AK76" s="49"/>
    </row>
    <row r="77" spans="33:37">
      <c r="AG77" s="49">
        <f>Rose!Q65</f>
        <v>0</v>
      </c>
      <c r="AH77" s="35" t="str">
        <f ca="1">Rose!W16</f>
        <v/>
      </c>
      <c r="AI77" s="35" t="str">
        <f ca="1">Rose!W32</f>
        <v/>
      </c>
      <c r="AJ77" s="35" t="str">
        <f ca="1">Rose!AC46</f>
        <v/>
      </c>
      <c r="AK77" s="49"/>
    </row>
    <row r="78" spans="33:37">
      <c r="AG78" s="49">
        <f>Rose!Q66</f>
        <v>0</v>
      </c>
      <c r="AH78" s="35" t="str">
        <f ca="1">Rose!W17</f>
        <v/>
      </c>
      <c r="AI78" s="35" t="str">
        <f ca="1">Rose!W33</f>
        <v/>
      </c>
      <c r="AJ78" s="35" t="str">
        <f ca="1">Rose!AC47</f>
        <v/>
      </c>
      <c r="AK78" s="49"/>
    </row>
    <row r="79" spans="33:37">
      <c r="AG79" s="49">
        <f>Rose!Q67</f>
        <v>0</v>
      </c>
      <c r="AH79" s="35" t="str">
        <f ca="1">Rose!W18</f>
        <v/>
      </c>
      <c r="AI79" s="35" t="str">
        <f ca="1">Rose!W34</f>
        <v/>
      </c>
      <c r="AJ79" s="35" t="str">
        <f ca="1">Rose!AC48</f>
        <v/>
      </c>
      <c r="AK79" s="49"/>
    </row>
    <row r="80" spans="33:37">
      <c r="AG80" s="49">
        <f>Rose!Q68</f>
        <v>0</v>
      </c>
      <c r="AH80" s="35" t="str">
        <f ca="1">Rose!W19</f>
        <v/>
      </c>
      <c r="AI80" s="35" t="str">
        <f ca="1">Rose!W35</f>
        <v/>
      </c>
      <c r="AJ80" s="35" t="str">
        <f ca="1">Rose!AC49</f>
        <v/>
      </c>
      <c r="AK80" s="35"/>
    </row>
    <row r="81" spans="33:37">
      <c r="AG81" s="49">
        <f>Rose!Q69</f>
        <v>0</v>
      </c>
      <c r="AH81" s="35" t="str">
        <f ca="1">Rose!W20</f>
        <v/>
      </c>
      <c r="AI81" s="35" t="str">
        <f ca="1">Rose!W36</f>
        <v/>
      </c>
      <c r="AJ81" s="35" t="str">
        <f ca="1">Rose!AC50</f>
        <v/>
      </c>
      <c r="AK81" s="35"/>
    </row>
    <row r="82" spans="33:37">
      <c r="AG82" s="49">
        <f>Rose!Q70</f>
        <v>0</v>
      </c>
      <c r="AH82" s="35" t="str">
        <f ca="1">Rose!W21</f>
        <v/>
      </c>
      <c r="AI82" s="35" t="str">
        <f ca="1">Rose!W37</f>
        <v/>
      </c>
      <c r="AJ82" s="35" t="str">
        <f ca="1">Rose!AC51</f>
        <v/>
      </c>
      <c r="AK82" s="49"/>
    </row>
    <row r="83" spans="33:37">
      <c r="AG83" s="49">
        <f>Rose!T64</f>
        <v>0</v>
      </c>
      <c r="AH83" s="35" t="str">
        <f ca="1">Rose!W22</f>
        <v/>
      </c>
      <c r="AI83" s="35" t="str">
        <f ca="1">Rose!W38</f>
        <v/>
      </c>
      <c r="AJ83" s="35" t="str">
        <f ca="1">Rose!AC52</f>
        <v/>
      </c>
      <c r="AK83" s="49"/>
    </row>
    <row r="84" spans="33:37">
      <c r="AG84" s="49">
        <f>Rose!T65</f>
        <v>0</v>
      </c>
      <c r="AH84" s="35" t="str">
        <f ca="1">Rose!W23</f>
        <v/>
      </c>
      <c r="AI84" s="35" t="str">
        <f ca="1">Rose!W39</f>
        <v/>
      </c>
      <c r="AJ84" s="35" t="str">
        <f ca="1">Rose!AC53</f>
        <v/>
      </c>
      <c r="AK84" s="49"/>
    </row>
    <row r="85" spans="33:37">
      <c r="AG85" s="49">
        <f>Rose!T66</f>
        <v>0</v>
      </c>
      <c r="AH85" s="35" t="str">
        <f ca="1">Rose!Z14</f>
        <v/>
      </c>
      <c r="AI85" s="35" t="str">
        <f ca="1">Rose!Z30</f>
        <v/>
      </c>
      <c r="AJ85" s="35" t="str">
        <f ca="1">Rose!AF46</f>
        <v/>
      </c>
      <c r="AK85" s="49"/>
    </row>
    <row r="86" spans="33:37">
      <c r="AG86" s="49">
        <f>Rose!T67</f>
        <v>0</v>
      </c>
      <c r="AH86" s="35" t="str">
        <f ca="1">Rose!Z15</f>
        <v/>
      </c>
      <c r="AI86" s="35" t="str">
        <f ca="1">Rose!Z31</f>
        <v/>
      </c>
      <c r="AJ86" s="35" t="str">
        <f ca="1">Rose!AF47</f>
        <v/>
      </c>
      <c r="AK86" s="49"/>
    </row>
    <row r="87" spans="33:37">
      <c r="AG87" s="49">
        <f>Rose!T68</f>
        <v>0</v>
      </c>
      <c r="AH87" s="35" t="str">
        <f ca="1">Rose!Z16</f>
        <v/>
      </c>
      <c r="AI87" s="35" t="str">
        <f ca="1">Rose!Z32</f>
        <v/>
      </c>
      <c r="AJ87" s="35" t="str">
        <f ca="1">Rose!AF48</f>
        <v/>
      </c>
      <c r="AK87" s="49"/>
    </row>
    <row r="88" spans="33:37">
      <c r="AG88" s="49">
        <f>Rose!T69</f>
        <v>0</v>
      </c>
      <c r="AH88" s="35" t="str">
        <f ca="1">Rose!Z17</f>
        <v/>
      </c>
      <c r="AI88" s="35" t="str">
        <f ca="1">Rose!Z33</f>
        <v/>
      </c>
      <c r="AJ88" s="35" t="str">
        <f ca="1">Rose!AF49</f>
        <v/>
      </c>
      <c r="AK88" s="49"/>
    </row>
    <row r="89" spans="33:37">
      <c r="AG89" s="49">
        <f>Rose!T70</f>
        <v>0</v>
      </c>
      <c r="AH89" s="35" t="str">
        <f ca="1">Rose!Z18</f>
        <v/>
      </c>
      <c r="AI89" s="35" t="str">
        <f ca="1">Rose!Z34</f>
        <v/>
      </c>
      <c r="AJ89" s="35" t="str">
        <f ca="1">Rose!AF50</f>
        <v/>
      </c>
      <c r="AK89" s="49"/>
    </row>
    <row r="90" spans="33:37">
      <c r="AG90" s="35">
        <f>Rose!W64</f>
        <v>0</v>
      </c>
      <c r="AH90" s="35" t="str">
        <f ca="1">Rose!Z19</f>
        <v/>
      </c>
      <c r="AI90" s="35" t="str">
        <f ca="1">Rose!Z35</f>
        <v/>
      </c>
      <c r="AJ90" s="35" t="str">
        <f ca="1">Rose!AF51</f>
        <v/>
      </c>
      <c r="AK90" s="49"/>
    </row>
    <row r="91" spans="33:37">
      <c r="AG91" s="35">
        <f>Rose!W65</f>
        <v>0</v>
      </c>
      <c r="AH91" s="35" t="str">
        <f ca="1">Rose!Z20</f>
        <v/>
      </c>
      <c r="AI91" s="35" t="str">
        <f ca="1">Rose!Z36</f>
        <v/>
      </c>
      <c r="AJ91" s="35" t="str">
        <f ca="1">Rose!AF52</f>
        <v/>
      </c>
    </row>
    <row r="92" spans="33:37">
      <c r="AG92" s="35">
        <f>Rose!W66</f>
        <v>0</v>
      </c>
      <c r="AH92" s="35" t="str">
        <f ca="1">Rose!Z21</f>
        <v/>
      </c>
      <c r="AI92" s="35" t="str">
        <f ca="1">Rose!Z37</f>
        <v/>
      </c>
      <c r="AJ92" s="35" t="str">
        <f ca="1">Rose!AF53</f>
        <v/>
      </c>
    </row>
    <row r="93" spans="33:37">
      <c r="AG93" s="35">
        <f>Rose!W67</f>
        <v>0</v>
      </c>
      <c r="AH93" s="35" t="str">
        <f ca="1">Rose!Z22</f>
        <v/>
      </c>
      <c r="AI93" s="35" t="str">
        <f ca="1">Rose!Z38</f>
        <v/>
      </c>
      <c r="AJ93" s="35" t="str">
        <f ca="1">Rose!AI46</f>
        <v/>
      </c>
    </row>
    <row r="94" spans="33:37">
      <c r="AG94" s="35">
        <f>Rose!W68</f>
        <v>0</v>
      </c>
      <c r="AH94" s="35" t="str">
        <f ca="1">Rose!Z23</f>
        <v/>
      </c>
      <c r="AI94" s="35" t="str">
        <f ca="1">Rose!Z39</f>
        <v/>
      </c>
      <c r="AJ94" s="35" t="str">
        <f ca="1">Rose!AI47</f>
        <v/>
      </c>
    </row>
    <row r="95" spans="33:37">
      <c r="AG95" s="35">
        <f>Rose!W69</f>
        <v>0</v>
      </c>
      <c r="AH95" s="35" t="str">
        <f ca="1">Rose!AC14</f>
        <v/>
      </c>
      <c r="AI95" s="35" t="str">
        <f ca="1">Rose!AC30</f>
        <v/>
      </c>
      <c r="AJ95" s="35" t="str">
        <f ca="1">Rose!AI48</f>
        <v/>
      </c>
    </row>
    <row r="96" spans="33:37">
      <c r="AG96" s="35">
        <f>Rose!W70</f>
        <v>0</v>
      </c>
      <c r="AH96" s="35" t="str">
        <f ca="1">Rose!AC15</f>
        <v/>
      </c>
      <c r="AI96" s="35" t="str">
        <f ca="1">Rose!AC31</f>
        <v/>
      </c>
      <c r="AJ96" s="35" t="str">
        <f ca="1">Rose!AI49</f>
        <v/>
      </c>
    </row>
    <row r="97" spans="33:36">
      <c r="AG97" s="49">
        <f>Rose!Z64</f>
        <v>0</v>
      </c>
      <c r="AH97" s="35" t="str">
        <f ca="1">Rose!AC16</f>
        <v/>
      </c>
      <c r="AI97" s="35" t="str">
        <f ca="1">Rose!AC32</f>
        <v/>
      </c>
      <c r="AJ97" s="35" t="str">
        <f ca="1">Rose!AI50</f>
        <v/>
      </c>
    </row>
    <row r="98" spans="33:36">
      <c r="AG98" s="49">
        <f>Rose!Z65</f>
        <v>0</v>
      </c>
      <c r="AH98" s="35" t="str">
        <f ca="1">Rose!AC17</f>
        <v/>
      </c>
      <c r="AI98" s="35" t="str">
        <f ca="1">Rose!AC33</f>
        <v/>
      </c>
      <c r="AJ98" s="35" t="str">
        <f ca="1">Rose!AI51</f>
        <v/>
      </c>
    </row>
    <row r="99" spans="33:36">
      <c r="AG99" s="49">
        <f>Rose!Z66</f>
        <v>0</v>
      </c>
      <c r="AH99" s="35" t="str">
        <f ca="1">Rose!AC18</f>
        <v/>
      </c>
      <c r="AI99" s="35" t="str">
        <f ca="1">Rose!AC34</f>
        <v/>
      </c>
      <c r="AJ99" s="35" t="str">
        <f ca="1">Rose!AI52</f>
        <v/>
      </c>
    </row>
    <row r="100" spans="33:36">
      <c r="AG100" s="49">
        <f>Rose!Z67</f>
        <v>0</v>
      </c>
      <c r="AH100" s="35" t="str">
        <f ca="1">Rose!AC19</f>
        <v/>
      </c>
      <c r="AI100" s="35" t="str">
        <f ca="1">Rose!AC35</f>
        <v/>
      </c>
      <c r="AJ100" s="35" t="str">
        <f ca="1">Rose!AI53</f>
        <v/>
      </c>
    </row>
    <row r="101" spans="33:36">
      <c r="AG101" s="49">
        <f>Rose!Z68</f>
        <v>0</v>
      </c>
      <c r="AH101" s="35" t="str">
        <f ca="1">Rose!AC20</f>
        <v/>
      </c>
      <c r="AI101" s="35" t="str">
        <f ca="1">Rose!AC36</f>
        <v/>
      </c>
      <c r="AJ101" s="28">
        <f t="shared" ref="AJ101:AJ132" si="25">$AG41</f>
        <v>0</v>
      </c>
    </row>
    <row r="102" spans="33:36">
      <c r="AG102" s="49">
        <f>Rose!Z69</f>
        <v>0</v>
      </c>
      <c r="AH102" s="35" t="str">
        <f ca="1">Rose!AC21</f>
        <v/>
      </c>
      <c r="AI102" s="35" t="str">
        <f ca="1">Rose!AC37</f>
        <v/>
      </c>
      <c r="AJ102" s="28">
        <f t="shared" si="25"/>
        <v>0</v>
      </c>
    </row>
    <row r="103" spans="33:36">
      <c r="AG103" s="49">
        <f>Rose!Z70</f>
        <v>0</v>
      </c>
      <c r="AH103" s="35" t="str">
        <f ca="1">Rose!AC22</f>
        <v/>
      </c>
      <c r="AI103" s="35" t="str">
        <f ca="1">Rose!AC38</f>
        <v/>
      </c>
      <c r="AJ103" s="28">
        <f t="shared" si="25"/>
        <v>0</v>
      </c>
    </row>
    <row r="104" spans="33:36">
      <c r="AG104" s="28">
        <f>Rose!AC64</f>
        <v>0</v>
      </c>
      <c r="AH104" s="35" t="str">
        <f ca="1">Rose!AC23</f>
        <v/>
      </c>
      <c r="AI104" s="35" t="str">
        <f ca="1">Rose!AC39</f>
        <v/>
      </c>
      <c r="AJ104" s="28">
        <f t="shared" si="25"/>
        <v>0</v>
      </c>
    </row>
    <row r="105" spans="33:36">
      <c r="AG105" s="28">
        <f>Rose!AC65</f>
        <v>0</v>
      </c>
      <c r="AH105" s="35" t="str">
        <f ca="1">Rose!AF14</f>
        <v/>
      </c>
      <c r="AI105" s="35" t="str">
        <f ca="1">Rose!AF30</f>
        <v/>
      </c>
      <c r="AJ105" s="28">
        <f t="shared" si="25"/>
        <v>0</v>
      </c>
    </row>
    <row r="106" spans="33:36">
      <c r="AG106" s="28">
        <f>Rose!AC66</f>
        <v>0</v>
      </c>
      <c r="AH106" s="35" t="str">
        <f ca="1">Rose!AF15</f>
        <v/>
      </c>
      <c r="AI106" s="35" t="str">
        <f ca="1">Rose!AF31</f>
        <v/>
      </c>
      <c r="AJ106" s="28">
        <f t="shared" si="25"/>
        <v>0</v>
      </c>
    </row>
    <row r="107" spans="33:36">
      <c r="AG107" s="28">
        <f>Rose!AC67</f>
        <v>0</v>
      </c>
      <c r="AH107" s="35" t="str">
        <f ca="1">Rose!AF16</f>
        <v/>
      </c>
      <c r="AI107" s="35" t="str">
        <f ca="1">Rose!AF32</f>
        <v/>
      </c>
      <c r="AJ107" s="28">
        <f t="shared" si="25"/>
        <v>0</v>
      </c>
    </row>
    <row r="108" spans="33:36">
      <c r="AG108" s="28">
        <f>Rose!AC68</f>
        <v>0</v>
      </c>
      <c r="AH108" s="35" t="str">
        <f ca="1">Rose!AF17</f>
        <v/>
      </c>
      <c r="AI108" s="35" t="str">
        <f ca="1">Rose!AF33</f>
        <v/>
      </c>
      <c r="AJ108" s="28">
        <f t="shared" si="25"/>
        <v>0</v>
      </c>
    </row>
    <row r="109" spans="33:36">
      <c r="AG109" s="28">
        <f>Rose!AC69</f>
        <v>0</v>
      </c>
      <c r="AH109" s="35" t="str">
        <f ca="1">Rose!AF18</f>
        <v/>
      </c>
      <c r="AI109" s="35" t="str">
        <f ca="1">Rose!AF34</f>
        <v/>
      </c>
      <c r="AJ109" s="28">
        <f t="shared" si="25"/>
        <v>0</v>
      </c>
    </row>
    <row r="110" spans="33:36">
      <c r="AG110" s="28">
        <f>Rose!AC70</f>
        <v>0</v>
      </c>
      <c r="AH110" s="35" t="str">
        <f ca="1">Rose!AF19</f>
        <v/>
      </c>
      <c r="AI110" s="35" t="str">
        <f ca="1">Rose!AF35</f>
        <v/>
      </c>
      <c r="AJ110" s="28">
        <f t="shared" si="25"/>
        <v>0</v>
      </c>
    </row>
    <row r="111" spans="33:36">
      <c r="AG111" s="28">
        <f>Rose!AF64</f>
        <v>0</v>
      </c>
      <c r="AH111" s="35" t="str">
        <f ca="1">Rose!AF20</f>
        <v/>
      </c>
      <c r="AI111" s="35" t="str">
        <f ca="1">Rose!AF36</f>
        <v/>
      </c>
      <c r="AJ111" s="28">
        <f t="shared" si="25"/>
        <v>0</v>
      </c>
    </row>
    <row r="112" spans="33:36">
      <c r="AG112" s="28">
        <f>Rose!AF65</f>
        <v>0</v>
      </c>
      <c r="AH112" s="35" t="str">
        <f ca="1">Rose!AF21</f>
        <v/>
      </c>
      <c r="AI112" s="35" t="str">
        <f ca="1">Rose!AF37</f>
        <v/>
      </c>
      <c r="AJ112" s="28">
        <f t="shared" si="25"/>
        <v>0</v>
      </c>
    </row>
    <row r="113" spans="33:36">
      <c r="AG113" s="28">
        <f>Rose!AF66</f>
        <v>0</v>
      </c>
      <c r="AH113" s="35" t="str">
        <f ca="1">Rose!AF22</f>
        <v/>
      </c>
      <c r="AI113" s="35" t="str">
        <f ca="1">Rose!AF38</f>
        <v/>
      </c>
      <c r="AJ113" s="28">
        <f t="shared" si="25"/>
        <v>0</v>
      </c>
    </row>
    <row r="114" spans="33:36">
      <c r="AG114" s="28">
        <f>Rose!AF67</f>
        <v>0</v>
      </c>
      <c r="AH114" s="35" t="str">
        <f ca="1">Rose!AF23</f>
        <v/>
      </c>
      <c r="AI114" s="35" t="str">
        <f ca="1">Rose!AF39</f>
        <v/>
      </c>
      <c r="AJ114" s="28">
        <f t="shared" si="25"/>
        <v>0</v>
      </c>
    </row>
    <row r="115" spans="33:36">
      <c r="AG115" s="28">
        <f>Rose!AF68</f>
        <v>0</v>
      </c>
      <c r="AH115" s="35" t="str">
        <f ca="1">Rose!AI14</f>
        <v/>
      </c>
      <c r="AI115" s="35" t="str">
        <f ca="1">Rose!AI30</f>
        <v/>
      </c>
      <c r="AJ115" s="28">
        <f t="shared" si="25"/>
        <v>0</v>
      </c>
    </row>
    <row r="116" spans="33:36">
      <c r="AG116" s="28">
        <f>Rose!AF69</f>
        <v>0</v>
      </c>
      <c r="AH116" s="35" t="str">
        <f ca="1">Rose!AI15</f>
        <v/>
      </c>
      <c r="AI116" s="35" t="str">
        <f ca="1">Rose!AI31</f>
        <v/>
      </c>
      <c r="AJ116" s="28">
        <f t="shared" si="25"/>
        <v>0</v>
      </c>
    </row>
    <row r="117" spans="33:36">
      <c r="AG117" s="28">
        <f>Rose!AF70</f>
        <v>0</v>
      </c>
      <c r="AH117" s="35" t="str">
        <f ca="1">Rose!AI16</f>
        <v/>
      </c>
      <c r="AI117" s="35" t="str">
        <f ca="1">Rose!AI32</f>
        <v/>
      </c>
      <c r="AJ117" s="28">
        <f t="shared" si="25"/>
        <v>0</v>
      </c>
    </row>
    <row r="118" spans="33:36">
      <c r="AG118" s="28">
        <f>Rose!AI64</f>
        <v>0</v>
      </c>
      <c r="AH118" s="35" t="str">
        <f ca="1">Rose!AI17</f>
        <v/>
      </c>
      <c r="AI118" s="35" t="str">
        <f ca="1">Rose!AI33</f>
        <v/>
      </c>
      <c r="AJ118" s="28">
        <f t="shared" si="25"/>
        <v>0</v>
      </c>
    </row>
    <row r="119" spans="33:36">
      <c r="AG119" s="28">
        <f>Rose!AI65</f>
        <v>0</v>
      </c>
      <c r="AH119" s="35" t="str">
        <f ca="1">Rose!AI18</f>
        <v/>
      </c>
      <c r="AI119" s="35" t="str">
        <f ca="1">Rose!AI34</f>
        <v/>
      </c>
      <c r="AJ119" s="28">
        <f t="shared" si="25"/>
        <v>0</v>
      </c>
    </row>
    <row r="120" spans="33:36">
      <c r="AG120" s="28">
        <f>Rose!AI66</f>
        <v>0</v>
      </c>
      <c r="AH120" s="35" t="str">
        <f ca="1">Rose!AI19</f>
        <v/>
      </c>
      <c r="AI120" s="35" t="str">
        <f ca="1">Rose!AI35</f>
        <v/>
      </c>
      <c r="AJ120" s="28">
        <f t="shared" si="25"/>
        <v>0</v>
      </c>
    </row>
    <row r="121" spans="33:36">
      <c r="AG121" s="28">
        <f>Rose!AI67</f>
        <v>0</v>
      </c>
      <c r="AH121" s="35" t="str">
        <f ca="1">Rose!AI20</f>
        <v/>
      </c>
      <c r="AI121" s="35" t="str">
        <f ca="1">Rose!AI36</f>
        <v/>
      </c>
      <c r="AJ121" s="28">
        <f t="shared" si="25"/>
        <v>0</v>
      </c>
    </row>
    <row r="122" spans="33:36">
      <c r="AG122" s="28">
        <f>Rose!AI68</f>
        <v>0</v>
      </c>
      <c r="AH122" s="35" t="str">
        <f ca="1">Rose!AI21</f>
        <v/>
      </c>
      <c r="AI122" s="35" t="str">
        <f ca="1">Rose!AI37</f>
        <v/>
      </c>
      <c r="AJ122" s="28">
        <f t="shared" si="25"/>
        <v>0</v>
      </c>
    </row>
    <row r="123" spans="33:36">
      <c r="AG123" s="28">
        <f>Rose!AI69</f>
        <v>0</v>
      </c>
      <c r="AH123" s="35" t="str">
        <f ca="1">Rose!AI22</f>
        <v/>
      </c>
      <c r="AI123" s="35" t="str">
        <f ca="1">Rose!AI38</f>
        <v/>
      </c>
      <c r="AJ123" s="28">
        <f t="shared" si="25"/>
        <v>0</v>
      </c>
    </row>
    <row r="124" spans="33:36">
      <c r="AG124" s="28">
        <f>Rose!AI70</f>
        <v>0</v>
      </c>
      <c r="AH124" s="35" t="str">
        <f ca="1">Rose!AI23</f>
        <v/>
      </c>
      <c r="AI124" s="35" t="str">
        <f ca="1">Rose!AI39</f>
        <v/>
      </c>
      <c r="AJ124" s="28">
        <f t="shared" si="25"/>
        <v>0</v>
      </c>
    </row>
    <row r="125" spans="33:36">
      <c r="AH125" s="28">
        <f t="shared" ref="AH125:AI144" si="26">$AG41</f>
        <v>0</v>
      </c>
      <c r="AI125" s="28">
        <f t="shared" si="26"/>
        <v>0</v>
      </c>
      <c r="AJ125" s="28">
        <f t="shared" si="25"/>
        <v>0</v>
      </c>
    </row>
    <row r="126" spans="33:36">
      <c r="AH126" s="28">
        <f t="shared" si="26"/>
        <v>0</v>
      </c>
      <c r="AI126" s="28">
        <f t="shared" si="26"/>
        <v>0</v>
      </c>
      <c r="AJ126" s="28">
        <f t="shared" si="25"/>
        <v>0</v>
      </c>
    </row>
    <row r="127" spans="33:36">
      <c r="AH127" s="28">
        <f t="shared" si="26"/>
        <v>0</v>
      </c>
      <c r="AI127" s="28">
        <f t="shared" si="26"/>
        <v>0</v>
      </c>
      <c r="AJ127" s="28">
        <f t="shared" si="25"/>
        <v>0</v>
      </c>
    </row>
    <row r="128" spans="33:36">
      <c r="AH128" s="28">
        <f t="shared" si="26"/>
        <v>0</v>
      </c>
      <c r="AI128" s="28">
        <f t="shared" si="26"/>
        <v>0</v>
      </c>
      <c r="AJ128" s="28">
        <f t="shared" si="25"/>
        <v>0</v>
      </c>
    </row>
    <row r="129" spans="34:36">
      <c r="AH129" s="28">
        <f t="shared" si="26"/>
        <v>0</v>
      </c>
      <c r="AI129" s="28">
        <f t="shared" si="26"/>
        <v>0</v>
      </c>
      <c r="AJ129" s="28">
        <f t="shared" si="25"/>
        <v>0</v>
      </c>
    </row>
    <row r="130" spans="34:36">
      <c r="AH130" s="28">
        <f t="shared" si="26"/>
        <v>0</v>
      </c>
      <c r="AI130" s="28">
        <f t="shared" si="26"/>
        <v>0</v>
      </c>
      <c r="AJ130" s="28">
        <f t="shared" si="25"/>
        <v>0</v>
      </c>
    </row>
    <row r="131" spans="34:36">
      <c r="AH131" s="28">
        <f t="shared" si="26"/>
        <v>0</v>
      </c>
      <c r="AI131" s="28">
        <f t="shared" si="26"/>
        <v>0</v>
      </c>
      <c r="AJ131" s="28">
        <f t="shared" si="25"/>
        <v>0</v>
      </c>
    </row>
    <row r="132" spans="34:36">
      <c r="AH132" s="28">
        <f t="shared" si="26"/>
        <v>0</v>
      </c>
      <c r="AI132" s="28">
        <f t="shared" si="26"/>
        <v>0</v>
      </c>
      <c r="AJ132" s="28">
        <f t="shared" si="25"/>
        <v>0</v>
      </c>
    </row>
    <row r="133" spans="34:36">
      <c r="AH133" s="28">
        <f t="shared" si="26"/>
        <v>0</v>
      </c>
      <c r="AI133" s="28">
        <f t="shared" si="26"/>
        <v>0</v>
      </c>
      <c r="AJ133" s="28">
        <f t="shared" ref="AJ133:AJ164" si="27">$AG73</f>
        <v>0</v>
      </c>
    </row>
    <row r="134" spans="34:36">
      <c r="AH134" s="28">
        <f t="shared" si="26"/>
        <v>0</v>
      </c>
      <c r="AI134" s="28">
        <f t="shared" si="26"/>
        <v>0</v>
      </c>
      <c r="AJ134" s="28">
        <f t="shared" si="27"/>
        <v>0</v>
      </c>
    </row>
    <row r="135" spans="34:36">
      <c r="AH135" s="28">
        <f t="shared" si="26"/>
        <v>0</v>
      </c>
      <c r="AI135" s="28">
        <f t="shared" si="26"/>
        <v>0</v>
      </c>
      <c r="AJ135" s="28">
        <f t="shared" si="27"/>
        <v>0</v>
      </c>
    </row>
    <row r="136" spans="34:36">
      <c r="AH136" s="28">
        <f t="shared" si="26"/>
        <v>0</v>
      </c>
      <c r="AI136" s="28">
        <f t="shared" si="26"/>
        <v>0</v>
      </c>
      <c r="AJ136" s="28">
        <f t="shared" si="27"/>
        <v>0</v>
      </c>
    </row>
    <row r="137" spans="34:36">
      <c r="AH137" s="28">
        <f t="shared" si="26"/>
        <v>0</v>
      </c>
      <c r="AI137" s="28">
        <f t="shared" si="26"/>
        <v>0</v>
      </c>
      <c r="AJ137" s="28">
        <f t="shared" si="27"/>
        <v>0</v>
      </c>
    </row>
    <row r="138" spans="34:36">
      <c r="AH138" s="28">
        <f t="shared" si="26"/>
        <v>0</v>
      </c>
      <c r="AI138" s="28">
        <f t="shared" si="26"/>
        <v>0</v>
      </c>
      <c r="AJ138" s="28">
        <f t="shared" si="27"/>
        <v>0</v>
      </c>
    </row>
    <row r="139" spans="34:36">
      <c r="AH139" s="28">
        <f t="shared" si="26"/>
        <v>0</v>
      </c>
      <c r="AI139" s="28">
        <f t="shared" si="26"/>
        <v>0</v>
      </c>
      <c r="AJ139" s="28">
        <f t="shared" si="27"/>
        <v>0</v>
      </c>
    </row>
    <row r="140" spans="34:36">
      <c r="AH140" s="28">
        <f t="shared" si="26"/>
        <v>0</v>
      </c>
      <c r="AI140" s="28">
        <f t="shared" si="26"/>
        <v>0</v>
      </c>
      <c r="AJ140" s="28">
        <f t="shared" si="27"/>
        <v>0</v>
      </c>
    </row>
    <row r="141" spans="34:36">
      <c r="AH141" s="28">
        <f t="shared" si="26"/>
        <v>0</v>
      </c>
      <c r="AI141" s="28">
        <f t="shared" si="26"/>
        <v>0</v>
      </c>
      <c r="AJ141" s="28">
        <f t="shared" si="27"/>
        <v>0</v>
      </c>
    </row>
    <row r="142" spans="34:36">
      <c r="AH142" s="28">
        <f t="shared" si="26"/>
        <v>0</v>
      </c>
      <c r="AI142" s="28">
        <f t="shared" si="26"/>
        <v>0</v>
      </c>
      <c r="AJ142" s="28">
        <f t="shared" si="27"/>
        <v>0</v>
      </c>
    </row>
    <row r="143" spans="34:36">
      <c r="AH143" s="28">
        <f t="shared" si="26"/>
        <v>0</v>
      </c>
      <c r="AI143" s="28">
        <f t="shared" si="26"/>
        <v>0</v>
      </c>
      <c r="AJ143" s="28">
        <f t="shared" si="27"/>
        <v>0</v>
      </c>
    </row>
    <row r="144" spans="34:36">
      <c r="AH144" s="28">
        <f t="shared" si="26"/>
        <v>0</v>
      </c>
      <c r="AI144" s="28">
        <f t="shared" si="26"/>
        <v>0</v>
      </c>
      <c r="AJ144" s="28">
        <f t="shared" si="27"/>
        <v>0</v>
      </c>
    </row>
    <row r="145" spans="34:36">
      <c r="AH145" s="28">
        <f t="shared" ref="AH145:AI164" si="28">$AG61</f>
        <v>0</v>
      </c>
      <c r="AI145" s="28">
        <f t="shared" si="28"/>
        <v>0</v>
      </c>
      <c r="AJ145" s="28">
        <f t="shared" si="27"/>
        <v>0</v>
      </c>
    </row>
    <row r="146" spans="34:36">
      <c r="AH146" s="28">
        <f t="shared" si="28"/>
        <v>0</v>
      </c>
      <c r="AI146" s="28">
        <f t="shared" si="28"/>
        <v>0</v>
      </c>
      <c r="AJ146" s="28">
        <f t="shared" si="27"/>
        <v>0</v>
      </c>
    </row>
    <row r="147" spans="34:36">
      <c r="AH147" s="28">
        <f t="shared" si="28"/>
        <v>0</v>
      </c>
      <c r="AI147" s="28">
        <f t="shared" si="28"/>
        <v>0</v>
      </c>
      <c r="AJ147" s="28">
        <f t="shared" si="27"/>
        <v>0</v>
      </c>
    </row>
    <row r="148" spans="34:36">
      <c r="AH148" s="28">
        <f t="shared" si="28"/>
        <v>0</v>
      </c>
      <c r="AI148" s="28">
        <f t="shared" si="28"/>
        <v>0</v>
      </c>
      <c r="AJ148" s="28">
        <f t="shared" si="27"/>
        <v>0</v>
      </c>
    </row>
    <row r="149" spans="34:36">
      <c r="AH149" s="28">
        <f t="shared" si="28"/>
        <v>0</v>
      </c>
      <c r="AI149" s="28">
        <f t="shared" si="28"/>
        <v>0</v>
      </c>
      <c r="AJ149" s="28">
        <f t="shared" si="27"/>
        <v>0</v>
      </c>
    </row>
    <row r="150" spans="34:36">
      <c r="AH150" s="28">
        <f t="shared" si="28"/>
        <v>0</v>
      </c>
      <c r="AI150" s="28">
        <f t="shared" si="28"/>
        <v>0</v>
      </c>
      <c r="AJ150" s="28">
        <f t="shared" si="27"/>
        <v>0</v>
      </c>
    </row>
    <row r="151" spans="34:36">
      <c r="AH151" s="28">
        <f t="shared" si="28"/>
        <v>0</v>
      </c>
      <c r="AI151" s="28">
        <f t="shared" si="28"/>
        <v>0</v>
      </c>
      <c r="AJ151" s="28">
        <f t="shared" si="27"/>
        <v>0</v>
      </c>
    </row>
    <row r="152" spans="34:36">
      <c r="AH152" s="28">
        <f t="shared" si="28"/>
        <v>0</v>
      </c>
      <c r="AI152" s="28">
        <f t="shared" si="28"/>
        <v>0</v>
      </c>
      <c r="AJ152" s="28">
        <f t="shared" si="27"/>
        <v>0</v>
      </c>
    </row>
    <row r="153" spans="34:36">
      <c r="AH153" s="28">
        <f t="shared" si="28"/>
        <v>0</v>
      </c>
      <c r="AI153" s="28">
        <f t="shared" si="28"/>
        <v>0</v>
      </c>
      <c r="AJ153" s="28">
        <f t="shared" si="27"/>
        <v>0</v>
      </c>
    </row>
    <row r="154" spans="34:36">
      <c r="AH154" s="28">
        <f t="shared" si="28"/>
        <v>0</v>
      </c>
      <c r="AI154" s="28">
        <f t="shared" si="28"/>
        <v>0</v>
      </c>
      <c r="AJ154" s="28">
        <f t="shared" si="27"/>
        <v>0</v>
      </c>
    </row>
    <row r="155" spans="34:36">
      <c r="AH155" s="28">
        <f t="shared" si="28"/>
        <v>0</v>
      </c>
      <c r="AI155" s="28">
        <f t="shared" si="28"/>
        <v>0</v>
      </c>
      <c r="AJ155" s="28">
        <f t="shared" si="27"/>
        <v>0</v>
      </c>
    </row>
    <row r="156" spans="34:36">
      <c r="AH156" s="28">
        <f t="shared" si="28"/>
        <v>0</v>
      </c>
      <c r="AI156" s="28">
        <f t="shared" si="28"/>
        <v>0</v>
      </c>
      <c r="AJ156" s="28">
        <f t="shared" si="27"/>
        <v>0</v>
      </c>
    </row>
    <row r="157" spans="34:36">
      <c r="AH157" s="28">
        <f t="shared" si="28"/>
        <v>0</v>
      </c>
      <c r="AI157" s="28">
        <f t="shared" si="28"/>
        <v>0</v>
      </c>
      <c r="AJ157" s="28">
        <f t="shared" si="27"/>
        <v>0</v>
      </c>
    </row>
    <row r="158" spans="34:36">
      <c r="AH158" s="28">
        <f t="shared" si="28"/>
        <v>0</v>
      </c>
      <c r="AI158" s="28">
        <f t="shared" si="28"/>
        <v>0</v>
      </c>
      <c r="AJ158" s="28">
        <f t="shared" si="27"/>
        <v>0</v>
      </c>
    </row>
    <row r="159" spans="34:36">
      <c r="AH159" s="28">
        <f t="shared" si="28"/>
        <v>0</v>
      </c>
      <c r="AI159" s="28">
        <f t="shared" si="28"/>
        <v>0</v>
      </c>
      <c r="AJ159" s="28">
        <f t="shared" si="27"/>
        <v>0</v>
      </c>
    </row>
    <row r="160" spans="34:36">
      <c r="AH160" s="28">
        <f t="shared" si="28"/>
        <v>0</v>
      </c>
      <c r="AI160" s="28">
        <f t="shared" si="28"/>
        <v>0</v>
      </c>
      <c r="AJ160" s="28">
        <f t="shared" si="27"/>
        <v>0</v>
      </c>
    </row>
    <row r="161" spans="34:36">
      <c r="AH161" s="28">
        <f t="shared" si="28"/>
        <v>0</v>
      </c>
      <c r="AI161" s="28">
        <f t="shared" si="28"/>
        <v>0</v>
      </c>
      <c r="AJ161" s="28">
        <f t="shared" si="27"/>
        <v>0</v>
      </c>
    </row>
    <row r="162" spans="34:36">
      <c r="AH162" s="28">
        <f t="shared" si="28"/>
        <v>0</v>
      </c>
      <c r="AI162" s="28">
        <f t="shared" si="28"/>
        <v>0</v>
      </c>
      <c r="AJ162" s="28">
        <f t="shared" si="27"/>
        <v>0</v>
      </c>
    </row>
    <row r="163" spans="34:36">
      <c r="AH163" s="28">
        <f t="shared" si="28"/>
        <v>0</v>
      </c>
      <c r="AI163" s="28">
        <f t="shared" si="28"/>
        <v>0</v>
      </c>
      <c r="AJ163" s="28">
        <f t="shared" si="27"/>
        <v>0</v>
      </c>
    </row>
    <row r="164" spans="34:36">
      <c r="AH164" s="28">
        <f t="shared" si="28"/>
        <v>0</v>
      </c>
      <c r="AI164" s="28">
        <f t="shared" si="28"/>
        <v>0</v>
      </c>
      <c r="AJ164" s="28">
        <f t="shared" si="27"/>
        <v>0</v>
      </c>
    </row>
    <row r="165" spans="34:36">
      <c r="AH165" s="28">
        <f t="shared" ref="AH165:AI184" si="29">$AG81</f>
        <v>0</v>
      </c>
      <c r="AI165" s="28">
        <f t="shared" si="29"/>
        <v>0</v>
      </c>
      <c r="AJ165" s="28">
        <f t="shared" ref="AJ165:AJ184" si="30">$AG105</f>
        <v>0</v>
      </c>
    </row>
    <row r="166" spans="34:36">
      <c r="AH166" s="28">
        <f t="shared" si="29"/>
        <v>0</v>
      </c>
      <c r="AI166" s="28">
        <f t="shared" si="29"/>
        <v>0</v>
      </c>
      <c r="AJ166" s="28">
        <f t="shared" si="30"/>
        <v>0</v>
      </c>
    </row>
    <row r="167" spans="34:36">
      <c r="AH167" s="28">
        <f t="shared" si="29"/>
        <v>0</v>
      </c>
      <c r="AI167" s="28">
        <f t="shared" si="29"/>
        <v>0</v>
      </c>
      <c r="AJ167" s="28">
        <f t="shared" si="30"/>
        <v>0</v>
      </c>
    </row>
    <row r="168" spans="34:36">
      <c r="AH168" s="28">
        <f t="shared" si="29"/>
        <v>0</v>
      </c>
      <c r="AI168" s="28">
        <f t="shared" si="29"/>
        <v>0</v>
      </c>
      <c r="AJ168" s="28">
        <f t="shared" si="30"/>
        <v>0</v>
      </c>
    </row>
    <row r="169" spans="34:36">
      <c r="AH169" s="28">
        <f t="shared" si="29"/>
        <v>0</v>
      </c>
      <c r="AI169" s="28">
        <f t="shared" si="29"/>
        <v>0</v>
      </c>
      <c r="AJ169" s="28">
        <f t="shared" si="30"/>
        <v>0</v>
      </c>
    </row>
    <row r="170" spans="34:36">
      <c r="AH170" s="28">
        <f t="shared" si="29"/>
        <v>0</v>
      </c>
      <c r="AI170" s="28">
        <f t="shared" si="29"/>
        <v>0</v>
      </c>
      <c r="AJ170" s="28">
        <f t="shared" si="30"/>
        <v>0</v>
      </c>
    </row>
    <row r="171" spans="34:36">
      <c r="AH171" s="28">
        <f t="shared" si="29"/>
        <v>0</v>
      </c>
      <c r="AI171" s="28">
        <f t="shared" si="29"/>
        <v>0</v>
      </c>
      <c r="AJ171" s="28">
        <f t="shared" si="30"/>
        <v>0</v>
      </c>
    </row>
    <row r="172" spans="34:36">
      <c r="AH172" s="28">
        <f t="shared" si="29"/>
        <v>0</v>
      </c>
      <c r="AI172" s="28">
        <f t="shared" si="29"/>
        <v>0</v>
      </c>
      <c r="AJ172" s="28">
        <f t="shared" si="30"/>
        <v>0</v>
      </c>
    </row>
    <row r="173" spans="34:36">
      <c r="AH173" s="28">
        <f t="shared" si="29"/>
        <v>0</v>
      </c>
      <c r="AI173" s="28">
        <f t="shared" si="29"/>
        <v>0</v>
      </c>
      <c r="AJ173" s="28">
        <f t="shared" si="30"/>
        <v>0</v>
      </c>
    </row>
    <row r="174" spans="34:36">
      <c r="AH174" s="28">
        <f t="shared" si="29"/>
        <v>0</v>
      </c>
      <c r="AI174" s="28">
        <f t="shared" si="29"/>
        <v>0</v>
      </c>
      <c r="AJ174" s="28">
        <f t="shared" si="30"/>
        <v>0</v>
      </c>
    </row>
    <row r="175" spans="34:36">
      <c r="AH175" s="28">
        <f t="shared" si="29"/>
        <v>0</v>
      </c>
      <c r="AI175" s="28">
        <f t="shared" si="29"/>
        <v>0</v>
      </c>
      <c r="AJ175" s="28">
        <f t="shared" si="30"/>
        <v>0</v>
      </c>
    </row>
    <row r="176" spans="34:36">
      <c r="AH176" s="28">
        <f t="shared" si="29"/>
        <v>0</v>
      </c>
      <c r="AI176" s="28">
        <f t="shared" si="29"/>
        <v>0</v>
      </c>
      <c r="AJ176" s="28">
        <f t="shared" si="30"/>
        <v>0</v>
      </c>
    </row>
    <row r="177" spans="34:36">
      <c r="AH177" s="28">
        <f t="shared" si="29"/>
        <v>0</v>
      </c>
      <c r="AI177" s="28">
        <f t="shared" si="29"/>
        <v>0</v>
      </c>
      <c r="AJ177" s="28">
        <f t="shared" si="30"/>
        <v>0</v>
      </c>
    </row>
    <row r="178" spans="34:36">
      <c r="AH178" s="28">
        <f t="shared" si="29"/>
        <v>0</v>
      </c>
      <c r="AI178" s="28">
        <f t="shared" si="29"/>
        <v>0</v>
      </c>
      <c r="AJ178" s="28">
        <f t="shared" si="30"/>
        <v>0</v>
      </c>
    </row>
    <row r="179" spans="34:36">
      <c r="AH179" s="28">
        <f t="shared" si="29"/>
        <v>0</v>
      </c>
      <c r="AI179" s="28">
        <f t="shared" si="29"/>
        <v>0</v>
      </c>
      <c r="AJ179" s="28">
        <f t="shared" si="30"/>
        <v>0</v>
      </c>
    </row>
    <row r="180" spans="34:36">
      <c r="AH180" s="28">
        <f t="shared" si="29"/>
        <v>0</v>
      </c>
      <c r="AI180" s="28">
        <f t="shared" si="29"/>
        <v>0</v>
      </c>
      <c r="AJ180" s="28">
        <f t="shared" si="30"/>
        <v>0</v>
      </c>
    </row>
    <row r="181" spans="34:36">
      <c r="AH181" s="28">
        <f t="shared" si="29"/>
        <v>0</v>
      </c>
      <c r="AI181" s="28">
        <f t="shared" si="29"/>
        <v>0</v>
      </c>
      <c r="AJ181" s="28">
        <f t="shared" si="30"/>
        <v>0</v>
      </c>
    </row>
    <row r="182" spans="34:36">
      <c r="AH182" s="28">
        <f t="shared" si="29"/>
        <v>0</v>
      </c>
      <c r="AI182" s="28">
        <f t="shared" si="29"/>
        <v>0</v>
      </c>
      <c r="AJ182" s="28">
        <f t="shared" si="30"/>
        <v>0</v>
      </c>
    </row>
    <row r="183" spans="34:36">
      <c r="AH183" s="28">
        <f t="shared" si="29"/>
        <v>0</v>
      </c>
      <c r="AI183" s="28">
        <f t="shared" si="29"/>
        <v>0</v>
      </c>
      <c r="AJ183" s="28">
        <f t="shared" si="30"/>
        <v>0</v>
      </c>
    </row>
    <row r="184" spans="34:36">
      <c r="AH184" s="28">
        <f t="shared" si="29"/>
        <v>0</v>
      </c>
      <c r="AI184" s="28">
        <f t="shared" si="29"/>
        <v>0</v>
      </c>
      <c r="AJ184" s="28">
        <f t="shared" si="30"/>
        <v>0</v>
      </c>
    </row>
    <row r="185" spans="34:36">
      <c r="AH185" s="28">
        <f t="shared" ref="AH185:AI204" si="31">$AG101</f>
        <v>0</v>
      </c>
      <c r="AI185" s="28">
        <f t="shared" si="31"/>
        <v>0</v>
      </c>
    </row>
    <row r="186" spans="34:36">
      <c r="AH186" s="28">
        <f t="shared" si="31"/>
        <v>0</v>
      </c>
      <c r="AI186" s="28">
        <f t="shared" si="31"/>
        <v>0</v>
      </c>
    </row>
    <row r="187" spans="34:36">
      <c r="AH187" s="28">
        <f t="shared" si="31"/>
        <v>0</v>
      </c>
      <c r="AI187" s="28">
        <f t="shared" si="31"/>
        <v>0</v>
      </c>
    </row>
    <row r="188" spans="34:36">
      <c r="AH188" s="28">
        <f t="shared" si="31"/>
        <v>0</v>
      </c>
      <c r="AI188" s="28">
        <f t="shared" si="31"/>
        <v>0</v>
      </c>
    </row>
    <row r="189" spans="34:36">
      <c r="AH189" s="28">
        <f t="shared" si="31"/>
        <v>0</v>
      </c>
      <c r="AI189" s="28">
        <f t="shared" si="31"/>
        <v>0</v>
      </c>
    </row>
    <row r="190" spans="34:36">
      <c r="AH190" s="28">
        <f t="shared" si="31"/>
        <v>0</v>
      </c>
      <c r="AI190" s="28">
        <f t="shared" si="31"/>
        <v>0</v>
      </c>
    </row>
    <row r="191" spans="34:36">
      <c r="AH191" s="28">
        <f t="shared" si="31"/>
        <v>0</v>
      </c>
      <c r="AI191" s="28">
        <f t="shared" si="31"/>
        <v>0</v>
      </c>
    </row>
    <row r="192" spans="34:36">
      <c r="AH192" s="28">
        <f t="shared" si="31"/>
        <v>0</v>
      </c>
      <c r="AI192" s="28">
        <f t="shared" si="31"/>
        <v>0</v>
      </c>
    </row>
    <row r="193" spans="34:35">
      <c r="AH193" s="28">
        <f t="shared" si="31"/>
        <v>0</v>
      </c>
      <c r="AI193" s="28">
        <f t="shared" si="31"/>
        <v>0</v>
      </c>
    </row>
    <row r="194" spans="34:35">
      <c r="AH194" s="28">
        <f t="shared" si="31"/>
        <v>0</v>
      </c>
      <c r="AI194" s="28">
        <f t="shared" si="31"/>
        <v>0</v>
      </c>
    </row>
    <row r="195" spans="34:35">
      <c r="AH195" s="28">
        <f t="shared" si="31"/>
        <v>0</v>
      </c>
      <c r="AI195" s="28">
        <f t="shared" si="31"/>
        <v>0</v>
      </c>
    </row>
    <row r="196" spans="34:35">
      <c r="AH196" s="28">
        <f t="shared" si="31"/>
        <v>0</v>
      </c>
      <c r="AI196" s="28">
        <f t="shared" si="31"/>
        <v>0</v>
      </c>
    </row>
    <row r="197" spans="34:35">
      <c r="AH197" s="28">
        <f t="shared" si="31"/>
        <v>0</v>
      </c>
      <c r="AI197" s="28">
        <f t="shared" si="31"/>
        <v>0</v>
      </c>
    </row>
    <row r="198" spans="34:35">
      <c r="AH198" s="28">
        <f t="shared" si="31"/>
        <v>0</v>
      </c>
      <c r="AI198" s="28">
        <f t="shared" si="31"/>
        <v>0</v>
      </c>
    </row>
    <row r="199" spans="34:35">
      <c r="AH199" s="28">
        <f t="shared" si="31"/>
        <v>0</v>
      </c>
      <c r="AI199" s="28">
        <f t="shared" si="31"/>
        <v>0</v>
      </c>
    </row>
    <row r="200" spans="34:35">
      <c r="AH200" s="28">
        <f t="shared" si="31"/>
        <v>0</v>
      </c>
      <c r="AI200" s="28">
        <f t="shared" si="31"/>
        <v>0</v>
      </c>
    </row>
    <row r="201" spans="34:35">
      <c r="AH201" s="28">
        <f t="shared" si="31"/>
        <v>0</v>
      </c>
      <c r="AI201" s="28">
        <f t="shared" si="31"/>
        <v>0</v>
      </c>
    </row>
    <row r="202" spans="34:35">
      <c r="AH202" s="28">
        <f t="shared" si="31"/>
        <v>0</v>
      </c>
      <c r="AI202" s="28">
        <f t="shared" si="31"/>
        <v>0</v>
      </c>
    </row>
    <row r="203" spans="34:35">
      <c r="AH203" s="28">
        <f t="shared" si="31"/>
        <v>0</v>
      </c>
      <c r="AI203" s="28">
        <f t="shared" si="31"/>
        <v>0</v>
      </c>
    </row>
    <row r="204" spans="34:35">
      <c r="AH204" s="28">
        <f t="shared" si="31"/>
        <v>0</v>
      </c>
      <c r="AI204" s="28">
        <f t="shared" si="31"/>
        <v>0</v>
      </c>
    </row>
    <row r="205" spans="34:35">
      <c r="AH205" s="28">
        <f t="shared" ref="AH205:AI208" si="32">$AG121</f>
        <v>0</v>
      </c>
      <c r="AI205" s="28">
        <f t="shared" si="32"/>
        <v>0</v>
      </c>
    </row>
    <row r="206" spans="34:35">
      <c r="AH206" s="28">
        <f t="shared" si="32"/>
        <v>0</v>
      </c>
      <c r="AI206" s="28">
        <f t="shared" si="32"/>
        <v>0</v>
      </c>
    </row>
    <row r="207" spans="34:35">
      <c r="AH207" s="28">
        <f t="shared" si="32"/>
        <v>0</v>
      </c>
      <c r="AI207" s="28">
        <f t="shared" si="32"/>
        <v>0</v>
      </c>
    </row>
    <row r="208" spans="34:35">
      <c r="AH208" s="28">
        <f t="shared" si="32"/>
        <v>0</v>
      </c>
      <c r="AI208" s="28">
        <f t="shared" si="32"/>
        <v>0</v>
      </c>
    </row>
  </sheetData>
  <sheetProtection formatColumns="0" formatRows="0"/>
  <mergeCells count="12">
    <mergeCell ref="B50:D50"/>
    <mergeCell ref="A52:B52"/>
    <mergeCell ref="M1:X2"/>
    <mergeCell ref="A3:B3"/>
    <mergeCell ref="H3:L3"/>
    <mergeCell ref="A9:B9"/>
    <mergeCell ref="H9:L9"/>
    <mergeCell ref="A22:B22"/>
    <mergeCell ref="H22:L22"/>
    <mergeCell ref="A35:B35"/>
    <mergeCell ref="H35:L35"/>
    <mergeCell ref="B48:D48"/>
  </mergeCells>
  <conditionalFormatting sqref="H4:X6">
    <cfRule type="expression" dxfId="339" priority="10" stopIfTrue="1">
      <formula>OR(COUNTIF($B$3:$B$6,H4)&gt;0)</formula>
    </cfRule>
    <cfRule type="expression" dxfId="338" priority="11" stopIfTrue="1">
      <formula>OR(COUNTIF($AG$5:$AG$137,H4)&gt;0)</formula>
    </cfRule>
  </conditionalFormatting>
  <conditionalFormatting sqref="H10:X19">
    <cfRule type="expression" dxfId="337" priority="13" stopIfTrue="1">
      <formula>OR(COUNTIF($B$10:$B$19,H10)&gt;0)</formula>
    </cfRule>
    <cfRule type="expression" dxfId="336" priority="14" stopIfTrue="1">
      <formula>OR(COUNTIF($AH$5:$AH$214,H10)&gt;0)</formula>
    </cfRule>
  </conditionalFormatting>
  <conditionalFormatting sqref="H23:X32">
    <cfRule type="expression" dxfId="335" priority="16" stopIfTrue="1">
      <formula>OR(COUNTIF($B$23:$B$32,H23)&gt;0)</formula>
    </cfRule>
    <cfRule type="expression" dxfId="334" priority="17" stopIfTrue="1">
      <formula>OR(COUNTIF($AI$5:$AI$214,H23)&gt;0)</formula>
    </cfRule>
  </conditionalFormatting>
  <conditionalFormatting sqref="H36:X43">
    <cfRule type="expression" dxfId="5" priority="19" stopIfTrue="1">
      <formula>OR(COUNTIF($B$36:$B$43,H36)&gt;0)</formula>
    </cfRule>
    <cfRule type="expression" dxfId="4" priority="20" stopIfTrue="1">
      <formula>OR(COUNTIF($AJ$5:$AJ$185,H36)&gt;0)</formula>
    </cfRule>
  </conditionalFormatting>
  <conditionalFormatting sqref="M1:X1048576">
    <cfRule type="expression" dxfId="3" priority="6" stopIfTrue="1">
      <formula>M$3=""</formula>
    </cfRule>
  </conditionalFormatting>
  <conditionalFormatting sqref="B10:D19">
    <cfRule type="expression" dxfId="333" priority="4" stopIfTrue="1">
      <formula>COUNTIF($B$10:$D$19,$C10)&gt;1</formula>
    </cfRule>
  </conditionalFormatting>
  <conditionalFormatting sqref="B23:D32">
    <cfRule type="expression" dxfId="332" priority="3" stopIfTrue="1">
      <formula>COUNTIF($B$23:$D$32,$C23)&gt;1</formula>
    </cfRule>
  </conditionalFormatting>
  <conditionalFormatting sqref="B36:D43">
    <cfRule type="expression" dxfId="331" priority="2" stopIfTrue="1">
      <formula>COUNTIF($B$36:$D$43,$C36)&gt;1</formula>
    </cfRule>
  </conditionalFormatting>
  <conditionalFormatting sqref="H4:L6 H10:L19 H23:L32 H36:L43">
    <cfRule type="containsBlanks" priority="1" stopIfTrue="1">
      <formula>LEN(TRIM(H4))=0</formula>
    </cfRule>
  </conditionalFormatting>
  <dataValidations count="6">
    <dataValidation type="list" allowBlank="1" sqref="D53:D59 B4" xr:uid="{00000000-0002-0000-0400-000000000000}">
      <formula1>ListaP</formula1>
      <formula2>0</formula2>
    </dataValidation>
    <dataValidation type="list" allowBlank="1" sqref="B53:C59" xr:uid="{00000000-0002-0000-0400-000001000000}">
      <formula1>ListaA</formula1>
      <formula2>0</formula2>
    </dataValidation>
    <dataValidation type="list" allowBlank="1" sqref="B10:D19 C23:C32 C36:C43 C4:D6" xr:uid="{00000000-0002-0000-0400-000002000000}">
      <formula1>ListaD</formula1>
    </dataValidation>
    <dataValidation type="list" allowBlank="1" sqref="B23:B32 D23:D32" xr:uid="{00000000-0002-0000-0400-000003000000}">
      <formula1>ListaC</formula1>
    </dataValidation>
    <dataValidation type="list" allowBlank="1" sqref="B36:B43 D36:D43" xr:uid="{00000000-0002-0000-0400-000004000000}">
      <formula1>ListaA</formula1>
    </dataValidation>
    <dataValidation type="list" allowBlank="1" sqref="B5:B6" xr:uid="{00000000-0002-0000-0400-000005000000}">
      <formula1>ListaP</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D5ED-D4BC-491F-AD53-F39A8A24FE55}">
  <sheetPr>
    <tabColor indexed="47"/>
  </sheetPr>
  <dimension ref="A1:AD208"/>
  <sheetViews>
    <sheetView zoomScale="80" zoomScaleNormal="80" workbookViewId="0">
      <selection activeCell="K40" sqref="K40"/>
    </sheetView>
  </sheetViews>
  <sheetFormatPr defaultColWidth="9" defaultRowHeight="12.75"/>
  <cols>
    <col min="1" max="1" width="16.5703125" style="26" bestFit="1" customWidth="1"/>
    <col min="2" max="2" width="13.7109375" style="26" bestFit="1" customWidth="1"/>
    <col min="3" max="3" width="12.7109375" style="26" bestFit="1" customWidth="1"/>
    <col min="4" max="4" width="16.42578125" style="26" bestFit="1" customWidth="1"/>
    <col min="5" max="5" width="17.140625" style="26" bestFit="1" customWidth="1"/>
    <col min="6" max="6" width="13.85546875" style="26" bestFit="1" customWidth="1"/>
    <col min="7" max="7" width="14.5703125" style="26" bestFit="1" customWidth="1"/>
    <col min="8" max="8" width="15.5703125" style="26" bestFit="1" customWidth="1"/>
    <col min="9" max="11" width="17.7109375" style="26" customWidth="1"/>
    <col min="12" max="12" width="17.5703125" style="26" customWidth="1"/>
    <col min="13" max="13" width="3.42578125" style="27" hidden="1" customWidth="1"/>
    <col min="14" max="17" width="2.7109375" style="27" customWidth="1"/>
    <col min="18" max="19" width="10.7109375" style="27" customWidth="1"/>
    <col min="20" max="20" width="10.7109375" style="27" hidden="1" customWidth="1"/>
    <col min="21" max="24" width="9" style="28" hidden="1" customWidth="1"/>
    <col min="25" max="25" width="10.7109375" style="28" hidden="1" customWidth="1"/>
    <col min="26" max="27" width="10.7109375" style="27" hidden="1" customWidth="1"/>
    <col min="28" max="30" width="9.140625" style="27" hidden="1" customWidth="1"/>
    <col min="31" max="79" width="9.140625" style="27" customWidth="1"/>
    <col min="80" max="16384" width="9" style="27"/>
  </cols>
  <sheetData>
    <row r="1" spans="1:25">
      <c r="A1" s="544" t="s">
        <v>1278</v>
      </c>
      <c r="B1" s="544"/>
      <c r="C1" s="544"/>
      <c r="D1" s="544"/>
      <c r="E1" s="544"/>
      <c r="F1" s="544"/>
      <c r="G1" s="544"/>
      <c r="H1" s="544"/>
      <c r="I1" s="544"/>
      <c r="J1" s="544"/>
      <c r="K1" s="544"/>
      <c r="L1" s="544"/>
    </row>
    <row r="2" spans="1:25" ht="13.5" customHeight="1">
      <c r="A2" s="544"/>
      <c r="B2" s="544"/>
      <c r="C2" s="544"/>
      <c r="D2" s="544"/>
      <c r="E2" s="544"/>
      <c r="F2" s="544"/>
      <c r="G2" s="544"/>
      <c r="H2" s="544"/>
      <c r="I2" s="544"/>
      <c r="J2" s="544"/>
      <c r="K2" s="544"/>
      <c r="L2" s="544"/>
    </row>
    <row r="3" spans="1:25">
      <c r="A3" s="29">
        <f>IF(Asta!$H$3&lt;1,"",1)</f>
        <v>1</v>
      </c>
      <c r="B3" s="29">
        <f>IF(Asta!$H$3&lt;2,"",2)</f>
        <v>2</v>
      </c>
      <c r="C3" s="29">
        <f>IF(Asta!$H$3&lt;3,"",3)</f>
        <v>3</v>
      </c>
      <c r="D3" s="29">
        <f>IF(Asta!$H$3&lt;4,"",4)</f>
        <v>4</v>
      </c>
      <c r="E3" s="29">
        <f>IF(Asta!$H$3&lt;5,"",5)</f>
        <v>5</v>
      </c>
      <c r="F3" s="29">
        <f>IF(Asta!$H$3&lt;6,"",6)</f>
        <v>6</v>
      </c>
      <c r="G3" s="29">
        <f>IF(Asta!$H$3&lt;7,"",7)</f>
        <v>7</v>
      </c>
      <c r="H3" s="29">
        <f>IF(Asta!$H$3&lt;8,"",8)</f>
        <v>8</v>
      </c>
      <c r="I3" s="29" t="str">
        <f>IF(Asta!$H$3&lt;9,"",9)</f>
        <v/>
      </c>
      <c r="J3" s="29" t="str">
        <f>IF(Asta!$H$3&lt;10,"",10)</f>
        <v/>
      </c>
      <c r="K3" s="29" t="str">
        <f>IF(Asta!$H$3&lt;11,"",11)</f>
        <v/>
      </c>
      <c r="L3" s="29" t="str">
        <f>IF(Asta!$H$3&lt;12,"",12)</f>
        <v/>
      </c>
    </row>
    <row r="4" spans="1:25">
      <c r="A4" s="28" t="str">
        <f ca="1">IF(ISNUMBER(A$3),INDIRECT("'I.A. + Fasce'!B" &amp; 6 + MATCH(A$3+COUNTIF($A$3:$L$3,"&gt;0")*($M4-1),INDIRECT(ADDRESS(7,22+MATCH('I.A. + Fasce'!$P$26,'I.A. + Fasce'!$W$6:$AA$6,0),1,1,"I.A. + Fasce") &amp; ":" &amp; ADDRESS(79,22+MATCH('I.A. + Fasce'!$P$26,'I.A. + Fasce'!$W$6:$AA$6,0),1,1)),0)),"")</f>
        <v>BUFFON</v>
      </c>
      <c r="B4" s="28" t="str">
        <f ca="1">IF(ISNUMBER(B$3),INDIRECT("'I.A. + Fasce'!B" &amp; 6 + MATCH(B$3+COUNTIF($A$3:$L$3,"&gt;0")*($M4-1),INDIRECT(ADDRESS(7,22+MATCH('I.A. + Fasce'!$P$26,'I.A. + Fasce'!$W$6:$AA$6,0),1,1,"I.A. + Fasce") &amp; ":" &amp; ADDRESS(79,22+MATCH('I.A. + Fasce'!$P$26,'I.A. + Fasce'!$W$6:$AA$6,0),1,1)),0)),"")</f>
        <v>DONNARUMMA G</v>
      </c>
      <c r="C4" s="28" t="str">
        <f ca="1">IF(ISNUMBER(C$3),INDIRECT("'I.A. + Fasce'!B" &amp; 6 + MATCH(C$3+COUNTIF($A$3:$L$3,"&gt;0")*($M4-1),INDIRECT(ADDRESS(7,22+MATCH('I.A. + Fasce'!$P$26,'I.A. + Fasce'!$W$6:$AA$6,0),1,1,"I.A. + Fasce") &amp; ":" &amp; ADDRESS(79,22+MATCH('I.A. + Fasce'!$P$26,'I.A. + Fasce'!$W$6:$AA$6,0),1,1)),0)),"")</f>
        <v>HANDANOVIC</v>
      </c>
      <c r="D4" s="28" t="str">
        <f ca="1">IF(ISNUMBER(D$3),INDIRECT("'I.A. + Fasce'!B" &amp; 6 + MATCH(D$3+COUNTIF($A$3:$L$3,"&gt;0")*($M4-1),INDIRECT(ADDRESS(7,22+MATCH('I.A. + Fasce'!$P$26,'I.A. + Fasce'!$W$6:$AA$6,0),1,1,"I.A. + Fasce") &amp; ":" &amp; ADDRESS(79,22+MATCH('I.A. + Fasce'!$P$26,'I.A. + Fasce'!$W$6:$AA$6,0),1,1)),0)),"")</f>
        <v>REINA</v>
      </c>
      <c r="E4" s="28" t="str">
        <f ca="1">IF(ISNUMBER(E$3),INDIRECT("'I.A. + Fasce'!B" &amp; 6 + MATCH(E$3+COUNTIF($A$3:$L$3,"&gt;0")*($M4-1),INDIRECT(ADDRESS(7,22+MATCH('I.A. + Fasce'!$P$26,'I.A. + Fasce'!$W$6:$AA$6,0),1,1,"I.A. + Fasce") &amp; ":" &amp; ADDRESS(79,22+MATCH('I.A. + Fasce'!$P$26,'I.A. + Fasce'!$W$6:$AA$6,0),1,1)),0)),"")</f>
        <v>ALISSON</v>
      </c>
      <c r="F4" s="28" t="str">
        <f ca="1">IF(ISNUMBER(F$3),INDIRECT("'I.A. + Fasce'!B" &amp; 6 + MATCH(F$3+COUNTIF($A$3:$L$3,"&gt;0")*($M4-1),INDIRECT(ADDRESS(7,22+MATCH('I.A. + Fasce'!$P$26,'I.A. + Fasce'!$W$6:$AA$6,0),1,1,"I.A. + Fasce") &amp; ":" &amp; ADDRESS(79,22+MATCH('I.A. + Fasce'!$P$26,'I.A. + Fasce'!$W$6:$AA$6,0),1,1)),0)),"")</f>
        <v>CONSIGLI</v>
      </c>
      <c r="G4" s="28" t="str">
        <f ca="1">IF(ISNUMBER(G$3),INDIRECT("'I.A. + Fasce'!B" &amp; 6 + MATCH(G$3+COUNTIF($A$3:$L$3,"&gt;0")*($M4-1),INDIRECT(ADDRESS(7,22+MATCH('I.A. + Fasce'!$P$26,'I.A. + Fasce'!$W$6:$AA$6,0),1,1,"I.A. + Fasce") &amp; ":" &amp; ADDRESS(79,22+MATCH('I.A. + Fasce'!$P$26,'I.A. + Fasce'!$W$6:$AA$6,0),1,1)),0)),"")</f>
        <v>BERISHA</v>
      </c>
      <c r="H4" s="28" t="str">
        <f ca="1">IF(ISNUMBER(H$3),INDIRECT("'I.A. + Fasce'!B" &amp; 6 + MATCH(H$3+COUNTIF($A$3:$L$3,"&gt;0")*($M4-1),INDIRECT(ADDRESS(7,22+MATCH('I.A. + Fasce'!$P$26,'I.A. + Fasce'!$W$6:$AA$6,0),1,1,"I.A. + Fasce") &amp; ":" &amp; ADDRESS(79,22+MATCH('I.A. + Fasce'!$P$26,'I.A. + Fasce'!$W$6:$AA$6,0),1,1)),0)),"")</f>
        <v>STRAKOSHA</v>
      </c>
      <c r="I4" s="28" t="str">
        <f ca="1">IF(ISNUMBER(I$3),INDIRECT("'I.A. + Fasce'!B" &amp; 6 + MATCH(I$3+COUNTIF($A$3:$L$3,"&gt;0")*($M4-1),INDIRECT(ADDRESS(7,22+MATCH('I.A. + Fasce'!$P$26,'I.A. + Fasce'!$W$6:$AA$6,0),1,1,"I.A. + Fasce") &amp; ":" &amp; ADDRESS(79,22+MATCH('I.A. + Fasce'!$P$26,'I.A. + Fasce'!$W$6:$AA$6,0),1,1)),0)),"")</f>
        <v/>
      </c>
      <c r="J4" s="28" t="str">
        <f ca="1">IF(ISNUMBER(J$3),INDIRECT("'I.A. + Fasce'!B" &amp; 6 + MATCH(J$3+COUNTIF($A$3:$L$3,"&gt;0")*($M4-1),INDIRECT(ADDRESS(7,22+MATCH('I.A. + Fasce'!$P$26,'I.A. + Fasce'!$W$6:$AA$6,0),1,1,"I.A. + Fasce") &amp; ":" &amp; ADDRESS(79,22+MATCH('I.A. + Fasce'!$P$26,'I.A. + Fasce'!$W$6:$AA$6,0),1,1)),0)),"")</f>
        <v/>
      </c>
      <c r="K4" s="28" t="str">
        <f ca="1">IF(ISNUMBER(K$3),INDIRECT("'I.A. + Fasce'!B" &amp; 6 + MATCH(K$3+COUNTIF($A$3:$L$3,"&gt;0")*($M4-1),INDIRECT(ADDRESS(7,22+MATCH('I.A. + Fasce'!$P$26,'I.A. + Fasce'!$W$6:$AA$6,0),1,1,"I.A. + Fasce") &amp; ":" &amp; ADDRESS(79,22+MATCH('I.A. + Fasce'!$P$26,'I.A. + Fasce'!$W$6:$AA$6,0),1,1)),0)),"")</f>
        <v/>
      </c>
      <c r="L4" s="28" t="str">
        <f ca="1">IF(ISNUMBER(L$3),INDIRECT("'I.A. + Fasce'!B" &amp; 6 + MATCH(L$3+COUNTIF($A$3:$L$3,"&gt;0")*($M4-1),INDIRECT(ADDRESS(7,22+MATCH('I.A. + Fasce'!$P$26,'I.A. + Fasce'!$W$6:$AA$6,0),1,1,"I.A. + Fasce") &amp; ":" &amp; ADDRESS(79,22+MATCH('I.A. + Fasce'!$P$26,'I.A. + Fasce'!$W$6:$AA$6,0),1,1)),0)),"")</f>
        <v/>
      </c>
      <c r="M4" s="27">
        <v>1</v>
      </c>
    </row>
    <row r="5" spans="1:25">
      <c r="A5" s="28" t="str">
        <f ca="1">IF(ISNUMBER(A$3),INDIRECT("'I.A. + Fasce'!B" &amp; 6 + MATCH(A$3+COUNTIF($A$3:$L$3,"&gt;0")*($M5-1),INDIRECT(ADDRESS(7,22+MATCH('I.A. + Fasce'!$P$26,'I.A. + Fasce'!$W$6:$AA$6,0),1,1,"I.A. + Fasce") &amp; ":" &amp; ADDRESS(79,22+MATCH('I.A. + Fasce'!$P$26,'I.A. + Fasce'!$W$6:$AA$6,0),1,1)),0)),"")</f>
        <v>VIVIANO</v>
      </c>
      <c r="B5" s="28" t="str">
        <f ca="1">IF(ISNUMBER(B$3),INDIRECT("'I.A. + Fasce'!B" &amp; 6 + MATCH(B$3+COUNTIF($A$3:$L$3,"&gt;0")*($M5-1),INDIRECT(ADDRESS(7,22+MATCH('I.A. + Fasce'!$P$26,'I.A. + Fasce'!$W$6:$AA$6,0),1,1,"I.A. + Fasce") &amp; ":" &amp; ADDRESS(79,22+MATCH('I.A. + Fasce'!$P$26,'I.A. + Fasce'!$W$6:$AA$6,0),1,1)),0)),"")</f>
        <v>SIRIGU</v>
      </c>
      <c r="C5" s="28" t="str">
        <f ca="1">IF(ISNUMBER(C$3),INDIRECT("'I.A. + Fasce'!B" &amp; 6 + MATCH(C$3+COUNTIF($A$3:$L$3,"&gt;0")*($M5-1),INDIRECT(ADDRESS(7,22+MATCH('I.A. + Fasce'!$P$26,'I.A. + Fasce'!$W$6:$AA$6,0),1,1,"I.A. + Fasce") &amp; ":" &amp; ADDRESS(79,22+MATCH('I.A. + Fasce'!$P$26,'I.A. + Fasce'!$W$6:$AA$6,0),1,1)),0)),"")</f>
        <v>SPORTIELLO</v>
      </c>
      <c r="D5" s="28" t="str">
        <f ca="1">IF(ISNUMBER(D$3),INDIRECT("'I.A. + Fasce'!B" &amp; 6 + MATCH(D$3+COUNTIF($A$3:$L$3,"&gt;0")*($M5-1),INDIRECT(ADDRESS(7,22+MATCH('I.A. + Fasce'!$P$26,'I.A. + Fasce'!$W$6:$AA$6,0),1,1,"I.A. + Fasce") &amp; ":" &amp; ADDRESS(79,22+MATCH('I.A. + Fasce'!$P$26,'I.A. + Fasce'!$W$6:$AA$6,0),1,1)),0)),"")</f>
        <v>PERIN</v>
      </c>
      <c r="E5" s="28" t="str">
        <f ca="1">IF(ISNUMBER(E$3),INDIRECT("'I.A. + Fasce'!B" &amp; 6 + MATCH(E$3+COUNTIF($A$3:$L$3,"&gt;0")*($M5-1),INDIRECT(ADDRESS(7,22+MATCH('I.A. + Fasce'!$P$26,'I.A. + Fasce'!$W$6:$AA$6,0),1,1,"I.A. + Fasce") &amp; ":" &amp; ADDRESS(79,22+MATCH('I.A. + Fasce'!$P$26,'I.A. + Fasce'!$W$6:$AA$6,0),1,1)),0)),"")</f>
        <v>SORRENTINO</v>
      </c>
      <c r="F5" s="28" t="str">
        <f ca="1">IF(ISNUMBER(F$3),INDIRECT("'I.A. + Fasce'!B" &amp; 6 + MATCH(F$3+COUNTIF($A$3:$L$3,"&gt;0")*($M5-1),INDIRECT(ADDRESS(7,22+MATCH('I.A. + Fasce'!$P$26,'I.A. + Fasce'!$W$6:$AA$6,0),1,1,"I.A. + Fasce") &amp; ":" &amp; ADDRESS(79,22+MATCH('I.A. + Fasce'!$P$26,'I.A. + Fasce'!$W$6:$AA$6,0),1,1)),0)),"")</f>
        <v>SCUFFET</v>
      </c>
      <c r="G5" s="28" t="str">
        <f ca="1">IF(ISNUMBER(G$3),INDIRECT("'I.A. + Fasce'!B" &amp; 6 + MATCH(G$3+COUNTIF($A$3:$L$3,"&gt;0")*($M5-1),INDIRECT(ADDRESS(7,22+MATCH('I.A. + Fasce'!$P$26,'I.A. + Fasce'!$W$6:$AA$6,0),1,1,"I.A. + Fasce") &amp; ":" &amp; ADDRESS(79,22+MATCH('I.A. + Fasce'!$P$26,'I.A. + Fasce'!$W$6:$AA$6,0),1,1)),0)),"")</f>
        <v>MIRANTE</v>
      </c>
      <c r="H5" s="28" t="str">
        <f ca="1">IF(ISNUMBER(H$3),INDIRECT("'I.A. + Fasce'!B" &amp; 6 + MATCH(H$3+COUNTIF($A$3:$L$3,"&gt;0")*($M5-1),INDIRECT(ADDRESS(7,22+MATCH('I.A. + Fasce'!$P$26,'I.A. + Fasce'!$W$6:$AA$6,0),1,1,"I.A. + Fasce") &amp; ":" &amp; ADDRESS(79,22+MATCH('I.A. + Fasce'!$P$26,'I.A. + Fasce'!$W$6:$AA$6,0),1,1)),0)),"")</f>
        <v>CORDAZ</v>
      </c>
      <c r="I5" s="28" t="str">
        <f ca="1">IF(ISNUMBER(I$3),INDIRECT("'I.A. + Fasce'!B" &amp; 6 + MATCH(I$3+COUNTIF($A$3:$L$3,"&gt;0")*($M5-1),INDIRECT(ADDRESS(7,22+MATCH('I.A. + Fasce'!$P$26,'I.A. + Fasce'!$W$6:$AA$6,0),1,1,"I.A. + Fasce") &amp; ":" &amp; ADDRESS(79,22+MATCH('I.A. + Fasce'!$P$26,'I.A. + Fasce'!$W$6:$AA$6,0),1,1)),0)),"")</f>
        <v/>
      </c>
      <c r="J5" s="28" t="str">
        <f ca="1">IF(ISNUMBER(J$3),INDIRECT("'I.A. + Fasce'!B" &amp; 6 + MATCH(J$3+COUNTIF($A$3:$L$3,"&gt;0")*($M5-1),INDIRECT(ADDRESS(7,22+MATCH('I.A. + Fasce'!$P$26,'I.A. + Fasce'!$W$6:$AA$6,0),1,1,"I.A. + Fasce") &amp; ":" &amp; ADDRESS(79,22+MATCH('I.A. + Fasce'!$P$26,'I.A. + Fasce'!$W$6:$AA$6,0),1,1)),0)),"")</f>
        <v/>
      </c>
      <c r="K5" s="28" t="str">
        <f ca="1">IF(ISNUMBER(K$3),INDIRECT("'I.A. + Fasce'!B" &amp; 6 + MATCH(K$3+COUNTIF($A$3:$L$3,"&gt;0")*($M5-1),INDIRECT(ADDRESS(7,22+MATCH('I.A. + Fasce'!$P$26,'I.A. + Fasce'!$W$6:$AA$6,0),1,1,"I.A. + Fasce") &amp; ":" &amp; ADDRESS(79,22+MATCH('I.A. + Fasce'!$P$26,'I.A. + Fasce'!$W$6:$AA$6,0),1,1)),0)),"")</f>
        <v/>
      </c>
      <c r="L5" s="28" t="str">
        <f ca="1">IF(ISNUMBER(L$3),INDIRECT("'I.A. + Fasce'!B" &amp; 6 + MATCH(L$3+COUNTIF($A$3:$L$3,"&gt;0")*($M5-1),INDIRECT(ADDRESS(7,22+MATCH('I.A. + Fasce'!$P$26,'I.A. + Fasce'!$W$6:$AA$6,0),1,1,"I.A. + Fasce") &amp; ":" &amp; ADDRESS(79,22+MATCH('I.A. + Fasce'!$P$26,'I.A. + Fasce'!$W$6:$AA$6,0),1,1)),0)),"")</f>
        <v/>
      </c>
      <c r="M5" s="27">
        <v>2</v>
      </c>
      <c r="U5" s="35" t="str">
        <f ca="1">Rose!B5</f>
        <v/>
      </c>
      <c r="V5" s="35" t="str">
        <f ca="1">Rose!B14</f>
        <v/>
      </c>
      <c r="W5" s="35" t="str">
        <f ca="1">Rose!B30</f>
        <v/>
      </c>
      <c r="X5" s="35" t="str">
        <f ca="1">Rose!B46</f>
        <v/>
      </c>
      <c r="Y5" s="35"/>
    </row>
    <row r="6" spans="1:25">
      <c r="A6" s="28" t="str">
        <f ca="1">IF(ISNUMBER(A$3),INDIRECT("'I.A. + Fasce'!B" &amp; 6 + MATCH(A$3+COUNTIF($A$3:$L$3,"&gt;0")*($M6-1),INDIRECT(ADDRESS(7,22+MATCH('I.A. + Fasce'!$P$26,'I.A. + Fasce'!$W$6:$AA$6,0),1,1,"I.A. + Fasce") &amp; ":" &amp; ADDRESS(79,22+MATCH('I.A. + Fasce'!$P$26,'I.A. + Fasce'!$W$6:$AA$6,0),1,1)),0)),"")</f>
        <v>CRAGNO</v>
      </c>
      <c r="B6" s="28" t="str">
        <f ca="1">IF(ISNUMBER(B$3),INDIRECT("'I.A. + Fasce'!B" &amp; 6 + MATCH(B$3+COUNTIF($A$3:$L$3,"&gt;0")*($M6-1),INDIRECT(ADDRESS(7,22+MATCH('I.A. + Fasce'!$P$26,'I.A. + Fasce'!$W$6:$AA$6,0),1,1,"I.A. + Fasce") &amp; ":" &amp; ADDRESS(79,22+MATCH('I.A. + Fasce'!$P$26,'I.A. + Fasce'!$W$6:$AA$6,0),1,1)),0)),"")</f>
        <v>MERET</v>
      </c>
      <c r="C6" s="28" t="str">
        <f ca="1">IF(ISNUMBER(C$3),INDIRECT("'I.A. + Fasce'!B" &amp; 6 + MATCH(C$3+COUNTIF($A$3:$L$3,"&gt;0")*($M6-1),INDIRECT(ADDRESS(7,22+MATCH('I.A. + Fasce'!$P$26,'I.A. + Fasce'!$W$6:$AA$6,0),1,1,"I.A. + Fasce") &amp; ":" &amp; ADDRESS(79,22+MATCH('I.A. + Fasce'!$P$26,'I.A. + Fasce'!$W$6:$AA$6,0),1,1)),0)),"")</f>
        <v>NICOLAS</v>
      </c>
      <c r="D6" s="28" t="str">
        <f ca="1">IF(ISNUMBER(D$3),INDIRECT("'I.A. + Fasce'!B" &amp; 6 + MATCH(D$3+COUNTIF($A$3:$L$3,"&gt;0")*($M6-1),INDIRECT(ADDRESS(7,22+MATCH('I.A. + Fasce'!$P$26,'I.A. + Fasce'!$W$6:$AA$6,0),1,1,"I.A. + Fasce") &amp; ":" &amp; ADDRESS(79,22+MATCH('I.A. + Fasce'!$P$26,'I.A. + Fasce'!$W$6:$AA$6,0),1,1)),0)),"")</f>
        <v>BELEC</v>
      </c>
      <c r="E6" s="28" t="str">
        <f ca="1">IF(ISNUMBER(E$3),INDIRECT("'I.A. + Fasce'!B" &amp; 6 + MATCH(E$3+COUNTIF($A$3:$L$3,"&gt;0")*($M6-1),INDIRECT(ADDRESS(7,22+MATCH('I.A. + Fasce'!$P$26,'I.A. + Fasce'!$W$6:$AA$6,0),1,1,"I.A. + Fasce") &amp; ":" &amp; ADDRESS(79,22+MATCH('I.A. + Fasce'!$P$26,'I.A. + Fasce'!$W$6:$AA$6,0),1,1)),0)),"")</f>
        <v>GOMIS A</v>
      </c>
      <c r="F6" s="28" t="str">
        <f ca="1">IF(ISNUMBER(F$3),INDIRECT("'I.A. + Fasce'!B" &amp; 6 + MATCH(F$3+COUNTIF($A$3:$L$3,"&gt;0")*($M6-1),INDIRECT(ADDRESS(7,22+MATCH('I.A. + Fasce'!$P$26,'I.A. + Fasce'!$W$6:$AA$6,0),1,1,"I.A. + Fasce") &amp; ":" &amp; ADDRESS(79,22+MATCH('I.A. + Fasce'!$P$26,'I.A. + Fasce'!$W$6:$AA$6,0),1,1)),0)),"")</f>
        <v>SZCZESNY</v>
      </c>
      <c r="G6" s="28" t="str">
        <f ca="1">IF(ISNUMBER(G$3),INDIRECT("'I.A. + Fasce'!B" &amp; 6 + MATCH(G$3+COUNTIF($A$3:$L$3,"&gt;0")*($M6-1),INDIRECT(ADDRESS(7,22+MATCH('I.A. + Fasce'!$P$26,'I.A. + Fasce'!$W$6:$AA$6,0),1,1,"I.A. + Fasce") &amp; ":" &amp; ADDRESS(79,22+MATCH('I.A. + Fasce'!$P$26,'I.A. + Fasce'!$W$6:$AA$6,0),1,1)),0)),"")</f>
        <v>SKORUPSKI</v>
      </c>
      <c r="H6" s="28" t="str">
        <f ca="1">IF(ISNUMBER(H$3),INDIRECT("'I.A. + Fasce'!B" &amp; 6 + MATCH(H$3+COUNTIF($A$3:$L$3,"&gt;0")*($M6-1),INDIRECT(ADDRESS(7,22+MATCH('I.A. + Fasce'!$P$26,'I.A. + Fasce'!$W$6:$AA$6,0),1,1,"I.A. + Fasce") &amp; ":" &amp; ADDRESS(79,22+MATCH('I.A. + Fasce'!$P$26,'I.A. + Fasce'!$W$6:$AA$6,0),1,1)),0)),"")</f>
        <v>DA COSTA</v>
      </c>
      <c r="I6" s="28" t="str">
        <f ca="1">IF(ISNUMBER(I$3),INDIRECT("'I.A. + Fasce'!B" &amp; 6 + MATCH(I$3+COUNTIF($A$3:$L$3,"&gt;0")*($M6-1),INDIRECT(ADDRESS(7,22+MATCH('I.A. + Fasce'!$P$26,'I.A. + Fasce'!$W$6:$AA$6,0),1,1,"I.A. + Fasce") &amp; ":" &amp; ADDRESS(79,22+MATCH('I.A. + Fasce'!$P$26,'I.A. + Fasce'!$W$6:$AA$6,0),1,1)),0)),"")</f>
        <v/>
      </c>
      <c r="J6" s="28" t="str">
        <f ca="1">IF(ISNUMBER(J$3),INDIRECT("'I.A. + Fasce'!B" &amp; 6 + MATCH(J$3+COUNTIF($A$3:$L$3,"&gt;0")*($M6-1),INDIRECT(ADDRESS(7,22+MATCH('I.A. + Fasce'!$P$26,'I.A. + Fasce'!$W$6:$AA$6,0),1,1,"I.A. + Fasce") &amp; ":" &amp; ADDRESS(79,22+MATCH('I.A. + Fasce'!$P$26,'I.A. + Fasce'!$W$6:$AA$6,0),1,1)),0)),"")</f>
        <v/>
      </c>
      <c r="K6" s="28" t="str">
        <f ca="1">IF(ISNUMBER(K$3),INDIRECT("'I.A. + Fasce'!B" &amp; 6 + MATCH(K$3+COUNTIF($A$3:$L$3,"&gt;0")*($M6-1),INDIRECT(ADDRESS(7,22+MATCH('I.A. + Fasce'!$P$26,'I.A. + Fasce'!$W$6:$AA$6,0),1,1,"I.A. + Fasce") &amp; ":" &amp; ADDRESS(79,22+MATCH('I.A. + Fasce'!$P$26,'I.A. + Fasce'!$W$6:$AA$6,0),1,1)),0)),"")</f>
        <v/>
      </c>
      <c r="L6" s="28" t="str">
        <f ca="1">IF(ISNUMBER(L$3),INDIRECT("'I.A. + Fasce'!B" &amp; 6 + MATCH(L$3+COUNTIF($A$3:$L$3,"&gt;0")*($M6-1),INDIRECT(ADDRESS(7,22+MATCH('I.A. + Fasce'!$P$26,'I.A. + Fasce'!$W$6:$AA$6,0),1,1,"I.A. + Fasce") &amp; ":" &amp; ADDRESS(79,22+MATCH('I.A. + Fasce'!$P$26,'I.A. + Fasce'!$W$6:$AA$6,0),1,1)),0)),"")</f>
        <v/>
      </c>
      <c r="M6" s="27">
        <v>3</v>
      </c>
      <c r="U6" s="35" t="str">
        <f ca="1">Rose!B6</f>
        <v/>
      </c>
      <c r="V6" s="35" t="str">
        <f ca="1">Rose!B15</f>
        <v/>
      </c>
      <c r="W6" s="35" t="str">
        <f ca="1">Rose!B31</f>
        <v/>
      </c>
      <c r="X6" s="35" t="str">
        <f ca="1">Rose!B47</f>
        <v/>
      </c>
      <c r="Y6" s="35"/>
    </row>
    <row r="7" spans="1:25">
      <c r="B7" s="39"/>
      <c r="C7" s="39"/>
      <c r="D7" s="39"/>
      <c r="E7" s="39"/>
      <c r="F7" s="39"/>
      <c r="G7" s="39"/>
      <c r="H7" s="39"/>
      <c r="I7" s="39"/>
      <c r="J7" s="39"/>
      <c r="U7" s="35" t="str">
        <f ca="1">Rose!B7</f>
        <v/>
      </c>
      <c r="V7" s="35" t="str">
        <f ca="1">Rose!B16</f>
        <v/>
      </c>
      <c r="W7" s="35" t="str">
        <f ca="1">Rose!B32</f>
        <v/>
      </c>
      <c r="X7" s="35" t="str">
        <f ca="1">Rose!B48</f>
        <v/>
      </c>
      <c r="Y7" s="35"/>
    </row>
    <row r="8" spans="1:25">
      <c r="A8" s="39"/>
      <c r="B8" s="39"/>
      <c r="C8" s="39"/>
      <c r="D8" s="39"/>
      <c r="E8" s="39"/>
      <c r="F8" s="39"/>
      <c r="G8" s="39"/>
      <c r="H8" s="39"/>
      <c r="I8" s="39"/>
      <c r="J8" s="39"/>
      <c r="U8" s="35" t="str">
        <f ca="1">Rose!E5</f>
        <v/>
      </c>
      <c r="V8" s="35" t="str">
        <f ca="1">Rose!B17</f>
        <v/>
      </c>
      <c r="W8" s="35" t="str">
        <f ca="1">Rose!B33</f>
        <v/>
      </c>
      <c r="X8" s="35" t="str">
        <f ca="1">Rose!B49</f>
        <v/>
      </c>
      <c r="Y8" s="35"/>
    </row>
    <row r="9" spans="1:25">
      <c r="A9" s="43">
        <f t="shared" ref="A9:L9" si="0">A$3</f>
        <v>1</v>
      </c>
      <c r="B9" s="43">
        <f t="shared" si="0"/>
        <v>2</v>
      </c>
      <c r="C9" s="43">
        <f t="shared" si="0"/>
        <v>3</v>
      </c>
      <c r="D9" s="43">
        <f t="shared" si="0"/>
        <v>4</v>
      </c>
      <c r="E9" s="43">
        <f t="shared" si="0"/>
        <v>5</v>
      </c>
      <c r="F9" s="43">
        <f t="shared" si="0"/>
        <v>6</v>
      </c>
      <c r="G9" s="43">
        <f t="shared" si="0"/>
        <v>7</v>
      </c>
      <c r="H9" s="43">
        <f t="shared" si="0"/>
        <v>8</v>
      </c>
      <c r="I9" s="43" t="str">
        <f t="shared" si="0"/>
        <v/>
      </c>
      <c r="J9" s="43" t="str">
        <f t="shared" si="0"/>
        <v/>
      </c>
      <c r="K9" s="43" t="str">
        <f t="shared" si="0"/>
        <v/>
      </c>
      <c r="L9" s="43" t="str">
        <f t="shared" si="0"/>
        <v/>
      </c>
      <c r="U9" s="35" t="str">
        <f ca="1">Rose!E6</f>
        <v/>
      </c>
      <c r="V9" s="35" t="str">
        <f ca="1">Rose!B18</f>
        <v/>
      </c>
      <c r="W9" s="35" t="str">
        <f ca="1">Rose!B34</f>
        <v/>
      </c>
      <c r="X9" s="35" t="str">
        <f ca="1">Rose!B50</f>
        <v/>
      </c>
      <c r="Y9" s="35"/>
    </row>
    <row r="10" spans="1:25">
      <c r="A10" s="28" t="str">
        <f ca="1">IF(ISNUMBER(A$3),INDIRECT("'I.A. + Fasce'!B" &amp; 84 + MATCH(A$3+COUNTIF($A$3:$L$3,"&gt;0")*($M10-1),INDIRECT(ADDRESS(85,22+MATCH('I.A. + Fasce'!$P$27,'I.A. + Fasce'!$W$84:$AA$84,0),1,1,"I.A. + Fasce") &amp; ":" &amp; ADDRESS(305,22+MATCH('I.A. + Fasce'!$P$27,'I.A. + Fasce'!$W$84:$AA$84,0),1,1)),0)),"")</f>
        <v>KOULIBALY</v>
      </c>
      <c r="B10" s="28" t="str">
        <f ca="1">IF(ISNUMBER(B$3),INDIRECT("'I.A. + Fasce'!B" &amp; 84 + MATCH(B$3+COUNTIF($A$3:$L$3,"&gt;0")*($M10-1),INDIRECT(ADDRESS(85,22+MATCH('I.A. + Fasce'!$P$27,'I.A. + Fasce'!$W$84:$AA$84,0),1,1,"I.A. + Fasce") &amp; ":" &amp; ADDRESS(305,22+MATCH('I.A. + Fasce'!$P$27,'I.A. + Fasce'!$W$84:$AA$84,0),1,1)),0)),"")</f>
        <v>ALEX SANDRO</v>
      </c>
      <c r="C10" s="28" t="str">
        <f ca="1">IF(ISNUMBER(C$3),INDIRECT("'I.A. + Fasce'!B" &amp; 84 + MATCH(C$3+COUNTIF($A$3:$L$3,"&gt;0")*($M10-1),INDIRECT(ADDRESS(85,22+MATCH('I.A. + Fasce'!$P$27,'I.A. + Fasce'!$W$84:$AA$84,0),1,1,"I.A. + Fasce") &amp; ":" &amp; ADDRESS(305,22+MATCH('I.A. + Fasce'!$P$27,'I.A. + Fasce'!$W$84:$AA$84,0),1,1)),0)),"")</f>
        <v>ACERBI</v>
      </c>
      <c r="D10" s="28" t="str">
        <f ca="1">IF(ISNUMBER(D$3),INDIRECT("'I.A. + Fasce'!B" &amp; 84 + MATCH(D$3+COUNTIF($A$3:$L$3,"&gt;0")*($M10-1),INDIRECT(ADDRESS(85,22+MATCH('I.A. + Fasce'!$P$27,'I.A. + Fasce'!$W$84:$AA$84,0),1,1,"I.A. + Fasce") &amp; ":" &amp; ADDRESS(305,22+MATCH('I.A. + Fasce'!$P$27,'I.A. + Fasce'!$W$84:$AA$84,0),1,1)),0)),"")</f>
        <v>BONUCCI</v>
      </c>
      <c r="E10" s="28" t="str">
        <f ca="1">IF(ISNUMBER(E$3),INDIRECT("'I.A. + Fasce'!B" &amp; 84 + MATCH(E$3+COUNTIF($A$3:$L$3,"&gt;0")*($M10-1),INDIRECT(ADDRESS(85,22+MATCH('I.A. + Fasce'!$P$27,'I.A. + Fasce'!$W$84:$AA$84,0),1,1,"I.A. + Fasce") &amp; ":" &amp; ADDRESS(305,22+MATCH('I.A. + Fasce'!$P$27,'I.A. + Fasce'!$W$84:$AA$84,0),1,1)),0)),"")</f>
        <v>GHOULAM</v>
      </c>
      <c r="F10" s="28" t="str">
        <f ca="1">IF(ISNUMBER(F$3),INDIRECT("'I.A. + Fasce'!B" &amp; 84 + MATCH(F$3+COUNTIF($A$3:$L$3,"&gt;0")*($M10-1),INDIRECT(ADDRESS(85,22+MATCH('I.A. + Fasce'!$P$27,'I.A. + Fasce'!$W$84:$AA$84,0),1,1,"I.A. + Fasce") &amp; ":" &amp; ADDRESS(305,22+MATCH('I.A. + Fasce'!$P$27,'I.A. + Fasce'!$W$84:$AA$84,0),1,1)),0)),"")</f>
        <v>RODRIGUEZ R</v>
      </c>
      <c r="G10" s="28" t="str">
        <f ca="1">IF(ISNUMBER(G$3),INDIRECT("'I.A. + Fasce'!B" &amp; 84 + MATCH(G$3+COUNTIF($A$3:$L$3,"&gt;0")*($M10-1),INDIRECT(ADDRESS(85,22+MATCH('I.A. + Fasce'!$P$27,'I.A. + Fasce'!$W$84:$AA$84,0),1,1,"I.A. + Fasce") &amp; ":" &amp; ADDRESS(305,22+MATCH('I.A. + Fasce'!$P$27,'I.A. + Fasce'!$W$84:$AA$84,0),1,1)),0)),"")</f>
        <v>CONTI</v>
      </c>
      <c r="H10" s="28" t="str">
        <f ca="1">IF(ISNUMBER(H$3),INDIRECT("'I.A. + Fasce'!B" &amp; 84 + MATCH(H$3+COUNTIF($A$3:$L$3,"&gt;0")*($M10-1),INDIRECT(ADDRESS(85,22+MATCH('I.A. + Fasce'!$P$27,'I.A. + Fasce'!$W$84:$AA$84,0),1,1,"I.A. + Fasce") &amp; ":" &amp; ADDRESS(305,22+MATCH('I.A. + Fasce'!$P$27,'I.A. + Fasce'!$W$84:$AA$84,0),1,1)),0)),"")</f>
        <v>CALDARA</v>
      </c>
      <c r="I10" s="28" t="str">
        <f ca="1">IF(ISNUMBER(I$3),INDIRECT("'I.A. + Fasce'!B" &amp; 84 + MATCH(I$3+COUNTIF($A$3:$L$3,"&gt;0")*($M10-1),INDIRECT(ADDRESS(85,22+MATCH('I.A. + Fasce'!$P$27,'I.A. + Fasce'!$W$84:$AA$84,0),1,1,"I.A. + Fasce") &amp; ":" &amp; ADDRESS(305,22+MATCH('I.A. + Fasce'!$P$27,'I.A. + Fasce'!$W$84:$AA$84,0),1,1)),0)),"")</f>
        <v/>
      </c>
      <c r="J10" s="28" t="str">
        <f ca="1">IF(ISNUMBER(J$3),INDIRECT("'I.A. + Fasce'!B" &amp; 84 + MATCH(J$3+COUNTIF($A$3:$L$3,"&gt;0")*($M10-1),INDIRECT(ADDRESS(85,22+MATCH('I.A. + Fasce'!$P$27,'I.A. + Fasce'!$W$84:$AA$84,0),1,1,"I.A. + Fasce") &amp; ":" &amp; ADDRESS(305,22+MATCH('I.A. + Fasce'!$P$27,'I.A. + Fasce'!$W$84:$AA$84,0),1,1)),0)),"")</f>
        <v/>
      </c>
      <c r="K10" s="28" t="str">
        <f ca="1">IF(ISNUMBER(K$3),INDIRECT("'I.A. + Fasce'!B" &amp; 84 + MATCH(K$3+COUNTIF($A$3:$L$3,"&gt;0")*($M10-1),INDIRECT(ADDRESS(85,22+MATCH('I.A. + Fasce'!$P$27,'I.A. + Fasce'!$W$84:$AA$84,0),1,1,"I.A. + Fasce") &amp; ":" &amp; ADDRESS(305,22+MATCH('I.A. + Fasce'!$P$27,'I.A. + Fasce'!$W$84:$AA$84,0),1,1)),0)),"")</f>
        <v/>
      </c>
      <c r="L10" s="28" t="str">
        <f ca="1">IF(ISNUMBER(L$3),INDIRECT("'I.A. + Fasce'!B" &amp; 84 + MATCH(L$3+COUNTIF($A$3:$L$3,"&gt;0")*($M10-1),INDIRECT(ADDRESS(85,22+MATCH('I.A. + Fasce'!$P$27,'I.A. + Fasce'!$W$84:$AA$84,0),1,1,"I.A. + Fasce") &amp; ":" &amp; ADDRESS(305,22+MATCH('I.A. + Fasce'!$P$27,'I.A. + Fasce'!$W$84:$AA$84,0),1,1)),0)),"")</f>
        <v/>
      </c>
      <c r="M10" s="27">
        <v>1</v>
      </c>
      <c r="U10" s="35" t="str">
        <f ca="1">Rose!E7</f>
        <v/>
      </c>
      <c r="V10" s="35" t="str">
        <f ca="1">Rose!B19</f>
        <v/>
      </c>
      <c r="W10" s="35" t="str">
        <f ca="1">Rose!B35</f>
        <v/>
      </c>
      <c r="X10" s="35" t="str">
        <f ca="1">Rose!B51</f>
        <v/>
      </c>
      <c r="Y10" s="35"/>
    </row>
    <row r="11" spans="1:25">
      <c r="A11" s="28" t="str">
        <f ca="1">IF(ISNUMBER(A$3),INDIRECT("'I.A. + Fasce'!B" &amp; 84 + MATCH(A$3+COUNTIF($A$3:$L$3,"&gt;0")*($M11-1),INDIRECT(ADDRESS(85,22+MATCH('I.A. + Fasce'!$P$27,'I.A. + Fasce'!$W$84:$AA$84,0),1,1,"I.A. + Fasce") &amp; ":" &amp; ADDRESS(305,22+MATCH('I.A. + Fasce'!$P$27,'I.A. + Fasce'!$W$84:$AA$84,0),1,1)),0)),"")</f>
        <v>ALBIOL</v>
      </c>
      <c r="B11" s="28" t="str">
        <f ca="1">IF(ISNUMBER(B$3),INDIRECT("'I.A. + Fasce'!B" &amp; 84 + MATCH(B$3+COUNTIF($A$3:$L$3,"&gt;0")*($M11-1),INDIRECT(ADDRESS(85,22+MATCH('I.A. + Fasce'!$P$27,'I.A. + Fasce'!$W$84:$AA$84,0),1,1,"I.A. + Fasce") &amp; ":" &amp; ADDRESS(305,22+MATCH('I.A. + Fasce'!$P$27,'I.A. + Fasce'!$W$84:$AA$84,0),1,1)),0)),"")</f>
        <v>FLORENZI</v>
      </c>
      <c r="C11" s="28" t="str">
        <f ca="1">IF(ISNUMBER(C$3),INDIRECT("'I.A. + Fasce'!B" &amp; 84 + MATCH(C$3+COUNTIF($A$3:$L$3,"&gt;0")*($M11-1),INDIRECT(ADDRESS(85,22+MATCH('I.A. + Fasce'!$P$27,'I.A. + Fasce'!$W$84:$AA$84,0),1,1,"I.A. + Fasce") &amp; ":" &amp; ADDRESS(305,22+MATCH('I.A. + Fasce'!$P$27,'I.A. + Fasce'!$W$84:$AA$84,0),1,1)),0)),"")</f>
        <v>DE VRIJ</v>
      </c>
      <c r="D11" s="28" t="str">
        <f ca="1">IF(ISNUMBER(D$3),INDIRECT("'I.A. + Fasce'!B" &amp; 84 + MATCH(D$3+COUNTIF($A$3:$L$3,"&gt;0")*($M11-1),INDIRECT(ADDRESS(85,22+MATCH('I.A. + Fasce'!$P$27,'I.A. + Fasce'!$W$84:$AA$84,0),1,1,"I.A. + Fasce") &amp; ":" &amp; ADDRESS(305,22+MATCH('I.A. + Fasce'!$P$27,'I.A. + Fasce'!$W$84:$AA$84,0),1,1)),0)),"")</f>
        <v>CHIELLINI</v>
      </c>
      <c r="E11" s="28" t="str">
        <f ca="1">IF(ISNUMBER(E$3),INDIRECT("'I.A. + Fasce'!B" &amp; 84 + MATCH(E$3+COUNTIF($A$3:$L$3,"&gt;0")*($M11-1),INDIRECT(ADDRESS(85,22+MATCH('I.A. + Fasce'!$P$27,'I.A. + Fasce'!$W$84:$AA$84,0),1,1,"I.A. + Fasce") &amp; ":" &amp; ADDRESS(305,22+MATCH('I.A. + Fasce'!$P$27,'I.A. + Fasce'!$W$84:$AA$84,0),1,1)),0)),"")</f>
        <v>RUGANI</v>
      </c>
      <c r="F11" s="28" t="str">
        <f ca="1">IF(ISNUMBER(F$3),INDIRECT("'I.A. + Fasce'!B" &amp; 84 + MATCH(F$3+COUNTIF($A$3:$L$3,"&gt;0")*($M11-1),INDIRECT(ADDRESS(85,22+MATCH('I.A. + Fasce'!$P$27,'I.A. + Fasce'!$W$84:$AA$84,0),1,1,"I.A. + Fasce") &amp; ":" &amp; ADDRESS(305,22+MATCH('I.A. + Fasce'!$P$27,'I.A. + Fasce'!$W$84:$AA$84,0),1,1)),0)),"")</f>
        <v>ROMULO</v>
      </c>
      <c r="G11" s="28" t="str">
        <f ca="1">IF(ISNUMBER(G$3),INDIRECT("'I.A. + Fasce'!B" &amp; 84 + MATCH(G$3+COUNTIF($A$3:$L$3,"&gt;0")*($M11-1),INDIRECT(ADDRESS(85,22+MATCH('I.A. + Fasce'!$P$27,'I.A. + Fasce'!$W$84:$AA$84,0),1,1,"I.A. + Fasce") &amp; ":" &amp; ADDRESS(305,22+MATCH('I.A. + Fasce'!$P$27,'I.A. + Fasce'!$W$84:$AA$84,0),1,1)),0)),"")</f>
        <v>ROMAGNOLI A</v>
      </c>
      <c r="H11" s="28" t="str">
        <f ca="1">IF(ISNUMBER(H$3),INDIRECT("'I.A. + Fasce'!B" &amp; 84 + MATCH(H$3+COUNTIF($A$3:$L$3,"&gt;0")*($M11-1),INDIRECT(ADDRESS(85,22+MATCH('I.A. + Fasce'!$P$27,'I.A. + Fasce'!$W$84:$AA$84,0),1,1,"I.A. + Fasce") &amp; ":" &amp; ADDRESS(305,22+MATCH('I.A. + Fasce'!$P$27,'I.A. + Fasce'!$W$84:$AA$84,0),1,1)),0)),"")</f>
        <v>N'KOULOU</v>
      </c>
      <c r="I11" s="28" t="str">
        <f ca="1">IF(ISNUMBER(I$3),INDIRECT("'I.A. + Fasce'!B" &amp; 84 + MATCH(I$3+COUNTIF($A$3:$L$3,"&gt;0")*($M11-1),INDIRECT(ADDRESS(85,22+MATCH('I.A. + Fasce'!$P$27,'I.A. + Fasce'!$W$84:$AA$84,0),1,1,"I.A. + Fasce") &amp; ":" &amp; ADDRESS(305,22+MATCH('I.A. + Fasce'!$P$27,'I.A. + Fasce'!$W$84:$AA$84,0),1,1)),0)),"")</f>
        <v/>
      </c>
      <c r="J11" s="28" t="str">
        <f ca="1">IF(ISNUMBER(J$3),INDIRECT("'I.A. + Fasce'!B" &amp; 84 + MATCH(J$3+COUNTIF($A$3:$L$3,"&gt;0")*($M11-1),INDIRECT(ADDRESS(85,22+MATCH('I.A. + Fasce'!$P$27,'I.A. + Fasce'!$W$84:$AA$84,0),1,1,"I.A. + Fasce") &amp; ":" &amp; ADDRESS(305,22+MATCH('I.A. + Fasce'!$P$27,'I.A. + Fasce'!$W$84:$AA$84,0),1,1)),0)),"")</f>
        <v/>
      </c>
      <c r="K11" s="28" t="str">
        <f ca="1">IF(ISNUMBER(K$3),INDIRECT("'I.A. + Fasce'!B" &amp; 84 + MATCH(K$3+COUNTIF($A$3:$L$3,"&gt;0")*($M11-1),INDIRECT(ADDRESS(85,22+MATCH('I.A. + Fasce'!$P$27,'I.A. + Fasce'!$W$84:$AA$84,0),1,1,"I.A. + Fasce") &amp; ":" &amp; ADDRESS(305,22+MATCH('I.A. + Fasce'!$P$27,'I.A. + Fasce'!$W$84:$AA$84,0),1,1)),0)),"")</f>
        <v/>
      </c>
      <c r="L11" s="28" t="str">
        <f ca="1">IF(ISNUMBER(L$3),INDIRECT("'I.A. + Fasce'!B" &amp; 84 + MATCH(L$3+COUNTIF($A$3:$L$3,"&gt;0")*($M11-1),INDIRECT(ADDRESS(85,22+MATCH('I.A. + Fasce'!$P$27,'I.A. + Fasce'!$W$84:$AA$84,0),1,1,"I.A. + Fasce") &amp; ":" &amp; ADDRESS(305,22+MATCH('I.A. + Fasce'!$P$27,'I.A. + Fasce'!$W$84:$AA$84,0),1,1)),0)),"")</f>
        <v/>
      </c>
      <c r="M11" s="27">
        <v>2</v>
      </c>
      <c r="U11" s="35" t="str">
        <f ca="1">Rose!H5</f>
        <v/>
      </c>
      <c r="V11" s="35" t="str">
        <f ca="1">Rose!B20</f>
        <v/>
      </c>
      <c r="W11" s="35" t="str">
        <f ca="1">Rose!B36</f>
        <v/>
      </c>
      <c r="X11" s="35" t="str">
        <f ca="1">Rose!B52</f>
        <v/>
      </c>
      <c r="Y11" s="35"/>
    </row>
    <row r="12" spans="1:25">
      <c r="A12" s="28" t="str">
        <f ca="1">IF(ISNUMBER(A$3),INDIRECT("'I.A. + Fasce'!B" &amp; 84 + MATCH(A$3+COUNTIF($A$3:$L$3,"&gt;0")*($M12-1),INDIRECT(ADDRESS(85,22+MATCH('I.A. + Fasce'!$P$27,'I.A. + Fasce'!$W$84:$AA$84,0),1,1,"I.A. + Fasce") &amp; ":" &amp; ADDRESS(305,22+MATCH('I.A. + Fasce'!$P$27,'I.A. + Fasce'!$W$84:$AA$84,0),1,1)),0)),"")</f>
        <v>MIRANDA</v>
      </c>
      <c r="B12" s="28" t="str">
        <f ca="1">IF(ISNUMBER(B$3),INDIRECT("'I.A. + Fasce'!B" &amp; 84 + MATCH(B$3+COUNTIF($A$3:$L$3,"&gt;0")*($M12-1),INDIRECT(ADDRESS(85,22+MATCH('I.A. + Fasce'!$P$27,'I.A. + Fasce'!$W$84:$AA$84,0),1,1,"I.A. + Fasce") &amp; ":" &amp; ADDRESS(305,22+MATCH('I.A. + Fasce'!$P$27,'I.A. + Fasce'!$W$84:$AA$84,0),1,1)),0)),"")</f>
        <v>MASIELLO A</v>
      </c>
      <c r="C12" s="28" t="str">
        <f ca="1">IF(ISNUMBER(C$3),INDIRECT("'I.A. + Fasce'!B" &amp; 84 + MATCH(C$3+COUNTIF($A$3:$L$3,"&gt;0")*($M12-1),INDIRECT(ADDRESS(85,22+MATCH('I.A. + Fasce'!$P$27,'I.A. + Fasce'!$W$84:$AA$84,0),1,1,"I.A. + Fasce") &amp; ":" &amp; ADDRESS(305,22+MATCH('I.A. + Fasce'!$P$27,'I.A. + Fasce'!$W$84:$AA$84,0),1,1)),0)),"")</f>
        <v>MANOLAS</v>
      </c>
      <c r="D12" s="28" t="str">
        <f ca="1">IF(ISNUMBER(D$3),INDIRECT("'I.A. + Fasce'!B" &amp; 84 + MATCH(D$3+COUNTIF($A$3:$L$3,"&gt;0")*($M12-1),INDIRECT(ADDRESS(85,22+MATCH('I.A. + Fasce'!$P$27,'I.A. + Fasce'!$W$84:$AA$84,0),1,1,"I.A. + Fasce") &amp; ":" &amp; ADDRESS(305,22+MATCH('I.A. + Fasce'!$P$27,'I.A. + Fasce'!$W$84:$AA$84,0),1,1)),0)),"")</f>
        <v>KOLAROV</v>
      </c>
      <c r="E12" s="28" t="str">
        <f ca="1">IF(ISNUMBER(E$3),INDIRECT("'I.A. + Fasce'!B" &amp; 84 + MATCH(E$3+COUNTIF($A$3:$L$3,"&gt;0")*($M12-1),INDIRECT(ADDRESS(85,22+MATCH('I.A. + Fasce'!$P$27,'I.A. + Fasce'!$W$84:$AA$84,0),1,1,"I.A. + Fasce") &amp; ":" &amp; ADDRESS(305,22+MATCH('I.A. + Fasce'!$P$27,'I.A. + Fasce'!$W$84:$AA$84,0),1,1)),0)),"")</f>
        <v>IZZO</v>
      </c>
      <c r="F12" s="28" t="str">
        <f ca="1">IF(ISNUMBER(F$3),INDIRECT("'I.A. + Fasce'!B" &amp; 84 + MATCH(F$3+COUNTIF($A$3:$L$3,"&gt;0")*($M12-1),INDIRECT(ADDRESS(85,22+MATCH('I.A. + Fasce'!$P$27,'I.A. + Fasce'!$W$84:$AA$84,0),1,1,"I.A. + Fasce") &amp; ":" &amp; ADDRESS(305,22+MATCH('I.A. + Fasce'!$P$27,'I.A. + Fasce'!$W$84:$AA$84,0),1,1)),0)),"")</f>
        <v>HYSAJ</v>
      </c>
      <c r="G12" s="28" t="str">
        <f ca="1">IF(ISNUMBER(G$3),INDIRECT("'I.A. + Fasce'!B" &amp; 84 + MATCH(G$3+COUNTIF($A$3:$L$3,"&gt;0")*($M12-1),INDIRECT(ADDRESS(85,22+MATCH('I.A. + Fasce'!$P$27,'I.A. + Fasce'!$W$84:$AA$84,0),1,1,"I.A. + Fasce") &amp; ":" &amp; ADDRESS(305,22+MATCH('I.A. + Fasce'!$P$27,'I.A. + Fasce'!$W$84:$AA$84,0),1,1)),0)),"")</f>
        <v>BENATIA</v>
      </c>
      <c r="H12" s="28" t="str">
        <f ca="1">IF(ISNUMBER(H$3),INDIRECT("'I.A. + Fasce'!B" &amp; 84 + MATCH(H$3+COUNTIF($A$3:$L$3,"&gt;0")*($M12-1),INDIRECT(ADDRESS(85,22+MATCH('I.A. + Fasce'!$P$27,'I.A. + Fasce'!$W$84:$AA$84,0),1,1,"I.A. + Fasce") &amp; ":" &amp; ADDRESS(305,22+MATCH('I.A. + Fasce'!$P$27,'I.A. + Fasce'!$W$84:$AA$84,0),1,1)),0)),"")</f>
        <v>WIDMER</v>
      </c>
      <c r="I12" s="28" t="str">
        <f ca="1">IF(ISNUMBER(I$3),INDIRECT("'I.A. + Fasce'!B" &amp; 84 + MATCH(I$3+COUNTIF($A$3:$L$3,"&gt;0")*($M12-1),INDIRECT(ADDRESS(85,22+MATCH('I.A. + Fasce'!$P$27,'I.A. + Fasce'!$W$84:$AA$84,0),1,1,"I.A. + Fasce") &amp; ":" &amp; ADDRESS(305,22+MATCH('I.A. + Fasce'!$P$27,'I.A. + Fasce'!$W$84:$AA$84,0),1,1)),0)),"")</f>
        <v/>
      </c>
      <c r="J12" s="28" t="str">
        <f ca="1">IF(ISNUMBER(J$3),INDIRECT("'I.A. + Fasce'!B" &amp; 84 + MATCH(J$3+COUNTIF($A$3:$L$3,"&gt;0")*($M12-1),INDIRECT(ADDRESS(85,22+MATCH('I.A. + Fasce'!$P$27,'I.A. + Fasce'!$W$84:$AA$84,0),1,1,"I.A. + Fasce") &amp; ":" &amp; ADDRESS(305,22+MATCH('I.A. + Fasce'!$P$27,'I.A. + Fasce'!$W$84:$AA$84,0),1,1)),0)),"")</f>
        <v/>
      </c>
      <c r="K12" s="28" t="str">
        <f ca="1">IF(ISNUMBER(K$3),INDIRECT("'I.A. + Fasce'!B" &amp; 84 + MATCH(K$3+COUNTIF($A$3:$L$3,"&gt;0")*($M12-1),INDIRECT(ADDRESS(85,22+MATCH('I.A. + Fasce'!$P$27,'I.A. + Fasce'!$W$84:$AA$84,0),1,1,"I.A. + Fasce") &amp; ":" &amp; ADDRESS(305,22+MATCH('I.A. + Fasce'!$P$27,'I.A. + Fasce'!$W$84:$AA$84,0),1,1)),0)),"")</f>
        <v/>
      </c>
      <c r="L12" s="28" t="str">
        <f ca="1">IF(ISNUMBER(L$3),INDIRECT("'I.A. + Fasce'!B" &amp; 84 + MATCH(L$3+COUNTIF($A$3:$L$3,"&gt;0")*($M12-1),INDIRECT(ADDRESS(85,22+MATCH('I.A. + Fasce'!$P$27,'I.A. + Fasce'!$W$84:$AA$84,0),1,1,"I.A. + Fasce") &amp; ":" &amp; ADDRESS(305,22+MATCH('I.A. + Fasce'!$P$27,'I.A. + Fasce'!$W$84:$AA$84,0),1,1)),0)),"")</f>
        <v/>
      </c>
      <c r="M12" s="27">
        <v>3</v>
      </c>
      <c r="U12" s="35" t="str">
        <f ca="1">Rose!H6</f>
        <v/>
      </c>
      <c r="V12" s="35" t="str">
        <f ca="1">Rose!B21</f>
        <v/>
      </c>
      <c r="W12" s="35" t="str">
        <f ca="1">Rose!B37</f>
        <v/>
      </c>
      <c r="X12" s="35" t="str">
        <f ca="1">Rose!B53</f>
        <v/>
      </c>
      <c r="Y12" s="35"/>
    </row>
    <row r="13" spans="1:25">
      <c r="A13" s="28" t="str">
        <f ca="1">IF(ISNUMBER(A$3),INDIRECT("'I.A. + Fasce'!B" &amp; 84 + MATCH(A$3+COUNTIF($A$3:$L$3,"&gt;0")*($M13-1),INDIRECT(ADDRESS(85,22+MATCH('I.A. + Fasce'!$P$27,'I.A. + Fasce'!$W$84:$AA$84,0),1,1,"I.A. + Fasce") &amp; ":" &amp; ADDRESS(305,22+MATCH('I.A. + Fasce'!$P$27,'I.A. + Fasce'!$W$84:$AA$84,0),1,1)),0)),"")</f>
        <v>TOLOI</v>
      </c>
      <c r="B13" s="28" t="str">
        <f ca="1">IF(ISNUMBER(B$3),INDIRECT("'I.A. + Fasce'!B" &amp; 84 + MATCH(B$3+COUNTIF($A$3:$L$3,"&gt;0")*($M13-1),INDIRECT(ADDRESS(85,22+MATCH('I.A. + Fasce'!$P$27,'I.A. + Fasce'!$W$84:$AA$84,0),1,1,"I.A. + Fasce") &amp; ":" &amp; ADDRESS(305,22+MATCH('I.A. + Fasce'!$P$27,'I.A. + Fasce'!$W$84:$AA$84,0),1,1)),0)),"")</f>
        <v>SILVESTRE</v>
      </c>
      <c r="C13" s="28" t="str">
        <f ca="1">IF(ISNUMBER(C$3),INDIRECT("'I.A. + Fasce'!B" &amp; 84 + MATCH(C$3+COUNTIF($A$3:$L$3,"&gt;0")*($M13-1),INDIRECT(ADDRESS(85,22+MATCH('I.A. + Fasce'!$P$27,'I.A. + Fasce'!$W$84:$AA$84,0),1,1,"I.A. + Fasce") &amp; ":" &amp; ADDRESS(305,22+MATCH('I.A. + Fasce'!$P$27,'I.A. + Fasce'!$W$84:$AA$84,0),1,1)),0)),"")</f>
        <v>SAMIR</v>
      </c>
      <c r="D13" s="28" t="str">
        <f ca="1">IF(ISNUMBER(D$3),INDIRECT("'I.A. + Fasce'!B" &amp; 84 + MATCH(D$3+COUNTIF($A$3:$L$3,"&gt;0")*($M13-1),INDIRECT(ADDRESS(85,22+MATCH('I.A. + Fasce'!$P$27,'I.A. + Fasce'!$W$84:$AA$84,0),1,1,"I.A. + Fasce") &amp; ":" &amp; ADDRESS(305,22+MATCH('I.A. + Fasce'!$P$27,'I.A. + Fasce'!$W$84:$AA$84,0),1,1)),0)),"")</f>
        <v>LUCIONI</v>
      </c>
      <c r="E13" s="28" t="str">
        <f ca="1">IF(ISNUMBER(E$3),INDIRECT("'I.A. + Fasce'!B" &amp; 84 + MATCH(E$3+COUNTIF($A$3:$L$3,"&gt;0")*($M13-1),INDIRECT(ADDRESS(85,22+MATCH('I.A. + Fasce'!$P$27,'I.A. + Fasce'!$W$84:$AA$84,0),1,1,"I.A. + Fasce") &amp; ":" &amp; ADDRESS(305,22+MATCH('I.A. + Fasce'!$P$27,'I.A. + Fasce'!$W$84:$AA$84,0),1,1)),0)),"")</f>
        <v>CECCHERINI</v>
      </c>
      <c r="F13" s="28" t="str">
        <f ca="1">IF(ISNUMBER(F$3),INDIRECT("'I.A. + Fasce'!B" &amp; 84 + MATCH(F$3+COUNTIF($A$3:$L$3,"&gt;0")*($M13-1),INDIRECT(ADDRESS(85,22+MATCH('I.A. + Fasce'!$P$27,'I.A. + Fasce'!$W$84:$AA$84,0),1,1,"I.A. + Fasce") &amp; ":" &amp; ADDRESS(305,22+MATCH('I.A. + Fasce'!$P$27,'I.A. + Fasce'!$W$84:$AA$84,0),1,1)),0)),"")</f>
        <v>BARRECA</v>
      </c>
      <c r="G13" s="28" t="str">
        <f ca="1">IF(ISNUMBER(G$3),INDIRECT("'I.A. + Fasce'!B" &amp; 84 + MATCH(G$3+COUNTIF($A$3:$L$3,"&gt;0")*($M13-1),INDIRECT(ADDRESS(85,22+MATCH('I.A. + Fasce'!$P$27,'I.A. + Fasce'!$W$84:$AA$84,0),1,1,"I.A. + Fasce") &amp; ":" &amp; ADDRESS(305,22+MATCH('I.A. + Fasce'!$P$27,'I.A. + Fasce'!$W$84:$AA$84,0),1,1)),0)),"")</f>
        <v>VAN DER WIEL</v>
      </c>
      <c r="H13" s="28" t="str">
        <f ca="1">IF(ISNUMBER(H$3),INDIRECT("'I.A. + Fasce'!B" &amp; 84 + MATCH(H$3+COUNTIF($A$3:$L$3,"&gt;0")*($M13-1),INDIRECT(ADDRESS(85,22+MATCH('I.A. + Fasce'!$P$27,'I.A. + Fasce'!$W$84:$AA$84,0),1,1,"I.A. + Fasce") &amp; ":" &amp; ADDRESS(305,22+MATCH('I.A. + Fasce'!$P$27,'I.A. + Fasce'!$W$84:$AA$84,0),1,1)),0)),"")</f>
        <v>PEZZELLA GER</v>
      </c>
      <c r="I13" s="28" t="str">
        <f ca="1">IF(ISNUMBER(I$3),INDIRECT("'I.A. + Fasce'!B" &amp; 84 + MATCH(I$3+COUNTIF($A$3:$L$3,"&gt;0")*($M13-1),INDIRECT(ADDRESS(85,22+MATCH('I.A. + Fasce'!$P$27,'I.A. + Fasce'!$W$84:$AA$84,0),1,1,"I.A. + Fasce") &amp; ":" &amp; ADDRESS(305,22+MATCH('I.A. + Fasce'!$P$27,'I.A. + Fasce'!$W$84:$AA$84,0),1,1)),0)),"")</f>
        <v/>
      </c>
      <c r="J13" s="28" t="str">
        <f ca="1">IF(ISNUMBER(J$3),INDIRECT("'I.A. + Fasce'!B" &amp; 84 + MATCH(J$3+COUNTIF($A$3:$L$3,"&gt;0")*($M13-1),INDIRECT(ADDRESS(85,22+MATCH('I.A. + Fasce'!$P$27,'I.A. + Fasce'!$W$84:$AA$84,0),1,1,"I.A. + Fasce") &amp; ":" &amp; ADDRESS(305,22+MATCH('I.A. + Fasce'!$P$27,'I.A. + Fasce'!$W$84:$AA$84,0),1,1)),0)),"")</f>
        <v/>
      </c>
      <c r="K13" s="28" t="str">
        <f ca="1">IF(ISNUMBER(K$3),INDIRECT("'I.A. + Fasce'!B" &amp; 84 + MATCH(K$3+COUNTIF($A$3:$L$3,"&gt;0")*($M13-1),INDIRECT(ADDRESS(85,22+MATCH('I.A. + Fasce'!$P$27,'I.A. + Fasce'!$W$84:$AA$84,0),1,1,"I.A. + Fasce") &amp; ":" &amp; ADDRESS(305,22+MATCH('I.A. + Fasce'!$P$27,'I.A. + Fasce'!$W$84:$AA$84,0),1,1)),0)),"")</f>
        <v/>
      </c>
      <c r="L13" s="28" t="str">
        <f ca="1">IF(ISNUMBER(L$3),INDIRECT("'I.A. + Fasce'!B" &amp; 84 + MATCH(L$3+COUNTIF($A$3:$L$3,"&gt;0")*($M13-1),INDIRECT(ADDRESS(85,22+MATCH('I.A. + Fasce'!$P$27,'I.A. + Fasce'!$W$84:$AA$84,0),1,1,"I.A. + Fasce") &amp; ":" &amp; ADDRESS(305,22+MATCH('I.A. + Fasce'!$P$27,'I.A. + Fasce'!$W$84:$AA$84,0),1,1)),0)),"")</f>
        <v/>
      </c>
      <c r="M13" s="27">
        <v>4</v>
      </c>
      <c r="U13" s="35" t="str">
        <f ca="1">Rose!H7</f>
        <v/>
      </c>
      <c r="V13" s="35" t="str">
        <f ca="1">Rose!B22</f>
        <v/>
      </c>
      <c r="W13" s="35" t="str">
        <f ca="1">Rose!B38</f>
        <v/>
      </c>
      <c r="X13" s="35" t="str">
        <f ca="1">Rose!E46</f>
        <v/>
      </c>
      <c r="Y13" s="35"/>
    </row>
    <row r="14" spans="1:25">
      <c r="A14" s="28" t="str">
        <f ca="1">IF(ISNUMBER(A$3),INDIRECT("'I.A. + Fasce'!B" &amp; 84 + MATCH(A$3+COUNTIF($A$3:$L$3,"&gt;0")*($M14-1),INDIRECT(ADDRESS(85,22+MATCH('I.A. + Fasce'!$P$27,'I.A. + Fasce'!$W$84:$AA$84,0),1,1,"I.A. + Fasce") &amp; ":" &amp; ADDRESS(305,22+MATCH('I.A. + Fasce'!$P$27,'I.A. + Fasce'!$W$84:$AA$84,0),1,1)),0)),"")</f>
        <v>NUYTINCK</v>
      </c>
      <c r="B14" s="28" t="str">
        <f ca="1">IF(ISNUMBER(B$3),INDIRECT("'I.A. + Fasce'!B" &amp; 84 + MATCH(B$3+COUNTIF($A$3:$L$3,"&gt;0")*($M14-1),INDIRECT(ADDRESS(85,22+MATCH('I.A. + Fasce'!$P$27,'I.A. + Fasce'!$W$84:$AA$84,0),1,1,"I.A. + Fasce") &amp; ":" &amp; ADDRESS(305,22+MATCH('I.A. + Fasce'!$P$27,'I.A. + Fasce'!$W$84:$AA$84,0),1,1)),0)),"")</f>
        <v>MUSACCHIO</v>
      </c>
      <c r="C14" s="28" t="str">
        <f ca="1">IF(ISNUMBER(C$3),INDIRECT("'I.A. + Fasce'!B" &amp; 84 + MATCH(C$3+COUNTIF($A$3:$L$3,"&gt;0")*($M14-1),INDIRECT(ADDRESS(85,22+MATCH('I.A. + Fasce'!$P$27,'I.A. + Fasce'!$W$84:$AA$84,0),1,1,"I.A. + Fasce") &amp; ":" &amp; ADDRESS(305,22+MATCH('I.A. + Fasce'!$P$27,'I.A. + Fasce'!$W$84:$AA$84,0),1,1)),0)),"")</f>
        <v>MASINA</v>
      </c>
      <c r="D14" s="28" t="str">
        <f ca="1">IF(ISNUMBER(D$3),INDIRECT("'I.A. + Fasce'!B" &amp; 84 + MATCH(D$3+COUNTIF($A$3:$L$3,"&gt;0")*($M14-1),INDIRECT(ADDRESS(85,22+MATCH('I.A. + Fasce'!$P$27,'I.A. + Fasce'!$W$84:$AA$84,0),1,1,"I.A. + Fasce") &amp; ":" &amp; ADDRESS(305,22+MATCH('I.A. + Fasce'!$P$27,'I.A. + Fasce'!$W$84:$AA$84,0),1,1)),0)),"")</f>
        <v>LETIZIA</v>
      </c>
      <c r="E14" s="28" t="str">
        <f ca="1">IF(ISNUMBER(E$3),INDIRECT("'I.A. + Fasce'!B" &amp; 84 + MATCH(E$3+COUNTIF($A$3:$L$3,"&gt;0")*($M14-1),INDIRECT(ADDRESS(85,22+MATCH('I.A. + Fasce'!$P$27,'I.A. + Fasce'!$W$84:$AA$84,0),1,1,"I.A. + Fasce") &amp; ":" &amp; ADDRESS(305,22+MATCH('I.A. + Fasce'!$P$27,'I.A. + Fasce'!$W$84:$AA$84,0),1,1)),0)),"")</f>
        <v>KARSDORP</v>
      </c>
      <c r="F14" s="28" t="str">
        <f ca="1">IF(ISNUMBER(F$3),INDIRECT("'I.A. + Fasce'!B" &amp; 84 + MATCH(F$3+COUNTIF($A$3:$L$3,"&gt;0")*($M14-1),INDIRECT(ADDRESS(85,22+MATCH('I.A. + Fasce'!$P$27,'I.A. + Fasce'!$W$84:$AA$84,0),1,1,"I.A. + Fasce") &amp; ":" &amp; ADDRESS(305,22+MATCH('I.A. + Fasce'!$P$27,'I.A. + Fasce'!$W$84:$AA$84,0),1,1)),0)),"")</f>
        <v>HOWEDES</v>
      </c>
      <c r="G14" s="28" t="str">
        <f ca="1">IF(ISNUMBER(G$3),INDIRECT("'I.A. + Fasce'!B" &amp; 84 + MATCH(G$3+COUNTIF($A$3:$L$3,"&gt;0")*($M14-1),INDIRECT(ADDRESS(85,22+MATCH('I.A. + Fasce'!$P$27,'I.A. + Fasce'!$W$84:$AA$84,0),1,1,"I.A. + Fasce") &amp; ":" &amp; ADDRESS(305,22+MATCH('I.A. + Fasce'!$P$27,'I.A. + Fasce'!$W$84:$AA$84,0),1,1)),0)),"")</f>
        <v>HECTOR MORENO</v>
      </c>
      <c r="H14" s="28" t="str">
        <f ca="1">IF(ISNUMBER(H$3),INDIRECT("'I.A. + Fasce'!B" &amp; 84 + MATCH(H$3+COUNTIF($A$3:$L$3,"&gt;0")*($M14-1),INDIRECT(ADDRESS(85,22+MATCH('I.A. + Fasce'!$P$27,'I.A. + Fasce'!$W$84:$AA$84,0),1,1,"I.A. + Fasce") &amp; ":" &amp; ADDRESS(305,22+MATCH('I.A. + Fasce'!$P$27,'I.A. + Fasce'!$W$84:$AA$84,0),1,1)),0)),"")</f>
        <v>HATEBOER</v>
      </c>
      <c r="I14" s="28" t="str">
        <f ca="1">IF(ISNUMBER(I$3),INDIRECT("'I.A. + Fasce'!B" &amp; 84 + MATCH(I$3+COUNTIF($A$3:$L$3,"&gt;0")*($M14-1),INDIRECT(ADDRESS(85,22+MATCH('I.A. + Fasce'!$P$27,'I.A. + Fasce'!$W$84:$AA$84,0),1,1,"I.A. + Fasce") &amp; ":" &amp; ADDRESS(305,22+MATCH('I.A. + Fasce'!$P$27,'I.A. + Fasce'!$W$84:$AA$84,0),1,1)),0)),"")</f>
        <v/>
      </c>
      <c r="J14" s="28" t="str">
        <f ca="1">IF(ISNUMBER(J$3),INDIRECT("'I.A. + Fasce'!B" &amp; 84 + MATCH(J$3+COUNTIF($A$3:$L$3,"&gt;0")*($M14-1),INDIRECT(ADDRESS(85,22+MATCH('I.A. + Fasce'!$P$27,'I.A. + Fasce'!$W$84:$AA$84,0),1,1,"I.A. + Fasce") &amp; ":" &amp; ADDRESS(305,22+MATCH('I.A. + Fasce'!$P$27,'I.A. + Fasce'!$W$84:$AA$84,0),1,1)),0)),"")</f>
        <v/>
      </c>
      <c r="K14" s="28" t="str">
        <f ca="1">IF(ISNUMBER(K$3),INDIRECT("'I.A. + Fasce'!B" &amp; 84 + MATCH(K$3+COUNTIF($A$3:$L$3,"&gt;0")*($M14-1),INDIRECT(ADDRESS(85,22+MATCH('I.A. + Fasce'!$P$27,'I.A. + Fasce'!$W$84:$AA$84,0),1,1,"I.A. + Fasce") &amp; ":" &amp; ADDRESS(305,22+MATCH('I.A. + Fasce'!$P$27,'I.A. + Fasce'!$W$84:$AA$84,0),1,1)),0)),"")</f>
        <v/>
      </c>
      <c r="L14" s="28" t="str">
        <f ca="1">IF(ISNUMBER(L$3),INDIRECT("'I.A. + Fasce'!B" &amp; 84 + MATCH(L$3+COUNTIF($A$3:$L$3,"&gt;0")*($M14-1),INDIRECT(ADDRESS(85,22+MATCH('I.A. + Fasce'!$P$27,'I.A. + Fasce'!$W$84:$AA$84,0),1,1,"I.A. + Fasce") &amp; ":" &amp; ADDRESS(305,22+MATCH('I.A. + Fasce'!$P$27,'I.A. + Fasce'!$W$84:$AA$84,0),1,1)),0)),"")</f>
        <v/>
      </c>
      <c r="M14" s="27">
        <v>5</v>
      </c>
      <c r="U14" s="35" t="str">
        <f ca="1">Rose!K5</f>
        <v/>
      </c>
      <c r="V14" s="35" t="str">
        <f ca="1">Rose!B23</f>
        <v/>
      </c>
      <c r="W14" s="35" t="str">
        <f ca="1">Rose!B39</f>
        <v/>
      </c>
      <c r="X14" s="35" t="str">
        <f ca="1">Rose!E47</f>
        <v/>
      </c>
      <c r="Y14" s="35"/>
    </row>
    <row r="15" spans="1:25">
      <c r="A15" s="28" t="str">
        <f ca="1">IF(ISNUMBER(A$3),INDIRECT("'I.A. + Fasce'!B" &amp; 84 + MATCH(A$3+COUNTIF($A$3:$L$3,"&gt;0")*($M15-1),INDIRECT(ADDRESS(85,22+MATCH('I.A. + Fasce'!$P$27,'I.A. + Fasce'!$W$84:$AA$84,0),1,1,"I.A. + Fasce") &amp; ":" &amp; ADDRESS(305,22+MATCH('I.A. + Fasce'!$P$27,'I.A. + Fasce'!$W$84:$AA$84,0),1,1)),0)),"")</f>
        <v>FAZIO</v>
      </c>
      <c r="B15" s="28" t="str">
        <f ca="1">IF(ISNUMBER(B$3),INDIRECT("'I.A. + Fasce'!B" &amp; 84 + MATCH(B$3+COUNTIF($A$3:$L$3,"&gt;0")*($M15-1),INDIRECT(ADDRESS(85,22+MATCH('I.A. + Fasce'!$P$27,'I.A. + Fasce'!$W$84:$AA$84,0),1,1,"I.A. + Fasce") &amp; ":" &amp; ADDRESS(305,22+MATCH('I.A. + Fasce'!$P$27,'I.A. + Fasce'!$W$84:$AA$84,0),1,1)),0)),"")</f>
        <v>DI CHIARA</v>
      </c>
      <c r="C15" s="28" t="str">
        <f ca="1">IF(ISNUMBER(C$3),INDIRECT("'I.A. + Fasce'!B" &amp; 84 + MATCH(C$3+COUNTIF($A$3:$L$3,"&gt;0")*($M15-1),INDIRECT(ADDRESS(85,22+MATCH('I.A. + Fasce'!$P$27,'I.A. + Fasce'!$W$84:$AA$84,0),1,1,"I.A. + Fasce") &amp; ":" &amp; ADDRESS(305,22+MATCH('I.A. + Fasce'!$P$27,'I.A. + Fasce'!$W$84:$AA$84,0),1,1)),0)),"")</f>
        <v>DANILO</v>
      </c>
      <c r="D15" s="28" t="str">
        <f ca="1">IF(ISNUMBER(D$3),INDIRECT("'I.A. + Fasce'!B" &amp; 84 + MATCH(D$3+COUNTIF($A$3:$L$3,"&gt;0")*($M15-1),INDIRECT(ADDRESS(85,22+MATCH('I.A. + Fasce'!$P$27,'I.A. + Fasce'!$W$84:$AA$84,0),1,1,"I.A. + Fasce") &amp; ":" &amp; ADDRESS(305,22+MATCH('I.A. + Fasce'!$P$27,'I.A. + Fasce'!$W$84:$AA$84,0),1,1)),0)),"")</f>
        <v>DALBERT</v>
      </c>
      <c r="E15" s="28" t="str">
        <f ca="1">IF(ISNUMBER(E$3),INDIRECT("'I.A. + Fasce'!B" &amp; 84 + MATCH(E$3+COUNTIF($A$3:$L$3,"&gt;0")*($M15-1),INDIRECT(ADDRESS(85,22+MATCH('I.A. + Fasce'!$P$27,'I.A. + Fasce'!$W$84:$AA$84,0),1,1,"I.A. + Fasce") &amp; ":" &amp; ADDRESS(305,22+MATCH('I.A. + Fasce'!$P$27,'I.A. + Fasce'!$W$84:$AA$84,0),1,1)),0)),"")</f>
        <v>CANCELO</v>
      </c>
      <c r="F15" s="28" t="str">
        <f ca="1">IF(ISNUMBER(F$3),INDIRECT("'I.A. + Fasce'!B" &amp; 84 + MATCH(F$3+COUNTIF($A$3:$L$3,"&gt;0")*($M15-1),INDIRECT(ADDRESS(85,22+MATCH('I.A. + Fasce'!$P$27,'I.A. + Fasce'!$W$84:$AA$84,0),1,1,"I.A. + Fasce") &amp; ":" &amp; ADDRESS(305,22+MATCH('I.A. + Fasce'!$P$27,'I.A. + Fasce'!$W$84:$AA$84,0),1,1)),0)),"")</f>
        <v>BIRAGHI</v>
      </c>
      <c r="G15" s="28" t="str">
        <f ca="1">IF(ISNUMBER(G$3),INDIRECT("'I.A. + Fasce'!B" &amp; 84 + MATCH(G$3+COUNTIF($A$3:$L$3,"&gt;0")*($M15-1),INDIRECT(ADDRESS(85,22+MATCH('I.A. + Fasce'!$P$27,'I.A. + Fasce'!$W$84:$AA$84,0),1,1,"I.A. + Fasce") &amp; ":" &amp; ADDRESS(305,22+MATCH('I.A. + Fasce'!$P$27,'I.A. + Fasce'!$W$84:$AA$84,0),1,1)),0)),"")</f>
        <v>BARZAGLI</v>
      </c>
      <c r="H15" s="28" t="str">
        <f ca="1">IF(ISNUMBER(H$3),INDIRECT("'I.A. + Fasce'!B" &amp; 84 + MATCH(H$3+COUNTIF($A$3:$L$3,"&gt;0")*($M15-1),INDIRECT(ADDRESS(85,22+MATCH('I.A. + Fasce'!$P$27,'I.A. + Fasce'!$W$84:$AA$84,0),1,1,"I.A. + Fasce") &amp; ":" &amp; ADDRESS(305,22+MATCH('I.A. + Fasce'!$P$27,'I.A. + Fasce'!$W$84:$AA$84,0),1,1)),0)),"")</f>
        <v>ASTORI</v>
      </c>
      <c r="I15" s="28" t="str">
        <f ca="1">IF(ISNUMBER(I$3),INDIRECT("'I.A. + Fasce'!B" &amp; 84 + MATCH(I$3+COUNTIF($A$3:$L$3,"&gt;0")*($M15-1),INDIRECT(ADDRESS(85,22+MATCH('I.A. + Fasce'!$P$27,'I.A. + Fasce'!$W$84:$AA$84,0),1,1,"I.A. + Fasce") &amp; ":" &amp; ADDRESS(305,22+MATCH('I.A. + Fasce'!$P$27,'I.A. + Fasce'!$W$84:$AA$84,0),1,1)),0)),"")</f>
        <v/>
      </c>
      <c r="J15" s="28" t="str">
        <f ca="1">IF(ISNUMBER(J$3),INDIRECT("'I.A. + Fasce'!B" &amp; 84 + MATCH(J$3+COUNTIF($A$3:$L$3,"&gt;0")*($M15-1),INDIRECT(ADDRESS(85,22+MATCH('I.A. + Fasce'!$P$27,'I.A. + Fasce'!$W$84:$AA$84,0),1,1,"I.A. + Fasce") &amp; ":" &amp; ADDRESS(305,22+MATCH('I.A. + Fasce'!$P$27,'I.A. + Fasce'!$W$84:$AA$84,0),1,1)),0)),"")</f>
        <v/>
      </c>
      <c r="K15" s="28" t="str">
        <f ca="1">IF(ISNUMBER(K$3),INDIRECT("'I.A. + Fasce'!B" &amp; 84 + MATCH(K$3+COUNTIF($A$3:$L$3,"&gt;0")*($M15-1),INDIRECT(ADDRESS(85,22+MATCH('I.A. + Fasce'!$P$27,'I.A. + Fasce'!$W$84:$AA$84,0),1,1,"I.A. + Fasce") &amp; ":" &amp; ADDRESS(305,22+MATCH('I.A. + Fasce'!$P$27,'I.A. + Fasce'!$W$84:$AA$84,0),1,1)),0)),"")</f>
        <v/>
      </c>
      <c r="L15" s="28" t="str">
        <f ca="1">IF(ISNUMBER(L$3),INDIRECT("'I.A. + Fasce'!B" &amp; 84 + MATCH(L$3+COUNTIF($A$3:$L$3,"&gt;0")*($M15-1),INDIRECT(ADDRESS(85,22+MATCH('I.A. + Fasce'!$P$27,'I.A. + Fasce'!$W$84:$AA$84,0),1,1,"I.A. + Fasce") &amp; ":" &amp; ADDRESS(305,22+MATCH('I.A. + Fasce'!$P$27,'I.A. + Fasce'!$W$84:$AA$84,0),1,1)),0)),"")</f>
        <v/>
      </c>
      <c r="M15" s="27">
        <v>6</v>
      </c>
      <c r="U15" s="35" t="str">
        <f ca="1">Rose!K6</f>
        <v/>
      </c>
      <c r="V15" s="35" t="str">
        <f ca="1">Rose!E14</f>
        <v/>
      </c>
      <c r="W15" s="35" t="str">
        <f ca="1">Rose!E30</f>
        <v/>
      </c>
      <c r="X15" s="35" t="str">
        <f ca="1">Rose!E48</f>
        <v/>
      </c>
      <c r="Y15" s="35"/>
    </row>
    <row r="16" spans="1:25">
      <c r="A16" s="28" t="str">
        <f ca="1">IF(ISNUMBER(A$3),INDIRECT("'I.A. + Fasce'!B" &amp; 84 + MATCH(A$3+COUNTIF($A$3:$L$3,"&gt;0")*($M16-1),INDIRECT(ADDRESS(85,22+MATCH('I.A. + Fasce'!$P$27,'I.A. + Fasce'!$W$84:$AA$84,0),1,1,"I.A. + Fasce") &amp; ":" &amp; ADDRESS(305,22+MATCH('I.A. + Fasce'!$P$27,'I.A. + Fasce'!$W$84:$AA$84,0),1,1)),0)),"")</f>
        <v>ANDREOLLI</v>
      </c>
      <c r="B16" s="28" t="str">
        <f ca="1">IF(ISNUMBER(B$3),INDIRECT("'I.A. + Fasce'!B" &amp; 84 + MATCH(B$3+COUNTIF($A$3:$L$3,"&gt;0")*($M16-1),INDIRECT(ADDRESS(85,22+MATCH('I.A. + Fasce'!$P$27,'I.A. + Fasce'!$W$84:$AA$84,0),1,1,"I.A. + Fasce") &amp; ":" &amp; ADDRESS(305,22+MATCH('I.A. + Fasce'!$P$27,'I.A. + Fasce'!$W$84:$AA$84,0),1,1)),0)),"")</f>
        <v>ZUKANOVIC</v>
      </c>
      <c r="C16" s="28" t="str">
        <f ca="1">IF(ISNUMBER(C$3),INDIRECT("'I.A. + Fasce'!B" &amp; 84 + MATCH(C$3+COUNTIF($A$3:$L$3,"&gt;0")*($M16-1),INDIRECT(ADDRESS(85,22+MATCH('I.A. + Fasce'!$P$27,'I.A. + Fasce'!$W$84:$AA$84,0),1,1,"I.A. + Fasce") &amp; ":" &amp; ADDRESS(305,22+MATCH('I.A. + Fasce'!$P$27,'I.A. + Fasce'!$W$84:$AA$84,0),1,1)),0)),"")</f>
        <v>SKRINIAR</v>
      </c>
      <c r="D16" s="28" t="str">
        <f ca="1">IF(ISNUMBER(D$3),INDIRECT("'I.A. + Fasce'!B" &amp; 84 + MATCH(D$3+COUNTIF($A$3:$L$3,"&gt;0")*($M16-1),INDIRECT(ADDRESS(85,22+MATCH('I.A. + Fasce'!$P$27,'I.A. + Fasce'!$W$84:$AA$84,0),1,1,"I.A. + Fasce") &amp; ":" &amp; ADDRESS(305,22+MATCH('I.A. + Fasce'!$P$27,'I.A. + Fasce'!$W$84:$AA$84,0),1,1)),0)),"")</f>
        <v>ROSSETTINI</v>
      </c>
      <c r="E16" s="28" t="str">
        <f ca="1">IF(ISNUMBER(E$3),INDIRECT("'I.A. + Fasce'!B" &amp; 84 + MATCH(E$3+COUNTIF($A$3:$L$3,"&gt;0")*($M16-1),INDIRECT(ADDRESS(85,22+MATCH('I.A. + Fasce'!$P$27,'I.A. + Fasce'!$W$84:$AA$84,0),1,1,"I.A. + Fasce") &amp; ":" &amp; ADDRESS(305,22+MATCH('I.A. + Fasce'!$P$27,'I.A. + Fasce'!$W$84:$AA$84,0),1,1)),0)),"")</f>
        <v>HEURTAUX</v>
      </c>
      <c r="F16" s="28" t="str">
        <f ca="1">IF(ISNUMBER(F$3),INDIRECT("'I.A. + Fasce'!B" &amp; 84 + MATCH(F$3+COUNTIF($A$3:$L$3,"&gt;0")*($M16-1),INDIRECT(ADDRESS(85,22+MATCH('I.A. + Fasce'!$P$27,'I.A. + Fasce'!$W$84:$AA$84,0),1,1,"I.A. + Fasce") &amp; ":" &amp; ADDRESS(305,22+MATCH('I.A. + Fasce'!$P$27,'I.A. + Fasce'!$W$84:$AA$84,0),1,1)),0)),"")</f>
        <v>FERRARI G</v>
      </c>
      <c r="G16" s="28" t="str">
        <f ca="1">IF(ISNUMBER(G$3),INDIRECT("'I.A. + Fasce'!B" &amp; 84 + MATCH(G$3+COUNTIF($A$3:$L$3,"&gt;0")*($M16-1),INDIRECT(ADDRESS(85,22+MATCH('I.A. + Fasce'!$P$27,'I.A. + Fasce'!$W$84:$AA$84,0),1,1,"I.A. + Fasce") &amp; ":" &amp; ADDRESS(305,22+MATCH('I.A. + Fasce'!$P$27,'I.A. + Fasce'!$W$84:$AA$84,0),1,1)),0)),"")</f>
        <v>D'AMBROSIO</v>
      </c>
      <c r="H16" s="28" t="str">
        <f ca="1">IF(ISNUMBER(H$3),INDIRECT("'I.A. + Fasce'!B" &amp; 84 + MATCH(H$3+COUNTIF($A$3:$L$3,"&gt;0")*($M16-1),INDIRECT(ADDRESS(85,22+MATCH('I.A. + Fasce'!$P$27,'I.A. + Fasce'!$W$84:$AA$84,0),1,1,"I.A. + Fasce") &amp; ":" &amp; ADDRESS(305,22+MATCH('I.A. + Fasce'!$P$27,'I.A. + Fasce'!$W$84:$AA$84,0),1,1)),0)),"")</f>
        <v>COSTA F</v>
      </c>
      <c r="I16" s="28" t="str">
        <f ca="1">IF(ISNUMBER(I$3),INDIRECT("'I.A. + Fasce'!B" &amp; 84 + MATCH(I$3+COUNTIF($A$3:$L$3,"&gt;0")*($M16-1),INDIRECT(ADDRESS(85,22+MATCH('I.A. + Fasce'!$P$27,'I.A. + Fasce'!$W$84:$AA$84,0),1,1,"I.A. + Fasce") &amp; ":" &amp; ADDRESS(305,22+MATCH('I.A. + Fasce'!$P$27,'I.A. + Fasce'!$W$84:$AA$84,0),1,1)),0)),"")</f>
        <v/>
      </c>
      <c r="J16" s="28" t="str">
        <f ca="1">IF(ISNUMBER(J$3),INDIRECT("'I.A. + Fasce'!B" &amp; 84 + MATCH(J$3+COUNTIF($A$3:$L$3,"&gt;0")*($M16-1),INDIRECT(ADDRESS(85,22+MATCH('I.A. + Fasce'!$P$27,'I.A. + Fasce'!$W$84:$AA$84,0),1,1,"I.A. + Fasce") &amp; ":" &amp; ADDRESS(305,22+MATCH('I.A. + Fasce'!$P$27,'I.A. + Fasce'!$W$84:$AA$84,0),1,1)),0)),"")</f>
        <v/>
      </c>
      <c r="K16" s="28" t="str">
        <f ca="1">IF(ISNUMBER(K$3),INDIRECT("'I.A. + Fasce'!B" &amp; 84 + MATCH(K$3+COUNTIF($A$3:$L$3,"&gt;0")*($M16-1),INDIRECT(ADDRESS(85,22+MATCH('I.A. + Fasce'!$P$27,'I.A. + Fasce'!$W$84:$AA$84,0),1,1,"I.A. + Fasce") &amp; ":" &amp; ADDRESS(305,22+MATCH('I.A. + Fasce'!$P$27,'I.A. + Fasce'!$W$84:$AA$84,0),1,1)),0)),"")</f>
        <v/>
      </c>
      <c r="L16" s="28" t="str">
        <f ca="1">IF(ISNUMBER(L$3),INDIRECT("'I.A. + Fasce'!B" &amp; 84 + MATCH(L$3+COUNTIF($A$3:$L$3,"&gt;0")*($M16-1),INDIRECT(ADDRESS(85,22+MATCH('I.A. + Fasce'!$P$27,'I.A. + Fasce'!$W$84:$AA$84,0),1,1,"I.A. + Fasce") &amp; ":" &amp; ADDRESS(305,22+MATCH('I.A. + Fasce'!$P$27,'I.A. + Fasce'!$W$84:$AA$84,0),1,1)),0)),"")</f>
        <v/>
      </c>
      <c r="M16" s="27">
        <v>7</v>
      </c>
      <c r="U16" s="35" t="str">
        <f ca="1">Rose!K7</f>
        <v/>
      </c>
      <c r="V16" s="35" t="str">
        <f ca="1">Rose!E15</f>
        <v/>
      </c>
      <c r="W16" s="35" t="str">
        <f ca="1">Rose!E31</f>
        <v/>
      </c>
      <c r="X16" s="35" t="str">
        <f ca="1">Rose!E49</f>
        <v/>
      </c>
      <c r="Y16" s="35"/>
    </row>
    <row r="17" spans="1:25">
      <c r="A17" s="28" t="str">
        <f ca="1">IF(ISNUMBER(A$3),INDIRECT("'I.A. + Fasce'!B" &amp; 84 + MATCH(A$3+COUNTIF($A$3:$L$3,"&gt;0")*($M17-1),INDIRECT(ADDRESS(85,22+MATCH('I.A. + Fasce'!$P$27,'I.A. + Fasce'!$W$84:$AA$84,0),1,1,"I.A. + Fasce") &amp; ":" &amp; ADDRESS(305,22+MATCH('I.A. + Fasce'!$P$27,'I.A. + Fasce'!$W$84:$AA$84,0),1,1)),0)),"")</f>
        <v>CASTAGNE</v>
      </c>
      <c r="B17" s="28" t="str">
        <f ca="1">IF(ISNUMBER(B$3),INDIRECT("'I.A. + Fasce'!B" &amp; 84 + MATCH(B$3+COUNTIF($A$3:$L$3,"&gt;0")*($M17-1),INDIRECT(ADDRESS(85,22+MATCH('I.A. + Fasce'!$P$27,'I.A. + Fasce'!$W$84:$AA$84,0),1,1,"I.A. + Fasce") &amp; ":" &amp; ADDRESS(305,22+MATCH('I.A. + Fasce'!$P$27,'I.A. + Fasce'!$W$84:$AA$84,0),1,1)),0)),"")</f>
        <v>VITOR HUGO</v>
      </c>
      <c r="C17" s="28" t="str">
        <f ca="1">IF(ISNUMBER(C$3),INDIRECT("'I.A. + Fasce'!B" &amp; 84 + MATCH(C$3+COUNTIF($A$3:$L$3,"&gt;0")*($M17-1),INDIRECT(ADDRESS(85,22+MATCH('I.A. + Fasce'!$P$27,'I.A. + Fasce'!$W$84:$AA$84,0),1,1,"I.A. + Fasce") &amp; ":" &amp; ADDRESS(305,22+MATCH('I.A. + Fasce'!$P$27,'I.A. + Fasce'!$W$84:$AA$84,0),1,1)),0)),"")</f>
        <v>VENUTI</v>
      </c>
      <c r="D17" s="28" t="str">
        <f ca="1">IF(ISNUMBER(D$3),INDIRECT("'I.A. + Fasce'!B" &amp; 84 + MATCH(D$3+COUNTIF($A$3:$L$3,"&gt;0")*($M17-1),INDIRECT(ADDRESS(85,22+MATCH('I.A. + Fasce'!$P$27,'I.A. + Fasce'!$W$84:$AA$84,0),1,1,"I.A. + Fasce") &amp; ":" &amp; ADDRESS(305,22+MATCH('I.A. + Fasce'!$P$27,'I.A. + Fasce'!$W$84:$AA$84,0),1,1)),0)),"")</f>
        <v>PISACANE</v>
      </c>
      <c r="E17" s="28" t="str">
        <f ca="1">IF(ISNUMBER(E$3),INDIRECT("'I.A. + Fasce'!B" &amp; 84 + MATCH(E$3+COUNTIF($A$3:$L$3,"&gt;0")*($M17-1),INDIRECT(ADDRESS(85,22+MATCH('I.A. + Fasce'!$P$27,'I.A. + Fasce'!$W$84:$AA$84,0),1,1,"I.A. + Fasce") &amp; ":" &amp; ADDRESS(305,22+MATCH('I.A. + Fasce'!$P$27,'I.A. + Fasce'!$W$84:$AA$84,0),1,1)),0)),"")</f>
        <v>PALOMINO</v>
      </c>
      <c r="F17" s="28" t="str">
        <f ca="1">IF(ISNUMBER(F$3),INDIRECT("'I.A. + Fasce'!B" &amp; 84 + MATCH(F$3+COUNTIF($A$3:$L$3,"&gt;0")*($M17-1),INDIRECT(ADDRESS(85,22+MATCH('I.A. + Fasce'!$P$27,'I.A. + Fasce'!$W$84:$AA$84,0),1,1,"I.A. + Fasce") &amp; ":" &amp; ADDRESS(305,22+MATCH('I.A. + Fasce'!$P$27,'I.A. + Fasce'!$W$84:$AA$84,0),1,1)),0)),"")</f>
        <v>MARUSIC</v>
      </c>
      <c r="G17" s="28" t="str">
        <f ca="1">IF(ISNUMBER(G$3),INDIRECT("'I.A. + Fasce'!B" &amp; 84 + MATCH(G$3+COUNTIF($A$3:$L$3,"&gt;0")*($M17-1),INDIRECT(ADDRESS(85,22+MATCH('I.A. + Fasce'!$P$27,'I.A. + Fasce'!$W$84:$AA$84,0),1,1,"I.A. + Fasce") &amp; ":" &amp; ADDRESS(305,22+MATCH('I.A. + Fasce'!$P$27,'I.A. + Fasce'!$W$84:$AA$84,0),1,1)),0)),"")</f>
        <v>MARTELLA</v>
      </c>
      <c r="H17" s="28" t="str">
        <f ca="1">IF(ISNUMBER(H$3),INDIRECT("'I.A. + Fasce'!B" &amp; 84 + MATCH(H$3+COUNTIF($A$3:$L$3,"&gt;0")*($M17-1),INDIRECT(ADDRESS(85,22+MATCH('I.A. + Fasce'!$P$27,'I.A. + Fasce'!$W$84:$AA$84,0),1,1,"I.A. + Fasce") &amp; ":" &amp; ADDRESS(305,22+MATCH('I.A. + Fasce'!$P$27,'I.A. + Fasce'!$W$84:$AA$84,0),1,1)),0)),"")</f>
        <v>MARIO RUI</v>
      </c>
      <c r="I17" s="28" t="str">
        <f ca="1">IF(ISNUMBER(I$3),INDIRECT("'I.A. + Fasce'!B" &amp; 84 + MATCH(I$3+COUNTIF($A$3:$L$3,"&gt;0")*($M17-1),INDIRECT(ADDRESS(85,22+MATCH('I.A. + Fasce'!$P$27,'I.A. + Fasce'!$W$84:$AA$84,0),1,1,"I.A. + Fasce") &amp; ":" &amp; ADDRESS(305,22+MATCH('I.A. + Fasce'!$P$27,'I.A. + Fasce'!$W$84:$AA$84,0),1,1)),0)),"")</f>
        <v/>
      </c>
      <c r="J17" s="28" t="str">
        <f ca="1">IF(ISNUMBER(J$3),INDIRECT("'I.A. + Fasce'!B" &amp; 84 + MATCH(J$3+COUNTIF($A$3:$L$3,"&gt;0")*($M17-1),INDIRECT(ADDRESS(85,22+MATCH('I.A. + Fasce'!$P$27,'I.A. + Fasce'!$W$84:$AA$84,0),1,1,"I.A. + Fasce") &amp; ":" &amp; ADDRESS(305,22+MATCH('I.A. + Fasce'!$P$27,'I.A. + Fasce'!$W$84:$AA$84,0),1,1)),0)),"")</f>
        <v/>
      </c>
      <c r="K17" s="28" t="str">
        <f ca="1">IF(ISNUMBER(K$3),INDIRECT("'I.A. + Fasce'!B" &amp; 84 + MATCH(K$3+COUNTIF($A$3:$L$3,"&gt;0")*($M17-1),INDIRECT(ADDRESS(85,22+MATCH('I.A. + Fasce'!$P$27,'I.A. + Fasce'!$W$84:$AA$84,0),1,1,"I.A. + Fasce") &amp; ":" &amp; ADDRESS(305,22+MATCH('I.A. + Fasce'!$P$27,'I.A. + Fasce'!$W$84:$AA$84,0),1,1)),0)),"")</f>
        <v/>
      </c>
      <c r="L17" s="28" t="str">
        <f ca="1">IF(ISNUMBER(L$3),INDIRECT("'I.A. + Fasce'!B" &amp; 84 + MATCH(L$3+COUNTIF($A$3:$L$3,"&gt;0")*($M17-1),INDIRECT(ADDRESS(85,22+MATCH('I.A. + Fasce'!$P$27,'I.A. + Fasce'!$W$84:$AA$84,0),1,1,"I.A. + Fasce") &amp; ":" &amp; ADDRESS(305,22+MATCH('I.A. + Fasce'!$P$27,'I.A. + Fasce'!$W$84:$AA$84,0),1,1)),0)),"")</f>
        <v/>
      </c>
      <c r="M17" s="27">
        <v>8</v>
      </c>
      <c r="U17" s="35" t="str">
        <f ca="1">Rose!N5</f>
        <v/>
      </c>
      <c r="V17" s="35" t="str">
        <f ca="1">Rose!E16</f>
        <v/>
      </c>
      <c r="W17" s="35" t="str">
        <f ca="1">Rose!E32</f>
        <v/>
      </c>
      <c r="X17" s="35" t="str">
        <f ca="1">Rose!E50</f>
        <v/>
      </c>
      <c r="Y17" s="35"/>
    </row>
    <row r="18" spans="1:25">
      <c r="A18" s="28" t="str">
        <f ca="1">IF(ISNUMBER(A$3),INDIRECT("'I.A. + Fasce'!B" &amp; 84 + MATCH(A$3+COUNTIF($A$3:$L$3,"&gt;0")*($M18-1),INDIRECT(ADDRESS(85,22+MATCH('I.A. + Fasce'!$P$27,'I.A. + Fasce'!$W$84:$AA$84,0),1,1,"I.A. + Fasce") &amp; ":" &amp; ADDRESS(305,22+MATCH('I.A. + Fasce'!$P$27,'I.A. + Fasce'!$W$84:$AA$84,0),1,1)),0)),"")</f>
        <v>LYANCO</v>
      </c>
      <c r="B18" s="28" t="str">
        <f ca="1">IF(ISNUMBER(B$3),INDIRECT("'I.A. + Fasce'!B" &amp; 84 + MATCH(B$3+COUNTIF($A$3:$L$3,"&gt;0")*($M18-1),INDIRECT(ADDRESS(85,22+MATCH('I.A. + Fasce'!$P$27,'I.A. + Fasce'!$W$84:$AA$84,0),1,1,"I.A. + Fasce") &amp; ":" &amp; ADDRESS(305,22+MATCH('I.A. + Fasce'!$P$27,'I.A. + Fasce'!$W$84:$AA$84,0),1,1)),0)),"")</f>
        <v>GOSENS</v>
      </c>
      <c r="C18" s="28" t="str">
        <f ca="1">IF(ISNUMBER(C$3),INDIRECT("'I.A. + Fasce'!B" &amp; 84 + MATCH(C$3+COUNTIF($A$3:$L$3,"&gt;0")*($M18-1),INDIRECT(ADDRESS(85,22+MATCH('I.A. + Fasce'!$P$27,'I.A. + Fasce'!$W$84:$AA$84,0),1,1,"I.A. + Fasce") &amp; ":" &amp; ADDRESS(305,22+MATCH('I.A. + Fasce'!$P$27,'I.A. + Fasce'!$W$84:$AA$84,0),1,1)),0)),"")</f>
        <v>GONZALEZ G</v>
      </c>
      <c r="D18" s="28" t="str">
        <f ca="1">IF(ISNUMBER(D$3),INDIRECT("'I.A. + Fasce'!B" &amp; 84 + MATCH(D$3+COUNTIF($A$3:$L$3,"&gt;0")*($M18-1),INDIRECT(ADDRESS(85,22+MATCH('I.A. + Fasce'!$P$27,'I.A. + Fasce'!$W$84:$AA$84,0),1,1,"I.A. + Fasce") &amp; ":" &amp; ADDRESS(305,22+MATCH('I.A. + Fasce'!$P$27,'I.A. + Fasce'!$W$84:$AA$84,0),1,1)),0)),"")</f>
        <v>BRUNO PERES</v>
      </c>
      <c r="E18" s="28" t="str">
        <f ca="1">IF(ISNUMBER(E$3),INDIRECT("'I.A. + Fasce'!B" &amp; 84 + MATCH(E$3+COUNTIF($A$3:$L$3,"&gt;0")*($M18-1),INDIRECT(ADDRESS(85,22+MATCH('I.A. + Fasce'!$P$27,'I.A. + Fasce'!$W$84:$AA$84,0),1,1,"I.A. + Fasce") &amp; ":" &amp; ADDRESS(305,22+MATCH('I.A. + Fasce'!$P$27,'I.A. + Fasce'!$W$84:$AA$84,0),1,1)),0)),"")</f>
        <v>BIRASCHI</v>
      </c>
      <c r="F18" s="28" t="str">
        <f ca="1">IF(ISNUMBER(F$3),INDIRECT("'I.A. + Fasce'!B" &amp; 84 + MATCH(F$3+COUNTIF($A$3:$L$3,"&gt;0")*($M18-1),INDIRECT(ADDRESS(85,22+MATCH('I.A. + Fasce'!$P$27,'I.A. + Fasce'!$W$84:$AA$84,0),1,1,"I.A. + Fasce") &amp; ":" &amp; ADDRESS(305,22+MATCH('I.A. + Fasce'!$P$27,'I.A. + Fasce'!$W$84:$AA$84,0),1,1)),0)),"")</f>
        <v>BASTA</v>
      </c>
      <c r="G18" s="28" t="str">
        <f ca="1">IF(ISNUMBER(G$3),INDIRECT("'I.A. + Fasce'!B" &amp; 84 + MATCH(G$3+COUNTIF($A$3:$L$3,"&gt;0")*($M18-1),INDIRECT(ADDRESS(85,22+MATCH('I.A. + Fasce'!$P$27,'I.A. + Fasce'!$W$84:$AA$84,0),1,1,"I.A. + Fasce") &amp; ":" &amp; ADDRESS(305,22+MATCH('I.A. + Fasce'!$P$27,'I.A. + Fasce'!$W$84:$AA$84,0),1,1)),0)),"")</f>
        <v>OLIVERA M</v>
      </c>
      <c r="H18" s="28" t="str">
        <f ca="1">IF(ISNUMBER(H$3),INDIRECT("'I.A. + Fasce'!B" &amp; 84 + MATCH(H$3+COUNTIF($A$3:$L$3,"&gt;0")*($M18-1),INDIRECT(ADDRESS(85,22+MATCH('I.A. + Fasce'!$P$27,'I.A. + Fasce'!$W$84:$AA$84,0),1,1,"I.A. + Fasce") &amp; ":" &amp; ADDRESS(305,22+MATCH('I.A. + Fasce'!$P$27,'I.A. + Fasce'!$W$84:$AA$84,0),1,1)),0)),"")</f>
        <v>OIKONOMOU</v>
      </c>
      <c r="I18" s="28" t="str">
        <f ca="1">IF(ISNUMBER(I$3),INDIRECT("'I.A. + Fasce'!B" &amp; 84 + MATCH(I$3+COUNTIF($A$3:$L$3,"&gt;0")*($M18-1),INDIRECT(ADDRESS(85,22+MATCH('I.A. + Fasce'!$P$27,'I.A. + Fasce'!$W$84:$AA$84,0),1,1,"I.A. + Fasce") &amp; ":" &amp; ADDRESS(305,22+MATCH('I.A. + Fasce'!$P$27,'I.A. + Fasce'!$W$84:$AA$84,0),1,1)),0)),"")</f>
        <v/>
      </c>
      <c r="J18" s="28" t="str">
        <f ca="1">IF(ISNUMBER(J$3),INDIRECT("'I.A. + Fasce'!B" &amp; 84 + MATCH(J$3+COUNTIF($A$3:$L$3,"&gt;0")*($M18-1),INDIRECT(ADDRESS(85,22+MATCH('I.A. + Fasce'!$P$27,'I.A. + Fasce'!$W$84:$AA$84,0),1,1,"I.A. + Fasce") &amp; ":" &amp; ADDRESS(305,22+MATCH('I.A. + Fasce'!$P$27,'I.A. + Fasce'!$W$84:$AA$84,0),1,1)),0)),"")</f>
        <v/>
      </c>
      <c r="K18" s="28" t="str">
        <f ca="1">IF(ISNUMBER(K$3),INDIRECT("'I.A. + Fasce'!B" &amp; 84 + MATCH(K$3+COUNTIF($A$3:$L$3,"&gt;0")*($M18-1),INDIRECT(ADDRESS(85,22+MATCH('I.A. + Fasce'!$P$27,'I.A. + Fasce'!$W$84:$AA$84,0),1,1,"I.A. + Fasce") &amp; ":" &amp; ADDRESS(305,22+MATCH('I.A. + Fasce'!$P$27,'I.A. + Fasce'!$W$84:$AA$84,0),1,1)),0)),"")</f>
        <v/>
      </c>
      <c r="L18" s="28" t="str">
        <f ca="1">IF(ISNUMBER(L$3),INDIRECT("'I.A. + Fasce'!B" &amp; 84 + MATCH(L$3+COUNTIF($A$3:$L$3,"&gt;0")*($M18-1),INDIRECT(ADDRESS(85,22+MATCH('I.A. + Fasce'!$P$27,'I.A. + Fasce'!$W$84:$AA$84,0),1,1,"I.A. + Fasce") &amp; ":" &amp; ADDRESS(305,22+MATCH('I.A. + Fasce'!$P$27,'I.A. + Fasce'!$W$84:$AA$84,0),1,1)),0)),"")</f>
        <v/>
      </c>
      <c r="M18" s="27">
        <v>9</v>
      </c>
      <c r="U18" s="35" t="str">
        <f ca="1">Rose!N6</f>
        <v/>
      </c>
      <c r="V18" s="35" t="str">
        <f ca="1">Rose!E17</f>
        <v/>
      </c>
      <c r="W18" s="35" t="str">
        <f ca="1">Rose!E33</f>
        <v/>
      </c>
      <c r="X18" s="35" t="str">
        <f ca="1">Rose!E51</f>
        <v/>
      </c>
      <c r="Y18" s="35"/>
    </row>
    <row r="19" spans="1:25">
      <c r="A19" s="28" t="str">
        <f ca="1">IF(ISNUMBER(A$3),INDIRECT("'I.A. + Fasce'!B" &amp; 84 + MATCH(A$3+COUNTIF($A$3:$L$3,"&gt;0")*($M19-1),INDIRECT(ADDRESS(85,22+MATCH('I.A. + Fasce'!$P$27,'I.A. + Fasce'!$W$84:$AA$84,0),1,1,"I.A. + Fasce") &amp; ":" &amp; ADDRESS(305,22+MATCH('I.A. + Fasce'!$P$27,'I.A. + Fasce'!$W$84:$AA$84,0),1,1)),0)),"")</f>
        <v>MORETTI</v>
      </c>
      <c r="B19" s="28" t="str">
        <f ca="1">IF(ISNUMBER(B$3),INDIRECT("'I.A. + Fasce'!B" &amp; 84 + MATCH(B$3+COUNTIF($A$3:$L$3,"&gt;0")*($M19-1),INDIRECT(ADDRESS(85,22+MATCH('I.A. + Fasce'!$P$27,'I.A. + Fasce'!$W$84:$AA$84,0),1,1,"I.A. + Fasce") &amp; ":" &amp; ADDRESS(305,22+MATCH('I.A. + Fasce'!$P$27,'I.A. + Fasce'!$W$84:$AA$84,0),1,1)),0)),"")</f>
        <v>MILENKOVIC</v>
      </c>
      <c r="C19" s="28" t="str">
        <f ca="1">IF(ISNUMBER(C$3),INDIRECT("'I.A. + Fasce'!B" &amp; 84 + MATCH(C$3+COUNTIF($A$3:$L$3,"&gt;0")*($M19-1),INDIRECT(ADDRESS(85,22+MATCH('I.A. + Fasce'!$P$27,'I.A. + Fasce'!$W$84:$AA$84,0),1,1,"I.A. + Fasce") &amp; ":" &amp; ADDRESS(305,22+MATCH('I.A. + Fasce'!$P$27,'I.A. + Fasce'!$W$84:$AA$84,0),1,1)),0)),"")</f>
        <v>MAKSIMOVIC</v>
      </c>
      <c r="D19" s="28" t="str">
        <f ca="1">IF(ISNUMBER(D$3),INDIRECT("'I.A. + Fasce'!B" &amp; 84 + MATCH(D$3+COUNTIF($A$3:$L$3,"&gt;0")*($M19-1),INDIRECT(ADDRESS(85,22+MATCH('I.A. + Fasce'!$P$27,'I.A. + Fasce'!$W$84:$AA$84,0),1,1,"I.A. + Fasce") &amp; ":" &amp; ADDRESS(305,22+MATCH('I.A. + Fasce'!$P$27,'I.A. + Fasce'!$W$84:$AA$84,0),1,1)),0)),"")</f>
        <v>LICHTSTEINER</v>
      </c>
      <c r="E19" s="28" t="str">
        <f ca="1">IF(ISNUMBER(E$3),INDIRECT("'I.A. + Fasce'!B" &amp; 84 + MATCH(E$3+COUNTIF($A$3:$L$3,"&gt;0")*($M19-1),INDIRECT(ADDRESS(85,22+MATCH('I.A. + Fasce'!$P$27,'I.A. + Fasce'!$W$84:$AA$84,0),1,1,"I.A. + Fasce") &amp; ":" &amp; ADDRESS(305,22+MATCH('I.A. + Fasce'!$P$27,'I.A. + Fasce'!$W$84:$AA$84,0),1,1)),0)),"")</f>
        <v>LAZAAR</v>
      </c>
      <c r="F19" s="28" t="str">
        <f ca="1">IF(ISNUMBER(F$3),INDIRECT("'I.A. + Fasce'!B" &amp; 84 + MATCH(F$3+COUNTIF($A$3:$L$3,"&gt;0")*($M19-1),INDIRECT(ADDRESS(85,22+MATCH('I.A. + Fasce'!$P$27,'I.A. + Fasce'!$W$84:$AA$84,0),1,1,"I.A. + Fasce") &amp; ":" &amp; ADDRESS(305,22+MATCH('I.A. + Fasce'!$P$27,'I.A. + Fasce'!$W$84:$AA$84,0),1,1)),0)),"")</f>
        <v>GASPAR</v>
      </c>
      <c r="G19" s="28" t="str">
        <f ca="1">IF(ISNUMBER(G$3),INDIRECT("'I.A. + Fasce'!B" &amp; 84 + MATCH(G$3+COUNTIF($A$3:$L$3,"&gt;0")*($M19-1),INDIRECT(ADDRESS(85,22+MATCH('I.A. + Fasce'!$P$27,'I.A. + Fasce'!$W$84:$AA$84,0),1,1,"I.A. + Fasce") &amp; ":" &amp; ADDRESS(305,22+MATCH('I.A. + Fasce'!$P$27,'I.A. + Fasce'!$W$84:$AA$84,0),1,1)),0)),"")</f>
        <v>DE SILVESTRI</v>
      </c>
      <c r="H19" s="28" t="str">
        <f ca="1">IF(ISNUMBER(H$3),INDIRECT("'I.A. + Fasce'!B" &amp; 84 + MATCH(H$3+COUNTIF($A$3:$L$3,"&gt;0")*($M19-1),INDIRECT(ADDRESS(85,22+MATCH('I.A. + Fasce'!$P$27,'I.A. + Fasce'!$W$84:$AA$84,0),1,1,"I.A. + Fasce") &amp; ":" &amp; ADDRESS(305,22+MATCH('I.A. + Fasce'!$P$27,'I.A. + Fasce'!$W$84:$AA$84,0),1,1)),0)),"")</f>
        <v>DE SCIGLIO</v>
      </c>
      <c r="I19" s="28" t="str">
        <f ca="1">IF(ISNUMBER(I$3),INDIRECT("'I.A. + Fasce'!B" &amp; 84 + MATCH(I$3+COUNTIF($A$3:$L$3,"&gt;0")*($M19-1),INDIRECT(ADDRESS(85,22+MATCH('I.A. + Fasce'!$P$27,'I.A. + Fasce'!$W$84:$AA$84,0),1,1,"I.A. + Fasce") &amp; ":" &amp; ADDRESS(305,22+MATCH('I.A. + Fasce'!$P$27,'I.A. + Fasce'!$W$84:$AA$84,0),1,1)),0)),"")</f>
        <v/>
      </c>
      <c r="J19" s="28" t="str">
        <f ca="1">IF(ISNUMBER(J$3),INDIRECT("'I.A. + Fasce'!B" &amp; 84 + MATCH(J$3+COUNTIF($A$3:$L$3,"&gt;0")*($M19-1),INDIRECT(ADDRESS(85,22+MATCH('I.A. + Fasce'!$P$27,'I.A. + Fasce'!$W$84:$AA$84,0),1,1,"I.A. + Fasce") &amp; ":" &amp; ADDRESS(305,22+MATCH('I.A. + Fasce'!$P$27,'I.A. + Fasce'!$W$84:$AA$84,0),1,1)),0)),"")</f>
        <v/>
      </c>
      <c r="K19" s="28" t="str">
        <f ca="1">IF(ISNUMBER(K$3),INDIRECT("'I.A. + Fasce'!B" &amp; 84 + MATCH(K$3+COUNTIF($A$3:$L$3,"&gt;0")*($M19-1),INDIRECT(ADDRESS(85,22+MATCH('I.A. + Fasce'!$P$27,'I.A. + Fasce'!$W$84:$AA$84,0),1,1,"I.A. + Fasce") &amp; ":" &amp; ADDRESS(305,22+MATCH('I.A. + Fasce'!$P$27,'I.A. + Fasce'!$W$84:$AA$84,0),1,1)),0)),"")</f>
        <v/>
      </c>
      <c r="L19" s="28" t="str">
        <f ca="1">IF(ISNUMBER(L$3),INDIRECT("'I.A. + Fasce'!B" &amp; 84 + MATCH(L$3+COUNTIF($A$3:$L$3,"&gt;0")*($M19-1),INDIRECT(ADDRESS(85,22+MATCH('I.A. + Fasce'!$P$27,'I.A. + Fasce'!$W$84:$AA$84,0),1,1,"I.A. + Fasce") &amp; ":" &amp; ADDRESS(305,22+MATCH('I.A. + Fasce'!$P$27,'I.A. + Fasce'!$W$84:$AA$84,0),1,1)),0)),"")</f>
        <v/>
      </c>
      <c r="M19" s="27">
        <v>10</v>
      </c>
      <c r="U19" s="35" t="str">
        <f ca="1">Rose!N7</f>
        <v/>
      </c>
      <c r="V19" s="35" t="str">
        <f ca="1">Rose!E18</f>
        <v/>
      </c>
      <c r="W19" s="35" t="str">
        <f ca="1">Rose!E34</f>
        <v/>
      </c>
      <c r="X19" s="35" t="str">
        <f ca="1">Rose!E52</f>
        <v/>
      </c>
      <c r="Y19" s="35"/>
    </row>
    <row r="20" spans="1:25">
      <c r="A20" s="39"/>
      <c r="B20" s="39"/>
      <c r="C20" s="39"/>
      <c r="D20" s="39"/>
      <c r="E20" s="39"/>
      <c r="F20" s="39"/>
      <c r="G20" s="39"/>
      <c r="H20" s="39"/>
      <c r="I20" s="39"/>
      <c r="J20" s="39"/>
      <c r="U20" s="35" t="str">
        <f ca="1">Rose!Q5</f>
        <v/>
      </c>
      <c r="V20" s="35" t="str">
        <f ca="1">Rose!E19</f>
        <v/>
      </c>
      <c r="W20" s="35" t="str">
        <f ca="1">Rose!E35</f>
        <v/>
      </c>
      <c r="X20" s="35" t="str">
        <f ca="1">Rose!E53</f>
        <v/>
      </c>
      <c r="Y20" s="35"/>
    </row>
    <row r="21" spans="1:25">
      <c r="A21" s="39"/>
      <c r="B21" s="39"/>
      <c r="C21" s="39"/>
      <c r="D21" s="39"/>
      <c r="E21" s="39"/>
      <c r="F21" s="39"/>
      <c r="G21" s="39"/>
      <c r="H21" s="39"/>
      <c r="I21" s="39"/>
      <c r="J21" s="39"/>
      <c r="U21" s="35" t="str">
        <f ca="1">Rose!Q6</f>
        <v/>
      </c>
      <c r="V21" s="35" t="str">
        <f ca="1">Rose!E20</f>
        <v/>
      </c>
      <c r="W21" s="35" t="str">
        <f ca="1">Rose!E36</f>
        <v/>
      </c>
      <c r="X21" s="35" t="str">
        <f ca="1">Rose!H46</f>
        <v/>
      </c>
      <c r="Y21" s="35"/>
    </row>
    <row r="22" spans="1:25">
      <c r="A22" s="43">
        <f t="shared" ref="A22:L22" si="1">A$3</f>
        <v>1</v>
      </c>
      <c r="B22" s="43">
        <f t="shared" si="1"/>
        <v>2</v>
      </c>
      <c r="C22" s="43">
        <f t="shared" si="1"/>
        <v>3</v>
      </c>
      <c r="D22" s="43">
        <f t="shared" si="1"/>
        <v>4</v>
      </c>
      <c r="E22" s="43">
        <f t="shared" si="1"/>
        <v>5</v>
      </c>
      <c r="F22" s="43">
        <f t="shared" si="1"/>
        <v>6</v>
      </c>
      <c r="G22" s="43">
        <f t="shared" si="1"/>
        <v>7</v>
      </c>
      <c r="H22" s="43">
        <f t="shared" si="1"/>
        <v>8</v>
      </c>
      <c r="I22" s="43" t="str">
        <f t="shared" si="1"/>
        <v/>
      </c>
      <c r="J22" s="43" t="str">
        <f t="shared" si="1"/>
        <v/>
      </c>
      <c r="K22" s="43" t="str">
        <f t="shared" si="1"/>
        <v/>
      </c>
      <c r="L22" s="43" t="str">
        <f t="shared" si="1"/>
        <v/>
      </c>
      <c r="U22" s="35" t="str">
        <f ca="1">Rose!Q7</f>
        <v/>
      </c>
      <c r="V22" s="35" t="str">
        <f ca="1">Rose!E21</f>
        <v/>
      </c>
      <c r="W22" s="35" t="str">
        <f ca="1">Rose!E37</f>
        <v/>
      </c>
      <c r="X22" s="35" t="str">
        <f ca="1">Rose!H47</f>
        <v/>
      </c>
      <c r="Y22" s="35"/>
    </row>
    <row r="23" spans="1:25">
      <c r="A23" s="28" t="str">
        <f ca="1">IF(ISNUMBER(A$3),INDIRECT("'I.A. + Fasce'!B" &amp; 310 + MATCH(A$3+COUNTIF($A$3:$L$3,"&gt;0")*($M23-1),INDIRECT(ADDRESS(311,22+MATCH('I.A. + Fasce'!$P$27,'I.A. + Fasce'!$W$6:$AA$6,0),1,1,"I.A. + Fasce") &amp; ":" &amp; ADDRESS(531,22+MATCH('I.A. + Fasce'!$P$27,'I.A. + Fasce'!$W$6:$AA$6,0),1,1)),0)),"")</f>
        <v>HAMSIK</v>
      </c>
      <c r="B23" s="28" t="str">
        <f ca="1">IF(ISNUMBER(B$3),INDIRECT("'I.A. + Fasce'!B" &amp; 310 + MATCH(B$3+COUNTIF($A$3:$L$3,"&gt;0")*($M23-1),INDIRECT(ADDRESS(311,22+MATCH('I.A. + Fasce'!$P$27,'I.A. + Fasce'!$W$6:$AA$6,0),1,1,"I.A. + Fasce") &amp; ":" &amp; ADDRESS(531,22+MATCH('I.A. + Fasce'!$P$27,'I.A. + Fasce'!$W$6:$AA$6,0),1,1)),0)),"")</f>
        <v>DOUGLAS COSTA</v>
      </c>
      <c r="C23" s="28" t="str">
        <f ca="1">IF(ISNUMBER(C$3),INDIRECT("'I.A. + Fasce'!B" &amp; 310 + MATCH(C$3+COUNTIF($A$3:$L$3,"&gt;0")*($M23-1),INDIRECT(ADDRESS(311,22+MATCH('I.A. + Fasce'!$P$27,'I.A. + Fasce'!$W$6:$AA$6,0),1,1,"I.A. + Fasce") &amp; ":" &amp; ADDRESS(531,22+MATCH('I.A. + Fasce'!$P$27,'I.A. + Fasce'!$W$6:$AA$6,0),1,1)),0)),"")</f>
        <v>PJANIC</v>
      </c>
      <c r="D23" s="28" t="str">
        <f ca="1">IF(ISNUMBER(D$3),INDIRECT("'I.A. + Fasce'!B" &amp; 310 + MATCH(D$3+COUNTIF($A$3:$L$3,"&gt;0")*($M23-1),INDIRECT(ADDRESS(311,22+MATCH('I.A. + Fasce'!$P$27,'I.A. + Fasce'!$W$6:$AA$6,0),1,1,"I.A. + Fasce") &amp; ":" &amp; ADDRESS(531,22+MATCH('I.A. + Fasce'!$P$27,'I.A. + Fasce'!$W$6:$AA$6,0),1,1)),0)),"")</f>
        <v>PERISIC</v>
      </c>
      <c r="E23" s="28" t="str">
        <f ca="1">IF(ISNUMBER(E$3),INDIRECT("'I.A. + Fasce'!B" &amp; 310 + MATCH(E$3+COUNTIF($A$3:$L$3,"&gt;0")*($M23-1),INDIRECT(ADDRESS(311,22+MATCH('I.A. + Fasce'!$P$27,'I.A. + Fasce'!$W$6:$AA$6,0),1,1,"I.A. + Fasce") &amp; ":" &amp; ADDRESS(531,22+MATCH('I.A. + Fasce'!$P$27,'I.A. + Fasce'!$W$6:$AA$6,0),1,1)),0)),"")</f>
        <v>CHIESA</v>
      </c>
      <c r="F23" s="28" t="str">
        <f ca="1">IF(ISNUMBER(F$3),INDIRECT("'I.A. + Fasce'!B" &amp; 310 + MATCH(F$3+COUNTIF($A$3:$L$3,"&gt;0")*($M23-1),INDIRECT(ADDRESS(311,22+MATCH('I.A. + Fasce'!$P$27,'I.A. + Fasce'!$W$6:$AA$6,0),1,1,"I.A. + Fasce") &amp; ":" &amp; ADDRESS(531,22+MATCH('I.A. + Fasce'!$P$27,'I.A. + Fasce'!$W$6:$AA$6,0),1,1)),0)),"")</f>
        <v>NAINGGOLAN</v>
      </c>
      <c r="G23" s="28" t="str">
        <f ca="1">IF(ISNUMBER(G$3),INDIRECT("'I.A. + Fasce'!B" &amp; 310 + MATCH(G$3+COUNTIF($A$3:$L$3,"&gt;0")*($M23-1),INDIRECT(ADDRESS(311,22+MATCH('I.A. + Fasce'!$P$27,'I.A. + Fasce'!$W$6:$AA$6,0),1,1,"I.A. + Fasce") &amp; ":" &amp; ADDRESS(531,22+MATCH('I.A. + Fasce'!$P$27,'I.A. + Fasce'!$W$6:$AA$6,0),1,1)),0)),"")</f>
        <v>BERNARDESCHI</v>
      </c>
      <c r="H23" s="28" t="str">
        <f ca="1">IF(ISNUMBER(H$3),INDIRECT("'I.A. + Fasce'!B" &amp; 310 + MATCH(H$3+COUNTIF($A$3:$L$3,"&gt;0")*($M23-1),INDIRECT(ADDRESS(311,22+MATCH('I.A. + Fasce'!$P$27,'I.A. + Fasce'!$W$6:$AA$6,0),1,1,"I.A. + Fasce") &amp; ":" &amp; ADDRESS(531,22+MATCH('I.A. + Fasce'!$P$27,'I.A. + Fasce'!$W$6:$AA$6,0),1,1)),0)),"")</f>
        <v>IAGO FALQUE</v>
      </c>
      <c r="I23" s="28" t="str">
        <f ca="1">IF(ISNUMBER(I$3),INDIRECT("'I.A. + Fasce'!B" &amp; 310 + MATCH(I$3+COUNTIF($A$3:$L$3,"&gt;0")*($M23-1),INDIRECT(ADDRESS(311,22+MATCH('I.A. + Fasce'!$P$27,'I.A. + Fasce'!$W$6:$AA$6,0),1,1,"I.A. + Fasce") &amp; ":" &amp; ADDRESS(531,22+MATCH('I.A. + Fasce'!$P$27,'I.A. + Fasce'!$W$6:$AA$6,0),1,1)),0)),"")</f>
        <v/>
      </c>
      <c r="J23" s="28" t="str">
        <f ca="1">IF(ISNUMBER(J$3),INDIRECT("'I.A. + Fasce'!B" &amp; 310 + MATCH(J$3+COUNTIF($A$3:$L$3,"&gt;0")*($M23-1),INDIRECT(ADDRESS(311,22+MATCH('I.A. + Fasce'!$P$27,'I.A. + Fasce'!$W$6:$AA$6,0),1,1,"I.A. + Fasce") &amp; ":" &amp; ADDRESS(531,22+MATCH('I.A. + Fasce'!$P$27,'I.A. + Fasce'!$W$6:$AA$6,0),1,1)),0)),"")</f>
        <v/>
      </c>
      <c r="K23" s="28" t="str">
        <f ca="1">IF(ISNUMBER(K$3),INDIRECT("'I.A. + Fasce'!B" &amp; 310 + MATCH(K$3+COUNTIF($A$3:$L$3,"&gt;0")*($M23-1),INDIRECT(ADDRESS(311,22+MATCH('I.A. + Fasce'!$P$27,'I.A. + Fasce'!$W$6:$AA$6,0),1,1,"I.A. + Fasce") &amp; ":" &amp; ADDRESS(531,22+MATCH('I.A. + Fasce'!$P$27,'I.A. + Fasce'!$W$6:$AA$6,0),1,1)),0)),"")</f>
        <v/>
      </c>
      <c r="L23" s="28" t="str">
        <f ca="1">IF(ISNUMBER(L$3),INDIRECT("'I.A. + Fasce'!B" &amp; 310 + MATCH(L$3+COUNTIF($A$3:$L$3,"&gt;0")*($M23-1),INDIRECT(ADDRESS(311,22+MATCH('I.A. + Fasce'!$P$27,'I.A. + Fasce'!$W$6:$AA$6,0),1,1,"I.A. + Fasce") &amp; ":" &amp; ADDRESS(531,22+MATCH('I.A. + Fasce'!$P$27,'I.A. + Fasce'!$W$6:$AA$6,0),1,1)),0)),"")</f>
        <v/>
      </c>
      <c r="M23" s="27">
        <v>1</v>
      </c>
      <c r="U23" s="35" t="str">
        <f ca="1">Rose!T5</f>
        <v/>
      </c>
      <c r="V23" s="35" t="str">
        <f ca="1">Rose!E22</f>
        <v/>
      </c>
      <c r="W23" s="35" t="str">
        <f ca="1">Rose!E38</f>
        <v/>
      </c>
      <c r="X23" s="35" t="str">
        <f ca="1">Rose!H48</f>
        <v/>
      </c>
      <c r="Y23" s="35"/>
    </row>
    <row r="24" spans="1:25">
      <c r="A24" s="28" t="str">
        <f ca="1">IF(ISNUMBER(A$3),INDIRECT("'I.A. + Fasce'!B" &amp; 310 + MATCH(A$3+COUNTIF($A$3:$L$3,"&gt;0")*($M24-1),INDIRECT(ADDRESS(311,22+MATCH('I.A. + Fasce'!$P$27,'I.A. + Fasce'!$W$6:$AA$6,0),1,1,"I.A. + Fasce") &amp; ":" &amp; ADDRESS(531,22+MATCH('I.A. + Fasce'!$P$27,'I.A. + Fasce'!$W$6:$AA$6,0),1,1)),0)),"")</f>
        <v>LJAJIC</v>
      </c>
      <c r="B24" s="28" t="str">
        <f ca="1">IF(ISNUMBER(B$3),INDIRECT("'I.A. + Fasce'!B" &amp; 310 + MATCH(B$3+COUNTIF($A$3:$L$3,"&gt;0")*($M24-1),INDIRECT(ADDRESS(311,22+MATCH('I.A. + Fasce'!$P$27,'I.A. + Fasce'!$W$6:$AA$6,0),1,1,"I.A. + Fasce") &amp; ":" &amp; ADDRESS(531,22+MATCH('I.A. + Fasce'!$P$27,'I.A. + Fasce'!$W$6:$AA$6,0),1,1)),0)),"")</f>
        <v>CALHANOGLU</v>
      </c>
      <c r="C24" s="28" t="str">
        <f ca="1">IF(ISNUMBER(C$3),INDIRECT("'I.A. + Fasce'!B" &amp; 310 + MATCH(C$3+COUNTIF($A$3:$L$3,"&gt;0")*($M24-1),INDIRECT(ADDRESS(311,22+MATCH('I.A. + Fasce'!$P$27,'I.A. + Fasce'!$W$6:$AA$6,0),1,1,"I.A. + Fasce") &amp; ":" &amp; ADDRESS(531,22+MATCH('I.A. + Fasce'!$P$27,'I.A. + Fasce'!$W$6:$AA$6,0),1,1)),0)),"")</f>
        <v>MILINKOVIC-SAVIC</v>
      </c>
      <c r="D24" s="28" t="str">
        <f ca="1">IF(ISNUMBER(D$3),INDIRECT("'I.A. + Fasce'!B" &amp; 310 + MATCH(D$3+COUNTIF($A$3:$L$3,"&gt;0")*($M24-1),INDIRECT(ADDRESS(311,22+MATCH('I.A. + Fasce'!$P$27,'I.A. + Fasce'!$W$6:$AA$6,0),1,1,"I.A. + Fasce") &amp; ":" &amp; ADDRESS(531,22+MATCH('I.A. + Fasce'!$P$27,'I.A. + Fasce'!$W$6:$AA$6,0),1,1)),0)),"")</f>
        <v>ZIELINSKI</v>
      </c>
      <c r="E24" s="28" t="str">
        <f ca="1">IF(ISNUMBER(E$3),INDIRECT("'I.A. + Fasce'!B" &amp; 310 + MATCH(E$3+COUNTIF($A$3:$L$3,"&gt;0")*($M24-1),INDIRECT(ADDRESS(311,22+MATCH('I.A. + Fasce'!$P$27,'I.A. + Fasce'!$W$6:$AA$6,0),1,1,"I.A. + Fasce") &amp; ":" &amp; ADDRESS(531,22+MATCH('I.A. + Fasce'!$P$27,'I.A. + Fasce'!$W$6:$AA$6,0),1,1)),0)),"")</f>
        <v>BIRSA</v>
      </c>
      <c r="F24" s="28" t="str">
        <f ca="1">IF(ISNUMBER(F$3),INDIRECT("'I.A. + Fasce'!B" &amp; 310 + MATCH(F$3+COUNTIF($A$3:$L$3,"&gt;0")*($M24-1),INDIRECT(ADDRESS(311,22+MATCH('I.A. + Fasce'!$P$27,'I.A. + Fasce'!$W$6:$AA$6,0),1,1,"I.A. + Fasce") &amp; ":" &amp; ADDRESS(531,22+MATCH('I.A. + Fasce'!$P$27,'I.A. + Fasce'!$W$6:$AA$6,0),1,1)),0)),"")</f>
        <v>FELIPE ANDERSON</v>
      </c>
      <c r="G24" s="28" t="str">
        <f ca="1">IF(ISNUMBER(G$3),INDIRECT("'I.A. + Fasce'!B" &amp; 310 + MATCH(G$3+COUNTIF($A$3:$L$3,"&gt;0")*($M24-1),INDIRECT(ADDRESS(311,22+MATCH('I.A. + Fasce'!$P$27,'I.A. + Fasce'!$W$6:$AA$6,0),1,1,"I.A. + Fasce") &amp; ":" &amp; ADDRESS(531,22+MATCH('I.A. + Fasce'!$P$27,'I.A. + Fasce'!$W$6:$AA$6,0),1,1)),0)),"")</f>
        <v>FREULER</v>
      </c>
      <c r="H24" s="28" t="str">
        <f ca="1">IF(ISNUMBER(H$3),INDIRECT("'I.A. + Fasce'!B" &amp; 310 + MATCH(H$3+COUNTIF($A$3:$L$3,"&gt;0")*($M24-1),INDIRECT(ADDRESS(311,22+MATCH('I.A. + Fasce'!$P$27,'I.A. + Fasce'!$W$6:$AA$6,0),1,1,"I.A. + Fasce") &amp; ":" &amp; ADDRESS(531,22+MATCH('I.A. + Fasce'!$P$27,'I.A. + Fasce'!$W$6:$AA$6,0),1,1)),0)),"")</f>
        <v>KESSIE'</v>
      </c>
      <c r="I24" s="28" t="str">
        <f ca="1">IF(ISNUMBER(I$3),INDIRECT("'I.A. + Fasce'!B" &amp; 310 + MATCH(I$3+COUNTIF($A$3:$L$3,"&gt;0")*($M24-1),INDIRECT(ADDRESS(311,22+MATCH('I.A. + Fasce'!$P$27,'I.A. + Fasce'!$W$6:$AA$6,0),1,1,"I.A. + Fasce") &amp; ":" &amp; ADDRESS(531,22+MATCH('I.A. + Fasce'!$P$27,'I.A. + Fasce'!$W$6:$AA$6,0),1,1)),0)),"")</f>
        <v/>
      </c>
      <c r="J24" s="28" t="str">
        <f ca="1">IF(ISNUMBER(J$3),INDIRECT("'I.A. + Fasce'!B" &amp; 310 + MATCH(J$3+COUNTIF($A$3:$L$3,"&gt;0")*($M24-1),INDIRECT(ADDRESS(311,22+MATCH('I.A. + Fasce'!$P$27,'I.A. + Fasce'!$W$6:$AA$6,0),1,1,"I.A. + Fasce") &amp; ":" &amp; ADDRESS(531,22+MATCH('I.A. + Fasce'!$P$27,'I.A. + Fasce'!$W$6:$AA$6,0),1,1)),0)),"")</f>
        <v/>
      </c>
      <c r="K24" s="28" t="str">
        <f ca="1">IF(ISNUMBER(K$3),INDIRECT("'I.A. + Fasce'!B" &amp; 310 + MATCH(K$3+COUNTIF($A$3:$L$3,"&gt;0")*($M24-1),INDIRECT(ADDRESS(311,22+MATCH('I.A. + Fasce'!$P$27,'I.A. + Fasce'!$W$6:$AA$6,0),1,1,"I.A. + Fasce") &amp; ":" &amp; ADDRESS(531,22+MATCH('I.A. + Fasce'!$P$27,'I.A. + Fasce'!$W$6:$AA$6,0),1,1)),0)),"")</f>
        <v/>
      </c>
      <c r="L24" s="28" t="str">
        <f ca="1">IF(ISNUMBER(L$3),INDIRECT("'I.A. + Fasce'!B" &amp; 310 + MATCH(L$3+COUNTIF($A$3:$L$3,"&gt;0")*($M24-1),INDIRECT(ADDRESS(311,22+MATCH('I.A. + Fasce'!$P$27,'I.A. + Fasce'!$W$6:$AA$6,0),1,1,"I.A. + Fasce") &amp; ":" &amp; ADDRESS(531,22+MATCH('I.A. + Fasce'!$P$27,'I.A. + Fasce'!$W$6:$AA$6,0),1,1)),0)),"")</f>
        <v/>
      </c>
      <c r="M24" s="27">
        <v>2</v>
      </c>
      <c r="U24" s="35" t="str">
        <f ca="1">Rose!T6</f>
        <v/>
      </c>
      <c r="V24" s="35" t="str">
        <f ca="1">Rose!E23</f>
        <v/>
      </c>
      <c r="W24" s="35" t="str">
        <f ca="1">Rose!E39</f>
        <v/>
      </c>
      <c r="X24" s="35" t="str">
        <f ca="1">Rose!H49</f>
        <v/>
      </c>
      <c r="Y24" s="35"/>
    </row>
    <row r="25" spans="1:25">
      <c r="A25" s="28" t="str">
        <f ca="1">IF(ISNUMBER(A$3),INDIRECT("'I.A. + Fasce'!B" &amp; 310 + MATCH(A$3+COUNTIF($A$3:$L$3,"&gt;0")*($M25-1),INDIRECT(ADDRESS(311,22+MATCH('I.A. + Fasce'!$P$27,'I.A. + Fasce'!$W$6:$AA$6,0),1,1,"I.A. + Fasce") &amp; ":" &amp; ADDRESS(531,22+MATCH('I.A. + Fasce'!$P$27,'I.A. + Fasce'!$W$6:$AA$6,0),1,1)),0)),"")</f>
        <v>CANDREVA</v>
      </c>
      <c r="B25" s="28" t="str">
        <f ca="1">IF(ISNUMBER(B$3),INDIRECT("'I.A. + Fasce'!B" &amp; 310 + MATCH(B$3+COUNTIF($A$3:$L$3,"&gt;0")*($M25-1),INDIRECT(ADDRESS(311,22+MATCH('I.A. + Fasce'!$P$27,'I.A. + Fasce'!$W$6:$AA$6,0),1,1,"I.A. + Fasce") &amp; ":" &amp; ADDRESS(531,22+MATCH('I.A. + Fasce'!$P$27,'I.A. + Fasce'!$W$6:$AA$6,0),1,1)),0)),"")</f>
        <v>JOAO PEDRO</v>
      </c>
      <c r="C25" s="28" t="str">
        <f ca="1">IF(ISNUMBER(C$3),INDIRECT("'I.A. + Fasce'!B" &amp; 310 + MATCH(C$3+COUNTIF($A$3:$L$3,"&gt;0")*($M25-1),INDIRECT(ADDRESS(311,22+MATCH('I.A. + Fasce'!$P$27,'I.A. + Fasce'!$W$6:$AA$6,0),1,1,"I.A. + Fasce") &amp; ":" &amp; ADDRESS(531,22+MATCH('I.A. + Fasce'!$P$27,'I.A. + Fasce'!$W$6:$AA$6,0),1,1)),0)),"")</f>
        <v>LULIC</v>
      </c>
      <c r="D25" s="28" t="str">
        <f ca="1">IF(ISNUMBER(D$3),INDIRECT("'I.A. + Fasce'!B" &amp; 310 + MATCH(D$3+COUNTIF($A$3:$L$3,"&gt;0")*($M25-1),INDIRECT(ADDRESS(311,22+MATCH('I.A. + Fasce'!$P$27,'I.A. + Fasce'!$W$6:$AA$6,0),1,1,"I.A. + Fasce") &amp; ":" &amp; ADDRESS(531,22+MATCH('I.A. + Fasce'!$P$27,'I.A. + Fasce'!$W$6:$AA$6,0),1,1)),0)),"")</f>
        <v>KHEDIRA</v>
      </c>
      <c r="E25" s="28" t="str">
        <f ca="1">IF(ISNUMBER(E$3),INDIRECT("'I.A. + Fasce'!B" &amp; 310 + MATCH(E$3+COUNTIF($A$3:$L$3,"&gt;0")*($M25-1),INDIRECT(ADDRESS(311,22+MATCH('I.A. + Fasce'!$P$27,'I.A. + Fasce'!$W$6:$AA$6,0),1,1,"I.A. + Fasce") &amp; ":" &amp; ADDRESS(531,22+MATCH('I.A. + Fasce'!$P$27,'I.A. + Fasce'!$W$6:$AA$6,0),1,1)),0)),"")</f>
        <v>PAROLO</v>
      </c>
      <c r="F25" s="28" t="str">
        <f ca="1">IF(ISNUMBER(F$3),INDIRECT("'I.A. + Fasce'!B" &amp; 310 + MATCH(F$3+COUNTIF($A$3:$L$3,"&gt;0")*($M25-1),INDIRECT(ADDRESS(311,22+MATCH('I.A. + Fasce'!$P$27,'I.A. + Fasce'!$W$6:$AA$6,0),1,1,"I.A. + Fasce") &amp; ":" &amp; ADDRESS(531,22+MATCH('I.A. + Fasce'!$P$27,'I.A. + Fasce'!$W$6:$AA$6,0),1,1)),0)),"")</f>
        <v>STROOTMAN</v>
      </c>
      <c r="G25" s="28" t="str">
        <f ca="1">IF(ISNUMBER(G$3),INDIRECT("'I.A. + Fasce'!B" &amp; 310 + MATCH(G$3+COUNTIF($A$3:$L$3,"&gt;0")*($M25-1),INDIRECT(ADDRESS(311,22+MATCH('I.A. + Fasce'!$P$27,'I.A. + Fasce'!$W$6:$AA$6,0),1,1,"I.A. + Fasce") &amp; ":" &amp; ADDRESS(531,22+MATCH('I.A. + Fasce'!$P$27,'I.A. + Fasce'!$W$6:$AA$6,0),1,1)),0)),"")</f>
        <v>RAMIREZ</v>
      </c>
      <c r="H25" s="28" t="str">
        <f ca="1">IF(ISNUMBER(H$3),INDIRECT("'I.A. + Fasce'!B" &amp; 310 + MATCH(H$3+COUNTIF($A$3:$L$3,"&gt;0")*($M25-1),INDIRECT(ADDRESS(311,22+MATCH('I.A. + Fasce'!$P$27,'I.A. + Fasce'!$W$6:$AA$6,0),1,1,"I.A. + Fasce") &amp; ":" &amp; ADDRESS(531,22+MATCH('I.A. + Fasce'!$P$27,'I.A. + Fasce'!$W$6:$AA$6,0),1,1)),0)),"")</f>
        <v>ALLAN</v>
      </c>
      <c r="I25" s="28" t="str">
        <f ca="1">IF(ISNUMBER(I$3),INDIRECT("'I.A. + Fasce'!B" &amp; 310 + MATCH(I$3+COUNTIF($A$3:$L$3,"&gt;0")*($M25-1),INDIRECT(ADDRESS(311,22+MATCH('I.A. + Fasce'!$P$27,'I.A. + Fasce'!$W$6:$AA$6,0),1,1,"I.A. + Fasce") &amp; ":" &amp; ADDRESS(531,22+MATCH('I.A. + Fasce'!$P$27,'I.A. + Fasce'!$W$6:$AA$6,0),1,1)),0)),"")</f>
        <v/>
      </c>
      <c r="J25" s="28" t="str">
        <f ca="1">IF(ISNUMBER(J$3),INDIRECT("'I.A. + Fasce'!B" &amp; 310 + MATCH(J$3+COUNTIF($A$3:$L$3,"&gt;0")*($M25-1),INDIRECT(ADDRESS(311,22+MATCH('I.A. + Fasce'!$P$27,'I.A. + Fasce'!$W$6:$AA$6,0),1,1,"I.A. + Fasce") &amp; ":" &amp; ADDRESS(531,22+MATCH('I.A. + Fasce'!$P$27,'I.A. + Fasce'!$W$6:$AA$6,0),1,1)),0)),"")</f>
        <v/>
      </c>
      <c r="K25" s="28" t="str">
        <f ca="1">IF(ISNUMBER(K$3),INDIRECT("'I.A. + Fasce'!B" &amp; 310 + MATCH(K$3+COUNTIF($A$3:$L$3,"&gt;0")*($M25-1),INDIRECT(ADDRESS(311,22+MATCH('I.A. + Fasce'!$P$27,'I.A. + Fasce'!$W$6:$AA$6,0),1,1,"I.A. + Fasce") &amp; ":" &amp; ADDRESS(531,22+MATCH('I.A. + Fasce'!$P$27,'I.A. + Fasce'!$W$6:$AA$6,0),1,1)),0)),"")</f>
        <v/>
      </c>
      <c r="L25" s="28" t="str">
        <f ca="1">IF(ISNUMBER(L$3),INDIRECT("'I.A. + Fasce'!B" &amp; 310 + MATCH(L$3+COUNTIF($A$3:$L$3,"&gt;0")*($M25-1),INDIRECT(ADDRESS(311,22+MATCH('I.A. + Fasce'!$P$27,'I.A. + Fasce'!$W$6:$AA$6,0),1,1,"I.A. + Fasce") &amp; ":" &amp; ADDRESS(531,22+MATCH('I.A. + Fasce'!$P$27,'I.A. + Fasce'!$W$6:$AA$6,0),1,1)),0)),"")</f>
        <v/>
      </c>
      <c r="M25" s="27">
        <v>3</v>
      </c>
      <c r="U25" s="35" t="str">
        <f ca="1">Rose!T7</f>
        <v/>
      </c>
      <c r="V25" s="35" t="str">
        <f ca="1">Rose!H14</f>
        <v/>
      </c>
      <c r="W25" s="35" t="str">
        <f ca="1">Rose!H30</f>
        <v/>
      </c>
      <c r="X25" s="35" t="str">
        <f ca="1">Rose!H50</f>
        <v/>
      </c>
      <c r="Y25" s="35"/>
    </row>
    <row r="26" spans="1:25">
      <c r="A26" s="28" t="str">
        <f ca="1">IF(ISNUMBER(A$3),INDIRECT("'I.A. + Fasce'!B" &amp; 310 + MATCH(A$3+COUNTIF($A$3:$L$3,"&gt;0")*($M26-1),INDIRECT(ADDRESS(311,22+MATCH('I.A. + Fasce'!$P$27,'I.A. + Fasce'!$W$6:$AA$6,0),1,1,"I.A. + Fasce") &amp; ":" &amp; ADDRESS(531,22+MATCH('I.A. + Fasce'!$P$27,'I.A. + Fasce'!$W$6:$AA$6,0),1,1)),0)),"")</f>
        <v>BASELLI</v>
      </c>
      <c r="B26" s="28" t="str">
        <f ca="1">IF(ISNUMBER(B$3),INDIRECT("'I.A. + Fasce'!B" &amp; 310 + MATCH(B$3+COUNTIF($A$3:$L$3,"&gt;0")*($M26-1),INDIRECT(ADDRESS(311,22+MATCH('I.A. + Fasce'!$P$27,'I.A. + Fasce'!$W$6:$AA$6,0),1,1,"I.A. + Fasce") &amp; ":" &amp; ADDRESS(531,22+MATCH('I.A. + Fasce'!$P$27,'I.A. + Fasce'!$W$6:$AA$6,0),1,1)),0)),"")</f>
        <v>MATUIDI</v>
      </c>
      <c r="C26" s="28" t="str">
        <f ca="1">IF(ISNUMBER(C$3),INDIRECT("'I.A. + Fasce'!B" &amp; 310 + MATCH(C$3+COUNTIF($A$3:$L$3,"&gt;0")*($M26-1),INDIRECT(ADDRESS(311,22+MATCH('I.A. + Fasce'!$P$27,'I.A. + Fasce'!$W$6:$AA$6,0),1,1,"I.A. + Fasce") &amp; ":" &amp; ADDRESS(531,22+MATCH('I.A. + Fasce'!$P$27,'I.A. + Fasce'!$W$6:$AA$6,0),1,1)),0)),"")</f>
        <v>BORJA VALERO</v>
      </c>
      <c r="D26" s="28" t="str">
        <f ca="1">IF(ISNUMBER(D$3),INDIRECT("'I.A. + Fasce'!B" &amp; 310 + MATCH(D$3+COUNTIF($A$3:$L$3,"&gt;0")*($M26-1),INDIRECT(ADDRESS(311,22+MATCH('I.A. + Fasce'!$P$27,'I.A. + Fasce'!$W$6:$AA$6,0),1,1,"I.A. + Fasce") &amp; ":" &amp; ADDRESS(531,22+MATCH('I.A. + Fasce'!$P$27,'I.A. + Fasce'!$W$6:$AA$6,0),1,1)),0)),"")</f>
        <v>CUADRADO</v>
      </c>
      <c r="E26" s="28" t="str">
        <f ca="1">IF(ISNUMBER(E$3),INDIRECT("'I.A. + Fasce'!B" &amp; 310 + MATCH(E$3+COUNTIF($A$3:$L$3,"&gt;0")*($M26-1),INDIRECT(ADDRESS(311,22+MATCH('I.A. + Fasce'!$P$27,'I.A. + Fasce'!$W$6:$AA$6,0),1,1,"I.A. + Fasce") &amp; ":" &amp; ADDRESS(531,22+MATCH('I.A. + Fasce'!$P$27,'I.A. + Fasce'!$W$6:$AA$6,0),1,1)),0)),"")</f>
        <v>EYSSERIC</v>
      </c>
      <c r="F26" s="28" t="str">
        <f ca="1">IF(ISNUMBER(F$3),INDIRECT("'I.A. + Fasce'!B" &amp; 310 + MATCH(F$3+COUNTIF($A$3:$L$3,"&gt;0")*($M26-1),INDIRECT(ADDRESS(311,22+MATCH('I.A. + Fasce'!$P$27,'I.A. + Fasce'!$W$6:$AA$6,0),1,1,"I.A. + Fasce") &amp; ":" &amp; ADDRESS(531,22+MATCH('I.A. + Fasce'!$P$27,'I.A. + Fasce'!$W$6:$AA$6,0),1,1)),0)),"")</f>
        <v>DE PAUL</v>
      </c>
      <c r="G26" s="28" t="str">
        <f ca="1">IF(ISNUMBER(G$3),INDIRECT("'I.A. + Fasce'!B" &amp; 310 + MATCH(G$3+COUNTIF($A$3:$L$3,"&gt;0")*($M26-1),INDIRECT(ADDRESS(311,22+MATCH('I.A. + Fasce'!$P$27,'I.A. + Fasce'!$W$6:$AA$6,0),1,1,"I.A. + Fasce") &amp; ":" &amp; ADDRESS(531,22+MATCH('I.A. + Fasce'!$P$27,'I.A. + Fasce'!$W$6:$AA$6,0),1,1)),0)),"")</f>
        <v>BONAVENTURA</v>
      </c>
      <c r="H26" s="28" t="str">
        <f ca="1">IF(ISNUMBER(H$3),INDIRECT("'I.A. + Fasce'!B" &amp; 310 + MATCH(H$3+COUNTIF($A$3:$L$3,"&gt;0")*($M26-1),INDIRECT(ADDRESS(311,22+MATCH('I.A. + Fasce'!$P$27,'I.A. + Fasce'!$W$6:$AA$6,0),1,1,"I.A. + Fasce") &amp; ":" &amp; ADDRESS(531,22+MATCH('I.A. + Fasce'!$P$27,'I.A. + Fasce'!$W$6:$AA$6,0),1,1)),0)),"")</f>
        <v>LINETTY</v>
      </c>
      <c r="I26" s="28" t="str">
        <f ca="1">IF(ISNUMBER(I$3),INDIRECT("'I.A. + Fasce'!B" &amp; 310 + MATCH(I$3+COUNTIF($A$3:$L$3,"&gt;0")*($M26-1),INDIRECT(ADDRESS(311,22+MATCH('I.A. + Fasce'!$P$27,'I.A. + Fasce'!$W$6:$AA$6,0),1,1,"I.A. + Fasce") &amp; ":" &amp; ADDRESS(531,22+MATCH('I.A. + Fasce'!$P$27,'I.A. + Fasce'!$W$6:$AA$6,0),1,1)),0)),"")</f>
        <v/>
      </c>
      <c r="J26" s="28" t="str">
        <f ca="1">IF(ISNUMBER(J$3),INDIRECT("'I.A. + Fasce'!B" &amp; 310 + MATCH(J$3+COUNTIF($A$3:$L$3,"&gt;0")*($M26-1),INDIRECT(ADDRESS(311,22+MATCH('I.A. + Fasce'!$P$27,'I.A. + Fasce'!$W$6:$AA$6,0),1,1,"I.A. + Fasce") &amp; ":" &amp; ADDRESS(531,22+MATCH('I.A. + Fasce'!$P$27,'I.A. + Fasce'!$W$6:$AA$6,0),1,1)),0)),"")</f>
        <v/>
      </c>
      <c r="K26" s="28" t="str">
        <f ca="1">IF(ISNUMBER(K$3),INDIRECT("'I.A. + Fasce'!B" &amp; 310 + MATCH(K$3+COUNTIF($A$3:$L$3,"&gt;0")*($M26-1),INDIRECT(ADDRESS(311,22+MATCH('I.A. + Fasce'!$P$27,'I.A. + Fasce'!$W$6:$AA$6,0),1,1,"I.A. + Fasce") &amp; ":" &amp; ADDRESS(531,22+MATCH('I.A. + Fasce'!$P$27,'I.A. + Fasce'!$W$6:$AA$6,0),1,1)),0)),"")</f>
        <v/>
      </c>
      <c r="L26" s="28" t="str">
        <f ca="1">IF(ISNUMBER(L$3),INDIRECT("'I.A. + Fasce'!B" &amp; 310 + MATCH(L$3+COUNTIF($A$3:$L$3,"&gt;0")*($M26-1),INDIRECT(ADDRESS(311,22+MATCH('I.A. + Fasce'!$P$27,'I.A. + Fasce'!$W$6:$AA$6,0),1,1,"I.A. + Fasce") &amp; ":" &amp; ADDRESS(531,22+MATCH('I.A. + Fasce'!$P$27,'I.A. + Fasce'!$W$6:$AA$6,0),1,1)),0)),"")</f>
        <v/>
      </c>
      <c r="M26" s="27">
        <v>4</v>
      </c>
      <c r="U26" s="35" t="str">
        <f ca="1">Rose!W5</f>
        <v/>
      </c>
      <c r="V26" s="35" t="str">
        <f ca="1">Rose!H15</f>
        <v/>
      </c>
      <c r="W26" s="35" t="str">
        <f ca="1">Rose!H31</f>
        <v/>
      </c>
      <c r="X26" s="35" t="str">
        <f ca="1">Rose!H51</f>
        <v/>
      </c>
      <c r="Y26" s="35"/>
    </row>
    <row r="27" spans="1:25">
      <c r="A27" s="28" t="str">
        <f ca="1">IF(ISNUMBER(A$3),INDIRECT("'I.A. + Fasce'!B" &amp; 310 + MATCH(A$3+COUNTIF($A$3:$L$3,"&gt;0")*($M27-1),INDIRECT(ADDRESS(311,22+MATCH('I.A. + Fasce'!$P$27,'I.A. + Fasce'!$W$6:$AA$6,0),1,1,"I.A. + Fasce") &amp; ":" &amp; ADDRESS(531,22+MATCH('I.A. + Fasce'!$P$27,'I.A. + Fasce'!$W$6:$AA$6,0),1,1)),0)),"")</f>
        <v>BERTOLACCI</v>
      </c>
      <c r="B27" s="28" t="str">
        <f ca="1">IF(ISNUMBER(B$3),INDIRECT("'I.A. + Fasce'!B" &amp; 310 + MATCH(B$3+COUNTIF($A$3:$L$3,"&gt;0")*($M27-1),INDIRECT(ADDRESS(311,22+MATCH('I.A. + Fasce'!$P$27,'I.A. + Fasce'!$W$6:$AA$6,0),1,1,"I.A. + Fasce") &amp; ":" &amp; ADDRESS(531,22+MATCH('I.A. + Fasce'!$P$27,'I.A. + Fasce'!$W$6:$AA$6,0),1,1)),0)),"")</f>
        <v>JOAO MARIO</v>
      </c>
      <c r="C27" s="28" t="str">
        <f ca="1">IF(ISNUMBER(C$3),INDIRECT("'I.A. + Fasce'!B" &amp; 310 + MATCH(C$3+COUNTIF($A$3:$L$3,"&gt;0")*($M27-1),INDIRECT(ADDRESS(311,22+MATCH('I.A. + Fasce'!$P$27,'I.A. + Fasce'!$W$6:$AA$6,0),1,1,"I.A. + Fasce") &amp; ":" &amp; ADDRESS(531,22+MATCH('I.A. + Fasce'!$P$27,'I.A. + Fasce'!$W$6:$AA$6,0),1,1)),0)),"")</f>
        <v>LAXALT</v>
      </c>
      <c r="D27" s="28" t="str">
        <f ca="1">IF(ISNUMBER(D$3),INDIRECT("'I.A. + Fasce'!B" &amp; 310 + MATCH(D$3+COUNTIF($A$3:$L$3,"&gt;0")*($M27-1),INDIRECT(ADDRESS(311,22+MATCH('I.A. + Fasce'!$P$27,'I.A. + Fasce'!$W$6:$AA$6,0),1,1,"I.A. + Fasce") &amp; ":" &amp; ADDRESS(531,22+MATCH('I.A. + Fasce'!$P$27,'I.A. + Fasce'!$W$6:$AA$6,0),1,1)),0)),"")</f>
        <v>TORREIRA</v>
      </c>
      <c r="E27" s="28" t="str">
        <f ca="1">IF(ISNUMBER(E$3),INDIRECT("'I.A. + Fasce'!B" &amp; 310 + MATCH(E$3+COUNTIF($A$3:$L$3,"&gt;0")*($M27-1),INDIRECT(ADDRESS(311,22+MATCH('I.A. + Fasce'!$P$27,'I.A. + Fasce'!$W$6:$AA$6,0),1,1,"I.A. + Fasce") &amp; ":" &amp; ADDRESS(531,22+MATCH('I.A. + Fasce'!$P$27,'I.A. + Fasce'!$W$6:$AA$6,0),1,1)),0)),"")</f>
        <v>VECINO</v>
      </c>
      <c r="F27" s="28" t="str">
        <f ca="1">IF(ISNUMBER(F$3),INDIRECT("'I.A. + Fasce'!B" &amp; 310 + MATCH(F$3+COUNTIF($A$3:$L$3,"&gt;0")*($M27-1),INDIRECT(ADDRESS(311,22+MATCH('I.A. + Fasce'!$P$27,'I.A. + Fasce'!$W$6:$AA$6,0),1,1,"I.A. + Fasce") &amp; ":" &amp; ADDRESS(531,22+MATCH('I.A. + Fasce'!$P$27,'I.A. + Fasce'!$W$6:$AA$6,0),1,1)),0)),"")</f>
        <v>CASTRO</v>
      </c>
      <c r="G27" s="28" t="str">
        <f ca="1">IF(ISNUMBER(G$3),INDIRECT("'I.A. + Fasce'!B" &amp; 310 + MATCH(G$3+COUNTIF($A$3:$L$3,"&gt;0")*($M27-1),INDIRECT(ADDRESS(311,22+MATCH('I.A. + Fasce'!$P$27,'I.A. + Fasce'!$W$6:$AA$6,0),1,1,"I.A. + Fasce") &amp; ":" &amp; ADDRESS(531,22+MATCH('I.A. + Fasce'!$P$27,'I.A. + Fasce'!$W$6:$AA$6,0),1,1)),0)),"")</f>
        <v>CICIRETTI</v>
      </c>
      <c r="H27" s="28" t="str">
        <f ca="1">IF(ISNUMBER(H$3),INDIRECT("'I.A. + Fasce'!B" &amp; 310 + MATCH(H$3+COUNTIF($A$3:$L$3,"&gt;0")*($M27-1),INDIRECT(ADDRESS(311,22+MATCH('I.A. + Fasce'!$P$27,'I.A. + Fasce'!$W$6:$AA$6,0),1,1,"I.A. + Fasce") &amp; ":" &amp; ADDRESS(531,22+MATCH('I.A. + Fasce'!$P$27,'I.A. + Fasce'!$W$6:$AA$6,0),1,1)),0)),"")</f>
        <v>FOFANA</v>
      </c>
      <c r="I27" s="28" t="str">
        <f ca="1">IF(ISNUMBER(I$3),INDIRECT("'I.A. + Fasce'!B" &amp; 310 + MATCH(I$3+COUNTIF($A$3:$L$3,"&gt;0")*($M27-1),INDIRECT(ADDRESS(311,22+MATCH('I.A. + Fasce'!$P$27,'I.A. + Fasce'!$W$6:$AA$6,0),1,1,"I.A. + Fasce") &amp; ":" &amp; ADDRESS(531,22+MATCH('I.A. + Fasce'!$P$27,'I.A. + Fasce'!$W$6:$AA$6,0),1,1)),0)),"")</f>
        <v/>
      </c>
      <c r="J27" s="28" t="str">
        <f ca="1">IF(ISNUMBER(J$3),INDIRECT("'I.A. + Fasce'!B" &amp; 310 + MATCH(J$3+COUNTIF($A$3:$L$3,"&gt;0")*($M27-1),INDIRECT(ADDRESS(311,22+MATCH('I.A. + Fasce'!$P$27,'I.A. + Fasce'!$W$6:$AA$6,0),1,1,"I.A. + Fasce") &amp; ":" &amp; ADDRESS(531,22+MATCH('I.A. + Fasce'!$P$27,'I.A. + Fasce'!$W$6:$AA$6,0),1,1)),0)),"")</f>
        <v/>
      </c>
      <c r="K27" s="28" t="str">
        <f ca="1">IF(ISNUMBER(K$3),INDIRECT("'I.A. + Fasce'!B" &amp; 310 + MATCH(K$3+COUNTIF($A$3:$L$3,"&gt;0")*($M27-1),INDIRECT(ADDRESS(311,22+MATCH('I.A. + Fasce'!$P$27,'I.A. + Fasce'!$W$6:$AA$6,0),1,1,"I.A. + Fasce") &amp; ":" &amp; ADDRESS(531,22+MATCH('I.A. + Fasce'!$P$27,'I.A. + Fasce'!$W$6:$AA$6,0),1,1)),0)),"")</f>
        <v/>
      </c>
      <c r="L27" s="28" t="str">
        <f ca="1">IF(ISNUMBER(L$3),INDIRECT("'I.A. + Fasce'!B" &amp; 310 + MATCH(L$3+COUNTIF($A$3:$L$3,"&gt;0")*($M27-1),INDIRECT(ADDRESS(311,22+MATCH('I.A. + Fasce'!$P$27,'I.A. + Fasce'!$W$6:$AA$6,0),1,1,"I.A. + Fasce") &amp; ":" &amp; ADDRESS(531,22+MATCH('I.A. + Fasce'!$P$27,'I.A. + Fasce'!$W$6:$AA$6,0),1,1)),0)),"")</f>
        <v/>
      </c>
      <c r="M27" s="27">
        <v>5</v>
      </c>
      <c r="U27" s="35" t="str">
        <f ca="1">Rose!W6</f>
        <v/>
      </c>
      <c r="V27" s="35" t="str">
        <f ca="1">Rose!H16</f>
        <v/>
      </c>
      <c r="W27" s="35" t="str">
        <f ca="1">Rose!H32</f>
        <v/>
      </c>
      <c r="X27" s="35" t="str">
        <f ca="1">Rose!H52</f>
        <v/>
      </c>
      <c r="Y27" s="35"/>
    </row>
    <row r="28" spans="1:25">
      <c r="A28" s="28" t="str">
        <f ca="1">IF(ISNUMBER(A$3),INDIRECT("'I.A. + Fasce'!B" &amp; 310 + MATCH(A$3+COUNTIF($A$3:$L$3,"&gt;0")*($M28-1),INDIRECT(ADDRESS(311,22+MATCH('I.A. + Fasce'!$P$27,'I.A. + Fasce'!$W$6:$AA$6,0),1,1,"I.A. + Fasce") &amp; ":" &amp; ADDRESS(531,22+MATCH('I.A. + Fasce'!$P$27,'I.A. + Fasce'!$W$6:$AA$6,0),1,1)),0)),"")</f>
        <v>JANKTO</v>
      </c>
      <c r="B28" s="28" t="str">
        <f ca="1">IF(ISNUMBER(B$3),INDIRECT("'I.A. + Fasce'!B" &amp; 310 + MATCH(B$3+COUNTIF($A$3:$L$3,"&gt;0")*($M28-1),INDIRECT(ADDRESS(311,22+MATCH('I.A. + Fasce'!$P$27,'I.A. + Fasce'!$W$6:$AA$6,0),1,1,"I.A. + Fasce") &amp; ":" &amp; ADDRESS(531,22+MATCH('I.A. + Fasce'!$P$27,'I.A. + Fasce'!$W$6:$AA$6,0),1,1)),0)),"")</f>
        <v>SAPONARA</v>
      </c>
      <c r="C28" s="28" t="str">
        <f ca="1">IF(ISNUMBER(C$3),INDIRECT("'I.A. + Fasce'!B" &amp; 310 + MATCH(C$3+COUNTIF($A$3:$L$3,"&gt;0")*($M28-1),INDIRECT(ADDRESS(311,22+MATCH('I.A. + Fasce'!$P$27,'I.A. + Fasce'!$W$6:$AA$6,0),1,1,"I.A. + Fasce") &amp; ":" &amp; ADDRESS(531,22+MATCH('I.A. + Fasce'!$P$27,'I.A. + Fasce'!$W$6:$AA$6,0),1,1)),0)),"")</f>
        <v>STOIAN</v>
      </c>
      <c r="D28" s="28" t="str">
        <f ca="1">IF(ISNUMBER(D$3),INDIRECT("'I.A. + Fasce'!B" &amp; 310 + MATCH(D$3+COUNTIF($A$3:$L$3,"&gt;0")*($M28-1),INDIRECT(ADDRESS(311,22+MATCH('I.A. + Fasce'!$P$27,'I.A. + Fasce'!$W$6:$AA$6,0),1,1,"I.A. + Fasce") &amp; ":" &amp; ADDRESS(531,22+MATCH('I.A. + Fasce'!$P$27,'I.A. + Fasce'!$W$6:$AA$6,0),1,1)),0)),"")</f>
        <v>ROHDEN</v>
      </c>
      <c r="E28" s="28" t="str">
        <f ca="1">IF(ISNUMBER(E$3),INDIRECT("'I.A. + Fasce'!B" &amp; 310 + MATCH(E$3+COUNTIF($A$3:$L$3,"&gt;0")*($M28-1),INDIRECT(ADDRESS(311,22+MATCH('I.A. + Fasce'!$P$27,'I.A. + Fasce'!$W$6:$AA$6,0),1,1,"I.A. + Fasce") &amp; ":" &amp; ADDRESS(531,22+MATCH('I.A. + Fasce'!$P$27,'I.A. + Fasce'!$W$6:$AA$6,0),1,1)),0)),"")</f>
        <v>LAZOVIC</v>
      </c>
      <c r="F28" s="28" t="str">
        <f ca="1">IF(ISNUMBER(F$3),INDIRECT("'I.A. + Fasce'!B" &amp; 310 + MATCH(F$3+COUNTIF($A$3:$L$3,"&gt;0")*($M28-1),INDIRECT(ADDRESS(311,22+MATCH('I.A. + Fasce'!$P$27,'I.A. + Fasce'!$W$6:$AA$6,0),1,1,"I.A. + Fasce") &amp; ":" &amp; ADDRESS(531,22+MATCH('I.A. + Fasce'!$P$27,'I.A. + Fasce'!$W$6:$AA$6,0),1,1)),0)),"")</f>
        <v>BARELLA</v>
      </c>
      <c r="G28" s="28" t="str">
        <f ca="1">IF(ISNUMBER(G$3),INDIRECT("'I.A. + Fasce'!B" &amp; 310 + MATCH(G$3+COUNTIF($A$3:$L$3,"&gt;0")*($M28-1),INDIRECT(ADDRESS(311,22+MATCH('I.A. + Fasce'!$P$27,'I.A. + Fasce'!$W$6:$AA$6,0),1,1,"I.A. + Fasce") &amp; ":" &amp; ADDRESS(531,22+MATCH('I.A. + Fasce'!$P$27,'I.A. + Fasce'!$W$6:$AA$6,0),1,1)),0)),"")</f>
        <v>BARBERIS</v>
      </c>
      <c r="H28" s="28" t="str">
        <f ca="1">IF(ISNUMBER(H$3),INDIRECT("'I.A. + Fasce'!B" &amp; 310 + MATCH(H$3+COUNTIF($A$3:$L$3,"&gt;0")*($M28-1),INDIRECT(ADDRESS(311,22+MATCH('I.A. + Fasce'!$P$27,'I.A. + Fasce'!$W$6:$AA$6,0),1,1,"I.A. + Fasce") &amp; ":" &amp; ADDRESS(531,22+MATCH('I.A. + Fasce'!$P$27,'I.A. + Fasce'!$W$6:$AA$6,0),1,1)),0)),"")</f>
        <v>CIGARINI</v>
      </c>
      <c r="I28" s="28" t="str">
        <f ca="1">IF(ISNUMBER(I$3),INDIRECT("'I.A. + Fasce'!B" &amp; 310 + MATCH(I$3+COUNTIF($A$3:$L$3,"&gt;0")*($M28-1),INDIRECT(ADDRESS(311,22+MATCH('I.A. + Fasce'!$P$27,'I.A. + Fasce'!$W$6:$AA$6,0),1,1,"I.A. + Fasce") &amp; ":" &amp; ADDRESS(531,22+MATCH('I.A. + Fasce'!$P$27,'I.A. + Fasce'!$W$6:$AA$6,0),1,1)),0)),"")</f>
        <v/>
      </c>
      <c r="J28" s="28" t="str">
        <f ca="1">IF(ISNUMBER(J$3),INDIRECT("'I.A. + Fasce'!B" &amp; 310 + MATCH(J$3+COUNTIF($A$3:$L$3,"&gt;0")*($M28-1),INDIRECT(ADDRESS(311,22+MATCH('I.A. + Fasce'!$P$27,'I.A. + Fasce'!$W$6:$AA$6,0),1,1,"I.A. + Fasce") &amp; ":" &amp; ADDRESS(531,22+MATCH('I.A. + Fasce'!$P$27,'I.A. + Fasce'!$W$6:$AA$6,0),1,1)),0)),"")</f>
        <v/>
      </c>
      <c r="K28" s="28" t="str">
        <f ca="1">IF(ISNUMBER(K$3),INDIRECT("'I.A. + Fasce'!B" &amp; 310 + MATCH(K$3+COUNTIF($A$3:$L$3,"&gt;0")*($M28-1),INDIRECT(ADDRESS(311,22+MATCH('I.A. + Fasce'!$P$27,'I.A. + Fasce'!$W$6:$AA$6,0),1,1,"I.A. + Fasce") &amp; ":" &amp; ADDRESS(531,22+MATCH('I.A. + Fasce'!$P$27,'I.A. + Fasce'!$W$6:$AA$6,0),1,1)),0)),"")</f>
        <v/>
      </c>
      <c r="L28" s="28" t="str">
        <f ca="1">IF(ISNUMBER(L$3),INDIRECT("'I.A. + Fasce'!B" &amp; 310 + MATCH(L$3+COUNTIF($A$3:$L$3,"&gt;0")*($M28-1),INDIRECT(ADDRESS(311,22+MATCH('I.A. + Fasce'!$P$27,'I.A. + Fasce'!$W$6:$AA$6,0),1,1,"I.A. + Fasce") &amp; ":" &amp; ADDRESS(531,22+MATCH('I.A. + Fasce'!$P$27,'I.A. + Fasce'!$W$6:$AA$6,0),1,1)),0)),"")</f>
        <v/>
      </c>
      <c r="M28" s="27">
        <v>6</v>
      </c>
      <c r="U28" s="35" t="str">
        <f ca="1">Rose!W7</f>
        <v/>
      </c>
      <c r="V28" s="35" t="str">
        <f ca="1">Rose!H17</f>
        <v/>
      </c>
      <c r="W28" s="35" t="str">
        <f ca="1">Rose!H33</f>
        <v/>
      </c>
      <c r="X28" s="35" t="str">
        <f ca="1">Rose!H53</f>
        <v/>
      </c>
      <c r="Y28" s="35"/>
    </row>
    <row r="29" spans="1:25">
      <c r="A29" s="28" t="str">
        <f ca="1">IF(ISNUMBER(A$3),INDIRECT("'I.A. + Fasce'!B" &amp; 310 + MATCH(A$3+COUNTIF($A$3:$L$3,"&gt;0")*($M29-1),INDIRECT(ADDRESS(311,22+MATCH('I.A. + Fasce'!$P$27,'I.A. + Fasce'!$W$6:$AA$6,0),1,1,"I.A. + Fasce") &amp; ":" &amp; ADDRESS(531,22+MATCH('I.A. + Fasce'!$P$27,'I.A. + Fasce'!$W$6:$AA$6,0),1,1)),0)),"")</f>
        <v>D'ALESSANDRO</v>
      </c>
      <c r="B29" s="28" t="str">
        <f ca="1">IF(ISNUMBER(B$3),INDIRECT("'I.A. + Fasce'!B" &amp; 310 + MATCH(B$3+COUNTIF($A$3:$L$3,"&gt;0")*($M29-1),INDIRECT(ADDRESS(311,22+MATCH('I.A. + Fasce'!$P$27,'I.A. + Fasce'!$W$6:$AA$6,0),1,1,"I.A. + Fasce") &amp; ":" &amp; ADDRESS(531,22+MATCH('I.A. + Fasce'!$P$27,'I.A. + Fasce'!$W$6:$AA$6,0),1,1)),0)),"")</f>
        <v>BENASSI</v>
      </c>
      <c r="C29" s="28" t="str">
        <f ca="1">IF(ISNUMBER(C$3),INDIRECT("'I.A. + Fasce'!B" &amp; 310 + MATCH(C$3+COUNTIF($A$3:$L$3,"&gt;0")*($M29-1),INDIRECT(ADDRESS(311,22+MATCH('I.A. + Fasce'!$P$27,'I.A. + Fasce'!$W$6:$AA$6,0),1,1,"I.A. + Fasce") &amp; ":" &amp; ADDRESS(531,22+MATCH('I.A. + Fasce'!$P$27,'I.A. + Fasce'!$W$6:$AA$6,0),1,1)),0)),"")</f>
        <v>BESSA</v>
      </c>
      <c r="D29" s="28" t="str">
        <f ca="1">IF(ISNUMBER(D$3),INDIRECT("'I.A. + Fasce'!B" &amp; 310 + MATCH(D$3+COUNTIF($A$3:$L$3,"&gt;0")*($M29-1),INDIRECT(ADDRESS(311,22+MATCH('I.A. + Fasce'!$P$27,'I.A. + Fasce'!$W$6:$AA$6,0),1,1,"I.A. + Fasce") &amp; ":" &amp; ADDRESS(531,22+MATCH('I.A. + Fasce'!$P$27,'I.A. + Fasce'!$W$6:$AA$6,0),1,1)),0)),"")</f>
        <v>GAGLIARDINI</v>
      </c>
      <c r="E29" s="28" t="str">
        <f ca="1">IF(ISNUMBER(E$3),INDIRECT("'I.A. + Fasce'!B" &amp; 310 + MATCH(E$3+COUNTIF($A$3:$L$3,"&gt;0")*($M29-1),INDIRECT(ADDRESS(311,22+MATCH('I.A. + Fasce'!$P$27,'I.A. + Fasce'!$W$6:$AA$6,0),1,1,"I.A. + Fasce") &amp; ":" &amp; ADDRESS(531,22+MATCH('I.A. + Fasce'!$P$27,'I.A. + Fasce'!$W$6:$AA$6,0),1,1)),0)),"")</f>
        <v>BERENGUER</v>
      </c>
      <c r="F29" s="28" t="str">
        <f ca="1">IF(ISNUMBER(F$3),INDIRECT("'I.A. + Fasce'!B" &amp; 310 + MATCH(F$3+COUNTIF($A$3:$L$3,"&gt;0")*($M29-1),INDIRECT(ADDRESS(311,22+MATCH('I.A. + Fasce'!$P$27,'I.A. + Fasce'!$W$6:$AA$6,0),1,1,"I.A. + Fasce") &amp; ":" &amp; ADDRESS(531,22+MATCH('I.A. + Fasce'!$P$27,'I.A. + Fasce'!$W$6:$AA$6,0),1,1)),0)),"")</f>
        <v>GIL DIAS</v>
      </c>
      <c r="G29" s="28" t="str">
        <f ca="1">IF(ISNUMBER(G$3),INDIRECT("'I.A. + Fasce'!B" &amp; 310 + MATCH(G$3+COUNTIF($A$3:$L$3,"&gt;0")*($M29-1),INDIRECT(ADDRESS(311,22+MATCH('I.A. + Fasce'!$P$27,'I.A. + Fasce'!$W$6:$AA$6,0),1,1,"I.A. + Fasce") &amp; ":" &amp; ADDRESS(531,22+MATCH('I.A. + Fasce'!$P$27,'I.A. + Fasce'!$W$6:$AA$6,0),1,1)),0)),"")</f>
        <v>JORGINHO</v>
      </c>
      <c r="H29" s="28" t="str">
        <f ca="1">IF(ISNUMBER(H$3),INDIRECT("'I.A. + Fasce'!B" &amp; 310 + MATCH(H$3+COUNTIF($A$3:$L$3,"&gt;0")*($M29-1),INDIRECT(ADDRESS(311,22+MATCH('I.A. + Fasce'!$P$27,'I.A. + Fasce'!$W$6:$AA$6,0),1,1,"I.A. + Fasce") &amp; ":" &amp; ADDRESS(531,22+MATCH('I.A. + Fasce'!$P$27,'I.A. + Fasce'!$W$6:$AA$6,0),1,1)),0)),"")</f>
        <v>ILICIC</v>
      </c>
      <c r="I29" s="28" t="str">
        <f ca="1">IF(ISNUMBER(I$3),INDIRECT("'I.A. + Fasce'!B" &amp; 310 + MATCH(I$3+COUNTIF($A$3:$L$3,"&gt;0")*($M29-1),INDIRECT(ADDRESS(311,22+MATCH('I.A. + Fasce'!$P$27,'I.A. + Fasce'!$W$6:$AA$6,0),1,1,"I.A. + Fasce") &amp; ":" &amp; ADDRESS(531,22+MATCH('I.A. + Fasce'!$P$27,'I.A. + Fasce'!$W$6:$AA$6,0),1,1)),0)),"")</f>
        <v/>
      </c>
      <c r="J29" s="28" t="str">
        <f ca="1">IF(ISNUMBER(J$3),INDIRECT("'I.A. + Fasce'!B" &amp; 310 + MATCH(J$3+COUNTIF($A$3:$L$3,"&gt;0")*($M29-1),INDIRECT(ADDRESS(311,22+MATCH('I.A. + Fasce'!$P$27,'I.A. + Fasce'!$W$6:$AA$6,0),1,1,"I.A. + Fasce") &amp; ":" &amp; ADDRESS(531,22+MATCH('I.A. + Fasce'!$P$27,'I.A. + Fasce'!$W$6:$AA$6,0),1,1)),0)),"")</f>
        <v/>
      </c>
      <c r="K29" s="28" t="str">
        <f ca="1">IF(ISNUMBER(K$3),INDIRECT("'I.A. + Fasce'!B" &amp; 310 + MATCH(K$3+COUNTIF($A$3:$L$3,"&gt;0")*($M29-1),INDIRECT(ADDRESS(311,22+MATCH('I.A. + Fasce'!$P$27,'I.A. + Fasce'!$W$6:$AA$6,0),1,1,"I.A. + Fasce") &amp; ":" &amp; ADDRESS(531,22+MATCH('I.A. + Fasce'!$P$27,'I.A. + Fasce'!$W$6:$AA$6,0),1,1)),0)),"")</f>
        <v/>
      </c>
      <c r="L29" s="28" t="str">
        <f ca="1">IF(ISNUMBER(L$3),INDIRECT("'I.A. + Fasce'!B" &amp; 310 + MATCH(L$3+COUNTIF($A$3:$L$3,"&gt;0")*($M29-1),INDIRECT(ADDRESS(311,22+MATCH('I.A. + Fasce'!$P$27,'I.A. + Fasce'!$W$6:$AA$6,0),1,1,"I.A. + Fasce") &amp; ":" &amp; ADDRESS(531,22+MATCH('I.A. + Fasce'!$P$27,'I.A. + Fasce'!$W$6:$AA$6,0),1,1)),0)),"")</f>
        <v/>
      </c>
      <c r="M29" s="27">
        <v>7</v>
      </c>
      <c r="U29" s="35" t="str">
        <f ca="1">Rose!Z5</f>
        <v/>
      </c>
      <c r="V29" s="35" t="str">
        <f ca="1">Rose!H18</f>
        <v/>
      </c>
      <c r="W29" s="35" t="str">
        <f ca="1">Rose!H34</f>
        <v/>
      </c>
      <c r="X29" s="35" t="str">
        <f ca="1">Rose!K46</f>
        <v/>
      </c>
      <c r="Y29" s="35"/>
    </row>
    <row r="30" spans="1:25">
      <c r="A30" s="28" t="str">
        <f ca="1">IF(ISNUMBER(A$3),INDIRECT("'I.A. + Fasce'!B" &amp; 310 + MATCH(A$3+COUNTIF($A$3:$L$3,"&gt;0")*($M30-1),INDIRECT(ADDRESS(311,22+MATCH('I.A. + Fasce'!$P$27,'I.A. + Fasce'!$W$6:$AA$6,0),1,1,"I.A. + Fasce") &amp; ":" &amp; ADDRESS(531,22+MATCH('I.A. + Fasce'!$P$27,'I.A. + Fasce'!$W$6:$AA$6,0),1,1)),0)),"")</f>
        <v>MURGIA</v>
      </c>
      <c r="B30" s="28" t="str">
        <f ca="1">IF(ISNUMBER(B$3),INDIRECT("'I.A. + Fasce'!B" &amp; 310 + MATCH(B$3+COUNTIF($A$3:$L$3,"&gt;0")*($M30-1),INDIRECT(ADDRESS(311,22+MATCH('I.A. + Fasce'!$P$27,'I.A. + Fasce'!$W$6:$AA$6,0),1,1,"I.A. + Fasce") &amp; ":" &amp; ADDRESS(531,22+MATCH('I.A. + Fasce'!$P$27,'I.A. + Fasce'!$W$6:$AA$6,0),1,1)),0)),"")</f>
        <v>LUIS ALBERTO</v>
      </c>
      <c r="C30" s="28" t="str">
        <f ca="1">IF(ISNUMBER(C$3),INDIRECT("'I.A. + Fasce'!B" &amp; 310 + MATCH(C$3+COUNTIF($A$3:$L$3,"&gt;0")*($M30-1),INDIRECT(ADDRESS(311,22+MATCH('I.A. + Fasce'!$P$27,'I.A. + Fasce'!$W$6:$AA$6,0),1,1,"I.A. + Fasce") &amp; ":" &amp; ADDRESS(531,22+MATCH('I.A. + Fasce'!$P$27,'I.A. + Fasce'!$W$6:$AA$6,0),1,1)),0)),"")</f>
        <v>MORA</v>
      </c>
      <c r="D30" s="28" t="str">
        <f ca="1">IF(ISNUMBER(D$3),INDIRECT("'I.A. + Fasce'!B" &amp; 310 + MATCH(D$3+COUNTIF($A$3:$L$3,"&gt;0")*($M30-1),INDIRECT(ADDRESS(311,22+MATCH('I.A. + Fasce'!$P$27,'I.A. + Fasce'!$W$6:$AA$6,0),1,1,"I.A. + Fasce") &amp; ":" &amp; ADDRESS(531,22+MATCH('I.A. + Fasce'!$P$27,'I.A. + Fasce'!$W$6:$AA$6,0),1,1)),0)),"")</f>
        <v>LUCAS LEIVA</v>
      </c>
      <c r="E30" s="28" t="str">
        <f ca="1">IF(ISNUMBER(E$3),INDIRECT("'I.A. + Fasce'!B" &amp; 310 + MATCH(E$3+COUNTIF($A$3:$L$3,"&gt;0")*($M30-1),INDIRECT(ADDRESS(311,22+MATCH('I.A. + Fasce'!$P$27,'I.A. + Fasce'!$W$6:$AA$6,0),1,1,"I.A. + Fasce") &amp; ":" &amp; ADDRESS(531,22+MATCH('I.A. + Fasce'!$P$27,'I.A. + Fasce'!$W$6:$AA$6,0),1,1)),0)),"")</f>
        <v>DIAWARA</v>
      </c>
      <c r="F30" s="28" t="str">
        <f ca="1">IF(ISNUMBER(F$3),INDIRECT("'I.A. + Fasce'!B" &amp; 310 + MATCH(F$3+COUNTIF($A$3:$L$3,"&gt;0")*($M30-1),INDIRECT(ADDRESS(311,22+MATCH('I.A. + Fasce'!$P$27,'I.A. + Fasce'!$W$6:$AA$6,0),1,1,"I.A. + Fasce") &amp; ":" &amp; ADDRESS(531,22+MATCH('I.A. + Fasce'!$P$27,'I.A. + Fasce'!$W$6:$AA$6,0),1,1)),0)),"")</f>
        <v>VERETOUT</v>
      </c>
      <c r="G30" s="28" t="str">
        <f ca="1">IF(ISNUMBER(G$3),INDIRECT("'I.A. + Fasce'!B" &amp; 310 + MATCH(G$3+COUNTIF($A$3:$L$3,"&gt;0")*($M30-1),INDIRECT(ADDRESS(311,22+MATCH('I.A. + Fasce'!$P$27,'I.A. + Fasce'!$W$6:$AA$6,0),1,1,"I.A. + Fasce") &amp; ":" &amp; ADDRESS(531,22+MATCH('I.A. + Fasce'!$P$27,'I.A. + Fasce'!$W$6:$AA$6,0),1,1)),0)),"")</f>
        <v>BADELJ</v>
      </c>
      <c r="H30" s="28" t="str">
        <f ca="1">IF(ISNUMBER(H$3),INDIRECT("'I.A. + Fasce'!B" &amp; 310 + MATCH(H$3+COUNTIF($A$3:$L$3,"&gt;0")*($M30-1),INDIRECT(ADDRESS(311,22+MATCH('I.A. + Fasce'!$P$27,'I.A. + Fasce'!$W$6:$AA$6,0),1,1,"I.A. + Fasce") &amp; ":" &amp; ADDRESS(531,22+MATCH('I.A. + Fasce'!$P$27,'I.A. + Fasce'!$W$6:$AA$6,0),1,1)),0)),"")</f>
        <v>DUNCAN</v>
      </c>
      <c r="I30" s="28" t="str">
        <f ca="1">IF(ISNUMBER(I$3),INDIRECT("'I.A. + Fasce'!B" &amp; 310 + MATCH(I$3+COUNTIF($A$3:$L$3,"&gt;0")*($M30-1),INDIRECT(ADDRESS(311,22+MATCH('I.A. + Fasce'!$P$27,'I.A. + Fasce'!$W$6:$AA$6,0),1,1,"I.A. + Fasce") &amp; ":" &amp; ADDRESS(531,22+MATCH('I.A. + Fasce'!$P$27,'I.A. + Fasce'!$W$6:$AA$6,0),1,1)),0)),"")</f>
        <v/>
      </c>
      <c r="J30" s="28" t="str">
        <f ca="1">IF(ISNUMBER(J$3),INDIRECT("'I.A. + Fasce'!B" &amp; 310 + MATCH(J$3+COUNTIF($A$3:$L$3,"&gt;0")*($M30-1),INDIRECT(ADDRESS(311,22+MATCH('I.A. + Fasce'!$P$27,'I.A. + Fasce'!$W$6:$AA$6,0),1,1,"I.A. + Fasce") &amp; ":" &amp; ADDRESS(531,22+MATCH('I.A. + Fasce'!$P$27,'I.A. + Fasce'!$W$6:$AA$6,0),1,1)),0)),"")</f>
        <v/>
      </c>
      <c r="K30" s="28" t="str">
        <f ca="1">IF(ISNUMBER(K$3),INDIRECT("'I.A. + Fasce'!B" &amp; 310 + MATCH(K$3+COUNTIF($A$3:$L$3,"&gt;0")*($M30-1),INDIRECT(ADDRESS(311,22+MATCH('I.A. + Fasce'!$P$27,'I.A. + Fasce'!$W$6:$AA$6,0),1,1,"I.A. + Fasce") &amp; ":" &amp; ADDRESS(531,22+MATCH('I.A. + Fasce'!$P$27,'I.A. + Fasce'!$W$6:$AA$6,0),1,1)),0)),"")</f>
        <v/>
      </c>
      <c r="L30" s="28" t="str">
        <f ca="1">IF(ISNUMBER(L$3),INDIRECT("'I.A. + Fasce'!B" &amp; 310 + MATCH(L$3+COUNTIF($A$3:$L$3,"&gt;0")*($M30-1),INDIRECT(ADDRESS(311,22+MATCH('I.A. + Fasce'!$P$27,'I.A. + Fasce'!$W$6:$AA$6,0),1,1,"I.A. + Fasce") &amp; ":" &amp; ADDRESS(531,22+MATCH('I.A. + Fasce'!$P$27,'I.A. + Fasce'!$W$6:$AA$6,0),1,1)),0)),"")</f>
        <v/>
      </c>
      <c r="M30" s="27">
        <v>8</v>
      </c>
      <c r="U30" s="35" t="str">
        <f ca="1">Rose!Z6</f>
        <v/>
      </c>
      <c r="V30" s="35" t="str">
        <f ca="1">Rose!H19</f>
        <v/>
      </c>
      <c r="W30" s="35" t="str">
        <f ca="1">Rose!H35</f>
        <v/>
      </c>
      <c r="X30" s="35" t="str">
        <f ca="1">Rose!K47</f>
        <v/>
      </c>
      <c r="Y30" s="35"/>
    </row>
    <row r="31" spans="1:25">
      <c r="A31" s="28" t="str">
        <f ca="1">IF(ISNUMBER(A$3),INDIRECT("'I.A. + Fasce'!B" &amp; 310 + MATCH(A$3+COUNTIF($A$3:$L$3,"&gt;0")*($M31-1),INDIRECT(ADDRESS(311,22+MATCH('I.A. + Fasce'!$P$27,'I.A. + Fasce'!$W$6:$AA$6,0),1,1,"I.A. + Fasce") &amp; ":" &amp; ADDRESS(531,22+MATCH('I.A. + Fasce'!$P$27,'I.A. + Fasce'!$W$6:$AA$6,0),1,1)),0)),"")</f>
        <v>MARCHISIO</v>
      </c>
      <c r="B31" s="28" t="str">
        <f ca="1">IF(ISNUMBER(B$3),INDIRECT("'I.A. + Fasce'!B" &amp; 310 + MATCH(B$3+COUNTIF($A$3:$L$3,"&gt;0")*($M31-1),INDIRECT(ADDRESS(311,22+MATCH('I.A. + Fasce'!$P$27,'I.A. + Fasce'!$W$6:$AA$6,0),1,1,"I.A. + Fasce") &amp; ":" &amp; ADDRESS(531,22+MATCH('I.A. + Fasce'!$P$27,'I.A. + Fasce'!$W$6:$AA$6,0),1,1)),0)),"")</f>
        <v>RINCON</v>
      </c>
      <c r="C31" s="28" t="str">
        <f ca="1">IF(ISNUMBER(C$3),INDIRECT("'I.A. + Fasce'!B" &amp; 310 + MATCH(C$3+COUNTIF($A$3:$L$3,"&gt;0")*($M31-1),INDIRECT(ADDRESS(311,22+MATCH('I.A. + Fasce'!$P$27,'I.A. + Fasce'!$W$6:$AA$6,0),1,1,"I.A. + Fasce") &amp; ":" &amp; ADDRESS(531,22+MATCH('I.A. + Fasce'!$P$27,'I.A. + Fasce'!$W$6:$AA$6,0),1,1)),0)),"")</f>
        <v>CRISTANTE</v>
      </c>
      <c r="D31" s="28" t="str">
        <f ca="1">IF(ISNUMBER(D$3),INDIRECT("'I.A. + Fasce'!B" &amp; 310 + MATCH(D$3+COUNTIF($A$3:$L$3,"&gt;0")*($M31-1),INDIRECT(ADDRESS(311,22+MATCH('I.A. + Fasce'!$P$27,'I.A. + Fasce'!$W$6:$AA$6,0),1,1,"I.A. + Fasce") &amp; ":" &amp; ADDRESS(531,22+MATCH('I.A. + Fasce'!$P$27,'I.A. + Fasce'!$W$6:$AA$6,0),1,1)),0)),"")</f>
        <v>DE ROON</v>
      </c>
      <c r="E31" s="28" t="str">
        <f ca="1">IF(ISNUMBER(E$3),INDIRECT("'I.A. + Fasce'!B" &amp; 310 + MATCH(E$3+COUNTIF($A$3:$L$3,"&gt;0")*($M31-1),INDIRECT(ADDRESS(311,22+MATCH('I.A. + Fasce'!$P$27,'I.A. + Fasce'!$W$6:$AA$6,0),1,1,"I.A. + Fasce") &amp; ":" &amp; ADDRESS(531,22+MATCH('I.A. + Fasce'!$P$27,'I.A. + Fasce'!$W$6:$AA$6,0),1,1)),0)),"")</f>
        <v>IONITA</v>
      </c>
      <c r="F31" s="28" t="str">
        <f ca="1">IF(ISNUMBER(F$3),INDIRECT("'I.A. + Fasce'!B" &amp; 310 + MATCH(F$3+COUNTIF($A$3:$L$3,"&gt;0")*($M31-1),INDIRECT(ADDRESS(311,22+MATCH('I.A. + Fasce'!$P$27,'I.A. + Fasce'!$W$6:$AA$6,0),1,1,"I.A. + Fasce") &amp; ":" &amp; ADDRESS(531,22+MATCH('I.A. + Fasce'!$P$27,'I.A. + Fasce'!$W$6:$AA$6,0),1,1)),0)),"")</f>
        <v>KREJCI</v>
      </c>
      <c r="G31" s="28" t="str">
        <f ca="1">IF(ISNUMBER(G$3),INDIRECT("'I.A. + Fasce'!B" &amp; 310 + MATCH(G$3+COUNTIF($A$3:$L$3,"&gt;0")*($M31-1),INDIRECT(ADDRESS(311,22+MATCH('I.A. + Fasce'!$P$27,'I.A. + Fasce'!$W$6:$AA$6,0),1,1,"I.A. + Fasce") &amp; ":" &amp; ADDRESS(531,22+MATCH('I.A. + Fasce'!$P$27,'I.A. + Fasce'!$W$6:$AA$6,0),1,1)),0)),"")</f>
        <v>BIGLIA</v>
      </c>
      <c r="H31" s="28" t="str">
        <f ca="1">IF(ISNUMBER(H$3),INDIRECT("'I.A. + Fasce'!B" &amp; 310 + MATCH(H$3+COUNTIF($A$3:$L$3,"&gt;0")*($M31-1),INDIRECT(ADDRESS(311,22+MATCH('I.A. + Fasce'!$P$27,'I.A. + Fasce'!$W$6:$AA$6,0),1,1,"I.A. + Fasce") &amp; ":" &amp; ADDRESS(531,22+MATCH('I.A. + Fasce'!$P$27,'I.A. + Fasce'!$W$6:$AA$6,0),1,1)),0)),"")</f>
        <v>KURTIC</v>
      </c>
      <c r="I31" s="28" t="str">
        <f ca="1">IF(ISNUMBER(I$3),INDIRECT("'I.A. + Fasce'!B" &amp; 310 + MATCH(I$3+COUNTIF($A$3:$L$3,"&gt;0")*($M31-1),INDIRECT(ADDRESS(311,22+MATCH('I.A. + Fasce'!$P$27,'I.A. + Fasce'!$W$6:$AA$6,0),1,1,"I.A. + Fasce") &amp; ":" &amp; ADDRESS(531,22+MATCH('I.A. + Fasce'!$P$27,'I.A. + Fasce'!$W$6:$AA$6,0),1,1)),0)),"")</f>
        <v/>
      </c>
      <c r="J31" s="28" t="str">
        <f ca="1">IF(ISNUMBER(J$3),INDIRECT("'I.A. + Fasce'!B" &amp; 310 + MATCH(J$3+COUNTIF($A$3:$L$3,"&gt;0")*($M31-1),INDIRECT(ADDRESS(311,22+MATCH('I.A. + Fasce'!$P$27,'I.A. + Fasce'!$W$6:$AA$6,0),1,1,"I.A. + Fasce") &amp; ":" &amp; ADDRESS(531,22+MATCH('I.A. + Fasce'!$P$27,'I.A. + Fasce'!$W$6:$AA$6,0),1,1)),0)),"")</f>
        <v/>
      </c>
      <c r="K31" s="28" t="str">
        <f ca="1">IF(ISNUMBER(K$3),INDIRECT("'I.A. + Fasce'!B" &amp; 310 + MATCH(K$3+COUNTIF($A$3:$L$3,"&gt;0")*($M31-1),INDIRECT(ADDRESS(311,22+MATCH('I.A. + Fasce'!$P$27,'I.A. + Fasce'!$W$6:$AA$6,0),1,1,"I.A. + Fasce") &amp; ":" &amp; ADDRESS(531,22+MATCH('I.A. + Fasce'!$P$27,'I.A. + Fasce'!$W$6:$AA$6,0),1,1)),0)),"")</f>
        <v/>
      </c>
      <c r="L31" s="28" t="str">
        <f ca="1">IF(ISNUMBER(L$3),INDIRECT("'I.A. + Fasce'!B" &amp; 310 + MATCH(L$3+COUNTIF($A$3:$L$3,"&gt;0")*($M31-1),INDIRECT(ADDRESS(311,22+MATCH('I.A. + Fasce'!$P$27,'I.A. + Fasce'!$W$6:$AA$6,0),1,1,"I.A. + Fasce") &amp; ":" &amp; ADDRESS(531,22+MATCH('I.A. + Fasce'!$P$27,'I.A. + Fasce'!$W$6:$AA$6,0),1,1)),0)),"")</f>
        <v/>
      </c>
      <c r="M31" s="27">
        <v>9</v>
      </c>
      <c r="U31" s="35" t="str">
        <f ca="1">Rose!Z7</f>
        <v/>
      </c>
      <c r="V31" s="35" t="str">
        <f ca="1">Rose!H20</f>
        <v/>
      </c>
      <c r="W31" s="35" t="str">
        <f ca="1">Rose!H36</f>
        <v/>
      </c>
      <c r="X31" s="35" t="str">
        <f ca="1">Rose!K48</f>
        <v/>
      </c>
      <c r="Y31" s="35"/>
    </row>
    <row r="32" spans="1:25">
      <c r="A32" s="28" t="str">
        <f ca="1">IF(ISNUMBER(A$3),INDIRECT("'I.A. + Fasce'!B" &amp; 310 + MATCH(A$3+COUNTIF($A$3:$L$3,"&gt;0")*($M32-1),INDIRECT(ADDRESS(311,22+MATCH('I.A. + Fasce'!$P$27,'I.A. + Fasce'!$W$6:$AA$6,0),1,1,"I.A. + Fasce") &amp; ":" &amp; ADDRESS(531,22+MATCH('I.A. + Fasce'!$P$27,'I.A. + Fasce'!$W$6:$AA$6,0),1,1)),0)),"")</f>
        <v>PEROTTI</v>
      </c>
      <c r="B32" s="28" t="str">
        <f ca="1">IF(ISNUMBER(B$3),INDIRECT("'I.A. + Fasce'!B" &amp; 310 + MATCH(B$3+COUNTIF($A$3:$L$3,"&gt;0")*($M32-1),INDIRECT(ADDRESS(311,22+MATCH('I.A. + Fasce'!$P$27,'I.A. + Fasce'!$W$6:$AA$6,0),1,1,"I.A. + Fasce") &amp; ":" &amp; ADDRESS(531,22+MATCH('I.A. + Fasce'!$P$27,'I.A. + Fasce'!$W$6:$AA$6,0),1,1)),0)),"")</f>
        <v>PELLEGRINI</v>
      </c>
      <c r="C32" s="28" t="str">
        <f ca="1">IF(ISNUMBER(C$3),INDIRECT("'I.A. + Fasce'!B" &amp; 310 + MATCH(C$3+COUNTIF($A$3:$L$3,"&gt;0")*($M32-1),INDIRECT(ADDRESS(311,22+MATCH('I.A. + Fasce'!$P$27,'I.A. + Fasce'!$W$6:$AA$6,0),1,1,"I.A. + Fasce") &amp; ":" &amp; ADDRESS(531,22+MATCH('I.A. + Fasce'!$P$27,'I.A. + Fasce'!$W$6:$AA$6,0),1,1)),0)),"")</f>
        <v>BENTANCUR</v>
      </c>
      <c r="D32" s="28" t="str">
        <f ca="1">IF(ISNUMBER(D$3),INDIRECT("'I.A. + Fasce'!B" &amp; 310 + MATCH(D$3+COUNTIF($A$3:$L$3,"&gt;0")*($M32-1),INDIRECT(ADDRESS(311,22+MATCH('I.A. + Fasce'!$P$27,'I.A. + Fasce'!$W$6:$AA$6,0),1,1,"I.A. + Fasce") &amp; ":" &amp; ADDRESS(531,22+MATCH('I.A. + Fasce'!$P$27,'I.A. + Fasce'!$W$6:$AA$6,0),1,1)),0)),"")</f>
        <v>MIGUEL VELOSO</v>
      </c>
      <c r="E32" s="28" t="str">
        <f ca="1">IF(ISNUMBER(E$3),INDIRECT("'I.A. + Fasce'!B" &amp; 310 + MATCH(E$3+COUNTIF($A$3:$L$3,"&gt;0")*($M32-1),INDIRECT(ADDRESS(311,22+MATCH('I.A. + Fasce'!$P$27,'I.A. + Fasce'!$W$6:$AA$6,0),1,1,"I.A. + Fasce") &amp; ":" &amp; ADDRESS(531,22+MATCH('I.A. + Fasce'!$P$27,'I.A. + Fasce'!$W$6:$AA$6,0),1,1)),0)),"")</f>
        <v>SPINAZZOLA</v>
      </c>
      <c r="F32" s="28" t="str">
        <f ca="1">IF(ISNUMBER(F$3),INDIRECT("'I.A. + Fasce'!B" &amp; 310 + MATCH(F$3+COUNTIF($A$3:$L$3,"&gt;0")*($M32-1),INDIRECT(ADDRESS(311,22+MATCH('I.A. + Fasce'!$P$27,'I.A. + Fasce'!$W$6:$AA$6,0),1,1,"I.A. + Fasce") &amp; ":" &amp; ADDRESS(531,22+MATCH('I.A. + Fasce'!$P$27,'I.A. + Fasce'!$W$6:$AA$6,0),1,1)),0)),"")</f>
        <v>POLI</v>
      </c>
      <c r="G32" s="28" t="str">
        <f ca="1">IF(ISNUMBER(G$3),INDIRECT("'I.A. + Fasce'!B" &amp; 310 + MATCH(G$3+COUNTIF($A$3:$L$3,"&gt;0")*($M32-1),INDIRECT(ADDRESS(311,22+MATCH('I.A. + Fasce'!$P$27,'I.A. + Fasce'!$W$6:$AA$6,0),1,1,"I.A. + Fasce") &amp; ":" &amp; ADDRESS(531,22+MATCH('I.A. + Fasce'!$P$27,'I.A. + Fasce'!$W$6:$AA$6,0),1,1)),0)),"")</f>
        <v>BARRETO E</v>
      </c>
      <c r="H32" s="28" t="str">
        <f ca="1">IF(ISNUMBER(H$3),INDIRECT("'I.A. + Fasce'!B" &amp; 310 + MATCH(H$3+COUNTIF($A$3:$L$3,"&gt;0")*($M32-1),INDIRECT(ADDRESS(311,22+MATCH('I.A. + Fasce'!$P$27,'I.A. + Fasce'!$W$6:$AA$6,0),1,1,"I.A. + Fasce") &amp; ":" &amp; ADDRESS(531,22+MATCH('I.A. + Fasce'!$P$27,'I.A. + Fasce'!$W$6:$AA$6,0),1,1)),0)),"")</f>
        <v>PRAET</v>
      </c>
      <c r="I32" s="28" t="str">
        <f ca="1">IF(ISNUMBER(I$3),INDIRECT("'I.A. + Fasce'!B" &amp; 310 + MATCH(I$3+COUNTIF($A$3:$L$3,"&gt;0")*($M32-1),INDIRECT(ADDRESS(311,22+MATCH('I.A. + Fasce'!$P$27,'I.A. + Fasce'!$W$6:$AA$6,0),1,1,"I.A. + Fasce") &amp; ":" &amp; ADDRESS(531,22+MATCH('I.A. + Fasce'!$P$27,'I.A. + Fasce'!$W$6:$AA$6,0),1,1)),0)),"")</f>
        <v/>
      </c>
      <c r="J32" s="28" t="str">
        <f ca="1">IF(ISNUMBER(J$3),INDIRECT("'I.A. + Fasce'!B" &amp; 310 + MATCH(J$3+COUNTIF($A$3:$L$3,"&gt;0")*($M32-1),INDIRECT(ADDRESS(311,22+MATCH('I.A. + Fasce'!$P$27,'I.A. + Fasce'!$W$6:$AA$6,0),1,1,"I.A. + Fasce") &amp; ":" &amp; ADDRESS(531,22+MATCH('I.A. + Fasce'!$P$27,'I.A. + Fasce'!$W$6:$AA$6,0),1,1)),0)),"")</f>
        <v/>
      </c>
      <c r="K32" s="28" t="str">
        <f ca="1">IF(ISNUMBER(K$3),INDIRECT("'I.A. + Fasce'!B" &amp; 310 + MATCH(K$3+COUNTIF($A$3:$L$3,"&gt;0")*($M32-1),INDIRECT(ADDRESS(311,22+MATCH('I.A. + Fasce'!$P$27,'I.A. + Fasce'!$W$6:$AA$6,0),1,1,"I.A. + Fasce") &amp; ":" &amp; ADDRESS(531,22+MATCH('I.A. + Fasce'!$P$27,'I.A. + Fasce'!$W$6:$AA$6,0),1,1)),0)),"")</f>
        <v/>
      </c>
      <c r="L32" s="28" t="str">
        <f ca="1">IF(ISNUMBER(L$3),INDIRECT("'I.A. + Fasce'!B" &amp; 310 + MATCH(L$3+COUNTIF($A$3:$L$3,"&gt;0")*($M32-1),INDIRECT(ADDRESS(311,22+MATCH('I.A. + Fasce'!$P$27,'I.A. + Fasce'!$W$6:$AA$6,0),1,1,"I.A. + Fasce") &amp; ":" &amp; ADDRESS(531,22+MATCH('I.A. + Fasce'!$P$27,'I.A. + Fasce'!$W$6:$AA$6,0),1,1)),0)),"")</f>
        <v/>
      </c>
      <c r="M32" s="27">
        <v>10</v>
      </c>
      <c r="U32" s="35" t="str">
        <f ca="1">Rose!AC5</f>
        <v/>
      </c>
      <c r="V32" s="35" t="str">
        <f ca="1">Rose!H21</f>
        <v/>
      </c>
      <c r="W32" s="35" t="str">
        <f ca="1">Rose!H37</f>
        <v/>
      </c>
      <c r="X32" s="35" t="str">
        <f ca="1">Rose!K49</f>
        <v/>
      </c>
      <c r="Y32" s="35"/>
    </row>
    <row r="33" spans="1:25">
      <c r="A33" s="39"/>
      <c r="B33" s="39"/>
      <c r="C33" s="39"/>
      <c r="D33" s="39"/>
      <c r="E33" s="39"/>
      <c r="F33" s="39"/>
      <c r="G33" s="39"/>
      <c r="H33" s="39"/>
      <c r="I33" s="39"/>
      <c r="J33" s="39"/>
      <c r="U33" s="35" t="str">
        <f ca="1">Rose!AC6</f>
        <v/>
      </c>
      <c r="V33" s="35" t="str">
        <f ca="1">Rose!H22</f>
        <v/>
      </c>
      <c r="W33" s="35" t="str">
        <f ca="1">Rose!H38</f>
        <v/>
      </c>
      <c r="X33" s="35" t="str">
        <f ca="1">Rose!K50</f>
        <v/>
      </c>
      <c r="Y33" s="35"/>
    </row>
    <row r="34" spans="1:25">
      <c r="A34" s="39"/>
      <c r="B34" s="39"/>
      <c r="C34" s="39"/>
      <c r="D34" s="39"/>
      <c r="E34" s="39"/>
      <c r="F34" s="39"/>
      <c r="G34" s="39"/>
      <c r="H34" s="39"/>
      <c r="I34" s="39"/>
      <c r="J34" s="39"/>
      <c r="U34" s="35" t="str">
        <f ca="1">Rose!AC7</f>
        <v/>
      </c>
      <c r="V34" s="35" t="str">
        <f ca="1">Rose!H23</f>
        <v/>
      </c>
      <c r="W34" s="35" t="str">
        <f ca="1">Rose!H39</f>
        <v/>
      </c>
      <c r="X34" s="35" t="str">
        <f ca="1">Rose!K51</f>
        <v/>
      </c>
      <c r="Y34" s="35"/>
    </row>
    <row r="35" spans="1:25">
      <c r="A35" s="43">
        <f t="shared" ref="A35:L35" si="2">A$3</f>
        <v>1</v>
      </c>
      <c r="B35" s="43">
        <f t="shared" si="2"/>
        <v>2</v>
      </c>
      <c r="C35" s="43">
        <f t="shared" si="2"/>
        <v>3</v>
      </c>
      <c r="D35" s="43">
        <f t="shared" si="2"/>
        <v>4</v>
      </c>
      <c r="E35" s="43">
        <f t="shared" si="2"/>
        <v>5</v>
      </c>
      <c r="F35" s="43">
        <f t="shared" si="2"/>
        <v>6</v>
      </c>
      <c r="G35" s="43">
        <f t="shared" si="2"/>
        <v>7</v>
      </c>
      <c r="H35" s="43">
        <f t="shared" si="2"/>
        <v>8</v>
      </c>
      <c r="I35" s="43" t="str">
        <f t="shared" si="2"/>
        <v/>
      </c>
      <c r="J35" s="43" t="str">
        <f t="shared" si="2"/>
        <v/>
      </c>
      <c r="K35" s="43" t="str">
        <f t="shared" si="2"/>
        <v/>
      </c>
      <c r="L35" s="43" t="str">
        <f t="shared" si="2"/>
        <v/>
      </c>
      <c r="U35" s="35" t="str">
        <f ca="1">Rose!AF5</f>
        <v/>
      </c>
      <c r="V35" s="35" t="str">
        <f ca="1">Rose!K14</f>
        <v/>
      </c>
      <c r="W35" s="35" t="str">
        <f ca="1">Rose!K30</f>
        <v/>
      </c>
      <c r="X35" s="35" t="str">
        <f ca="1">Rose!K52</f>
        <v/>
      </c>
      <c r="Y35" s="35"/>
    </row>
    <row r="36" spans="1:25">
      <c r="A36" s="28" t="str">
        <f ca="1">IF(ISNUMBER(A$3),INDIRECT("'I.A. + Fasce'!B" &amp; 642 + MATCH(A$3+COUNTIF($A$3:$L$3,"&gt;0")*($M36-1),INDIRECT(ADDRESS(643,22+MATCH('I.A. + Fasce'!$P$30,'I.A. + Fasce'!$W$6:$AA$6,0),1,1,"I.A. + Fasce") &amp; ":" &amp; ADDRESS(762,22+MATCH('I.A. + Fasce'!$P$30,'I.A. + Fasce'!$W$6:$AA$6,0),1,1)),0)),"")</f>
        <v>HIGUAIN</v>
      </c>
      <c r="B36" s="28" t="str">
        <f ca="1">IF(ISNUMBER(B$3),INDIRECT("'I.A. + Fasce'!B" &amp; 642 + MATCH(B$3+COUNTIF($A$3:$L$3,"&gt;0")*($M36-1),INDIRECT(ADDRESS(643,22+MATCH('I.A. + Fasce'!$P$30,'I.A. + Fasce'!$W$6:$AA$6,0),1,1,"I.A. + Fasce") &amp; ":" &amp; ADDRESS(762,22+MATCH('I.A. + Fasce'!$P$30,'I.A. + Fasce'!$W$6:$AA$6,0),1,1)),0)),"")</f>
        <v>DYBALA</v>
      </c>
      <c r="C36" s="28" t="str">
        <f ca="1">IF(ISNUMBER(C$3),INDIRECT("'I.A. + Fasce'!B" &amp; 642 + MATCH(C$3+COUNTIF($A$3:$L$3,"&gt;0")*($M36-1),INDIRECT(ADDRESS(643,22+MATCH('I.A. + Fasce'!$P$30,'I.A. + Fasce'!$W$6:$AA$6,0),1,1,"I.A. + Fasce") &amp; ":" &amp; ADDRESS(762,22+MATCH('I.A. + Fasce'!$P$30,'I.A. + Fasce'!$W$6:$AA$6,0),1,1)),0)),"")</f>
        <v>MERTENS</v>
      </c>
      <c r="D36" s="28" t="str">
        <f ca="1">IF(ISNUMBER(D$3),INDIRECT("'I.A. + Fasce'!B" &amp; 642 + MATCH(D$3+COUNTIF($A$3:$L$3,"&gt;0")*($M36-1),INDIRECT(ADDRESS(643,22+MATCH('I.A. + Fasce'!$P$30,'I.A. + Fasce'!$W$6:$AA$6,0),1,1,"I.A. + Fasce") &amp; ":" &amp; ADDRESS(762,22+MATCH('I.A. + Fasce'!$P$30,'I.A. + Fasce'!$W$6:$AA$6,0),1,1)),0)),"")</f>
        <v>DZEKO</v>
      </c>
      <c r="E36" s="28" t="str">
        <f ca="1">IF(ISNUMBER(E$3),INDIRECT("'I.A. + Fasce'!B" &amp; 642 + MATCH(E$3+COUNTIF($A$3:$L$3,"&gt;0")*($M36-1),INDIRECT(ADDRESS(643,22+MATCH('I.A. + Fasce'!$P$30,'I.A. + Fasce'!$W$6:$AA$6,0),1,1,"I.A. + Fasce") &amp; ":" &amp; ADDRESS(762,22+MATCH('I.A. + Fasce'!$P$30,'I.A. + Fasce'!$W$6:$AA$6,0),1,1)),0)),"")</f>
        <v>INSIGNE</v>
      </c>
      <c r="F36" s="28" t="str">
        <f ca="1">IF(ISNUMBER(F$3),INDIRECT("'I.A. + Fasce'!B" &amp; 642 + MATCH(F$3+COUNTIF($A$3:$L$3,"&gt;0")*($M36-1),INDIRECT(ADDRESS(643,22+MATCH('I.A. + Fasce'!$P$30,'I.A. + Fasce'!$W$6:$AA$6,0),1,1,"I.A. + Fasce") &amp; ":" &amp; ADDRESS(762,22+MATCH('I.A. + Fasce'!$P$30,'I.A. + Fasce'!$W$6:$AA$6,0),1,1)),0)),"")</f>
        <v>CALLEJON</v>
      </c>
      <c r="G36" s="28" t="str">
        <f ca="1">IF(ISNUMBER(G$3),INDIRECT("'I.A. + Fasce'!B" &amp; 642 + MATCH(G$3+COUNTIF($A$3:$L$3,"&gt;0")*($M36-1),INDIRECT(ADDRESS(643,22+MATCH('I.A. + Fasce'!$P$30,'I.A. + Fasce'!$W$6:$AA$6,0),1,1,"I.A. + Fasce") &amp; ":" &amp; ADDRESS(762,22+MATCH('I.A. + Fasce'!$P$30,'I.A. + Fasce'!$W$6:$AA$6,0),1,1)),0)),"")</f>
        <v>IMMOBILE</v>
      </c>
      <c r="H36" s="28" t="str">
        <f ca="1">IF(ISNUMBER(H$3),INDIRECT("'I.A. + Fasce'!B" &amp; 642 + MATCH(H$3+COUNTIF($A$3:$L$3,"&gt;0")*($M36-1),INDIRECT(ADDRESS(643,22+MATCH('I.A. + Fasce'!$P$30,'I.A. + Fasce'!$W$6:$AA$6,0),1,1,"I.A. + Fasce") &amp; ":" &amp; ADDRESS(762,22+MATCH('I.A. + Fasce'!$P$30,'I.A. + Fasce'!$W$6:$AA$6,0),1,1)),0)),"")</f>
        <v>BELOTTI</v>
      </c>
      <c r="I36" s="28" t="str">
        <f ca="1">IF(ISNUMBER(I$3),INDIRECT("'I.A. + Fasce'!B" &amp; 642 + MATCH(I$3+COUNTIF($A$3:$L$3,"&gt;0")*($M36-1),INDIRECT(ADDRESS(643,22+MATCH('I.A. + Fasce'!$P$30,'I.A. + Fasce'!$W$6:$AA$6,0),1,1,"I.A. + Fasce") &amp; ":" &amp; ADDRESS(762,22+MATCH('I.A. + Fasce'!$P$30,'I.A. + Fasce'!$W$6:$AA$6,0),1,1)),0)),"")</f>
        <v/>
      </c>
      <c r="J36" s="28" t="str">
        <f ca="1">IF(ISNUMBER(J$3),INDIRECT("'I.A. + Fasce'!B" &amp; 642 + MATCH(J$3+COUNTIF($A$3:$L$3,"&gt;0")*($M36-1),INDIRECT(ADDRESS(643,22+MATCH('I.A. + Fasce'!$P$30,'I.A. + Fasce'!$W$6:$AA$6,0),1,1,"I.A. + Fasce") &amp; ":" &amp; ADDRESS(762,22+MATCH('I.A. + Fasce'!$P$30,'I.A. + Fasce'!$W$6:$AA$6,0),1,1)),0)),"")</f>
        <v/>
      </c>
      <c r="K36" s="28" t="str">
        <f ca="1">IF(ISNUMBER(K$3),INDIRECT("'I.A. + Fasce'!B" &amp; 642 + MATCH(K$3+COUNTIF($A$3:$L$3,"&gt;0")*($M36-1),INDIRECT(ADDRESS(643,22+MATCH('I.A. + Fasce'!$P$30,'I.A. + Fasce'!$W$6:$AA$6,0),1,1,"I.A. + Fasce") &amp; ":" &amp; ADDRESS(762,22+MATCH('I.A. + Fasce'!$P$30,'I.A. + Fasce'!$W$6:$AA$6,0),1,1)),0)),"")</f>
        <v/>
      </c>
      <c r="L36" s="28" t="str">
        <f ca="1">IF(ISNUMBER(L$3),INDIRECT("'I.A. + Fasce'!B" &amp; 642 + MATCH(L$3+COUNTIF($A$3:$L$3,"&gt;0")*($M36-1),INDIRECT(ADDRESS(643,22+MATCH('I.A. + Fasce'!$P$30,'I.A. + Fasce'!$W$6:$AA$6,0),1,1,"I.A. + Fasce") &amp; ":" &amp; ADDRESS(762,22+MATCH('I.A. + Fasce'!$P$30,'I.A. + Fasce'!$W$6:$AA$6,0),1,1)),0)),"")</f>
        <v/>
      </c>
      <c r="M36" s="27">
        <v>1</v>
      </c>
      <c r="U36" s="35" t="str">
        <f ca="1">Rose!AF6</f>
        <v/>
      </c>
      <c r="V36" s="35" t="str">
        <f ca="1">Rose!K15</f>
        <v/>
      </c>
      <c r="W36" s="35" t="str">
        <f ca="1">Rose!K31</f>
        <v/>
      </c>
      <c r="X36" s="35" t="str">
        <f ca="1">Rose!K53</f>
        <v/>
      </c>
      <c r="Y36" s="35"/>
    </row>
    <row r="37" spans="1:25">
      <c r="A37" s="28" t="str">
        <f ca="1">IF(ISNUMBER(A$3),INDIRECT("'I.A. + Fasce'!B" &amp; 642 + MATCH(A$3+COUNTIF($A$3:$L$3,"&gt;0")*($M37-1),INDIRECT(ADDRESS(643,22+MATCH('I.A. + Fasce'!$P$30,'I.A. + Fasce'!$W$6:$AA$6,0),1,1,"I.A. + Fasce") &amp; ":" &amp; ADDRESS(762,22+MATCH('I.A. + Fasce'!$P$30,'I.A. + Fasce'!$W$6:$AA$6,0),1,1)),0)),"")</f>
        <v>MANDZUKIC</v>
      </c>
      <c r="B37" s="28" t="str">
        <f ca="1">IF(ISNUMBER(B$3),INDIRECT("'I.A. + Fasce'!B" &amp; 642 + MATCH(B$3+COUNTIF($A$3:$L$3,"&gt;0")*($M37-1),INDIRECT(ADDRESS(643,22+MATCH('I.A. + Fasce'!$P$30,'I.A. + Fasce'!$W$6:$AA$6,0),1,1,"I.A. + Fasce") &amp; ":" &amp; ADDRESS(762,22+MATCH('I.A. + Fasce'!$P$30,'I.A. + Fasce'!$W$6:$AA$6,0),1,1)),0)),"")</f>
        <v>ICARDI</v>
      </c>
      <c r="C37" s="28" t="str">
        <f ca="1">IF(ISNUMBER(C$3),INDIRECT("'I.A. + Fasce'!B" &amp; 642 + MATCH(C$3+COUNTIF($A$3:$L$3,"&gt;0")*($M37-1),INDIRECT(ADDRESS(643,22+MATCH('I.A. + Fasce'!$P$30,'I.A. + Fasce'!$W$6:$AA$6,0),1,1,"I.A. + Fasce") &amp; ":" &amp; ADDRESS(762,22+MATCH('I.A. + Fasce'!$P$30,'I.A. + Fasce'!$W$6:$AA$6,0),1,1)),0)),"")</f>
        <v>GOMEZ A</v>
      </c>
      <c r="D37" s="28" t="str">
        <f ca="1">IF(ISNUMBER(D$3),INDIRECT("'I.A. + Fasce'!B" &amp; 642 + MATCH(D$3+COUNTIF($A$3:$L$3,"&gt;0")*($M37-1),INDIRECT(ADDRESS(643,22+MATCH('I.A. + Fasce'!$P$30,'I.A. + Fasce'!$W$6:$AA$6,0),1,1,"I.A. + Fasce") &amp; ":" &amp; ADDRESS(762,22+MATCH('I.A. + Fasce'!$P$30,'I.A. + Fasce'!$W$6:$AA$6,0),1,1)),0)),"")</f>
        <v>SCHICK</v>
      </c>
      <c r="E37" s="28" t="str">
        <f ca="1">IF(ISNUMBER(E$3),INDIRECT("'I.A. + Fasce'!B" &amp; 642 + MATCH(E$3+COUNTIF($A$3:$L$3,"&gt;0")*($M37-1),INDIRECT(ADDRESS(643,22+MATCH('I.A. + Fasce'!$P$30,'I.A. + Fasce'!$W$6:$AA$6,0),1,1,"I.A. + Fasce") &amp; ":" &amp; ADDRESS(762,22+MATCH('I.A. + Fasce'!$P$30,'I.A. + Fasce'!$W$6:$AA$6,0),1,1)),0)),"")</f>
        <v>MILIK</v>
      </c>
      <c r="F37" s="28" t="str">
        <f ca="1">IF(ISNUMBER(F$3),INDIRECT("'I.A. + Fasce'!B" &amp; 642 + MATCH(F$3+COUNTIF($A$3:$L$3,"&gt;0")*($M37-1),INDIRECT(ADDRESS(643,22+MATCH('I.A. + Fasce'!$P$30,'I.A. + Fasce'!$W$6:$AA$6,0),1,1,"I.A. + Fasce") &amp; ":" &amp; ADDRESS(762,22+MATCH('I.A. + Fasce'!$P$30,'I.A. + Fasce'!$W$6:$AA$6,0),1,1)),0)),"")</f>
        <v>SIMEONE</v>
      </c>
      <c r="G37" s="28" t="str">
        <f ca="1">IF(ISNUMBER(G$3),INDIRECT("'I.A. + Fasce'!B" &amp; 642 + MATCH(G$3+COUNTIF($A$3:$L$3,"&gt;0")*($M37-1),INDIRECT(ADDRESS(643,22+MATCH('I.A. + Fasce'!$P$30,'I.A. + Fasce'!$W$6:$AA$6,0),1,1,"I.A. + Fasce") &amp; ":" &amp; ADDRESS(762,22+MATCH('I.A. + Fasce'!$P$30,'I.A. + Fasce'!$W$6:$AA$6,0),1,1)),0)),"")</f>
        <v>EL SHAARAWY</v>
      </c>
      <c r="H37" s="28" t="str">
        <f ca="1">IF(ISNUMBER(H$3),INDIRECT("'I.A. + Fasce'!B" &amp; 642 + MATCH(H$3+COUNTIF($A$3:$L$3,"&gt;0")*($M37-1),INDIRECT(ADDRESS(643,22+MATCH('I.A. + Fasce'!$P$30,'I.A. + Fasce'!$W$6:$AA$6,0),1,1,"I.A. + Fasce") &amp; ":" &amp; ADDRESS(762,22+MATCH('I.A. + Fasce'!$P$30,'I.A. + Fasce'!$W$6:$AA$6,0),1,1)),0)),"")</f>
        <v>ANDRE' SILVA</v>
      </c>
      <c r="I37" s="28" t="str">
        <f ca="1">IF(ISNUMBER(I$3),INDIRECT("'I.A. + Fasce'!B" &amp; 642 + MATCH(I$3+COUNTIF($A$3:$L$3,"&gt;0")*($M37-1),INDIRECT(ADDRESS(643,22+MATCH('I.A. + Fasce'!$P$30,'I.A. + Fasce'!$W$6:$AA$6,0),1,1,"I.A. + Fasce") &amp; ":" &amp; ADDRESS(762,22+MATCH('I.A. + Fasce'!$P$30,'I.A. + Fasce'!$W$6:$AA$6,0),1,1)),0)),"")</f>
        <v/>
      </c>
      <c r="J37" s="28" t="str">
        <f ca="1">IF(ISNUMBER(J$3),INDIRECT("'I.A. + Fasce'!B" &amp; 642 + MATCH(J$3+COUNTIF($A$3:$L$3,"&gt;0")*($M37-1),INDIRECT(ADDRESS(643,22+MATCH('I.A. + Fasce'!$P$30,'I.A. + Fasce'!$W$6:$AA$6,0),1,1,"I.A. + Fasce") &amp; ":" &amp; ADDRESS(762,22+MATCH('I.A. + Fasce'!$P$30,'I.A. + Fasce'!$W$6:$AA$6,0),1,1)),0)),"")</f>
        <v/>
      </c>
      <c r="K37" s="28" t="str">
        <f ca="1">IF(ISNUMBER(K$3),INDIRECT("'I.A. + Fasce'!B" &amp; 642 + MATCH(K$3+COUNTIF($A$3:$L$3,"&gt;0")*($M37-1),INDIRECT(ADDRESS(643,22+MATCH('I.A. + Fasce'!$P$30,'I.A. + Fasce'!$W$6:$AA$6,0),1,1,"I.A. + Fasce") &amp; ":" &amp; ADDRESS(762,22+MATCH('I.A. + Fasce'!$P$30,'I.A. + Fasce'!$W$6:$AA$6,0),1,1)),0)),"")</f>
        <v/>
      </c>
      <c r="L37" s="28" t="str">
        <f ca="1">IF(ISNUMBER(L$3),INDIRECT("'I.A. + Fasce'!B" &amp; 642 + MATCH(L$3+COUNTIF($A$3:$L$3,"&gt;0")*($M37-1),INDIRECT(ADDRESS(643,22+MATCH('I.A. + Fasce'!$P$30,'I.A. + Fasce'!$W$6:$AA$6,0),1,1,"I.A. + Fasce") &amp; ":" &amp; ADDRESS(762,22+MATCH('I.A. + Fasce'!$P$30,'I.A. + Fasce'!$W$6:$AA$6,0),1,1)),0)),"")</f>
        <v/>
      </c>
      <c r="M37" s="27">
        <v>2</v>
      </c>
      <c r="U37" s="35" t="str">
        <f ca="1">Rose!AF7</f>
        <v/>
      </c>
      <c r="V37" s="35" t="str">
        <f ca="1">Rose!K16</f>
        <v/>
      </c>
      <c r="W37" s="35" t="str">
        <f ca="1">Rose!K32</f>
        <v/>
      </c>
      <c r="X37" s="35" t="str">
        <f ca="1">Rose!N46</f>
        <v/>
      </c>
      <c r="Y37" s="35"/>
    </row>
    <row r="38" spans="1:25">
      <c r="A38" s="28" t="str">
        <f ca="1">IF(ISNUMBER(A$3),INDIRECT("'I.A. + Fasce'!B" &amp; 642 + MATCH(A$3+COUNTIF($A$3:$L$3,"&gt;0")*($M38-1),INDIRECT(ADDRESS(643,22+MATCH('I.A. + Fasce'!$P$30,'I.A. + Fasce'!$W$6:$AA$6,0),1,1,"I.A. + Fasce") &amp; ":" &amp; ADDRESS(762,22+MATCH('I.A. + Fasce'!$P$30,'I.A. + Fasce'!$W$6:$AA$6,0),1,1)),0)),"")</f>
        <v>KALINIC</v>
      </c>
      <c r="B38" s="28" t="str">
        <f ca="1">IF(ISNUMBER(B$3),INDIRECT("'I.A. + Fasce'!B" &amp; 642 + MATCH(B$3+COUNTIF($A$3:$L$3,"&gt;0")*($M38-1),INDIRECT(ADDRESS(643,22+MATCH('I.A. + Fasce'!$P$30,'I.A. + Fasce'!$W$6:$AA$6,0),1,1,"I.A. + Fasce") &amp; ":" &amp; ADDRESS(762,22+MATCH('I.A. + Fasce'!$P$30,'I.A. + Fasce'!$W$6:$AA$6,0),1,1)),0)),"")</f>
        <v>SUSO</v>
      </c>
      <c r="C38" s="28" t="str">
        <f ca="1">IF(ISNUMBER(C$3),INDIRECT("'I.A. + Fasce'!B" &amp; 642 + MATCH(C$3+COUNTIF($A$3:$L$3,"&gt;0")*($M38-1),INDIRECT(ADDRESS(643,22+MATCH('I.A. + Fasce'!$P$30,'I.A. + Fasce'!$W$6:$AA$6,0),1,1,"I.A. + Fasce") &amp; ":" &amp; ADDRESS(762,22+MATCH('I.A. + Fasce'!$P$30,'I.A. + Fasce'!$W$6:$AA$6,0),1,1)),0)),"")</f>
        <v>NANI</v>
      </c>
      <c r="D38" s="28" t="str">
        <f ca="1">IF(ISNUMBER(D$3),INDIRECT("'I.A. + Fasce'!B" &amp; 642 + MATCH(D$3+COUNTIF($A$3:$L$3,"&gt;0")*($M38-1),INDIRECT(ADDRESS(643,22+MATCH('I.A. + Fasce'!$P$30,'I.A. + Fasce'!$W$6:$AA$6,0),1,1,"I.A. + Fasce") &amp; ":" &amp; ADDRESS(762,22+MATCH('I.A. + Fasce'!$P$30,'I.A. + Fasce'!$W$6:$AA$6,0),1,1)),0)),"")</f>
        <v>FALCINELLI</v>
      </c>
      <c r="E38" s="28" t="str">
        <f ca="1">IF(ISNUMBER(E$3),INDIRECT("'I.A. + Fasce'!B" &amp; 642 + MATCH(E$3+COUNTIF($A$3:$L$3,"&gt;0")*($M38-1),INDIRECT(ADDRESS(643,22+MATCH('I.A. + Fasce'!$P$30,'I.A. + Fasce'!$W$6:$AA$6,0),1,1,"I.A. + Fasce") &amp; ":" &amp; ADDRESS(762,22+MATCH('I.A. + Fasce'!$P$30,'I.A. + Fasce'!$W$6:$AA$6,0),1,1)),0)),"")</f>
        <v>PETAGNA</v>
      </c>
      <c r="F38" s="28" t="str">
        <f ca="1">IF(ISNUMBER(F$3),INDIRECT("'I.A. + Fasce'!B" &amp; 642 + MATCH(F$3+COUNTIF($A$3:$L$3,"&gt;0")*($M38-1),INDIRECT(ADDRESS(643,22+MATCH('I.A. + Fasce'!$P$30,'I.A. + Fasce'!$W$6:$AA$6,0),1,1,"I.A. + Fasce") &amp; ":" &amp; ADDRESS(762,22+MATCH('I.A. + Fasce'!$P$30,'I.A. + Fasce'!$W$6:$AA$6,0),1,1)),0)),"")</f>
        <v>PAVOLETTI</v>
      </c>
      <c r="G38" s="28" t="str">
        <f ca="1">IF(ISNUMBER(G$3),INDIRECT("'I.A. + Fasce'!B" &amp; 642 + MATCH(G$3+COUNTIF($A$3:$L$3,"&gt;0")*($M38-1),INDIRECT(ADDRESS(643,22+MATCH('I.A. + Fasce'!$P$30,'I.A. + Fasce'!$W$6:$AA$6,0),1,1,"I.A. + Fasce") &amp; ":" &amp; ADDRESS(762,22+MATCH('I.A. + Fasce'!$P$30,'I.A. + Fasce'!$W$6:$AA$6,0),1,1)),0)),"")</f>
        <v>CUTRONE</v>
      </c>
      <c r="H38" s="28" t="str">
        <f ca="1">IF(ISNUMBER(H$3),INDIRECT("'I.A. + Fasce'!B" &amp; 642 + MATCH(H$3+COUNTIF($A$3:$L$3,"&gt;0")*($M38-1),INDIRECT(ADDRESS(643,22+MATCH('I.A. + Fasce'!$P$30,'I.A. + Fasce'!$W$6:$AA$6,0),1,1,"I.A. + Fasce") &amp; ":" &amp; ADDRESS(762,22+MATCH('I.A. + Fasce'!$P$30,'I.A. + Fasce'!$W$6:$AA$6,0),1,1)),0)),"")</f>
        <v>NIANG</v>
      </c>
      <c r="I38" s="28" t="str">
        <f ca="1">IF(ISNUMBER(I$3),INDIRECT("'I.A. + Fasce'!B" &amp; 642 + MATCH(I$3+COUNTIF($A$3:$L$3,"&gt;0")*($M38-1),INDIRECT(ADDRESS(643,22+MATCH('I.A. + Fasce'!$P$30,'I.A. + Fasce'!$W$6:$AA$6,0),1,1,"I.A. + Fasce") &amp; ":" &amp; ADDRESS(762,22+MATCH('I.A. + Fasce'!$P$30,'I.A. + Fasce'!$W$6:$AA$6,0),1,1)),0)),"")</f>
        <v/>
      </c>
      <c r="J38" s="28" t="str">
        <f ca="1">IF(ISNUMBER(J$3),INDIRECT("'I.A. + Fasce'!B" &amp; 642 + MATCH(J$3+COUNTIF($A$3:$L$3,"&gt;0")*($M38-1),INDIRECT(ADDRESS(643,22+MATCH('I.A. + Fasce'!$P$30,'I.A. + Fasce'!$W$6:$AA$6,0),1,1,"I.A. + Fasce") &amp; ":" &amp; ADDRESS(762,22+MATCH('I.A. + Fasce'!$P$30,'I.A. + Fasce'!$W$6:$AA$6,0),1,1)),0)),"")</f>
        <v/>
      </c>
      <c r="K38" s="28" t="str">
        <f ca="1">IF(ISNUMBER(K$3),INDIRECT("'I.A. + Fasce'!B" &amp; 642 + MATCH(K$3+COUNTIF($A$3:$L$3,"&gt;0")*($M38-1),INDIRECT(ADDRESS(643,22+MATCH('I.A. + Fasce'!$P$30,'I.A. + Fasce'!$W$6:$AA$6,0),1,1,"I.A. + Fasce") &amp; ":" &amp; ADDRESS(762,22+MATCH('I.A. + Fasce'!$P$30,'I.A. + Fasce'!$W$6:$AA$6,0),1,1)),0)),"")</f>
        <v/>
      </c>
      <c r="L38" s="28" t="str">
        <f ca="1">IF(ISNUMBER(L$3),INDIRECT("'I.A. + Fasce'!B" &amp; 642 + MATCH(L$3+COUNTIF($A$3:$L$3,"&gt;0")*($M38-1),INDIRECT(ADDRESS(643,22+MATCH('I.A. + Fasce'!$P$30,'I.A. + Fasce'!$W$6:$AA$6,0),1,1,"I.A. + Fasce") &amp; ":" &amp; ADDRESS(762,22+MATCH('I.A. + Fasce'!$P$30,'I.A. + Fasce'!$W$6:$AA$6,0),1,1)),0)),"")</f>
        <v/>
      </c>
      <c r="M38" s="27">
        <v>3</v>
      </c>
      <c r="U38" s="35" t="str">
        <f ca="1">Rose!AI5</f>
        <v/>
      </c>
      <c r="V38" s="35" t="str">
        <f ca="1">Rose!K17</f>
        <v/>
      </c>
      <c r="W38" s="35" t="str">
        <f ca="1">Rose!K33</f>
        <v/>
      </c>
      <c r="X38" s="35" t="str">
        <f ca="1">Rose!N47</f>
        <v/>
      </c>
      <c r="Y38" s="35"/>
    </row>
    <row r="39" spans="1:25">
      <c r="A39" s="28" t="str">
        <f ca="1">IF(ISNUMBER(A$3),INDIRECT("'I.A. + Fasce'!B" &amp; 642 + MATCH(A$3+COUNTIF($A$3:$L$3,"&gt;0")*($M39-1),INDIRECT(ADDRESS(643,22+MATCH('I.A. + Fasce'!$P$30,'I.A. + Fasce'!$W$6:$AA$6,0),1,1,"I.A. + Fasce") &amp; ":" &amp; ADDRESS(762,22+MATCH('I.A. + Fasce'!$P$30,'I.A. + Fasce'!$W$6:$AA$6,0),1,1)),0)),"")</f>
        <v>EDER</v>
      </c>
      <c r="B39" s="28" t="str">
        <f ca="1">IF(ISNUMBER(B$3),INDIRECT("'I.A. + Fasce'!B" &amp; 642 + MATCH(B$3+COUNTIF($A$3:$L$3,"&gt;0")*($M39-1),INDIRECT(ADDRESS(643,22+MATCH('I.A. + Fasce'!$P$30,'I.A. + Fasce'!$W$6:$AA$6,0),1,1,"I.A. + Fasce") &amp; ":" &amp; ADDRESS(762,22+MATCH('I.A. + Fasce'!$P$30,'I.A. + Fasce'!$W$6:$AA$6,0),1,1)),0)),"")</f>
        <v>PJACA</v>
      </c>
      <c r="C39" s="28" t="str">
        <f ca="1">IF(ISNUMBER(C$3),INDIRECT("'I.A. + Fasce'!B" &amp; 642 + MATCH(C$3+COUNTIF($A$3:$L$3,"&gt;0")*($M39-1),INDIRECT(ADDRESS(643,22+MATCH('I.A. + Fasce'!$P$30,'I.A. + Fasce'!$W$6:$AA$6,0),1,1,"I.A. + Fasce") &amp; ":" &amp; ADDRESS(762,22+MATCH('I.A. + Fasce'!$P$30,'I.A. + Fasce'!$W$6:$AA$6,0),1,1)),0)),"")</f>
        <v>QUAGLIARELLA</v>
      </c>
      <c r="D39" s="28" t="str">
        <f ca="1">IF(ISNUMBER(D$3),INDIRECT("'I.A. + Fasce'!B" &amp; 642 + MATCH(D$3+COUNTIF($A$3:$L$3,"&gt;0")*($M39-1),INDIRECT(ADDRESS(643,22+MATCH('I.A. + Fasce'!$P$30,'I.A. + Fasce'!$W$6:$AA$6,0),1,1,"I.A. + Fasce") &amp; ":" &amp; ADDRESS(762,22+MATCH('I.A. + Fasce'!$P$30,'I.A. + Fasce'!$W$6:$AA$6,0),1,1)),0)),"")</f>
        <v>BERARDI</v>
      </c>
      <c r="E39" s="28" t="str">
        <f ca="1">IF(ISNUMBER(E$3),INDIRECT("'I.A. + Fasce'!B" &amp; 642 + MATCH(E$3+COUNTIF($A$3:$L$3,"&gt;0")*($M39-1),INDIRECT(ADDRESS(643,22+MATCH('I.A. + Fasce'!$P$30,'I.A. + Fasce'!$W$6:$AA$6,0),1,1,"I.A. + Fasce") &amp; ":" &amp; ADDRESS(762,22+MATCH('I.A. + Fasce'!$P$30,'I.A. + Fasce'!$W$6:$AA$6,0),1,1)),0)),"")</f>
        <v>BORINI</v>
      </c>
      <c r="F39" s="28" t="str">
        <f ca="1">IF(ISNUMBER(F$3),INDIRECT("'I.A. + Fasce'!B" &amp; 642 + MATCH(F$3+COUNTIF($A$3:$L$3,"&gt;0")*($M39-1),INDIRECT(ADDRESS(643,22+MATCH('I.A. + Fasce'!$P$30,'I.A. + Fasce'!$W$6:$AA$6,0),1,1,"I.A. + Fasce") &amp; ":" &amp; ADDRESS(762,22+MATCH('I.A. + Fasce'!$P$30,'I.A. + Fasce'!$W$6:$AA$6,0),1,1)),0)),"")</f>
        <v>DEFREL</v>
      </c>
      <c r="G39" s="28" t="str">
        <f ca="1">IF(ISNUMBER(G$3),INDIRECT("'I.A. + Fasce'!B" &amp; 642 + MATCH(G$3+COUNTIF($A$3:$L$3,"&gt;0")*($M39-1),INDIRECT(ADDRESS(643,22+MATCH('I.A. + Fasce'!$P$30,'I.A. + Fasce'!$W$6:$AA$6,0),1,1,"I.A. + Fasce") &amp; ":" &amp; ADDRESS(762,22+MATCH('I.A. + Fasce'!$P$30,'I.A. + Fasce'!$W$6:$AA$6,0),1,1)),0)),"")</f>
        <v>LAPADULA</v>
      </c>
      <c r="H39" s="28" t="str">
        <f ca="1">IF(ISNUMBER(H$3),INDIRECT("'I.A. + Fasce'!B" &amp; 642 + MATCH(H$3+COUNTIF($A$3:$L$3,"&gt;0")*($M39-1),INDIRECT(ADDRESS(643,22+MATCH('I.A. + Fasce'!$P$30,'I.A. + Fasce'!$W$6:$AA$6,0),1,1,"I.A. + Fasce") &amp; ":" &amp; ADDRESS(762,22+MATCH('I.A. + Fasce'!$P$30,'I.A. + Fasce'!$W$6:$AA$6,0),1,1)),0)),"")</f>
        <v>OUNAS</v>
      </c>
      <c r="I39" s="28" t="str">
        <f ca="1">IF(ISNUMBER(I$3),INDIRECT("'I.A. + Fasce'!B" &amp; 642 + MATCH(I$3+COUNTIF($A$3:$L$3,"&gt;0")*($M39-1),INDIRECT(ADDRESS(643,22+MATCH('I.A. + Fasce'!$P$30,'I.A. + Fasce'!$W$6:$AA$6,0),1,1,"I.A. + Fasce") &amp; ":" &amp; ADDRESS(762,22+MATCH('I.A. + Fasce'!$P$30,'I.A. + Fasce'!$W$6:$AA$6,0),1,1)),0)),"")</f>
        <v/>
      </c>
      <c r="J39" s="28" t="str">
        <f ca="1">IF(ISNUMBER(J$3),INDIRECT("'I.A. + Fasce'!B" &amp; 642 + MATCH(J$3+COUNTIF($A$3:$L$3,"&gt;0")*($M39-1),INDIRECT(ADDRESS(643,22+MATCH('I.A. + Fasce'!$P$30,'I.A. + Fasce'!$W$6:$AA$6,0),1,1,"I.A. + Fasce") &amp; ":" &amp; ADDRESS(762,22+MATCH('I.A. + Fasce'!$P$30,'I.A. + Fasce'!$W$6:$AA$6,0),1,1)),0)),"")</f>
        <v/>
      </c>
      <c r="K39" s="28" t="str">
        <f ca="1">IF(ISNUMBER(K$3),INDIRECT("'I.A. + Fasce'!B" &amp; 642 + MATCH(K$3+COUNTIF($A$3:$L$3,"&gt;0")*($M39-1),INDIRECT(ADDRESS(643,22+MATCH('I.A. + Fasce'!$P$30,'I.A. + Fasce'!$W$6:$AA$6,0),1,1,"I.A. + Fasce") &amp; ":" &amp; ADDRESS(762,22+MATCH('I.A. + Fasce'!$P$30,'I.A. + Fasce'!$W$6:$AA$6,0),1,1)),0)),"")</f>
        <v/>
      </c>
      <c r="L39" s="28" t="str">
        <f ca="1">IF(ISNUMBER(L$3),INDIRECT("'I.A. + Fasce'!B" &amp; 642 + MATCH(L$3+COUNTIF($A$3:$L$3,"&gt;0")*($M39-1),INDIRECT(ADDRESS(643,22+MATCH('I.A. + Fasce'!$P$30,'I.A. + Fasce'!$W$6:$AA$6,0),1,1,"I.A. + Fasce") &amp; ":" &amp; ADDRESS(762,22+MATCH('I.A. + Fasce'!$P$30,'I.A. + Fasce'!$W$6:$AA$6,0),1,1)),0)),"")</f>
        <v/>
      </c>
      <c r="M39" s="27">
        <v>4</v>
      </c>
      <c r="U39" s="35" t="str">
        <f ca="1">Rose!AI6</f>
        <v/>
      </c>
      <c r="V39" s="35" t="str">
        <f ca="1">Rose!K18</f>
        <v/>
      </c>
      <c r="W39" s="35" t="str">
        <f ca="1">Rose!K34</f>
        <v/>
      </c>
      <c r="X39" s="35" t="str">
        <f ca="1">Rose!N48</f>
        <v/>
      </c>
      <c r="Y39" s="35"/>
    </row>
    <row r="40" spans="1:25">
      <c r="A40" s="28" t="str">
        <f ca="1">IF(ISNUMBER(A$3),INDIRECT("'I.A. + Fasce'!B" &amp; 642 + MATCH(A$3+COUNTIF($A$3:$L$3,"&gt;0")*($M40-1),INDIRECT(ADDRESS(643,22+MATCH('I.A. + Fasce'!$P$30,'I.A. + Fasce'!$W$6:$AA$6,0),1,1,"I.A. + Fasce") &amp; ":" &amp; ADDRESS(762,22+MATCH('I.A. + Fasce'!$P$30,'I.A. + Fasce'!$W$6:$AA$6,0),1,1)),0)),"")</f>
        <v>KARAMOH</v>
      </c>
      <c r="B40" s="28" t="str">
        <f ca="1">IF(ISNUMBER(B$3),INDIRECT("'I.A. + Fasce'!B" &amp; 642 + MATCH(B$3+COUNTIF($A$3:$L$3,"&gt;0")*($M40-1),INDIRECT(ADDRESS(643,22+MATCH('I.A. + Fasce'!$P$30,'I.A. + Fasce'!$W$6:$AA$6,0),1,1,"I.A. + Fasce") &amp; ":" &amp; ADDRESS(762,22+MATCH('I.A. + Fasce'!$P$30,'I.A. + Fasce'!$W$6:$AA$6,0),1,1)),0)),"")</f>
        <v>THEREAU</v>
      </c>
      <c r="C40" s="28" t="str">
        <f ca="1">IF(ISNUMBER(C$3),INDIRECT("'I.A. + Fasce'!B" &amp; 642 + MATCH(C$3+COUNTIF($A$3:$L$3,"&gt;0")*($M40-1),INDIRECT(ADDRESS(643,22+MATCH('I.A. + Fasce'!$P$30,'I.A. + Fasce'!$W$6:$AA$6,0),1,1,"I.A. + Fasce") &amp; ":" &amp; ADDRESS(762,22+MATCH('I.A. + Fasce'!$P$30,'I.A. + Fasce'!$W$6:$AA$6,0),1,1)),0)),"")</f>
        <v>CORNELIUS</v>
      </c>
      <c r="D40" s="28" t="str">
        <f ca="1">IF(ISNUMBER(D$3),INDIRECT("'I.A. + Fasce'!B" &amp; 642 + MATCH(D$3+COUNTIF($A$3:$L$3,"&gt;0")*($M40-1),INDIRECT(ADDRESS(643,22+MATCH('I.A. + Fasce'!$P$30,'I.A. + Fasce'!$W$6:$AA$6,0),1,1,"I.A. + Fasce") &amp; ":" &amp; ADDRESS(762,22+MATCH('I.A. + Fasce'!$P$30,'I.A. + Fasce'!$W$6:$AA$6,0),1,1)),0)),"")</f>
        <v>BABACAR</v>
      </c>
      <c r="E40" s="28" t="str">
        <f ca="1">IF(ISNUMBER(E$3),INDIRECT("'I.A. + Fasce'!B" &amp; 642 + MATCH(E$3+COUNTIF($A$3:$L$3,"&gt;0")*($M40-1),INDIRECT(ADDRESS(643,22+MATCH('I.A. + Fasce'!$P$30,'I.A. + Fasce'!$W$6:$AA$6,0),1,1,"I.A. + Fasce") &amp; ":" &amp; ADDRESS(762,22+MATCH('I.A. + Fasce'!$P$30,'I.A. + Fasce'!$W$6:$AA$6,0),1,1)),0)),"")</f>
        <v>INGLESE</v>
      </c>
      <c r="F40" s="28" t="str">
        <f ca="1">IF(ISNUMBER(F$3),INDIRECT("'I.A. + Fasce'!B" &amp; 642 + MATCH(F$3+COUNTIF($A$3:$L$3,"&gt;0")*($M40-1),INDIRECT(ADDRESS(643,22+MATCH('I.A. + Fasce'!$P$30,'I.A. + Fasce'!$W$6:$AA$6,0),1,1,"I.A. + Fasce") &amp; ":" &amp; ADDRESS(762,22+MATCH('I.A. + Fasce'!$P$30,'I.A. + Fasce'!$W$6:$AA$6,0),1,1)),0)),"")</f>
        <v>VERDI</v>
      </c>
      <c r="G40" s="28" t="str">
        <f ca="1">IF(ISNUMBER(G$3),INDIRECT("'I.A. + Fasce'!B" &amp; 642 + MATCH(G$3+COUNTIF($A$3:$L$3,"&gt;0")*($M40-1),INDIRECT(ADDRESS(643,22+MATCH('I.A. + Fasce'!$P$30,'I.A. + Fasce'!$W$6:$AA$6,0),1,1,"I.A. + Fasce") &amp; ":" &amp; ADDRESS(762,22+MATCH('I.A. + Fasce'!$P$30,'I.A. + Fasce'!$W$6:$AA$6,0),1,1)),0)),"")</f>
        <v>ZAPATA D</v>
      </c>
      <c r="H40" s="28" t="str">
        <f ca="1">IF(ISNUMBER(H$3),INDIRECT("'I.A. + Fasce'!B" &amp; 642 + MATCH(H$3+COUNTIF($A$3:$L$3,"&gt;0")*($M40-1),INDIRECT(ADDRESS(643,22+MATCH('I.A. + Fasce'!$P$30,'I.A. + Fasce'!$W$6:$AA$6,0),1,1,"I.A. + Fasce") &amp; ":" &amp; ADDRESS(762,22+MATCH('I.A. + Fasce'!$P$30,'I.A. + Fasce'!$W$6:$AA$6,0),1,1)),0)),"")</f>
        <v>DESTRO</v>
      </c>
      <c r="I40" s="28" t="str">
        <f ca="1">IF(ISNUMBER(I$3),INDIRECT("'I.A. + Fasce'!B" &amp; 642 + MATCH(I$3+COUNTIF($A$3:$L$3,"&gt;0")*($M40-1),INDIRECT(ADDRESS(643,22+MATCH('I.A. + Fasce'!$P$30,'I.A. + Fasce'!$W$6:$AA$6,0),1,1,"I.A. + Fasce") &amp; ":" &amp; ADDRESS(762,22+MATCH('I.A. + Fasce'!$P$30,'I.A. + Fasce'!$W$6:$AA$6,0),1,1)),0)),"")</f>
        <v/>
      </c>
      <c r="J40" s="28" t="str">
        <f ca="1">IF(ISNUMBER(J$3),INDIRECT("'I.A. + Fasce'!B" &amp; 642 + MATCH(J$3+COUNTIF($A$3:$L$3,"&gt;0")*($M40-1),INDIRECT(ADDRESS(643,22+MATCH('I.A. + Fasce'!$P$30,'I.A. + Fasce'!$W$6:$AA$6,0),1,1,"I.A. + Fasce") &amp; ":" &amp; ADDRESS(762,22+MATCH('I.A. + Fasce'!$P$30,'I.A. + Fasce'!$W$6:$AA$6,0),1,1)),0)),"")</f>
        <v/>
      </c>
      <c r="K40" s="28" t="str">
        <f ca="1">IF(ISNUMBER(K$3),INDIRECT("'I.A. + Fasce'!B" &amp; 642 + MATCH(K$3+COUNTIF($A$3:$L$3,"&gt;0")*($M40-1),INDIRECT(ADDRESS(643,22+MATCH('I.A. + Fasce'!$P$30,'I.A. + Fasce'!$W$6:$AA$6,0),1,1,"I.A. + Fasce") &amp; ":" &amp; ADDRESS(762,22+MATCH('I.A. + Fasce'!$P$30,'I.A. + Fasce'!$W$6:$AA$6,0),1,1)),0)),"")</f>
        <v/>
      </c>
      <c r="L40" s="28" t="str">
        <f ca="1">IF(ISNUMBER(L$3),INDIRECT("'I.A. + Fasce'!B" &amp; 642 + MATCH(L$3+COUNTIF($A$3:$L$3,"&gt;0")*($M40-1),INDIRECT(ADDRESS(643,22+MATCH('I.A. + Fasce'!$P$30,'I.A. + Fasce'!$W$6:$AA$6,0),1,1,"I.A. + Fasce") &amp; ":" &amp; ADDRESS(762,22+MATCH('I.A. + Fasce'!$P$30,'I.A. + Fasce'!$W$6:$AA$6,0),1,1)),0)),"")</f>
        <v/>
      </c>
      <c r="M40" s="27">
        <v>5</v>
      </c>
      <c r="U40" s="35" t="str">
        <f ca="1">Rose!AI7</f>
        <v/>
      </c>
      <c r="V40" s="35" t="str">
        <f ca="1">Rose!K19</f>
        <v/>
      </c>
      <c r="W40" s="35" t="str">
        <f ca="1">Rose!K35</f>
        <v/>
      </c>
      <c r="X40" s="35" t="str">
        <f ca="1">Rose!N49</f>
        <v/>
      </c>
      <c r="Y40" s="35"/>
    </row>
    <row r="41" spans="1:25">
      <c r="A41" s="28" t="str">
        <f ca="1">IF(ISNUMBER(A$3),INDIRECT("'I.A. + Fasce'!B" &amp; 642 + MATCH(A$3+COUNTIF($A$3:$L$3,"&gt;0")*($M41-1),INDIRECT(ADDRESS(643,22+MATCH('I.A. + Fasce'!$P$30,'I.A. + Fasce'!$W$6:$AA$6,0),1,1,"I.A. + Fasce") &amp; ":" &amp; ADDRESS(762,22+MATCH('I.A. + Fasce'!$P$30,'I.A. + Fasce'!$W$6:$AA$6,0),1,1)),0)),"")</f>
        <v>FARIAS</v>
      </c>
      <c r="B41" s="28" t="str">
        <f ca="1">IF(ISNUMBER(B$3),INDIRECT("'I.A. + Fasce'!B" &amp; 642 + MATCH(B$3+COUNTIF($A$3:$L$3,"&gt;0")*($M41-1),INDIRECT(ADDRESS(643,22+MATCH('I.A. + Fasce'!$P$30,'I.A. + Fasce'!$W$6:$AA$6,0),1,1,"I.A. + Fasce") &amp; ":" &amp; ADDRESS(762,22+MATCH('I.A. + Fasce'!$P$30,'I.A. + Fasce'!$W$6:$AA$6,0),1,1)),0)),"")</f>
        <v>BUDIMIR</v>
      </c>
      <c r="C41" s="28" t="str">
        <f ca="1">IF(ISNUMBER(C$3),INDIRECT("'I.A. + Fasce'!B" &amp; 642 + MATCH(C$3+COUNTIF($A$3:$L$3,"&gt;0")*($M41-1),INDIRECT(ADDRESS(643,22+MATCH('I.A. + Fasce'!$P$30,'I.A. + Fasce'!$W$6:$AA$6,0),1,1,"I.A. + Fasce") &amp; ":" &amp; ADDRESS(762,22+MATCH('I.A. + Fasce'!$P$30,'I.A. + Fasce'!$W$6:$AA$6,0),1,1)),0)),"")</f>
        <v>BOYE'</v>
      </c>
      <c r="D41" s="28" t="str">
        <f ca="1">IF(ISNUMBER(D$3),INDIRECT("'I.A. + Fasce'!B" &amp; 642 + MATCH(D$3+COUNTIF($A$3:$L$3,"&gt;0")*($M41-1),INDIRECT(ADDRESS(643,22+MATCH('I.A. + Fasce'!$P$30,'I.A. + Fasce'!$W$6:$AA$6,0),1,1,"I.A. + Fasce") &amp; ":" &amp; ADDRESS(762,22+MATCH('I.A. + Fasce'!$P$30,'I.A. + Fasce'!$W$6:$AA$6,0),1,1)),0)),"")</f>
        <v>PERICA</v>
      </c>
      <c r="E41" s="28" t="str">
        <f ca="1">IF(ISNUMBER(E$3),INDIRECT("'I.A. + Fasce'!B" &amp; 642 + MATCH(E$3+COUNTIF($A$3:$L$3,"&gt;0")*($M41-1),INDIRECT(ADDRESS(643,22+MATCH('I.A. + Fasce'!$P$30,'I.A. + Fasce'!$W$6:$AA$6,0),1,1,"I.A. + Fasce") &amp; ":" &amp; ADDRESS(762,22+MATCH('I.A. + Fasce'!$P$30,'I.A. + Fasce'!$W$6:$AA$6,0),1,1)),0)),"")</f>
        <v>POLITANO</v>
      </c>
      <c r="F41" s="28" t="str">
        <f ca="1">IF(ISNUMBER(F$3),INDIRECT("'I.A. + Fasce'!B" &amp; 642 + MATCH(F$3+COUNTIF($A$3:$L$3,"&gt;0")*($M41-1),INDIRECT(ADDRESS(643,22+MATCH('I.A. + Fasce'!$P$30,'I.A. + Fasce'!$W$6:$AA$6,0),1,1,"I.A. + Fasce") &amp; ":" &amp; ADDRESS(762,22+MATCH('I.A. + Fasce'!$P$30,'I.A. + Fasce'!$W$6:$AA$6,0),1,1)),0)),"")</f>
        <v>PAZZINI</v>
      </c>
      <c r="G41" s="28" t="str">
        <f ca="1">IF(ISNUMBER(G$3),INDIRECT("'I.A. + Fasce'!B" &amp; 642 + MATCH(G$3+COUNTIF($A$3:$L$3,"&gt;0")*($M41-1),INDIRECT(ADDRESS(643,22+MATCH('I.A. + Fasce'!$P$30,'I.A. + Fasce'!$W$6:$AA$6,0),1,1,"I.A. + Fasce") &amp; ":" &amp; ADDRESS(762,22+MATCH('I.A. + Fasce'!$P$30,'I.A. + Fasce'!$W$6:$AA$6,0),1,1)),0)),"")</f>
        <v>LASAGNA</v>
      </c>
      <c r="H41" s="28" t="str">
        <f ca="1">IF(ISNUMBER(H$3),INDIRECT("'I.A. + Fasce'!B" &amp; 642 + MATCH(H$3+COUNTIF($A$3:$L$3,"&gt;0")*($M41-1),INDIRECT(ADDRESS(643,22+MATCH('I.A. + Fasce'!$P$30,'I.A. + Fasce'!$W$6:$AA$6,0),1,1,"I.A. + Fasce") &amp; ":" &amp; ADDRESS(762,22+MATCH('I.A. + Fasce'!$P$30,'I.A. + Fasce'!$W$6:$AA$6,0),1,1)),0)),"")</f>
        <v>VIDO</v>
      </c>
      <c r="I41" s="28" t="str">
        <f ca="1">IF(ISNUMBER(I$3),INDIRECT("'I.A. + Fasce'!B" &amp; 642 + MATCH(I$3+COUNTIF($A$3:$L$3,"&gt;0")*($M41-1),INDIRECT(ADDRESS(643,22+MATCH('I.A. + Fasce'!$P$30,'I.A. + Fasce'!$W$6:$AA$6,0),1,1,"I.A. + Fasce") &amp; ":" &amp; ADDRESS(762,22+MATCH('I.A. + Fasce'!$P$30,'I.A. + Fasce'!$W$6:$AA$6,0),1,1)),0)),"")</f>
        <v/>
      </c>
      <c r="J41" s="28" t="str">
        <f ca="1">IF(ISNUMBER(J$3),INDIRECT("'I.A. + Fasce'!B" &amp; 642 + MATCH(J$3+COUNTIF($A$3:$L$3,"&gt;0")*($M41-1),INDIRECT(ADDRESS(643,22+MATCH('I.A. + Fasce'!$P$30,'I.A. + Fasce'!$W$6:$AA$6,0),1,1,"I.A. + Fasce") &amp; ":" &amp; ADDRESS(762,22+MATCH('I.A. + Fasce'!$P$30,'I.A. + Fasce'!$W$6:$AA$6,0),1,1)),0)),"")</f>
        <v/>
      </c>
      <c r="K41" s="28" t="str">
        <f ca="1">IF(ISNUMBER(K$3),INDIRECT("'I.A. + Fasce'!B" &amp; 642 + MATCH(K$3+COUNTIF($A$3:$L$3,"&gt;0")*($M41-1),INDIRECT(ADDRESS(643,22+MATCH('I.A. + Fasce'!$P$30,'I.A. + Fasce'!$W$6:$AA$6,0),1,1,"I.A. + Fasce") &amp; ":" &amp; ADDRESS(762,22+MATCH('I.A. + Fasce'!$P$30,'I.A. + Fasce'!$W$6:$AA$6,0),1,1)),0)),"")</f>
        <v/>
      </c>
      <c r="L41" s="28" t="str">
        <f ca="1">IF(ISNUMBER(L$3),INDIRECT("'I.A. + Fasce'!B" &amp; 642 + MATCH(L$3+COUNTIF($A$3:$L$3,"&gt;0")*($M41-1),INDIRECT(ADDRESS(643,22+MATCH('I.A. + Fasce'!$P$30,'I.A. + Fasce'!$W$6:$AA$6,0),1,1,"I.A. + Fasce") &amp; ":" &amp; ADDRESS(762,22+MATCH('I.A. + Fasce'!$P$30,'I.A. + Fasce'!$W$6:$AA$6,0),1,1)),0)),"")</f>
        <v/>
      </c>
      <c r="M41" s="27">
        <v>6</v>
      </c>
      <c r="U41" s="28">
        <f>Rose!B64</f>
        <v>0</v>
      </c>
      <c r="V41" s="35" t="str">
        <f ca="1">Rose!K20</f>
        <v/>
      </c>
      <c r="W41" s="35" t="str">
        <f ca="1">Rose!K36</f>
        <v/>
      </c>
      <c r="X41" s="35" t="str">
        <f ca="1">Rose!N50</f>
        <v/>
      </c>
      <c r="Y41" s="35"/>
    </row>
    <row r="42" spans="1:25">
      <c r="A42" s="28" t="str">
        <f ca="1">IF(ISNUMBER(A$3),INDIRECT("'I.A. + Fasce'!B" &amp; 642 + MATCH(A$3+COUNTIF($A$3:$L$3,"&gt;0")*($M42-1),INDIRECT(ADDRESS(643,22+MATCH('I.A. + Fasce'!$P$30,'I.A. + Fasce'!$W$6:$AA$6,0),1,1,"I.A. + Fasce") &amp; ":" &amp; ADDRESS(762,22+MATCH('I.A. + Fasce'!$P$30,'I.A. + Fasce'!$W$6:$AA$6,0),1,1)),0)),"")</f>
        <v>ORSOLINI</v>
      </c>
      <c r="B42" s="28" t="str">
        <f ca="1">IF(ISNUMBER(B$3),INDIRECT("'I.A. + Fasce'!B" &amp; 642 + MATCH(B$3+COUNTIF($A$3:$L$3,"&gt;0")*($M42-1),INDIRECT(ADDRESS(643,22+MATCH('I.A. + Fasce'!$P$30,'I.A. + Fasce'!$W$6:$AA$6,0),1,1,"I.A. + Fasce") &amp; ":" &amp; ADDRESS(762,22+MATCH('I.A. + Fasce'!$P$30,'I.A. + Fasce'!$W$6:$AA$6,0),1,1)),0)),"")</f>
        <v>RICCI</v>
      </c>
      <c r="C42" s="28" t="str">
        <f ca="1">IF(ISNUMBER(C$3),INDIRECT("'I.A. + Fasce'!B" &amp; 642 + MATCH(C$3+COUNTIF($A$3:$L$3,"&gt;0")*($M42-1),INDIRECT(ADDRESS(643,22+MATCH('I.A. + Fasce'!$P$30,'I.A. + Fasce'!$W$6:$AA$6,0),1,1,"I.A. + Fasce") &amp; ":" &amp; ADDRESS(762,22+MATCH('I.A. + Fasce'!$P$30,'I.A. + Fasce'!$W$6:$AA$6,0),1,1)),0)),"")</f>
        <v>CENTURION</v>
      </c>
      <c r="D42" s="28" t="str">
        <f ca="1">IF(ISNUMBER(D$3),INDIRECT("'I.A. + Fasce'!B" &amp; 642 + MATCH(D$3+COUNTIF($A$3:$L$3,"&gt;0")*($M42-1),INDIRECT(ADDRESS(643,22+MATCH('I.A. + Fasce'!$P$30,'I.A. + Fasce'!$W$6:$AA$6,0),1,1,"I.A. + Fasce") &amp; ":" &amp; ADDRESS(762,22+MATCH('I.A. + Fasce'!$P$30,'I.A. + Fasce'!$W$6:$AA$6,0),1,1)),0)),"")</f>
        <v>BAJIC</v>
      </c>
      <c r="E42" s="28" t="str">
        <f ca="1">IF(ISNUMBER(E$3),INDIRECT("'I.A. + Fasce'!B" &amp; 642 + MATCH(E$3+COUNTIF($A$3:$L$3,"&gt;0")*($M42-1),INDIRECT(ADDRESS(643,22+MATCH('I.A. + Fasce'!$P$30,'I.A. + Fasce'!$W$6:$AA$6,0),1,1,"I.A. + Fasce") &amp; ":" &amp; ADDRESS(762,22+MATCH('I.A. + Fasce'!$P$30,'I.A. + Fasce'!$W$6:$AA$6,0),1,1)),0)),"")</f>
        <v>SAU</v>
      </c>
      <c r="F42" s="28" t="str">
        <f ca="1">IF(ISNUMBER(F$3),INDIRECT("'I.A. + Fasce'!B" &amp; 642 + MATCH(F$3+COUNTIF($A$3:$L$3,"&gt;0")*($M42-1),INDIRECT(ADDRESS(643,22+MATCH('I.A. + Fasce'!$P$30,'I.A. + Fasce'!$W$6:$AA$6,0),1,1,"I.A. + Fasce") &amp; ":" &amp; ADDRESS(762,22+MATCH('I.A. + Fasce'!$P$30,'I.A. + Fasce'!$W$6:$AA$6,0),1,1)),0)),"")</f>
        <v>CAPRARI</v>
      </c>
      <c r="G42" s="28" t="str">
        <f ca="1">IF(ISNUMBER(G$3),INDIRECT("'I.A. + Fasce'!B" &amp; 642 + MATCH(G$3+COUNTIF($A$3:$L$3,"&gt;0")*($M42-1),INDIRECT(ADDRESS(643,22+MATCH('I.A. + Fasce'!$P$30,'I.A. + Fasce'!$W$6:$AA$6,0),1,1,"I.A. + Fasce") &amp; ":" &amp; ADDRESS(762,22+MATCH('I.A. + Fasce'!$P$30,'I.A. + Fasce'!$W$6:$AA$6,0),1,1)),0)),"")</f>
        <v>MELCHIORRI</v>
      </c>
      <c r="H42" s="28" t="str">
        <f ca="1">IF(ISNUMBER(H$3),INDIRECT("'I.A. + Fasce'!B" &amp; 642 + MATCH(H$3+COUNTIF($A$3:$L$3,"&gt;0")*($M42-1),INDIRECT(ADDRESS(643,22+MATCH('I.A. + Fasce'!$P$30,'I.A. + Fasce'!$W$6:$AA$6,0),1,1,"I.A. + Fasce") &amp; ":" &amp; ADDRESS(762,22+MATCH('I.A. + Fasce'!$P$30,'I.A. + Fasce'!$W$6:$AA$6,0),1,1)),0)),"")</f>
        <v>GALABINOV</v>
      </c>
      <c r="I42" s="28" t="str">
        <f ca="1">IF(ISNUMBER(I$3),INDIRECT("'I.A. + Fasce'!B" &amp; 642 + MATCH(I$3+COUNTIF($A$3:$L$3,"&gt;0")*($M42-1),INDIRECT(ADDRESS(643,22+MATCH('I.A. + Fasce'!$P$30,'I.A. + Fasce'!$W$6:$AA$6,0),1,1,"I.A. + Fasce") &amp; ":" &amp; ADDRESS(762,22+MATCH('I.A. + Fasce'!$P$30,'I.A. + Fasce'!$W$6:$AA$6,0),1,1)),0)),"")</f>
        <v/>
      </c>
      <c r="J42" s="28" t="str">
        <f ca="1">IF(ISNUMBER(J$3),INDIRECT("'I.A. + Fasce'!B" &amp; 642 + MATCH(J$3+COUNTIF($A$3:$L$3,"&gt;0")*($M42-1),INDIRECT(ADDRESS(643,22+MATCH('I.A. + Fasce'!$P$30,'I.A. + Fasce'!$W$6:$AA$6,0),1,1,"I.A. + Fasce") &amp; ":" &amp; ADDRESS(762,22+MATCH('I.A. + Fasce'!$P$30,'I.A. + Fasce'!$W$6:$AA$6,0),1,1)),0)),"")</f>
        <v/>
      </c>
      <c r="K42" s="28" t="str">
        <f ca="1">IF(ISNUMBER(K$3),INDIRECT("'I.A. + Fasce'!B" &amp; 642 + MATCH(K$3+COUNTIF($A$3:$L$3,"&gt;0")*($M42-1),INDIRECT(ADDRESS(643,22+MATCH('I.A. + Fasce'!$P$30,'I.A. + Fasce'!$W$6:$AA$6,0),1,1,"I.A. + Fasce") &amp; ":" &amp; ADDRESS(762,22+MATCH('I.A. + Fasce'!$P$30,'I.A. + Fasce'!$W$6:$AA$6,0),1,1)),0)),"")</f>
        <v/>
      </c>
      <c r="L42" s="28" t="str">
        <f ca="1">IF(ISNUMBER(L$3),INDIRECT("'I.A. + Fasce'!B" &amp; 642 + MATCH(L$3+COUNTIF($A$3:$L$3,"&gt;0")*($M42-1),INDIRECT(ADDRESS(643,22+MATCH('I.A. + Fasce'!$P$30,'I.A. + Fasce'!$W$6:$AA$6,0),1,1,"I.A. + Fasce") &amp; ":" &amp; ADDRESS(762,22+MATCH('I.A. + Fasce'!$P$30,'I.A. + Fasce'!$W$6:$AA$6,0),1,1)),0)),"")</f>
        <v/>
      </c>
      <c r="M42" s="27">
        <v>7</v>
      </c>
      <c r="U42" s="28">
        <f>Rose!B65</f>
        <v>0</v>
      </c>
      <c r="V42" s="35" t="str">
        <f ca="1">Rose!K21</f>
        <v/>
      </c>
      <c r="W42" s="35" t="str">
        <f ca="1">Rose!K37</f>
        <v/>
      </c>
      <c r="X42" s="35" t="str">
        <f ca="1">Rose!N51</f>
        <v/>
      </c>
      <c r="Y42" s="35"/>
    </row>
    <row r="43" spans="1:25">
      <c r="A43" s="28" t="str">
        <f ca="1">IF(ISNUMBER(A$3),INDIRECT("'I.A. + Fasce'!B" &amp; 642 + MATCH(A$3+COUNTIF($A$3:$L$3,"&gt;0")*($M43-1),INDIRECT(ADDRESS(643,22+MATCH('I.A. + Fasce'!$P$30,'I.A. + Fasce'!$W$6:$AA$6,0),1,1,"I.A. + Fasce") &amp; ":" &amp; ADDRESS(762,22+MATCH('I.A. + Fasce'!$P$30,'I.A. + Fasce'!$W$6:$AA$6,0),1,1)),0)),"")</f>
        <v>TAARABT</v>
      </c>
      <c r="B43" s="28" t="str">
        <f ca="1">IF(ISNUMBER(B$3),INDIRECT("'I.A. + Fasce'!B" &amp; 642 + MATCH(B$3+COUNTIF($A$3:$L$3,"&gt;0")*($M43-1),INDIRECT(ADDRESS(643,22+MATCH('I.A. + Fasce'!$P$30,'I.A. + Fasce'!$W$6:$AA$6,0),1,1,"I.A. + Fasce") &amp; ":" &amp; ADDRESS(762,22+MATCH('I.A. + Fasce'!$P$30,'I.A. + Fasce'!$W$6:$AA$6,0),1,1)),0)),"")</f>
        <v>MATRI</v>
      </c>
      <c r="C43" s="28" t="str">
        <f ca="1">IF(ISNUMBER(C$3),INDIRECT("'I.A. + Fasce'!B" &amp; 642 + MATCH(C$3+COUNTIF($A$3:$L$3,"&gt;0")*($M43-1),INDIRECT(ADDRESS(643,22+MATCH('I.A. + Fasce'!$P$30,'I.A. + Fasce'!$W$6:$AA$6,0),1,1,"I.A. + Fasce") &amp; ":" &amp; ADDRESS(762,22+MATCH('I.A. + Fasce'!$P$30,'I.A. + Fasce'!$W$6:$AA$6,0),1,1)),0)),"")</f>
        <v>DI FRANCESCO F</v>
      </c>
      <c r="D43" s="28" t="str">
        <f ca="1">IF(ISNUMBER(D$3),INDIRECT("'I.A. + Fasce'!B" &amp; 642 + MATCH(D$3+COUNTIF($A$3:$L$3,"&gt;0")*($M43-1),INDIRECT(ADDRESS(643,22+MATCH('I.A. + Fasce'!$P$30,'I.A. + Fasce'!$W$6:$AA$6,0),1,1,"I.A. + Fasce") &amp; ":" &amp; ADDRESS(762,22+MATCH('I.A. + Fasce'!$P$30,'I.A. + Fasce'!$W$6:$AA$6,0),1,1)),0)),"")</f>
        <v>VERDE</v>
      </c>
      <c r="E43" s="28" t="str">
        <f ca="1">IF(ISNUMBER(E$3),INDIRECT("'I.A. + Fasce'!B" &amp; 642 + MATCH(E$3+COUNTIF($A$3:$L$3,"&gt;0")*($M43-1),INDIRECT(ADDRESS(643,22+MATCH('I.A. + Fasce'!$P$30,'I.A. + Fasce'!$W$6:$AA$6,0),1,1,"I.A. + Fasce") &amp; ":" &amp; ADDRESS(762,22+MATCH('I.A. + Fasce'!$P$30,'I.A. + Fasce'!$W$6:$AA$6,0),1,1)),0)),"")</f>
        <v>TUMMINELLO</v>
      </c>
      <c r="F43" s="28" t="str">
        <f ca="1">IF(ISNUMBER(F$3),INDIRECT("'I.A. + Fasce'!B" &amp; 642 + MATCH(F$3+COUNTIF($A$3:$L$3,"&gt;0")*($M43-1),INDIRECT(ADDRESS(643,22+MATCH('I.A. + Fasce'!$P$30,'I.A. + Fasce'!$W$6:$AA$6,0),1,1,"I.A. + Fasce") &amp; ":" &amp; ADDRESS(762,22+MATCH('I.A. + Fasce'!$P$30,'I.A. + Fasce'!$W$6:$AA$6,0),1,1)),0)),"")</f>
        <v>TROTTA</v>
      </c>
      <c r="G43" s="28" t="str">
        <f ca="1">IF(ISNUMBER(G$3),INDIRECT("'I.A. + Fasce'!B" &amp; 642 + MATCH(G$3+COUNTIF($A$3:$L$3,"&gt;0")*($M43-1),INDIRECT(ADDRESS(643,22+MATCH('I.A. + Fasce'!$P$30,'I.A. + Fasce'!$W$6:$AA$6,0),1,1,"I.A. + Fasce") &amp; ":" &amp; ADDRESS(762,22+MATCH('I.A. + Fasce'!$P$30,'I.A. + Fasce'!$W$6:$AA$6,0),1,1)),0)),"")</f>
        <v>TONEV</v>
      </c>
      <c r="H43" s="28" t="str">
        <f ca="1">IF(ISNUMBER(H$3),INDIRECT("'I.A. + Fasce'!B" &amp; 642 + MATCH(H$3+COUNTIF($A$3:$L$3,"&gt;0")*($M43-1),INDIRECT(ADDRESS(643,22+MATCH('I.A. + Fasce'!$P$30,'I.A. + Fasce'!$W$6:$AA$6,0),1,1,"I.A. + Fasce") &amp; ":" &amp; ADDRESS(762,22+MATCH('I.A. + Fasce'!$P$30,'I.A. + Fasce'!$W$6:$AA$6,0),1,1)),0)),"")</f>
        <v>STEPINSKI</v>
      </c>
      <c r="I43" s="28" t="str">
        <f ca="1">IF(ISNUMBER(I$3),INDIRECT("'I.A. + Fasce'!B" &amp; 642 + MATCH(I$3+COUNTIF($A$3:$L$3,"&gt;0")*($M43-1),INDIRECT(ADDRESS(643,22+MATCH('I.A. + Fasce'!$P$30,'I.A. + Fasce'!$W$6:$AA$6,0),1,1,"I.A. + Fasce") &amp; ":" &amp; ADDRESS(762,22+MATCH('I.A. + Fasce'!$P$30,'I.A. + Fasce'!$W$6:$AA$6,0),1,1)),0)),"")</f>
        <v/>
      </c>
      <c r="J43" s="28" t="str">
        <f ca="1">IF(ISNUMBER(J$3),INDIRECT("'I.A. + Fasce'!B" &amp; 642 + MATCH(J$3+COUNTIF($A$3:$L$3,"&gt;0")*($M43-1),INDIRECT(ADDRESS(643,22+MATCH('I.A. + Fasce'!$P$30,'I.A. + Fasce'!$W$6:$AA$6,0),1,1,"I.A. + Fasce") &amp; ":" &amp; ADDRESS(762,22+MATCH('I.A. + Fasce'!$P$30,'I.A. + Fasce'!$W$6:$AA$6,0),1,1)),0)),"")</f>
        <v/>
      </c>
      <c r="K43" s="28" t="str">
        <f ca="1">IF(ISNUMBER(K$3),INDIRECT("'I.A. + Fasce'!B" &amp; 642 + MATCH(K$3+COUNTIF($A$3:$L$3,"&gt;0")*($M43-1),INDIRECT(ADDRESS(643,22+MATCH('I.A. + Fasce'!$P$30,'I.A. + Fasce'!$W$6:$AA$6,0),1,1,"I.A. + Fasce") &amp; ":" &amp; ADDRESS(762,22+MATCH('I.A. + Fasce'!$P$30,'I.A. + Fasce'!$W$6:$AA$6,0),1,1)),0)),"")</f>
        <v/>
      </c>
      <c r="L43" s="28" t="str">
        <f ca="1">IF(ISNUMBER(L$3),INDIRECT("'I.A. + Fasce'!B" &amp; 642 + MATCH(L$3+COUNTIF($A$3:$L$3,"&gt;0")*($M43-1),INDIRECT(ADDRESS(643,22+MATCH('I.A. + Fasce'!$P$30,'I.A. + Fasce'!$W$6:$AA$6,0),1,1,"I.A. + Fasce") &amp; ":" &amp; ADDRESS(762,22+MATCH('I.A. + Fasce'!$P$30,'I.A. + Fasce'!$W$6:$AA$6,0),1,1)),0)),"")</f>
        <v/>
      </c>
      <c r="M43" s="27">
        <v>8</v>
      </c>
      <c r="U43" s="28">
        <f>Rose!B66</f>
        <v>0</v>
      </c>
      <c r="V43" s="35" t="str">
        <f ca="1">Rose!K22</f>
        <v/>
      </c>
      <c r="W43" s="35" t="str">
        <f ca="1">Rose!K38</f>
        <v/>
      </c>
      <c r="X43" s="35" t="str">
        <f ca="1">Rose!N52</f>
        <v/>
      </c>
      <c r="Y43" s="35"/>
    </row>
    <row r="44" spans="1:25">
      <c r="A44" s="45"/>
      <c r="B44" s="45"/>
      <c r="C44" s="45"/>
      <c r="D44" s="45"/>
      <c r="E44" s="45"/>
      <c r="F44" s="45"/>
      <c r="G44" s="45"/>
      <c r="H44" s="45"/>
      <c r="I44" s="45"/>
      <c r="J44" s="45"/>
      <c r="U44" s="28">
        <f>Rose!B67</f>
        <v>0</v>
      </c>
      <c r="V44" s="35" t="str">
        <f ca="1">Rose!K23</f>
        <v/>
      </c>
      <c r="W44" s="35" t="str">
        <f ca="1">Rose!K39</f>
        <v/>
      </c>
      <c r="X44" s="35" t="str">
        <f ca="1">Rose!N53</f>
        <v/>
      </c>
      <c r="Y44" s="35"/>
    </row>
    <row r="45" spans="1:25">
      <c r="A45" s="45"/>
      <c r="B45" s="45"/>
      <c r="C45" s="45"/>
      <c r="D45" s="45"/>
      <c r="E45" s="45"/>
      <c r="F45" s="45"/>
      <c r="G45" s="45"/>
      <c r="H45" s="45"/>
      <c r="I45" s="45"/>
      <c r="J45" s="45"/>
      <c r="U45" s="28">
        <f>Rose!B68</f>
        <v>0</v>
      </c>
      <c r="V45" s="35" t="str">
        <f ca="1">Rose!N14</f>
        <v/>
      </c>
      <c r="W45" s="35" t="str">
        <f ca="1">Rose!N30</f>
        <v/>
      </c>
      <c r="X45" s="35" t="str">
        <f ca="1">Rose!Q46</f>
        <v/>
      </c>
      <c r="Y45" s="35"/>
    </row>
    <row r="46" spans="1:25" ht="23.1" customHeight="1">
      <c r="A46" s="45"/>
      <c r="B46" s="45"/>
      <c r="C46" s="45"/>
      <c r="D46" s="45"/>
      <c r="E46" s="45"/>
      <c r="F46" s="45"/>
      <c r="G46" s="45"/>
      <c r="H46" s="45"/>
      <c r="I46" s="45"/>
      <c r="J46" s="45"/>
      <c r="U46" s="28">
        <f>Rose!B69</f>
        <v>0</v>
      </c>
      <c r="V46" s="35" t="str">
        <f ca="1">Rose!N15</f>
        <v/>
      </c>
      <c r="W46" s="35" t="str">
        <f ca="1">Rose!N31</f>
        <v/>
      </c>
      <c r="X46" s="35" t="str">
        <f ca="1">Rose!Q47</f>
        <v/>
      </c>
      <c r="Y46" s="35"/>
    </row>
    <row r="47" spans="1:25" ht="11.25" customHeight="1">
      <c r="A47" s="45"/>
      <c r="B47" s="45"/>
      <c r="C47" s="45"/>
      <c r="D47" s="45"/>
      <c r="E47" s="45"/>
      <c r="F47" s="45"/>
      <c r="G47" s="45"/>
      <c r="H47" s="45"/>
      <c r="I47" s="45"/>
      <c r="J47" s="45"/>
      <c r="U47" s="28">
        <f>Rose!B70</f>
        <v>0</v>
      </c>
      <c r="V47" s="35" t="str">
        <f ca="1">Rose!N16</f>
        <v/>
      </c>
      <c r="W47" s="35" t="str">
        <f ca="1">Rose!N32</f>
        <v/>
      </c>
      <c r="X47" s="35" t="str">
        <f ca="1">Rose!Q48</f>
        <v/>
      </c>
      <c r="Y47" s="35"/>
    </row>
    <row r="48" spans="1:25" ht="19.5" customHeight="1">
      <c r="A48" s="45"/>
      <c r="B48" s="45"/>
      <c r="C48" s="45"/>
      <c r="D48" s="45"/>
      <c r="E48" s="45"/>
      <c r="F48" s="45"/>
      <c r="G48" s="45"/>
      <c r="H48" s="45"/>
      <c r="I48" s="45"/>
      <c r="J48" s="45"/>
      <c r="U48" s="49">
        <f>Rose!E64</f>
        <v>0</v>
      </c>
      <c r="V48" s="35" t="str">
        <f ca="1">Rose!N17</f>
        <v/>
      </c>
      <c r="W48" s="35" t="str">
        <f ca="1">Rose!N33</f>
        <v/>
      </c>
      <c r="X48" s="35" t="str">
        <f ca="1">Rose!Q49</f>
        <v/>
      </c>
      <c r="Y48" s="35"/>
    </row>
    <row r="49" spans="1:25">
      <c r="E49" s="51"/>
      <c r="F49" s="51"/>
      <c r="U49" s="49">
        <f>Rose!E65</f>
        <v>0</v>
      </c>
      <c r="V49" s="35" t="str">
        <f ca="1">Rose!N18</f>
        <v/>
      </c>
      <c r="W49" s="35" t="str">
        <f ca="1">Rose!N34</f>
        <v/>
      </c>
      <c r="X49" s="35" t="str">
        <f ca="1">Rose!Q50</f>
        <v/>
      </c>
      <c r="Y49" s="35"/>
    </row>
    <row r="50" spans="1:25" ht="34.5" customHeight="1">
      <c r="A50" s="53"/>
      <c r="B50" s="53"/>
      <c r="E50" s="51"/>
      <c r="F50" s="51"/>
      <c r="U50" s="49">
        <f>Rose!E66</f>
        <v>0</v>
      </c>
      <c r="V50" s="35" t="str">
        <f ca="1">Rose!N19</f>
        <v/>
      </c>
      <c r="W50" s="35" t="str">
        <f ca="1">Rose!N35</f>
        <v/>
      </c>
      <c r="X50" s="35" t="str">
        <f ca="1">Rose!Q51</f>
        <v/>
      </c>
      <c r="Y50" s="35"/>
    </row>
    <row r="51" spans="1:25">
      <c r="E51" s="51"/>
      <c r="F51" s="51"/>
      <c r="U51" s="49">
        <f>Rose!E67</f>
        <v>0</v>
      </c>
      <c r="V51" s="35" t="str">
        <f ca="1">Rose!N20</f>
        <v/>
      </c>
      <c r="W51" s="35" t="str">
        <f ca="1">Rose!N36</f>
        <v/>
      </c>
      <c r="X51" s="35" t="str">
        <f ca="1">Rose!Q52</f>
        <v/>
      </c>
      <c r="Y51" s="35"/>
    </row>
    <row r="52" spans="1:25">
      <c r="E52" s="51"/>
      <c r="F52" s="51"/>
      <c r="U52" s="49">
        <f>Rose!E68</f>
        <v>0</v>
      </c>
      <c r="V52" s="35" t="str">
        <f ca="1">Rose!N21</f>
        <v/>
      </c>
      <c r="W52" s="35" t="str">
        <f ca="1">Rose!N37</f>
        <v/>
      </c>
      <c r="X52" s="35" t="str">
        <f ca="1">Rose!Q53</f>
        <v/>
      </c>
      <c r="Y52" s="35"/>
    </row>
    <row r="53" spans="1:25">
      <c r="E53" s="51"/>
      <c r="F53" s="51"/>
      <c r="U53" s="49">
        <f>Rose!E69</f>
        <v>0</v>
      </c>
      <c r="V53" s="35" t="str">
        <f ca="1">Rose!N22</f>
        <v/>
      </c>
      <c r="W53" s="35" t="str">
        <f ca="1">Rose!N38</f>
        <v/>
      </c>
      <c r="X53" s="35" t="str">
        <f ca="1">Rose!T46</f>
        <v/>
      </c>
      <c r="Y53" s="35"/>
    </row>
    <row r="54" spans="1:25">
      <c r="E54" s="51"/>
      <c r="F54" s="51"/>
      <c r="U54" s="49">
        <f>Rose!E70</f>
        <v>0</v>
      </c>
      <c r="V54" s="35" t="str">
        <f ca="1">Rose!N23</f>
        <v/>
      </c>
      <c r="W54" s="35" t="str">
        <f ca="1">Rose!N39</f>
        <v/>
      </c>
      <c r="X54" s="35" t="str">
        <f ca="1">Rose!T47</f>
        <v/>
      </c>
      <c r="Y54" s="35"/>
    </row>
    <row r="55" spans="1:25">
      <c r="E55" s="51"/>
      <c r="F55" s="51"/>
      <c r="U55" s="49">
        <f>Rose!H64</f>
        <v>0</v>
      </c>
      <c r="V55" s="35" t="str">
        <f ca="1">Rose!Q14</f>
        <v/>
      </c>
      <c r="W55" s="35" t="str">
        <f ca="1">Rose!Q30</f>
        <v/>
      </c>
      <c r="X55" s="35" t="str">
        <f ca="1">Rose!T48</f>
        <v/>
      </c>
      <c r="Y55" s="35"/>
    </row>
    <row r="56" spans="1:25">
      <c r="E56" s="51"/>
      <c r="F56" s="51"/>
      <c r="U56" s="49">
        <f>Rose!H65</f>
        <v>0</v>
      </c>
      <c r="V56" s="35" t="str">
        <f ca="1">Rose!Q15</f>
        <v/>
      </c>
      <c r="W56" s="35" t="str">
        <f ca="1">Rose!Q31</f>
        <v/>
      </c>
      <c r="X56" s="35" t="str">
        <f ca="1">Rose!T49</f>
        <v/>
      </c>
      <c r="Y56" s="35"/>
    </row>
    <row r="57" spans="1:25">
      <c r="F57" s="51"/>
      <c r="U57" s="49">
        <f>Rose!H66</f>
        <v>0</v>
      </c>
      <c r="V57" s="35" t="str">
        <f ca="1">Rose!Q16</f>
        <v/>
      </c>
      <c r="W57" s="35" t="str">
        <f ca="1">Rose!Q32</f>
        <v/>
      </c>
      <c r="X57" s="35" t="str">
        <f ca="1">Rose!T50</f>
        <v/>
      </c>
      <c r="Y57" s="35"/>
    </row>
    <row r="58" spans="1:25">
      <c r="U58" s="49">
        <f>Rose!H67</f>
        <v>0</v>
      </c>
      <c r="V58" s="35" t="str">
        <f ca="1">Rose!Q17</f>
        <v/>
      </c>
      <c r="W58" s="35" t="str">
        <f ca="1">Rose!Q33</f>
        <v/>
      </c>
      <c r="X58" s="35" t="str">
        <f ca="1">Rose!T51</f>
        <v/>
      </c>
      <c r="Y58" s="35"/>
    </row>
    <row r="59" spans="1:25">
      <c r="U59" s="49">
        <f>Rose!H68</f>
        <v>0</v>
      </c>
      <c r="V59" s="35" t="str">
        <f ca="1">Rose!Q18</f>
        <v/>
      </c>
      <c r="W59" s="35" t="str">
        <f ca="1">Rose!Q34</f>
        <v/>
      </c>
      <c r="X59" s="35" t="str">
        <f ca="1">Rose!T52</f>
        <v/>
      </c>
      <c r="Y59" s="35"/>
    </row>
    <row r="60" spans="1:25">
      <c r="U60" s="49">
        <f>Rose!H69</f>
        <v>0</v>
      </c>
      <c r="V60" s="35" t="str">
        <f ca="1">Rose!Q19</f>
        <v/>
      </c>
      <c r="W60" s="35" t="str">
        <f ca="1">Rose!Q35</f>
        <v/>
      </c>
      <c r="X60" s="35" t="str">
        <f ca="1">Rose!T53</f>
        <v/>
      </c>
      <c r="Y60" s="35"/>
    </row>
    <row r="61" spans="1:25">
      <c r="U61" s="49">
        <f>Rose!H70</f>
        <v>0</v>
      </c>
      <c r="V61" s="35" t="str">
        <f ca="1">Rose!Q20</f>
        <v/>
      </c>
      <c r="W61" s="35" t="str">
        <f ca="1">Rose!Q36</f>
        <v/>
      </c>
      <c r="X61" s="35" t="str">
        <f ca="1">Rose!W46</f>
        <v/>
      </c>
      <c r="Y61" s="35"/>
    </row>
    <row r="62" spans="1:25">
      <c r="U62" s="49">
        <f>Rose!K64</f>
        <v>0</v>
      </c>
      <c r="V62" s="35" t="str">
        <f ca="1">Rose!Q21</f>
        <v/>
      </c>
      <c r="W62" s="35" t="str">
        <f ca="1">Rose!Q37</f>
        <v/>
      </c>
      <c r="X62" s="35" t="str">
        <f ca="1">Rose!W47</f>
        <v/>
      </c>
      <c r="Y62" s="35"/>
    </row>
    <row r="63" spans="1:25">
      <c r="U63" s="49">
        <f>Rose!K65</f>
        <v>0</v>
      </c>
      <c r="V63" s="35" t="str">
        <f ca="1">Rose!Q22</f>
        <v/>
      </c>
      <c r="W63" s="35" t="str">
        <f ca="1">Rose!Q38</f>
        <v/>
      </c>
      <c r="X63" s="35" t="str">
        <f ca="1">Rose!W48</f>
        <v/>
      </c>
      <c r="Y63" s="35"/>
    </row>
    <row r="64" spans="1:25">
      <c r="U64" s="49">
        <f>Rose!K66</f>
        <v>0</v>
      </c>
      <c r="V64" s="35" t="str">
        <f ca="1">Rose!Q23</f>
        <v/>
      </c>
      <c r="W64" s="35" t="str">
        <f ca="1">Rose!Q39</f>
        <v/>
      </c>
      <c r="X64" s="35" t="str">
        <f ca="1">Rose!W49</f>
        <v/>
      </c>
      <c r="Y64" s="35"/>
    </row>
    <row r="65" spans="21:25">
      <c r="U65" s="49">
        <f>Rose!K67</f>
        <v>0</v>
      </c>
      <c r="V65" s="35" t="str">
        <f ca="1">Rose!T14</f>
        <v/>
      </c>
      <c r="W65" s="35" t="str">
        <f ca="1">Rose!T30</f>
        <v/>
      </c>
      <c r="X65" s="35" t="str">
        <f ca="1">Rose!W50</f>
        <v/>
      </c>
      <c r="Y65" s="35"/>
    </row>
    <row r="66" spans="21:25">
      <c r="U66" s="49">
        <f>Rose!K68</f>
        <v>0</v>
      </c>
      <c r="V66" s="35" t="str">
        <f ca="1">Rose!T15</f>
        <v/>
      </c>
      <c r="W66" s="35" t="str">
        <f ca="1">Rose!T31</f>
        <v/>
      </c>
      <c r="X66" s="35" t="str">
        <f ca="1">Rose!W51</f>
        <v/>
      </c>
      <c r="Y66" s="35"/>
    </row>
    <row r="67" spans="21:25">
      <c r="U67" s="49">
        <f>Rose!K69</f>
        <v>0</v>
      </c>
      <c r="V67" s="35" t="str">
        <f ca="1">Rose!T16</f>
        <v/>
      </c>
      <c r="W67" s="35" t="str">
        <f ca="1">Rose!T32</f>
        <v/>
      </c>
      <c r="X67" s="35" t="str">
        <f ca="1">Rose!W52</f>
        <v/>
      </c>
      <c r="Y67" s="35"/>
    </row>
    <row r="68" spans="21:25">
      <c r="U68" s="49">
        <f>Rose!K70</f>
        <v>0</v>
      </c>
      <c r="V68" s="35" t="str">
        <f ca="1">Rose!T17</f>
        <v/>
      </c>
      <c r="W68" s="35" t="str">
        <f ca="1">Rose!T33</f>
        <v/>
      </c>
      <c r="X68" s="35" t="str">
        <f ca="1">Rose!W53</f>
        <v/>
      </c>
      <c r="Y68" s="35"/>
    </row>
    <row r="69" spans="21:25">
      <c r="U69" s="49">
        <f>Rose!N64</f>
        <v>0</v>
      </c>
      <c r="V69" s="35" t="str">
        <f ca="1">Rose!T18</f>
        <v/>
      </c>
      <c r="W69" s="35" t="str">
        <f ca="1">Rose!T34</f>
        <v/>
      </c>
      <c r="X69" s="35" t="str">
        <f ca="1">Rose!Z46</f>
        <v/>
      </c>
      <c r="Y69" s="35"/>
    </row>
    <row r="70" spans="21:25">
      <c r="U70" s="49">
        <f>Rose!N65</f>
        <v>0</v>
      </c>
      <c r="V70" s="35" t="str">
        <f ca="1">Rose!T19</f>
        <v/>
      </c>
      <c r="W70" s="35" t="str">
        <f ca="1">Rose!T35</f>
        <v/>
      </c>
      <c r="X70" s="35" t="str">
        <f ca="1">Rose!Z47</f>
        <v/>
      </c>
      <c r="Y70" s="35"/>
    </row>
    <row r="71" spans="21:25">
      <c r="U71" s="49">
        <f>Rose!N66</f>
        <v>0</v>
      </c>
      <c r="V71" s="35" t="str">
        <f ca="1">Rose!T20</f>
        <v/>
      </c>
      <c r="W71" s="35" t="str">
        <f ca="1">Rose!T36</f>
        <v/>
      </c>
      <c r="X71" s="35" t="str">
        <f ca="1">Rose!Z48</f>
        <v/>
      </c>
      <c r="Y71" s="49"/>
    </row>
    <row r="72" spans="21:25">
      <c r="U72" s="49">
        <f>Rose!N67</f>
        <v>0</v>
      </c>
      <c r="V72" s="35" t="str">
        <f ca="1">Rose!T21</f>
        <v/>
      </c>
      <c r="W72" s="35" t="str">
        <f ca="1">Rose!T37</f>
        <v/>
      </c>
      <c r="X72" s="35" t="str">
        <f ca="1">Rose!Z49</f>
        <v/>
      </c>
      <c r="Y72" s="49"/>
    </row>
    <row r="73" spans="21:25">
      <c r="U73" s="49">
        <f>Rose!N68</f>
        <v>0</v>
      </c>
      <c r="V73" s="35" t="str">
        <f ca="1">Rose!T22</f>
        <v/>
      </c>
      <c r="W73" s="35" t="str">
        <f ca="1">Rose!T38</f>
        <v/>
      </c>
      <c r="X73" s="35" t="str">
        <f ca="1">Rose!Z50</f>
        <v/>
      </c>
      <c r="Y73" s="49"/>
    </row>
    <row r="74" spans="21:25">
      <c r="U74" s="49">
        <f>Rose!N69</f>
        <v>0</v>
      </c>
      <c r="V74" s="35" t="str">
        <f ca="1">Rose!T23</f>
        <v/>
      </c>
      <c r="W74" s="35" t="str">
        <f ca="1">Rose!T39</f>
        <v/>
      </c>
      <c r="X74" s="35" t="str">
        <f ca="1">Rose!Z51</f>
        <v/>
      </c>
      <c r="Y74" s="49"/>
    </row>
    <row r="75" spans="21:25">
      <c r="U75" s="49">
        <f>Rose!N70</f>
        <v>0</v>
      </c>
      <c r="V75" s="35" t="str">
        <f ca="1">Rose!W14</f>
        <v/>
      </c>
      <c r="W75" s="35" t="str">
        <f ca="1">Rose!W30</f>
        <v/>
      </c>
      <c r="X75" s="35" t="str">
        <f ca="1">Rose!Z52</f>
        <v/>
      </c>
      <c r="Y75" s="49"/>
    </row>
    <row r="76" spans="21:25">
      <c r="U76" s="49">
        <f>Rose!Q64</f>
        <v>0</v>
      </c>
      <c r="V76" s="35" t="str">
        <f ca="1">Rose!W15</f>
        <v/>
      </c>
      <c r="W76" s="35" t="str">
        <f ca="1">Rose!W31</f>
        <v/>
      </c>
      <c r="X76" s="35" t="str">
        <f ca="1">Rose!Z53</f>
        <v/>
      </c>
      <c r="Y76" s="49"/>
    </row>
    <row r="77" spans="21:25">
      <c r="U77" s="49">
        <f>Rose!Q65</f>
        <v>0</v>
      </c>
      <c r="V77" s="35" t="str">
        <f ca="1">Rose!W16</f>
        <v/>
      </c>
      <c r="W77" s="35" t="str">
        <f ca="1">Rose!W32</f>
        <v/>
      </c>
      <c r="X77" s="35" t="str">
        <f ca="1">Rose!AC46</f>
        <v/>
      </c>
      <c r="Y77" s="49"/>
    </row>
    <row r="78" spans="21:25">
      <c r="U78" s="49">
        <f>Rose!Q66</f>
        <v>0</v>
      </c>
      <c r="V78" s="35" t="str">
        <f ca="1">Rose!W17</f>
        <v/>
      </c>
      <c r="W78" s="35" t="str">
        <f ca="1">Rose!W33</f>
        <v/>
      </c>
      <c r="X78" s="35" t="str">
        <f ca="1">Rose!AC47</f>
        <v/>
      </c>
      <c r="Y78" s="49"/>
    </row>
    <row r="79" spans="21:25">
      <c r="U79" s="49">
        <f>Rose!Q67</f>
        <v>0</v>
      </c>
      <c r="V79" s="35" t="str">
        <f ca="1">Rose!W18</f>
        <v/>
      </c>
      <c r="W79" s="35" t="str">
        <f ca="1">Rose!W34</f>
        <v/>
      </c>
      <c r="X79" s="35" t="str">
        <f ca="1">Rose!AC48</f>
        <v/>
      </c>
      <c r="Y79" s="49"/>
    </row>
    <row r="80" spans="21:25">
      <c r="U80" s="49">
        <f>Rose!Q68</f>
        <v>0</v>
      </c>
      <c r="V80" s="35" t="str">
        <f ca="1">Rose!W19</f>
        <v/>
      </c>
      <c r="W80" s="35" t="str">
        <f ca="1">Rose!W35</f>
        <v/>
      </c>
      <c r="X80" s="35" t="str">
        <f ca="1">Rose!AC49</f>
        <v/>
      </c>
      <c r="Y80" s="35"/>
    </row>
    <row r="81" spans="21:25">
      <c r="U81" s="49">
        <f>Rose!Q69</f>
        <v>0</v>
      </c>
      <c r="V81" s="35" t="str">
        <f ca="1">Rose!W20</f>
        <v/>
      </c>
      <c r="W81" s="35" t="str">
        <f ca="1">Rose!W36</f>
        <v/>
      </c>
      <c r="X81" s="35" t="str">
        <f ca="1">Rose!AC50</f>
        <v/>
      </c>
      <c r="Y81" s="35"/>
    </row>
    <row r="82" spans="21:25">
      <c r="U82" s="49">
        <f>Rose!Q70</f>
        <v>0</v>
      </c>
      <c r="V82" s="35" t="str">
        <f ca="1">Rose!W21</f>
        <v/>
      </c>
      <c r="W82" s="35" t="str">
        <f ca="1">Rose!W37</f>
        <v/>
      </c>
      <c r="X82" s="35" t="str">
        <f ca="1">Rose!AC51</f>
        <v/>
      </c>
      <c r="Y82" s="49"/>
    </row>
    <row r="83" spans="21:25">
      <c r="U83" s="49">
        <f>Rose!T64</f>
        <v>0</v>
      </c>
      <c r="V83" s="35" t="str">
        <f ca="1">Rose!W22</f>
        <v/>
      </c>
      <c r="W83" s="35" t="str">
        <f ca="1">Rose!W38</f>
        <v/>
      </c>
      <c r="X83" s="35" t="str">
        <f ca="1">Rose!AC52</f>
        <v/>
      </c>
      <c r="Y83" s="49"/>
    </row>
    <row r="84" spans="21:25">
      <c r="U84" s="49">
        <f>Rose!T65</f>
        <v>0</v>
      </c>
      <c r="V84" s="35" t="str">
        <f ca="1">Rose!W23</f>
        <v/>
      </c>
      <c r="W84" s="35" t="str">
        <f ca="1">Rose!W39</f>
        <v/>
      </c>
      <c r="X84" s="35" t="str">
        <f ca="1">Rose!AC53</f>
        <v/>
      </c>
      <c r="Y84" s="49"/>
    </row>
    <row r="85" spans="21:25">
      <c r="U85" s="49">
        <f>Rose!T66</f>
        <v>0</v>
      </c>
      <c r="V85" s="35" t="str">
        <f ca="1">Rose!Z14</f>
        <v/>
      </c>
      <c r="W85" s="35" t="str">
        <f ca="1">Rose!Z30</f>
        <v/>
      </c>
      <c r="X85" s="35" t="str">
        <f ca="1">Rose!AF46</f>
        <v/>
      </c>
      <c r="Y85" s="49"/>
    </row>
    <row r="86" spans="21:25">
      <c r="U86" s="49">
        <f>Rose!T67</f>
        <v>0</v>
      </c>
      <c r="V86" s="35" t="str">
        <f ca="1">Rose!Z15</f>
        <v/>
      </c>
      <c r="W86" s="35" t="str">
        <f ca="1">Rose!Z31</f>
        <v/>
      </c>
      <c r="X86" s="35" t="str">
        <f ca="1">Rose!AF47</f>
        <v/>
      </c>
      <c r="Y86" s="49"/>
    </row>
    <row r="87" spans="21:25">
      <c r="U87" s="49">
        <f>Rose!T68</f>
        <v>0</v>
      </c>
      <c r="V87" s="35" t="str">
        <f ca="1">Rose!Z16</f>
        <v/>
      </c>
      <c r="W87" s="35" t="str">
        <f ca="1">Rose!Z32</f>
        <v/>
      </c>
      <c r="X87" s="35" t="str">
        <f ca="1">Rose!AF48</f>
        <v/>
      </c>
      <c r="Y87" s="49"/>
    </row>
    <row r="88" spans="21:25">
      <c r="U88" s="49">
        <f>Rose!T69</f>
        <v>0</v>
      </c>
      <c r="V88" s="35" t="str">
        <f ca="1">Rose!Z17</f>
        <v/>
      </c>
      <c r="W88" s="35" t="str">
        <f ca="1">Rose!Z33</f>
        <v/>
      </c>
      <c r="X88" s="35" t="str">
        <f ca="1">Rose!AF49</f>
        <v/>
      </c>
      <c r="Y88" s="49"/>
    </row>
    <row r="89" spans="21:25">
      <c r="U89" s="49">
        <f>Rose!T70</f>
        <v>0</v>
      </c>
      <c r="V89" s="35" t="str">
        <f ca="1">Rose!Z18</f>
        <v/>
      </c>
      <c r="W89" s="35" t="str">
        <f ca="1">Rose!Z34</f>
        <v/>
      </c>
      <c r="X89" s="35" t="str">
        <f ca="1">Rose!AF50</f>
        <v/>
      </c>
      <c r="Y89" s="49"/>
    </row>
    <row r="90" spans="21:25">
      <c r="U90" s="35">
        <f>Rose!W64</f>
        <v>0</v>
      </c>
      <c r="V90" s="35" t="str">
        <f ca="1">Rose!Z19</f>
        <v/>
      </c>
      <c r="W90" s="35" t="str">
        <f ca="1">Rose!Z35</f>
        <v/>
      </c>
      <c r="X90" s="35" t="str">
        <f ca="1">Rose!AF51</f>
        <v/>
      </c>
      <c r="Y90" s="49"/>
    </row>
    <row r="91" spans="21:25">
      <c r="U91" s="35">
        <f>Rose!W65</f>
        <v>0</v>
      </c>
      <c r="V91" s="35" t="str">
        <f ca="1">Rose!Z20</f>
        <v/>
      </c>
      <c r="W91" s="35" t="str">
        <f ca="1">Rose!Z36</f>
        <v/>
      </c>
      <c r="X91" s="35" t="str">
        <f ca="1">Rose!AF52</f>
        <v/>
      </c>
    </row>
    <row r="92" spans="21:25">
      <c r="U92" s="35">
        <f>Rose!W66</f>
        <v>0</v>
      </c>
      <c r="V92" s="35" t="str">
        <f ca="1">Rose!Z21</f>
        <v/>
      </c>
      <c r="W92" s="35" t="str">
        <f ca="1">Rose!Z37</f>
        <v/>
      </c>
      <c r="X92" s="35" t="str">
        <f ca="1">Rose!AF53</f>
        <v/>
      </c>
    </row>
    <row r="93" spans="21:25">
      <c r="U93" s="35">
        <f>Rose!W67</f>
        <v>0</v>
      </c>
      <c r="V93" s="35" t="str">
        <f ca="1">Rose!Z22</f>
        <v/>
      </c>
      <c r="W93" s="35" t="str">
        <f ca="1">Rose!Z38</f>
        <v/>
      </c>
      <c r="X93" s="35" t="str">
        <f ca="1">Rose!AI46</f>
        <v/>
      </c>
    </row>
    <row r="94" spans="21:25">
      <c r="U94" s="35">
        <f>Rose!W68</f>
        <v>0</v>
      </c>
      <c r="V94" s="35" t="str">
        <f ca="1">Rose!Z23</f>
        <v/>
      </c>
      <c r="W94" s="35" t="str">
        <f ca="1">Rose!Z39</f>
        <v/>
      </c>
      <c r="X94" s="35" t="str">
        <f ca="1">Rose!AI47</f>
        <v/>
      </c>
    </row>
    <row r="95" spans="21:25">
      <c r="U95" s="35">
        <f>Rose!W69</f>
        <v>0</v>
      </c>
      <c r="V95" s="35" t="str">
        <f ca="1">Rose!AC14</f>
        <v/>
      </c>
      <c r="W95" s="35" t="str">
        <f ca="1">Rose!AC30</f>
        <v/>
      </c>
      <c r="X95" s="35" t="str">
        <f ca="1">Rose!AI48</f>
        <v/>
      </c>
    </row>
    <row r="96" spans="21:25">
      <c r="U96" s="35">
        <f>Rose!W70</f>
        <v>0</v>
      </c>
      <c r="V96" s="35" t="str">
        <f ca="1">Rose!AC15</f>
        <v/>
      </c>
      <c r="W96" s="35" t="str">
        <f ca="1">Rose!AC31</f>
        <v/>
      </c>
      <c r="X96" s="35" t="str">
        <f ca="1">Rose!AI49</f>
        <v/>
      </c>
    </row>
    <row r="97" spans="21:24">
      <c r="U97" s="49">
        <f>Rose!Z64</f>
        <v>0</v>
      </c>
      <c r="V97" s="35" t="str">
        <f ca="1">Rose!AC16</f>
        <v/>
      </c>
      <c r="W97" s="35" t="str">
        <f ca="1">Rose!AC32</f>
        <v/>
      </c>
      <c r="X97" s="35" t="str">
        <f ca="1">Rose!AI50</f>
        <v/>
      </c>
    </row>
    <row r="98" spans="21:24">
      <c r="U98" s="49">
        <f>Rose!Z65</f>
        <v>0</v>
      </c>
      <c r="V98" s="35" t="str">
        <f ca="1">Rose!AC17</f>
        <v/>
      </c>
      <c r="W98" s="35" t="str">
        <f ca="1">Rose!AC33</f>
        <v/>
      </c>
      <c r="X98" s="35" t="str">
        <f ca="1">Rose!AI51</f>
        <v/>
      </c>
    </row>
    <row r="99" spans="21:24">
      <c r="U99" s="49">
        <f>Rose!Z66</f>
        <v>0</v>
      </c>
      <c r="V99" s="35" t="str">
        <f ca="1">Rose!AC18</f>
        <v/>
      </c>
      <c r="W99" s="35" t="str">
        <f ca="1">Rose!AC34</f>
        <v/>
      </c>
      <c r="X99" s="35" t="str">
        <f ca="1">Rose!AI52</f>
        <v/>
      </c>
    </row>
    <row r="100" spans="21:24">
      <c r="U100" s="49">
        <f>Rose!Z67</f>
        <v>0</v>
      </c>
      <c r="V100" s="35" t="str">
        <f ca="1">Rose!AC19</f>
        <v/>
      </c>
      <c r="W100" s="35" t="str">
        <f ca="1">Rose!AC35</f>
        <v/>
      </c>
      <c r="X100" s="35" t="str">
        <f ca="1">Rose!AI53</f>
        <v/>
      </c>
    </row>
    <row r="101" spans="21:24">
      <c r="U101" s="49">
        <f>Rose!Z68</f>
        <v>0</v>
      </c>
      <c r="V101" s="35" t="str">
        <f ca="1">Rose!AC20</f>
        <v/>
      </c>
      <c r="W101" s="35" t="str">
        <f ca="1">Rose!AC36</f>
        <v/>
      </c>
      <c r="X101" s="28">
        <f t="shared" ref="X101:X164" si="3">$U41</f>
        <v>0</v>
      </c>
    </row>
    <row r="102" spans="21:24">
      <c r="U102" s="49">
        <f>Rose!Z69</f>
        <v>0</v>
      </c>
      <c r="V102" s="35" t="str">
        <f ca="1">Rose!AC21</f>
        <v/>
      </c>
      <c r="W102" s="35" t="str">
        <f ca="1">Rose!AC37</f>
        <v/>
      </c>
      <c r="X102" s="28">
        <f t="shared" si="3"/>
        <v>0</v>
      </c>
    </row>
    <row r="103" spans="21:24">
      <c r="U103" s="49">
        <f>Rose!Z70</f>
        <v>0</v>
      </c>
      <c r="V103" s="35" t="str">
        <f ca="1">Rose!AC22</f>
        <v/>
      </c>
      <c r="W103" s="35" t="str">
        <f ca="1">Rose!AC38</f>
        <v/>
      </c>
      <c r="X103" s="28">
        <f t="shared" si="3"/>
        <v>0</v>
      </c>
    </row>
    <row r="104" spans="21:24">
      <c r="U104" s="28">
        <f>Rose!AC64</f>
        <v>0</v>
      </c>
      <c r="V104" s="35" t="str">
        <f ca="1">Rose!AC23</f>
        <v/>
      </c>
      <c r="W104" s="35" t="str">
        <f ca="1">Rose!AC39</f>
        <v/>
      </c>
      <c r="X104" s="28">
        <f t="shared" si="3"/>
        <v>0</v>
      </c>
    </row>
    <row r="105" spans="21:24">
      <c r="U105" s="28">
        <f>Rose!AC65</f>
        <v>0</v>
      </c>
      <c r="V105" s="35" t="str">
        <f ca="1">Rose!AF14</f>
        <v/>
      </c>
      <c r="W105" s="35" t="str">
        <f ca="1">Rose!AF30</f>
        <v/>
      </c>
      <c r="X105" s="28">
        <f t="shared" si="3"/>
        <v>0</v>
      </c>
    </row>
    <row r="106" spans="21:24">
      <c r="U106" s="28">
        <f>Rose!AC66</f>
        <v>0</v>
      </c>
      <c r="V106" s="35" t="str">
        <f ca="1">Rose!AF15</f>
        <v/>
      </c>
      <c r="W106" s="35" t="str">
        <f ca="1">Rose!AF31</f>
        <v/>
      </c>
      <c r="X106" s="28">
        <f t="shared" si="3"/>
        <v>0</v>
      </c>
    </row>
    <row r="107" spans="21:24">
      <c r="U107" s="28">
        <f>Rose!AC67</f>
        <v>0</v>
      </c>
      <c r="V107" s="35" t="str">
        <f ca="1">Rose!AF16</f>
        <v/>
      </c>
      <c r="W107" s="35" t="str">
        <f ca="1">Rose!AF32</f>
        <v/>
      </c>
      <c r="X107" s="28">
        <f t="shared" si="3"/>
        <v>0</v>
      </c>
    </row>
    <row r="108" spans="21:24">
      <c r="U108" s="28">
        <f>Rose!AC68</f>
        <v>0</v>
      </c>
      <c r="V108" s="35" t="str">
        <f ca="1">Rose!AF17</f>
        <v/>
      </c>
      <c r="W108" s="35" t="str">
        <f ca="1">Rose!AF33</f>
        <v/>
      </c>
      <c r="X108" s="28">
        <f t="shared" si="3"/>
        <v>0</v>
      </c>
    </row>
    <row r="109" spans="21:24">
      <c r="U109" s="28">
        <f>Rose!AC69</f>
        <v>0</v>
      </c>
      <c r="V109" s="35" t="str">
        <f ca="1">Rose!AF18</f>
        <v/>
      </c>
      <c r="W109" s="35" t="str">
        <f ca="1">Rose!AF34</f>
        <v/>
      </c>
      <c r="X109" s="28">
        <f t="shared" si="3"/>
        <v>0</v>
      </c>
    </row>
    <row r="110" spans="21:24">
      <c r="U110" s="28">
        <f>Rose!AC70</f>
        <v>0</v>
      </c>
      <c r="V110" s="35" t="str">
        <f ca="1">Rose!AF19</f>
        <v/>
      </c>
      <c r="W110" s="35" t="str">
        <f ca="1">Rose!AF35</f>
        <v/>
      </c>
      <c r="X110" s="28">
        <f t="shared" si="3"/>
        <v>0</v>
      </c>
    </row>
    <row r="111" spans="21:24">
      <c r="U111" s="28">
        <f>Rose!AF64</f>
        <v>0</v>
      </c>
      <c r="V111" s="35" t="str">
        <f ca="1">Rose!AF20</f>
        <v/>
      </c>
      <c r="W111" s="35" t="str">
        <f ca="1">Rose!AF36</f>
        <v/>
      </c>
      <c r="X111" s="28">
        <f t="shared" si="3"/>
        <v>0</v>
      </c>
    </row>
    <row r="112" spans="21:24">
      <c r="U112" s="28">
        <f>Rose!AF65</f>
        <v>0</v>
      </c>
      <c r="V112" s="35" t="str">
        <f ca="1">Rose!AF21</f>
        <v/>
      </c>
      <c r="W112" s="35" t="str">
        <f ca="1">Rose!AF37</f>
        <v/>
      </c>
      <c r="X112" s="28">
        <f t="shared" si="3"/>
        <v>0</v>
      </c>
    </row>
    <row r="113" spans="21:24">
      <c r="U113" s="28">
        <f>Rose!AF66</f>
        <v>0</v>
      </c>
      <c r="V113" s="35" t="str">
        <f ca="1">Rose!AF22</f>
        <v/>
      </c>
      <c r="W113" s="35" t="str">
        <f ca="1">Rose!AF38</f>
        <v/>
      </c>
      <c r="X113" s="28">
        <f t="shared" si="3"/>
        <v>0</v>
      </c>
    </row>
    <row r="114" spans="21:24">
      <c r="U114" s="28">
        <f>Rose!AF67</f>
        <v>0</v>
      </c>
      <c r="V114" s="35" t="str">
        <f ca="1">Rose!AF23</f>
        <v/>
      </c>
      <c r="W114" s="35" t="str">
        <f ca="1">Rose!AF39</f>
        <v/>
      </c>
      <c r="X114" s="28">
        <f t="shared" si="3"/>
        <v>0</v>
      </c>
    </row>
    <row r="115" spans="21:24">
      <c r="U115" s="28">
        <f>Rose!AF68</f>
        <v>0</v>
      </c>
      <c r="V115" s="35" t="str">
        <f ca="1">Rose!AI14</f>
        <v/>
      </c>
      <c r="W115" s="35" t="str">
        <f ca="1">Rose!AI30</f>
        <v/>
      </c>
      <c r="X115" s="28">
        <f t="shared" si="3"/>
        <v>0</v>
      </c>
    </row>
    <row r="116" spans="21:24">
      <c r="U116" s="28">
        <f>Rose!AF69</f>
        <v>0</v>
      </c>
      <c r="V116" s="35" t="str">
        <f ca="1">Rose!AI15</f>
        <v/>
      </c>
      <c r="W116" s="35" t="str">
        <f ca="1">Rose!AI31</f>
        <v/>
      </c>
      <c r="X116" s="28">
        <f t="shared" si="3"/>
        <v>0</v>
      </c>
    </row>
    <row r="117" spans="21:24">
      <c r="U117" s="28">
        <f>Rose!AF70</f>
        <v>0</v>
      </c>
      <c r="V117" s="35" t="str">
        <f ca="1">Rose!AI16</f>
        <v/>
      </c>
      <c r="W117" s="35" t="str">
        <f ca="1">Rose!AI32</f>
        <v/>
      </c>
      <c r="X117" s="28">
        <f t="shared" si="3"/>
        <v>0</v>
      </c>
    </row>
    <row r="118" spans="21:24">
      <c r="U118" s="28">
        <f>Rose!AI64</f>
        <v>0</v>
      </c>
      <c r="V118" s="35" t="str">
        <f ca="1">Rose!AI17</f>
        <v/>
      </c>
      <c r="W118" s="35" t="str">
        <f ca="1">Rose!AI33</f>
        <v/>
      </c>
      <c r="X118" s="28">
        <f t="shared" si="3"/>
        <v>0</v>
      </c>
    </row>
    <row r="119" spans="21:24">
      <c r="U119" s="28">
        <f>Rose!AI65</f>
        <v>0</v>
      </c>
      <c r="V119" s="35" t="str">
        <f ca="1">Rose!AI18</f>
        <v/>
      </c>
      <c r="W119" s="35" t="str">
        <f ca="1">Rose!AI34</f>
        <v/>
      </c>
      <c r="X119" s="28">
        <f t="shared" si="3"/>
        <v>0</v>
      </c>
    </row>
    <row r="120" spans="21:24">
      <c r="U120" s="28">
        <f>Rose!AI66</f>
        <v>0</v>
      </c>
      <c r="V120" s="35" t="str">
        <f ca="1">Rose!AI19</f>
        <v/>
      </c>
      <c r="W120" s="35" t="str">
        <f ca="1">Rose!AI35</f>
        <v/>
      </c>
      <c r="X120" s="28">
        <f t="shared" si="3"/>
        <v>0</v>
      </c>
    </row>
    <row r="121" spans="21:24">
      <c r="U121" s="28">
        <f>Rose!AI67</f>
        <v>0</v>
      </c>
      <c r="V121" s="35" t="str">
        <f ca="1">Rose!AI20</f>
        <v/>
      </c>
      <c r="W121" s="35" t="str">
        <f ca="1">Rose!AI36</f>
        <v/>
      </c>
      <c r="X121" s="28">
        <f t="shared" si="3"/>
        <v>0</v>
      </c>
    </row>
    <row r="122" spans="21:24">
      <c r="U122" s="28">
        <f>Rose!AI68</f>
        <v>0</v>
      </c>
      <c r="V122" s="35" t="str">
        <f ca="1">Rose!AI21</f>
        <v/>
      </c>
      <c r="W122" s="35" t="str">
        <f ca="1">Rose!AI37</f>
        <v/>
      </c>
      <c r="X122" s="28">
        <f t="shared" si="3"/>
        <v>0</v>
      </c>
    </row>
    <row r="123" spans="21:24">
      <c r="U123" s="28">
        <f>Rose!AI69</f>
        <v>0</v>
      </c>
      <c r="V123" s="35" t="str">
        <f ca="1">Rose!AI22</f>
        <v/>
      </c>
      <c r="W123" s="35" t="str">
        <f ca="1">Rose!AI38</f>
        <v/>
      </c>
      <c r="X123" s="28">
        <f t="shared" si="3"/>
        <v>0</v>
      </c>
    </row>
    <row r="124" spans="21:24">
      <c r="U124" s="28">
        <f>Rose!AI70</f>
        <v>0</v>
      </c>
      <c r="V124" s="35" t="str">
        <f ca="1">Rose!AI23</f>
        <v/>
      </c>
      <c r="W124" s="35" t="str">
        <f ca="1">Rose!AI39</f>
        <v/>
      </c>
      <c r="X124" s="28">
        <f t="shared" si="3"/>
        <v>0</v>
      </c>
    </row>
    <row r="125" spans="21:24">
      <c r="V125" s="28">
        <f t="shared" ref="V125:W140" si="4">$U41</f>
        <v>0</v>
      </c>
      <c r="W125" s="28">
        <f t="shared" si="4"/>
        <v>0</v>
      </c>
      <c r="X125" s="28">
        <f t="shared" si="3"/>
        <v>0</v>
      </c>
    </row>
    <row r="126" spans="21:24">
      <c r="V126" s="28">
        <f t="shared" si="4"/>
        <v>0</v>
      </c>
      <c r="W126" s="28">
        <f t="shared" si="4"/>
        <v>0</v>
      </c>
      <c r="X126" s="28">
        <f t="shared" si="3"/>
        <v>0</v>
      </c>
    </row>
    <row r="127" spans="21:24">
      <c r="V127" s="28">
        <f t="shared" si="4"/>
        <v>0</v>
      </c>
      <c r="W127" s="28">
        <f t="shared" si="4"/>
        <v>0</v>
      </c>
      <c r="X127" s="28">
        <f t="shared" si="3"/>
        <v>0</v>
      </c>
    </row>
    <row r="128" spans="21:24">
      <c r="V128" s="28">
        <f t="shared" si="4"/>
        <v>0</v>
      </c>
      <c r="W128" s="28">
        <f t="shared" si="4"/>
        <v>0</v>
      </c>
      <c r="X128" s="28">
        <f t="shared" si="3"/>
        <v>0</v>
      </c>
    </row>
    <row r="129" spans="22:24">
      <c r="V129" s="28">
        <f t="shared" si="4"/>
        <v>0</v>
      </c>
      <c r="W129" s="28">
        <f t="shared" si="4"/>
        <v>0</v>
      </c>
      <c r="X129" s="28">
        <f t="shared" si="3"/>
        <v>0</v>
      </c>
    </row>
    <row r="130" spans="22:24">
      <c r="V130" s="28">
        <f t="shared" si="4"/>
        <v>0</v>
      </c>
      <c r="W130" s="28">
        <f t="shared" si="4"/>
        <v>0</v>
      </c>
      <c r="X130" s="28">
        <f t="shared" si="3"/>
        <v>0</v>
      </c>
    </row>
    <row r="131" spans="22:24">
      <c r="V131" s="28">
        <f t="shared" si="4"/>
        <v>0</v>
      </c>
      <c r="W131" s="28">
        <f t="shared" si="4"/>
        <v>0</v>
      </c>
      <c r="X131" s="28">
        <f t="shared" si="3"/>
        <v>0</v>
      </c>
    </row>
    <row r="132" spans="22:24">
      <c r="V132" s="28">
        <f t="shared" si="4"/>
        <v>0</v>
      </c>
      <c r="W132" s="28">
        <f t="shared" si="4"/>
        <v>0</v>
      </c>
      <c r="X132" s="28">
        <f t="shared" si="3"/>
        <v>0</v>
      </c>
    </row>
    <row r="133" spans="22:24">
      <c r="V133" s="28">
        <f t="shared" si="4"/>
        <v>0</v>
      </c>
      <c r="W133" s="28">
        <f t="shared" si="4"/>
        <v>0</v>
      </c>
      <c r="X133" s="28">
        <f t="shared" si="3"/>
        <v>0</v>
      </c>
    </row>
    <row r="134" spans="22:24">
      <c r="V134" s="28">
        <f t="shared" si="4"/>
        <v>0</v>
      </c>
      <c r="W134" s="28">
        <f t="shared" si="4"/>
        <v>0</v>
      </c>
      <c r="X134" s="28">
        <f t="shared" si="3"/>
        <v>0</v>
      </c>
    </row>
    <row r="135" spans="22:24">
      <c r="V135" s="28">
        <f t="shared" si="4"/>
        <v>0</v>
      </c>
      <c r="W135" s="28">
        <f t="shared" si="4"/>
        <v>0</v>
      </c>
      <c r="X135" s="28">
        <f t="shared" si="3"/>
        <v>0</v>
      </c>
    </row>
    <row r="136" spans="22:24">
      <c r="V136" s="28">
        <f t="shared" si="4"/>
        <v>0</v>
      </c>
      <c r="W136" s="28">
        <f t="shared" si="4"/>
        <v>0</v>
      </c>
      <c r="X136" s="28">
        <f t="shared" si="3"/>
        <v>0</v>
      </c>
    </row>
    <row r="137" spans="22:24">
      <c r="V137" s="28">
        <f t="shared" si="4"/>
        <v>0</v>
      </c>
      <c r="W137" s="28">
        <f t="shared" si="4"/>
        <v>0</v>
      </c>
      <c r="X137" s="28">
        <f t="shared" si="3"/>
        <v>0</v>
      </c>
    </row>
    <row r="138" spans="22:24">
      <c r="V138" s="28">
        <f t="shared" si="4"/>
        <v>0</v>
      </c>
      <c r="W138" s="28">
        <f t="shared" si="4"/>
        <v>0</v>
      </c>
      <c r="X138" s="28">
        <f t="shared" si="3"/>
        <v>0</v>
      </c>
    </row>
    <row r="139" spans="22:24">
      <c r="V139" s="28">
        <f t="shared" si="4"/>
        <v>0</v>
      </c>
      <c r="W139" s="28">
        <f t="shared" si="4"/>
        <v>0</v>
      </c>
      <c r="X139" s="28">
        <f t="shared" si="3"/>
        <v>0</v>
      </c>
    </row>
    <row r="140" spans="22:24">
      <c r="V140" s="28">
        <f t="shared" si="4"/>
        <v>0</v>
      </c>
      <c r="W140" s="28">
        <f t="shared" si="4"/>
        <v>0</v>
      </c>
      <c r="X140" s="28">
        <f t="shared" si="3"/>
        <v>0</v>
      </c>
    </row>
    <row r="141" spans="22:24">
      <c r="V141" s="28">
        <f t="shared" ref="V141:W156" si="5">$U57</f>
        <v>0</v>
      </c>
      <c r="W141" s="28">
        <f t="shared" si="5"/>
        <v>0</v>
      </c>
      <c r="X141" s="28">
        <f t="shared" si="3"/>
        <v>0</v>
      </c>
    </row>
    <row r="142" spans="22:24">
      <c r="V142" s="28">
        <f t="shared" si="5"/>
        <v>0</v>
      </c>
      <c r="W142" s="28">
        <f t="shared" si="5"/>
        <v>0</v>
      </c>
      <c r="X142" s="28">
        <f t="shared" si="3"/>
        <v>0</v>
      </c>
    </row>
    <row r="143" spans="22:24">
      <c r="V143" s="28">
        <f t="shared" si="5"/>
        <v>0</v>
      </c>
      <c r="W143" s="28">
        <f t="shared" si="5"/>
        <v>0</v>
      </c>
      <c r="X143" s="28">
        <f t="shared" si="3"/>
        <v>0</v>
      </c>
    </row>
    <row r="144" spans="22:24">
      <c r="V144" s="28">
        <f t="shared" si="5"/>
        <v>0</v>
      </c>
      <c r="W144" s="28">
        <f t="shared" si="5"/>
        <v>0</v>
      </c>
      <c r="X144" s="28">
        <f t="shared" si="3"/>
        <v>0</v>
      </c>
    </row>
    <row r="145" spans="22:24">
      <c r="V145" s="28">
        <f t="shared" si="5"/>
        <v>0</v>
      </c>
      <c r="W145" s="28">
        <f t="shared" si="5"/>
        <v>0</v>
      </c>
      <c r="X145" s="28">
        <f t="shared" si="3"/>
        <v>0</v>
      </c>
    </row>
    <row r="146" spans="22:24">
      <c r="V146" s="28">
        <f t="shared" si="5"/>
        <v>0</v>
      </c>
      <c r="W146" s="28">
        <f t="shared" si="5"/>
        <v>0</v>
      </c>
      <c r="X146" s="28">
        <f t="shared" si="3"/>
        <v>0</v>
      </c>
    </row>
    <row r="147" spans="22:24">
      <c r="V147" s="28">
        <f t="shared" si="5"/>
        <v>0</v>
      </c>
      <c r="W147" s="28">
        <f t="shared" si="5"/>
        <v>0</v>
      </c>
      <c r="X147" s="28">
        <f t="shared" si="3"/>
        <v>0</v>
      </c>
    </row>
    <row r="148" spans="22:24">
      <c r="V148" s="28">
        <f t="shared" si="5"/>
        <v>0</v>
      </c>
      <c r="W148" s="28">
        <f t="shared" si="5"/>
        <v>0</v>
      </c>
      <c r="X148" s="28">
        <f t="shared" si="3"/>
        <v>0</v>
      </c>
    </row>
    <row r="149" spans="22:24">
      <c r="V149" s="28">
        <f t="shared" si="5"/>
        <v>0</v>
      </c>
      <c r="W149" s="28">
        <f t="shared" si="5"/>
        <v>0</v>
      </c>
      <c r="X149" s="28">
        <f t="shared" si="3"/>
        <v>0</v>
      </c>
    </row>
    <row r="150" spans="22:24">
      <c r="V150" s="28">
        <f t="shared" si="5"/>
        <v>0</v>
      </c>
      <c r="W150" s="28">
        <f t="shared" si="5"/>
        <v>0</v>
      </c>
      <c r="X150" s="28">
        <f t="shared" si="3"/>
        <v>0</v>
      </c>
    </row>
    <row r="151" spans="22:24">
      <c r="V151" s="28">
        <f t="shared" si="5"/>
        <v>0</v>
      </c>
      <c r="W151" s="28">
        <f t="shared" si="5"/>
        <v>0</v>
      </c>
      <c r="X151" s="28">
        <f t="shared" si="3"/>
        <v>0</v>
      </c>
    </row>
    <row r="152" spans="22:24">
      <c r="V152" s="28">
        <f t="shared" si="5"/>
        <v>0</v>
      </c>
      <c r="W152" s="28">
        <f t="shared" si="5"/>
        <v>0</v>
      </c>
      <c r="X152" s="28">
        <f t="shared" si="3"/>
        <v>0</v>
      </c>
    </row>
    <row r="153" spans="22:24">
      <c r="V153" s="28">
        <f t="shared" si="5"/>
        <v>0</v>
      </c>
      <c r="W153" s="28">
        <f t="shared" si="5"/>
        <v>0</v>
      </c>
      <c r="X153" s="28">
        <f t="shared" si="3"/>
        <v>0</v>
      </c>
    </row>
    <row r="154" spans="22:24">
      <c r="V154" s="28">
        <f t="shared" si="5"/>
        <v>0</v>
      </c>
      <c r="W154" s="28">
        <f t="shared" si="5"/>
        <v>0</v>
      </c>
      <c r="X154" s="28">
        <f t="shared" si="3"/>
        <v>0</v>
      </c>
    </row>
    <row r="155" spans="22:24">
      <c r="V155" s="28">
        <f t="shared" si="5"/>
        <v>0</v>
      </c>
      <c r="W155" s="28">
        <f t="shared" si="5"/>
        <v>0</v>
      </c>
      <c r="X155" s="28">
        <f t="shared" si="3"/>
        <v>0</v>
      </c>
    </row>
    <row r="156" spans="22:24">
      <c r="V156" s="28">
        <f t="shared" si="5"/>
        <v>0</v>
      </c>
      <c r="W156" s="28">
        <f t="shared" si="5"/>
        <v>0</v>
      </c>
      <c r="X156" s="28">
        <f t="shared" si="3"/>
        <v>0</v>
      </c>
    </row>
    <row r="157" spans="22:24">
      <c r="V157" s="28">
        <f t="shared" ref="V157:W172" si="6">$U73</f>
        <v>0</v>
      </c>
      <c r="W157" s="28">
        <f t="shared" si="6"/>
        <v>0</v>
      </c>
      <c r="X157" s="28">
        <f t="shared" si="3"/>
        <v>0</v>
      </c>
    </row>
    <row r="158" spans="22:24">
      <c r="V158" s="28">
        <f t="shared" si="6"/>
        <v>0</v>
      </c>
      <c r="W158" s="28">
        <f t="shared" si="6"/>
        <v>0</v>
      </c>
      <c r="X158" s="28">
        <f t="shared" si="3"/>
        <v>0</v>
      </c>
    </row>
    <row r="159" spans="22:24">
      <c r="V159" s="28">
        <f t="shared" si="6"/>
        <v>0</v>
      </c>
      <c r="W159" s="28">
        <f t="shared" si="6"/>
        <v>0</v>
      </c>
      <c r="X159" s="28">
        <f t="shared" si="3"/>
        <v>0</v>
      </c>
    </row>
    <row r="160" spans="22:24">
      <c r="V160" s="28">
        <f t="shared" si="6"/>
        <v>0</v>
      </c>
      <c r="W160" s="28">
        <f t="shared" si="6"/>
        <v>0</v>
      </c>
      <c r="X160" s="28">
        <f t="shared" si="3"/>
        <v>0</v>
      </c>
    </row>
    <row r="161" spans="22:24">
      <c r="V161" s="28">
        <f t="shared" si="6"/>
        <v>0</v>
      </c>
      <c r="W161" s="28">
        <f t="shared" si="6"/>
        <v>0</v>
      </c>
      <c r="X161" s="28">
        <f t="shared" si="3"/>
        <v>0</v>
      </c>
    </row>
    <row r="162" spans="22:24">
      <c r="V162" s="28">
        <f t="shared" si="6"/>
        <v>0</v>
      </c>
      <c r="W162" s="28">
        <f t="shared" si="6"/>
        <v>0</v>
      </c>
      <c r="X162" s="28">
        <f t="shared" si="3"/>
        <v>0</v>
      </c>
    </row>
    <row r="163" spans="22:24">
      <c r="V163" s="28">
        <f t="shared" si="6"/>
        <v>0</v>
      </c>
      <c r="W163" s="28">
        <f t="shared" si="6"/>
        <v>0</v>
      </c>
      <c r="X163" s="28">
        <f t="shared" si="3"/>
        <v>0</v>
      </c>
    </row>
    <row r="164" spans="22:24">
      <c r="V164" s="28">
        <f t="shared" si="6"/>
        <v>0</v>
      </c>
      <c r="W164" s="28">
        <f t="shared" si="6"/>
        <v>0</v>
      </c>
      <c r="X164" s="28">
        <f t="shared" si="3"/>
        <v>0</v>
      </c>
    </row>
    <row r="165" spans="22:24">
      <c r="V165" s="28">
        <f t="shared" si="6"/>
        <v>0</v>
      </c>
      <c r="W165" s="28">
        <f t="shared" si="6"/>
        <v>0</v>
      </c>
      <c r="X165" s="28">
        <f t="shared" ref="X165:X184" si="7">$U105</f>
        <v>0</v>
      </c>
    </row>
    <row r="166" spans="22:24">
      <c r="V166" s="28">
        <f t="shared" si="6"/>
        <v>0</v>
      </c>
      <c r="W166" s="28">
        <f t="shared" si="6"/>
        <v>0</v>
      </c>
      <c r="X166" s="28">
        <f t="shared" si="7"/>
        <v>0</v>
      </c>
    </row>
    <row r="167" spans="22:24">
      <c r="V167" s="28">
        <f t="shared" si="6"/>
        <v>0</v>
      </c>
      <c r="W167" s="28">
        <f t="shared" si="6"/>
        <v>0</v>
      </c>
      <c r="X167" s="28">
        <f t="shared" si="7"/>
        <v>0</v>
      </c>
    </row>
    <row r="168" spans="22:24">
      <c r="V168" s="28">
        <f t="shared" si="6"/>
        <v>0</v>
      </c>
      <c r="W168" s="28">
        <f t="shared" si="6"/>
        <v>0</v>
      </c>
      <c r="X168" s="28">
        <f t="shared" si="7"/>
        <v>0</v>
      </c>
    </row>
    <row r="169" spans="22:24">
      <c r="V169" s="28">
        <f t="shared" si="6"/>
        <v>0</v>
      </c>
      <c r="W169" s="28">
        <f t="shared" si="6"/>
        <v>0</v>
      </c>
      <c r="X169" s="28">
        <f t="shared" si="7"/>
        <v>0</v>
      </c>
    </row>
    <row r="170" spans="22:24">
      <c r="V170" s="28">
        <f t="shared" si="6"/>
        <v>0</v>
      </c>
      <c r="W170" s="28">
        <f t="shared" si="6"/>
        <v>0</v>
      </c>
      <c r="X170" s="28">
        <f t="shared" si="7"/>
        <v>0</v>
      </c>
    </row>
    <row r="171" spans="22:24">
      <c r="V171" s="28">
        <f t="shared" si="6"/>
        <v>0</v>
      </c>
      <c r="W171" s="28">
        <f t="shared" si="6"/>
        <v>0</v>
      </c>
      <c r="X171" s="28">
        <f t="shared" si="7"/>
        <v>0</v>
      </c>
    </row>
    <row r="172" spans="22:24">
      <c r="V172" s="28">
        <f t="shared" si="6"/>
        <v>0</v>
      </c>
      <c r="W172" s="28">
        <f t="shared" si="6"/>
        <v>0</v>
      </c>
      <c r="X172" s="28">
        <f t="shared" si="7"/>
        <v>0</v>
      </c>
    </row>
    <row r="173" spans="22:24">
      <c r="V173" s="28">
        <f t="shared" ref="V173:W188" si="8">$U89</f>
        <v>0</v>
      </c>
      <c r="W173" s="28">
        <f t="shared" si="8"/>
        <v>0</v>
      </c>
      <c r="X173" s="28">
        <f t="shared" si="7"/>
        <v>0</v>
      </c>
    </row>
    <row r="174" spans="22:24">
      <c r="V174" s="28">
        <f t="shared" si="8"/>
        <v>0</v>
      </c>
      <c r="W174" s="28">
        <f t="shared" si="8"/>
        <v>0</v>
      </c>
      <c r="X174" s="28">
        <f t="shared" si="7"/>
        <v>0</v>
      </c>
    </row>
    <row r="175" spans="22:24">
      <c r="V175" s="28">
        <f t="shared" si="8"/>
        <v>0</v>
      </c>
      <c r="W175" s="28">
        <f t="shared" si="8"/>
        <v>0</v>
      </c>
      <c r="X175" s="28">
        <f t="shared" si="7"/>
        <v>0</v>
      </c>
    </row>
    <row r="176" spans="22:24">
      <c r="V176" s="28">
        <f t="shared" si="8"/>
        <v>0</v>
      </c>
      <c r="W176" s="28">
        <f t="shared" si="8"/>
        <v>0</v>
      </c>
      <c r="X176" s="28">
        <f t="shared" si="7"/>
        <v>0</v>
      </c>
    </row>
    <row r="177" spans="22:24">
      <c r="V177" s="28">
        <f t="shared" si="8"/>
        <v>0</v>
      </c>
      <c r="W177" s="28">
        <f t="shared" si="8"/>
        <v>0</v>
      </c>
      <c r="X177" s="28">
        <f t="shared" si="7"/>
        <v>0</v>
      </c>
    </row>
    <row r="178" spans="22:24">
      <c r="V178" s="28">
        <f t="shared" si="8"/>
        <v>0</v>
      </c>
      <c r="W178" s="28">
        <f t="shared" si="8"/>
        <v>0</v>
      </c>
      <c r="X178" s="28">
        <f t="shared" si="7"/>
        <v>0</v>
      </c>
    </row>
    <row r="179" spans="22:24">
      <c r="V179" s="28">
        <f t="shared" si="8"/>
        <v>0</v>
      </c>
      <c r="W179" s="28">
        <f t="shared" si="8"/>
        <v>0</v>
      </c>
      <c r="X179" s="28">
        <f t="shared" si="7"/>
        <v>0</v>
      </c>
    </row>
    <row r="180" spans="22:24">
      <c r="V180" s="28">
        <f t="shared" si="8"/>
        <v>0</v>
      </c>
      <c r="W180" s="28">
        <f t="shared" si="8"/>
        <v>0</v>
      </c>
      <c r="X180" s="28">
        <f t="shared" si="7"/>
        <v>0</v>
      </c>
    </row>
    <row r="181" spans="22:24">
      <c r="V181" s="28">
        <f t="shared" si="8"/>
        <v>0</v>
      </c>
      <c r="W181" s="28">
        <f t="shared" si="8"/>
        <v>0</v>
      </c>
      <c r="X181" s="28">
        <f t="shared" si="7"/>
        <v>0</v>
      </c>
    </row>
    <row r="182" spans="22:24">
      <c r="V182" s="28">
        <f t="shared" si="8"/>
        <v>0</v>
      </c>
      <c r="W182" s="28">
        <f t="shared" si="8"/>
        <v>0</v>
      </c>
      <c r="X182" s="28">
        <f t="shared" si="7"/>
        <v>0</v>
      </c>
    </row>
    <row r="183" spans="22:24">
      <c r="V183" s="28">
        <f t="shared" si="8"/>
        <v>0</v>
      </c>
      <c r="W183" s="28">
        <f t="shared" si="8"/>
        <v>0</v>
      </c>
      <c r="X183" s="28">
        <f t="shared" si="7"/>
        <v>0</v>
      </c>
    </row>
    <row r="184" spans="22:24">
      <c r="V184" s="28">
        <f t="shared" si="8"/>
        <v>0</v>
      </c>
      <c r="W184" s="28">
        <f t="shared" si="8"/>
        <v>0</v>
      </c>
      <c r="X184" s="28">
        <f t="shared" si="7"/>
        <v>0</v>
      </c>
    </row>
    <row r="185" spans="22:24">
      <c r="V185" s="28">
        <f t="shared" si="8"/>
        <v>0</v>
      </c>
      <c r="W185" s="28">
        <f t="shared" si="8"/>
        <v>0</v>
      </c>
    </row>
    <row r="186" spans="22:24">
      <c r="V186" s="28">
        <f t="shared" si="8"/>
        <v>0</v>
      </c>
      <c r="W186" s="28">
        <f t="shared" si="8"/>
        <v>0</v>
      </c>
    </row>
    <row r="187" spans="22:24">
      <c r="V187" s="28">
        <f t="shared" si="8"/>
        <v>0</v>
      </c>
      <c r="W187" s="28">
        <f t="shared" si="8"/>
        <v>0</v>
      </c>
    </row>
    <row r="188" spans="22:24">
      <c r="V188" s="28">
        <f t="shared" si="8"/>
        <v>0</v>
      </c>
      <c r="W188" s="28">
        <f t="shared" si="8"/>
        <v>0</v>
      </c>
    </row>
    <row r="189" spans="22:24">
      <c r="V189" s="28">
        <f t="shared" ref="V189:W204" si="9">$U105</f>
        <v>0</v>
      </c>
      <c r="W189" s="28">
        <f t="shared" si="9"/>
        <v>0</v>
      </c>
    </row>
    <row r="190" spans="22:24">
      <c r="V190" s="28">
        <f t="shared" si="9"/>
        <v>0</v>
      </c>
      <c r="W190" s="28">
        <f t="shared" si="9"/>
        <v>0</v>
      </c>
    </row>
    <row r="191" spans="22:24">
      <c r="V191" s="28">
        <f t="shared" si="9"/>
        <v>0</v>
      </c>
      <c r="W191" s="28">
        <f t="shared" si="9"/>
        <v>0</v>
      </c>
    </row>
    <row r="192" spans="22:24">
      <c r="V192" s="28">
        <f t="shared" si="9"/>
        <v>0</v>
      </c>
      <c r="W192" s="28">
        <f t="shared" si="9"/>
        <v>0</v>
      </c>
    </row>
    <row r="193" spans="22:23">
      <c r="V193" s="28">
        <f t="shared" si="9"/>
        <v>0</v>
      </c>
      <c r="W193" s="28">
        <f t="shared" si="9"/>
        <v>0</v>
      </c>
    </row>
    <row r="194" spans="22:23">
      <c r="V194" s="28">
        <f t="shared" si="9"/>
        <v>0</v>
      </c>
      <c r="W194" s="28">
        <f t="shared" si="9"/>
        <v>0</v>
      </c>
    </row>
    <row r="195" spans="22:23">
      <c r="V195" s="28">
        <f t="shared" si="9"/>
        <v>0</v>
      </c>
      <c r="W195" s="28">
        <f t="shared" si="9"/>
        <v>0</v>
      </c>
    </row>
    <row r="196" spans="22:23">
      <c r="V196" s="28">
        <f t="shared" si="9"/>
        <v>0</v>
      </c>
      <c r="W196" s="28">
        <f t="shared" si="9"/>
        <v>0</v>
      </c>
    </row>
    <row r="197" spans="22:23">
      <c r="V197" s="28">
        <f t="shared" si="9"/>
        <v>0</v>
      </c>
      <c r="W197" s="28">
        <f t="shared" si="9"/>
        <v>0</v>
      </c>
    </row>
    <row r="198" spans="22:23">
      <c r="V198" s="28">
        <f t="shared" si="9"/>
        <v>0</v>
      </c>
      <c r="W198" s="28">
        <f t="shared" si="9"/>
        <v>0</v>
      </c>
    </row>
    <row r="199" spans="22:23">
      <c r="V199" s="28">
        <f t="shared" si="9"/>
        <v>0</v>
      </c>
      <c r="W199" s="28">
        <f t="shared" si="9"/>
        <v>0</v>
      </c>
    </row>
    <row r="200" spans="22:23">
      <c r="V200" s="28">
        <f t="shared" si="9"/>
        <v>0</v>
      </c>
      <c r="W200" s="28">
        <f t="shared" si="9"/>
        <v>0</v>
      </c>
    </row>
    <row r="201" spans="22:23">
      <c r="V201" s="28">
        <f t="shared" si="9"/>
        <v>0</v>
      </c>
      <c r="W201" s="28">
        <f t="shared" si="9"/>
        <v>0</v>
      </c>
    </row>
    <row r="202" spans="22:23">
      <c r="V202" s="28">
        <f t="shared" si="9"/>
        <v>0</v>
      </c>
      <c r="W202" s="28">
        <f t="shared" si="9"/>
        <v>0</v>
      </c>
    </row>
    <row r="203" spans="22:23">
      <c r="V203" s="28">
        <f t="shared" si="9"/>
        <v>0</v>
      </c>
      <c r="W203" s="28">
        <f t="shared" si="9"/>
        <v>0</v>
      </c>
    </row>
    <row r="204" spans="22:23">
      <c r="V204" s="28">
        <f t="shared" si="9"/>
        <v>0</v>
      </c>
      <c r="W204" s="28">
        <f t="shared" si="9"/>
        <v>0</v>
      </c>
    </row>
    <row r="205" spans="22:23">
      <c r="V205" s="28">
        <f t="shared" ref="V205:W208" si="10">$U121</f>
        <v>0</v>
      </c>
      <c r="W205" s="28">
        <f t="shared" si="10"/>
        <v>0</v>
      </c>
    </row>
    <row r="206" spans="22:23">
      <c r="V206" s="28">
        <f t="shared" si="10"/>
        <v>0</v>
      </c>
      <c r="W206" s="28">
        <f t="shared" si="10"/>
        <v>0</v>
      </c>
    </row>
    <row r="207" spans="22:23">
      <c r="V207" s="28">
        <f t="shared" si="10"/>
        <v>0</v>
      </c>
      <c r="W207" s="28">
        <f t="shared" si="10"/>
        <v>0</v>
      </c>
    </row>
    <row r="208" spans="22:23">
      <c r="V208" s="28">
        <f t="shared" si="10"/>
        <v>0</v>
      </c>
      <c r="W208" s="28">
        <f t="shared" si="10"/>
        <v>0</v>
      </c>
    </row>
  </sheetData>
  <sheetProtection formatColumns="0" formatRows="0"/>
  <mergeCells count="1">
    <mergeCell ref="A1:L2"/>
  </mergeCells>
  <conditionalFormatting sqref="A1:L1048576">
    <cfRule type="expression" dxfId="330" priority="5" stopIfTrue="1">
      <formula>A$3=""</formula>
    </cfRule>
  </conditionalFormatting>
  <conditionalFormatting sqref="A4:L6">
    <cfRule type="expression" dxfId="329" priority="430" stopIfTrue="1">
      <formula>OR(COUNTIF($U$5:$U$137,A4)&gt;0)</formula>
    </cfRule>
  </conditionalFormatting>
  <conditionalFormatting sqref="A10:L19">
    <cfRule type="expression" dxfId="328" priority="432" stopIfTrue="1">
      <formula>OR(COUNTIF($V$5:$V$214,A10)&gt;0)</formula>
    </cfRule>
  </conditionalFormatting>
  <conditionalFormatting sqref="A23:L32">
    <cfRule type="expression" dxfId="327" priority="434" stopIfTrue="1">
      <formula>OR(COUNTIF($W$5:$W$214,A23)&gt;0)</formula>
    </cfRule>
  </conditionalFormatting>
  <conditionalFormatting sqref="A36:L43">
    <cfRule type="expression" dxfId="326" priority="436" stopIfTrue="1">
      <formula>OR(COUNTIF($X$5:$X$185,A36)&gt;0)</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29" stopIfTrue="1" id="{00000000-000E-0000-0600-0000AD010000}">
            <xm:f>OR(COUNTIF('Mia rosa + Org. Finanza'!$B$4:$B$6,A4)&gt;0)</xm:f>
            <x14:dxf>
              <font>
                <b val="0"/>
                <strike val="0"/>
                <condense val="0"/>
                <extend val="0"/>
                <color indexed="9"/>
              </font>
              <fill>
                <patternFill patternType="solid">
                  <fgColor indexed="21"/>
                  <bgColor indexed="17"/>
                </patternFill>
              </fill>
            </x14:dxf>
          </x14:cfRule>
          <xm:sqref>A4:L6</xm:sqref>
        </x14:conditionalFormatting>
        <x14:conditionalFormatting xmlns:xm="http://schemas.microsoft.com/office/excel/2006/main">
          <x14:cfRule type="expression" priority="431" stopIfTrue="1" id="{00000000-000E-0000-0600-0000AF010000}">
            <xm:f>OR(COUNTIF('Mia rosa + Org. Finanza'!$B$10:$B$19,A10)&gt;0)</xm:f>
            <x14:dxf>
              <font>
                <b val="0"/>
                <strike val="0"/>
                <condense val="0"/>
                <extend val="0"/>
                <color indexed="9"/>
              </font>
              <fill>
                <patternFill patternType="solid">
                  <fgColor indexed="21"/>
                  <bgColor indexed="17"/>
                </patternFill>
              </fill>
            </x14:dxf>
          </x14:cfRule>
          <xm:sqref>A10:L19</xm:sqref>
        </x14:conditionalFormatting>
        <x14:conditionalFormatting xmlns:xm="http://schemas.microsoft.com/office/excel/2006/main">
          <x14:cfRule type="expression" priority="433" stopIfTrue="1" id="{00000000-000E-0000-0600-0000B1010000}">
            <xm:f>OR(COUNTIF('Mia rosa + Org. Finanza'!$B$23:$B$32,A23)&gt;0)</xm:f>
            <x14:dxf>
              <font>
                <b val="0"/>
                <strike val="0"/>
                <condense val="0"/>
                <extend val="0"/>
                <color indexed="9"/>
              </font>
              <fill>
                <patternFill patternType="solid">
                  <fgColor indexed="21"/>
                  <bgColor indexed="17"/>
                </patternFill>
              </fill>
            </x14:dxf>
          </x14:cfRule>
          <xm:sqref>A23:L32</xm:sqref>
        </x14:conditionalFormatting>
        <x14:conditionalFormatting xmlns:xm="http://schemas.microsoft.com/office/excel/2006/main">
          <x14:cfRule type="expression" priority="435" stopIfTrue="1" id="{00000000-000E-0000-0600-0000B3010000}">
            <xm:f>OR(COUNTIF('Mia rosa + Org. Finanza'!$B$36:$B$43,A36)&gt;0)</xm:f>
            <x14:dxf>
              <font>
                <b val="0"/>
                <strike val="0"/>
                <condense val="0"/>
                <extend val="0"/>
                <color indexed="9"/>
              </font>
              <fill>
                <patternFill patternType="solid">
                  <fgColor indexed="21"/>
                  <bgColor indexed="17"/>
                </patternFill>
              </fill>
            </x14:dxf>
          </x14:cfRule>
          <xm:sqref>A36:L43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3">
    <tabColor indexed="63"/>
  </sheetPr>
  <dimension ref="A1:AG764"/>
  <sheetViews>
    <sheetView topLeftCell="A16" zoomScale="90" zoomScaleNormal="90" workbookViewId="0">
      <selection activeCell="R41" sqref="R41"/>
    </sheetView>
  </sheetViews>
  <sheetFormatPr defaultRowHeight="11.25"/>
  <cols>
    <col min="1" max="1" width="10.140625" style="54" bestFit="1" customWidth="1"/>
    <col min="2" max="2" width="16.85546875" style="54" bestFit="1" customWidth="1"/>
    <col min="3" max="3" width="12.42578125" style="54" bestFit="1" customWidth="1"/>
    <col min="4" max="4" width="10.42578125" style="54" bestFit="1" customWidth="1"/>
    <col min="5" max="5" width="10.5703125" style="54" bestFit="1" customWidth="1"/>
    <col min="6" max="6" width="13.28515625" style="54" bestFit="1" customWidth="1"/>
    <col min="7" max="7" width="13.42578125" style="54" customWidth="1"/>
    <col min="8" max="8" width="8" style="54" bestFit="1" customWidth="1"/>
    <col min="9" max="9" width="8.7109375" style="54" bestFit="1" customWidth="1"/>
    <col min="10" max="10" width="11.7109375" style="54" bestFit="1" customWidth="1"/>
    <col min="11" max="11" width="9" style="54" bestFit="1" customWidth="1"/>
    <col min="12" max="12" width="9" style="54" customWidth="1"/>
    <col min="13" max="13" width="2.28515625" style="54" customWidth="1"/>
    <col min="14" max="14" width="4.7109375" style="54" customWidth="1"/>
    <col min="15" max="15" width="18.7109375" style="54" customWidth="1"/>
    <col min="16" max="16" width="13.140625" style="54" customWidth="1"/>
    <col min="17" max="17" width="4.7109375" style="54" customWidth="1"/>
    <col min="18" max="18" width="18.7109375" style="54" customWidth="1"/>
    <col min="19" max="19" width="14.42578125" style="54" customWidth="1"/>
    <col min="20" max="20" width="17.85546875" style="54" customWidth="1"/>
    <col min="21" max="22" width="3" style="54" customWidth="1"/>
    <col min="23" max="24" width="6" style="54" customWidth="1"/>
    <col min="25" max="25" width="8.28515625" style="54" customWidth="1"/>
    <col min="26" max="26" width="12" style="54" customWidth="1"/>
    <col min="27" max="27" width="9.7109375" style="54" customWidth="1"/>
    <col min="28" max="29" width="10.7109375" style="54" customWidth="1"/>
    <col min="30" max="33" width="9.140625" style="54" customWidth="1"/>
    <col min="34" max="35" width="10.7109375" style="54" customWidth="1"/>
    <col min="36" max="36" width="11.42578125" style="54" customWidth="1"/>
    <col min="37" max="39" width="4.28515625" style="54" customWidth="1"/>
    <col min="40" max="40" width="9.140625" style="54"/>
    <col min="41" max="50" width="5.42578125" style="54" customWidth="1"/>
    <col min="51" max="16384" width="9.140625" style="54"/>
  </cols>
  <sheetData>
    <row r="1" spans="1:33" ht="34.5" customHeight="1">
      <c r="A1" s="475" t="s">
        <v>658</v>
      </c>
      <c r="B1" s="475"/>
      <c r="C1" s="475"/>
      <c r="D1" s="475"/>
      <c r="E1" s="475"/>
      <c r="F1" s="475"/>
      <c r="G1" s="475"/>
      <c r="H1" s="475"/>
      <c r="I1" s="475"/>
      <c r="J1" s="475"/>
      <c r="K1" s="475"/>
      <c r="L1" s="475"/>
      <c r="M1" s="475"/>
      <c r="N1" s="475"/>
      <c r="O1" s="475"/>
      <c r="P1" s="475"/>
      <c r="Q1" s="475"/>
      <c r="R1" s="475"/>
      <c r="S1" s="475"/>
    </row>
    <row r="2" spans="1:33" s="56" customFormat="1" ht="18" customHeight="1">
      <c r="A2" s="55"/>
      <c r="B2" s="55"/>
      <c r="C2" s="55"/>
      <c r="D2" s="55"/>
      <c r="E2" s="55"/>
      <c r="F2" s="55"/>
      <c r="G2" s="55"/>
      <c r="H2" s="55"/>
      <c r="I2" s="55"/>
      <c r="J2" s="55"/>
      <c r="K2" s="55"/>
      <c r="L2" s="55"/>
      <c r="M2" s="55"/>
      <c r="N2" s="55"/>
      <c r="O2" s="55"/>
      <c r="P2" s="55"/>
      <c r="Q2" s="55"/>
      <c r="R2" s="55"/>
      <c r="S2" s="55"/>
    </row>
    <row r="3" spans="1:33" s="56" customFormat="1" ht="18.75" customHeight="1">
      <c r="A3" s="549" t="s">
        <v>659</v>
      </c>
      <c r="B3" s="549"/>
      <c r="C3" s="549" t="s">
        <v>660</v>
      </c>
      <c r="D3" s="549"/>
      <c r="E3" s="549" t="s">
        <v>661</v>
      </c>
      <c r="F3" s="549"/>
      <c r="G3" s="549"/>
      <c r="H3" s="549"/>
      <c r="I3" s="549" t="s">
        <v>662</v>
      </c>
      <c r="J3" s="549"/>
      <c r="K3" s="549"/>
      <c r="L3" s="549"/>
      <c r="M3" s="549"/>
      <c r="N3" s="549" t="s">
        <v>663</v>
      </c>
      <c r="O3" s="549"/>
      <c r="P3" s="548" t="s">
        <v>664</v>
      </c>
      <c r="Q3" s="548"/>
      <c r="R3" s="548"/>
      <c r="S3" s="548"/>
    </row>
    <row r="4" spans="1:33" s="56" customFormat="1" ht="18" customHeight="1">
      <c r="A4" s="55"/>
      <c r="B4" s="55"/>
      <c r="C4" s="55"/>
      <c r="D4" s="55"/>
      <c r="E4" s="55"/>
      <c r="F4" s="55"/>
      <c r="G4" s="55"/>
      <c r="H4" s="55"/>
      <c r="I4" s="55"/>
      <c r="J4" s="55"/>
      <c r="K4" s="55"/>
      <c r="L4" s="55"/>
      <c r="M4" s="55"/>
      <c r="N4" s="55"/>
      <c r="O4" s="55"/>
      <c r="P4" s="55"/>
      <c r="Q4" s="55"/>
      <c r="R4" s="55"/>
      <c r="S4" s="55"/>
    </row>
    <row r="5" spans="1:33" s="56" customFormat="1" ht="14.25" customHeight="1">
      <c r="A5" s="550" t="s">
        <v>36</v>
      </c>
      <c r="B5" s="550"/>
      <c r="C5" s="550"/>
      <c r="D5" s="550"/>
      <c r="E5" s="550"/>
      <c r="F5" s="550"/>
      <c r="G5" s="550"/>
      <c r="H5" s="57"/>
      <c r="I5" s="57"/>
      <c r="J5" s="552" t="s">
        <v>665</v>
      </c>
      <c r="K5" s="552"/>
      <c r="L5" s="456"/>
      <c r="M5" s="55"/>
      <c r="N5" s="551" t="s">
        <v>694</v>
      </c>
      <c r="O5" s="551"/>
      <c r="P5" s="551"/>
      <c r="Q5" s="551"/>
      <c r="R5" s="551"/>
      <c r="S5" s="551"/>
      <c r="AC5" s="56" t="str">
        <f ca="1">'Mia rosa + Org. Finanza'!$B4</f>
        <v/>
      </c>
      <c r="AD5" s="56" t="str">
        <f ca="1">'Mia rosa + Org. Finanza'!AG5</f>
        <v/>
      </c>
      <c r="AE5" s="56" t="str">
        <f ca="1">'Mia rosa + Org. Finanza'!AH5</f>
        <v/>
      </c>
      <c r="AF5" s="56" t="str">
        <f ca="1">'Mia rosa + Org. Finanza'!AI5</f>
        <v/>
      </c>
      <c r="AG5" s="56" t="str">
        <f ca="1">'Mia rosa + Org. Finanza'!AJ5</f>
        <v/>
      </c>
    </row>
    <row r="6" spans="1:33" s="317" customFormat="1" ht="14.25" customHeight="1">
      <c r="A6" s="312" t="s">
        <v>638</v>
      </c>
      <c r="B6" s="313" t="s">
        <v>668</v>
      </c>
      <c r="C6" s="314" t="s">
        <v>637</v>
      </c>
      <c r="D6" s="315" t="s">
        <v>669</v>
      </c>
      <c r="E6" s="315" t="s">
        <v>670</v>
      </c>
      <c r="F6" s="315" t="s">
        <v>1315</v>
      </c>
      <c r="G6" s="312" t="s">
        <v>671</v>
      </c>
      <c r="H6" s="316" t="s">
        <v>672</v>
      </c>
      <c r="I6" s="316" t="s">
        <v>673</v>
      </c>
      <c r="J6" s="316" t="s">
        <v>674</v>
      </c>
      <c r="K6" s="316" t="s">
        <v>675</v>
      </c>
      <c r="L6" s="321" t="s">
        <v>1998</v>
      </c>
      <c r="N6" s="54"/>
      <c r="O6" s="54"/>
      <c r="P6" s="54"/>
      <c r="Q6" s="54"/>
      <c r="R6" s="54"/>
      <c r="S6" s="54"/>
      <c r="W6" s="317" t="s">
        <v>669</v>
      </c>
      <c r="X6" s="317" t="s">
        <v>670</v>
      </c>
      <c r="Y6" s="317" t="s">
        <v>1315</v>
      </c>
      <c r="Z6" s="317" t="s">
        <v>1466</v>
      </c>
      <c r="AA6" s="317" t="s">
        <v>1468</v>
      </c>
      <c r="AB6" s="317" t="s">
        <v>1475</v>
      </c>
      <c r="AC6" s="317" t="str">
        <f ca="1">'Mia rosa + Org. Finanza'!$B5</f>
        <v/>
      </c>
      <c r="AD6" s="320" t="str">
        <f ca="1">'Mia rosa + Org. Finanza'!AG6</f>
        <v/>
      </c>
      <c r="AE6" s="320" t="str">
        <f ca="1">'Mia rosa + Org. Finanza'!AH6</f>
        <v/>
      </c>
      <c r="AF6" s="320" t="str">
        <f ca="1">'Mia rosa + Org. Finanza'!AI6</f>
        <v/>
      </c>
      <c r="AG6" s="320" t="str">
        <f ca="1">'Mia rosa + Org. Finanza'!AJ6</f>
        <v/>
      </c>
    </row>
    <row r="7" spans="1:33" s="56" customFormat="1" ht="14.25" customHeight="1">
      <c r="A7" s="232" t="str">
        <f ca="1">IF(Giocatori!D9="","P",Giocatori!D9)</f>
        <v>P</v>
      </c>
      <c r="B7" s="232" t="str">
        <f ca="1">IF(Giocatori!E9="","ZZZ" &amp; ROW(),Giocatori!E9)</f>
        <v>ALISSON</v>
      </c>
      <c r="C7" s="232" t="str">
        <f ca="1">IF(Giocatori!F9="","NDR" &amp; ROW(),Giocatori!F9)</f>
        <v>Roma</v>
      </c>
      <c r="D7" s="233">
        <f t="shared" ref="D7:D38" ca="1" si="0">IF(ISNA(VLOOKUP($B7,TabAlgTutti,6,FALSE)),0,VLOOKUP($B7,TabAlgTutti,6,FALSE))+ROW()/100000</f>
        <v>88.000069999999994</v>
      </c>
      <c r="E7" s="233">
        <f t="shared" ref="E7:E38" ca="1" si="1">IF(ISNA(VLOOKUP($B7,TabAlgTutti,5,FALSE)),0,VLOOKUP($B7,TabAlgTutti,5,FALSE))+ROW()/100000</f>
        <v>47.000070000000001</v>
      </c>
      <c r="F7" s="234">
        <f t="shared" ref="F7:F38" ca="1" si="2">($D7*$P$8+$E7*(1+$E7*100/60/100)*$S$8)/100+ROW()/100000</f>
        <v>85.908528166707484</v>
      </c>
      <c r="G7" s="233" t="str">
        <f t="shared" ref="G7:G38" ca="1" si="3">IF(ISNA(VLOOKUP($B7,TabAlgTutti,7,FALSE)),"",IF(VLOOKUP($B7,TabAlgTutti,7,FALSE)=-1,"SCONSIGLIATO",IF(VLOOKUP($B7,TabAlgTutti,7,FALSE)=0,"SORPRESA",IF(VLOOKUP($B7,TabAlgTutti,7,FALSE)=1,"CONSIGLIATO",""))))</f>
        <v/>
      </c>
      <c r="H7" s="235">
        <f t="shared" ref="H7:H38" ca="1" si="4">IF(ISNA(VLOOKUP($B7,TabAlgTutti,8,FALSE)),"",VLOOKUP($B7,TabAlgTutti,8,FALSE))</f>
        <v>90</v>
      </c>
      <c r="I7" s="233" t="str">
        <f t="shared" ref="I7:I38" ca="1" si="5">IF(ISNA(VLOOKUP($B7,TabAlgTutti,9,FALSE)),"",IF(VLOOKUP($B7,TabAlgTutti,9,FALSE)="","",VLOOKUP($B7,TabAlgTutti,9,FALSE)&amp;"R "))&amp;IF(ISNA(VLOOKUP($B7,TabAlgTutti,10,FALSE)),"",IF(VLOOKUP($B7,TabAlgTutti,10,FALSE)="","",VLOOKUP($B7,TabAlgTutti,10,FALSE)&amp;"P "))&amp;IF(ISNA(VLOOKUP($B7,TabAlgTutti,11,FALSE)),"",IF(VLOOKUP($B7,TabAlgTutti,11,FALSE)="","",VLOOKUP($B7,TabAlgTutti,11,FALSE)&amp;"A"))</f>
        <v/>
      </c>
      <c r="J7" s="233">
        <f t="shared" ref="J7:J38" ca="1" si="6">IF(ISNA(VLOOKUP($B7,TabAlgTutti,3,FALSE)),0,VLOOKUP($B7,TabAlgTutti,3,FALSE))+ROW()/100000</f>
        <v>13.380420239216869</v>
      </c>
      <c r="K7" s="233">
        <f t="shared" ref="K7:K38" ca="1" si="7">IF(ISNA(VLOOKUP($B7,TabAlgTutti,4,FALSE)),0,VLOOKUP($B7,TabAlgTutti,4,FALSE))+ROW()/100000</f>
        <v>12.484369790980855</v>
      </c>
      <c r="L7" s="324">
        <f ca="1">VLOOKUP(Tabella94[[#This Row],[Calciatore]],'Raccolta Aste'!$A$2:$E$33,4,FALSE)*Asta!$U$3/100</f>
        <v>24.92</v>
      </c>
      <c r="N7" s="551" t="s">
        <v>1465</v>
      </c>
      <c r="O7" s="551"/>
      <c r="P7" s="551"/>
      <c r="Q7" s="551"/>
      <c r="R7" s="551"/>
      <c r="S7" s="551"/>
      <c r="U7" s="311"/>
      <c r="V7" s="311"/>
      <c r="W7" s="56">
        <f t="shared" ref="W7:W38" ca="1" si="8">_xlfn.RANK.EQ(D7,$D$7:$D$79,0)</f>
        <v>5</v>
      </c>
      <c r="X7" s="56">
        <f t="shared" ref="X7:X38" ca="1" si="9">_xlfn.RANK.EQ(E7,$E$7:$E$79,0)</f>
        <v>4</v>
      </c>
      <c r="Y7" s="56">
        <f t="shared" ref="Y7:Y38" ca="1" si="10">_xlfn.RANK.EQ(F7,$F$7:$F$79,0)</f>
        <v>4</v>
      </c>
      <c r="Z7" s="56">
        <f ca="1">_xlfn.RANK.EQ(J7,$J$7:$J$79,0)</f>
        <v>4</v>
      </c>
      <c r="AA7" s="56">
        <f ca="1">_xlfn.RANK.EQ(K7,$K$7:$K$79,0)</f>
        <v>4</v>
      </c>
      <c r="AB7" s="56">
        <f ca="1">_xlfn.CEILING.MATH(INDIRECT(ADDRESS(7,22+MATCH($P$26,'I.A. + Fasce'!$W$6:$AA$6,0),1,1) &amp; ":" &amp; ADDRESS(79,22+MATCH($P$26,'I.A. + Fasce'!$W$6:$AA$6,0),1,1))/Asta!$H$3)</f>
        <v>1</v>
      </c>
      <c r="AC7" s="56" t="str">
        <f ca="1">'Mia rosa + Org. Finanza'!$B6</f>
        <v/>
      </c>
      <c r="AD7" s="56" t="str">
        <f ca="1">'Mia rosa + Org. Finanza'!AG7</f>
        <v/>
      </c>
      <c r="AE7" s="56" t="str">
        <f ca="1">'Mia rosa + Org. Finanza'!AH7</f>
        <v/>
      </c>
      <c r="AF7" s="56" t="str">
        <f ca="1">'Mia rosa + Org. Finanza'!AI7</f>
        <v/>
      </c>
      <c r="AG7" s="56" t="str">
        <f ca="1">'Mia rosa + Org. Finanza'!AJ7</f>
        <v/>
      </c>
    </row>
    <row r="8" spans="1:33" ht="14.25" customHeight="1">
      <c r="A8" s="232" t="str">
        <f ca="1">IF(Giocatori!D10="","P",Giocatori!D10)</f>
        <v>P</v>
      </c>
      <c r="B8" s="232" t="str">
        <f ca="1">IF(Giocatori!E10="","ZZZ" &amp; ROW(),Giocatori!E10)</f>
        <v>BELEC</v>
      </c>
      <c r="C8" s="232" t="str">
        <f ca="1">IF(Giocatori!F10="","NDR" &amp; ROW(),Giocatori!F10)</f>
        <v>Benevento</v>
      </c>
      <c r="D8" s="233">
        <f t="shared" ca="1" si="0"/>
        <v>62.000079999999997</v>
      </c>
      <c r="E8" s="233">
        <f t="shared" ca="1" si="1"/>
        <v>37.000079999999997</v>
      </c>
      <c r="F8" s="234">
        <f t="shared" ca="1" si="2"/>
        <v>60.908542666719995</v>
      </c>
      <c r="G8" s="233" t="str">
        <f t="shared" ca="1" si="3"/>
        <v/>
      </c>
      <c r="H8" s="235">
        <f t="shared" ca="1" si="4"/>
        <v>80</v>
      </c>
      <c r="I8" s="233" t="str">
        <f t="shared" ca="1" si="5"/>
        <v/>
      </c>
      <c r="J8" s="233">
        <f t="shared" ca="1" si="6"/>
        <v>1.0000800000000001</v>
      </c>
      <c r="K8" s="233">
        <f t="shared" ca="1" si="7"/>
        <v>1.0000800000000001</v>
      </c>
      <c r="L8" s="324" t="e">
        <f ca="1">VLOOKUP(Tabella94[[#This Row],[Calciatore]],'Raccolta Aste'!$A$2:$E$33,4,FALSE)*Asta!$U$3/100</f>
        <v>#N/A</v>
      </c>
      <c r="N8" s="551" t="s">
        <v>696</v>
      </c>
      <c r="O8" s="551"/>
      <c r="P8" s="195">
        <v>50</v>
      </c>
      <c r="Q8" s="551" t="s">
        <v>697</v>
      </c>
      <c r="R8" s="551"/>
      <c r="S8" s="59">
        <f>100-P8</f>
        <v>50</v>
      </c>
      <c r="U8" s="311"/>
      <c r="V8" s="311"/>
      <c r="W8" s="56">
        <f t="shared" ca="1" si="8"/>
        <v>20</v>
      </c>
      <c r="X8" s="56">
        <f t="shared" ca="1" si="9"/>
        <v>24</v>
      </c>
      <c r="Y8" s="56">
        <f t="shared" ca="1" si="10"/>
        <v>20</v>
      </c>
      <c r="Z8" s="56">
        <f t="shared" ref="Z8:Z71" ca="1" si="11">_xlfn.RANK.EQ(J8,$J$7:$J$79,0)</f>
        <v>61</v>
      </c>
      <c r="AA8" s="56">
        <f t="shared" ref="AA8:AA71" ca="1" si="12">_xlfn.RANK.EQ(K8,$K$7:$K$79,0)</f>
        <v>61</v>
      </c>
      <c r="AB8" s="56">
        <f ca="1">_xlfn.CEILING.MATH(INDIRECT(ADDRESS(7,22+MATCH($P$26,'I.A. + Fasce'!$W$6:$AA$6,0),1,1) &amp; ":" &amp; ADDRESS(79,22+MATCH($P$26,'I.A. + Fasce'!$W$6:$AA$6,0),1,1))/Asta!$H$3)</f>
        <v>3</v>
      </c>
      <c r="AD8" s="56" t="str">
        <f ca="1">'Mia rosa + Org. Finanza'!AG8</f>
        <v/>
      </c>
      <c r="AE8" s="56" t="str">
        <f ca="1">'Mia rosa + Org. Finanza'!AH8</f>
        <v/>
      </c>
      <c r="AF8" s="56" t="str">
        <f ca="1">'Mia rosa + Org. Finanza'!AI8</f>
        <v/>
      </c>
      <c r="AG8" s="56" t="str">
        <f ca="1">'Mia rosa + Org. Finanza'!AJ8</f>
        <v/>
      </c>
    </row>
    <row r="9" spans="1:33" ht="14.25" customHeight="1">
      <c r="A9" s="232" t="str">
        <f ca="1">IF(Giocatori!D11="","P",Giocatori!D11)</f>
        <v>P</v>
      </c>
      <c r="B9" s="232" t="str">
        <f ca="1">IF(Giocatori!E11="","ZZZ" &amp; ROW(),Giocatori!E11)</f>
        <v>BERISHA</v>
      </c>
      <c r="C9" s="232" t="str">
        <f ca="1">IF(Giocatori!F11="","NDR" &amp; ROW(),Giocatori!F11)</f>
        <v>Atalanta</v>
      </c>
      <c r="D9" s="233">
        <f t="shared" ca="1" si="0"/>
        <v>83.00009</v>
      </c>
      <c r="E9" s="233">
        <f t="shared" ca="1" si="1"/>
        <v>43.00009</v>
      </c>
      <c r="F9" s="234">
        <f t="shared" ca="1" si="2"/>
        <v>78.408577833400827</v>
      </c>
      <c r="G9" s="233" t="str">
        <f t="shared" ca="1" si="3"/>
        <v/>
      </c>
      <c r="H9" s="235">
        <f t="shared" ca="1" si="4"/>
        <v>90</v>
      </c>
      <c r="I9" s="233" t="str">
        <f t="shared" ca="1" si="5"/>
        <v/>
      </c>
      <c r="J9" s="233">
        <f t="shared" ca="1" si="6"/>
        <v>7.2425301039514345</v>
      </c>
      <c r="K9" s="233">
        <f t="shared" ca="1" si="7"/>
        <v>7.2849126827324895</v>
      </c>
      <c r="L9" s="324">
        <f ca="1">VLOOKUP(Tabella94[[#This Row],[Calciatore]],'Raccolta Aste'!$A$2:$E$33,4,FALSE)*Asta!$U$3/100</f>
        <v>14.91</v>
      </c>
      <c r="N9" s="553" t="s">
        <v>698</v>
      </c>
      <c r="O9" s="553"/>
      <c r="P9" s="553"/>
      <c r="Q9" s="553"/>
      <c r="R9" s="553"/>
      <c r="S9" s="553"/>
      <c r="U9" s="311"/>
      <c r="V9" s="311"/>
      <c r="W9" s="56">
        <f t="shared" ca="1" si="8"/>
        <v>7</v>
      </c>
      <c r="X9" s="56">
        <f t="shared" ca="1" si="9"/>
        <v>13</v>
      </c>
      <c r="Y9" s="56">
        <f t="shared" ca="1" si="10"/>
        <v>8</v>
      </c>
      <c r="Z9" s="56">
        <f t="shared" ca="1" si="11"/>
        <v>12</v>
      </c>
      <c r="AA9" s="56">
        <f t="shared" ca="1" si="12"/>
        <v>12</v>
      </c>
      <c r="AB9" s="56">
        <f ca="1">_xlfn.CEILING.MATH(INDIRECT(ADDRESS(7,22+MATCH($P$26,'I.A. + Fasce'!$W$6:$AA$6,0),1,1) &amp; ":" &amp; ADDRESS(79,22+MATCH($P$26,'I.A. + Fasce'!$W$6:$AA$6,0),1,1))/Asta!$H$3)</f>
        <v>1</v>
      </c>
      <c r="AD9" s="56" t="str">
        <f ca="1">'Mia rosa + Org. Finanza'!AG9</f>
        <v/>
      </c>
      <c r="AE9" s="56" t="str">
        <f ca="1">'Mia rosa + Org. Finanza'!AH9</f>
        <v/>
      </c>
      <c r="AF9" s="56" t="str">
        <f ca="1">'Mia rosa + Org. Finanza'!AI9</f>
        <v/>
      </c>
      <c r="AG9" s="56" t="str">
        <f ca="1">'Mia rosa + Org. Finanza'!AJ9</f>
        <v/>
      </c>
    </row>
    <row r="10" spans="1:33" ht="14.25" customHeight="1">
      <c r="A10" s="232" t="str">
        <f ca="1">IF(Giocatori!D12="","P",Giocatori!D12)</f>
        <v>P</v>
      </c>
      <c r="B10" s="232" t="str">
        <f ca="1">IF(Giocatori!E12="","ZZZ" &amp; ROW(),Giocatori!E12)</f>
        <v>BERNI</v>
      </c>
      <c r="C10" s="232" t="str">
        <f ca="1">IF(Giocatori!F12="","NDR" &amp; ROW(),Giocatori!F12)</f>
        <v>Inter</v>
      </c>
      <c r="D10" s="233">
        <f t="shared" ca="1" si="0"/>
        <v>5.0000999999999998</v>
      </c>
      <c r="E10" s="233">
        <f t="shared" ca="1" si="1"/>
        <v>28.0001</v>
      </c>
      <c r="F10" s="234">
        <f t="shared" ca="1" si="2"/>
        <v>23.033580000083333</v>
      </c>
      <c r="G10" s="233" t="str">
        <f t="shared" ca="1" si="3"/>
        <v/>
      </c>
      <c r="H10" s="235">
        <f t="shared" ca="1" si="4"/>
        <v>20</v>
      </c>
      <c r="I10" s="233" t="str">
        <f t="shared" ca="1" si="5"/>
        <v/>
      </c>
      <c r="J10" s="233">
        <f t="shared" ca="1" si="6"/>
        <v>1.0001</v>
      </c>
      <c r="K10" s="233">
        <f t="shared" ca="1" si="7"/>
        <v>1.0001</v>
      </c>
      <c r="L10" s="324" t="e">
        <f ca="1">VLOOKUP(Tabella94[[#This Row],[Calciatore]],'Raccolta Aste'!$A$2:$E$33,4,FALSE)*Asta!$U$3/100</f>
        <v>#N/A</v>
      </c>
      <c r="N10" s="553"/>
      <c r="O10" s="553"/>
      <c r="P10" s="553"/>
      <c r="Q10" s="553"/>
      <c r="R10" s="553"/>
      <c r="S10" s="553"/>
      <c r="U10" s="311"/>
      <c r="V10" s="311"/>
      <c r="W10" s="56">
        <f t="shared" ca="1" si="8"/>
        <v>64</v>
      </c>
      <c r="X10" s="56">
        <f t="shared" ca="1" si="9"/>
        <v>54</v>
      </c>
      <c r="Y10" s="56">
        <f t="shared" ca="1" si="10"/>
        <v>55</v>
      </c>
      <c r="Z10" s="56">
        <f t="shared" ca="1" si="11"/>
        <v>60</v>
      </c>
      <c r="AA10" s="56">
        <f t="shared" ca="1" si="12"/>
        <v>60</v>
      </c>
      <c r="AB10" s="56">
        <f ca="1">_xlfn.CEILING.MATH(INDIRECT(ADDRESS(7,22+MATCH($P$26,'I.A. + Fasce'!$W$6:$AA$6,0),1,1) &amp; ":" &amp; ADDRESS(79,22+MATCH($P$26,'I.A. + Fasce'!$W$6:$AA$6,0),1,1))/Asta!$H$3)</f>
        <v>8</v>
      </c>
      <c r="AC10" s="54" t="str">
        <f ca="1">'Mia rosa + Org. Finanza'!$B10</f>
        <v/>
      </c>
      <c r="AD10" s="56" t="str">
        <f ca="1">'Mia rosa + Org. Finanza'!AG10</f>
        <v/>
      </c>
      <c r="AE10" s="56" t="str">
        <f ca="1">'Mia rosa + Org. Finanza'!AH10</f>
        <v/>
      </c>
      <c r="AF10" s="56" t="str">
        <f ca="1">'Mia rosa + Org. Finanza'!AI10</f>
        <v/>
      </c>
      <c r="AG10" s="56" t="str">
        <f ca="1">'Mia rosa + Org. Finanza'!AJ10</f>
        <v/>
      </c>
    </row>
    <row r="11" spans="1:33" ht="14.25" customHeight="1">
      <c r="A11" s="232" t="str">
        <f ca="1">IF(Giocatori!D13="","P",Giocatori!D13)</f>
        <v>P</v>
      </c>
      <c r="B11" s="232" t="str">
        <f ca="1">IF(Giocatori!E13="","ZZZ" &amp; ROW(),Giocatori!E13)</f>
        <v>BIZZARRI</v>
      </c>
      <c r="C11" s="232" t="str">
        <f ca="1">IF(Giocatori!F13="","NDR" &amp; ROW(),Giocatori!F13)</f>
        <v>Udinese</v>
      </c>
      <c r="D11" s="233">
        <f t="shared" ca="1" si="0"/>
        <v>20.000109999999999</v>
      </c>
      <c r="E11" s="233">
        <f t="shared" ca="1" si="1"/>
        <v>32.000109999999999</v>
      </c>
      <c r="F11" s="234">
        <f t="shared" ca="1" si="2"/>
        <v>34.533612000100831</v>
      </c>
      <c r="G11" s="233" t="str">
        <f t="shared" ca="1" si="3"/>
        <v/>
      </c>
      <c r="H11" s="235">
        <f t="shared" ca="1" si="4"/>
        <v>30</v>
      </c>
      <c r="I11" s="233" t="str">
        <f t="shared" ca="1" si="5"/>
        <v/>
      </c>
      <c r="J11" s="233">
        <f t="shared" ca="1" si="6"/>
        <v>1.0001100000000001</v>
      </c>
      <c r="K11" s="233">
        <f t="shared" ca="1" si="7"/>
        <v>1.0001100000000001</v>
      </c>
      <c r="L11" s="324" t="e">
        <f ca="1">VLOOKUP(Tabella94[[#This Row],[Calciatore]],'Raccolta Aste'!$A$2:$E$33,4,FALSE)*Asta!$U$3/100</f>
        <v>#N/A</v>
      </c>
      <c r="N11" s="553"/>
      <c r="O11" s="553"/>
      <c r="P11" s="553"/>
      <c r="Q11" s="553"/>
      <c r="R11" s="553"/>
      <c r="S11" s="553"/>
      <c r="U11" s="311"/>
      <c r="V11" s="311"/>
      <c r="W11" s="56">
        <f t="shared" ca="1" si="8"/>
        <v>40</v>
      </c>
      <c r="X11" s="56">
        <f t="shared" ca="1" si="9"/>
        <v>41</v>
      </c>
      <c r="Y11" s="56">
        <f t="shared" ca="1" si="10"/>
        <v>37</v>
      </c>
      <c r="Z11" s="56">
        <f t="shared" ca="1" si="11"/>
        <v>59</v>
      </c>
      <c r="AA11" s="56">
        <f t="shared" ca="1" si="12"/>
        <v>59</v>
      </c>
      <c r="AB11" s="56">
        <f ca="1">_xlfn.CEILING.MATH(INDIRECT(ADDRESS(7,22+MATCH($P$26,'I.A. + Fasce'!$W$6:$AA$6,0),1,1) &amp; ":" &amp; ADDRESS(79,22+MATCH($P$26,'I.A. + Fasce'!$W$6:$AA$6,0),1,1))/Asta!$H$3)</f>
        <v>5</v>
      </c>
      <c r="AC11" s="54" t="str">
        <f ca="1">'Mia rosa + Org. Finanza'!$B11</f>
        <v/>
      </c>
      <c r="AD11" s="56" t="str">
        <f ca="1">'Mia rosa + Org. Finanza'!AG11</f>
        <v/>
      </c>
      <c r="AE11" s="56" t="str">
        <f ca="1">'Mia rosa + Org. Finanza'!AH11</f>
        <v/>
      </c>
      <c r="AF11" s="56" t="str">
        <f ca="1">'Mia rosa + Org. Finanza'!AI11</f>
        <v/>
      </c>
      <c r="AG11" s="56" t="str">
        <f ca="1">'Mia rosa + Org. Finanza'!AJ11</f>
        <v/>
      </c>
    </row>
    <row r="12" spans="1:33" ht="14.25" customHeight="1">
      <c r="A12" s="232" t="str">
        <f ca="1">IF(Giocatori!D14="","P",Giocatori!D14)</f>
        <v>P</v>
      </c>
      <c r="B12" s="232" t="str">
        <f ca="1">IF(Giocatori!E14="","ZZZ" &amp; ROW(),Giocatori!E14)</f>
        <v>BRIGNOLI</v>
      </c>
      <c r="C12" s="232" t="str">
        <f ca="1">IF(Giocatori!F14="","NDR" &amp; ROW(),Giocatori!F14)</f>
        <v>Benevento</v>
      </c>
      <c r="D12" s="233">
        <f t="shared" ca="1" si="0"/>
        <v>25.000119999999999</v>
      </c>
      <c r="E12" s="233">
        <f t="shared" ca="1" si="1"/>
        <v>34.000120000000003</v>
      </c>
      <c r="F12" s="234">
        <f t="shared" ca="1" si="2"/>
        <v>39.13364133345334</v>
      </c>
      <c r="G12" s="233" t="str">
        <f t="shared" ca="1" si="3"/>
        <v/>
      </c>
      <c r="H12" s="235">
        <f t="shared" ca="1" si="4"/>
        <v>50</v>
      </c>
      <c r="I12" s="233" t="str">
        <f t="shared" ca="1" si="5"/>
        <v/>
      </c>
      <c r="J12" s="233">
        <f t="shared" ca="1" si="6"/>
        <v>1.0001199999999999</v>
      </c>
      <c r="K12" s="233">
        <f t="shared" ca="1" si="7"/>
        <v>1.0001199999999999</v>
      </c>
      <c r="L12" s="324" t="e">
        <f ca="1">VLOOKUP(Tabella94[[#This Row],[Calciatore]],'Raccolta Aste'!$A$2:$E$33,4,FALSE)*Asta!$U$3/100</f>
        <v>#N/A</v>
      </c>
      <c r="N12" s="362"/>
      <c r="O12" s="362"/>
      <c r="P12" s="362"/>
      <c r="Q12" s="362"/>
      <c r="R12" s="362"/>
      <c r="S12" s="362"/>
      <c r="U12" s="311"/>
      <c r="V12" s="311"/>
      <c r="W12" s="56">
        <f t="shared" ca="1" si="8"/>
        <v>30</v>
      </c>
      <c r="X12" s="56">
        <f t="shared" ca="1" si="9"/>
        <v>30</v>
      </c>
      <c r="Y12" s="56">
        <f t="shared" ca="1" si="10"/>
        <v>29</v>
      </c>
      <c r="Z12" s="56">
        <f t="shared" ca="1" si="11"/>
        <v>58</v>
      </c>
      <c r="AA12" s="56">
        <f t="shared" ca="1" si="12"/>
        <v>58</v>
      </c>
      <c r="AB12" s="56">
        <f ca="1">_xlfn.CEILING.MATH(INDIRECT(ADDRESS(7,22+MATCH($P$26,'I.A. + Fasce'!$W$6:$AA$6,0),1,1) &amp; ":" &amp; ADDRESS(79,22+MATCH($P$26,'I.A. + Fasce'!$W$6:$AA$6,0),1,1))/Asta!$H$3)</f>
        <v>4</v>
      </c>
      <c r="AC12" s="54" t="str">
        <f ca="1">'Mia rosa + Org. Finanza'!$B12</f>
        <v/>
      </c>
      <c r="AD12" s="56" t="str">
        <f ca="1">'Mia rosa + Org. Finanza'!AG12</f>
        <v/>
      </c>
      <c r="AE12" s="56" t="str">
        <f ca="1">'Mia rosa + Org. Finanza'!AH12</f>
        <v/>
      </c>
      <c r="AF12" s="56" t="str">
        <f ca="1">'Mia rosa + Org. Finanza'!AI12</f>
        <v/>
      </c>
      <c r="AG12" s="56" t="str">
        <f ca="1">'Mia rosa + Org. Finanza'!AJ12</f>
        <v/>
      </c>
    </row>
    <row r="13" spans="1:33" ht="14.25" customHeight="1">
      <c r="A13" s="232" t="str">
        <f ca="1">IF(Giocatori!D15="","P",Giocatori!D15)</f>
        <v>P</v>
      </c>
      <c r="B13" s="232" t="str">
        <f ca="1">IF(Giocatori!E15="","ZZZ" &amp; ROW(),Giocatori!E15)</f>
        <v>BUFFON</v>
      </c>
      <c r="C13" s="232" t="str">
        <f ca="1">IF(Giocatori!F15="","NDR" &amp; ROW(),Giocatori!F15)</f>
        <v>Juventus</v>
      </c>
      <c r="D13" s="233">
        <f t="shared" ca="1" si="0"/>
        <v>96.000129999999999</v>
      </c>
      <c r="E13" s="233">
        <f t="shared" ca="1" si="1"/>
        <v>49.000129999999999</v>
      </c>
      <c r="F13" s="234">
        <f t="shared" ca="1" si="2"/>
        <v>92.508699500140835</v>
      </c>
      <c r="G13" s="233" t="str">
        <f t="shared" ca="1" si="3"/>
        <v/>
      </c>
      <c r="H13" s="235">
        <f t="shared" ca="1" si="4"/>
        <v>80</v>
      </c>
      <c r="I13" s="233" t="str">
        <f t="shared" ca="1" si="5"/>
        <v/>
      </c>
      <c r="J13" s="233">
        <f t="shared" ca="1" si="6"/>
        <v>20.000129999999999</v>
      </c>
      <c r="K13" s="233">
        <f t="shared" ca="1" si="7"/>
        <v>20.813293217142704</v>
      </c>
      <c r="L13" s="324">
        <f ca="1">VLOOKUP(Tabella94[[#This Row],[Calciatore]],'Raccolta Aste'!$A$2:$E$33,4,FALSE)*Asta!$U$3/100</f>
        <v>46.13</v>
      </c>
      <c r="N13" s="553" t="s">
        <v>699</v>
      </c>
      <c r="O13" s="553"/>
      <c r="P13" s="553"/>
      <c r="Q13" s="553"/>
      <c r="R13" s="553"/>
      <c r="S13" s="553"/>
      <c r="U13" s="311"/>
      <c r="V13" s="311"/>
      <c r="W13" s="56">
        <f t="shared" ca="1" si="8"/>
        <v>1</v>
      </c>
      <c r="X13" s="56">
        <f t="shared" ca="1" si="9"/>
        <v>2</v>
      </c>
      <c r="Y13" s="56">
        <f t="shared" ca="1" si="10"/>
        <v>2</v>
      </c>
      <c r="Z13" s="56">
        <f t="shared" ca="1" si="11"/>
        <v>1</v>
      </c>
      <c r="AA13" s="56">
        <f t="shared" ca="1" si="12"/>
        <v>1</v>
      </c>
      <c r="AB13" s="56">
        <f ca="1">_xlfn.CEILING.MATH(INDIRECT(ADDRESS(7,22+MATCH($P$26,'I.A. + Fasce'!$W$6:$AA$6,0),1,1) &amp; ":" &amp; ADDRESS(79,22+MATCH($P$26,'I.A. + Fasce'!$W$6:$AA$6,0),1,1))/Asta!$H$3)</f>
        <v>1</v>
      </c>
      <c r="AC13" s="54" t="str">
        <f ca="1">'Mia rosa + Org. Finanza'!$B13</f>
        <v/>
      </c>
      <c r="AD13" s="56" t="str">
        <f ca="1">'Mia rosa + Org. Finanza'!AG13</f>
        <v/>
      </c>
      <c r="AE13" s="56" t="str">
        <f ca="1">'Mia rosa + Org. Finanza'!AH13</f>
        <v/>
      </c>
      <c r="AF13" s="56" t="str">
        <f ca="1">'Mia rosa + Org. Finanza'!AI13</f>
        <v/>
      </c>
      <c r="AG13" s="56" t="str">
        <f ca="1">'Mia rosa + Org. Finanza'!AJ13</f>
        <v/>
      </c>
    </row>
    <row r="14" spans="1:33" ht="14.25" customHeight="1">
      <c r="A14" s="232" t="str">
        <f ca="1">IF(Giocatori!D16="","P",Giocatori!D16)</f>
        <v>P</v>
      </c>
      <c r="B14" s="232" t="str">
        <f ca="1">IF(Giocatori!E16="","ZZZ" &amp; ROW(),Giocatori!E16)</f>
        <v>CEROFOLINI</v>
      </c>
      <c r="C14" s="232" t="str">
        <f ca="1">IF(Giocatori!F16="","NDR" &amp; ROW(),Giocatori!F16)</f>
        <v>Fiorentina</v>
      </c>
      <c r="D14" s="233">
        <f t="shared" ca="1" si="0"/>
        <v>5.00014</v>
      </c>
      <c r="E14" s="233">
        <f t="shared" ca="1" si="1"/>
        <v>29.000139999999998</v>
      </c>
      <c r="F14" s="234">
        <f t="shared" ca="1" si="2"/>
        <v>24.008681000163332</v>
      </c>
      <c r="G14" s="233" t="str">
        <f t="shared" ca="1" si="3"/>
        <v/>
      </c>
      <c r="H14" s="235">
        <f t="shared" ca="1" si="4"/>
        <v>10</v>
      </c>
      <c r="I14" s="233" t="str">
        <f t="shared" ca="1" si="5"/>
        <v/>
      </c>
      <c r="J14" s="233">
        <f t="shared" ca="1" si="6"/>
        <v>1.00014</v>
      </c>
      <c r="K14" s="233">
        <f t="shared" ca="1" si="7"/>
        <v>1.00014</v>
      </c>
      <c r="L14" s="324" t="e">
        <f ca="1">VLOOKUP(Tabella94[[#This Row],[Calciatore]],'Raccolta Aste'!$A$2:$E$33,4,FALSE)*Asta!$U$3/100</f>
        <v>#N/A</v>
      </c>
      <c r="N14" s="553"/>
      <c r="O14" s="553"/>
      <c r="P14" s="553"/>
      <c r="Q14" s="553"/>
      <c r="R14" s="553"/>
      <c r="S14" s="553"/>
      <c r="U14" s="311"/>
      <c r="V14" s="311"/>
      <c r="W14" s="56">
        <f t="shared" ca="1" si="8"/>
        <v>63</v>
      </c>
      <c r="X14" s="56">
        <f t="shared" ca="1" si="9"/>
        <v>52</v>
      </c>
      <c r="Y14" s="56">
        <f t="shared" ca="1" si="10"/>
        <v>54</v>
      </c>
      <c r="Z14" s="56">
        <f t="shared" ca="1" si="11"/>
        <v>57</v>
      </c>
      <c r="AA14" s="56">
        <f t="shared" ca="1" si="12"/>
        <v>57</v>
      </c>
      <c r="AB14" s="56">
        <f ca="1">_xlfn.CEILING.MATH(INDIRECT(ADDRESS(7,22+MATCH($P$26,'I.A. + Fasce'!$W$6:$AA$6,0),1,1) &amp; ":" &amp; ADDRESS(79,22+MATCH($P$26,'I.A. + Fasce'!$W$6:$AA$6,0),1,1))/Asta!$H$3)</f>
        <v>8</v>
      </c>
      <c r="AC14" s="54" t="str">
        <f ca="1">'Mia rosa + Org. Finanza'!$B14</f>
        <v/>
      </c>
      <c r="AD14" s="56" t="str">
        <f ca="1">'Mia rosa + Org. Finanza'!AG14</f>
        <v/>
      </c>
      <c r="AE14" s="56" t="str">
        <f ca="1">'Mia rosa + Org. Finanza'!AH14</f>
        <v/>
      </c>
      <c r="AF14" s="56" t="str">
        <f ca="1">'Mia rosa + Org. Finanza'!AI14</f>
        <v/>
      </c>
      <c r="AG14" s="56" t="str">
        <f ca="1">'Mia rosa + Org. Finanza'!AJ14</f>
        <v/>
      </c>
    </row>
    <row r="15" spans="1:33" ht="14.25" customHeight="1">
      <c r="A15" s="232" t="str">
        <f ca="1">IF(Giocatori!D17="","P",Giocatori!D17)</f>
        <v>P</v>
      </c>
      <c r="B15" s="232" t="str">
        <f ca="1">IF(Giocatori!E17="","ZZZ" &amp; ROW(),Giocatori!E17)</f>
        <v>CONFENTE</v>
      </c>
      <c r="C15" s="232" t="str">
        <f ca="1">IF(Giocatori!F17="","NDR" &amp; ROW(),Giocatori!F17)</f>
        <v>Chievo</v>
      </c>
      <c r="D15" s="233">
        <f t="shared" ca="1" si="0"/>
        <v>5.0001499999999997</v>
      </c>
      <c r="E15" s="233">
        <f t="shared" ca="1" si="1"/>
        <v>26.000150000000001</v>
      </c>
      <c r="F15" s="234">
        <f t="shared" ca="1" si="2"/>
        <v>21.133698333520837</v>
      </c>
      <c r="G15" s="233" t="str">
        <f t="shared" ca="1" si="3"/>
        <v/>
      </c>
      <c r="H15" s="235">
        <f t="shared" ca="1" si="4"/>
        <v>20</v>
      </c>
      <c r="I15" s="233" t="str">
        <f t="shared" ca="1" si="5"/>
        <v/>
      </c>
      <c r="J15" s="233">
        <f t="shared" ca="1" si="6"/>
        <v>1.0001500000000001</v>
      </c>
      <c r="K15" s="233">
        <f t="shared" ca="1" si="7"/>
        <v>1.0001500000000001</v>
      </c>
      <c r="L15" s="324" t="e">
        <f ca="1">VLOOKUP(Tabella94[[#This Row],[Calciatore]],'Raccolta Aste'!$A$2:$E$33,4,FALSE)*Asta!$U$3/100</f>
        <v>#N/A</v>
      </c>
      <c r="N15" s="362"/>
      <c r="O15" s="362"/>
      <c r="P15" s="362"/>
      <c r="Q15" s="362"/>
      <c r="R15" s="362"/>
      <c r="S15" s="362"/>
      <c r="U15" s="311"/>
      <c r="V15" s="311"/>
      <c r="W15" s="56">
        <f t="shared" ca="1" si="8"/>
        <v>62</v>
      </c>
      <c r="X15" s="56">
        <f t="shared" ca="1" si="9"/>
        <v>59</v>
      </c>
      <c r="Y15" s="56">
        <f t="shared" ca="1" si="10"/>
        <v>59</v>
      </c>
      <c r="Z15" s="56">
        <f t="shared" ca="1" si="11"/>
        <v>56</v>
      </c>
      <c r="AA15" s="56">
        <f t="shared" ca="1" si="12"/>
        <v>56</v>
      </c>
      <c r="AB15" s="56">
        <f ca="1">_xlfn.CEILING.MATH(INDIRECT(ADDRESS(7,22+MATCH($P$26,'I.A. + Fasce'!$W$6:$AA$6,0),1,1) &amp; ":" &amp; ADDRESS(79,22+MATCH($P$26,'I.A. + Fasce'!$W$6:$AA$6,0),1,1))/Asta!$H$3)</f>
        <v>8</v>
      </c>
      <c r="AC15" s="54" t="str">
        <f ca="1">'Mia rosa + Org. Finanza'!$B15</f>
        <v/>
      </c>
      <c r="AD15" s="56" t="str">
        <f ca="1">'Mia rosa + Org. Finanza'!AG15</f>
        <v/>
      </c>
      <c r="AE15" s="56" t="str">
        <f ca="1">'Mia rosa + Org. Finanza'!AH15</f>
        <v/>
      </c>
      <c r="AF15" s="56" t="str">
        <f ca="1">'Mia rosa + Org. Finanza'!AI15</f>
        <v/>
      </c>
      <c r="AG15" s="56" t="str">
        <f ca="1">'Mia rosa + Org. Finanza'!AJ15</f>
        <v/>
      </c>
    </row>
    <row r="16" spans="1:33" ht="14.25" customHeight="1">
      <c r="A16" s="232" t="str">
        <f ca="1">IF(Giocatori!D18="","P",Giocatori!D18)</f>
        <v>P</v>
      </c>
      <c r="B16" s="232" t="str">
        <f ca="1">IF(Giocatori!E18="","ZZZ" &amp; ROW(),Giocatori!E18)</f>
        <v>CONSIGLI</v>
      </c>
      <c r="C16" s="232" t="str">
        <f ca="1">IF(Giocatori!F18="","NDR" &amp; ROW(),Giocatori!F18)</f>
        <v>Sassuolo</v>
      </c>
      <c r="D16" s="233">
        <f t="shared" ca="1" si="0"/>
        <v>83.000159999999994</v>
      </c>
      <c r="E16" s="233">
        <f t="shared" ca="1" si="1"/>
        <v>44.000160000000001</v>
      </c>
      <c r="F16" s="234">
        <f t="shared" ca="1" si="2"/>
        <v>79.633770666879983</v>
      </c>
      <c r="G16" s="233" t="str">
        <f t="shared" ca="1" si="3"/>
        <v>SORPRESA</v>
      </c>
      <c r="H16" s="235">
        <f t="shared" ca="1" si="4"/>
        <v>90</v>
      </c>
      <c r="I16" s="233" t="str">
        <f t="shared" ca="1" si="5"/>
        <v/>
      </c>
      <c r="J16" s="233">
        <f t="shared" ca="1" si="6"/>
        <v>7.7680507591577408</v>
      </c>
      <c r="K16" s="233">
        <f t="shared" ca="1" si="7"/>
        <v>7.8837329605889801</v>
      </c>
      <c r="L16" s="324">
        <f ca="1">VLOOKUP(Tabella94[[#This Row],[Calciatore]],'Raccolta Aste'!$A$2:$E$33,4,FALSE)*Asta!$U$3/100</f>
        <v>11.795</v>
      </c>
      <c r="N16" s="553" t="s">
        <v>702</v>
      </c>
      <c r="O16" s="553"/>
      <c r="P16" s="553"/>
      <c r="Q16" s="553"/>
      <c r="R16" s="553"/>
      <c r="S16" s="553"/>
      <c r="U16" s="311"/>
      <c r="V16" s="311"/>
      <c r="W16" s="56">
        <f t="shared" ca="1" si="8"/>
        <v>6</v>
      </c>
      <c r="X16" s="56">
        <f t="shared" ca="1" si="9"/>
        <v>11</v>
      </c>
      <c r="Y16" s="56">
        <f t="shared" ca="1" si="10"/>
        <v>7</v>
      </c>
      <c r="Z16" s="56">
        <f t="shared" ca="1" si="11"/>
        <v>11</v>
      </c>
      <c r="AA16" s="56">
        <f t="shared" ca="1" si="12"/>
        <v>11</v>
      </c>
      <c r="AB16" s="56">
        <f ca="1">_xlfn.CEILING.MATH(INDIRECT(ADDRESS(7,22+MATCH($P$26,'I.A. + Fasce'!$W$6:$AA$6,0),1,1) &amp; ":" &amp; ADDRESS(79,22+MATCH($P$26,'I.A. + Fasce'!$W$6:$AA$6,0),1,1))/Asta!$H$3)</f>
        <v>1</v>
      </c>
      <c r="AC16" s="54" t="str">
        <f ca="1">'Mia rosa + Org. Finanza'!$B16</f>
        <v/>
      </c>
      <c r="AD16" s="56" t="str">
        <f ca="1">'Mia rosa + Org. Finanza'!AG16</f>
        <v/>
      </c>
      <c r="AE16" s="56" t="str">
        <f ca="1">'Mia rosa + Org. Finanza'!AH16</f>
        <v/>
      </c>
      <c r="AF16" s="56" t="str">
        <f ca="1">'Mia rosa + Org. Finanza'!AI16</f>
        <v/>
      </c>
      <c r="AG16" s="56" t="str">
        <f ca="1">'Mia rosa + Org. Finanza'!AJ16</f>
        <v/>
      </c>
    </row>
    <row r="17" spans="1:33" ht="14.25" customHeight="1">
      <c r="A17" s="232" t="str">
        <f ca="1">IF(Giocatori!D19="","P",Giocatori!D19)</f>
        <v>P</v>
      </c>
      <c r="B17" s="232" t="str">
        <f ca="1">IF(Giocatori!E19="","ZZZ" &amp; ROW(),Giocatori!E19)</f>
        <v>COPPOLA</v>
      </c>
      <c r="C17" s="232" t="str">
        <f ca="1">IF(Giocatori!F19="","NDR" &amp; ROW(),Giocatori!F19)</f>
        <v>Verona</v>
      </c>
      <c r="D17" s="233">
        <f t="shared" ca="1" si="0"/>
        <v>5.0001699999999998</v>
      </c>
      <c r="E17" s="233">
        <f t="shared" ca="1" si="1"/>
        <v>25.000170000000001</v>
      </c>
      <c r="F17" s="234">
        <f t="shared" ca="1" si="2"/>
        <v>20.208744166907501</v>
      </c>
      <c r="G17" s="233" t="str">
        <f t="shared" ca="1" si="3"/>
        <v/>
      </c>
      <c r="H17" s="235">
        <f t="shared" ca="1" si="4"/>
        <v>10</v>
      </c>
      <c r="I17" s="233" t="str">
        <f t="shared" ca="1" si="5"/>
        <v/>
      </c>
      <c r="J17" s="233">
        <f t="shared" ca="1" si="6"/>
        <v>1.00017</v>
      </c>
      <c r="K17" s="233">
        <f t="shared" ca="1" si="7"/>
        <v>1.00017</v>
      </c>
      <c r="L17" s="324" t="e">
        <f ca="1">VLOOKUP(Tabella94[[#This Row],[Calciatore]],'Raccolta Aste'!$A$2:$E$33,4,FALSE)*Asta!$U$3/100</f>
        <v>#N/A</v>
      </c>
      <c r="N17" s="553"/>
      <c r="O17" s="553"/>
      <c r="P17" s="553"/>
      <c r="Q17" s="553"/>
      <c r="R17" s="553"/>
      <c r="S17" s="553"/>
      <c r="U17" s="311"/>
      <c r="V17" s="311"/>
      <c r="W17" s="56">
        <f t="shared" ca="1" si="8"/>
        <v>61</v>
      </c>
      <c r="X17" s="56">
        <f t="shared" ca="1" si="9"/>
        <v>60</v>
      </c>
      <c r="Y17" s="56">
        <f t="shared" ca="1" si="10"/>
        <v>60</v>
      </c>
      <c r="Z17" s="56">
        <f t="shared" ca="1" si="11"/>
        <v>55</v>
      </c>
      <c r="AA17" s="56">
        <f t="shared" ca="1" si="12"/>
        <v>55</v>
      </c>
      <c r="AB17" s="56">
        <f ca="1">_xlfn.CEILING.MATH(INDIRECT(ADDRESS(7,22+MATCH($P$26,'I.A. + Fasce'!$W$6:$AA$6,0),1,1) &amp; ":" &amp; ADDRESS(79,22+MATCH($P$26,'I.A. + Fasce'!$W$6:$AA$6,0),1,1))/Asta!$H$3)</f>
        <v>8</v>
      </c>
      <c r="AC17" s="54" t="str">
        <f ca="1">'Mia rosa + Org. Finanza'!$B17</f>
        <v/>
      </c>
      <c r="AD17" s="56" t="str">
        <f ca="1">'Mia rosa + Org. Finanza'!AG17</f>
        <v/>
      </c>
      <c r="AE17" s="56" t="str">
        <f ca="1">'Mia rosa + Org. Finanza'!AH17</f>
        <v/>
      </c>
      <c r="AF17" s="56" t="str">
        <f ca="1">'Mia rosa + Org. Finanza'!AI17</f>
        <v/>
      </c>
      <c r="AG17" s="56" t="str">
        <f ca="1">'Mia rosa + Org. Finanza'!AJ17</f>
        <v/>
      </c>
    </row>
    <row r="18" spans="1:33" ht="14.25" customHeight="1">
      <c r="A18" s="232" t="str">
        <f ca="1">IF(Giocatori!D20="","P",Giocatori!D20)</f>
        <v>P</v>
      </c>
      <c r="B18" s="232" t="str">
        <f ca="1">IF(Giocatori!E20="","ZZZ" &amp; ROW(),Giocatori!E20)</f>
        <v>CORDAZ</v>
      </c>
      <c r="C18" s="232" t="str">
        <f ca="1">IF(Giocatori!F20="","NDR" &amp; ROW(),Giocatori!F20)</f>
        <v>Crotone</v>
      </c>
      <c r="D18" s="233">
        <f t="shared" ca="1" si="0"/>
        <v>70.00018</v>
      </c>
      <c r="E18" s="233">
        <f t="shared" ca="1" si="1"/>
        <v>42.00018</v>
      </c>
      <c r="F18" s="234">
        <f t="shared" ca="1" si="2"/>
        <v>70.70048600026999</v>
      </c>
      <c r="G18" s="233" t="str">
        <f t="shared" ca="1" si="3"/>
        <v>CONSIGLIATO</v>
      </c>
      <c r="H18" s="235">
        <f t="shared" ca="1" si="4"/>
        <v>90</v>
      </c>
      <c r="I18" s="233" t="str">
        <f t="shared" ca="1" si="5"/>
        <v/>
      </c>
      <c r="J18" s="233">
        <f t="shared" ca="1" si="6"/>
        <v>4.9787377196800744</v>
      </c>
      <c r="K18" s="233">
        <f t="shared" ca="1" si="7"/>
        <v>6.7852426889746873</v>
      </c>
      <c r="L18" s="324">
        <f ca="1">VLOOKUP(Tabella94[[#This Row],[Calciatore]],'Raccolta Aste'!$A$2:$E$33,4,FALSE)*Asta!$U$3/100</f>
        <v>3.395</v>
      </c>
      <c r="N18" s="362"/>
      <c r="O18" s="362"/>
      <c r="P18" s="362"/>
      <c r="Q18" s="362"/>
      <c r="R18" s="362"/>
      <c r="S18" s="362"/>
      <c r="U18" s="311"/>
      <c r="V18" s="311"/>
      <c r="W18" s="56">
        <f t="shared" ca="1" si="8"/>
        <v>16</v>
      </c>
      <c r="X18" s="56">
        <f t="shared" ca="1" si="9"/>
        <v>15</v>
      </c>
      <c r="Y18" s="56">
        <f t="shared" ca="1" si="10"/>
        <v>16</v>
      </c>
      <c r="Z18" s="56">
        <f t="shared" ca="1" si="11"/>
        <v>17</v>
      </c>
      <c r="AA18" s="56">
        <f t="shared" ca="1" si="12"/>
        <v>13</v>
      </c>
      <c r="AB18" s="56">
        <f ca="1">_xlfn.CEILING.MATH(INDIRECT(ADDRESS(7,22+MATCH($P$26,'I.A. + Fasce'!$W$6:$AA$6,0),1,1) &amp; ":" &amp; ADDRESS(79,22+MATCH($P$26,'I.A. + Fasce'!$W$6:$AA$6,0),1,1))/Asta!$H$3)</f>
        <v>2</v>
      </c>
      <c r="AC18" s="54" t="str">
        <f ca="1">'Mia rosa + Org. Finanza'!$B18</f>
        <v/>
      </c>
      <c r="AD18" s="56" t="str">
        <f ca="1">'Mia rosa + Org. Finanza'!AG18</f>
        <v/>
      </c>
      <c r="AE18" s="56" t="str">
        <f ca="1">'Mia rosa + Org. Finanza'!AH18</f>
        <v/>
      </c>
      <c r="AF18" s="56" t="str">
        <f ca="1">'Mia rosa + Org. Finanza'!AI18</f>
        <v/>
      </c>
      <c r="AG18" s="56" t="str">
        <f ca="1">'Mia rosa + Org. Finanza'!AJ18</f>
        <v/>
      </c>
    </row>
    <row r="19" spans="1:33" ht="14.25" customHeight="1">
      <c r="A19" s="232" t="str">
        <f ca="1">IF(Giocatori!D21="","P",Giocatori!D21)</f>
        <v>P</v>
      </c>
      <c r="B19" s="232" t="str">
        <f ca="1">IF(Giocatori!E21="","ZZZ" &amp; ROW(),Giocatori!E21)</f>
        <v>COTTICELLI</v>
      </c>
      <c r="C19" s="232" t="str">
        <f ca="1">IF(Giocatori!F21="","NDR" &amp; ROW(),Giocatori!F21)</f>
        <v>Benevento</v>
      </c>
      <c r="D19" s="233">
        <f t="shared" ca="1" si="0"/>
        <v>5.0001899999999999</v>
      </c>
      <c r="E19" s="233">
        <f t="shared" ca="1" si="1"/>
        <v>1.9000000000000001E-4</v>
      </c>
      <c r="F19" s="234">
        <f t="shared" ca="1" si="2"/>
        <v>2.5003800003008334</v>
      </c>
      <c r="G19" s="233" t="str">
        <f t="shared" ca="1" si="3"/>
        <v/>
      </c>
      <c r="H19" s="235">
        <f t="shared" ca="1" si="4"/>
        <v>0</v>
      </c>
      <c r="I19" s="233" t="str">
        <f t="shared" ca="1" si="5"/>
        <v/>
      </c>
      <c r="J19" s="233">
        <f t="shared" ca="1" si="6"/>
        <v>1.9000000000000001E-4</v>
      </c>
      <c r="K19" s="233">
        <f t="shared" ca="1" si="7"/>
        <v>1.9000000000000001E-4</v>
      </c>
      <c r="L19" s="324" t="e">
        <f ca="1">VLOOKUP(Tabella94[[#This Row],[Calciatore]],'Raccolta Aste'!$A$2:$E$33,4,FALSE)*Asta!$U$3/100</f>
        <v>#N/A</v>
      </c>
      <c r="N19" s="553" t="s">
        <v>1469</v>
      </c>
      <c r="O19" s="553"/>
      <c r="P19" s="553"/>
      <c r="Q19" s="553"/>
      <c r="R19" s="553"/>
      <c r="S19" s="553"/>
      <c r="U19" s="311"/>
      <c r="V19" s="311"/>
      <c r="W19" s="56">
        <f t="shared" ca="1" si="8"/>
        <v>60</v>
      </c>
      <c r="X19" s="56">
        <f t="shared" ca="1" si="9"/>
        <v>73</v>
      </c>
      <c r="Y19" s="56">
        <f t="shared" ca="1" si="10"/>
        <v>64</v>
      </c>
      <c r="Z19" s="56">
        <f t="shared" ca="1" si="11"/>
        <v>73</v>
      </c>
      <c r="AA19" s="56">
        <f t="shared" ca="1" si="12"/>
        <v>73</v>
      </c>
      <c r="AB19" s="56">
        <f ca="1">_xlfn.CEILING.MATH(INDIRECT(ADDRESS(7,22+MATCH($P$26,'I.A. + Fasce'!$W$6:$AA$6,0),1,1) &amp; ":" &amp; ADDRESS(79,22+MATCH($P$26,'I.A. + Fasce'!$W$6:$AA$6,0),1,1))/Asta!$H$3)</f>
        <v>8</v>
      </c>
      <c r="AC19" s="54" t="str">
        <f ca="1">'Mia rosa + Org. Finanza'!$B19</f>
        <v/>
      </c>
      <c r="AD19" s="56" t="str">
        <f ca="1">'Mia rosa + Org. Finanza'!AG19</f>
        <v/>
      </c>
      <c r="AE19" s="56" t="str">
        <f ca="1">'Mia rosa + Org. Finanza'!AH19</f>
        <v/>
      </c>
      <c r="AF19" s="56" t="str">
        <f ca="1">'Mia rosa + Org. Finanza'!AI19</f>
        <v/>
      </c>
      <c r="AG19" s="56" t="str">
        <f ca="1">'Mia rosa + Org. Finanza'!AJ19</f>
        <v/>
      </c>
    </row>
    <row r="20" spans="1:33" ht="14.25" customHeight="1">
      <c r="A20" s="232" t="str">
        <f ca="1">IF(Giocatori!D22="","P",Giocatori!D22)</f>
        <v>P</v>
      </c>
      <c r="B20" s="232" t="str">
        <f ca="1">IF(Giocatori!E22="","ZZZ" &amp; ROW(),Giocatori!E22)</f>
        <v>CRAGNO</v>
      </c>
      <c r="C20" s="232" t="str">
        <f ca="1">IF(Giocatori!F22="","NDR" &amp; ROW(),Giocatori!F22)</f>
        <v>Cagliari</v>
      </c>
      <c r="D20" s="233">
        <f t="shared" ca="1" si="0"/>
        <v>69.000200000000007</v>
      </c>
      <c r="E20" s="233">
        <f t="shared" ca="1" si="1"/>
        <v>39.0002</v>
      </c>
      <c r="F20" s="234">
        <f t="shared" ca="1" si="2"/>
        <v>66.675530000333339</v>
      </c>
      <c r="G20" s="233" t="str">
        <f t="shared" ca="1" si="3"/>
        <v/>
      </c>
      <c r="H20" s="235">
        <f t="shared" ca="1" si="4"/>
        <v>70</v>
      </c>
      <c r="I20" s="233" t="str">
        <f t="shared" ca="1" si="5"/>
        <v/>
      </c>
      <c r="J20" s="233">
        <f t="shared" ca="1" si="6"/>
        <v>1.6909720139214142</v>
      </c>
      <c r="K20" s="233">
        <f t="shared" ca="1" si="7"/>
        <v>1.0002</v>
      </c>
      <c r="L20" s="324">
        <f ca="1">VLOOKUP(Tabella94[[#This Row],[Calciatore]],'Raccolta Aste'!$A$2:$E$33,4,FALSE)*Asta!$U$3/100</f>
        <v>0</v>
      </c>
      <c r="N20" s="553"/>
      <c r="O20" s="553"/>
      <c r="P20" s="553"/>
      <c r="Q20" s="553"/>
      <c r="R20" s="553"/>
      <c r="S20" s="553"/>
      <c r="U20" s="311"/>
      <c r="V20" s="311"/>
      <c r="W20" s="56">
        <f t="shared" ca="1" si="8"/>
        <v>17</v>
      </c>
      <c r="X20" s="56">
        <f t="shared" ca="1" si="9"/>
        <v>20</v>
      </c>
      <c r="Y20" s="56">
        <f t="shared" ca="1" si="10"/>
        <v>18</v>
      </c>
      <c r="Z20" s="56">
        <f t="shared" ca="1" si="11"/>
        <v>19</v>
      </c>
      <c r="AA20" s="56">
        <f t="shared" ca="1" si="12"/>
        <v>54</v>
      </c>
      <c r="AB20" s="56">
        <f ca="1">_xlfn.CEILING.MATH(INDIRECT(ADDRESS(7,22+MATCH($P$26,'I.A. + Fasce'!$W$6:$AA$6,0),1,1) &amp; ":" &amp; ADDRESS(79,22+MATCH($P$26,'I.A. + Fasce'!$W$6:$AA$6,0),1,1))/Asta!$H$3)</f>
        <v>3</v>
      </c>
      <c r="AD20" s="56" t="str">
        <f ca="1">'Mia rosa + Org. Finanza'!AG20</f>
        <v/>
      </c>
      <c r="AE20" s="56" t="str">
        <f ca="1">'Mia rosa + Org. Finanza'!AH20</f>
        <v/>
      </c>
      <c r="AF20" s="56" t="str">
        <f ca="1">'Mia rosa + Org. Finanza'!AI20</f>
        <v/>
      </c>
      <c r="AG20" s="56" t="str">
        <f ca="1">'Mia rosa + Org. Finanza'!AJ20</f>
        <v/>
      </c>
    </row>
    <row r="21" spans="1:33" ht="14.25" customHeight="1">
      <c r="A21" s="232" t="str">
        <f ca="1">IF(Giocatori!D23="","P",Giocatori!D23)</f>
        <v>P</v>
      </c>
      <c r="B21" s="232" t="str">
        <f ca="1">IF(Giocatori!E23="","ZZZ" &amp; ROW(),Giocatori!E23)</f>
        <v>CROSTA</v>
      </c>
      <c r="C21" s="232" t="str">
        <f ca="1">IF(Giocatori!F23="","NDR" &amp; ROW(),Giocatori!F23)</f>
        <v>Cagliari</v>
      </c>
      <c r="D21" s="233">
        <f t="shared" ca="1" si="0"/>
        <v>5.00021</v>
      </c>
      <c r="E21" s="233">
        <f t="shared" ca="1" si="1"/>
        <v>27.000209999999999</v>
      </c>
      <c r="F21" s="234">
        <f t="shared" ca="1" si="2"/>
        <v>22.0755145003675</v>
      </c>
      <c r="G21" s="233" t="str">
        <f t="shared" ca="1" si="3"/>
        <v/>
      </c>
      <c r="H21" s="235">
        <f t="shared" ca="1" si="4"/>
        <v>10</v>
      </c>
      <c r="I21" s="233" t="str">
        <f t="shared" ca="1" si="5"/>
        <v/>
      </c>
      <c r="J21" s="233">
        <f t="shared" ca="1" si="6"/>
        <v>1.00021</v>
      </c>
      <c r="K21" s="233">
        <f t="shared" ca="1" si="7"/>
        <v>1.00021</v>
      </c>
      <c r="L21" s="324" t="e">
        <f ca="1">VLOOKUP(Tabella94[[#This Row],[Calciatore]],'Raccolta Aste'!$A$2:$E$33,4,FALSE)*Asta!$U$3/100</f>
        <v>#N/A</v>
      </c>
      <c r="N21" s="362"/>
      <c r="O21" s="362"/>
      <c r="P21" s="362"/>
      <c r="Q21" s="362"/>
      <c r="R21" s="362"/>
      <c r="S21" s="362"/>
      <c r="U21" s="311"/>
      <c r="V21" s="311"/>
      <c r="W21" s="56">
        <f t="shared" ca="1" si="8"/>
        <v>59</v>
      </c>
      <c r="X21" s="56">
        <f t="shared" ca="1" si="9"/>
        <v>56</v>
      </c>
      <c r="Y21" s="56">
        <f t="shared" ca="1" si="10"/>
        <v>57</v>
      </c>
      <c r="Z21" s="56">
        <f t="shared" ca="1" si="11"/>
        <v>54</v>
      </c>
      <c r="AA21" s="56">
        <f t="shared" ca="1" si="12"/>
        <v>53</v>
      </c>
      <c r="AB21" s="56">
        <f ca="1">_xlfn.CEILING.MATH(INDIRECT(ADDRESS(7,22+MATCH($P$26,'I.A. + Fasce'!$W$6:$AA$6,0),1,1) &amp; ":" &amp; ADDRESS(79,22+MATCH($P$26,'I.A. + Fasce'!$W$6:$AA$6,0),1,1))/Asta!$H$3)</f>
        <v>8</v>
      </c>
      <c r="AD21" s="56" t="str">
        <f ca="1">'Mia rosa + Org. Finanza'!AG21</f>
        <v/>
      </c>
      <c r="AE21" s="56" t="str">
        <f ca="1">'Mia rosa + Org. Finanza'!AH21</f>
        <v/>
      </c>
      <c r="AF21" s="56" t="str">
        <f ca="1">'Mia rosa + Org. Finanza'!AI21</f>
        <v/>
      </c>
      <c r="AG21" s="56" t="str">
        <f ca="1">'Mia rosa + Org. Finanza'!AJ21</f>
        <v/>
      </c>
    </row>
    <row r="22" spans="1:33" ht="14.25" customHeight="1">
      <c r="A22" s="232" t="str">
        <f ca="1">IF(Giocatori!D24="","P",Giocatori!D24)</f>
        <v>P</v>
      </c>
      <c r="B22" s="232" t="str">
        <f ca="1">IF(Giocatori!E24="","ZZZ" &amp; ROW(),Giocatori!E24)</f>
        <v>DA COSTA</v>
      </c>
      <c r="C22" s="232" t="str">
        <f ca="1">IF(Giocatori!F24="","NDR" &amp; ROW(),Giocatori!F24)</f>
        <v>Bologna</v>
      </c>
      <c r="D22" s="233">
        <f t="shared" ca="1" si="0"/>
        <v>35.000219999999999</v>
      </c>
      <c r="E22" s="233">
        <f t="shared" ca="1" si="1"/>
        <v>37.000219999999999</v>
      </c>
      <c r="F22" s="234">
        <f t="shared" ca="1" si="2"/>
        <v>47.408909000403334</v>
      </c>
      <c r="G22" s="233" t="str">
        <f t="shared" ca="1" si="3"/>
        <v/>
      </c>
      <c r="H22" s="235">
        <f t="shared" ca="1" si="4"/>
        <v>50</v>
      </c>
      <c r="I22" s="233" t="str">
        <f t="shared" ca="1" si="5"/>
        <v/>
      </c>
      <c r="J22" s="233">
        <f t="shared" ca="1" si="6"/>
        <v>1.0002200000000001</v>
      </c>
      <c r="K22" s="233">
        <f t="shared" ca="1" si="7"/>
        <v>1.0002200000000001</v>
      </c>
      <c r="L22" s="324">
        <f ca="1">VLOOKUP(Tabella94[[#This Row],[Calciatore]],'Raccolta Aste'!$A$2:$E$33,4,FALSE)*Asta!$U$3/100</f>
        <v>0</v>
      </c>
      <c r="N22" s="553" t="s">
        <v>1470</v>
      </c>
      <c r="O22" s="553"/>
      <c r="P22" s="553"/>
      <c r="Q22" s="553"/>
      <c r="R22" s="553"/>
      <c r="S22" s="553"/>
      <c r="U22" s="311"/>
      <c r="V22" s="311"/>
      <c r="W22" s="56">
        <f t="shared" ca="1" si="8"/>
        <v>24</v>
      </c>
      <c r="X22" s="56">
        <f t="shared" ca="1" si="9"/>
        <v>23</v>
      </c>
      <c r="Y22" s="56">
        <f t="shared" ca="1" si="10"/>
        <v>23</v>
      </c>
      <c r="Z22" s="56">
        <f t="shared" ca="1" si="11"/>
        <v>53</v>
      </c>
      <c r="AA22" s="56">
        <f t="shared" ca="1" si="12"/>
        <v>52</v>
      </c>
      <c r="AB22" s="56">
        <f ca="1">_xlfn.CEILING.MATH(INDIRECT(ADDRESS(7,22+MATCH($P$26,'I.A. + Fasce'!$W$6:$AA$6,0),1,1) &amp; ":" &amp; ADDRESS(79,22+MATCH($P$26,'I.A. + Fasce'!$W$6:$AA$6,0),1,1))/Asta!$H$3)</f>
        <v>3</v>
      </c>
      <c r="AC22" s="54" t="str">
        <f ca="1">'Mia rosa + Org. Finanza'!$B23</f>
        <v/>
      </c>
      <c r="AD22" s="56" t="str">
        <f ca="1">'Mia rosa + Org. Finanza'!AG22</f>
        <v/>
      </c>
      <c r="AE22" s="56" t="str">
        <f ca="1">'Mia rosa + Org. Finanza'!AH22</f>
        <v/>
      </c>
      <c r="AF22" s="56" t="str">
        <f ca="1">'Mia rosa + Org. Finanza'!AI22</f>
        <v/>
      </c>
      <c r="AG22" s="56" t="str">
        <f ca="1">'Mia rosa + Org. Finanza'!AJ22</f>
        <v/>
      </c>
    </row>
    <row r="23" spans="1:33" ht="14.25" customHeight="1">
      <c r="A23" s="232" t="str">
        <f ca="1">IF(Giocatori!D25="","P",Giocatori!D25)</f>
        <v>P</v>
      </c>
      <c r="B23" s="232" t="str">
        <f ca="1">IF(Giocatori!E25="","ZZZ" &amp; ROW(),Giocatori!E25)</f>
        <v>DONNARUMMA A</v>
      </c>
      <c r="C23" s="232" t="str">
        <f ca="1">IF(Giocatori!F25="","NDR" &amp; ROW(),Giocatori!F25)</f>
        <v>Milan</v>
      </c>
      <c r="D23" s="233">
        <f t="shared" ca="1" si="0"/>
        <v>5.0002300000000002</v>
      </c>
      <c r="E23" s="233">
        <f t="shared" ca="1" si="1"/>
        <v>33.000230000000002</v>
      </c>
      <c r="F23" s="234">
        <f t="shared" ca="1" si="2"/>
        <v>28.075586500440831</v>
      </c>
      <c r="G23" s="233" t="str">
        <f t="shared" ca="1" si="3"/>
        <v/>
      </c>
      <c r="H23" s="235">
        <f t="shared" ca="1" si="4"/>
        <v>30</v>
      </c>
      <c r="I23" s="233" t="str">
        <f t="shared" ca="1" si="5"/>
        <v/>
      </c>
      <c r="J23" s="233">
        <f t="shared" ca="1" si="6"/>
        <v>1.00023</v>
      </c>
      <c r="K23" s="233">
        <f t="shared" ca="1" si="7"/>
        <v>1.00023</v>
      </c>
      <c r="L23" s="324">
        <f ca="1">VLOOKUP(Tabella94[[#This Row],[Calciatore]],'Raccolta Aste'!$A$2:$E$33,4,FALSE)*Asta!$U$3/100</f>
        <v>0</v>
      </c>
      <c r="N23" s="553"/>
      <c r="O23" s="553"/>
      <c r="P23" s="553"/>
      <c r="Q23" s="553"/>
      <c r="R23" s="553"/>
      <c r="S23" s="553"/>
      <c r="U23" s="311"/>
      <c r="V23" s="311"/>
      <c r="W23" s="56">
        <f t="shared" ca="1" si="8"/>
        <v>58</v>
      </c>
      <c r="X23" s="56">
        <f t="shared" ca="1" si="9"/>
        <v>35</v>
      </c>
      <c r="Y23" s="56">
        <f t="shared" ca="1" si="10"/>
        <v>44</v>
      </c>
      <c r="Z23" s="56">
        <f t="shared" ca="1" si="11"/>
        <v>52</v>
      </c>
      <c r="AA23" s="56">
        <f t="shared" ca="1" si="12"/>
        <v>51</v>
      </c>
      <c r="AB23" s="56">
        <f ca="1">_xlfn.CEILING.MATH(INDIRECT(ADDRESS(7,22+MATCH($P$26,'I.A. + Fasce'!$W$6:$AA$6,0),1,1) &amp; ":" &amp; ADDRESS(79,22+MATCH($P$26,'I.A. + Fasce'!$W$6:$AA$6,0),1,1))/Asta!$H$3)</f>
        <v>8</v>
      </c>
      <c r="AC23" s="54" t="str">
        <f ca="1">'Mia rosa + Org. Finanza'!$B24</f>
        <v/>
      </c>
      <c r="AD23" s="56" t="str">
        <f ca="1">'Mia rosa + Org. Finanza'!AG23</f>
        <v/>
      </c>
      <c r="AE23" s="56" t="str">
        <f ca="1">'Mia rosa + Org. Finanza'!AH23</f>
        <v/>
      </c>
      <c r="AF23" s="56" t="str">
        <f ca="1">'Mia rosa + Org. Finanza'!AI23</f>
        <v/>
      </c>
      <c r="AG23" s="56" t="str">
        <f ca="1">'Mia rosa + Org. Finanza'!AJ23</f>
        <v/>
      </c>
    </row>
    <row r="24" spans="1:33" ht="14.25" customHeight="1">
      <c r="A24" s="232" t="str">
        <f ca="1">IF(Giocatori!D26="","P",Giocatori!D26)</f>
        <v>P</v>
      </c>
      <c r="B24" s="232" t="str">
        <f ca="1">IF(Giocatori!E26="","ZZZ" &amp; ROW(),Giocatori!E26)</f>
        <v>DONNARUMMA G</v>
      </c>
      <c r="C24" s="232" t="str">
        <f ca="1">IF(Giocatori!F26="","NDR" &amp; ROW(),Giocatori!F26)</f>
        <v>Milan</v>
      </c>
      <c r="D24" s="233">
        <f t="shared" ca="1" si="0"/>
        <v>95.000240000000005</v>
      </c>
      <c r="E24" s="233">
        <f t="shared" ca="1" si="1"/>
        <v>51.000239999999998</v>
      </c>
      <c r="F24" s="234">
        <f t="shared" ca="1" si="2"/>
        <v>94.67568400047999</v>
      </c>
      <c r="G24" s="233" t="str">
        <f t="shared" ca="1" si="3"/>
        <v>CONSIGLIATO</v>
      </c>
      <c r="H24" s="235">
        <f t="shared" ca="1" si="4"/>
        <v>90</v>
      </c>
      <c r="I24" s="233" t="str">
        <f t="shared" ca="1" si="5"/>
        <v/>
      </c>
      <c r="J24" s="233">
        <f t="shared" ca="1" si="6"/>
        <v>18.531879990082356</v>
      </c>
      <c r="K24" s="233">
        <f t="shared" ca="1" si="7"/>
        <v>15.839846145886698</v>
      </c>
      <c r="L24" s="324">
        <f ca="1">VLOOKUP(Tabella94[[#This Row],[Calciatore]],'Raccolta Aste'!$A$2:$E$33,4,FALSE)*Asta!$U$3/100</f>
        <v>43.26</v>
      </c>
      <c r="N24" s="363"/>
      <c r="O24" s="363"/>
      <c r="P24" s="363"/>
      <c r="Q24" s="363"/>
      <c r="R24" s="363"/>
      <c r="S24" s="363"/>
      <c r="U24" s="311"/>
      <c r="V24" s="311"/>
      <c r="W24" s="56">
        <f t="shared" ca="1" si="8"/>
        <v>2</v>
      </c>
      <c r="X24" s="56">
        <f t="shared" ca="1" si="9"/>
        <v>1</v>
      </c>
      <c r="Y24" s="56">
        <f t="shared" ca="1" si="10"/>
        <v>1</v>
      </c>
      <c r="Z24" s="56">
        <f t="shared" ca="1" si="11"/>
        <v>2</v>
      </c>
      <c r="AA24" s="56">
        <f t="shared" ca="1" si="12"/>
        <v>3</v>
      </c>
      <c r="AB24" s="56">
        <f ca="1">_xlfn.CEILING.MATH(INDIRECT(ADDRESS(7,22+MATCH($P$26,'I.A. + Fasce'!$W$6:$AA$6,0),1,1) &amp; ":" &amp; ADDRESS(79,22+MATCH($P$26,'I.A. + Fasce'!$W$6:$AA$6,0),1,1))/Asta!$H$3)</f>
        <v>1</v>
      </c>
      <c r="AC24" s="54" t="str">
        <f ca="1">'Mia rosa + Org. Finanza'!$B25</f>
        <v/>
      </c>
      <c r="AD24" s="56" t="str">
        <f ca="1">'Mia rosa + Org. Finanza'!AG24</f>
        <v/>
      </c>
      <c r="AE24" s="56" t="str">
        <f ca="1">'Mia rosa + Org. Finanza'!AH24</f>
        <v/>
      </c>
      <c r="AF24" s="56" t="str">
        <f ca="1">'Mia rosa + Org. Finanza'!AI24</f>
        <v/>
      </c>
      <c r="AG24" s="56" t="str">
        <f ca="1">'Mia rosa + Org. Finanza'!AJ24</f>
        <v/>
      </c>
    </row>
    <row r="25" spans="1:33" ht="14.25" customHeight="1">
      <c r="A25" s="232" t="str">
        <f ca="1">IF(Giocatori!D27="","P",Giocatori!D27)</f>
        <v>P</v>
      </c>
      <c r="B25" s="232" t="str">
        <f ca="1">IF(Giocatori!E27="","ZZZ" &amp; ROW(),Giocatori!E27)</f>
        <v>DRAGOWSKI</v>
      </c>
      <c r="C25" s="232" t="str">
        <f ca="1">IF(Giocatori!F27="","NDR" &amp; ROW(),Giocatori!F27)</f>
        <v>Fiorentina</v>
      </c>
      <c r="D25" s="233">
        <f t="shared" ca="1" si="0"/>
        <v>20.000250000000001</v>
      </c>
      <c r="E25" s="233">
        <f t="shared" ca="1" si="1"/>
        <v>32.000250000000001</v>
      </c>
      <c r="F25" s="234">
        <f t="shared" ca="1" si="2"/>
        <v>34.533966667187499</v>
      </c>
      <c r="G25" s="233" t="str">
        <f t="shared" ca="1" si="3"/>
        <v/>
      </c>
      <c r="H25" s="235">
        <f t="shared" ca="1" si="4"/>
        <v>50</v>
      </c>
      <c r="I25" s="233" t="str">
        <f t="shared" ca="1" si="5"/>
        <v/>
      </c>
      <c r="J25" s="233">
        <f t="shared" ca="1" si="6"/>
        <v>1.0002500000000001</v>
      </c>
      <c r="K25" s="233">
        <f t="shared" ca="1" si="7"/>
        <v>1.0002500000000001</v>
      </c>
      <c r="L25" s="324" t="e">
        <f ca="1">VLOOKUP(Tabella94[[#This Row],[Calciatore]],'Raccolta Aste'!$A$2:$E$33,4,FALSE)*Asta!$U$3/100</f>
        <v>#N/A</v>
      </c>
      <c r="N25" s="553" t="s">
        <v>1467</v>
      </c>
      <c r="O25" s="553"/>
      <c r="P25" s="553"/>
      <c r="Q25" s="553"/>
      <c r="R25" s="553"/>
      <c r="S25" s="553"/>
      <c r="U25" s="311"/>
      <c r="V25" s="311"/>
      <c r="W25" s="56">
        <f t="shared" ca="1" si="8"/>
        <v>39</v>
      </c>
      <c r="X25" s="56">
        <f t="shared" ca="1" si="9"/>
        <v>40</v>
      </c>
      <c r="Y25" s="56">
        <f t="shared" ca="1" si="10"/>
        <v>36</v>
      </c>
      <c r="Z25" s="56">
        <f t="shared" ca="1" si="11"/>
        <v>51</v>
      </c>
      <c r="AA25" s="56">
        <f t="shared" ca="1" si="12"/>
        <v>50</v>
      </c>
      <c r="AB25" s="56">
        <f ca="1">_xlfn.CEILING.MATH(INDIRECT(ADDRESS(7,22+MATCH($P$26,'I.A. + Fasce'!$W$6:$AA$6,0),1,1) &amp; ":" &amp; ADDRESS(79,22+MATCH($P$26,'I.A. + Fasce'!$W$6:$AA$6,0),1,1))/Asta!$H$3)</f>
        <v>5</v>
      </c>
      <c r="AC25" s="54" t="str">
        <f ca="1">'Mia rosa + Org. Finanza'!$B26</f>
        <v/>
      </c>
      <c r="AD25" s="56" t="str">
        <f ca="1">'Mia rosa + Org. Finanza'!AG25</f>
        <v/>
      </c>
      <c r="AE25" s="56" t="str">
        <f ca="1">'Mia rosa + Org. Finanza'!AH25</f>
        <v/>
      </c>
      <c r="AF25" s="56" t="str">
        <f ca="1">'Mia rosa + Org. Finanza'!AI25</f>
        <v/>
      </c>
      <c r="AG25" s="56" t="str">
        <f ca="1">'Mia rosa + Org. Finanza'!AJ25</f>
        <v/>
      </c>
    </row>
    <row r="26" spans="1:33" ht="14.25" customHeight="1">
      <c r="A26" s="232" t="str">
        <f ca="1">IF(Giocatori!D28="","P",Giocatori!D28)</f>
        <v>P</v>
      </c>
      <c r="B26" s="232" t="str">
        <f ca="1">IF(Giocatori!E28="","ZZZ" &amp; ROW(),Giocatori!E28)</f>
        <v>FESTA</v>
      </c>
      <c r="C26" s="232" t="str">
        <f ca="1">IF(Giocatori!F28="","NDR" &amp; ROW(),Giocatori!F28)</f>
        <v>Crotone</v>
      </c>
      <c r="D26" s="233">
        <f t="shared" ca="1" si="0"/>
        <v>20.000260000000001</v>
      </c>
      <c r="E26" s="233">
        <f t="shared" ca="1" si="1"/>
        <v>29.000260000000001</v>
      </c>
      <c r="F26" s="234">
        <f t="shared" ca="1" si="2"/>
        <v>31.508979000563333</v>
      </c>
      <c r="G26" s="233" t="str">
        <f t="shared" ca="1" si="3"/>
        <v/>
      </c>
      <c r="H26" s="235">
        <f t="shared" ca="1" si="4"/>
        <v>10</v>
      </c>
      <c r="I26" s="233" t="str">
        <f t="shared" ca="1" si="5"/>
        <v/>
      </c>
      <c r="J26" s="233">
        <f t="shared" ca="1" si="6"/>
        <v>1.0002599999999999</v>
      </c>
      <c r="K26" s="233">
        <f t="shared" ca="1" si="7"/>
        <v>1.0002599999999999</v>
      </c>
      <c r="L26" s="324" t="e">
        <f ca="1">VLOOKUP(Tabella94[[#This Row],[Calciatore]],'Raccolta Aste'!$A$2:$E$33,4,FALSE)*Asta!$U$3/100</f>
        <v>#N/A</v>
      </c>
      <c r="N26" s="553" t="s">
        <v>659</v>
      </c>
      <c r="O26" s="553"/>
      <c r="P26" s="553" t="s">
        <v>669</v>
      </c>
      <c r="Q26" s="553"/>
      <c r="R26" s="553"/>
      <c r="S26" s="362"/>
      <c r="U26" s="311"/>
      <c r="V26" s="311"/>
      <c r="W26" s="56">
        <f t="shared" ca="1" si="8"/>
        <v>38</v>
      </c>
      <c r="X26" s="56">
        <f t="shared" ca="1" si="9"/>
        <v>51</v>
      </c>
      <c r="Y26" s="56">
        <f t="shared" ca="1" si="10"/>
        <v>40</v>
      </c>
      <c r="Z26" s="56">
        <f t="shared" ca="1" si="11"/>
        <v>50</v>
      </c>
      <c r="AA26" s="56">
        <f t="shared" ca="1" si="12"/>
        <v>49</v>
      </c>
      <c r="AB26" s="56">
        <f ca="1">_xlfn.CEILING.MATH(INDIRECT(ADDRESS(7,22+MATCH($P$26,'I.A. + Fasce'!$W$6:$AA$6,0),1,1) &amp; ":" &amp; ADDRESS(79,22+MATCH($P$26,'I.A. + Fasce'!$W$6:$AA$6,0),1,1))/Asta!$H$3)</f>
        <v>5</v>
      </c>
      <c r="AC26" s="54" t="str">
        <f ca="1">'Mia rosa + Org. Finanza'!$B27</f>
        <v/>
      </c>
      <c r="AD26" s="56" t="str">
        <f ca="1">'Mia rosa + Org. Finanza'!AG26</f>
        <v/>
      </c>
      <c r="AE26" s="56" t="str">
        <f ca="1">'Mia rosa + Org. Finanza'!AH26</f>
        <v/>
      </c>
      <c r="AF26" s="56" t="str">
        <f ca="1">'Mia rosa + Org. Finanza'!AI26</f>
        <v/>
      </c>
      <c r="AG26" s="56" t="str">
        <f ca="1">'Mia rosa + Org. Finanza'!AJ26</f>
        <v/>
      </c>
    </row>
    <row r="27" spans="1:33" ht="14.25" customHeight="1">
      <c r="A27" s="232" t="str">
        <f ca="1">IF(Giocatori!D29="","P",Giocatori!D29)</f>
        <v>P</v>
      </c>
      <c r="B27" s="232" t="str">
        <f ca="1">IF(Giocatori!E29="","ZZZ" &amp; ROW(),Giocatori!E29)</f>
        <v>GABRIEL</v>
      </c>
      <c r="C27" s="232" t="str">
        <f ca="1">IF(Giocatori!F29="","NDR" &amp; ROW(),Giocatori!F29)</f>
        <v>Milan</v>
      </c>
      <c r="D27" s="233">
        <f t="shared" ca="1" si="0"/>
        <v>15.00027</v>
      </c>
      <c r="E27" s="233">
        <f t="shared" ca="1" si="1"/>
        <v>28.00027</v>
      </c>
      <c r="F27" s="234">
        <f t="shared" ca="1" si="2"/>
        <v>28.033999333940834</v>
      </c>
      <c r="G27" s="233" t="str">
        <f t="shared" ca="1" si="3"/>
        <v/>
      </c>
      <c r="H27" s="235">
        <f t="shared" ca="1" si="4"/>
        <v>10</v>
      </c>
      <c r="I27" s="233" t="str">
        <f t="shared" ca="1" si="5"/>
        <v/>
      </c>
      <c r="J27" s="233">
        <f t="shared" ca="1" si="6"/>
        <v>1.00027</v>
      </c>
      <c r="K27" s="233">
        <f t="shared" ca="1" si="7"/>
        <v>1.00027</v>
      </c>
      <c r="L27" s="324" t="e">
        <f ca="1">VLOOKUP(Tabella94[[#This Row],[Calciatore]],'Raccolta Aste'!$A$2:$E$33,4,FALSE)*Asta!$U$3/100</f>
        <v>#N/A</v>
      </c>
      <c r="N27" s="553" t="s">
        <v>660</v>
      </c>
      <c r="O27" s="553"/>
      <c r="P27" s="553" t="s">
        <v>670</v>
      </c>
      <c r="Q27" s="553"/>
      <c r="R27" s="553"/>
      <c r="S27" s="362"/>
      <c r="U27" s="311"/>
      <c r="V27" s="311"/>
      <c r="W27" s="56">
        <f t="shared" ca="1" si="8"/>
        <v>42</v>
      </c>
      <c r="X27" s="56">
        <f t="shared" ca="1" si="9"/>
        <v>53</v>
      </c>
      <c r="Y27" s="56">
        <f t="shared" ca="1" si="10"/>
        <v>45</v>
      </c>
      <c r="Z27" s="56">
        <f t="shared" ca="1" si="11"/>
        <v>49</v>
      </c>
      <c r="AA27" s="56">
        <f t="shared" ca="1" si="12"/>
        <v>48</v>
      </c>
      <c r="AB27" s="56">
        <f ca="1">_xlfn.CEILING.MATH(INDIRECT(ADDRESS(7,22+MATCH($P$26,'I.A. + Fasce'!$W$6:$AA$6,0),1,1) &amp; ":" &amp; ADDRESS(79,22+MATCH($P$26,'I.A. + Fasce'!$W$6:$AA$6,0),1,1))/Asta!$H$3)</f>
        <v>6</v>
      </c>
      <c r="AC27" s="54" t="str">
        <f ca="1">'Mia rosa + Org. Finanza'!$B28</f>
        <v/>
      </c>
      <c r="AD27" s="56" t="str">
        <f ca="1">'Mia rosa + Org. Finanza'!AG27</f>
        <v/>
      </c>
      <c r="AE27" s="56" t="str">
        <f ca="1">'Mia rosa + Org. Finanza'!AH27</f>
        <v/>
      </c>
      <c r="AF27" s="56" t="str">
        <f ca="1">'Mia rosa + Org. Finanza'!AI27</f>
        <v/>
      </c>
      <c r="AG27" s="56" t="str">
        <f ca="1">'Mia rosa + Org. Finanza'!AJ27</f>
        <v/>
      </c>
    </row>
    <row r="28" spans="1:33" ht="14.25" customHeight="1">
      <c r="A28" s="232" t="str">
        <f ca="1">IF(Giocatori!D30="","P",Giocatori!D30)</f>
        <v>P</v>
      </c>
      <c r="B28" s="232" t="str">
        <f ca="1">IF(Giocatori!E30="","ZZZ" &amp; ROW(),Giocatori!E30)</f>
        <v>GOLLINI</v>
      </c>
      <c r="C28" s="232" t="str">
        <f ca="1">IF(Giocatori!F30="","NDR" &amp; ROW(),Giocatori!F30)</f>
        <v>Atalanta</v>
      </c>
      <c r="D28" s="233">
        <f t="shared" ca="1" si="0"/>
        <v>25.00028</v>
      </c>
      <c r="E28" s="233">
        <f t="shared" ca="1" si="1"/>
        <v>34.000279999999997</v>
      </c>
      <c r="F28" s="234">
        <f t="shared" ca="1" si="2"/>
        <v>39.13405200065332</v>
      </c>
      <c r="G28" s="233" t="str">
        <f t="shared" ca="1" si="3"/>
        <v/>
      </c>
      <c r="H28" s="235">
        <f t="shared" ca="1" si="4"/>
        <v>30</v>
      </c>
      <c r="I28" s="233" t="str">
        <f t="shared" ca="1" si="5"/>
        <v/>
      </c>
      <c r="J28" s="233">
        <f t="shared" ca="1" si="6"/>
        <v>1.0002800000000001</v>
      </c>
      <c r="K28" s="233">
        <f t="shared" ca="1" si="7"/>
        <v>1.0002800000000001</v>
      </c>
      <c r="L28" s="324">
        <f ca="1">VLOOKUP(Tabella94[[#This Row],[Calciatore]],'Raccolta Aste'!$A$2:$E$33,4,FALSE)*Asta!$U$3/100</f>
        <v>0</v>
      </c>
      <c r="N28" s="553" t="s">
        <v>661</v>
      </c>
      <c r="O28" s="553"/>
      <c r="P28" s="553" t="s">
        <v>1315</v>
      </c>
      <c r="Q28" s="553"/>
      <c r="R28" s="553"/>
      <c r="S28" s="362"/>
      <c r="U28" s="311"/>
      <c r="V28" s="311"/>
      <c r="W28" s="56">
        <f t="shared" ca="1" si="8"/>
        <v>29</v>
      </c>
      <c r="X28" s="56">
        <f t="shared" ca="1" si="9"/>
        <v>29</v>
      </c>
      <c r="Y28" s="56">
        <f t="shared" ca="1" si="10"/>
        <v>28</v>
      </c>
      <c r="Z28" s="56">
        <f t="shared" ca="1" si="11"/>
        <v>48</v>
      </c>
      <c r="AA28" s="56">
        <f t="shared" ca="1" si="12"/>
        <v>47</v>
      </c>
      <c r="AB28" s="56">
        <f ca="1">_xlfn.CEILING.MATH(INDIRECT(ADDRESS(7,22+MATCH($P$26,'I.A. + Fasce'!$W$6:$AA$6,0),1,1) &amp; ":" &amp; ADDRESS(79,22+MATCH($P$26,'I.A. + Fasce'!$W$6:$AA$6,0),1,1))/Asta!$H$3)</f>
        <v>4</v>
      </c>
      <c r="AC28" s="54" t="str">
        <f ca="1">'Mia rosa + Org. Finanza'!$B29</f>
        <v/>
      </c>
      <c r="AD28" s="56" t="str">
        <f ca="1">'Mia rosa + Org. Finanza'!AG28</f>
        <v/>
      </c>
      <c r="AE28" s="56" t="str">
        <f ca="1">'Mia rosa + Org. Finanza'!AH28</f>
        <v/>
      </c>
      <c r="AF28" s="56" t="str">
        <f ca="1">'Mia rosa + Org. Finanza'!AI28</f>
        <v/>
      </c>
      <c r="AG28" s="56" t="str">
        <f ca="1">'Mia rosa + Org. Finanza'!AJ28</f>
        <v/>
      </c>
    </row>
    <row r="29" spans="1:33" ht="14.25" customHeight="1">
      <c r="A29" s="232" t="str">
        <f ca="1">IF(Giocatori!D31="","P",Giocatori!D31)</f>
        <v>P</v>
      </c>
      <c r="B29" s="232" t="str">
        <f ca="1">IF(Giocatori!E31="","ZZZ" &amp; ROW(),Giocatori!E31)</f>
        <v>GOMIS A</v>
      </c>
      <c r="C29" s="232" t="str">
        <f ca="1">IF(Giocatori!F31="","NDR" &amp; ROW(),Giocatori!F31)</f>
        <v>SPAL</v>
      </c>
      <c r="D29" s="233">
        <f t="shared" ca="1" si="0"/>
        <v>40.00029</v>
      </c>
      <c r="E29" s="233">
        <f t="shared" ca="1" si="1"/>
        <v>33.00029</v>
      </c>
      <c r="F29" s="234">
        <f t="shared" ca="1" si="2"/>
        <v>45.575739500700834</v>
      </c>
      <c r="G29" s="233" t="str">
        <f t="shared" ca="1" si="3"/>
        <v/>
      </c>
      <c r="H29" s="235">
        <f t="shared" ca="1" si="4"/>
        <v>30</v>
      </c>
      <c r="I29" s="233" t="str">
        <f t="shared" ca="1" si="5"/>
        <v/>
      </c>
      <c r="J29" s="233">
        <f t="shared" ca="1" si="6"/>
        <v>1.0002899999999999</v>
      </c>
      <c r="K29" s="233">
        <f t="shared" ca="1" si="7"/>
        <v>1.0002899999999999</v>
      </c>
      <c r="L29" s="324" t="e">
        <f ca="1">VLOOKUP(Tabella94[[#This Row],[Calciatore]],'Raccolta Aste'!$A$2:$E$33,4,FALSE)*Asta!$U$3/100</f>
        <v>#N/A</v>
      </c>
      <c r="N29" s="553" t="s">
        <v>662</v>
      </c>
      <c r="O29" s="553"/>
      <c r="P29" s="553" t="s">
        <v>1466</v>
      </c>
      <c r="Q29" s="553"/>
      <c r="R29" s="553"/>
      <c r="S29" s="362"/>
      <c r="U29" s="311"/>
      <c r="V29" s="311"/>
      <c r="W29" s="56">
        <f t="shared" ca="1" si="8"/>
        <v>21</v>
      </c>
      <c r="X29" s="56">
        <f t="shared" ca="1" si="9"/>
        <v>34</v>
      </c>
      <c r="Y29" s="56">
        <f t="shared" ca="1" si="10"/>
        <v>24</v>
      </c>
      <c r="Z29" s="56">
        <f t="shared" ca="1" si="11"/>
        <v>47</v>
      </c>
      <c r="AA29" s="56">
        <f t="shared" ca="1" si="12"/>
        <v>46</v>
      </c>
      <c r="AB29" s="56">
        <f ca="1">_xlfn.CEILING.MATH(INDIRECT(ADDRESS(7,22+MATCH($P$26,'I.A. + Fasce'!$W$6:$AA$6,0),1,1) &amp; ":" &amp; ADDRESS(79,22+MATCH($P$26,'I.A. + Fasce'!$W$6:$AA$6,0),1,1))/Asta!$H$3)</f>
        <v>3</v>
      </c>
      <c r="AC29" s="54" t="str">
        <f ca="1">'Mia rosa + Org. Finanza'!$B30</f>
        <v/>
      </c>
      <c r="AD29" s="56" t="str">
        <f ca="1">'Mia rosa + Org. Finanza'!AG29</f>
        <v/>
      </c>
      <c r="AE29" s="56" t="str">
        <f ca="1">'Mia rosa + Org. Finanza'!AH29</f>
        <v/>
      </c>
      <c r="AF29" s="56" t="str">
        <f ca="1">'Mia rosa + Org. Finanza'!AI29</f>
        <v/>
      </c>
      <c r="AG29" s="56" t="str">
        <f ca="1">'Mia rosa + Org. Finanza'!AJ29</f>
        <v/>
      </c>
    </row>
    <row r="30" spans="1:33" ht="14.25" customHeight="1">
      <c r="A30" s="232" t="str">
        <f ca="1">IF(Giocatori!D32="","P",Giocatori!D32)</f>
        <v>P</v>
      </c>
      <c r="B30" s="232" t="str">
        <f ca="1">IF(Giocatori!E32="","ZZZ" &amp; ROW(),Giocatori!E32)</f>
        <v>GUERRIERI</v>
      </c>
      <c r="C30" s="232" t="str">
        <f ca="1">IF(Giocatori!F32="","NDR" &amp; ROW(),Giocatori!F32)</f>
        <v>Lazio</v>
      </c>
      <c r="D30" s="233">
        <f t="shared" ca="1" si="0"/>
        <v>5.0003000000000002</v>
      </c>
      <c r="E30" s="233">
        <f t="shared" ca="1" si="1"/>
        <v>29.000299999999999</v>
      </c>
      <c r="F30" s="234">
        <f t="shared" ca="1" si="2"/>
        <v>24.009078334083327</v>
      </c>
      <c r="G30" s="233" t="str">
        <f t="shared" ca="1" si="3"/>
        <v/>
      </c>
      <c r="H30" s="235">
        <f t="shared" ca="1" si="4"/>
        <v>20</v>
      </c>
      <c r="I30" s="233" t="str">
        <f t="shared" ca="1" si="5"/>
        <v/>
      </c>
      <c r="J30" s="233">
        <f t="shared" ca="1" si="6"/>
        <v>1.0003</v>
      </c>
      <c r="K30" s="233">
        <f t="shared" ca="1" si="7"/>
        <v>1.0003</v>
      </c>
      <c r="L30" s="324" t="e">
        <f ca="1">VLOOKUP(Tabella94[[#This Row],[Calciatore]],'Raccolta Aste'!$A$2:$E$33,4,FALSE)*Asta!$U$3/100</f>
        <v>#N/A</v>
      </c>
      <c r="N30" s="553" t="s">
        <v>663</v>
      </c>
      <c r="O30" s="553"/>
      <c r="P30" s="553" t="s">
        <v>1468</v>
      </c>
      <c r="Q30" s="553"/>
      <c r="R30" s="553"/>
      <c r="S30" s="362"/>
      <c r="U30" s="311"/>
      <c r="V30" s="311"/>
      <c r="W30" s="56">
        <f t="shared" ca="1" si="8"/>
        <v>57</v>
      </c>
      <c r="X30" s="56">
        <f t="shared" ca="1" si="9"/>
        <v>50</v>
      </c>
      <c r="Y30" s="56">
        <f t="shared" ca="1" si="10"/>
        <v>53</v>
      </c>
      <c r="Z30" s="56">
        <f t="shared" ca="1" si="11"/>
        <v>46</v>
      </c>
      <c r="AA30" s="56">
        <f t="shared" ca="1" si="12"/>
        <v>45</v>
      </c>
      <c r="AB30" s="56">
        <f ca="1">_xlfn.CEILING.MATH(INDIRECT(ADDRESS(7,22+MATCH($P$26,'I.A. + Fasce'!$W$6:$AA$6,0),1,1) &amp; ":" &amp; ADDRESS(79,22+MATCH($P$26,'I.A. + Fasce'!$W$6:$AA$6,0),1,1))/Asta!$H$3)</f>
        <v>8</v>
      </c>
      <c r="AC30" s="54" t="str">
        <f ca="1">'Mia rosa + Org. Finanza'!$B31</f>
        <v/>
      </c>
      <c r="AD30" s="56" t="str">
        <f ca="1">'Mia rosa + Org. Finanza'!AG30</f>
        <v/>
      </c>
      <c r="AE30" s="56" t="str">
        <f ca="1">'Mia rosa + Org. Finanza'!AH30</f>
        <v/>
      </c>
      <c r="AF30" s="56" t="str">
        <f ca="1">'Mia rosa + Org. Finanza'!AI30</f>
        <v/>
      </c>
      <c r="AG30" s="56" t="str">
        <f ca="1">'Mia rosa + Org. Finanza'!AJ30</f>
        <v/>
      </c>
    </row>
    <row r="31" spans="1:33" ht="14.25" customHeight="1">
      <c r="A31" s="232" t="str">
        <f ca="1">IF(Giocatori!D33="","P",Giocatori!D33)</f>
        <v>P</v>
      </c>
      <c r="B31" s="232" t="str">
        <f ca="1">IF(Giocatori!E33="","ZZZ" &amp; ROW(),Giocatori!E33)</f>
        <v>HANDANOVIC</v>
      </c>
      <c r="C31" s="232" t="str">
        <f ca="1">IF(Giocatori!F33="","NDR" &amp; ROW(),Giocatori!F33)</f>
        <v>Inter</v>
      </c>
      <c r="D31" s="233">
        <f t="shared" ca="1" si="0"/>
        <v>94.000309999999999</v>
      </c>
      <c r="E31" s="233">
        <f t="shared" ca="1" si="1"/>
        <v>47.000309999999999</v>
      </c>
      <c r="F31" s="234">
        <f t="shared" ca="1" si="2"/>
        <v>88.909196167467499</v>
      </c>
      <c r="G31" s="233" t="str">
        <f t="shared" ca="1" si="3"/>
        <v/>
      </c>
      <c r="H31" s="235">
        <f t="shared" ca="1" si="4"/>
        <v>100</v>
      </c>
      <c r="I31" s="233" t="str">
        <f t="shared" ca="1" si="5"/>
        <v/>
      </c>
      <c r="J31" s="233">
        <f t="shared" ca="1" si="6"/>
        <v>11.511921890134726</v>
      </c>
      <c r="K31" s="233">
        <f t="shared" ca="1" si="7"/>
        <v>11.626528182587812</v>
      </c>
      <c r="L31" s="324">
        <f ca="1">VLOOKUP(Tabella94[[#This Row],[Calciatore]],'Raccolta Aste'!$A$2:$E$33,4,FALSE)*Asta!$U$3/100</f>
        <v>35</v>
      </c>
      <c r="U31" s="311"/>
      <c r="V31" s="311"/>
      <c r="W31" s="56">
        <f t="shared" ca="1" si="8"/>
        <v>3</v>
      </c>
      <c r="X31" s="56">
        <f t="shared" ca="1" si="9"/>
        <v>3</v>
      </c>
      <c r="Y31" s="56">
        <f t="shared" ca="1" si="10"/>
        <v>3</v>
      </c>
      <c r="Z31" s="56">
        <f t="shared" ca="1" si="11"/>
        <v>6</v>
      </c>
      <c r="AA31" s="56">
        <f t="shared" ca="1" si="12"/>
        <v>6</v>
      </c>
      <c r="AB31" s="56">
        <f ca="1">_xlfn.CEILING.MATH(INDIRECT(ADDRESS(7,22+MATCH($P$26,'I.A. + Fasce'!$W$6:$AA$6,0),1,1) &amp; ":" &amp; ADDRESS(79,22+MATCH($P$26,'I.A. + Fasce'!$W$6:$AA$6,0),1,1))/Asta!$H$3)</f>
        <v>1</v>
      </c>
      <c r="AC31" s="54" t="str">
        <f ca="1">'Mia rosa + Org. Finanza'!$B32</f>
        <v/>
      </c>
      <c r="AD31" s="56" t="str">
        <f ca="1">'Mia rosa + Org. Finanza'!AG31</f>
        <v/>
      </c>
      <c r="AE31" s="56" t="str">
        <f ca="1">'Mia rosa + Org. Finanza'!AH31</f>
        <v/>
      </c>
      <c r="AF31" s="56" t="str">
        <f ca="1">'Mia rosa + Org. Finanza'!AI31</f>
        <v/>
      </c>
      <c r="AG31" s="56" t="str">
        <f ca="1">'Mia rosa + Org. Finanza'!AJ31</f>
        <v/>
      </c>
    </row>
    <row r="32" spans="1:33" ht="14.25" customHeight="1">
      <c r="A32" s="232" t="str">
        <f ca="1">IF(Giocatori!D34="","P",Giocatori!D34)</f>
        <v>P</v>
      </c>
      <c r="B32" s="232" t="str">
        <f ca="1">IF(Giocatori!E34="","ZZZ" &amp; ROW(),Giocatori!E34)</f>
        <v>ICHAZO</v>
      </c>
      <c r="C32" s="232" t="str">
        <f ca="1">IF(Giocatori!F34="","NDR" &amp; ROW(),Giocatori!F34)</f>
        <v>Torino</v>
      </c>
      <c r="D32" s="233">
        <f t="shared" ca="1" si="0"/>
        <v>5.0003200000000003</v>
      </c>
      <c r="E32" s="233">
        <f t="shared" ca="1" si="1"/>
        <v>33.000320000000002</v>
      </c>
      <c r="F32" s="234">
        <f t="shared" ca="1" si="2"/>
        <v>28.075816000853333</v>
      </c>
      <c r="G32" s="233" t="str">
        <f t="shared" ca="1" si="3"/>
        <v/>
      </c>
      <c r="H32" s="235">
        <f t="shared" ca="1" si="4"/>
        <v>40</v>
      </c>
      <c r="I32" s="233" t="str">
        <f t="shared" ca="1" si="5"/>
        <v/>
      </c>
      <c r="J32" s="233">
        <f t="shared" ca="1" si="6"/>
        <v>1.0003200000000001</v>
      </c>
      <c r="K32" s="233">
        <f t="shared" ca="1" si="7"/>
        <v>1.0003200000000001</v>
      </c>
      <c r="L32" s="324" t="e">
        <f ca="1">VLOOKUP(Tabella94[[#This Row],[Calciatore]],'Raccolta Aste'!$A$2:$E$33,4,FALSE)*Asta!$U$3/100</f>
        <v>#N/A</v>
      </c>
      <c r="N32" s="58"/>
      <c r="O32" s="59" t="s">
        <v>666</v>
      </c>
      <c r="P32" s="59" t="s">
        <v>637</v>
      </c>
      <c r="Q32" s="58"/>
      <c r="R32" s="59" t="s">
        <v>667</v>
      </c>
      <c r="S32" s="59" t="s">
        <v>637</v>
      </c>
      <c r="U32" s="311"/>
      <c r="V32" s="311"/>
      <c r="W32" s="56">
        <f t="shared" ca="1" si="8"/>
        <v>56</v>
      </c>
      <c r="X32" s="56">
        <f t="shared" ca="1" si="9"/>
        <v>33</v>
      </c>
      <c r="Y32" s="56">
        <f t="shared" ca="1" si="10"/>
        <v>43</v>
      </c>
      <c r="Z32" s="56">
        <f t="shared" ca="1" si="11"/>
        <v>45</v>
      </c>
      <c r="AA32" s="56">
        <f t="shared" ca="1" si="12"/>
        <v>44</v>
      </c>
      <c r="AB32" s="56">
        <f ca="1">_xlfn.CEILING.MATH(INDIRECT(ADDRESS(7,22+MATCH($P$26,'I.A. + Fasce'!$W$6:$AA$6,0),1,1) &amp; ":" &amp; ADDRESS(79,22+MATCH($P$26,'I.A. + Fasce'!$W$6:$AA$6,0),1,1))/Asta!$H$3)</f>
        <v>7</v>
      </c>
      <c r="AD32" s="56" t="str">
        <f ca="1">'Mia rosa + Org. Finanza'!AG32</f>
        <v/>
      </c>
      <c r="AE32" s="56" t="str">
        <f ca="1">'Mia rosa + Org. Finanza'!AH32</f>
        <v/>
      </c>
      <c r="AF32" s="56" t="str">
        <f ca="1">'Mia rosa + Org. Finanza'!AI32</f>
        <v/>
      </c>
      <c r="AG32" s="56" t="str">
        <f ca="1">'Mia rosa + Org. Finanza'!AJ32</f>
        <v/>
      </c>
    </row>
    <row r="33" spans="1:33" ht="14.25" customHeight="1">
      <c r="A33" s="232" t="str">
        <f ca="1">IF(Giocatori!D35="","P",Giocatori!D35)</f>
        <v>P</v>
      </c>
      <c r="B33" s="232" t="str">
        <f ca="1">IF(Giocatori!E35="","ZZZ" &amp; ROW(),Giocatori!E35)</f>
        <v>LAMANNA</v>
      </c>
      <c r="C33" s="232" t="str">
        <f ca="1">IF(Giocatori!F35="","NDR" &amp; ROW(),Giocatori!F35)</f>
        <v>Genoa</v>
      </c>
      <c r="D33" s="233">
        <f t="shared" ca="1" si="0"/>
        <v>25.000330000000002</v>
      </c>
      <c r="E33" s="233">
        <f t="shared" ca="1" si="1"/>
        <v>36.000329999999998</v>
      </c>
      <c r="F33" s="234">
        <f t="shared" ca="1" si="2"/>
        <v>41.300858000907503</v>
      </c>
      <c r="G33" s="233" t="str">
        <f t="shared" ca="1" si="3"/>
        <v/>
      </c>
      <c r="H33" s="235">
        <f t="shared" ca="1" si="4"/>
        <v>30</v>
      </c>
      <c r="I33" s="233" t="str">
        <f t="shared" ca="1" si="5"/>
        <v/>
      </c>
      <c r="J33" s="233">
        <f t="shared" ca="1" si="6"/>
        <v>1.0003299999999999</v>
      </c>
      <c r="K33" s="233">
        <f t="shared" ca="1" si="7"/>
        <v>1.0003299999999999</v>
      </c>
      <c r="L33" s="324">
        <f ca="1">VLOOKUP(Tabella94[[#This Row],[Calciatore]],'Raccolta Aste'!$A$2:$E$33,4,FALSE)*Asta!$U$3/100</f>
        <v>0</v>
      </c>
      <c r="N33" s="318"/>
      <c r="O33" s="319"/>
      <c r="P33" s="319"/>
      <c r="Q33" s="318"/>
      <c r="R33" s="319"/>
      <c r="S33" s="319"/>
      <c r="U33" s="311"/>
      <c r="V33" s="311"/>
      <c r="W33" s="56">
        <f t="shared" ca="1" si="8"/>
        <v>28</v>
      </c>
      <c r="X33" s="56">
        <f t="shared" ca="1" si="9"/>
        <v>25</v>
      </c>
      <c r="Y33" s="56">
        <f t="shared" ca="1" si="10"/>
        <v>27</v>
      </c>
      <c r="Z33" s="56">
        <f t="shared" ca="1" si="11"/>
        <v>44</v>
      </c>
      <c r="AA33" s="56">
        <f t="shared" ca="1" si="12"/>
        <v>43</v>
      </c>
      <c r="AB33" s="56">
        <f ca="1">_xlfn.CEILING.MATH(INDIRECT(ADDRESS(7,22+MATCH($P$26,'I.A. + Fasce'!$W$6:$AA$6,0),1,1) &amp; ":" &amp; ADDRESS(79,22+MATCH($P$26,'I.A. + Fasce'!$W$6:$AA$6,0),1,1))/Asta!$H$3)</f>
        <v>4</v>
      </c>
      <c r="AD33" s="56" t="str">
        <f ca="1">'Mia rosa + Org. Finanza'!AG33</f>
        <v/>
      </c>
      <c r="AE33" s="56" t="str">
        <f ca="1">'Mia rosa + Org. Finanza'!AH33</f>
        <v/>
      </c>
      <c r="AF33" s="56" t="str">
        <f ca="1">'Mia rosa + Org. Finanza'!AI33</f>
        <v/>
      </c>
      <c r="AG33" s="56" t="str">
        <f ca="1">'Mia rosa + Org. Finanza'!AJ33</f>
        <v/>
      </c>
    </row>
    <row r="34" spans="1:33" ht="14.25" customHeight="1">
      <c r="A34" s="232" t="str">
        <f ca="1">IF(Giocatori!D36="","P",Giocatori!D36)</f>
        <v>P</v>
      </c>
      <c r="B34" s="232" t="str">
        <f ca="1">IF(Giocatori!E36="","ZZZ" &amp; ROW(),Giocatori!E36)</f>
        <v>LOBONT</v>
      </c>
      <c r="C34" s="232" t="str">
        <f ca="1">IF(Giocatori!F36="","NDR" &amp; ROW(),Giocatori!F36)</f>
        <v>Roma</v>
      </c>
      <c r="D34" s="233">
        <f t="shared" ca="1" si="0"/>
        <v>5.0003399999999996</v>
      </c>
      <c r="E34" s="233">
        <f t="shared" ca="1" si="1"/>
        <v>22.000340000000001</v>
      </c>
      <c r="F34" s="234">
        <f t="shared" ca="1" si="2"/>
        <v>17.534138000963335</v>
      </c>
      <c r="G34" s="233" t="str">
        <f t="shared" ca="1" si="3"/>
        <v/>
      </c>
      <c r="H34" s="235">
        <f t="shared" ca="1" si="4"/>
        <v>10</v>
      </c>
      <c r="I34" s="233" t="str">
        <f t="shared" ca="1" si="5"/>
        <v/>
      </c>
      <c r="J34" s="233">
        <f t="shared" ca="1" si="6"/>
        <v>1.00034</v>
      </c>
      <c r="K34" s="233">
        <f t="shared" ca="1" si="7"/>
        <v>1.00034</v>
      </c>
      <c r="L34" s="324" t="e">
        <f ca="1">VLOOKUP(Tabella94[[#This Row],[Calciatore]],'Raccolta Aste'!$A$2:$E$33,4,FALSE)*Asta!$U$3/100</f>
        <v>#N/A</v>
      </c>
      <c r="N34" s="29">
        <f>IF(Asta!$H$3&lt;1,"",1)</f>
        <v>1</v>
      </c>
      <c r="O34" s="54" t="str">
        <f ca="1">IF(ISNUMBER(N34),INDIRECT("B" &amp; 6 + MATCH(N34,INDIRECT(ADDRESS(7,22+MATCH($P$26,'I.A. + Fasce'!$W$6:$AA$6,0),1,1) &amp; ":" &amp; ADDRESS(79,22+MATCH($P$26,'I.A. + Fasce'!$W$6:$AA$6,0),1,1)),0)),"")</f>
        <v>BUFFON</v>
      </c>
      <c r="P34" s="54" t="str">
        <f ca="1">IF(O34="","",VLOOKUP(O34,$B$7:$C$79,2,FALSE))</f>
        <v>Juventus</v>
      </c>
      <c r="Q34" s="59">
        <f t="shared" ref="Q34:Q45" si="13">IF(ISNUMBER(N34),N34+COUNTIF($N$34:$N$45,"&gt;0"),"")</f>
        <v>9</v>
      </c>
      <c r="R34" s="54" t="str">
        <f ca="1">IF(ISNUMBER(Q34),INDIRECT("B" &amp; 6 + MATCH(Q34,INDIRECT(ADDRESS(7,22+MATCH($P$26,'I.A. + Fasce'!$W$6:$AA$6,0),1,1) &amp; ":" &amp; ADDRESS(79,22+MATCH($P$26,'I.A. + Fasce'!$W$6:$AA$6,0),1,1)),0)),"")</f>
        <v>VIVIANO</v>
      </c>
      <c r="S34" s="54" t="str">
        <f ca="1">IF(R34="","",VLOOKUP(R34,$B$8:$C$79,2,FALSE))</f>
        <v>Sampdoria</v>
      </c>
      <c r="U34" s="311"/>
      <c r="V34" s="311"/>
      <c r="W34" s="56">
        <f t="shared" ca="1" si="8"/>
        <v>55</v>
      </c>
      <c r="X34" s="56">
        <f t="shared" ca="1" si="9"/>
        <v>61</v>
      </c>
      <c r="Y34" s="56">
        <f t="shared" ca="1" si="10"/>
        <v>61</v>
      </c>
      <c r="Z34" s="56">
        <f t="shared" ca="1" si="11"/>
        <v>43</v>
      </c>
      <c r="AA34" s="56">
        <f t="shared" ca="1" si="12"/>
        <v>42</v>
      </c>
      <c r="AB34" s="56">
        <f ca="1">_xlfn.CEILING.MATH(INDIRECT(ADDRESS(7,22+MATCH($P$26,'I.A. + Fasce'!$W$6:$AA$6,0),1,1) &amp; ":" &amp; ADDRESS(79,22+MATCH($P$26,'I.A. + Fasce'!$W$6:$AA$6,0),1,1))/Asta!$H$3)</f>
        <v>7</v>
      </c>
      <c r="AC34" s="54" t="str">
        <f ca="1">'Mia rosa + Org. Finanza'!$B36</f>
        <v/>
      </c>
      <c r="AD34" s="56" t="str">
        <f ca="1">'Mia rosa + Org. Finanza'!AG34</f>
        <v/>
      </c>
      <c r="AE34" s="56" t="str">
        <f ca="1">'Mia rosa + Org. Finanza'!AH34</f>
        <v/>
      </c>
      <c r="AF34" s="56" t="str">
        <f ca="1">'Mia rosa + Org. Finanza'!AI34</f>
        <v/>
      </c>
      <c r="AG34" s="56" t="str">
        <f ca="1">'Mia rosa + Org. Finanza'!AJ34</f>
        <v/>
      </c>
    </row>
    <row r="35" spans="1:33" ht="14.25" customHeight="1">
      <c r="A35" s="232" t="str">
        <f ca="1">IF(Giocatori!D37="","P",Giocatori!D37)</f>
        <v>P</v>
      </c>
      <c r="B35" s="232" t="str">
        <f ca="1">IF(Giocatori!E37="","ZZZ" &amp; ROW(),Giocatori!E37)</f>
        <v>MARCHEGIANI</v>
      </c>
      <c r="C35" s="232" t="str">
        <f ca="1">IF(Giocatori!F37="","NDR" &amp; ROW(),Giocatori!F37)</f>
        <v>SPAL</v>
      </c>
      <c r="D35" s="233">
        <f t="shared" ca="1" si="0"/>
        <v>5.0003500000000001</v>
      </c>
      <c r="E35" s="233">
        <f t="shared" ca="1" si="1"/>
        <v>30.000350000000001</v>
      </c>
      <c r="F35" s="234">
        <f t="shared" ca="1" si="2"/>
        <v>25.000875001020834</v>
      </c>
      <c r="G35" s="233" t="str">
        <f t="shared" ca="1" si="3"/>
        <v/>
      </c>
      <c r="H35" s="235">
        <f t="shared" ca="1" si="4"/>
        <v>20</v>
      </c>
      <c r="I35" s="233" t="str">
        <f t="shared" ca="1" si="5"/>
        <v/>
      </c>
      <c r="J35" s="233">
        <f t="shared" ca="1" si="6"/>
        <v>1.0003500000000001</v>
      </c>
      <c r="K35" s="233">
        <f t="shared" ca="1" si="7"/>
        <v>1.0003500000000001</v>
      </c>
      <c r="L35" s="324" t="e">
        <f ca="1">VLOOKUP(Tabella94[[#This Row],[Calciatore]],'Raccolta Aste'!$A$2:$E$33,4,FALSE)*Asta!$U$3/100</f>
        <v>#N/A</v>
      </c>
      <c r="N35" s="29">
        <f>IF(Asta!$H$3&lt;2,"",2)</f>
        <v>2</v>
      </c>
      <c r="O35" s="54" t="str">
        <f ca="1">IF(ISNUMBER(N35),INDIRECT("B" &amp; 6 + MATCH(N35,INDIRECT(ADDRESS(7,22+MATCH($P$26,'I.A. + Fasce'!$W$6:$AA$6,0),1,1) &amp; ":" &amp; ADDRESS(79,22+MATCH($P$26,'I.A. + Fasce'!$W$6:$AA$6,0),1,1)),0)),"")</f>
        <v>DONNARUMMA G</v>
      </c>
      <c r="P35" s="54" t="str">
        <f t="shared" ref="P35:P45" ca="1" si="14">IF(O35="","",VLOOKUP(O35,$B$7:$C$79,2,FALSE))</f>
        <v>Milan</v>
      </c>
      <c r="Q35" s="59">
        <f t="shared" si="13"/>
        <v>10</v>
      </c>
      <c r="R35" s="54" t="str">
        <f ca="1">IF(ISNUMBER(Q35),INDIRECT("B" &amp; 6 + MATCH(Q35,INDIRECT(ADDRESS(7,22+MATCH($P$26,'I.A. + Fasce'!$W$6:$AA$6,0),1,1) &amp; ":" &amp; ADDRESS(79,22+MATCH($P$26,'I.A. + Fasce'!$W$6:$AA$6,0),1,1)),0)),"")</f>
        <v>SIRIGU</v>
      </c>
      <c r="S35" s="54" t="str">
        <f t="shared" ref="S35:S45" ca="1" si="15">IF(R35="","",VLOOKUP(R35,$B$8:$C$79,2,FALSE))</f>
        <v>Torino</v>
      </c>
      <c r="U35" s="311"/>
      <c r="V35" s="311"/>
      <c r="W35" s="56">
        <f t="shared" ca="1" si="8"/>
        <v>54</v>
      </c>
      <c r="X35" s="56">
        <f t="shared" ca="1" si="9"/>
        <v>45</v>
      </c>
      <c r="Y35" s="56">
        <f t="shared" ca="1" si="10"/>
        <v>49</v>
      </c>
      <c r="Z35" s="56">
        <f t="shared" ca="1" si="11"/>
        <v>42</v>
      </c>
      <c r="AA35" s="56">
        <f t="shared" ca="1" si="12"/>
        <v>41</v>
      </c>
      <c r="AB35" s="56">
        <f ca="1">_xlfn.CEILING.MATH(INDIRECT(ADDRESS(7,22+MATCH($P$26,'I.A. + Fasce'!$W$6:$AA$6,0),1,1) &amp; ":" &amp; ADDRESS(79,22+MATCH($P$26,'I.A. + Fasce'!$W$6:$AA$6,0),1,1))/Asta!$H$3)</f>
        <v>7</v>
      </c>
      <c r="AC35" s="54" t="str">
        <f ca="1">'Mia rosa + Org. Finanza'!$B37</f>
        <v/>
      </c>
      <c r="AD35" s="56" t="str">
        <f ca="1">'Mia rosa + Org. Finanza'!AG35</f>
        <v/>
      </c>
      <c r="AE35" s="56" t="str">
        <f ca="1">'Mia rosa + Org. Finanza'!AH35</f>
        <v/>
      </c>
      <c r="AF35" s="56" t="str">
        <f ca="1">'Mia rosa + Org. Finanza'!AI35</f>
        <v/>
      </c>
      <c r="AG35" s="56" t="str">
        <f ca="1">'Mia rosa + Org. Finanza'!AJ35</f>
        <v/>
      </c>
    </row>
    <row r="36" spans="1:33" ht="14.25" customHeight="1">
      <c r="A36" s="232" t="str">
        <f ca="1">IF(Giocatori!D38="","P",Giocatori!D38)</f>
        <v>P</v>
      </c>
      <c r="B36" s="232" t="str">
        <f ca="1">IF(Giocatori!E38="","ZZZ" &amp; ROW(),Giocatori!E38)</f>
        <v>MARCHETTI</v>
      </c>
      <c r="C36" s="232" t="str">
        <f ca="1">IF(Giocatori!F38="","NDR" &amp; ROW(),Giocatori!F38)</f>
        <v>Lazio</v>
      </c>
      <c r="D36" s="233">
        <f t="shared" ca="1" si="0"/>
        <v>30.000360000000001</v>
      </c>
      <c r="E36" s="233">
        <f t="shared" ca="1" si="1"/>
        <v>26.000360000000001</v>
      </c>
      <c r="F36" s="234">
        <f t="shared" ca="1" si="2"/>
        <v>33.634209334413335</v>
      </c>
      <c r="G36" s="233" t="str">
        <f t="shared" ca="1" si="3"/>
        <v/>
      </c>
      <c r="H36" s="235">
        <f t="shared" ca="1" si="4"/>
        <v>20</v>
      </c>
      <c r="I36" s="233" t="str">
        <f t="shared" ca="1" si="5"/>
        <v/>
      </c>
      <c r="J36" s="233">
        <f t="shared" ca="1" si="6"/>
        <v>1.0003599999999999</v>
      </c>
      <c r="K36" s="233">
        <f t="shared" ca="1" si="7"/>
        <v>1.0003599999999999</v>
      </c>
      <c r="L36" s="324" t="e">
        <f ca="1">VLOOKUP(Tabella94[[#This Row],[Calciatore]],'Raccolta Aste'!$A$2:$E$33,4,FALSE)*Asta!$U$3/100</f>
        <v>#N/A</v>
      </c>
      <c r="N36" s="29">
        <f>IF(Asta!$H$3&lt;3,"",3)</f>
        <v>3</v>
      </c>
      <c r="O36" s="54" t="str">
        <f ca="1">IF(ISNUMBER(N36),INDIRECT("B" &amp; 6 + MATCH(N36,INDIRECT(ADDRESS(7,22+MATCH($P$26,'I.A. + Fasce'!$W$6:$AA$6,0),1,1) &amp; ":" &amp; ADDRESS(79,22+MATCH($P$26,'I.A. + Fasce'!$W$6:$AA$6,0),1,1)),0)),"")</f>
        <v>HANDANOVIC</v>
      </c>
      <c r="P36" s="54" t="str">
        <f t="shared" ca="1" si="14"/>
        <v>Inter</v>
      </c>
      <c r="Q36" s="59">
        <f t="shared" si="13"/>
        <v>11</v>
      </c>
      <c r="R36" s="54" t="str">
        <f ca="1">IF(ISNUMBER(Q36),INDIRECT("B" &amp; 6 + MATCH(Q36,INDIRECT(ADDRESS(7,22+MATCH($P$26,'I.A. + Fasce'!$W$6:$AA$6,0),1,1) &amp; ":" &amp; ADDRESS(79,22+MATCH($P$26,'I.A. + Fasce'!$W$6:$AA$6,0),1,1)),0)),"")</f>
        <v>SPORTIELLO</v>
      </c>
      <c r="S36" s="54" t="str">
        <f t="shared" ca="1" si="15"/>
        <v>Fiorentina</v>
      </c>
      <c r="U36" s="311"/>
      <c r="V36" s="311"/>
      <c r="W36" s="56">
        <f t="shared" ca="1" si="8"/>
        <v>26</v>
      </c>
      <c r="X36" s="56">
        <f t="shared" ca="1" si="9"/>
        <v>58</v>
      </c>
      <c r="Y36" s="56">
        <f t="shared" ca="1" si="10"/>
        <v>38</v>
      </c>
      <c r="Z36" s="56">
        <f t="shared" ca="1" si="11"/>
        <v>41</v>
      </c>
      <c r="AA36" s="56">
        <f t="shared" ca="1" si="12"/>
        <v>40</v>
      </c>
      <c r="AB36" s="56">
        <f ca="1">_xlfn.CEILING.MATH(INDIRECT(ADDRESS(7,22+MATCH($P$26,'I.A. + Fasce'!$W$6:$AA$6,0),1,1) &amp; ":" &amp; ADDRESS(79,22+MATCH($P$26,'I.A. + Fasce'!$W$6:$AA$6,0),1,1))/Asta!$H$3)</f>
        <v>4</v>
      </c>
      <c r="AC36" s="54" t="str">
        <f ca="1">'Mia rosa + Org. Finanza'!$B38</f>
        <v/>
      </c>
      <c r="AD36" s="56" t="str">
        <f ca="1">'Mia rosa + Org. Finanza'!AG36</f>
        <v/>
      </c>
      <c r="AE36" s="56" t="str">
        <f ca="1">'Mia rosa + Org. Finanza'!AH36</f>
        <v/>
      </c>
      <c r="AF36" s="56" t="str">
        <f ca="1">'Mia rosa + Org. Finanza'!AI36</f>
        <v/>
      </c>
      <c r="AG36" s="56" t="str">
        <f ca="1">'Mia rosa + Org. Finanza'!AJ36</f>
        <v/>
      </c>
    </row>
    <row r="37" spans="1:33" ht="14.25" customHeight="1">
      <c r="A37" s="232" t="str">
        <f ca="1">IF(Giocatori!D39="","P",Giocatori!D39)</f>
        <v>P</v>
      </c>
      <c r="B37" s="232" t="str">
        <f ca="1">IF(Giocatori!E39="","ZZZ" &amp; ROW(),Giocatori!E39)</f>
        <v>MARSON</v>
      </c>
      <c r="C37" s="232" t="str">
        <f ca="1">IF(Giocatori!F39="","NDR" &amp; ROW(),Giocatori!F39)</f>
        <v>Sassuolo</v>
      </c>
      <c r="D37" s="233">
        <f t="shared" ca="1" si="0"/>
        <v>5.0003700000000002</v>
      </c>
      <c r="E37" s="233">
        <f t="shared" ca="1" si="1"/>
        <v>3.6999999999999999E-4</v>
      </c>
      <c r="F37" s="234">
        <f t="shared" ca="1" si="2"/>
        <v>2.5007400011408336</v>
      </c>
      <c r="G37" s="233" t="str">
        <f t="shared" ca="1" si="3"/>
        <v/>
      </c>
      <c r="H37" s="235">
        <f t="shared" ca="1" si="4"/>
        <v>0</v>
      </c>
      <c r="I37" s="233" t="str">
        <f t="shared" ca="1" si="5"/>
        <v/>
      </c>
      <c r="J37" s="233">
        <f t="shared" ca="1" si="6"/>
        <v>3.6999999999999999E-4</v>
      </c>
      <c r="K37" s="233">
        <f t="shared" ca="1" si="7"/>
        <v>3.6999999999999999E-4</v>
      </c>
      <c r="L37" s="324" t="e">
        <f ca="1">VLOOKUP(Tabella94[[#This Row],[Calciatore]],'Raccolta Aste'!$A$2:$E$33,4,FALSE)*Asta!$U$3/100</f>
        <v>#N/A</v>
      </c>
      <c r="N37" s="29">
        <f>IF(Asta!$H$3&lt;4,"",4)</f>
        <v>4</v>
      </c>
      <c r="O37" s="54" t="str">
        <f ca="1">IF(ISNUMBER(N37),INDIRECT("B" &amp; 6 + MATCH(N37,INDIRECT(ADDRESS(7,22+MATCH($P$26,'I.A. + Fasce'!$W$6:$AA$6,0),1,1) &amp; ":" &amp; ADDRESS(79,22+MATCH($P$26,'I.A. + Fasce'!$W$6:$AA$6,0),1,1)),0)),"")</f>
        <v>REINA</v>
      </c>
      <c r="P37" s="54" t="str">
        <f t="shared" ca="1" si="14"/>
        <v>Napoli</v>
      </c>
      <c r="Q37" s="59">
        <f t="shared" si="13"/>
        <v>12</v>
      </c>
      <c r="R37" s="54" t="str">
        <f ca="1">IF(ISNUMBER(Q37),INDIRECT("B" &amp; 6 + MATCH(Q37,INDIRECT(ADDRESS(7,22+MATCH($P$26,'I.A. + Fasce'!$W$6:$AA$6,0),1,1) &amp; ":" &amp; ADDRESS(79,22+MATCH($P$26,'I.A. + Fasce'!$W$6:$AA$6,0),1,1)),0)),"")</f>
        <v>PERIN</v>
      </c>
      <c r="S37" s="54" t="str">
        <f t="shared" ca="1" si="15"/>
        <v>Genoa</v>
      </c>
      <c r="U37" s="311"/>
      <c r="V37" s="311"/>
      <c r="W37" s="56">
        <f t="shared" ca="1" si="8"/>
        <v>53</v>
      </c>
      <c r="X37" s="56">
        <f t="shared" ca="1" si="9"/>
        <v>72</v>
      </c>
      <c r="Y37" s="56">
        <f t="shared" ca="1" si="10"/>
        <v>63</v>
      </c>
      <c r="Z37" s="56">
        <f t="shared" ca="1" si="11"/>
        <v>72</v>
      </c>
      <c r="AA37" s="56">
        <f t="shared" ca="1" si="12"/>
        <v>72</v>
      </c>
      <c r="AB37" s="56">
        <f ca="1">_xlfn.CEILING.MATH(INDIRECT(ADDRESS(7,22+MATCH($P$26,'I.A. + Fasce'!$W$6:$AA$6,0),1,1) &amp; ":" &amp; ADDRESS(79,22+MATCH($P$26,'I.A. + Fasce'!$W$6:$AA$6,0),1,1))/Asta!$H$3)</f>
        <v>7</v>
      </c>
      <c r="AC37" s="54" t="str">
        <f ca="1">'Mia rosa + Org. Finanza'!$B39</f>
        <v/>
      </c>
      <c r="AD37" s="56" t="str">
        <f ca="1">'Mia rosa + Org. Finanza'!AG37</f>
        <v/>
      </c>
      <c r="AE37" s="56" t="str">
        <f ca="1">'Mia rosa + Org. Finanza'!AH37</f>
        <v/>
      </c>
      <c r="AF37" s="56" t="str">
        <f ca="1">'Mia rosa + Org. Finanza'!AI37</f>
        <v/>
      </c>
      <c r="AG37" s="56" t="str">
        <f ca="1">'Mia rosa + Org. Finanza'!AJ37</f>
        <v/>
      </c>
    </row>
    <row r="38" spans="1:33" ht="14.25" customHeight="1">
      <c r="A38" s="232" t="str">
        <f ca="1">IF(Giocatori!D40="","P",Giocatori!D40)</f>
        <v>P</v>
      </c>
      <c r="B38" s="232" t="str">
        <f ca="1">IF(Giocatori!E40="","ZZZ" &amp; ROW(),Giocatori!E40)</f>
        <v>MERET</v>
      </c>
      <c r="C38" s="232" t="str">
        <f ca="1">IF(Giocatori!F40="","NDR" &amp; ROW(),Giocatori!F40)</f>
        <v>SPAL</v>
      </c>
      <c r="D38" s="233">
        <f t="shared" ca="1" si="0"/>
        <v>64.000380000000007</v>
      </c>
      <c r="E38" s="233">
        <f t="shared" ca="1" si="1"/>
        <v>42.00038</v>
      </c>
      <c r="F38" s="234">
        <f t="shared" ca="1" si="2"/>
        <v>67.701026001203331</v>
      </c>
      <c r="G38" s="233" t="str">
        <f t="shared" ca="1" si="3"/>
        <v>CONSIGLIATO</v>
      </c>
      <c r="H38" s="235">
        <f t="shared" ca="1" si="4"/>
        <v>90</v>
      </c>
      <c r="I38" s="233" t="str">
        <f t="shared" ca="1" si="5"/>
        <v/>
      </c>
      <c r="J38" s="233">
        <f t="shared" ca="1" si="6"/>
        <v>1.00038</v>
      </c>
      <c r="K38" s="233">
        <f t="shared" ca="1" si="7"/>
        <v>1.00038</v>
      </c>
      <c r="L38" s="324">
        <f ca="1">VLOOKUP(Tabella94[[#This Row],[Calciatore]],'Raccolta Aste'!$A$2:$E$33,4,FALSE)*Asta!$U$3/100</f>
        <v>0</v>
      </c>
      <c r="N38" s="29">
        <f>IF(Asta!$H$3&lt;5,"",5)</f>
        <v>5</v>
      </c>
      <c r="O38" s="54" t="str">
        <f ca="1">IF(ISNUMBER(N38),INDIRECT("B" &amp; 6 + MATCH(N38,INDIRECT(ADDRESS(7,22+MATCH($P$26,'I.A. + Fasce'!$W$6:$AA$6,0),1,1) &amp; ":" &amp; ADDRESS(79,22+MATCH($P$26,'I.A. + Fasce'!$W$6:$AA$6,0),1,1)),0)),"")</f>
        <v>ALISSON</v>
      </c>
      <c r="P38" s="54" t="str">
        <f t="shared" ca="1" si="14"/>
        <v>Roma</v>
      </c>
      <c r="Q38" s="59">
        <f t="shared" si="13"/>
        <v>13</v>
      </c>
      <c r="R38" s="54" t="str">
        <f ca="1">IF(ISNUMBER(Q38),INDIRECT("B" &amp; 6 + MATCH(Q38,INDIRECT(ADDRESS(7,22+MATCH($P$26,'I.A. + Fasce'!$W$6:$AA$6,0),1,1) &amp; ":" &amp; ADDRESS(79,22+MATCH($P$26,'I.A. + Fasce'!$W$6:$AA$6,0),1,1)),0)),"")</f>
        <v>SORRENTINO</v>
      </c>
      <c r="S38" s="54" t="str">
        <f t="shared" ca="1" si="15"/>
        <v>Chievo</v>
      </c>
      <c r="U38" s="311"/>
      <c r="V38" s="311"/>
      <c r="W38" s="56">
        <f t="shared" ca="1" si="8"/>
        <v>18</v>
      </c>
      <c r="X38" s="56">
        <f t="shared" ca="1" si="9"/>
        <v>14</v>
      </c>
      <c r="Y38" s="56">
        <f t="shared" ca="1" si="10"/>
        <v>17</v>
      </c>
      <c r="Z38" s="56">
        <f t="shared" ca="1" si="11"/>
        <v>40</v>
      </c>
      <c r="AA38" s="56">
        <f t="shared" ca="1" si="12"/>
        <v>39</v>
      </c>
      <c r="AB38" s="56">
        <f ca="1">_xlfn.CEILING.MATH(INDIRECT(ADDRESS(7,22+MATCH($P$26,'I.A. + Fasce'!$W$6:$AA$6,0),1,1) &amp; ":" &amp; ADDRESS(79,22+MATCH($P$26,'I.A. + Fasce'!$W$6:$AA$6,0),1,1))/Asta!$H$3)</f>
        <v>3</v>
      </c>
      <c r="AC38" s="54" t="str">
        <f ca="1">'Mia rosa + Org. Finanza'!$B40</f>
        <v/>
      </c>
      <c r="AD38" s="56" t="str">
        <f ca="1">'Mia rosa + Org. Finanza'!AG38</f>
        <v/>
      </c>
      <c r="AE38" s="56" t="str">
        <f ca="1">'Mia rosa + Org. Finanza'!AH38</f>
        <v/>
      </c>
      <c r="AF38" s="56" t="str">
        <f ca="1">'Mia rosa + Org. Finanza'!AI38</f>
        <v/>
      </c>
      <c r="AG38" s="56" t="str">
        <f ca="1">'Mia rosa + Org. Finanza'!AJ38</f>
        <v/>
      </c>
    </row>
    <row r="39" spans="1:33" ht="14.25" customHeight="1">
      <c r="A39" s="232" t="str">
        <f ca="1">IF(Giocatori!D70="","P",Giocatori!D70)</f>
        <v>P</v>
      </c>
      <c r="B39" s="232" t="str">
        <f ca="1">IF(Giocatori!E41="","ZZZ" &amp; ROW(),Giocatori!E41)</f>
        <v>MILINKOVIC-SAVIC V</v>
      </c>
      <c r="C39" s="232" t="str">
        <f ca="1">IF(Giocatori!F41="","NDR" &amp; ROW(),Giocatori!F41)</f>
        <v>Torino</v>
      </c>
      <c r="D39" s="233">
        <f t="shared" ref="D39:D70" ca="1" si="16">IF(ISNA(VLOOKUP($B39,TabAlgTutti,6,FALSE)),0,VLOOKUP($B39,TabAlgTutti,6,FALSE))+ROW()/100000</f>
        <v>20.000389999999999</v>
      </c>
      <c r="E39" s="233">
        <f t="shared" ref="E39:E70" ca="1" si="17">IF(ISNA(VLOOKUP($B39,TabAlgTutti,5,FALSE)),0,VLOOKUP($B39,TabAlgTutti,5,FALSE))+ROW()/100000</f>
        <v>35.000390000000003</v>
      </c>
      <c r="F39" s="234">
        <f t="shared" ref="F39:F70" ca="1" si="18">($D39*$P$8+$E39*(1+$E39*100/60/100)*$S$8)/100+ROW()/100000</f>
        <v>37.709340834600837</v>
      </c>
      <c r="G39" s="233" t="str">
        <f t="shared" ref="G39:G70" ca="1" si="19">IF(ISNA(VLOOKUP($B39,TabAlgTutti,7,FALSE)),"",IF(VLOOKUP($B39,TabAlgTutti,7,FALSE)=-1,"SCONSIGLIATO",IF(VLOOKUP($B39,TabAlgTutti,7,FALSE)=0,"SORPRESA",IF(VLOOKUP($B39,TabAlgTutti,7,FALSE)=1,"CONSIGLIATO",""))))</f>
        <v/>
      </c>
      <c r="H39" s="235">
        <f t="shared" ref="H39:H70" ca="1" si="20">IF(ISNA(VLOOKUP($B39,TabAlgTutti,8,FALSE)),"",VLOOKUP($B39,TabAlgTutti,8,FALSE))</f>
        <v>50</v>
      </c>
      <c r="I39" s="233" t="str">
        <f t="shared" ref="I39:I70" ca="1" si="21">IF(ISNA(VLOOKUP($B39,TabAlgTutti,9,FALSE)),"",IF(VLOOKUP($B39,TabAlgTutti,9,FALSE)="","",VLOOKUP($B39,TabAlgTutti,9,FALSE)&amp;"R "))&amp;IF(ISNA(VLOOKUP($B39,TabAlgTutti,10,FALSE)),"",IF(VLOOKUP($B39,TabAlgTutti,10,FALSE)="","",VLOOKUP($B39,TabAlgTutti,10,FALSE)&amp;"P "))&amp;IF(ISNA(VLOOKUP($B39,TabAlgTutti,11,FALSE)),"",IF(VLOOKUP($B39,TabAlgTutti,11,FALSE)="","",VLOOKUP($B39,TabAlgTutti,11,FALSE)&amp;"A"))</f>
        <v/>
      </c>
      <c r="J39" s="233">
        <f t="shared" ref="J39:J70" ca="1" si="22">IF(ISNA(VLOOKUP($B39,TabAlgTutti,3,FALSE)),0,VLOOKUP($B39,TabAlgTutti,3,FALSE))+ROW()/100000</f>
        <v>1.0003899999999999</v>
      </c>
      <c r="K39" s="233">
        <f t="shared" ref="K39:K70" ca="1" si="23">IF(ISNA(VLOOKUP($B39,TabAlgTutti,4,FALSE)),0,VLOOKUP($B39,TabAlgTutti,4,FALSE))+ROW()/100000</f>
        <v>1.0003899999999999</v>
      </c>
      <c r="L39" s="324">
        <f ca="1">VLOOKUP(Tabella94[[#This Row],[Calciatore]],'Raccolta Aste'!$A$2:$E$33,4,FALSE)*Asta!$U$3/100</f>
        <v>0</v>
      </c>
      <c r="N39" s="29">
        <f>IF(Asta!$H$3&lt;6,"",6)</f>
        <v>6</v>
      </c>
      <c r="O39" s="54" t="str">
        <f ca="1">IF(ISNUMBER(N39),INDIRECT("B" &amp; 6 + MATCH(N39,INDIRECT(ADDRESS(7,22+MATCH($P$26,'I.A. + Fasce'!$W$6:$AA$6,0),1,1) &amp; ":" &amp; ADDRESS(79,22+MATCH($P$26,'I.A. + Fasce'!$W$6:$AA$6,0),1,1)),0)),"")</f>
        <v>CONSIGLI</v>
      </c>
      <c r="P39" s="54" t="str">
        <f t="shared" ca="1" si="14"/>
        <v>Sassuolo</v>
      </c>
      <c r="Q39" s="59">
        <f t="shared" si="13"/>
        <v>14</v>
      </c>
      <c r="R39" s="54" t="str">
        <f ca="1">IF(ISNUMBER(Q39),INDIRECT("B" &amp; 6 + MATCH(Q39,INDIRECT(ADDRESS(7,22+MATCH($P$26,'I.A. + Fasce'!$W$6:$AA$6,0),1,1) &amp; ":" &amp; ADDRESS(79,22+MATCH($P$26,'I.A. + Fasce'!$W$6:$AA$6,0),1,1)),0)),"")</f>
        <v>SCUFFET</v>
      </c>
      <c r="S39" s="54" t="str">
        <f t="shared" ca="1" si="15"/>
        <v>Udinese</v>
      </c>
      <c r="U39" s="311"/>
      <c r="V39" s="311"/>
      <c r="W39" s="56">
        <f t="shared" ref="W39:W70" ca="1" si="24">_xlfn.RANK.EQ(D39,$D$7:$D$79,0)</f>
        <v>37</v>
      </c>
      <c r="X39" s="56">
        <f t="shared" ref="X39:X70" ca="1" si="25">_xlfn.RANK.EQ(E39,$E$7:$E$79,0)</f>
        <v>27</v>
      </c>
      <c r="Y39" s="56">
        <f t="shared" ref="Y39:Y70" ca="1" si="26">_xlfn.RANK.EQ(F39,$F$7:$F$79,0)</f>
        <v>30</v>
      </c>
      <c r="Z39" s="56">
        <f t="shared" ca="1" si="11"/>
        <v>39</v>
      </c>
      <c r="AA39" s="56">
        <f t="shared" ca="1" si="12"/>
        <v>38</v>
      </c>
      <c r="AB39" s="56">
        <f ca="1">_xlfn.CEILING.MATH(INDIRECT(ADDRESS(7,22+MATCH($P$26,'I.A. + Fasce'!$W$6:$AA$6,0),1,1) &amp; ":" &amp; ADDRESS(79,22+MATCH($P$26,'I.A. + Fasce'!$W$6:$AA$6,0),1,1))/Asta!$H$3)</f>
        <v>5</v>
      </c>
      <c r="AC39" s="54" t="str">
        <f ca="1">'Mia rosa + Org. Finanza'!$B41</f>
        <v/>
      </c>
      <c r="AD39" s="56" t="str">
        <f ca="1">'Mia rosa + Org. Finanza'!AG39</f>
        <v/>
      </c>
      <c r="AE39" s="56" t="str">
        <f ca="1">'Mia rosa + Org. Finanza'!AH39</f>
        <v/>
      </c>
      <c r="AF39" s="56" t="str">
        <f ca="1">'Mia rosa + Org. Finanza'!AI39</f>
        <v/>
      </c>
      <c r="AG39" s="56" t="str">
        <f ca="1">'Mia rosa + Org. Finanza'!AJ39</f>
        <v/>
      </c>
    </row>
    <row r="40" spans="1:33" ht="14.25" customHeight="1">
      <c r="A40" s="232" t="str">
        <f ca="1">IF(Giocatori!D71="","P",Giocatori!D71)</f>
        <v>P</v>
      </c>
      <c r="B40" s="232" t="str">
        <f ca="1">IF(Giocatori!E42="","ZZZ" &amp; ROW(),Giocatori!E42)</f>
        <v>MIRANTE</v>
      </c>
      <c r="C40" s="232" t="str">
        <f ca="1">IF(Giocatori!F42="","NDR" &amp; ROW(),Giocatori!F42)</f>
        <v>Bologna</v>
      </c>
      <c r="D40" s="233">
        <f t="shared" ca="1" si="16"/>
        <v>74.000399999999999</v>
      </c>
      <c r="E40" s="233">
        <f t="shared" ca="1" si="17"/>
        <v>43.000399999999999</v>
      </c>
      <c r="F40" s="234">
        <f t="shared" ca="1" si="18"/>
        <v>73.909420001333331</v>
      </c>
      <c r="G40" s="233" t="str">
        <f t="shared" ca="1" si="19"/>
        <v/>
      </c>
      <c r="H40" s="235">
        <f t="shared" ca="1" si="20"/>
        <v>90</v>
      </c>
      <c r="I40" s="233" t="str">
        <f t="shared" ca="1" si="21"/>
        <v/>
      </c>
      <c r="J40" s="233">
        <f t="shared" ca="1" si="22"/>
        <v>6.5919498131261625</v>
      </c>
      <c r="K40" s="233">
        <f t="shared" ca="1" si="23"/>
        <v>5.9928771647005048</v>
      </c>
      <c r="L40" s="324">
        <f ca="1">VLOOKUP(Tabella94[[#This Row],[Calciatore]],'Raccolta Aste'!$A$2:$E$33,4,FALSE)*Asta!$U$3/100</f>
        <v>3.8500000000000005</v>
      </c>
      <c r="N40" s="29">
        <f>IF(Asta!$H$3&lt;7,"",7)</f>
        <v>7</v>
      </c>
      <c r="O40" s="54" t="str">
        <f ca="1">IF(ISNUMBER(N40),INDIRECT("B" &amp; 6 + MATCH(N40,INDIRECT(ADDRESS(7,22+MATCH($P$26,'I.A. + Fasce'!$W$6:$AA$6,0),1,1) &amp; ":" &amp; ADDRESS(79,22+MATCH($P$26,'I.A. + Fasce'!$W$6:$AA$6,0),1,1)),0)),"")</f>
        <v>BERISHA</v>
      </c>
      <c r="P40" s="54" t="str">
        <f t="shared" ca="1" si="14"/>
        <v>Atalanta</v>
      </c>
      <c r="Q40" s="59">
        <f t="shared" si="13"/>
        <v>15</v>
      </c>
      <c r="R40" s="54" t="str">
        <f ca="1">IF(ISNUMBER(Q40),INDIRECT("B" &amp; 6 + MATCH(Q40,INDIRECT(ADDRESS(7,22+MATCH($P$26,'I.A. + Fasce'!$W$6:$AA$6,0),1,1) &amp; ":" &amp; ADDRESS(79,22+MATCH($P$26,'I.A. + Fasce'!$W$6:$AA$6,0),1,1)),0)),"")</f>
        <v>MIRANTE</v>
      </c>
      <c r="S40" s="54" t="str">
        <f t="shared" ca="1" si="15"/>
        <v>Bologna</v>
      </c>
      <c r="U40" s="311"/>
      <c r="V40" s="311"/>
      <c r="W40" s="56">
        <f t="shared" ca="1" si="24"/>
        <v>15</v>
      </c>
      <c r="X40" s="56">
        <f t="shared" ca="1" si="25"/>
        <v>12</v>
      </c>
      <c r="Y40" s="56">
        <f t="shared" ca="1" si="26"/>
        <v>13</v>
      </c>
      <c r="Z40" s="56">
        <f t="shared" ca="1" si="11"/>
        <v>14</v>
      </c>
      <c r="AA40" s="56">
        <f t="shared" ca="1" si="12"/>
        <v>15</v>
      </c>
      <c r="AB40" s="56">
        <f ca="1">_xlfn.CEILING.MATH(INDIRECT(ADDRESS(7,22+MATCH($P$26,'I.A. + Fasce'!$W$6:$AA$6,0),1,1) &amp; ":" &amp; ADDRESS(79,22+MATCH($P$26,'I.A. + Fasce'!$W$6:$AA$6,0),1,1))/Asta!$H$3)</f>
        <v>2</v>
      </c>
      <c r="AC40" s="54" t="str">
        <f ca="1">'Mia rosa + Org. Finanza'!$B42</f>
        <v/>
      </c>
      <c r="AD40" s="56" t="str">
        <f ca="1">'Mia rosa + Org. Finanza'!AG40</f>
        <v/>
      </c>
      <c r="AE40" s="56" t="str">
        <f ca="1">'Mia rosa + Org. Finanza'!AH40</f>
        <v/>
      </c>
      <c r="AF40" s="56" t="str">
        <f ca="1">'Mia rosa + Org. Finanza'!AI40</f>
        <v/>
      </c>
      <c r="AG40" s="56" t="str">
        <f ca="1">'Mia rosa + Org. Finanza'!AJ40</f>
        <v/>
      </c>
    </row>
    <row r="41" spans="1:33" ht="14.25" customHeight="1">
      <c r="A41" s="232" t="str">
        <f ca="1">IF(Giocatori!D72="","P",Giocatori!D72)</f>
        <v>P</v>
      </c>
      <c r="B41" s="232" t="str">
        <f ca="1">IF(Giocatori!E43="","ZZZ" &amp; ROW(),Giocatori!E43)</f>
        <v>NICOLAS</v>
      </c>
      <c r="C41" s="232" t="str">
        <f ca="1">IF(Giocatori!F43="","NDR" &amp; ROW(),Giocatori!F43)</f>
        <v>Verona</v>
      </c>
      <c r="D41" s="233">
        <f t="shared" ca="1" si="16"/>
        <v>62.000410000000002</v>
      </c>
      <c r="E41" s="233">
        <f t="shared" ca="1" si="17"/>
        <v>37.000410000000002</v>
      </c>
      <c r="F41" s="234">
        <f t="shared" ca="1" si="18"/>
        <v>60.909406168067498</v>
      </c>
      <c r="G41" s="233" t="str">
        <f t="shared" ca="1" si="19"/>
        <v>SCONSIGLIATO</v>
      </c>
      <c r="H41" s="235">
        <f t="shared" ca="1" si="20"/>
        <v>70</v>
      </c>
      <c r="I41" s="233" t="str">
        <f t="shared" ca="1" si="21"/>
        <v/>
      </c>
      <c r="J41" s="233">
        <f t="shared" ca="1" si="22"/>
        <v>1.00041</v>
      </c>
      <c r="K41" s="233">
        <f t="shared" ca="1" si="23"/>
        <v>1.00041</v>
      </c>
      <c r="L41" s="324">
        <f ca="1">VLOOKUP(Tabella94[[#This Row],[Calciatore]],'Raccolta Aste'!$A$2:$E$33,4,FALSE)*Asta!$U$3/100</f>
        <v>0</v>
      </c>
      <c r="N41" s="29">
        <f>IF(Asta!$H$3&lt;8,"",8)</f>
        <v>8</v>
      </c>
      <c r="O41" s="54" t="str">
        <f ca="1">IF(ISNUMBER(N41),INDIRECT("B" &amp; 6 + MATCH(N41,INDIRECT(ADDRESS(7,22+MATCH($P$26,'I.A. + Fasce'!$W$6:$AA$6,0),1,1) &amp; ":" &amp; ADDRESS(79,22+MATCH($P$26,'I.A. + Fasce'!$W$6:$AA$6,0),1,1)),0)),"")</f>
        <v>STRAKOSHA</v>
      </c>
      <c r="P41" s="54" t="str">
        <f t="shared" ca="1" si="14"/>
        <v>Lazio</v>
      </c>
      <c r="Q41" s="59">
        <f t="shared" si="13"/>
        <v>16</v>
      </c>
      <c r="R41" s="54" t="str">
        <f ca="1">IF(ISNUMBER(Q41),INDIRECT("B" &amp; 6 + MATCH(Q41,INDIRECT(ADDRESS(7,22+MATCH($P$26,'I.A. + Fasce'!$W$6:$AA$6,0),1,1) &amp; ":" &amp; ADDRESS(79,22+MATCH($P$26,'I.A. + Fasce'!$W$6:$AA$6,0),1,1)),0)),"")</f>
        <v>CORDAZ</v>
      </c>
      <c r="S41" s="54" t="str">
        <f t="shared" ca="1" si="15"/>
        <v>Crotone</v>
      </c>
      <c r="U41" s="311"/>
      <c r="V41" s="311"/>
      <c r="W41" s="56">
        <f t="shared" ca="1" si="24"/>
        <v>19</v>
      </c>
      <c r="X41" s="56">
        <f t="shared" ca="1" si="25"/>
        <v>22</v>
      </c>
      <c r="Y41" s="56">
        <f t="shared" ca="1" si="26"/>
        <v>19</v>
      </c>
      <c r="Z41" s="56">
        <f t="shared" ca="1" si="11"/>
        <v>38</v>
      </c>
      <c r="AA41" s="56">
        <f t="shared" ca="1" si="12"/>
        <v>37</v>
      </c>
      <c r="AB41" s="56">
        <f ca="1">_xlfn.CEILING.MATH(INDIRECT(ADDRESS(7,22+MATCH($P$26,'I.A. + Fasce'!$W$6:$AA$6,0),1,1) &amp; ":" &amp; ADDRESS(79,22+MATCH($P$26,'I.A. + Fasce'!$W$6:$AA$6,0),1,1))/Asta!$H$3)</f>
        <v>3</v>
      </c>
      <c r="AC41" s="54" t="str">
        <f ca="1">'Mia rosa + Org. Finanza'!$B43</f>
        <v/>
      </c>
      <c r="AD41" s="56">
        <f>'Mia rosa + Org. Finanza'!AG41</f>
        <v>0</v>
      </c>
      <c r="AE41" s="56" t="str">
        <f ca="1">'Mia rosa + Org. Finanza'!AH41</f>
        <v/>
      </c>
      <c r="AF41" s="56" t="str">
        <f ca="1">'Mia rosa + Org. Finanza'!AI41</f>
        <v/>
      </c>
      <c r="AG41" s="56" t="str">
        <f ca="1">'Mia rosa + Org. Finanza'!AJ41</f>
        <v/>
      </c>
    </row>
    <row r="42" spans="1:33" ht="14.25" customHeight="1">
      <c r="A42" s="232" t="str">
        <f ca="1">IF(Giocatori!D73="","P",Giocatori!D73)</f>
        <v>P</v>
      </c>
      <c r="B42" s="232" t="str">
        <f ca="1">IF(Giocatori!E44="","ZZZ" &amp; ROW(),Giocatori!E44)</f>
        <v>PADELLI</v>
      </c>
      <c r="C42" s="232" t="str">
        <f ca="1">IF(Giocatori!F44="","NDR" &amp; ROW(),Giocatori!F44)</f>
        <v>Inter</v>
      </c>
      <c r="D42" s="233">
        <f t="shared" ca="1" si="16"/>
        <v>20.000419999999998</v>
      </c>
      <c r="E42" s="233">
        <f t="shared" ca="1" si="17"/>
        <v>32.000419999999998</v>
      </c>
      <c r="F42" s="234">
        <f t="shared" ca="1" si="18"/>
        <v>34.53439733480333</v>
      </c>
      <c r="G42" s="233" t="str">
        <f t="shared" ca="1" si="19"/>
        <v/>
      </c>
      <c r="H42" s="235">
        <f t="shared" ca="1" si="20"/>
        <v>40</v>
      </c>
      <c r="I42" s="233" t="str">
        <f t="shared" ca="1" si="21"/>
        <v/>
      </c>
      <c r="J42" s="233">
        <f t="shared" ca="1" si="22"/>
        <v>1.0004200000000001</v>
      </c>
      <c r="K42" s="233">
        <f t="shared" ca="1" si="23"/>
        <v>1.0004200000000001</v>
      </c>
      <c r="L42" s="324" t="e">
        <f ca="1">VLOOKUP(Tabella94[[#This Row],[Calciatore]],'Raccolta Aste'!$A$2:$E$33,4,FALSE)*Asta!$U$3/100</f>
        <v>#N/A</v>
      </c>
      <c r="N42" s="29" t="str">
        <f>IF(Asta!$H$3&lt;9,"",9)</f>
        <v/>
      </c>
      <c r="O42" s="54" t="str">
        <f ca="1">IF(ISNUMBER(N42),INDIRECT("B" &amp; 6 + MATCH(N42,INDIRECT(ADDRESS(7,22+MATCH($P$26,'I.A. + Fasce'!$W$6:$AA$6,0),1,1) &amp; ":" &amp; ADDRESS(79,22+MATCH($P$26,'I.A. + Fasce'!$W$6:$AA$6,0),1,1)),0)),"")</f>
        <v/>
      </c>
      <c r="P42" s="54" t="str">
        <f t="shared" ca="1" si="14"/>
        <v/>
      </c>
      <c r="Q42" s="59" t="str">
        <f t="shared" si="13"/>
        <v/>
      </c>
      <c r="R42" s="54" t="str">
        <f ca="1">IF(ISNUMBER(Q42),INDIRECT("B" &amp; 6 + MATCH(Q42,INDIRECT(ADDRESS(7,22+MATCH($P$26,'I.A. + Fasce'!$W$6:$AA$6,0),1,1) &amp; ":" &amp; ADDRESS(79,22+MATCH($P$26,'I.A. + Fasce'!$W$6:$AA$6,0),1,1)),0)),"")</f>
        <v/>
      </c>
      <c r="S42" s="54" t="str">
        <f t="shared" ca="1" si="15"/>
        <v/>
      </c>
      <c r="U42" s="311"/>
      <c r="V42" s="311"/>
      <c r="W42" s="56">
        <f t="shared" ca="1" si="24"/>
        <v>36</v>
      </c>
      <c r="X42" s="56">
        <f t="shared" ca="1" si="25"/>
        <v>39</v>
      </c>
      <c r="Y42" s="56">
        <f t="shared" ca="1" si="26"/>
        <v>35</v>
      </c>
      <c r="Z42" s="56">
        <f t="shared" ca="1" si="11"/>
        <v>37</v>
      </c>
      <c r="AA42" s="56">
        <f t="shared" ca="1" si="12"/>
        <v>36</v>
      </c>
      <c r="AB42" s="56">
        <f ca="1">_xlfn.CEILING.MATH(INDIRECT(ADDRESS(7,22+MATCH($P$26,'I.A. + Fasce'!$W$6:$AA$6,0),1,1) &amp; ":" &amp; ADDRESS(79,22+MATCH($P$26,'I.A. + Fasce'!$W$6:$AA$6,0),1,1))/Asta!$H$3)</f>
        <v>5</v>
      </c>
      <c r="AD42" s="56">
        <f>'Mia rosa + Org. Finanza'!AG42</f>
        <v>0</v>
      </c>
      <c r="AE42" s="56" t="str">
        <f ca="1">'Mia rosa + Org. Finanza'!AH42</f>
        <v/>
      </c>
      <c r="AF42" s="56" t="str">
        <f ca="1">'Mia rosa + Org. Finanza'!AI42</f>
        <v/>
      </c>
      <c r="AG42" s="56" t="str">
        <f ca="1">'Mia rosa + Org. Finanza'!AJ42</f>
        <v/>
      </c>
    </row>
    <row r="43" spans="1:33" ht="14.25" customHeight="1">
      <c r="A43" s="232" t="str">
        <f ca="1">IF(Giocatori!D74="","P",Giocatori!D74)</f>
        <v>P</v>
      </c>
      <c r="B43" s="232" t="str">
        <f ca="1">IF(Giocatori!E45="","ZZZ" &amp; ROW(),Giocatori!E45)</f>
        <v>PEGOLO</v>
      </c>
      <c r="C43" s="232" t="str">
        <f ca="1">IF(Giocatori!F45="","NDR" &amp; ROW(),Giocatori!F45)</f>
        <v>Sassuolo</v>
      </c>
      <c r="D43" s="233">
        <f t="shared" ca="1" si="16"/>
        <v>20.000430000000001</v>
      </c>
      <c r="E43" s="233">
        <f t="shared" ca="1" si="17"/>
        <v>32.000430000000001</v>
      </c>
      <c r="F43" s="234">
        <f t="shared" ca="1" si="18"/>
        <v>34.534422668207505</v>
      </c>
      <c r="G43" s="233" t="str">
        <f t="shared" ca="1" si="19"/>
        <v/>
      </c>
      <c r="H43" s="235">
        <f t="shared" ca="1" si="20"/>
        <v>30</v>
      </c>
      <c r="I43" s="233" t="str">
        <f t="shared" ca="1" si="21"/>
        <v/>
      </c>
      <c r="J43" s="233">
        <f t="shared" ca="1" si="22"/>
        <v>1.0004299999999999</v>
      </c>
      <c r="K43" s="233">
        <f t="shared" ca="1" si="23"/>
        <v>1.0004299999999999</v>
      </c>
      <c r="L43" s="324" t="e">
        <f ca="1">VLOOKUP(Tabella94[[#This Row],[Calciatore]],'Raccolta Aste'!$A$2:$E$33,4,FALSE)*Asta!$U$3/100</f>
        <v>#N/A</v>
      </c>
      <c r="N43" s="29" t="str">
        <f>IF(Asta!$H$3&lt;10,"",10)</f>
        <v/>
      </c>
      <c r="O43" s="54" t="str">
        <f ca="1">IF(ISNUMBER(N43),INDIRECT("B" &amp; 6 + MATCH(N43,INDIRECT(ADDRESS(7,22+MATCH($P$26,'I.A. + Fasce'!$W$6:$AA$6,0),1,1) &amp; ":" &amp; ADDRESS(79,22+MATCH($P$26,'I.A. + Fasce'!$W$6:$AA$6,0),1,1)),0)),"")</f>
        <v/>
      </c>
      <c r="P43" s="54" t="str">
        <f t="shared" ca="1" si="14"/>
        <v/>
      </c>
      <c r="Q43" s="59" t="str">
        <f t="shared" si="13"/>
        <v/>
      </c>
      <c r="R43" s="54" t="str">
        <f ca="1">IF(ISNUMBER(Q43),INDIRECT("B" &amp; 6 + MATCH(Q43,INDIRECT(ADDRESS(7,22+MATCH($P$26,'I.A. + Fasce'!$W$6:$AA$6,0),1,1) &amp; ":" &amp; ADDRESS(79,22+MATCH($P$26,'I.A. + Fasce'!$W$6:$AA$6,0),1,1)),0)),"")</f>
        <v/>
      </c>
      <c r="S43" s="54" t="str">
        <f t="shared" ca="1" si="15"/>
        <v/>
      </c>
      <c r="U43" s="311"/>
      <c r="V43" s="311"/>
      <c r="W43" s="56">
        <f t="shared" ca="1" si="24"/>
        <v>35</v>
      </c>
      <c r="X43" s="56">
        <f t="shared" ca="1" si="25"/>
        <v>38</v>
      </c>
      <c r="Y43" s="56">
        <f t="shared" ca="1" si="26"/>
        <v>34</v>
      </c>
      <c r="Z43" s="56">
        <f t="shared" ca="1" si="11"/>
        <v>36</v>
      </c>
      <c r="AA43" s="56">
        <f t="shared" ca="1" si="12"/>
        <v>35</v>
      </c>
      <c r="AB43" s="56">
        <f ca="1">_xlfn.CEILING.MATH(INDIRECT(ADDRESS(7,22+MATCH($P$26,'I.A. + Fasce'!$W$6:$AA$6,0),1,1) &amp; ":" &amp; ADDRESS(79,22+MATCH($P$26,'I.A. + Fasce'!$W$6:$AA$6,0),1,1))/Asta!$H$3)</f>
        <v>5</v>
      </c>
      <c r="AD43" s="56">
        <f>'Mia rosa + Org. Finanza'!AG43</f>
        <v>0</v>
      </c>
      <c r="AE43" s="56" t="str">
        <f ca="1">'Mia rosa + Org. Finanza'!AH43</f>
        <v/>
      </c>
      <c r="AF43" s="56" t="str">
        <f ca="1">'Mia rosa + Org. Finanza'!AI43</f>
        <v/>
      </c>
      <c r="AG43" s="56" t="str">
        <f ca="1">'Mia rosa + Org. Finanza'!AJ43</f>
        <v/>
      </c>
    </row>
    <row r="44" spans="1:33" ht="14.25" customHeight="1">
      <c r="A44" s="232" t="str">
        <f ca="1">IF(Giocatori!D75="","P",Giocatori!D75)</f>
        <v>P</v>
      </c>
      <c r="B44" s="232" t="str">
        <f ca="1">IF(Giocatori!E46="","ZZZ" &amp; ROW(),Giocatori!E46)</f>
        <v>PERIN</v>
      </c>
      <c r="C44" s="232" t="str">
        <f ca="1">IF(Giocatori!F46="","NDR" &amp; ROW(),Giocatori!F46)</f>
        <v>Genoa</v>
      </c>
      <c r="D44" s="233">
        <f t="shared" ca="1" si="16"/>
        <v>78.000439999999998</v>
      </c>
      <c r="E44" s="233">
        <f t="shared" ca="1" si="17"/>
        <v>45.000439999999998</v>
      </c>
      <c r="F44" s="234">
        <f t="shared" ca="1" si="18"/>
        <v>78.37621000161333</v>
      </c>
      <c r="G44" s="233" t="str">
        <f t="shared" ca="1" si="19"/>
        <v/>
      </c>
      <c r="H44" s="235">
        <f t="shared" ca="1" si="20"/>
        <v>90</v>
      </c>
      <c r="I44" s="233" t="str">
        <f t="shared" ca="1" si="21"/>
        <v/>
      </c>
      <c r="J44" s="233">
        <f t="shared" ca="1" si="22"/>
        <v>8.8562395169747532</v>
      </c>
      <c r="K44" s="233">
        <f t="shared" ca="1" si="23"/>
        <v>8.9905651564558529</v>
      </c>
      <c r="L44" s="324">
        <f ca="1">VLOOKUP(Tabella94[[#This Row],[Calciatore]],'Raccolta Aste'!$A$2:$E$33,4,FALSE)*Asta!$U$3/100</f>
        <v>14.14</v>
      </c>
      <c r="N44" s="29" t="str">
        <f>IF(Asta!$H$3&lt;11,"",11)</f>
        <v/>
      </c>
      <c r="O44" s="54" t="str">
        <f ca="1">IF(ISNUMBER(N44),INDIRECT("B" &amp; 6 + MATCH(N44,INDIRECT(ADDRESS(7,22+MATCH($P$26,'I.A. + Fasce'!$W$6:$AA$6,0),1,1) &amp; ":" &amp; ADDRESS(79,22+MATCH($P$26,'I.A. + Fasce'!$W$6:$AA$6,0),1,1)),0)),"")</f>
        <v/>
      </c>
      <c r="P44" s="54" t="str">
        <f t="shared" ca="1" si="14"/>
        <v/>
      </c>
      <c r="Q44" s="59" t="str">
        <f t="shared" si="13"/>
        <v/>
      </c>
      <c r="R44" s="54" t="str">
        <f ca="1">IF(ISNUMBER(Q44),INDIRECT("B" &amp; 6 + MATCH(Q44,INDIRECT(ADDRESS(7,22+MATCH($P$26,'I.A. + Fasce'!$W$6:$AA$6,0),1,1) &amp; ":" &amp; ADDRESS(79,22+MATCH($P$26,'I.A. + Fasce'!$W$6:$AA$6,0),1,1)),0)),"")</f>
        <v/>
      </c>
      <c r="S44" s="54" t="str">
        <f t="shared" ca="1" si="15"/>
        <v/>
      </c>
      <c r="U44" s="311"/>
      <c r="V44" s="311"/>
      <c r="W44" s="56">
        <f t="shared" ca="1" si="24"/>
        <v>12</v>
      </c>
      <c r="X44" s="56">
        <f t="shared" ca="1" si="25"/>
        <v>9</v>
      </c>
      <c r="Y44" s="56">
        <f t="shared" ca="1" si="26"/>
        <v>10</v>
      </c>
      <c r="Z44" s="56">
        <f t="shared" ca="1" si="11"/>
        <v>9</v>
      </c>
      <c r="AA44" s="56">
        <f t="shared" ca="1" si="12"/>
        <v>9</v>
      </c>
      <c r="AB44" s="56">
        <f ca="1">_xlfn.CEILING.MATH(INDIRECT(ADDRESS(7,22+MATCH($P$26,'I.A. + Fasce'!$W$6:$AA$6,0),1,1) &amp; ":" &amp; ADDRESS(79,22+MATCH($P$26,'I.A. + Fasce'!$W$6:$AA$6,0),1,1))/Asta!$H$3)</f>
        <v>2</v>
      </c>
      <c r="AD44" s="56">
        <f>'Mia rosa + Org. Finanza'!AG44</f>
        <v>0</v>
      </c>
      <c r="AE44" s="56" t="str">
        <f ca="1">'Mia rosa + Org. Finanza'!AH44</f>
        <v/>
      </c>
      <c r="AF44" s="56" t="str">
        <f ca="1">'Mia rosa + Org. Finanza'!AI44</f>
        <v/>
      </c>
      <c r="AG44" s="56" t="str">
        <f ca="1">'Mia rosa + Org. Finanza'!AJ44</f>
        <v/>
      </c>
    </row>
    <row r="45" spans="1:33" ht="14.25" customHeight="1">
      <c r="A45" s="232" t="str">
        <f ca="1">IF(Giocatori!D76="","P",Giocatori!D76)</f>
        <v>P</v>
      </c>
      <c r="B45" s="232" t="str">
        <f ca="1">IF(Giocatori!E47="","ZZZ" &amp; ROW(),Giocatori!E47)</f>
        <v>PINSOGLIO</v>
      </c>
      <c r="C45" s="232" t="str">
        <f ca="1">IF(Giocatori!F47="","NDR" &amp; ROW(),Giocatori!F47)</f>
        <v>Juventus</v>
      </c>
      <c r="D45" s="233">
        <f t="shared" ca="1" si="16"/>
        <v>5.0004499999999998</v>
      </c>
      <c r="E45" s="233">
        <f t="shared" ca="1" si="17"/>
        <v>30.000450000000001</v>
      </c>
      <c r="F45" s="234">
        <f t="shared" ca="1" si="18"/>
        <v>25.001125001687505</v>
      </c>
      <c r="G45" s="233" t="str">
        <f t="shared" ca="1" si="19"/>
        <v/>
      </c>
      <c r="H45" s="235">
        <f t="shared" ca="1" si="20"/>
        <v>30</v>
      </c>
      <c r="I45" s="233" t="str">
        <f t="shared" ca="1" si="21"/>
        <v/>
      </c>
      <c r="J45" s="233">
        <f t="shared" ca="1" si="22"/>
        <v>1.0004500000000001</v>
      </c>
      <c r="K45" s="233">
        <f t="shared" ca="1" si="23"/>
        <v>1.0004500000000001</v>
      </c>
      <c r="L45" s="324">
        <f ca="1">VLOOKUP(Tabella94[[#This Row],[Calciatore]],'Raccolta Aste'!$A$2:$E$33,4,FALSE)*Asta!$U$3/100</f>
        <v>0</v>
      </c>
      <c r="N45" s="29" t="str">
        <f>IF(Asta!$H$3&lt;12,"",12)</f>
        <v/>
      </c>
      <c r="O45" s="54" t="str">
        <f ca="1">IF(ISNUMBER(N45),INDIRECT("B" &amp; 6 + MATCH(N45,INDIRECT(ADDRESS(7,22+MATCH($P$26,'I.A. + Fasce'!$W$6:$AA$6,0),1,1) &amp; ":" &amp; ADDRESS(79,22+MATCH($P$26,'I.A. + Fasce'!$W$6:$AA$6,0),1,1)),0)),"")</f>
        <v/>
      </c>
      <c r="P45" s="54" t="str">
        <f t="shared" ca="1" si="14"/>
        <v/>
      </c>
      <c r="Q45" s="59" t="str">
        <f t="shared" si="13"/>
        <v/>
      </c>
      <c r="R45" s="54" t="str">
        <f ca="1">IF(ISNUMBER(Q45),INDIRECT("B" &amp; 6 + MATCH(Q45,INDIRECT(ADDRESS(7,22+MATCH($P$26,'I.A. + Fasce'!$W$6:$AA$6,0),1,1) &amp; ":" &amp; ADDRESS(79,22+MATCH($P$26,'I.A. + Fasce'!$W$6:$AA$6,0),1,1)),0)),"")</f>
        <v/>
      </c>
      <c r="S45" s="54" t="str">
        <f t="shared" ca="1" si="15"/>
        <v/>
      </c>
      <c r="U45" s="311"/>
      <c r="V45" s="311"/>
      <c r="W45" s="56">
        <f t="shared" ca="1" si="24"/>
        <v>52</v>
      </c>
      <c r="X45" s="56">
        <f t="shared" ca="1" si="25"/>
        <v>44</v>
      </c>
      <c r="Y45" s="56">
        <f t="shared" ca="1" si="26"/>
        <v>48</v>
      </c>
      <c r="Z45" s="56">
        <f t="shared" ca="1" si="11"/>
        <v>35</v>
      </c>
      <c r="AA45" s="56">
        <f t="shared" ca="1" si="12"/>
        <v>34</v>
      </c>
      <c r="AB45" s="56">
        <f ca="1">_xlfn.CEILING.MATH(INDIRECT(ADDRESS(7,22+MATCH($P$26,'I.A. + Fasce'!$W$6:$AA$6,0),1,1) &amp; ":" &amp; ADDRESS(79,22+MATCH($P$26,'I.A. + Fasce'!$W$6:$AA$6,0),1,1))/Asta!$H$3)</f>
        <v>7</v>
      </c>
      <c r="AD45" s="56">
        <f>'Mia rosa + Org. Finanza'!AG45</f>
        <v>0</v>
      </c>
      <c r="AE45" s="56" t="str">
        <f ca="1">'Mia rosa + Org. Finanza'!AH45</f>
        <v/>
      </c>
      <c r="AF45" s="56" t="str">
        <f ca="1">'Mia rosa + Org. Finanza'!AI45</f>
        <v/>
      </c>
      <c r="AG45" s="56" t="str">
        <f ca="1">'Mia rosa + Org. Finanza'!AJ45</f>
        <v/>
      </c>
    </row>
    <row r="46" spans="1:33" ht="14.25" customHeight="1">
      <c r="A46" s="232" t="str">
        <f ca="1">IF(Giocatori!D77="","P",Giocatori!D77)</f>
        <v>P</v>
      </c>
      <c r="B46" s="232" t="str">
        <f ca="1">IF(Giocatori!E48="","ZZZ" &amp; ROW(),Giocatori!E48)</f>
        <v>PISCITELLI</v>
      </c>
      <c r="C46" s="232" t="str">
        <f ca="1">IF(Giocatori!F48="","NDR" &amp; ROW(),Giocatori!F48)</f>
        <v>Benevento</v>
      </c>
      <c r="D46" s="233">
        <f t="shared" ca="1" si="16"/>
        <v>5.0004600000000003</v>
      </c>
      <c r="E46" s="233">
        <f t="shared" ca="1" si="17"/>
        <v>29.00046</v>
      </c>
      <c r="F46" s="234">
        <f t="shared" ca="1" si="18"/>
        <v>24.009475668430003</v>
      </c>
      <c r="G46" s="233" t="str">
        <f t="shared" ca="1" si="19"/>
        <v/>
      </c>
      <c r="H46" s="235">
        <f t="shared" ca="1" si="20"/>
        <v>20</v>
      </c>
      <c r="I46" s="233" t="str">
        <f t="shared" ca="1" si="21"/>
        <v/>
      </c>
      <c r="J46" s="233">
        <f t="shared" ca="1" si="22"/>
        <v>1.0004599999999999</v>
      </c>
      <c r="K46" s="233">
        <f t="shared" ca="1" si="23"/>
        <v>1.0004599999999999</v>
      </c>
      <c r="L46" s="324" t="e">
        <f ca="1">VLOOKUP(Tabella94[[#This Row],[Calciatore]],'Raccolta Aste'!$A$2:$E$33,4,FALSE)*Asta!$U$3/100</f>
        <v>#N/A</v>
      </c>
      <c r="N46" s="58"/>
      <c r="O46" s="58"/>
      <c r="P46" s="58"/>
      <c r="Q46" s="58"/>
      <c r="R46" s="58"/>
      <c r="S46" s="58"/>
      <c r="U46" s="311"/>
      <c r="V46" s="311"/>
      <c r="W46" s="56">
        <f t="shared" ca="1" si="24"/>
        <v>51</v>
      </c>
      <c r="X46" s="56">
        <f t="shared" ca="1" si="25"/>
        <v>49</v>
      </c>
      <c r="Y46" s="56">
        <f t="shared" ca="1" si="26"/>
        <v>52</v>
      </c>
      <c r="Z46" s="56">
        <f t="shared" ca="1" si="11"/>
        <v>34</v>
      </c>
      <c r="AA46" s="56">
        <f t="shared" ca="1" si="12"/>
        <v>33</v>
      </c>
      <c r="AB46" s="56">
        <f ca="1">_xlfn.CEILING.MATH(INDIRECT(ADDRESS(7,22+MATCH($P$26,'I.A. + Fasce'!$W$6:$AA$6,0),1,1) &amp; ":" &amp; ADDRESS(79,22+MATCH($P$26,'I.A. + Fasce'!$W$6:$AA$6,0),1,1))/Asta!$H$3)</f>
        <v>7</v>
      </c>
      <c r="AD46" s="56">
        <f>'Mia rosa + Org. Finanza'!AG46</f>
        <v>0</v>
      </c>
      <c r="AE46" s="56" t="str">
        <f ca="1">'Mia rosa + Org. Finanza'!AH46</f>
        <v/>
      </c>
      <c r="AF46" s="56" t="str">
        <f ca="1">'Mia rosa + Org. Finanza'!AI46</f>
        <v/>
      </c>
      <c r="AG46" s="56" t="str">
        <f ca="1">'Mia rosa + Org. Finanza'!AJ46</f>
        <v/>
      </c>
    </row>
    <row r="47" spans="1:33" ht="14.25" customHeight="1">
      <c r="A47" s="232" t="str">
        <f ca="1">IF(Giocatori!D78="","P",Giocatori!D78)</f>
        <v>P</v>
      </c>
      <c r="B47" s="232" t="str">
        <f ca="1">IF(Giocatori!E49="","ZZZ" &amp; ROW(),Giocatori!E49)</f>
        <v>POLUZZI</v>
      </c>
      <c r="C47" s="232" t="str">
        <f ca="1">IF(Giocatori!F49="","NDR" &amp; ROW(),Giocatori!F49)</f>
        <v>SPAL</v>
      </c>
      <c r="D47" s="233">
        <f t="shared" ca="1" si="16"/>
        <v>5.00047</v>
      </c>
      <c r="E47" s="233">
        <f t="shared" ca="1" si="17"/>
        <v>4.6999999999999999E-4</v>
      </c>
      <c r="F47" s="234">
        <f t="shared" ca="1" si="18"/>
        <v>2.5009400018408332</v>
      </c>
      <c r="G47" s="233" t="str">
        <f t="shared" ca="1" si="19"/>
        <v/>
      </c>
      <c r="H47" s="235">
        <f t="shared" ca="1" si="20"/>
        <v>0</v>
      </c>
      <c r="I47" s="233" t="str">
        <f t="shared" ca="1" si="21"/>
        <v/>
      </c>
      <c r="J47" s="233">
        <f t="shared" ca="1" si="22"/>
        <v>4.6999999999999999E-4</v>
      </c>
      <c r="K47" s="233">
        <f t="shared" ca="1" si="23"/>
        <v>4.6999999999999999E-4</v>
      </c>
      <c r="L47" s="324" t="e">
        <f ca="1">VLOOKUP(Tabella94[[#This Row],[Calciatore]],'Raccolta Aste'!$A$2:$E$33,4,FALSE)*Asta!$U$3/100</f>
        <v>#N/A</v>
      </c>
      <c r="N47" s="58"/>
      <c r="O47" s="59" t="s">
        <v>689</v>
      </c>
      <c r="P47" s="59" t="s">
        <v>637</v>
      </c>
      <c r="Q47" s="58"/>
      <c r="R47" s="59" t="s">
        <v>690</v>
      </c>
      <c r="S47" s="59" t="s">
        <v>637</v>
      </c>
      <c r="U47" s="311"/>
      <c r="V47" s="311"/>
      <c r="W47" s="56">
        <f t="shared" ca="1" si="24"/>
        <v>50</v>
      </c>
      <c r="X47" s="56">
        <f t="shared" ca="1" si="25"/>
        <v>71</v>
      </c>
      <c r="Y47" s="56">
        <f t="shared" ca="1" si="26"/>
        <v>62</v>
      </c>
      <c r="Z47" s="56">
        <f t="shared" ca="1" si="11"/>
        <v>71</v>
      </c>
      <c r="AA47" s="56">
        <f t="shared" ca="1" si="12"/>
        <v>71</v>
      </c>
      <c r="AB47" s="56">
        <f ca="1">_xlfn.CEILING.MATH(INDIRECT(ADDRESS(7,22+MATCH($P$26,'I.A. + Fasce'!$W$6:$AA$6,0),1,1) &amp; ":" &amp; ADDRESS(79,22+MATCH($P$26,'I.A. + Fasce'!$W$6:$AA$6,0),1,1))/Asta!$H$3)</f>
        <v>7</v>
      </c>
      <c r="AD47" s="56">
        <f>'Mia rosa + Org. Finanza'!AG47</f>
        <v>0</v>
      </c>
      <c r="AE47" s="56" t="str">
        <f ca="1">'Mia rosa + Org. Finanza'!AH47</f>
        <v/>
      </c>
      <c r="AF47" s="56" t="str">
        <f ca="1">'Mia rosa + Org. Finanza'!AI47</f>
        <v/>
      </c>
      <c r="AG47" s="56" t="str">
        <f ca="1">'Mia rosa + Org. Finanza'!AJ47</f>
        <v/>
      </c>
    </row>
    <row r="48" spans="1:33" ht="14.25" customHeight="1">
      <c r="A48" s="232" t="str">
        <f ca="1">IF(Giocatori!D79="","P",Giocatori!D79)</f>
        <v>P</v>
      </c>
      <c r="B48" s="232" t="str">
        <f ca="1">IF(Giocatori!E50="","ZZZ" &amp; ROW(),Giocatori!E50)</f>
        <v>PUGGIONI</v>
      </c>
      <c r="C48" s="232" t="str">
        <f ca="1">IF(Giocatori!F50="","NDR" &amp; ROW(),Giocatori!F50)</f>
        <v>Sampdoria</v>
      </c>
      <c r="D48" s="233">
        <f t="shared" ca="1" si="16"/>
        <v>30.00048</v>
      </c>
      <c r="E48" s="233">
        <f t="shared" ca="1" si="17"/>
        <v>35.000480000000003</v>
      </c>
      <c r="F48" s="234">
        <f t="shared" ca="1" si="18"/>
        <v>42.709573335253332</v>
      </c>
      <c r="G48" s="233" t="str">
        <f t="shared" ca="1" si="19"/>
        <v/>
      </c>
      <c r="H48" s="235">
        <f t="shared" ca="1" si="20"/>
        <v>50</v>
      </c>
      <c r="I48" s="233" t="str">
        <f t="shared" ca="1" si="21"/>
        <v/>
      </c>
      <c r="J48" s="233">
        <f t="shared" ca="1" si="22"/>
        <v>1.00048</v>
      </c>
      <c r="K48" s="233">
        <f t="shared" ca="1" si="23"/>
        <v>1.00048</v>
      </c>
      <c r="L48" s="324">
        <f ca="1">VLOOKUP(Tabella94[[#This Row],[Calciatore]],'Raccolta Aste'!$A$2:$E$33,4,FALSE)*Asta!$U$3/100</f>
        <v>0</v>
      </c>
      <c r="N48" s="60"/>
      <c r="O48" s="61"/>
      <c r="P48" s="61"/>
      <c r="Q48" s="60"/>
      <c r="R48" s="61"/>
      <c r="S48" s="61"/>
      <c r="U48" s="311"/>
      <c r="V48" s="311"/>
      <c r="W48" s="56">
        <f t="shared" ca="1" si="24"/>
        <v>25</v>
      </c>
      <c r="X48" s="56">
        <f t="shared" ca="1" si="25"/>
        <v>26</v>
      </c>
      <c r="Y48" s="56">
        <f t="shared" ca="1" si="26"/>
        <v>25</v>
      </c>
      <c r="Z48" s="56">
        <f t="shared" ca="1" si="11"/>
        <v>33</v>
      </c>
      <c r="AA48" s="56">
        <f t="shared" ca="1" si="12"/>
        <v>32</v>
      </c>
      <c r="AB48" s="56">
        <f ca="1">_xlfn.CEILING.MATH(INDIRECT(ADDRESS(7,22+MATCH($P$26,'I.A. + Fasce'!$W$6:$AA$6,0),1,1) &amp; ":" &amp; ADDRESS(79,22+MATCH($P$26,'I.A. + Fasce'!$W$6:$AA$6,0),1,1))/Asta!$H$3)</f>
        <v>4</v>
      </c>
      <c r="AD48" s="56">
        <f>'Mia rosa + Org. Finanza'!AG48</f>
        <v>0</v>
      </c>
      <c r="AE48" s="56" t="str">
        <f ca="1">'Mia rosa + Org. Finanza'!AH48</f>
        <v/>
      </c>
      <c r="AF48" s="56" t="str">
        <f ca="1">'Mia rosa + Org. Finanza'!AI48</f>
        <v/>
      </c>
      <c r="AG48" s="56" t="str">
        <f ca="1">'Mia rosa + Org. Finanza'!AJ48</f>
        <v/>
      </c>
    </row>
    <row r="49" spans="1:33" ht="14.25" customHeight="1">
      <c r="A49" s="232" t="str">
        <f ca="1">IF(Giocatori!D80="","P",Giocatori!D80)</f>
        <v>P</v>
      </c>
      <c r="B49" s="232" t="str">
        <f ca="1">IF(Giocatori!E51="","ZZZ" &amp; ROW(),Giocatori!E51)</f>
        <v>RAFAEL</v>
      </c>
      <c r="C49" s="232" t="str">
        <f ca="1">IF(Giocatori!F51="","NDR" &amp; ROW(),Giocatori!F51)</f>
        <v>Cagliari</v>
      </c>
      <c r="D49" s="233">
        <f t="shared" ca="1" si="16"/>
        <v>25.000489999999999</v>
      </c>
      <c r="E49" s="233">
        <f t="shared" ca="1" si="17"/>
        <v>37.000489999999999</v>
      </c>
      <c r="F49" s="234">
        <f t="shared" ca="1" si="18"/>
        <v>42.409615502000825</v>
      </c>
      <c r="G49" s="233" t="str">
        <f t="shared" ca="1" si="19"/>
        <v/>
      </c>
      <c r="H49" s="235">
        <f t="shared" ca="1" si="20"/>
        <v>50</v>
      </c>
      <c r="I49" s="233" t="str">
        <f t="shared" ca="1" si="21"/>
        <v/>
      </c>
      <c r="J49" s="233">
        <f t="shared" ca="1" si="22"/>
        <v>1.0004900000000001</v>
      </c>
      <c r="K49" s="233">
        <f t="shared" ca="1" si="23"/>
        <v>1.0004900000000001</v>
      </c>
      <c r="L49" s="324">
        <f ca="1">VLOOKUP(Tabella94[[#This Row],[Calciatore]],'Raccolta Aste'!$A$2:$E$33,4,FALSE)*Asta!$U$3/100</f>
        <v>0</v>
      </c>
      <c r="N49" s="59">
        <f t="shared" ref="N49:N60" si="27">IF(ISNUMBER(Q34),Q34+COUNTIF($N$34:$N$45,"&gt;0"),"")</f>
        <v>17</v>
      </c>
      <c r="O49" s="54" t="str">
        <f ca="1">IF(ISNUMBER(N49),INDIRECT("B" &amp; 6 + MATCH(N49,INDIRECT(ADDRESS(7,22+MATCH($P$26,'I.A. + Fasce'!$W$6:$AA$6,0),1,1) &amp; ":" &amp; ADDRESS(79,22+MATCH($P$26,'I.A. + Fasce'!$W$6:$AA$6,0),1,1)),0)),"")</f>
        <v>CRAGNO</v>
      </c>
      <c r="P49" s="54" t="str">
        <f ca="1">IF(O49="","",VLOOKUP(O49,$B$8:$C$79,2,FALSE))</f>
        <v>Cagliari</v>
      </c>
      <c r="Q49" s="59">
        <f t="shared" ref="Q49:Q60" si="28">IF(ISNUMBER(N49),N49+COUNTIF($N$34:$N$45,"&gt;0"),"")</f>
        <v>25</v>
      </c>
      <c r="R49" s="54" t="str">
        <f ca="1">IF(ISNUMBER(Q49),INDIRECT("B" &amp; 6 + MATCH(Q49,INDIRECT(ADDRESS(7,22+MATCH($P$26,'I.A. + Fasce'!$W$6:$AA$6,0),1,1) &amp; ":" &amp; ADDRESS(79,22+MATCH($P$26,'I.A. + Fasce'!$W$6:$AA$6,0),1,1)),0)),"")</f>
        <v>PUGGIONI</v>
      </c>
      <c r="S49" s="54" t="str">
        <f ca="1">IF(R49="","",VLOOKUP(R49,$B$8:$C$79,2,FALSE))</f>
        <v>Sampdoria</v>
      </c>
      <c r="U49" s="311"/>
      <c r="V49" s="311"/>
      <c r="W49" s="56">
        <f t="shared" ca="1" si="24"/>
        <v>27</v>
      </c>
      <c r="X49" s="56">
        <f t="shared" ca="1" si="25"/>
        <v>21</v>
      </c>
      <c r="Y49" s="56">
        <f t="shared" ca="1" si="26"/>
        <v>26</v>
      </c>
      <c r="Z49" s="56">
        <f t="shared" ca="1" si="11"/>
        <v>32</v>
      </c>
      <c r="AA49" s="56">
        <f t="shared" ca="1" si="12"/>
        <v>31</v>
      </c>
      <c r="AB49" s="56">
        <f ca="1">_xlfn.CEILING.MATH(INDIRECT(ADDRESS(7,22+MATCH($P$26,'I.A. + Fasce'!$W$6:$AA$6,0),1,1) &amp; ":" &amp; ADDRESS(79,22+MATCH($P$26,'I.A. + Fasce'!$W$6:$AA$6,0),1,1))/Asta!$H$3)</f>
        <v>4</v>
      </c>
      <c r="AD49" s="56">
        <f>'Mia rosa + Org. Finanza'!AG49</f>
        <v>0</v>
      </c>
      <c r="AE49" s="56" t="str">
        <f ca="1">'Mia rosa + Org. Finanza'!AH49</f>
        <v/>
      </c>
      <c r="AF49" s="56" t="str">
        <f ca="1">'Mia rosa + Org. Finanza'!AI49</f>
        <v/>
      </c>
      <c r="AG49" s="56" t="str">
        <f ca="1">'Mia rosa + Org. Finanza'!AJ49</f>
        <v/>
      </c>
    </row>
    <row r="50" spans="1:33" ht="14.25" customHeight="1">
      <c r="A50" s="232" t="str">
        <f ca="1">IF(Giocatori!D81="","P",Giocatori!D81)</f>
        <v>P</v>
      </c>
      <c r="B50" s="232" t="str">
        <f ca="1">IF(Giocatori!E52="","ZZZ" &amp; ROW(),Giocatori!E52)</f>
        <v>RAFAEL CABRAL</v>
      </c>
      <c r="C50" s="232" t="str">
        <f ca="1">IF(Giocatori!F52="","NDR" &amp; ROW(),Giocatori!F52)</f>
        <v>Napoli</v>
      </c>
      <c r="D50" s="233">
        <f t="shared" ca="1" si="16"/>
        <v>20.000499999999999</v>
      </c>
      <c r="E50" s="233">
        <f t="shared" ca="1" si="17"/>
        <v>33.000500000000002</v>
      </c>
      <c r="F50" s="234">
        <f t="shared" ca="1" si="18"/>
        <v>35.576275002083342</v>
      </c>
      <c r="G50" s="233" t="str">
        <f t="shared" ca="1" si="19"/>
        <v/>
      </c>
      <c r="H50" s="235">
        <f t="shared" ca="1" si="20"/>
        <v>50</v>
      </c>
      <c r="I50" s="233" t="str">
        <f t="shared" ca="1" si="21"/>
        <v/>
      </c>
      <c r="J50" s="233">
        <f t="shared" ca="1" si="22"/>
        <v>1.0004999999999999</v>
      </c>
      <c r="K50" s="233">
        <f t="shared" ca="1" si="23"/>
        <v>1.0004999999999999</v>
      </c>
      <c r="L50" s="324">
        <f ca="1">VLOOKUP(Tabella94[[#This Row],[Calciatore]],'Raccolta Aste'!$A$2:$E$33,4,FALSE)*Asta!$U$3/100</f>
        <v>0</v>
      </c>
      <c r="N50" s="59">
        <f t="shared" si="27"/>
        <v>18</v>
      </c>
      <c r="O50" s="54" t="str">
        <f ca="1">IF(ISNUMBER(N50),INDIRECT("B" &amp; 6 + MATCH(N50,INDIRECT(ADDRESS(7,22+MATCH($P$26,'I.A. + Fasce'!$W$6:$AA$6,0),1,1) &amp; ":" &amp; ADDRESS(79,22+MATCH($P$26,'I.A. + Fasce'!$W$6:$AA$6,0),1,1)),0)),"")</f>
        <v>MERET</v>
      </c>
      <c r="P50" s="54" t="str">
        <f t="shared" ref="P50:P60" ca="1" si="29">IF(O50="","",VLOOKUP(O50,$B$8:$C$79,2,FALSE))</f>
        <v>SPAL</v>
      </c>
      <c r="Q50" s="59">
        <f t="shared" si="28"/>
        <v>26</v>
      </c>
      <c r="R50" s="54" t="str">
        <f ca="1">IF(ISNUMBER(Q50),INDIRECT("B" &amp; 6 + MATCH(Q50,INDIRECT(ADDRESS(7,22+MATCH($P$26,'I.A. + Fasce'!$W$6:$AA$6,0),1,1) &amp; ":" &amp; ADDRESS(79,22+MATCH($P$26,'I.A. + Fasce'!$W$6:$AA$6,0),1,1)),0)),"")</f>
        <v>MARCHETTI</v>
      </c>
      <c r="S50" s="54" t="str">
        <f t="shared" ref="S50:S60" ca="1" si="30">IF(R50="","",VLOOKUP(R50,$B$8:$C$79,2,FALSE))</f>
        <v>Lazio</v>
      </c>
      <c r="U50" s="311"/>
      <c r="V50" s="311"/>
      <c r="W50" s="56">
        <f t="shared" ca="1" si="24"/>
        <v>34</v>
      </c>
      <c r="X50" s="56">
        <f t="shared" ca="1" si="25"/>
        <v>32</v>
      </c>
      <c r="Y50" s="56">
        <f t="shared" ca="1" si="26"/>
        <v>32</v>
      </c>
      <c r="Z50" s="56">
        <f t="shared" ca="1" si="11"/>
        <v>31</v>
      </c>
      <c r="AA50" s="56">
        <f t="shared" ca="1" si="12"/>
        <v>30</v>
      </c>
      <c r="AB50" s="56">
        <f ca="1">_xlfn.CEILING.MATH(INDIRECT(ADDRESS(7,22+MATCH($P$26,'I.A. + Fasce'!$W$6:$AA$6,0),1,1) &amp; ":" &amp; ADDRESS(79,22+MATCH($P$26,'I.A. + Fasce'!$W$6:$AA$6,0),1,1))/Asta!$H$3)</f>
        <v>5</v>
      </c>
      <c r="AD50" s="56">
        <f>'Mia rosa + Org. Finanza'!AG50</f>
        <v>0</v>
      </c>
      <c r="AE50" s="56" t="str">
        <f ca="1">'Mia rosa + Org. Finanza'!AH50</f>
        <v/>
      </c>
      <c r="AF50" s="56" t="str">
        <f ca="1">'Mia rosa + Org. Finanza'!AI50</f>
        <v/>
      </c>
      <c r="AG50" s="56" t="str">
        <f ca="1">'Mia rosa + Org. Finanza'!AJ50</f>
        <v/>
      </c>
    </row>
    <row r="51" spans="1:33" ht="14.25" customHeight="1">
      <c r="A51" s="232" t="str">
        <f ca="1">IF(Giocatori!D41="","P",Giocatori!D41)</f>
        <v>P</v>
      </c>
      <c r="B51" s="232" t="str">
        <f ca="1">IF(Giocatori!E53="","ZZZ" &amp; ROW(),Giocatori!E53)</f>
        <v>REINA</v>
      </c>
      <c r="C51" s="232" t="str">
        <f ca="1">IF(Giocatori!F53="","NDR" &amp; ROW(),Giocatori!F53)</f>
        <v>Napoli</v>
      </c>
      <c r="D51" s="233">
        <f t="shared" ca="1" si="16"/>
        <v>90.000510000000006</v>
      </c>
      <c r="E51" s="233">
        <f t="shared" ca="1" si="17"/>
        <v>46.000509999999998</v>
      </c>
      <c r="F51" s="234">
        <f t="shared" ca="1" si="18"/>
        <v>85.634744335500841</v>
      </c>
      <c r="G51" s="233" t="str">
        <f t="shared" ca="1" si="19"/>
        <v/>
      </c>
      <c r="H51" s="235">
        <f t="shared" ca="1" si="20"/>
        <v>90</v>
      </c>
      <c r="I51" s="233" t="str">
        <f t="shared" ca="1" si="21"/>
        <v/>
      </c>
      <c r="J51" s="233">
        <f t="shared" ca="1" si="22"/>
        <v>12.326193903137822</v>
      </c>
      <c r="K51" s="233">
        <f t="shared" ca="1" si="23"/>
        <v>11.72265092856952</v>
      </c>
      <c r="L51" s="324">
        <f ca="1">VLOOKUP(Tabella94[[#This Row],[Calciatore]],'Raccolta Aste'!$A$2:$E$33,4,FALSE)*Asta!$U$3/100</f>
        <v>29.330000000000005</v>
      </c>
      <c r="N51" s="59">
        <f t="shared" si="27"/>
        <v>19</v>
      </c>
      <c r="O51" s="54" t="str">
        <f ca="1">IF(ISNUMBER(N51),INDIRECT("B" &amp; 6 + MATCH(N51,INDIRECT(ADDRESS(7,22+MATCH($P$26,'I.A. + Fasce'!$W$6:$AA$6,0),1,1) &amp; ":" &amp; ADDRESS(79,22+MATCH($P$26,'I.A. + Fasce'!$W$6:$AA$6,0),1,1)),0)),"")</f>
        <v>NICOLAS</v>
      </c>
      <c r="P51" s="54" t="str">
        <f t="shared" ca="1" si="29"/>
        <v>Verona</v>
      </c>
      <c r="Q51" s="59">
        <f t="shared" si="28"/>
        <v>27</v>
      </c>
      <c r="R51" s="54" t="str">
        <f ca="1">IF(ISNUMBER(Q51),INDIRECT("B" &amp; 6 + MATCH(Q51,INDIRECT(ADDRESS(7,22+MATCH($P$26,'I.A. + Fasce'!$W$6:$AA$6,0),1,1) &amp; ":" &amp; ADDRESS(79,22+MATCH($P$26,'I.A. + Fasce'!$W$6:$AA$6,0),1,1)),0)),"")</f>
        <v>RAFAEL</v>
      </c>
      <c r="S51" s="54" t="str">
        <f t="shared" ca="1" si="30"/>
        <v>Cagliari</v>
      </c>
      <c r="U51" s="311"/>
      <c r="V51" s="311"/>
      <c r="W51" s="56">
        <f t="shared" ca="1" si="24"/>
        <v>4</v>
      </c>
      <c r="X51" s="56">
        <f t="shared" ca="1" si="25"/>
        <v>6</v>
      </c>
      <c r="Y51" s="56">
        <f t="shared" ca="1" si="26"/>
        <v>5</v>
      </c>
      <c r="Z51" s="56">
        <f t="shared" ca="1" si="11"/>
        <v>5</v>
      </c>
      <c r="AA51" s="56">
        <f t="shared" ca="1" si="12"/>
        <v>5</v>
      </c>
      <c r="AB51" s="56">
        <f ca="1">_xlfn.CEILING.MATH(INDIRECT(ADDRESS(7,22+MATCH($P$26,'I.A. + Fasce'!$W$6:$AA$6,0),1,1) &amp; ":" &amp; ADDRESS(79,22+MATCH($P$26,'I.A. + Fasce'!$W$6:$AA$6,0),1,1))/Asta!$H$3)</f>
        <v>1</v>
      </c>
      <c r="AC51" s="54" t="str">
        <f>'Mia rosa + Org. Finanza'!$B53</f>
        <v/>
      </c>
      <c r="AD51" s="56">
        <f>'Mia rosa + Org. Finanza'!AG51</f>
        <v>0</v>
      </c>
      <c r="AE51" s="56" t="str">
        <f ca="1">'Mia rosa + Org. Finanza'!AH51</f>
        <v/>
      </c>
      <c r="AF51" s="56" t="str">
        <f ca="1">'Mia rosa + Org. Finanza'!AI51</f>
        <v/>
      </c>
      <c r="AG51" s="56" t="str">
        <f ca="1">'Mia rosa + Org. Finanza'!AJ51</f>
        <v/>
      </c>
    </row>
    <row r="52" spans="1:33" ht="14.25" customHeight="1">
      <c r="A52" s="232" t="str">
        <f ca="1">IF(Giocatori!D42="","P",Giocatori!D42)</f>
        <v>P</v>
      </c>
      <c r="B52" s="232" t="str">
        <f ca="1">IF(Giocatori!E54="","ZZZ" &amp; ROW(),Giocatori!E54)</f>
        <v>ROSSI F</v>
      </c>
      <c r="C52" s="232" t="str">
        <f ca="1">IF(Giocatori!F54="","NDR" &amp; ROW(),Giocatori!F54)</f>
        <v>Atalanta</v>
      </c>
      <c r="D52" s="233">
        <f t="shared" ca="1" si="16"/>
        <v>5.0005199999999999</v>
      </c>
      <c r="E52" s="233">
        <f t="shared" ca="1" si="17"/>
        <v>30.000520000000002</v>
      </c>
      <c r="F52" s="234">
        <f t="shared" ca="1" si="18"/>
        <v>25.001300002253334</v>
      </c>
      <c r="G52" s="233" t="str">
        <f t="shared" ca="1" si="19"/>
        <v/>
      </c>
      <c r="H52" s="235">
        <f t="shared" ca="1" si="20"/>
        <v>10</v>
      </c>
      <c r="I52" s="233" t="str">
        <f t="shared" ca="1" si="21"/>
        <v/>
      </c>
      <c r="J52" s="233">
        <f t="shared" ca="1" si="22"/>
        <v>1.0005200000000001</v>
      </c>
      <c r="K52" s="233">
        <f t="shared" ca="1" si="23"/>
        <v>1.0005200000000001</v>
      </c>
      <c r="L52" s="324" t="e">
        <f ca="1">VLOOKUP(Tabella94[[#This Row],[Calciatore]],'Raccolta Aste'!$A$2:$E$33,4,FALSE)*Asta!$U$3/100</f>
        <v>#N/A</v>
      </c>
      <c r="N52" s="59">
        <f t="shared" si="27"/>
        <v>20</v>
      </c>
      <c r="O52" s="54" t="str">
        <f ca="1">IF(ISNUMBER(N52),INDIRECT("B" &amp; 6 + MATCH(N52,INDIRECT(ADDRESS(7,22+MATCH($P$26,'I.A. + Fasce'!$W$6:$AA$6,0),1,1) &amp; ":" &amp; ADDRESS(79,22+MATCH($P$26,'I.A. + Fasce'!$W$6:$AA$6,0),1,1)),0)),"")</f>
        <v>BELEC</v>
      </c>
      <c r="P52" s="54" t="str">
        <f t="shared" ca="1" si="29"/>
        <v>Benevento</v>
      </c>
      <c r="Q52" s="59">
        <f t="shared" si="28"/>
        <v>28</v>
      </c>
      <c r="R52" s="54" t="str">
        <f ca="1">IF(ISNUMBER(Q52),INDIRECT("B" &amp; 6 + MATCH(Q52,INDIRECT(ADDRESS(7,22+MATCH($P$26,'I.A. + Fasce'!$W$6:$AA$6,0),1,1) &amp; ":" &amp; ADDRESS(79,22+MATCH($P$26,'I.A. + Fasce'!$W$6:$AA$6,0),1,1)),0)),"")</f>
        <v>LAMANNA</v>
      </c>
      <c r="S52" s="54" t="str">
        <f t="shared" ca="1" si="30"/>
        <v>Genoa</v>
      </c>
      <c r="U52" s="311"/>
      <c r="V52" s="311"/>
      <c r="W52" s="56">
        <f t="shared" ca="1" si="24"/>
        <v>49</v>
      </c>
      <c r="X52" s="56">
        <f t="shared" ca="1" si="25"/>
        <v>43</v>
      </c>
      <c r="Y52" s="56">
        <f t="shared" ca="1" si="26"/>
        <v>47</v>
      </c>
      <c r="Z52" s="56">
        <f t="shared" ca="1" si="11"/>
        <v>30</v>
      </c>
      <c r="AA52" s="56">
        <f t="shared" ca="1" si="12"/>
        <v>29</v>
      </c>
      <c r="AB52" s="56">
        <f ca="1">_xlfn.CEILING.MATH(INDIRECT(ADDRESS(7,22+MATCH($P$26,'I.A. + Fasce'!$W$6:$AA$6,0),1,1) &amp; ":" &amp; ADDRESS(79,22+MATCH($P$26,'I.A. + Fasce'!$W$6:$AA$6,0),1,1))/Asta!$H$3)</f>
        <v>7</v>
      </c>
      <c r="AC52" s="54" t="str">
        <f>'Mia rosa + Org. Finanza'!$B54</f>
        <v/>
      </c>
      <c r="AD52" s="56">
        <f>'Mia rosa + Org. Finanza'!AG52</f>
        <v>0</v>
      </c>
      <c r="AE52" s="56" t="str">
        <f ca="1">'Mia rosa + Org. Finanza'!AH52</f>
        <v/>
      </c>
      <c r="AF52" s="56" t="str">
        <f ca="1">'Mia rosa + Org. Finanza'!AI52</f>
        <v/>
      </c>
      <c r="AG52" s="56" t="str">
        <f ca="1">'Mia rosa + Org. Finanza'!AJ52</f>
        <v/>
      </c>
    </row>
    <row r="53" spans="1:33" ht="14.25" customHeight="1">
      <c r="A53" s="232" t="str">
        <f ca="1">IF(Giocatori!D43="","P",Giocatori!D43)</f>
        <v>P</v>
      </c>
      <c r="B53" s="232" t="str">
        <f ca="1">IF(Giocatori!E55="","ZZZ" &amp; ROW(),Giocatori!E55)</f>
        <v>SANTURRO</v>
      </c>
      <c r="C53" s="232" t="str">
        <f ca="1">IF(Giocatori!F55="","NDR" &amp; ROW(),Giocatori!F55)</f>
        <v>Bologna</v>
      </c>
      <c r="D53" s="233">
        <f t="shared" ca="1" si="16"/>
        <v>5.0005300000000004</v>
      </c>
      <c r="E53" s="233">
        <f t="shared" ca="1" si="17"/>
        <v>32.000529999999998</v>
      </c>
      <c r="F53" s="234">
        <f t="shared" ca="1" si="18"/>
        <v>27.034676002340831</v>
      </c>
      <c r="G53" s="233" t="str">
        <f t="shared" ca="1" si="19"/>
        <v/>
      </c>
      <c r="H53" s="235">
        <f t="shared" ca="1" si="20"/>
        <v>30</v>
      </c>
      <c r="I53" s="233" t="str">
        <f t="shared" ca="1" si="21"/>
        <v/>
      </c>
      <c r="J53" s="233">
        <f t="shared" ca="1" si="22"/>
        <v>1.0005299999999999</v>
      </c>
      <c r="K53" s="233">
        <f t="shared" ca="1" si="23"/>
        <v>1.0005299999999999</v>
      </c>
      <c r="L53" s="324" t="e">
        <f ca="1">VLOOKUP(Tabella94[[#This Row],[Calciatore]],'Raccolta Aste'!$A$2:$E$33,4,FALSE)*Asta!$U$3/100</f>
        <v>#N/A</v>
      </c>
      <c r="N53" s="59">
        <f t="shared" si="27"/>
        <v>21</v>
      </c>
      <c r="O53" s="54" t="str">
        <f ca="1">IF(ISNUMBER(N53),INDIRECT("B" &amp; 6 + MATCH(N53,INDIRECT(ADDRESS(7,22+MATCH($P$26,'I.A. + Fasce'!$W$6:$AA$6,0),1,1) &amp; ":" &amp; ADDRESS(79,22+MATCH($P$26,'I.A. + Fasce'!$W$6:$AA$6,0),1,1)),0)),"")</f>
        <v>GOMIS A</v>
      </c>
      <c r="P53" s="54" t="str">
        <f t="shared" ca="1" si="29"/>
        <v>SPAL</v>
      </c>
      <c r="Q53" s="59">
        <f t="shared" si="28"/>
        <v>29</v>
      </c>
      <c r="R53" s="54" t="str">
        <f ca="1">IF(ISNUMBER(Q53),INDIRECT("B" &amp; 6 + MATCH(Q53,INDIRECT(ADDRESS(7,22+MATCH($P$26,'I.A. + Fasce'!$W$6:$AA$6,0),1,1) &amp; ":" &amp; ADDRESS(79,22+MATCH($P$26,'I.A. + Fasce'!$W$6:$AA$6,0),1,1)),0)),"")</f>
        <v>GOLLINI</v>
      </c>
      <c r="S53" s="54" t="str">
        <f t="shared" ca="1" si="30"/>
        <v>Atalanta</v>
      </c>
      <c r="U53" s="311"/>
      <c r="V53" s="311"/>
      <c r="W53" s="56">
        <f t="shared" ca="1" si="24"/>
        <v>48</v>
      </c>
      <c r="X53" s="56">
        <f t="shared" ca="1" si="25"/>
        <v>37</v>
      </c>
      <c r="Y53" s="56">
        <f t="shared" ca="1" si="26"/>
        <v>46</v>
      </c>
      <c r="Z53" s="56">
        <f t="shared" ca="1" si="11"/>
        <v>29</v>
      </c>
      <c r="AA53" s="56">
        <f t="shared" ca="1" si="12"/>
        <v>28</v>
      </c>
      <c r="AB53" s="56">
        <f ca="1">_xlfn.CEILING.MATH(INDIRECT(ADDRESS(7,22+MATCH($P$26,'I.A. + Fasce'!$W$6:$AA$6,0),1,1) &amp; ":" &amp; ADDRESS(79,22+MATCH($P$26,'I.A. + Fasce'!$W$6:$AA$6,0),1,1))/Asta!$H$3)</f>
        <v>6</v>
      </c>
      <c r="AC53" s="54" t="str">
        <f>'Mia rosa + Org. Finanza'!$B55</f>
        <v/>
      </c>
      <c r="AD53" s="56">
        <f>'Mia rosa + Org. Finanza'!AG53</f>
        <v>0</v>
      </c>
      <c r="AE53" s="56" t="str">
        <f ca="1">'Mia rosa + Org. Finanza'!AH53</f>
        <v/>
      </c>
      <c r="AF53" s="56" t="str">
        <f ca="1">'Mia rosa + Org. Finanza'!AI53</f>
        <v/>
      </c>
      <c r="AG53" s="56" t="str">
        <f ca="1">'Mia rosa + Org. Finanza'!AJ53</f>
        <v/>
      </c>
    </row>
    <row r="54" spans="1:33" ht="14.25" customHeight="1">
      <c r="A54" s="232" t="str">
        <f ca="1">IF(Giocatori!D44="","P",Giocatori!D44)</f>
        <v>P</v>
      </c>
      <c r="B54" s="232" t="str">
        <f ca="1">IF(Giocatori!E56="","ZZZ" &amp; ROW(),Giocatori!E56)</f>
        <v>SATALINO</v>
      </c>
      <c r="C54" s="232" t="str">
        <f ca="1">IF(Giocatori!F56="","NDR" &amp; ROW(),Giocatori!F56)</f>
        <v>Sassuolo</v>
      </c>
      <c r="D54" s="233">
        <f t="shared" ca="1" si="16"/>
        <v>5.00054</v>
      </c>
      <c r="E54" s="233">
        <f t="shared" ca="1" si="17"/>
        <v>29.000540000000001</v>
      </c>
      <c r="F54" s="234">
        <f t="shared" ca="1" si="18"/>
        <v>24.009674335763336</v>
      </c>
      <c r="G54" s="233" t="str">
        <f t="shared" ca="1" si="19"/>
        <v/>
      </c>
      <c r="H54" s="235">
        <f t="shared" ca="1" si="20"/>
        <v>10</v>
      </c>
      <c r="I54" s="233" t="str">
        <f t="shared" ca="1" si="21"/>
        <v/>
      </c>
      <c r="J54" s="233">
        <f t="shared" ca="1" si="22"/>
        <v>1.00054</v>
      </c>
      <c r="K54" s="233">
        <f t="shared" ca="1" si="23"/>
        <v>1.6316412138671579</v>
      </c>
      <c r="L54" s="324" t="e">
        <f ca="1">VLOOKUP(Tabella94[[#This Row],[Calciatore]],'Raccolta Aste'!$A$2:$E$33,4,FALSE)*Asta!$U$3/100</f>
        <v>#N/A</v>
      </c>
      <c r="N54" s="59">
        <f t="shared" si="27"/>
        <v>22</v>
      </c>
      <c r="O54" s="54" t="str">
        <f ca="1">IF(ISNUMBER(N54),INDIRECT("B" &amp; 6 + MATCH(N54,INDIRECT(ADDRESS(7,22+MATCH($P$26,'I.A. + Fasce'!$W$6:$AA$6,0),1,1) &amp; ":" &amp; ADDRESS(79,22+MATCH($P$26,'I.A. + Fasce'!$W$6:$AA$6,0),1,1)),0)),"")</f>
        <v>SZCZESNY</v>
      </c>
      <c r="P54" s="54" t="str">
        <f t="shared" ca="1" si="29"/>
        <v>Juventus</v>
      </c>
      <c r="Q54" s="59">
        <f t="shared" si="28"/>
        <v>30</v>
      </c>
      <c r="R54" s="54" t="str">
        <f ca="1">IF(ISNUMBER(Q54),INDIRECT("B" &amp; 6 + MATCH(Q54,INDIRECT(ADDRESS(7,22+MATCH($P$26,'I.A. + Fasce'!$W$6:$AA$6,0),1,1) &amp; ":" &amp; ADDRESS(79,22+MATCH($P$26,'I.A. + Fasce'!$W$6:$AA$6,0),1,1)),0)),"")</f>
        <v>BRIGNOLI</v>
      </c>
      <c r="S54" s="54" t="str">
        <f t="shared" ca="1" si="30"/>
        <v>Benevento</v>
      </c>
      <c r="U54" s="311"/>
      <c r="V54" s="311"/>
      <c r="W54" s="56">
        <f t="shared" ca="1" si="24"/>
        <v>47</v>
      </c>
      <c r="X54" s="56">
        <f t="shared" ca="1" si="25"/>
        <v>48</v>
      </c>
      <c r="Y54" s="56">
        <f t="shared" ca="1" si="26"/>
        <v>51</v>
      </c>
      <c r="Z54" s="56">
        <f t="shared" ca="1" si="11"/>
        <v>28</v>
      </c>
      <c r="AA54" s="56">
        <f t="shared" ca="1" si="12"/>
        <v>19</v>
      </c>
      <c r="AB54" s="56">
        <f ca="1">_xlfn.CEILING.MATH(INDIRECT(ADDRESS(7,22+MATCH($P$26,'I.A. + Fasce'!$W$6:$AA$6,0),1,1) &amp; ":" &amp; ADDRESS(79,22+MATCH($P$26,'I.A. + Fasce'!$W$6:$AA$6,0),1,1))/Asta!$H$3)</f>
        <v>6</v>
      </c>
      <c r="AC54" s="54" t="str">
        <f>'Mia rosa + Org. Finanza'!$B56</f>
        <v/>
      </c>
      <c r="AD54" s="56">
        <f>'Mia rosa + Org. Finanza'!AG54</f>
        <v>0</v>
      </c>
      <c r="AE54" s="56" t="str">
        <f ca="1">'Mia rosa + Org. Finanza'!AH54</f>
        <v/>
      </c>
      <c r="AF54" s="56" t="str">
        <f ca="1">'Mia rosa + Org. Finanza'!AI54</f>
        <v/>
      </c>
      <c r="AG54" s="56" t="str">
        <f ca="1">'Mia rosa + Org. Finanza'!AJ54</f>
        <v/>
      </c>
    </row>
    <row r="55" spans="1:33" ht="14.25" customHeight="1">
      <c r="A55" s="232" t="str">
        <f ca="1">IF(Giocatori!D45="","P",Giocatori!D45)</f>
        <v>P</v>
      </c>
      <c r="B55" s="232" t="str">
        <f ca="1">IF(Giocatori!E57="","ZZZ" &amp; ROW(),Giocatori!E57)</f>
        <v>SCUFFET</v>
      </c>
      <c r="C55" s="232" t="str">
        <f ca="1">IF(Giocatori!F57="","NDR" &amp; ROW(),Giocatori!F57)</f>
        <v>Udinese</v>
      </c>
      <c r="D55" s="233">
        <f t="shared" ca="1" si="16"/>
        <v>74.000550000000004</v>
      </c>
      <c r="E55" s="233">
        <f t="shared" ca="1" si="17"/>
        <v>41.000549999999997</v>
      </c>
      <c r="F55" s="234">
        <f t="shared" ca="1" si="18"/>
        <v>71.509809169187506</v>
      </c>
      <c r="G55" s="233" t="str">
        <f t="shared" ca="1" si="19"/>
        <v/>
      </c>
      <c r="H55" s="235">
        <f t="shared" ca="1" si="20"/>
        <v>90</v>
      </c>
      <c r="I55" s="233" t="str">
        <f t="shared" ca="1" si="21"/>
        <v/>
      </c>
      <c r="J55" s="233">
        <f t="shared" ca="1" si="22"/>
        <v>5.4168608258262418</v>
      </c>
      <c r="K55" s="233">
        <f t="shared" ca="1" si="23"/>
        <v>6.6073638524485885</v>
      </c>
      <c r="L55" s="324">
        <f ca="1">VLOOKUP(Tabella94[[#This Row],[Calciatore]],'Raccolta Aste'!$A$2:$E$33,4,FALSE)*Asta!$U$3/100</f>
        <v>9.9049999999999994</v>
      </c>
      <c r="N55" s="59">
        <f t="shared" si="27"/>
        <v>23</v>
      </c>
      <c r="O55" s="54" t="str">
        <f ca="1">IF(ISNUMBER(N55),INDIRECT("B" &amp; 6 + MATCH(N55,INDIRECT(ADDRESS(7,22+MATCH($P$26,'I.A. + Fasce'!$W$6:$AA$6,0),1,1) &amp; ":" &amp; ADDRESS(79,22+MATCH($P$26,'I.A. + Fasce'!$W$6:$AA$6,0),1,1)),0)),"")</f>
        <v>SKORUPSKI</v>
      </c>
      <c r="P55" s="54" t="str">
        <f t="shared" ca="1" si="29"/>
        <v>Roma</v>
      </c>
      <c r="Q55" s="59">
        <f t="shared" si="28"/>
        <v>31</v>
      </c>
      <c r="R55" s="54" t="str">
        <f ca="1">IF(ISNUMBER(Q55),INDIRECT("B" &amp; 6 + MATCH(Q55,INDIRECT(ADDRESS(7,22+MATCH($P$26,'I.A. + Fasce'!$W$6:$AA$6,0),1,1) &amp; ":" &amp; ADDRESS(79,22+MATCH($P$26,'I.A. + Fasce'!$W$6:$AA$6,0),1,1)),0)),"")</f>
        <v>STORARI</v>
      </c>
      <c r="S55" s="54" t="str">
        <f t="shared" ca="1" si="30"/>
        <v>Milan</v>
      </c>
      <c r="U55" s="311"/>
      <c r="V55" s="311"/>
      <c r="W55" s="56">
        <f t="shared" ca="1" si="24"/>
        <v>14</v>
      </c>
      <c r="X55" s="56">
        <f t="shared" ca="1" si="25"/>
        <v>18</v>
      </c>
      <c r="Y55" s="56">
        <f t="shared" ca="1" si="26"/>
        <v>15</v>
      </c>
      <c r="Z55" s="56">
        <f t="shared" ca="1" si="11"/>
        <v>15</v>
      </c>
      <c r="AA55" s="56">
        <f t="shared" ca="1" si="12"/>
        <v>14</v>
      </c>
      <c r="AB55" s="56">
        <f ca="1">_xlfn.CEILING.MATH(INDIRECT(ADDRESS(7,22+MATCH($P$26,'I.A. + Fasce'!$W$6:$AA$6,0),1,1) &amp; ":" &amp; ADDRESS(79,22+MATCH($P$26,'I.A. + Fasce'!$W$6:$AA$6,0),1,1))/Asta!$H$3)</f>
        <v>2</v>
      </c>
      <c r="AC55" s="54" t="str">
        <f>'Mia rosa + Org. Finanza'!$B57</f>
        <v/>
      </c>
      <c r="AD55" s="56">
        <f>'Mia rosa + Org. Finanza'!AG55</f>
        <v>0</v>
      </c>
      <c r="AE55" s="56" t="str">
        <f ca="1">'Mia rosa + Org. Finanza'!AH55</f>
        <v/>
      </c>
      <c r="AF55" s="56" t="str">
        <f ca="1">'Mia rosa + Org. Finanza'!AI55</f>
        <v/>
      </c>
      <c r="AG55" s="56" t="str">
        <f ca="1">'Mia rosa + Org. Finanza'!AJ55</f>
        <v/>
      </c>
    </row>
    <row r="56" spans="1:33" ht="14.25" customHeight="1">
      <c r="A56" s="232" t="str">
        <f ca="1">IF(Giocatori!D46="","P",Giocatori!D46)</f>
        <v>P</v>
      </c>
      <c r="B56" s="232" t="str">
        <f ca="1">IF(Giocatori!E58="","ZZZ" &amp; ROW(),Giocatori!E58)</f>
        <v>SECULIN</v>
      </c>
      <c r="C56" s="232" t="str">
        <f ca="1">IF(Giocatori!F58="","NDR" &amp; ROW(),Giocatori!F58)</f>
        <v>Chievo</v>
      </c>
      <c r="D56" s="233">
        <f t="shared" ca="1" si="16"/>
        <v>20.00056</v>
      </c>
      <c r="E56" s="233">
        <f t="shared" ca="1" si="17"/>
        <v>32.00056</v>
      </c>
      <c r="F56" s="234">
        <f t="shared" ca="1" si="18"/>
        <v>34.534752002613324</v>
      </c>
      <c r="G56" s="233" t="str">
        <f t="shared" ca="1" si="19"/>
        <v/>
      </c>
      <c r="H56" s="235">
        <f t="shared" ca="1" si="20"/>
        <v>40</v>
      </c>
      <c r="I56" s="233" t="str">
        <f t="shared" ca="1" si="21"/>
        <v/>
      </c>
      <c r="J56" s="233">
        <f t="shared" ca="1" si="22"/>
        <v>1.0005599999999999</v>
      </c>
      <c r="K56" s="233">
        <f t="shared" ca="1" si="23"/>
        <v>1.0005599999999999</v>
      </c>
      <c r="L56" s="324" t="e">
        <f ca="1">VLOOKUP(Tabella94[[#This Row],[Calciatore]],'Raccolta Aste'!$A$2:$E$33,4,FALSE)*Asta!$U$3/100</f>
        <v>#N/A</v>
      </c>
      <c r="N56" s="59">
        <f t="shared" si="27"/>
        <v>24</v>
      </c>
      <c r="O56" s="54" t="str">
        <f ca="1">IF(ISNUMBER(N56),INDIRECT("B" &amp; 6 + MATCH(N56,INDIRECT(ADDRESS(7,22+MATCH($P$26,'I.A. + Fasce'!$W$6:$AA$6,0),1,1) &amp; ":" &amp; ADDRESS(79,22+MATCH($P$26,'I.A. + Fasce'!$W$6:$AA$6,0),1,1)),0)),"")</f>
        <v>DA COSTA</v>
      </c>
      <c r="P56" s="54" t="str">
        <f t="shared" ca="1" si="29"/>
        <v>Bologna</v>
      </c>
      <c r="Q56" s="59">
        <f t="shared" si="28"/>
        <v>32</v>
      </c>
      <c r="R56" s="54" t="str">
        <f ca="1">IF(ISNUMBER(Q56),INDIRECT("B" &amp; 6 + MATCH(Q56,INDIRECT(ADDRESS(7,22+MATCH($P$26,'I.A. + Fasce'!$W$6:$AA$6,0),1,1) &amp; ":" &amp; ADDRESS(79,22+MATCH($P$26,'I.A. + Fasce'!$W$6:$AA$6,0),1,1)),0)),"")</f>
        <v>SILVESTRI</v>
      </c>
      <c r="S56" s="54" t="str">
        <f t="shared" ca="1" si="30"/>
        <v>Verona</v>
      </c>
      <c r="U56" s="311"/>
      <c r="V56" s="311"/>
      <c r="W56" s="56">
        <f t="shared" ca="1" si="24"/>
        <v>33</v>
      </c>
      <c r="X56" s="56">
        <f t="shared" ca="1" si="25"/>
        <v>36</v>
      </c>
      <c r="Y56" s="56">
        <f t="shared" ca="1" si="26"/>
        <v>33</v>
      </c>
      <c r="Z56" s="56">
        <f t="shared" ca="1" si="11"/>
        <v>27</v>
      </c>
      <c r="AA56" s="56">
        <f t="shared" ca="1" si="12"/>
        <v>27</v>
      </c>
      <c r="AB56" s="56">
        <f ca="1">_xlfn.CEILING.MATH(INDIRECT(ADDRESS(7,22+MATCH($P$26,'I.A. + Fasce'!$W$6:$AA$6,0),1,1) &amp; ":" &amp; ADDRESS(79,22+MATCH($P$26,'I.A. + Fasce'!$W$6:$AA$6,0),1,1))/Asta!$H$3)</f>
        <v>5</v>
      </c>
      <c r="AC56" s="54" t="str">
        <f>'Mia rosa + Org. Finanza'!$B58</f>
        <v/>
      </c>
      <c r="AD56" s="56">
        <f>'Mia rosa + Org. Finanza'!AG56</f>
        <v>0</v>
      </c>
      <c r="AE56" s="56" t="str">
        <f ca="1">'Mia rosa + Org. Finanza'!AH56</f>
        <v/>
      </c>
      <c r="AF56" s="56" t="str">
        <f ca="1">'Mia rosa + Org. Finanza'!AI56</f>
        <v/>
      </c>
      <c r="AG56" s="56" t="str">
        <f ca="1">'Mia rosa + Org. Finanza'!AJ56</f>
        <v/>
      </c>
    </row>
    <row r="57" spans="1:33" ht="14.25" customHeight="1">
      <c r="A57" s="232" t="str">
        <f ca="1">IF(Giocatori!D47="","P",Giocatori!D47)</f>
        <v>P</v>
      </c>
      <c r="B57" s="232" t="str">
        <f ca="1">IF(Giocatori!E59="","ZZZ" &amp; ROW(),Giocatori!E59)</f>
        <v>SEPE</v>
      </c>
      <c r="C57" s="232" t="str">
        <f ca="1">IF(Giocatori!F59="","NDR" &amp; ROW(),Giocatori!F59)</f>
        <v>Napoli</v>
      </c>
      <c r="D57" s="233">
        <f t="shared" ca="1" si="16"/>
        <v>5.0005699999999997</v>
      </c>
      <c r="E57" s="233">
        <f t="shared" ca="1" si="17"/>
        <v>33.000570000000003</v>
      </c>
      <c r="F57" s="234">
        <f t="shared" ca="1" si="18"/>
        <v>28.076453502707501</v>
      </c>
      <c r="G57" s="233" t="str">
        <f t="shared" ca="1" si="19"/>
        <v/>
      </c>
      <c r="H57" s="235">
        <f t="shared" ca="1" si="20"/>
        <v>50</v>
      </c>
      <c r="I57" s="233" t="str">
        <f t="shared" ca="1" si="21"/>
        <v/>
      </c>
      <c r="J57" s="233">
        <f t="shared" ca="1" si="22"/>
        <v>1.00057</v>
      </c>
      <c r="K57" s="233">
        <f t="shared" ca="1" si="23"/>
        <v>1.00057</v>
      </c>
      <c r="L57" s="324">
        <f ca="1">VLOOKUP(Tabella94[[#This Row],[Calciatore]],'Raccolta Aste'!$A$2:$E$33,4,FALSE)*Asta!$U$3/100</f>
        <v>0</v>
      </c>
      <c r="N57" s="59" t="str">
        <f t="shared" si="27"/>
        <v/>
      </c>
      <c r="O57" s="54" t="str">
        <f ca="1">IF(ISNUMBER(N57),INDIRECT("B" &amp; 6 + MATCH(N57,INDIRECT(ADDRESS(7,22+MATCH($P$26,'I.A. + Fasce'!$W$6:$AA$6,0),1,1) &amp; ":" &amp; ADDRESS(79,22+MATCH($P$26,'I.A. + Fasce'!$W$6:$AA$6,0),1,1)),0)),"")</f>
        <v/>
      </c>
      <c r="P57" s="54" t="str">
        <f t="shared" ca="1" si="29"/>
        <v/>
      </c>
      <c r="Q57" s="59" t="str">
        <f t="shared" si="28"/>
        <v/>
      </c>
      <c r="R57" s="54" t="str">
        <f ca="1">IF(ISNUMBER(Q57),INDIRECT("B" &amp; 6 + MATCH(Q57,INDIRECT(ADDRESS(7,22+MATCH($P$26,'I.A. + Fasce'!$W$6:$AA$6,0),1,1) &amp; ":" &amp; ADDRESS(79,22+MATCH($P$26,'I.A. + Fasce'!$W$6:$AA$6,0),1,1)),0)),"")</f>
        <v/>
      </c>
      <c r="S57" s="54" t="str">
        <f t="shared" ca="1" si="30"/>
        <v/>
      </c>
      <c r="U57" s="311"/>
      <c r="V57" s="311"/>
      <c r="W57" s="56">
        <f t="shared" ca="1" si="24"/>
        <v>46</v>
      </c>
      <c r="X57" s="56">
        <f t="shared" ca="1" si="25"/>
        <v>31</v>
      </c>
      <c r="Y57" s="56">
        <f t="shared" ca="1" si="26"/>
        <v>42</v>
      </c>
      <c r="Z57" s="56">
        <f t="shared" ca="1" si="11"/>
        <v>26</v>
      </c>
      <c r="AA57" s="56">
        <f t="shared" ca="1" si="12"/>
        <v>26</v>
      </c>
      <c r="AB57" s="56">
        <f ca="1">_xlfn.CEILING.MATH(INDIRECT(ADDRESS(7,22+MATCH($P$26,'I.A. + Fasce'!$W$6:$AA$6,0),1,1) &amp; ":" &amp; ADDRESS(79,22+MATCH($P$26,'I.A. + Fasce'!$W$6:$AA$6,0),1,1))/Asta!$H$3)</f>
        <v>6</v>
      </c>
      <c r="AC57" s="54" t="str">
        <f>'Mia rosa + Org. Finanza'!$B59</f>
        <v/>
      </c>
      <c r="AD57" s="56">
        <f>'Mia rosa + Org. Finanza'!AG57</f>
        <v>0</v>
      </c>
      <c r="AE57" s="56" t="str">
        <f ca="1">'Mia rosa + Org. Finanza'!AH57</f>
        <v/>
      </c>
      <c r="AF57" s="56" t="str">
        <f ca="1">'Mia rosa + Org. Finanza'!AI57</f>
        <v/>
      </c>
      <c r="AG57" s="56" t="str">
        <f ca="1">'Mia rosa + Org. Finanza'!AJ57</f>
        <v/>
      </c>
    </row>
    <row r="58" spans="1:33" ht="14.25" customHeight="1">
      <c r="A58" s="232" t="str">
        <f ca="1">IF(Giocatori!D48="","P",Giocatori!D48)</f>
        <v>P</v>
      </c>
      <c r="B58" s="232" t="str">
        <f ca="1">IF(Giocatori!E60="","ZZZ" &amp; ROW(),Giocatori!E60)</f>
        <v>SILVESTRI</v>
      </c>
      <c r="C58" s="232" t="str">
        <f ca="1">IF(Giocatori!F60="","NDR" &amp; ROW(),Giocatori!F60)</f>
        <v>Verona</v>
      </c>
      <c r="D58" s="233">
        <f t="shared" ca="1" si="16"/>
        <v>20.000579999999999</v>
      </c>
      <c r="E58" s="233">
        <f t="shared" ca="1" si="17"/>
        <v>34.000579999999999</v>
      </c>
      <c r="F58" s="234">
        <f t="shared" ca="1" si="18"/>
        <v>36.634822002803332</v>
      </c>
      <c r="G58" s="233" t="str">
        <f t="shared" ca="1" si="19"/>
        <v/>
      </c>
      <c r="H58" s="235">
        <f t="shared" ca="1" si="20"/>
        <v>60</v>
      </c>
      <c r="I58" s="233" t="str">
        <f t="shared" ca="1" si="21"/>
        <v/>
      </c>
      <c r="J58" s="233">
        <f t="shared" ca="1" si="22"/>
        <v>1.00058</v>
      </c>
      <c r="K58" s="233">
        <f t="shared" ca="1" si="23"/>
        <v>1.00058</v>
      </c>
      <c r="L58" s="324" t="e">
        <f ca="1">VLOOKUP(Tabella94[[#This Row],[Calciatore]],'Raccolta Aste'!$A$2:$E$33,4,FALSE)*Asta!$U$3/100</f>
        <v>#N/A</v>
      </c>
      <c r="N58" s="59" t="str">
        <f t="shared" si="27"/>
        <v/>
      </c>
      <c r="O58" s="54" t="str">
        <f ca="1">IF(ISNUMBER(N58),INDIRECT("B" &amp; 6 + MATCH(N58,INDIRECT(ADDRESS(7,22+MATCH($P$26,'I.A. + Fasce'!$W$6:$AA$6,0),1,1) &amp; ":" &amp; ADDRESS(79,22+MATCH($P$26,'I.A. + Fasce'!$W$6:$AA$6,0),1,1)),0)),"")</f>
        <v/>
      </c>
      <c r="P58" s="54" t="str">
        <f t="shared" ca="1" si="29"/>
        <v/>
      </c>
      <c r="Q58" s="59" t="str">
        <f t="shared" si="28"/>
        <v/>
      </c>
      <c r="R58" s="54" t="str">
        <f ca="1">IF(ISNUMBER(Q58),INDIRECT("B" &amp; 6 + MATCH(Q58,INDIRECT(ADDRESS(7,22+MATCH($P$26,'I.A. + Fasce'!$W$6:$AA$6,0),1,1) &amp; ":" &amp; ADDRESS(79,22+MATCH($P$26,'I.A. + Fasce'!$W$6:$AA$6,0),1,1)),0)),"")</f>
        <v/>
      </c>
      <c r="S58" s="54" t="str">
        <f t="shared" ca="1" si="30"/>
        <v/>
      </c>
      <c r="U58" s="311"/>
      <c r="V58" s="311"/>
      <c r="W58" s="56">
        <f t="shared" ca="1" si="24"/>
        <v>32</v>
      </c>
      <c r="X58" s="56">
        <f t="shared" ca="1" si="25"/>
        <v>28</v>
      </c>
      <c r="Y58" s="56">
        <f t="shared" ca="1" si="26"/>
        <v>31</v>
      </c>
      <c r="Z58" s="56">
        <f t="shared" ca="1" si="11"/>
        <v>25</v>
      </c>
      <c r="AA58" s="56">
        <f t="shared" ca="1" si="12"/>
        <v>25</v>
      </c>
      <c r="AB58" s="56">
        <f ca="1">_xlfn.CEILING.MATH(INDIRECT(ADDRESS(7,22+MATCH($P$26,'I.A. + Fasce'!$W$6:$AA$6,0),1,1) &amp; ":" &amp; ADDRESS(79,22+MATCH($P$26,'I.A. + Fasce'!$W$6:$AA$6,0),1,1))/Asta!$H$3)</f>
        <v>4</v>
      </c>
      <c r="AD58" s="56">
        <f>'Mia rosa + Org. Finanza'!AG58</f>
        <v>0</v>
      </c>
      <c r="AE58" s="56" t="str">
        <f ca="1">'Mia rosa + Org. Finanza'!AH58</f>
        <v/>
      </c>
      <c r="AF58" s="56" t="str">
        <f ca="1">'Mia rosa + Org. Finanza'!AI58</f>
        <v/>
      </c>
      <c r="AG58" s="56" t="str">
        <f ca="1">'Mia rosa + Org. Finanza'!AJ58</f>
        <v/>
      </c>
    </row>
    <row r="59" spans="1:33" ht="14.25" customHeight="1">
      <c r="A59" s="232" t="str">
        <f ca="1">IF(Giocatori!D49="","P",Giocatori!D49)</f>
        <v>P</v>
      </c>
      <c r="B59" s="232" t="str">
        <f ca="1">IF(Giocatori!E61="","ZZZ" &amp; ROW(),Giocatori!E61)</f>
        <v>SIRIGU</v>
      </c>
      <c r="C59" s="232" t="str">
        <f ca="1">IF(Giocatori!F61="","NDR" &amp; ROW(),Giocatori!F61)</f>
        <v>Torino</v>
      </c>
      <c r="D59" s="233">
        <f t="shared" ca="1" si="16"/>
        <v>80.000590000000003</v>
      </c>
      <c r="E59" s="233">
        <f t="shared" ca="1" si="17"/>
        <v>41.000590000000003</v>
      </c>
      <c r="F59" s="234">
        <f t="shared" ca="1" si="18"/>
        <v>74.509916502900836</v>
      </c>
      <c r="G59" s="233" t="str">
        <f t="shared" ca="1" si="19"/>
        <v/>
      </c>
      <c r="H59" s="235">
        <f t="shared" ca="1" si="20"/>
        <v>90</v>
      </c>
      <c r="I59" s="233" t="str">
        <f t="shared" ca="1" si="21"/>
        <v/>
      </c>
      <c r="J59" s="233">
        <f t="shared" ca="1" si="22"/>
        <v>3.8208972628263433</v>
      </c>
      <c r="K59" s="233">
        <f t="shared" ca="1" si="23"/>
        <v>4.3201811072942151</v>
      </c>
      <c r="L59" s="324">
        <f ca="1">VLOOKUP(Tabella94[[#This Row],[Calciatore]],'Raccolta Aste'!$A$2:$E$33,4,FALSE)*Asta!$U$3/100</f>
        <v>17.78</v>
      </c>
      <c r="N59" s="59" t="str">
        <f t="shared" si="27"/>
        <v/>
      </c>
      <c r="O59" s="54" t="str">
        <f ca="1">IF(ISNUMBER(N59),INDIRECT("B" &amp; 6 + MATCH(N59,INDIRECT(ADDRESS(7,22+MATCH($P$26,'I.A. + Fasce'!$W$6:$AA$6,0),1,1) &amp; ":" &amp; ADDRESS(79,22+MATCH($P$26,'I.A. + Fasce'!$W$6:$AA$6,0),1,1)),0)),"")</f>
        <v/>
      </c>
      <c r="P59" s="54" t="str">
        <f t="shared" ca="1" si="29"/>
        <v/>
      </c>
      <c r="Q59" s="59" t="str">
        <f t="shared" si="28"/>
        <v/>
      </c>
      <c r="R59" s="54" t="str">
        <f ca="1">IF(ISNUMBER(Q59),INDIRECT("B" &amp; 6 + MATCH(Q59,INDIRECT(ADDRESS(7,22+MATCH($P$26,'I.A. + Fasce'!$W$6:$AA$6,0),1,1) &amp; ":" &amp; ADDRESS(79,22+MATCH($P$26,'I.A. + Fasce'!$W$6:$AA$6,0),1,1)),0)),"")</f>
        <v/>
      </c>
      <c r="S59" s="54" t="str">
        <f t="shared" ca="1" si="30"/>
        <v/>
      </c>
      <c r="U59" s="311"/>
      <c r="V59" s="311"/>
      <c r="W59" s="56">
        <f t="shared" ca="1" si="24"/>
        <v>10</v>
      </c>
      <c r="X59" s="56">
        <f t="shared" ca="1" si="25"/>
        <v>17</v>
      </c>
      <c r="Y59" s="56">
        <f t="shared" ca="1" si="26"/>
        <v>12</v>
      </c>
      <c r="Z59" s="56">
        <f t="shared" ca="1" si="11"/>
        <v>18</v>
      </c>
      <c r="AA59" s="56">
        <f t="shared" ca="1" si="12"/>
        <v>17</v>
      </c>
      <c r="AB59" s="56">
        <f ca="1">_xlfn.CEILING.MATH(INDIRECT(ADDRESS(7,22+MATCH($P$26,'I.A. + Fasce'!$W$6:$AA$6,0),1,1) &amp; ":" &amp; ADDRESS(79,22+MATCH($P$26,'I.A. + Fasce'!$W$6:$AA$6,0),1,1))/Asta!$H$3)</f>
        <v>2</v>
      </c>
      <c r="AD59" s="56">
        <f>'Mia rosa + Org. Finanza'!AG59</f>
        <v>0</v>
      </c>
      <c r="AE59" s="56" t="str">
        <f ca="1">'Mia rosa + Org. Finanza'!AH59</f>
        <v/>
      </c>
      <c r="AF59" s="56" t="str">
        <f ca="1">'Mia rosa + Org. Finanza'!AI59</f>
        <v/>
      </c>
      <c r="AG59" s="56" t="str">
        <f ca="1">'Mia rosa + Org. Finanza'!AJ59</f>
        <v/>
      </c>
    </row>
    <row r="60" spans="1:33" ht="14.25" customHeight="1">
      <c r="A60" s="232" t="str">
        <f ca="1">IF(Giocatori!D50="","P",Giocatori!D50)</f>
        <v>P</v>
      </c>
      <c r="B60" s="232" t="str">
        <f ca="1">IF(Giocatori!E62="","ZZZ" &amp; ROW(),Giocatori!E62)</f>
        <v>SKORUPSKI</v>
      </c>
      <c r="C60" s="232" t="str">
        <f ca="1">IF(Giocatori!F62="","NDR" &amp; ROW(),Giocatori!F62)</f>
        <v>Roma</v>
      </c>
      <c r="D60" s="233">
        <f t="shared" ca="1" si="16"/>
        <v>35.000599999999999</v>
      </c>
      <c r="E60" s="233">
        <f t="shared" ca="1" si="17"/>
        <v>39.000599999999999</v>
      </c>
      <c r="F60" s="234">
        <f t="shared" ca="1" si="18"/>
        <v>49.676590002999994</v>
      </c>
      <c r="G60" s="233" t="str">
        <f t="shared" ca="1" si="19"/>
        <v/>
      </c>
      <c r="H60" s="235">
        <f t="shared" ca="1" si="20"/>
        <v>30</v>
      </c>
      <c r="I60" s="233" t="str">
        <f t="shared" ca="1" si="21"/>
        <v/>
      </c>
      <c r="J60" s="233">
        <f t="shared" ca="1" si="22"/>
        <v>5.326825699514222</v>
      </c>
      <c r="K60" s="233">
        <f t="shared" ca="1" si="23"/>
        <v>5.6486009248093847</v>
      </c>
      <c r="L60" s="324">
        <f ca="1">VLOOKUP(Tabella94[[#This Row],[Calciatore]],'Raccolta Aste'!$A$2:$E$33,4,FALSE)*Asta!$U$3/100</f>
        <v>0</v>
      </c>
      <c r="N60" s="59" t="str">
        <f t="shared" si="27"/>
        <v/>
      </c>
      <c r="O60" s="54" t="str">
        <f ca="1">IF(ISNUMBER(N60),INDIRECT("B" &amp; 6 + MATCH(N60,INDIRECT(ADDRESS(7,22+MATCH($P$26,'I.A. + Fasce'!$W$6:$AA$6,0),1,1) &amp; ":" &amp; ADDRESS(79,22+MATCH($P$26,'I.A. + Fasce'!$W$6:$AA$6,0),1,1)),0)),"")</f>
        <v/>
      </c>
      <c r="P60" s="54" t="str">
        <f t="shared" ca="1" si="29"/>
        <v/>
      </c>
      <c r="Q60" s="59" t="str">
        <f t="shared" si="28"/>
        <v/>
      </c>
      <c r="R60" s="54" t="str">
        <f ca="1">IF(ISNUMBER(Q60),INDIRECT("B" &amp; 6 + MATCH(Q60,INDIRECT(ADDRESS(7,22+MATCH($P$26,'I.A. + Fasce'!$W$6:$AA$6,0),1,1) &amp; ":" &amp; ADDRESS(79,22+MATCH($P$26,'I.A. + Fasce'!$W$6:$AA$6,0),1,1)),0)),"")</f>
        <v/>
      </c>
      <c r="S60" s="54" t="str">
        <f t="shared" ca="1" si="30"/>
        <v/>
      </c>
      <c r="U60" s="311"/>
      <c r="V60" s="311"/>
      <c r="W60" s="56">
        <f t="shared" ca="1" si="24"/>
        <v>23</v>
      </c>
      <c r="X60" s="56">
        <f t="shared" ca="1" si="25"/>
        <v>19</v>
      </c>
      <c r="Y60" s="56">
        <f t="shared" ca="1" si="26"/>
        <v>22</v>
      </c>
      <c r="Z60" s="56">
        <f t="shared" ca="1" si="11"/>
        <v>16</v>
      </c>
      <c r="AA60" s="56">
        <f t="shared" ca="1" si="12"/>
        <v>16</v>
      </c>
      <c r="AB60" s="56">
        <f ca="1">_xlfn.CEILING.MATH(INDIRECT(ADDRESS(7,22+MATCH($P$26,'I.A. + Fasce'!$W$6:$AA$6,0),1,1) &amp; ":" &amp; ADDRESS(79,22+MATCH($P$26,'I.A. + Fasce'!$W$6:$AA$6,0),1,1))/Asta!$H$3)</f>
        <v>3</v>
      </c>
      <c r="AD60" s="56">
        <f>'Mia rosa + Org. Finanza'!AG60</f>
        <v>0</v>
      </c>
      <c r="AE60" s="56" t="str">
        <f ca="1">'Mia rosa + Org. Finanza'!AH60</f>
        <v/>
      </c>
      <c r="AF60" s="56" t="str">
        <f ca="1">'Mia rosa + Org. Finanza'!AI60</f>
        <v/>
      </c>
      <c r="AG60" s="56" t="str">
        <f ca="1">'Mia rosa + Org. Finanza'!AJ60</f>
        <v/>
      </c>
    </row>
    <row r="61" spans="1:33" ht="14.25" customHeight="1">
      <c r="A61" s="232" t="str">
        <f ca="1">IF(Giocatori!D51="","P",Giocatori!D51)</f>
        <v>P</v>
      </c>
      <c r="B61" s="232" t="str">
        <f ca="1">IF(Giocatori!E63="","ZZZ" &amp; ROW(),Giocatori!E63)</f>
        <v>SORRENTINO</v>
      </c>
      <c r="C61" s="232" t="str">
        <f ca="1">IF(Giocatori!F63="","NDR" &amp; ROW(),Giocatori!F63)</f>
        <v>Chievo</v>
      </c>
      <c r="D61" s="233">
        <f t="shared" ca="1" si="16"/>
        <v>77.000609999999995</v>
      </c>
      <c r="E61" s="233">
        <f t="shared" ca="1" si="17"/>
        <v>41.000610000000002</v>
      </c>
      <c r="F61" s="234">
        <f t="shared" ca="1" si="18"/>
        <v>73.009970169767499</v>
      </c>
      <c r="G61" s="233" t="str">
        <f t="shared" ca="1" si="19"/>
        <v/>
      </c>
      <c r="H61" s="235">
        <f t="shared" ca="1" si="20"/>
        <v>80</v>
      </c>
      <c r="I61" s="233" t="str">
        <f t="shared" ca="1" si="21"/>
        <v/>
      </c>
      <c r="J61" s="233">
        <f t="shared" ca="1" si="22"/>
        <v>7.0684814748799276</v>
      </c>
      <c r="K61" s="233">
        <f t="shared" ca="1" si="23"/>
        <v>4.2814838018720369</v>
      </c>
      <c r="L61" s="324">
        <f ca="1">VLOOKUP(Tabella94[[#This Row],[Calciatore]],'Raccolta Aste'!$A$2:$E$33,4,FALSE)*Asta!$U$3/100</f>
        <v>12.46</v>
      </c>
      <c r="U61" s="311"/>
      <c r="V61" s="311"/>
      <c r="W61" s="56">
        <f t="shared" ca="1" si="24"/>
        <v>13</v>
      </c>
      <c r="X61" s="56">
        <f t="shared" ca="1" si="25"/>
        <v>16</v>
      </c>
      <c r="Y61" s="56">
        <f t="shared" ca="1" si="26"/>
        <v>14</v>
      </c>
      <c r="Z61" s="56">
        <f t="shared" ca="1" si="11"/>
        <v>13</v>
      </c>
      <c r="AA61" s="56">
        <f t="shared" ca="1" si="12"/>
        <v>18</v>
      </c>
      <c r="AB61" s="56">
        <f ca="1">_xlfn.CEILING.MATH(INDIRECT(ADDRESS(7,22+MATCH($P$26,'I.A. + Fasce'!$W$6:$AA$6,0),1,1) &amp; ":" &amp; ADDRESS(79,22+MATCH($P$26,'I.A. + Fasce'!$W$6:$AA$6,0),1,1))/Asta!$H$3)</f>
        <v>2</v>
      </c>
      <c r="AD61" s="56">
        <f>'Mia rosa + Org. Finanza'!AG61</f>
        <v>0</v>
      </c>
      <c r="AE61" s="56" t="str">
        <f ca="1">'Mia rosa + Org. Finanza'!AH61</f>
        <v/>
      </c>
      <c r="AF61" s="56" t="str">
        <f ca="1">'Mia rosa + Org. Finanza'!AI61</f>
        <v/>
      </c>
      <c r="AG61" s="56" t="str">
        <f ca="1">'Mia rosa + Org. Finanza'!AJ61</f>
        <v/>
      </c>
    </row>
    <row r="62" spans="1:33" ht="14.25" customHeight="1">
      <c r="A62" s="232" t="str">
        <f ca="1">IF(Giocatori!D52="","P",Giocatori!D52)</f>
        <v>P</v>
      </c>
      <c r="B62" s="232" t="str">
        <f ca="1">IF(Giocatori!E64="","ZZZ" &amp; ROW(),Giocatori!E64)</f>
        <v>SPORTIELLO</v>
      </c>
      <c r="C62" s="232" t="str">
        <f ca="1">IF(Giocatori!F64="","NDR" &amp; ROW(),Giocatori!F64)</f>
        <v>Fiorentina</v>
      </c>
      <c r="D62" s="233">
        <f t="shared" ca="1" si="16"/>
        <v>78.000619999999998</v>
      </c>
      <c r="E62" s="233">
        <f t="shared" ca="1" si="17"/>
        <v>45.000619999999998</v>
      </c>
      <c r="F62" s="234">
        <f t="shared" ca="1" si="18"/>
        <v>78.376705003203327</v>
      </c>
      <c r="G62" s="233" t="str">
        <f t="shared" ca="1" si="19"/>
        <v>SORPRESA</v>
      </c>
      <c r="H62" s="235">
        <f t="shared" ca="1" si="20"/>
        <v>90</v>
      </c>
      <c r="I62" s="233" t="str">
        <f t="shared" ca="1" si="21"/>
        <v/>
      </c>
      <c r="J62" s="233">
        <f t="shared" ca="1" si="22"/>
        <v>9.6939999829196317</v>
      </c>
      <c r="K62" s="233">
        <f t="shared" ca="1" si="23"/>
        <v>9.6225751021141548</v>
      </c>
      <c r="L62" s="324">
        <f ca="1">VLOOKUP(Tabella94[[#This Row],[Calciatore]],'Raccolta Aste'!$A$2:$E$33,4,FALSE)*Asta!$U$3/100</f>
        <v>14.244999999999999</v>
      </c>
      <c r="U62" s="311"/>
      <c r="V62" s="311"/>
      <c r="W62" s="56">
        <f t="shared" ca="1" si="24"/>
        <v>11</v>
      </c>
      <c r="X62" s="56">
        <f t="shared" ca="1" si="25"/>
        <v>8</v>
      </c>
      <c r="Y62" s="56">
        <f t="shared" ca="1" si="26"/>
        <v>9</v>
      </c>
      <c r="Z62" s="56">
        <f t="shared" ca="1" si="11"/>
        <v>8</v>
      </c>
      <c r="AA62" s="56">
        <f t="shared" ca="1" si="12"/>
        <v>8</v>
      </c>
      <c r="AB62" s="56">
        <f ca="1">_xlfn.CEILING.MATH(INDIRECT(ADDRESS(7,22+MATCH($P$26,'I.A. + Fasce'!$W$6:$AA$6,0),1,1) &amp; ":" &amp; ADDRESS(79,22+MATCH($P$26,'I.A. + Fasce'!$W$6:$AA$6,0),1,1))/Asta!$H$3)</f>
        <v>2</v>
      </c>
      <c r="AD62" s="56">
        <f>'Mia rosa + Org. Finanza'!AG62</f>
        <v>0</v>
      </c>
      <c r="AE62" s="56" t="str">
        <f ca="1">'Mia rosa + Org. Finanza'!AH62</f>
        <v/>
      </c>
      <c r="AF62" s="56" t="str">
        <f ca="1">'Mia rosa + Org. Finanza'!AI62</f>
        <v/>
      </c>
      <c r="AG62" s="56" t="str">
        <f ca="1">'Mia rosa + Org. Finanza'!AJ62</f>
        <v/>
      </c>
    </row>
    <row r="63" spans="1:33" ht="14.25" customHeight="1">
      <c r="A63" s="232" t="str">
        <f ca="1">IF(Giocatori!D53="","P",Giocatori!D53)</f>
        <v>P</v>
      </c>
      <c r="B63" s="232" t="str">
        <f ca="1">IF(Giocatori!E65="","ZZZ" &amp; ROW(),Giocatori!E65)</f>
        <v>STORARI</v>
      </c>
      <c r="C63" s="232" t="str">
        <f ca="1">IF(Giocatori!F65="","NDR" &amp; ROW(),Giocatori!F65)</f>
        <v>Milan</v>
      </c>
      <c r="D63" s="233">
        <f t="shared" ca="1" si="16"/>
        <v>20.000630000000001</v>
      </c>
      <c r="E63" s="233">
        <f t="shared" ca="1" si="17"/>
        <v>29.000630000000001</v>
      </c>
      <c r="F63" s="234">
        <f t="shared" ca="1" si="18"/>
        <v>31.509897836640835</v>
      </c>
      <c r="G63" s="233" t="str">
        <f t="shared" ca="1" si="19"/>
        <v/>
      </c>
      <c r="H63" s="235">
        <f t="shared" ca="1" si="20"/>
        <v>20</v>
      </c>
      <c r="I63" s="233" t="str">
        <f t="shared" ca="1" si="21"/>
        <v/>
      </c>
      <c r="J63" s="233">
        <f t="shared" ca="1" si="22"/>
        <v>1.0006299999999999</v>
      </c>
      <c r="K63" s="233">
        <f t="shared" ca="1" si="23"/>
        <v>1.0006299999999999</v>
      </c>
      <c r="L63" s="324" t="e">
        <f ca="1">VLOOKUP(Tabella94[[#This Row],[Calciatore]],'Raccolta Aste'!$A$2:$E$33,4,FALSE)*Asta!$U$3/100</f>
        <v>#N/A</v>
      </c>
      <c r="U63" s="311"/>
      <c r="V63" s="311"/>
      <c r="W63" s="56">
        <f t="shared" ca="1" si="24"/>
        <v>31</v>
      </c>
      <c r="X63" s="56">
        <f t="shared" ca="1" si="25"/>
        <v>47</v>
      </c>
      <c r="Y63" s="56">
        <f t="shared" ca="1" si="26"/>
        <v>39</v>
      </c>
      <c r="Z63" s="56">
        <f t="shared" ca="1" si="11"/>
        <v>24</v>
      </c>
      <c r="AA63" s="56">
        <f t="shared" ca="1" si="12"/>
        <v>24</v>
      </c>
      <c r="AB63" s="56">
        <f ca="1">_xlfn.CEILING.MATH(INDIRECT(ADDRESS(7,22+MATCH($P$26,'I.A. + Fasce'!$W$6:$AA$6,0),1,1) &amp; ":" &amp; ADDRESS(79,22+MATCH($P$26,'I.A. + Fasce'!$W$6:$AA$6,0),1,1))/Asta!$H$3)</f>
        <v>4</v>
      </c>
      <c r="AD63" s="56">
        <f>'Mia rosa + Org. Finanza'!AG63</f>
        <v>0</v>
      </c>
      <c r="AE63" s="56" t="str">
        <f ca="1">'Mia rosa + Org. Finanza'!AH63</f>
        <v/>
      </c>
      <c r="AF63" s="56" t="str">
        <f ca="1">'Mia rosa + Org. Finanza'!AI63</f>
        <v/>
      </c>
      <c r="AG63" s="56" t="str">
        <f ca="1">'Mia rosa + Org. Finanza'!AJ63</f>
        <v/>
      </c>
    </row>
    <row r="64" spans="1:33" ht="14.25" customHeight="1">
      <c r="A64" s="232" t="str">
        <f ca="1">IF(Giocatori!D54="","P",Giocatori!D54)</f>
        <v>P</v>
      </c>
      <c r="B64" s="232" t="str">
        <f ca="1">IF(Giocatori!E66="","ZZZ" &amp; ROW(),Giocatori!E66)</f>
        <v>STRAKOSHA</v>
      </c>
      <c r="C64" s="232" t="str">
        <f ca="1">IF(Giocatori!F66="","NDR" &amp; ROW(),Giocatori!F66)</f>
        <v>Lazio</v>
      </c>
      <c r="D64" s="233">
        <f t="shared" ca="1" si="16"/>
        <v>82.000640000000004</v>
      </c>
      <c r="E64" s="233">
        <f t="shared" ca="1" si="17"/>
        <v>45.000639999999997</v>
      </c>
      <c r="F64" s="234">
        <f t="shared" ca="1" si="18"/>
        <v>80.376760003413338</v>
      </c>
      <c r="G64" s="233" t="str">
        <f t="shared" ca="1" si="19"/>
        <v/>
      </c>
      <c r="H64" s="235">
        <f t="shared" ca="1" si="20"/>
        <v>90</v>
      </c>
      <c r="I64" s="233" t="str">
        <f t="shared" ca="1" si="21"/>
        <v/>
      </c>
      <c r="J64" s="233">
        <f t="shared" ca="1" si="22"/>
        <v>10.294587491666441</v>
      </c>
      <c r="K64" s="233">
        <f t="shared" ca="1" si="23"/>
        <v>10.164803190895864</v>
      </c>
      <c r="L64" s="324">
        <f ca="1">VLOOKUP(Tabella94[[#This Row],[Calciatore]],'Raccolta Aste'!$A$2:$E$33,4,FALSE)*Asta!$U$3/100</f>
        <v>20.23</v>
      </c>
      <c r="U64" s="311"/>
      <c r="V64" s="311"/>
      <c r="W64" s="56">
        <f t="shared" ca="1" si="24"/>
        <v>8</v>
      </c>
      <c r="X64" s="56">
        <f t="shared" ca="1" si="25"/>
        <v>7</v>
      </c>
      <c r="Y64" s="56">
        <f t="shared" ca="1" si="26"/>
        <v>6</v>
      </c>
      <c r="Z64" s="56">
        <f t="shared" ca="1" si="11"/>
        <v>7</v>
      </c>
      <c r="AA64" s="56">
        <f t="shared" ca="1" si="12"/>
        <v>7</v>
      </c>
      <c r="AB64" s="56">
        <f ca="1">_xlfn.CEILING.MATH(INDIRECT(ADDRESS(7,22+MATCH($P$26,'I.A. + Fasce'!$W$6:$AA$6,0),1,1) &amp; ":" &amp; ADDRESS(79,22+MATCH($P$26,'I.A. + Fasce'!$W$6:$AA$6,0),1,1))/Asta!$H$3)</f>
        <v>1</v>
      </c>
      <c r="AD64" s="56">
        <f>'Mia rosa + Org. Finanza'!AG64</f>
        <v>0</v>
      </c>
      <c r="AE64" s="56" t="str">
        <f ca="1">'Mia rosa + Org. Finanza'!AH64</f>
        <v/>
      </c>
      <c r="AF64" s="56" t="str">
        <f ca="1">'Mia rosa + Org. Finanza'!AI64</f>
        <v/>
      </c>
      <c r="AG64" s="56" t="str">
        <f ca="1">'Mia rosa + Org. Finanza'!AJ64</f>
        <v/>
      </c>
    </row>
    <row r="65" spans="1:33" ht="14.25" customHeight="1">
      <c r="A65" s="232" t="str">
        <f ca="1">IF(Giocatori!D55="","P",Giocatori!D55)</f>
        <v>P</v>
      </c>
      <c r="B65" s="232" t="str">
        <f ca="1">IF(Giocatori!E67="","ZZZ" &amp; ROW(),Giocatori!E67)</f>
        <v>SZCZESNY</v>
      </c>
      <c r="C65" s="232" t="str">
        <f ca="1">IF(Giocatori!F67="","NDR" &amp; ROW(),Giocatori!F67)</f>
        <v>Juventus</v>
      </c>
      <c r="D65" s="233">
        <f t="shared" ca="1" si="16"/>
        <v>35.00065</v>
      </c>
      <c r="E65" s="233">
        <f t="shared" ca="1" si="17"/>
        <v>46.00065</v>
      </c>
      <c r="F65" s="234">
        <f t="shared" ca="1" si="18"/>
        <v>58.135131670187498</v>
      </c>
      <c r="G65" s="233" t="str">
        <f t="shared" ca="1" si="19"/>
        <v/>
      </c>
      <c r="H65" s="235">
        <f t="shared" ca="1" si="20"/>
        <v>70</v>
      </c>
      <c r="I65" s="233" t="str">
        <f t="shared" ca="1" si="21"/>
        <v/>
      </c>
      <c r="J65" s="233">
        <f t="shared" ca="1" si="22"/>
        <v>16.633615095457174</v>
      </c>
      <c r="K65" s="233">
        <f t="shared" ca="1" si="23"/>
        <v>16.267804634242552</v>
      </c>
      <c r="L65" s="324">
        <f ca="1">VLOOKUP(Tabella94[[#This Row],[Calciatore]],'Raccolta Aste'!$A$2:$E$33,4,FALSE)*Asta!$U$3/100</f>
        <v>0</v>
      </c>
      <c r="N65" s="61"/>
      <c r="O65" s="56"/>
      <c r="P65" s="364"/>
      <c r="Q65" s="61"/>
      <c r="R65" s="56"/>
      <c r="S65" s="364"/>
      <c r="U65" s="311"/>
      <c r="V65" s="311"/>
      <c r="W65" s="56">
        <f t="shared" ca="1" si="24"/>
        <v>22</v>
      </c>
      <c r="X65" s="56">
        <f t="shared" ca="1" si="25"/>
        <v>5</v>
      </c>
      <c r="Y65" s="56">
        <f t="shared" ca="1" si="26"/>
        <v>21</v>
      </c>
      <c r="Z65" s="56">
        <f t="shared" ca="1" si="11"/>
        <v>3</v>
      </c>
      <c r="AA65" s="56">
        <f t="shared" ca="1" si="12"/>
        <v>2</v>
      </c>
      <c r="AB65" s="56">
        <f ca="1">_xlfn.CEILING.MATH(INDIRECT(ADDRESS(7,22+MATCH($P$26,'I.A. + Fasce'!$W$6:$AA$6,0),1,1) &amp; ":" &amp; ADDRESS(79,22+MATCH($P$26,'I.A. + Fasce'!$W$6:$AA$6,0),1,1))/Asta!$H$3)</f>
        <v>3</v>
      </c>
      <c r="AD65" s="56">
        <f>'Mia rosa + Org. Finanza'!AG65</f>
        <v>0</v>
      </c>
      <c r="AE65" s="56" t="str">
        <f ca="1">'Mia rosa + Org. Finanza'!AH65</f>
        <v/>
      </c>
      <c r="AF65" s="56" t="str">
        <f ca="1">'Mia rosa + Org. Finanza'!AI65</f>
        <v/>
      </c>
      <c r="AG65" s="56" t="str">
        <f ca="1">'Mia rosa + Org. Finanza'!AJ65</f>
        <v/>
      </c>
    </row>
    <row r="66" spans="1:33" ht="14.25" customHeight="1">
      <c r="A66" s="232" t="str">
        <f ca="1">IF(Giocatori!D56="","P",Giocatori!D56)</f>
        <v>P</v>
      </c>
      <c r="B66" s="232" t="str">
        <f ca="1">IF(Giocatori!E68="","ZZZ" &amp; ROW(),Giocatori!E68)</f>
        <v>TOZZO</v>
      </c>
      <c r="C66" s="232" t="str">
        <f ca="1">IF(Giocatori!F68="","NDR" &amp; ROW(),Giocatori!F68)</f>
        <v>Sampdoria</v>
      </c>
      <c r="D66" s="233">
        <f t="shared" ca="1" si="16"/>
        <v>5.0006599999999999</v>
      </c>
      <c r="E66" s="233">
        <f t="shared" ca="1" si="17"/>
        <v>27.00066</v>
      </c>
      <c r="F66" s="234">
        <f t="shared" ca="1" si="18"/>
        <v>22.076617003630002</v>
      </c>
      <c r="G66" s="233" t="str">
        <f t="shared" ca="1" si="19"/>
        <v/>
      </c>
      <c r="H66" s="235">
        <f t="shared" ca="1" si="20"/>
        <v>10</v>
      </c>
      <c r="I66" s="233" t="str">
        <f t="shared" ca="1" si="21"/>
        <v/>
      </c>
      <c r="J66" s="233">
        <f t="shared" ca="1" si="22"/>
        <v>1.0006600000000001</v>
      </c>
      <c r="K66" s="233">
        <f t="shared" ca="1" si="23"/>
        <v>1.0006600000000001</v>
      </c>
      <c r="L66" s="324" t="e">
        <f ca="1">VLOOKUP(Tabella94[[#This Row],[Calciatore]],'Raccolta Aste'!$A$2:$E$33,4,FALSE)*Asta!$U$3/100</f>
        <v>#N/A</v>
      </c>
      <c r="N66" s="61"/>
      <c r="O66" s="56"/>
      <c r="P66" s="364"/>
      <c r="Q66" s="61"/>
      <c r="R66" s="56"/>
      <c r="S66" s="364"/>
      <c r="U66" s="311"/>
      <c r="V66" s="311"/>
      <c r="W66" s="56">
        <f t="shared" ca="1" si="24"/>
        <v>45</v>
      </c>
      <c r="X66" s="56">
        <f t="shared" ca="1" si="25"/>
        <v>55</v>
      </c>
      <c r="Y66" s="56">
        <f t="shared" ca="1" si="26"/>
        <v>56</v>
      </c>
      <c r="Z66" s="56">
        <f t="shared" ca="1" si="11"/>
        <v>23</v>
      </c>
      <c r="AA66" s="56">
        <f t="shared" ca="1" si="12"/>
        <v>23</v>
      </c>
      <c r="AB66" s="56">
        <f ca="1">_xlfn.CEILING.MATH(INDIRECT(ADDRESS(7,22+MATCH($P$26,'I.A. + Fasce'!$W$6:$AA$6,0),1,1) &amp; ":" &amp; ADDRESS(79,22+MATCH($P$26,'I.A. + Fasce'!$W$6:$AA$6,0),1,1))/Asta!$H$3)</f>
        <v>6</v>
      </c>
      <c r="AD66" s="56">
        <f>'Mia rosa + Org. Finanza'!AG66</f>
        <v>0</v>
      </c>
      <c r="AE66" s="56" t="str">
        <f ca="1">'Mia rosa + Org. Finanza'!AH66</f>
        <v/>
      </c>
      <c r="AF66" s="56" t="str">
        <f ca="1">'Mia rosa + Org. Finanza'!AI66</f>
        <v/>
      </c>
      <c r="AG66" s="56" t="str">
        <f ca="1">'Mia rosa + Org. Finanza'!AJ66</f>
        <v/>
      </c>
    </row>
    <row r="67" spans="1:33" ht="14.25" customHeight="1">
      <c r="A67" s="232" t="str">
        <f ca="1">IF(Giocatori!D58="","P",Giocatori!D58)</f>
        <v>P</v>
      </c>
      <c r="B67" s="232" t="str">
        <f ca="1">IF(Giocatori!E69="","ZZZ" &amp; ROW(),Giocatori!E69)</f>
        <v>VARGIC</v>
      </c>
      <c r="C67" s="232" t="str">
        <f ca="1">IF(Giocatori!F69="","NDR" &amp; ROW(),Giocatori!F69)</f>
        <v>Lazio</v>
      </c>
      <c r="D67" s="233">
        <f t="shared" ca="1" si="16"/>
        <v>15.00067</v>
      </c>
      <c r="E67" s="233">
        <f t="shared" ca="1" si="17"/>
        <v>31.00067</v>
      </c>
      <c r="F67" s="234">
        <f t="shared" ca="1" si="18"/>
        <v>31.010019503740832</v>
      </c>
      <c r="G67" s="233" t="str">
        <f t="shared" ca="1" si="19"/>
        <v/>
      </c>
      <c r="H67" s="235">
        <f t="shared" ca="1" si="20"/>
        <v>30</v>
      </c>
      <c r="I67" s="233" t="str">
        <f t="shared" ca="1" si="21"/>
        <v/>
      </c>
      <c r="J67" s="233">
        <f t="shared" ca="1" si="22"/>
        <v>1.0006699999999999</v>
      </c>
      <c r="K67" s="233">
        <f t="shared" ca="1" si="23"/>
        <v>1.0006699999999999</v>
      </c>
      <c r="L67" s="324" t="e">
        <f ca="1">VLOOKUP(Tabella94[[#This Row],[Calciatore]],'Raccolta Aste'!$A$2:$E$33,4,FALSE)*Asta!$U$3/100</f>
        <v>#N/A</v>
      </c>
      <c r="N67" s="61"/>
      <c r="O67" s="56"/>
      <c r="P67" s="364"/>
      <c r="Q67" s="61"/>
      <c r="R67" s="56"/>
      <c r="S67" s="364"/>
      <c r="U67" s="311"/>
      <c r="V67" s="311"/>
      <c r="W67" s="56">
        <f t="shared" ca="1" si="24"/>
        <v>41</v>
      </c>
      <c r="X67" s="56">
        <f t="shared" ca="1" si="25"/>
        <v>42</v>
      </c>
      <c r="Y67" s="56">
        <f t="shared" ca="1" si="26"/>
        <v>41</v>
      </c>
      <c r="Z67" s="56">
        <f t="shared" ca="1" si="11"/>
        <v>22</v>
      </c>
      <c r="AA67" s="56">
        <f t="shared" ca="1" si="12"/>
        <v>22</v>
      </c>
      <c r="AB67" s="56">
        <f ca="1">_xlfn.CEILING.MATH(INDIRECT(ADDRESS(7,22+MATCH($P$26,'I.A. + Fasce'!$W$6:$AA$6,0),1,1) &amp; ":" &amp; ADDRESS(79,22+MATCH($P$26,'I.A. + Fasce'!$W$6:$AA$6,0),1,1))/Asta!$H$3)</f>
        <v>6</v>
      </c>
      <c r="AD67" s="56">
        <f>'Mia rosa + Org. Finanza'!AG67</f>
        <v>0</v>
      </c>
      <c r="AE67" s="56" t="str">
        <f ca="1">'Mia rosa + Org. Finanza'!AH67</f>
        <v/>
      </c>
      <c r="AF67" s="56" t="str">
        <f ca="1">'Mia rosa + Org. Finanza'!AI67</f>
        <v/>
      </c>
      <c r="AG67" s="56" t="str">
        <f ca="1">'Mia rosa + Org. Finanza'!AJ67</f>
        <v/>
      </c>
    </row>
    <row r="68" spans="1:33" ht="14.25" customHeight="1">
      <c r="A68" s="232" t="str">
        <f ca="1">IF(Giocatori!D59="","P",Giocatori!D59)</f>
        <v>P</v>
      </c>
      <c r="B68" s="232" t="str">
        <f ca="1">IF(Giocatori!E70="","ZZZ" &amp; ROW(),Giocatori!E70)</f>
        <v>VISCOVO</v>
      </c>
      <c r="C68" s="232" t="str">
        <f ca="1">IF(Giocatori!F70="","NDR" &amp; ROW(),Giocatori!F70)</f>
        <v>Crotone</v>
      </c>
      <c r="D68" s="233">
        <f t="shared" ca="1" si="16"/>
        <v>5.00068</v>
      </c>
      <c r="E68" s="233">
        <f t="shared" ca="1" si="17"/>
        <v>26.000679999999999</v>
      </c>
      <c r="F68" s="234">
        <f t="shared" ca="1" si="18"/>
        <v>21.134988003853334</v>
      </c>
      <c r="G68" s="233" t="str">
        <f t="shared" ca="1" si="19"/>
        <v/>
      </c>
      <c r="H68" s="235">
        <f t="shared" ca="1" si="20"/>
        <v>10</v>
      </c>
      <c r="I68" s="233" t="str">
        <f t="shared" ca="1" si="21"/>
        <v/>
      </c>
      <c r="J68" s="233">
        <f t="shared" ca="1" si="22"/>
        <v>1.00068</v>
      </c>
      <c r="K68" s="233">
        <f t="shared" ca="1" si="23"/>
        <v>1.00068</v>
      </c>
      <c r="L68" s="324" t="e">
        <f ca="1">VLOOKUP(Tabella94[[#This Row],[Calciatore]],'Raccolta Aste'!$A$2:$E$33,4,FALSE)*Asta!$U$3/100</f>
        <v>#N/A</v>
      </c>
      <c r="N68" s="61"/>
      <c r="O68" s="56"/>
      <c r="P68" s="364"/>
      <c r="Q68" s="61"/>
      <c r="R68" s="56"/>
      <c r="S68" s="364"/>
      <c r="U68" s="311"/>
      <c r="V68" s="311"/>
      <c r="W68" s="56">
        <f t="shared" ca="1" si="24"/>
        <v>44</v>
      </c>
      <c r="X68" s="56">
        <f t="shared" ca="1" si="25"/>
        <v>57</v>
      </c>
      <c r="Y68" s="56">
        <f t="shared" ca="1" si="26"/>
        <v>58</v>
      </c>
      <c r="Z68" s="56">
        <f t="shared" ca="1" si="11"/>
        <v>21</v>
      </c>
      <c r="AA68" s="56">
        <f t="shared" ca="1" si="12"/>
        <v>21</v>
      </c>
      <c r="AB68" s="56">
        <f ca="1">_xlfn.CEILING.MATH(INDIRECT(ADDRESS(7,22+MATCH($P$26,'I.A. + Fasce'!$W$6:$AA$6,0),1,1) &amp; ":" &amp; ADDRESS(79,22+MATCH($P$26,'I.A. + Fasce'!$W$6:$AA$6,0),1,1))/Asta!$H$3)</f>
        <v>6</v>
      </c>
      <c r="AD68" s="56">
        <f>'Mia rosa + Org. Finanza'!AG68</f>
        <v>0</v>
      </c>
      <c r="AE68" s="56" t="str">
        <f ca="1">'Mia rosa + Org. Finanza'!AH68</f>
        <v/>
      </c>
      <c r="AF68" s="56" t="str">
        <f ca="1">'Mia rosa + Org. Finanza'!AI68</f>
        <v/>
      </c>
      <c r="AG68" s="56" t="str">
        <f ca="1">'Mia rosa + Org. Finanza'!AJ68</f>
        <v/>
      </c>
    </row>
    <row r="69" spans="1:33" ht="14.25" customHeight="1">
      <c r="A69" s="232" t="str">
        <f ca="1">IF(Giocatori!D60="","P",Giocatori!D60)</f>
        <v>P</v>
      </c>
      <c r="B69" s="232" t="str">
        <f ca="1">IF(Giocatori!E71="","ZZZ" &amp; ROW(),Giocatori!E71)</f>
        <v>VIVIANO</v>
      </c>
      <c r="C69" s="232" t="str">
        <f ca="1">IF(Giocatori!F71="","NDR" &amp; ROW(),Giocatori!F71)</f>
        <v>Sampdoria</v>
      </c>
      <c r="D69" s="233">
        <f t="shared" ca="1" si="16"/>
        <v>80.000690000000006</v>
      </c>
      <c r="E69" s="233">
        <f t="shared" ca="1" si="17"/>
        <v>44.000689999999999</v>
      </c>
      <c r="F69" s="234">
        <f t="shared" ca="1" si="18"/>
        <v>78.135219337300839</v>
      </c>
      <c r="G69" s="233" t="str">
        <f t="shared" ca="1" si="19"/>
        <v/>
      </c>
      <c r="H69" s="235">
        <f t="shared" ca="1" si="20"/>
        <v>90</v>
      </c>
      <c r="I69" s="233" t="str">
        <f t="shared" ca="1" si="21"/>
        <v/>
      </c>
      <c r="J69" s="233">
        <f t="shared" ca="1" si="22"/>
        <v>8.2280975502539135</v>
      </c>
      <c r="K69" s="233">
        <f t="shared" ca="1" si="23"/>
        <v>8.547846071079622</v>
      </c>
      <c r="L69" s="324">
        <f ca="1">VLOOKUP(Tabella94[[#This Row],[Calciatore]],'Raccolta Aste'!$A$2:$E$33,4,FALSE)*Asta!$U$3/100</f>
        <v>13.824999999999999</v>
      </c>
      <c r="N69" s="61"/>
      <c r="O69" s="56"/>
      <c r="P69" s="364"/>
      <c r="Q69" s="61"/>
      <c r="R69" s="56"/>
      <c r="S69" s="364"/>
      <c r="U69" s="311"/>
      <c r="V69" s="311"/>
      <c r="W69" s="56">
        <f t="shared" ca="1" si="24"/>
        <v>9</v>
      </c>
      <c r="X69" s="56">
        <f t="shared" ca="1" si="25"/>
        <v>10</v>
      </c>
      <c r="Y69" s="56">
        <f t="shared" ca="1" si="26"/>
        <v>11</v>
      </c>
      <c r="Z69" s="56">
        <f t="shared" ca="1" si="11"/>
        <v>10</v>
      </c>
      <c r="AA69" s="56">
        <f t="shared" ca="1" si="12"/>
        <v>10</v>
      </c>
      <c r="AB69" s="56">
        <f ca="1">_xlfn.CEILING.MATH(INDIRECT(ADDRESS(7,22+MATCH($P$26,'I.A. + Fasce'!$W$6:$AA$6,0),1,1) &amp; ":" &amp; ADDRESS(79,22+MATCH($P$26,'I.A. + Fasce'!$W$6:$AA$6,0),1,1))/Asta!$H$3)</f>
        <v>2</v>
      </c>
      <c r="AD69" s="56">
        <f>'Mia rosa + Org. Finanza'!AG69</f>
        <v>0</v>
      </c>
      <c r="AE69" s="56" t="str">
        <f ca="1">'Mia rosa + Org. Finanza'!AH69</f>
        <v/>
      </c>
      <c r="AF69" s="56" t="str">
        <f ca="1">'Mia rosa + Org. Finanza'!AI69</f>
        <v/>
      </c>
      <c r="AG69" s="56" t="str">
        <f ca="1">'Mia rosa + Org. Finanza'!AJ69</f>
        <v/>
      </c>
    </row>
    <row r="70" spans="1:33" ht="14.25" customHeight="1">
      <c r="A70" s="232" t="str">
        <f ca="1">IF(Giocatori!D61="","P",Giocatori!D61)</f>
        <v>P</v>
      </c>
      <c r="B70" s="232" t="str">
        <f ca="1">IF(Giocatori!E72="","ZZZ" &amp; ROW(),Giocatori!E72)</f>
        <v>ZIMA</v>
      </c>
      <c r="C70" s="232" t="str">
        <f ca="1">IF(Giocatori!F72="","NDR" &amp; ROW(),Giocatori!F72)</f>
        <v>Genoa</v>
      </c>
      <c r="D70" s="233">
        <f t="shared" ca="1" si="16"/>
        <v>5.0007000000000001</v>
      </c>
      <c r="E70" s="233">
        <f t="shared" ca="1" si="17"/>
        <v>29.000699999999998</v>
      </c>
      <c r="F70" s="234">
        <f t="shared" ca="1" si="18"/>
        <v>24.010071670749994</v>
      </c>
      <c r="G70" s="233" t="str">
        <f t="shared" ca="1" si="19"/>
        <v/>
      </c>
      <c r="H70" s="235">
        <f t="shared" ca="1" si="20"/>
        <v>10</v>
      </c>
      <c r="I70" s="233" t="str">
        <f t="shared" ca="1" si="21"/>
        <v/>
      </c>
      <c r="J70" s="233">
        <f t="shared" ca="1" si="22"/>
        <v>1.0006999999999999</v>
      </c>
      <c r="K70" s="233">
        <f t="shared" ca="1" si="23"/>
        <v>1.0006999999999999</v>
      </c>
      <c r="L70" s="324" t="e">
        <f ca="1">VLOOKUP(Tabella94[[#This Row],[Calciatore]],'Raccolta Aste'!$A$2:$E$33,4,FALSE)*Asta!$U$3/100</f>
        <v>#N/A</v>
      </c>
      <c r="N70" s="61"/>
      <c r="O70" s="56"/>
      <c r="P70" s="364"/>
      <c r="Q70" s="61"/>
      <c r="R70" s="56"/>
      <c r="S70" s="364"/>
      <c r="U70" s="311"/>
      <c r="V70" s="311"/>
      <c r="W70" s="56">
        <f t="shared" ca="1" si="24"/>
        <v>43</v>
      </c>
      <c r="X70" s="56">
        <f t="shared" ca="1" si="25"/>
        <v>46</v>
      </c>
      <c r="Y70" s="56">
        <f t="shared" ca="1" si="26"/>
        <v>50</v>
      </c>
      <c r="Z70" s="56">
        <f t="shared" ca="1" si="11"/>
        <v>20</v>
      </c>
      <c r="AA70" s="56">
        <f t="shared" ca="1" si="12"/>
        <v>20</v>
      </c>
      <c r="AB70" s="56">
        <f ca="1">_xlfn.CEILING.MATH(INDIRECT(ADDRESS(7,22+MATCH($P$26,'I.A. + Fasce'!$W$6:$AA$6,0),1,1) &amp; ":" &amp; ADDRESS(79,22+MATCH($P$26,'I.A. + Fasce'!$W$6:$AA$6,0),1,1))/Asta!$H$3)</f>
        <v>6</v>
      </c>
      <c r="AD70" s="56">
        <f>'Mia rosa + Org. Finanza'!AG70</f>
        <v>0</v>
      </c>
      <c r="AE70" s="56" t="str">
        <f ca="1">'Mia rosa + Org. Finanza'!AH70</f>
        <v/>
      </c>
      <c r="AF70" s="56" t="str">
        <f ca="1">'Mia rosa + Org. Finanza'!AI70</f>
        <v/>
      </c>
      <c r="AG70" s="56" t="str">
        <f ca="1">'Mia rosa + Org. Finanza'!AJ70</f>
        <v/>
      </c>
    </row>
    <row r="71" spans="1:33" ht="14.25" customHeight="1">
      <c r="A71" s="232" t="str">
        <f ca="1">IF(Giocatori!D62="","P",Giocatori!D62)</f>
        <v>P</v>
      </c>
      <c r="B71" s="232" t="str">
        <f ca="1">IF(Giocatori!E73="","ZZZ" &amp; ROW(),Giocatori!E73)</f>
        <v>ZZZ71</v>
      </c>
      <c r="C71" s="232" t="str">
        <f ca="1">IF(Giocatori!F73="","NDR" &amp; ROW(),Giocatori!F73)</f>
        <v>NDR71</v>
      </c>
      <c r="D71" s="233">
        <f t="shared" ref="D71:D79" ca="1" si="31">IF(ISNA(VLOOKUP($B71,TabAlgTutti,6,FALSE)),0,VLOOKUP($B71,TabAlgTutti,6,FALSE))+ROW()/100000</f>
        <v>7.1000000000000002E-4</v>
      </c>
      <c r="E71" s="233">
        <f t="shared" ref="E71:E79" ca="1" si="32">IF(ISNA(VLOOKUP($B71,TabAlgTutti,5,FALSE)),0,VLOOKUP($B71,TabAlgTutti,5,FALSE))+ROW()/100000</f>
        <v>7.1000000000000002E-4</v>
      </c>
      <c r="F71" s="234">
        <f t="shared" ref="F71:F79" ca="1" si="33">($D71*$P$8+$E71*(1+$E71*100/60/100)*$S$8)/100+ROW()/100000</f>
        <v>1.4200042008333334E-3</v>
      </c>
      <c r="G71" s="233" t="str">
        <f t="shared" ref="G71:G79" ca="1" si="34">IF(ISNA(VLOOKUP($B71,TabAlgTutti,7,FALSE)),"",IF(VLOOKUP($B71,TabAlgTutti,7,FALSE)=-1,"SCONSIGLIATO",IF(VLOOKUP($B71,TabAlgTutti,7,FALSE)=0,"SORPRESA",IF(VLOOKUP($B71,TabAlgTutti,7,FALSE)=1,"CONSIGLIATO",""))))</f>
        <v/>
      </c>
      <c r="H71" s="235" t="str">
        <f t="shared" ref="H71:H79" ca="1" si="35">IF(ISNA(VLOOKUP($B71,TabAlgTutti,8,FALSE)),"",VLOOKUP($B71,TabAlgTutti,8,FALSE))</f>
        <v/>
      </c>
      <c r="I71" s="233" t="str">
        <f t="shared" ref="I71:I79" ca="1" si="36">IF(ISNA(VLOOKUP($B71,TabAlgTutti,9,FALSE)),"",IF(VLOOKUP($B71,TabAlgTutti,9,FALSE)="","",VLOOKUP($B71,TabAlgTutti,9,FALSE)&amp;"R "))&amp;IF(ISNA(VLOOKUP($B71,TabAlgTutti,10,FALSE)),"",IF(VLOOKUP($B71,TabAlgTutti,10,FALSE)="","",VLOOKUP($B71,TabAlgTutti,10,FALSE)&amp;"P "))&amp;IF(ISNA(VLOOKUP($B71,TabAlgTutti,11,FALSE)),"",IF(VLOOKUP($B71,TabAlgTutti,11,FALSE)="","",VLOOKUP($B71,TabAlgTutti,11,FALSE)&amp;"A"))</f>
        <v/>
      </c>
      <c r="J71" s="233">
        <f t="shared" ref="J71:J79" ca="1" si="37">IF(ISNA(VLOOKUP($B71,TabAlgTutti,3,FALSE)),0,VLOOKUP($B71,TabAlgTutti,3,FALSE))+ROW()/100000</f>
        <v>7.1000000000000002E-4</v>
      </c>
      <c r="K71" s="233">
        <f t="shared" ref="K71:K79" ca="1" si="38">IF(ISNA(VLOOKUP($B71,TabAlgTutti,4,FALSE)),0,VLOOKUP($B71,TabAlgTutti,4,FALSE))+ROW()/100000</f>
        <v>7.1000000000000002E-4</v>
      </c>
      <c r="L71" s="324" t="e">
        <f ca="1">VLOOKUP(Tabella94[[#This Row],[Calciatore]],'Raccolta Aste'!$A$2:$E$33,4,FALSE)*Asta!$U$3/100</f>
        <v>#N/A</v>
      </c>
      <c r="N71" s="61"/>
      <c r="O71" s="56"/>
      <c r="P71" s="364"/>
      <c r="Q71" s="61"/>
      <c r="R71" s="56"/>
      <c r="S71" s="364"/>
      <c r="U71" s="311"/>
      <c r="V71" s="311"/>
      <c r="W71" s="56">
        <f t="shared" ref="W71:W79" ca="1" si="39">_xlfn.RANK.EQ(D71,$D$7:$D$79,0)</f>
        <v>73</v>
      </c>
      <c r="X71" s="56">
        <f t="shared" ref="X71:X79" ca="1" si="40">_xlfn.RANK.EQ(E71,$E$7:$E$79,0)</f>
        <v>70</v>
      </c>
      <c r="Y71" s="56">
        <f t="shared" ref="Y71:Y79" ca="1" si="41">_xlfn.RANK.EQ(F71,$F$7:$F$79,0)</f>
        <v>73</v>
      </c>
      <c r="Z71" s="56">
        <f t="shared" ca="1" si="11"/>
        <v>70</v>
      </c>
      <c r="AA71" s="56">
        <f t="shared" ca="1" si="12"/>
        <v>70</v>
      </c>
      <c r="AB71" s="56">
        <f ca="1">_xlfn.CEILING.MATH(INDIRECT(ADDRESS(7,22+MATCH($P$26,'I.A. + Fasce'!$W$6:$AA$6,0),1,1) &amp; ":" &amp; ADDRESS(79,22+MATCH($P$26,'I.A. + Fasce'!$W$6:$AA$6,0),1,1))/Asta!$H$3)</f>
        <v>10</v>
      </c>
      <c r="AD71" s="56">
        <f>'Mia rosa + Org. Finanza'!AG71</f>
        <v>0</v>
      </c>
      <c r="AE71" s="56" t="str">
        <f ca="1">'Mia rosa + Org. Finanza'!AH71</f>
        <v/>
      </c>
      <c r="AF71" s="56" t="str">
        <f ca="1">'Mia rosa + Org. Finanza'!AI71</f>
        <v/>
      </c>
      <c r="AG71" s="56" t="str">
        <f ca="1">'Mia rosa + Org. Finanza'!AJ71</f>
        <v/>
      </c>
    </row>
    <row r="72" spans="1:33" ht="14.25" customHeight="1">
      <c r="A72" s="232" t="str">
        <f ca="1">IF(Giocatori!D63="","P",Giocatori!D63)</f>
        <v>P</v>
      </c>
      <c r="B72" s="232" t="str">
        <f ca="1">IF(Giocatori!E74="","ZZZ" &amp; ROW(),Giocatori!E74)</f>
        <v>ZZZ72</v>
      </c>
      <c r="C72" s="232" t="str">
        <f ca="1">IF(Giocatori!F74="","NDR" &amp; ROW(),Giocatori!F74)</f>
        <v>NDR72</v>
      </c>
      <c r="D72" s="233">
        <f t="shared" ca="1" si="31"/>
        <v>7.2000000000000005E-4</v>
      </c>
      <c r="E72" s="233">
        <f t="shared" ca="1" si="32"/>
        <v>7.2000000000000005E-4</v>
      </c>
      <c r="F72" s="234">
        <f t="shared" ca="1" si="33"/>
        <v>1.44000432E-3</v>
      </c>
      <c r="G72" s="233" t="str">
        <f t="shared" ca="1" si="34"/>
        <v/>
      </c>
      <c r="H72" s="235" t="str">
        <f t="shared" ca="1" si="35"/>
        <v/>
      </c>
      <c r="I72" s="233" t="str">
        <f t="shared" ca="1" si="36"/>
        <v/>
      </c>
      <c r="J72" s="233">
        <f t="shared" ca="1" si="37"/>
        <v>7.2000000000000005E-4</v>
      </c>
      <c r="K72" s="233">
        <f t="shared" ca="1" si="38"/>
        <v>7.2000000000000005E-4</v>
      </c>
      <c r="L72" s="324" t="e">
        <f ca="1">VLOOKUP(Tabella94[[#This Row],[Calciatore]],'Raccolta Aste'!$A$2:$E$33,4,FALSE)*Asta!$U$3/100</f>
        <v>#N/A</v>
      </c>
      <c r="N72" s="61"/>
      <c r="O72" s="56"/>
      <c r="P72" s="364"/>
      <c r="Q72" s="61"/>
      <c r="R72" s="56"/>
      <c r="S72" s="364"/>
      <c r="U72" s="311"/>
      <c r="V72" s="311"/>
      <c r="W72" s="56">
        <f t="shared" ca="1" si="39"/>
        <v>72</v>
      </c>
      <c r="X72" s="56">
        <f t="shared" ca="1" si="40"/>
        <v>69</v>
      </c>
      <c r="Y72" s="56">
        <f t="shared" ca="1" si="41"/>
        <v>72</v>
      </c>
      <c r="Z72" s="56">
        <f t="shared" ref="Z72:Z79" ca="1" si="42">_xlfn.RANK.EQ(J72,$J$7:$J$79,0)</f>
        <v>69</v>
      </c>
      <c r="AA72" s="56">
        <f t="shared" ref="AA72:AA79" ca="1" si="43">_xlfn.RANK.EQ(K72,$K$7:$K$79,0)</f>
        <v>69</v>
      </c>
      <c r="AB72" s="56">
        <f ca="1">_xlfn.CEILING.MATH(INDIRECT(ADDRESS(7,22+MATCH($P$26,'I.A. + Fasce'!$W$6:$AA$6,0),1,1) &amp; ":" &amp; ADDRESS(79,22+MATCH($P$26,'I.A. + Fasce'!$W$6:$AA$6,0),1,1))/Asta!$H$3)</f>
        <v>9</v>
      </c>
      <c r="AD72" s="56">
        <f>'Mia rosa + Org. Finanza'!AG72</f>
        <v>0</v>
      </c>
      <c r="AE72" s="56" t="str">
        <f ca="1">'Mia rosa + Org. Finanza'!AH72</f>
        <v/>
      </c>
      <c r="AF72" s="56" t="str">
        <f ca="1">'Mia rosa + Org. Finanza'!AI72</f>
        <v/>
      </c>
      <c r="AG72" s="56" t="str">
        <f ca="1">'Mia rosa + Org. Finanza'!AJ72</f>
        <v/>
      </c>
    </row>
    <row r="73" spans="1:33" ht="14.25" customHeight="1">
      <c r="A73" s="232" t="str">
        <f ca="1">IF(Giocatori!D64="","P",Giocatori!D64)</f>
        <v>P</v>
      </c>
      <c r="B73" s="232" t="str">
        <f ca="1">IF(Giocatori!E75="","ZZZ" &amp; ROW(),Giocatori!E75)</f>
        <v>ZZZ73</v>
      </c>
      <c r="C73" s="232" t="str">
        <f ca="1">IF(Giocatori!F75="","NDR" &amp; ROW(),Giocatori!F75)</f>
        <v>NDR73</v>
      </c>
      <c r="D73" s="233">
        <f t="shared" ca="1" si="31"/>
        <v>7.2999999999999996E-4</v>
      </c>
      <c r="E73" s="233">
        <f t="shared" ca="1" si="32"/>
        <v>7.2999999999999996E-4</v>
      </c>
      <c r="F73" s="234">
        <f t="shared" ca="1" si="33"/>
        <v>1.4600044408333332E-3</v>
      </c>
      <c r="G73" s="233" t="str">
        <f t="shared" ca="1" si="34"/>
        <v/>
      </c>
      <c r="H73" s="235" t="str">
        <f t="shared" ca="1" si="35"/>
        <v/>
      </c>
      <c r="I73" s="233" t="str">
        <f t="shared" ca="1" si="36"/>
        <v/>
      </c>
      <c r="J73" s="233">
        <f t="shared" ca="1" si="37"/>
        <v>7.2999999999999996E-4</v>
      </c>
      <c r="K73" s="233">
        <f t="shared" ca="1" si="38"/>
        <v>7.2999999999999996E-4</v>
      </c>
      <c r="L73" s="324" t="e">
        <f ca="1">VLOOKUP(Tabella94[[#This Row],[Calciatore]],'Raccolta Aste'!$A$2:$E$33,4,FALSE)*Asta!$U$3/100</f>
        <v>#N/A</v>
      </c>
      <c r="N73" s="61"/>
      <c r="O73" s="56"/>
      <c r="P73" s="364"/>
      <c r="Q73" s="61"/>
      <c r="R73" s="56"/>
      <c r="S73" s="364"/>
      <c r="U73" s="311"/>
      <c r="V73" s="311"/>
      <c r="W73" s="56">
        <f t="shared" ca="1" si="39"/>
        <v>71</v>
      </c>
      <c r="X73" s="56">
        <f t="shared" ca="1" si="40"/>
        <v>68</v>
      </c>
      <c r="Y73" s="56">
        <f t="shared" ca="1" si="41"/>
        <v>71</v>
      </c>
      <c r="Z73" s="56">
        <f t="shared" ca="1" si="42"/>
        <v>68</v>
      </c>
      <c r="AA73" s="56">
        <f t="shared" ca="1" si="43"/>
        <v>68</v>
      </c>
      <c r="AB73" s="56">
        <f ca="1">_xlfn.CEILING.MATH(INDIRECT(ADDRESS(7,22+MATCH($P$26,'I.A. + Fasce'!$W$6:$AA$6,0),1,1) &amp; ":" &amp; ADDRESS(79,22+MATCH($P$26,'I.A. + Fasce'!$W$6:$AA$6,0),1,1))/Asta!$H$3)</f>
        <v>9</v>
      </c>
      <c r="AD73" s="56">
        <f>'Mia rosa + Org. Finanza'!AG73</f>
        <v>0</v>
      </c>
      <c r="AE73" s="56" t="str">
        <f ca="1">'Mia rosa + Org. Finanza'!AH73</f>
        <v/>
      </c>
      <c r="AF73" s="56" t="str">
        <f ca="1">'Mia rosa + Org. Finanza'!AI73</f>
        <v/>
      </c>
      <c r="AG73" s="56" t="str">
        <f ca="1">'Mia rosa + Org. Finanza'!AJ73</f>
        <v/>
      </c>
    </row>
    <row r="74" spans="1:33" ht="14.25" customHeight="1">
      <c r="A74" s="232" t="str">
        <f ca="1">IF(Giocatori!D65="","P",Giocatori!D65)</f>
        <v>P</v>
      </c>
      <c r="B74" s="232" t="str">
        <f ca="1">IF(Giocatori!E76="","ZZZ" &amp; ROW(),Giocatori!E76)</f>
        <v>ZZZ74</v>
      </c>
      <c r="C74" s="232" t="str">
        <f ca="1">IF(Giocatori!F76="","NDR" &amp; ROW(),Giocatori!F76)</f>
        <v>NDR74</v>
      </c>
      <c r="D74" s="233">
        <f t="shared" ca="1" si="31"/>
        <v>7.3999999999999999E-4</v>
      </c>
      <c r="E74" s="233">
        <f t="shared" ca="1" si="32"/>
        <v>7.3999999999999999E-4</v>
      </c>
      <c r="F74" s="234">
        <f t="shared" ca="1" si="33"/>
        <v>1.4800045633333331E-3</v>
      </c>
      <c r="G74" s="233" t="str">
        <f t="shared" ca="1" si="34"/>
        <v/>
      </c>
      <c r="H74" s="235" t="str">
        <f t="shared" ca="1" si="35"/>
        <v/>
      </c>
      <c r="I74" s="233" t="str">
        <f t="shared" ca="1" si="36"/>
        <v/>
      </c>
      <c r="J74" s="233">
        <f t="shared" ca="1" si="37"/>
        <v>7.3999999999999999E-4</v>
      </c>
      <c r="K74" s="233">
        <f t="shared" ca="1" si="38"/>
        <v>7.3999999999999999E-4</v>
      </c>
      <c r="L74" s="324" t="e">
        <f ca="1">VLOOKUP(Tabella94[[#This Row],[Calciatore]],'Raccolta Aste'!$A$2:$E$33,4,FALSE)*Asta!$U$3/100</f>
        <v>#N/A</v>
      </c>
      <c r="U74" s="311"/>
      <c r="V74" s="311"/>
      <c r="W74" s="56">
        <f t="shared" ca="1" si="39"/>
        <v>70</v>
      </c>
      <c r="X74" s="56">
        <f t="shared" ca="1" si="40"/>
        <v>67</v>
      </c>
      <c r="Y74" s="56">
        <f t="shared" ca="1" si="41"/>
        <v>70</v>
      </c>
      <c r="Z74" s="56">
        <f t="shared" ca="1" si="42"/>
        <v>67</v>
      </c>
      <c r="AA74" s="56">
        <f t="shared" ca="1" si="43"/>
        <v>67</v>
      </c>
      <c r="AB74" s="56">
        <f ca="1">_xlfn.CEILING.MATH(INDIRECT(ADDRESS(7,22+MATCH($P$26,'I.A. + Fasce'!$W$6:$AA$6,0),1,1) &amp; ":" &amp; ADDRESS(79,22+MATCH($P$26,'I.A. + Fasce'!$W$6:$AA$6,0),1,1))/Asta!$H$3)</f>
        <v>9</v>
      </c>
      <c r="AD74" s="56">
        <f>'Mia rosa + Org. Finanza'!AG74</f>
        <v>0</v>
      </c>
      <c r="AE74" s="56" t="str">
        <f ca="1">'Mia rosa + Org. Finanza'!AH74</f>
        <v/>
      </c>
      <c r="AF74" s="56" t="str">
        <f ca="1">'Mia rosa + Org. Finanza'!AI74</f>
        <v/>
      </c>
      <c r="AG74" s="56" t="str">
        <f ca="1">'Mia rosa + Org. Finanza'!AJ74</f>
        <v/>
      </c>
    </row>
    <row r="75" spans="1:33" ht="14.25" customHeight="1">
      <c r="A75" s="232" t="str">
        <f ca="1">IF(Giocatori!D66="","P",Giocatori!D66)</f>
        <v>P</v>
      </c>
      <c r="B75" s="232" t="str">
        <f ca="1">IF(Giocatori!E77="","ZZZ" &amp; ROW(),Giocatori!E77)</f>
        <v>ZZZ75</v>
      </c>
      <c r="C75" s="232" t="str">
        <f ca="1">IF(Giocatori!F77="","NDR" &amp; ROW(),Giocatori!F77)</f>
        <v>NDR75</v>
      </c>
      <c r="D75" s="233">
        <f t="shared" ca="1" si="31"/>
        <v>7.5000000000000002E-4</v>
      </c>
      <c r="E75" s="233">
        <f t="shared" ca="1" si="32"/>
        <v>7.5000000000000002E-4</v>
      </c>
      <c r="F75" s="234">
        <f t="shared" ca="1" si="33"/>
        <v>1.5000046874999999E-3</v>
      </c>
      <c r="G75" s="233" t="str">
        <f t="shared" ca="1" si="34"/>
        <v/>
      </c>
      <c r="H75" s="235" t="str">
        <f t="shared" ca="1" si="35"/>
        <v/>
      </c>
      <c r="I75" s="233" t="str">
        <f t="shared" ca="1" si="36"/>
        <v/>
      </c>
      <c r="J75" s="233">
        <f t="shared" ca="1" si="37"/>
        <v>7.5000000000000002E-4</v>
      </c>
      <c r="K75" s="233">
        <f t="shared" ca="1" si="38"/>
        <v>7.5000000000000002E-4</v>
      </c>
      <c r="L75" s="324" t="e">
        <f ca="1">VLOOKUP(Tabella94[[#This Row],[Calciatore]],'Raccolta Aste'!$A$2:$E$33,4,FALSE)*Asta!$U$3/100</f>
        <v>#N/A</v>
      </c>
      <c r="U75" s="311"/>
      <c r="V75" s="311"/>
      <c r="W75" s="56">
        <f t="shared" ca="1" si="39"/>
        <v>69</v>
      </c>
      <c r="X75" s="56">
        <f t="shared" ca="1" si="40"/>
        <v>66</v>
      </c>
      <c r="Y75" s="56">
        <f t="shared" ca="1" si="41"/>
        <v>69</v>
      </c>
      <c r="Z75" s="56">
        <f t="shared" ca="1" si="42"/>
        <v>66</v>
      </c>
      <c r="AA75" s="56">
        <f t="shared" ca="1" si="43"/>
        <v>66</v>
      </c>
      <c r="AB75" s="56">
        <f ca="1">_xlfn.CEILING.MATH(INDIRECT(ADDRESS(7,22+MATCH($P$26,'I.A. + Fasce'!$W$6:$AA$6,0),1,1) &amp; ":" &amp; ADDRESS(79,22+MATCH($P$26,'I.A. + Fasce'!$W$6:$AA$6,0),1,1))/Asta!$H$3)</f>
        <v>9</v>
      </c>
      <c r="AD75" s="56">
        <f>'Mia rosa + Org. Finanza'!AG75</f>
        <v>0</v>
      </c>
      <c r="AE75" s="56" t="str">
        <f ca="1">'Mia rosa + Org. Finanza'!AH75</f>
        <v/>
      </c>
      <c r="AF75" s="56" t="str">
        <f ca="1">'Mia rosa + Org. Finanza'!AI75</f>
        <v/>
      </c>
      <c r="AG75" s="56" t="str">
        <f ca="1">'Mia rosa + Org. Finanza'!AJ75</f>
        <v/>
      </c>
    </row>
    <row r="76" spans="1:33" ht="14.25" customHeight="1">
      <c r="A76" s="232" t="str">
        <f ca="1">IF(Giocatori!D67="","P",Giocatori!D67)</f>
        <v>P</v>
      </c>
      <c r="B76" s="232" t="str">
        <f ca="1">IF(Giocatori!E78="","ZZZ" &amp; ROW(),Giocatori!E78)</f>
        <v>ZZZ76</v>
      </c>
      <c r="C76" s="232" t="str">
        <f ca="1">IF(Giocatori!F78="","NDR" &amp; ROW(),Giocatori!F78)</f>
        <v>NDR76</v>
      </c>
      <c r="D76" s="233">
        <f t="shared" ca="1" si="31"/>
        <v>7.6000000000000004E-4</v>
      </c>
      <c r="E76" s="233">
        <f t="shared" ca="1" si="32"/>
        <v>7.6000000000000004E-4</v>
      </c>
      <c r="F76" s="234">
        <f t="shared" ca="1" si="33"/>
        <v>1.5200048133333336E-3</v>
      </c>
      <c r="G76" s="233" t="str">
        <f t="shared" ca="1" si="34"/>
        <v/>
      </c>
      <c r="H76" s="235" t="str">
        <f t="shared" ca="1" si="35"/>
        <v/>
      </c>
      <c r="I76" s="233" t="str">
        <f t="shared" ca="1" si="36"/>
        <v/>
      </c>
      <c r="J76" s="233">
        <f t="shared" ca="1" si="37"/>
        <v>7.6000000000000004E-4</v>
      </c>
      <c r="K76" s="233">
        <f t="shared" ca="1" si="38"/>
        <v>7.6000000000000004E-4</v>
      </c>
      <c r="L76" s="324" t="e">
        <f ca="1">VLOOKUP(Tabella94[[#This Row],[Calciatore]],'Raccolta Aste'!$A$2:$E$33,4,FALSE)*Asta!$U$3/100</f>
        <v>#N/A</v>
      </c>
      <c r="U76" s="311"/>
      <c r="V76" s="311"/>
      <c r="W76" s="56">
        <f t="shared" ca="1" si="39"/>
        <v>68</v>
      </c>
      <c r="X76" s="56">
        <f t="shared" ca="1" si="40"/>
        <v>65</v>
      </c>
      <c r="Y76" s="56">
        <f t="shared" ca="1" si="41"/>
        <v>68</v>
      </c>
      <c r="Z76" s="56">
        <f t="shared" ca="1" si="42"/>
        <v>65</v>
      </c>
      <c r="AA76" s="56">
        <f t="shared" ca="1" si="43"/>
        <v>65</v>
      </c>
      <c r="AB76" s="56">
        <f ca="1">_xlfn.CEILING.MATH(INDIRECT(ADDRESS(7,22+MATCH($P$26,'I.A. + Fasce'!$W$6:$AA$6,0),1,1) &amp; ":" &amp; ADDRESS(79,22+MATCH($P$26,'I.A. + Fasce'!$W$6:$AA$6,0),1,1))/Asta!$H$3)</f>
        <v>9</v>
      </c>
      <c r="AD76" s="56">
        <f>'Mia rosa + Org. Finanza'!AG76</f>
        <v>0</v>
      </c>
      <c r="AE76" s="56" t="str">
        <f ca="1">'Mia rosa + Org. Finanza'!AH76</f>
        <v/>
      </c>
      <c r="AF76" s="56" t="str">
        <f ca="1">'Mia rosa + Org. Finanza'!AI76</f>
        <v/>
      </c>
      <c r="AG76" s="56" t="str">
        <f ca="1">'Mia rosa + Org. Finanza'!AJ76</f>
        <v/>
      </c>
    </row>
    <row r="77" spans="1:33" ht="14.25" customHeight="1">
      <c r="A77" s="232" t="str">
        <f ca="1">IF(Giocatori!D68="","P",Giocatori!D68)</f>
        <v>P</v>
      </c>
      <c r="B77" s="232" t="str">
        <f ca="1">IF(Giocatori!E79="","ZZZ" &amp; ROW(),Giocatori!E79)</f>
        <v>ZZZ77</v>
      </c>
      <c r="C77" s="232" t="str">
        <f ca="1">IF(Giocatori!F79="","NDR" &amp; ROW(),Giocatori!F79)</f>
        <v>NDR77</v>
      </c>
      <c r="D77" s="233">
        <f t="shared" ca="1" si="31"/>
        <v>7.6999999999999996E-4</v>
      </c>
      <c r="E77" s="233">
        <f t="shared" ca="1" si="32"/>
        <v>7.6999999999999996E-4</v>
      </c>
      <c r="F77" s="234">
        <f t="shared" ca="1" si="33"/>
        <v>1.5400049408333333E-3</v>
      </c>
      <c r="G77" s="233" t="str">
        <f t="shared" ca="1" si="34"/>
        <v/>
      </c>
      <c r="H77" s="235" t="str">
        <f t="shared" ca="1" si="35"/>
        <v/>
      </c>
      <c r="I77" s="233" t="str">
        <f t="shared" ca="1" si="36"/>
        <v/>
      </c>
      <c r="J77" s="233">
        <f t="shared" ca="1" si="37"/>
        <v>7.6999999999999996E-4</v>
      </c>
      <c r="K77" s="233">
        <f t="shared" ca="1" si="38"/>
        <v>7.6999999999999996E-4</v>
      </c>
      <c r="L77" s="324" t="e">
        <f ca="1">VLOOKUP(Tabella94[[#This Row],[Calciatore]],'Raccolta Aste'!$A$2:$E$33,4,FALSE)*Asta!$U$3/100</f>
        <v>#N/A</v>
      </c>
      <c r="U77" s="311"/>
      <c r="V77" s="311"/>
      <c r="W77" s="56">
        <f t="shared" ca="1" si="39"/>
        <v>67</v>
      </c>
      <c r="X77" s="56">
        <f t="shared" ca="1" si="40"/>
        <v>64</v>
      </c>
      <c r="Y77" s="56">
        <f t="shared" ca="1" si="41"/>
        <v>67</v>
      </c>
      <c r="Z77" s="56">
        <f t="shared" ca="1" si="42"/>
        <v>64</v>
      </c>
      <c r="AA77" s="56">
        <f t="shared" ca="1" si="43"/>
        <v>64</v>
      </c>
      <c r="AB77" s="56">
        <f ca="1">_xlfn.CEILING.MATH(INDIRECT(ADDRESS(7,22+MATCH($P$26,'I.A. + Fasce'!$W$6:$AA$6,0),1,1) &amp; ":" &amp; ADDRESS(79,22+MATCH($P$26,'I.A. + Fasce'!$W$6:$AA$6,0),1,1))/Asta!$H$3)</f>
        <v>9</v>
      </c>
      <c r="AD77" s="56">
        <f>'Mia rosa + Org. Finanza'!AG77</f>
        <v>0</v>
      </c>
      <c r="AE77" s="56" t="str">
        <f ca="1">'Mia rosa + Org. Finanza'!AH77</f>
        <v/>
      </c>
      <c r="AF77" s="56" t="str">
        <f ca="1">'Mia rosa + Org. Finanza'!AI77</f>
        <v/>
      </c>
      <c r="AG77" s="56" t="str">
        <f ca="1">'Mia rosa + Org. Finanza'!AJ77</f>
        <v/>
      </c>
    </row>
    <row r="78" spans="1:33" ht="14.25" customHeight="1">
      <c r="A78" s="232" t="str">
        <f ca="1">IF(Giocatori!D69="","P",Giocatori!D69)</f>
        <v>P</v>
      </c>
      <c r="B78" s="232" t="str">
        <f ca="1">IF(Giocatori!E80="","ZZZ" &amp; ROW(),Giocatori!E80)</f>
        <v>ZZZ78</v>
      </c>
      <c r="C78" s="232" t="str">
        <f ca="1">IF(Giocatori!F80="","NDR" &amp; ROW(),Giocatori!F80)</f>
        <v>NDR78</v>
      </c>
      <c r="D78" s="233">
        <f t="shared" ca="1" si="31"/>
        <v>7.7999999999999999E-4</v>
      </c>
      <c r="E78" s="233">
        <f t="shared" ca="1" si="32"/>
        <v>7.7999999999999999E-4</v>
      </c>
      <c r="F78" s="234">
        <f t="shared" ca="1" si="33"/>
        <v>1.5600050699999999E-3</v>
      </c>
      <c r="G78" s="233" t="str">
        <f t="shared" ca="1" si="34"/>
        <v/>
      </c>
      <c r="H78" s="235" t="str">
        <f t="shared" ca="1" si="35"/>
        <v/>
      </c>
      <c r="I78" s="233" t="str">
        <f t="shared" ca="1" si="36"/>
        <v/>
      </c>
      <c r="J78" s="233">
        <f t="shared" ca="1" si="37"/>
        <v>7.7999999999999999E-4</v>
      </c>
      <c r="K78" s="233">
        <f t="shared" ca="1" si="38"/>
        <v>7.7999999999999999E-4</v>
      </c>
      <c r="L78" s="324" t="e">
        <f ca="1">VLOOKUP(Tabella94[[#This Row],[Calciatore]],'Raccolta Aste'!$A$2:$E$33,4,FALSE)*Asta!$U$3/100</f>
        <v>#N/A</v>
      </c>
      <c r="U78" s="311"/>
      <c r="V78" s="311"/>
      <c r="W78" s="56">
        <f t="shared" ca="1" si="39"/>
        <v>66</v>
      </c>
      <c r="X78" s="56">
        <f t="shared" ca="1" si="40"/>
        <v>63</v>
      </c>
      <c r="Y78" s="56">
        <f t="shared" ca="1" si="41"/>
        <v>66</v>
      </c>
      <c r="Z78" s="56">
        <f t="shared" ca="1" si="42"/>
        <v>63</v>
      </c>
      <c r="AA78" s="56">
        <f t="shared" ca="1" si="43"/>
        <v>63</v>
      </c>
      <c r="AB78" s="56">
        <f ca="1">_xlfn.CEILING.MATH(INDIRECT(ADDRESS(7,22+MATCH($P$26,'I.A. + Fasce'!$W$6:$AA$6,0),1,1) &amp; ":" &amp; ADDRESS(79,22+MATCH($P$26,'I.A. + Fasce'!$W$6:$AA$6,0),1,1))/Asta!$H$3)</f>
        <v>9</v>
      </c>
      <c r="AD78" s="56">
        <f>'Mia rosa + Org. Finanza'!AG78</f>
        <v>0</v>
      </c>
      <c r="AE78" s="56" t="str">
        <f ca="1">'Mia rosa + Org. Finanza'!AH78</f>
        <v/>
      </c>
      <c r="AF78" s="56" t="str">
        <f ca="1">'Mia rosa + Org. Finanza'!AI78</f>
        <v/>
      </c>
      <c r="AG78" s="56" t="str">
        <f ca="1">'Mia rosa + Org. Finanza'!AJ78</f>
        <v/>
      </c>
    </row>
    <row r="79" spans="1:33" ht="14.25" customHeight="1">
      <c r="A79" s="232" t="str">
        <f ca="1">IF(Giocatori!D57="","P",Giocatori!D57)</f>
        <v>P</v>
      </c>
      <c r="B79" s="232" t="str">
        <f ca="1">IF(Giocatori!E81="","ZZZ" &amp; ROW(),Giocatori!E81)</f>
        <v>ZZZ79</v>
      </c>
      <c r="C79" s="232" t="str">
        <f ca="1">IF(Giocatori!F81="","NDR" &amp; ROW(),Giocatori!F81)</f>
        <v>NDR79</v>
      </c>
      <c r="D79" s="233">
        <f t="shared" ca="1" si="31"/>
        <v>7.9000000000000001E-4</v>
      </c>
      <c r="E79" s="233">
        <f t="shared" ca="1" si="32"/>
        <v>7.9000000000000001E-4</v>
      </c>
      <c r="F79" s="234">
        <f t="shared" ca="1" si="33"/>
        <v>1.5800052008333332E-3</v>
      </c>
      <c r="G79" s="236" t="str">
        <f t="shared" ca="1" si="34"/>
        <v/>
      </c>
      <c r="H79" s="237" t="str">
        <f t="shared" ca="1" si="35"/>
        <v/>
      </c>
      <c r="I79" s="236" t="str">
        <f t="shared" ca="1" si="36"/>
        <v/>
      </c>
      <c r="J79" s="233">
        <f t="shared" ca="1" si="37"/>
        <v>7.9000000000000001E-4</v>
      </c>
      <c r="K79" s="233">
        <f t="shared" ca="1" si="38"/>
        <v>7.9000000000000001E-4</v>
      </c>
      <c r="L79" s="324" t="e">
        <f ca="1">VLOOKUP(Tabella94[[#This Row],[Calciatore]],'Raccolta Aste'!$A$2:$E$33,4,FALSE)*Asta!$U$3/100</f>
        <v>#N/A</v>
      </c>
      <c r="U79" s="311"/>
      <c r="V79" s="311"/>
      <c r="W79" s="56">
        <f t="shared" ca="1" si="39"/>
        <v>65</v>
      </c>
      <c r="X79" s="56">
        <f t="shared" ca="1" si="40"/>
        <v>62</v>
      </c>
      <c r="Y79" s="56">
        <f t="shared" ca="1" si="41"/>
        <v>65</v>
      </c>
      <c r="Z79" s="56">
        <f t="shared" ca="1" si="42"/>
        <v>62</v>
      </c>
      <c r="AA79" s="56">
        <f t="shared" ca="1" si="43"/>
        <v>62</v>
      </c>
      <c r="AB79" s="56">
        <f ca="1">_xlfn.CEILING.MATH(INDIRECT(ADDRESS(7,22+MATCH($P$26,'I.A. + Fasce'!$W$6:$AA$6,0),1,1) &amp; ":" &amp; ADDRESS(79,22+MATCH($P$26,'I.A. + Fasce'!$W$6:$AA$6,0),1,1))/Asta!$H$3)</f>
        <v>9</v>
      </c>
      <c r="AD79" s="56">
        <f>'Mia rosa + Org. Finanza'!AG79</f>
        <v>0</v>
      </c>
      <c r="AE79" s="56" t="str">
        <f ca="1">'Mia rosa + Org. Finanza'!AH79</f>
        <v/>
      </c>
      <c r="AF79" s="56" t="str">
        <f ca="1">'Mia rosa + Org. Finanza'!AI79</f>
        <v/>
      </c>
      <c r="AG79" s="56" t="str">
        <f ca="1">'Mia rosa + Org. Finanza'!AJ79</f>
        <v/>
      </c>
    </row>
    <row r="80" spans="1:33" ht="14.25" customHeight="1">
      <c r="AD80" s="56">
        <f>'Mia rosa + Org. Finanza'!AG80</f>
        <v>0</v>
      </c>
      <c r="AE80" s="56" t="str">
        <f ca="1">'Mia rosa + Org. Finanza'!AH80</f>
        <v/>
      </c>
      <c r="AF80" s="56" t="str">
        <f ca="1">'Mia rosa + Org. Finanza'!AI80</f>
        <v/>
      </c>
      <c r="AG80" s="56" t="str">
        <f ca="1">'Mia rosa + Org. Finanza'!AJ80</f>
        <v/>
      </c>
    </row>
    <row r="81" spans="1:33" s="56" customFormat="1" ht="18.75" customHeight="1">
      <c r="A81" s="549" t="s">
        <v>659</v>
      </c>
      <c r="B81" s="549"/>
      <c r="C81" s="549" t="s">
        <v>660</v>
      </c>
      <c r="D81" s="549"/>
      <c r="E81" s="549" t="s">
        <v>661</v>
      </c>
      <c r="F81" s="549"/>
      <c r="G81" s="549"/>
      <c r="H81" s="549"/>
      <c r="I81" s="549" t="s">
        <v>662</v>
      </c>
      <c r="J81" s="549"/>
      <c r="K81" s="549"/>
      <c r="L81" s="549"/>
      <c r="M81" s="549"/>
      <c r="N81" s="549" t="s">
        <v>663</v>
      </c>
      <c r="O81" s="549"/>
      <c r="P81" s="548" t="s">
        <v>664</v>
      </c>
      <c r="Q81" s="548"/>
      <c r="R81" s="548"/>
      <c r="S81" s="548"/>
      <c r="AD81" s="56">
        <f>'Mia rosa + Org. Finanza'!AG81</f>
        <v>0</v>
      </c>
      <c r="AE81" s="56" t="str">
        <f ca="1">'Mia rosa + Org. Finanza'!AH81</f>
        <v/>
      </c>
      <c r="AF81" s="56" t="str">
        <f ca="1">'Mia rosa + Org. Finanza'!AI81</f>
        <v/>
      </c>
      <c r="AG81" s="56" t="str">
        <f ca="1">'Mia rosa + Org. Finanza'!AJ81</f>
        <v/>
      </c>
    </row>
    <row r="82" spans="1:33" ht="14.25" customHeight="1">
      <c r="AD82" s="56">
        <f>'Mia rosa + Org. Finanza'!AG82</f>
        <v>0</v>
      </c>
      <c r="AE82" s="56" t="str">
        <f ca="1">'Mia rosa + Org. Finanza'!AH82</f>
        <v/>
      </c>
      <c r="AF82" s="56" t="str">
        <f ca="1">'Mia rosa + Org. Finanza'!AI82</f>
        <v/>
      </c>
      <c r="AG82" s="56" t="str">
        <f ca="1">'Mia rosa + Org. Finanza'!AJ82</f>
        <v/>
      </c>
    </row>
    <row r="83" spans="1:33" ht="14.25" customHeight="1">
      <c r="A83" s="550" t="s">
        <v>38</v>
      </c>
      <c r="B83" s="550"/>
      <c r="C83" s="550"/>
      <c r="D83" s="550"/>
      <c r="E83" s="550"/>
      <c r="F83" s="550"/>
      <c r="G83" s="547" t="s">
        <v>704</v>
      </c>
      <c r="H83" s="547"/>
      <c r="I83" s="194"/>
      <c r="J83" s="8" t="s">
        <v>665</v>
      </c>
      <c r="K83" s="8" t="s">
        <v>665</v>
      </c>
      <c r="L83" s="456"/>
      <c r="N83" s="58"/>
      <c r="O83" s="59" t="s">
        <v>666</v>
      </c>
      <c r="P83" s="59" t="s">
        <v>637</v>
      </c>
      <c r="Q83" s="58"/>
      <c r="R83" s="59" t="s">
        <v>667</v>
      </c>
      <c r="S83" s="59" t="s">
        <v>637</v>
      </c>
      <c r="AD83" s="56">
        <f>'Mia rosa + Org. Finanza'!AG83</f>
        <v>0</v>
      </c>
      <c r="AE83" s="56" t="str">
        <f ca="1">'Mia rosa + Org. Finanza'!AH83</f>
        <v/>
      </c>
      <c r="AF83" s="56" t="str">
        <f ca="1">'Mia rosa + Org. Finanza'!AI83</f>
        <v/>
      </c>
      <c r="AG83" s="56" t="str">
        <f ca="1">'Mia rosa + Org. Finanza'!AJ83</f>
        <v/>
      </c>
    </row>
    <row r="84" spans="1:33" s="317" customFormat="1" ht="14.25" customHeight="1">
      <c r="A84" s="312" t="s">
        <v>638</v>
      </c>
      <c r="B84" s="312" t="s">
        <v>668</v>
      </c>
      <c r="C84" s="314" t="s">
        <v>637</v>
      </c>
      <c r="D84" s="315" t="s">
        <v>669</v>
      </c>
      <c r="E84" s="315" t="s">
        <v>670</v>
      </c>
      <c r="F84" s="315" t="s">
        <v>1315</v>
      </c>
      <c r="G84" s="312" t="s">
        <v>671</v>
      </c>
      <c r="H84" s="321" t="s">
        <v>672</v>
      </c>
      <c r="I84" s="321" t="s">
        <v>673</v>
      </c>
      <c r="J84" s="321" t="s">
        <v>674</v>
      </c>
      <c r="K84" s="321" t="s">
        <v>675</v>
      </c>
      <c r="L84" s="321" t="s">
        <v>1998</v>
      </c>
      <c r="N84" s="318"/>
      <c r="O84" s="319"/>
      <c r="P84" s="319"/>
      <c r="Q84" s="318"/>
      <c r="R84" s="319"/>
      <c r="S84" s="319"/>
      <c r="W84" s="317" t="s">
        <v>669</v>
      </c>
      <c r="X84" s="317" t="s">
        <v>670</v>
      </c>
      <c r="Y84" s="317" t="s">
        <v>1315</v>
      </c>
      <c r="Z84" s="317" t="s">
        <v>1466</v>
      </c>
      <c r="AA84" s="317" t="s">
        <v>1468</v>
      </c>
      <c r="AB84" s="317" t="s">
        <v>1475</v>
      </c>
      <c r="AD84" s="320">
        <f>'Mia rosa + Org. Finanza'!AG84</f>
        <v>0</v>
      </c>
      <c r="AE84" s="320" t="str">
        <f ca="1">'Mia rosa + Org. Finanza'!AH84</f>
        <v/>
      </c>
      <c r="AF84" s="320" t="str">
        <f ca="1">'Mia rosa + Org. Finanza'!AI84</f>
        <v/>
      </c>
      <c r="AG84" s="320" t="str">
        <f ca="1">'Mia rosa + Org. Finanza'!AJ84</f>
        <v/>
      </c>
    </row>
    <row r="85" spans="1:33" s="56" customFormat="1" ht="14.25" customHeight="1">
      <c r="A85" s="238" t="str">
        <f ca="1">IF(Giocatori!G9="","D",Giocatori!G9)</f>
        <v>D</v>
      </c>
      <c r="B85" s="238" t="str">
        <f ca="1">IF(Giocatori!H9="","ZZZ" &amp; ROW(),Giocatori!H9)</f>
        <v>ABATE</v>
      </c>
      <c r="C85" s="238" t="str">
        <f ca="1">IF(Giocatori!I9="","NDR" &amp; ROW(),Giocatori!I9)</f>
        <v>Milan</v>
      </c>
      <c r="D85" s="63">
        <f t="shared" ref="D85:D148" ca="1" si="44">IF(ISNA(VLOOKUP($B85,TabAlgTutti,6,FALSE)),0,VLOOKUP($B85,TabAlgTutti,6,FALSE))+ROW()/100000</f>
        <v>68.00085</v>
      </c>
      <c r="E85" s="63">
        <f t="shared" ref="E85:E148" ca="1" si="45">IF(ISNA(VLOOKUP($B85,TabAlgTutti,5,FALSE)),0,VLOOKUP($B85,TabAlgTutti,5,FALSE))+ROW()/100000</f>
        <v>38.00085</v>
      </c>
      <c r="F85" s="64">
        <f t="shared" ref="F85:F148" ca="1" si="46">($D85*$P$8+$E85*(1+$E85*100/60/100)*$S$8)/100+ROW()/100000</f>
        <v>65.035571672687496</v>
      </c>
      <c r="G85" s="63" t="str">
        <f t="shared" ref="G85:G148" ca="1" si="47">IF(ISNA(VLOOKUP($B85,TabAlgTutti,7,FALSE)),"",IF(VLOOKUP($B85,TabAlgTutti,7,FALSE)=-1,"SCONSIGLIATO",IF(VLOOKUP($B85,TabAlgTutti,7,FALSE)=0,"SORPRESA",IF(VLOOKUP($B85,TabAlgTutti,7,FALSE)=1,"CONSIGLIATO",""))))</f>
        <v/>
      </c>
      <c r="H85" s="65">
        <f t="shared" ref="H85:H148" ca="1" si="48">IF(ISNA(VLOOKUP($B85,TabAlgTutti,8,FALSE)),"",VLOOKUP($B85,TabAlgTutti,8,FALSE))</f>
        <v>60</v>
      </c>
      <c r="I85" s="323" t="str">
        <f t="shared" ref="I85:I148" ca="1" si="49">IF(ISNA(VLOOKUP($B85,TabAlgTutti,9,FALSE)),"",IF(VLOOKUP($B85,TabAlgTutti,9,FALSE)="","",VLOOKUP($B85,TabAlgTutti,9,FALSE)&amp;"R "))&amp;IF(ISNA(VLOOKUP($B85,TabAlgTutti,10,FALSE)),"",IF(VLOOKUP($B85,TabAlgTutti,10,FALSE)="","",VLOOKUP($B85,TabAlgTutti,10,FALSE)&amp;"P "))&amp;IF(ISNA(VLOOKUP($B85,TabAlgTutti,11,FALSE)),"",IF(VLOOKUP($B85,TabAlgTutti,11,FALSE)="","",VLOOKUP($B85,TabAlgTutti,11,FALSE)&amp;"A"))</f>
        <v/>
      </c>
      <c r="J85" s="63">
        <f t="shared" ref="J85:J148" ca="1" si="50">IF(ISNA(VLOOKUP($B85,TabAlgTutti,3,FALSE)),0,VLOOKUP($B85,TabAlgTutti,3,FALSE))+ROW()/100000</f>
        <v>3.3123926408216136</v>
      </c>
      <c r="K85" s="63">
        <f t="shared" ref="K85:K148" ca="1" si="51">IF(ISNA(VLOOKUP($B85,TabAlgTutti,4,FALSE)),0,VLOOKUP($B85,TabAlgTutti,4,FALSE))+ROW()/100000</f>
        <v>2.6932787241897209</v>
      </c>
      <c r="L85" s="324" t="e">
        <f ca="1">VLOOKUP(Tabella113[[#This Row],[Calciatore]],'Raccolta Aste'!$F$2:$J$33,4,FALSE)*Asta!$U$3/100</f>
        <v>#N/A</v>
      </c>
      <c r="N85" s="29">
        <f>N34</f>
        <v>1</v>
      </c>
      <c r="O85" s="54" t="str">
        <f ca="1">IF(ISNUMBER(N85),INDIRECT("B" &amp; 84 + MATCH(N85,INDIRECT(ADDRESS(85,22+MATCH($P$27,'I.A. + Fasce'!$W$84:$AA$84,0),1,1) &amp; ":" &amp; ADDRESS(305,22+MATCH($P$27,'I.A. + Fasce'!$W$84:$AA$84,0),1,1)),0)),"")</f>
        <v>KOULIBALY</v>
      </c>
      <c r="P85" s="54" t="str">
        <f ca="1">IF(O85="","",VLOOKUP(O85,$B$85:$C$305,2,FALSE))</f>
        <v>Napoli</v>
      </c>
      <c r="Q85" s="59">
        <f t="shared" ref="Q85:Q96" si="52">IF(ISNUMBER(N85),N85+COUNTIF($N$34:$N$45,"&gt;0"),"")</f>
        <v>9</v>
      </c>
      <c r="R85" s="54" t="str">
        <f ca="1">IF(ISNUMBER(Q85),INDIRECT("B" &amp; 84 + MATCH(Q85,INDIRECT(ADDRESS(85,22+MATCH($P$27,'I.A. + Fasce'!$W$84:$AA$84,0),1,1) &amp; ":" &amp; ADDRESS(305,22+MATCH($P$27,'I.A. + Fasce'!$W$84:$AA$84,0),1,1)),0)),"")</f>
        <v>ALBIOL</v>
      </c>
      <c r="S85" s="54" t="str">
        <f ca="1">IF(R85="","",VLOOKUP(R85,$B$85:$C$305,2,FALSE))</f>
        <v>Napoli</v>
      </c>
      <c r="U85" s="311"/>
      <c r="V85" s="311"/>
      <c r="W85" s="56">
        <f ca="1">_xlfn.RANK.EQ(D85,D$85:D$305,0)</f>
        <v>113</v>
      </c>
      <c r="X85" s="56">
        <f ca="1">_xlfn.RANK.EQ(E85,$E$85:$E$305,0)</f>
        <v>87</v>
      </c>
      <c r="Y85" s="56">
        <f ca="1">_xlfn.RANK.EQ(F85,$F$85:$F$305,0)</f>
        <v>89</v>
      </c>
      <c r="Z85" s="56">
        <f ca="1">_xlfn.RANK.EQ(J85,$J$85:$J$305,0)</f>
        <v>57</v>
      </c>
      <c r="AA85" s="56">
        <f ca="1">_xlfn.RANK.EQ(K85,$K$85:$K$305,0)</f>
        <v>60</v>
      </c>
      <c r="AB85" s="56">
        <f ca="1">_xlfn.CEILING.MATH(INDIRECT(ADDRESS(85,22+MATCH($P$27,'I.A. + Fasce'!$W$84:$AA$84,0),1,1) &amp; ":" &amp; ADDRESS(305,22+MATCH($P$27,'I.A. + Fasce'!$W$84:$AA$84,0),1,1))/Asta!$H$3)</f>
        <v>11</v>
      </c>
      <c r="AD85" s="56">
        <f>'Mia rosa + Org. Finanza'!AG85</f>
        <v>0</v>
      </c>
      <c r="AE85" s="56" t="str">
        <f ca="1">'Mia rosa + Org. Finanza'!AH85</f>
        <v/>
      </c>
      <c r="AF85" s="56" t="str">
        <f ca="1">'Mia rosa + Org. Finanza'!AI85</f>
        <v/>
      </c>
      <c r="AG85" s="56" t="str">
        <f ca="1">'Mia rosa + Org. Finanza'!AJ85</f>
        <v/>
      </c>
    </row>
    <row r="86" spans="1:33" s="56" customFormat="1" ht="14.25" customHeight="1">
      <c r="A86" s="238" t="str">
        <f ca="1">IF(Giocatori!G10="","D",Giocatori!G10)</f>
        <v>D</v>
      </c>
      <c r="B86" s="238" t="str">
        <f ca="1">IF(Giocatori!H10="","ZZZ" &amp; ROW(),Giocatori!H10)</f>
        <v>ACERBI</v>
      </c>
      <c r="C86" s="238" t="str">
        <f ca="1">IF(Giocatori!I10="","NDR" &amp; ROW(),Giocatori!I10)</f>
        <v>Sassuolo</v>
      </c>
      <c r="D86" s="63">
        <f t="shared" ca="1" si="44"/>
        <v>93.000860000000003</v>
      </c>
      <c r="E86" s="63">
        <f t="shared" ca="1" si="45"/>
        <v>51.000860000000003</v>
      </c>
      <c r="F86" s="64">
        <f t="shared" ca="1" si="46"/>
        <v>93.677451006163352</v>
      </c>
      <c r="G86" s="63" t="str">
        <f t="shared" ca="1" si="47"/>
        <v>CONSIGLIATO</v>
      </c>
      <c r="H86" s="65">
        <f t="shared" ca="1" si="48"/>
        <v>90</v>
      </c>
      <c r="I86" s="63" t="str">
        <f t="shared" ca="1" si="49"/>
        <v/>
      </c>
      <c r="J86" s="63">
        <f t="shared" ca="1" si="50"/>
        <v>22.185447547094984</v>
      </c>
      <c r="K86" s="63">
        <f t="shared" ca="1" si="51"/>
        <v>22.950209502230862</v>
      </c>
      <c r="L86" s="324">
        <f ca="1">VLOOKUP(Tabella113[[#This Row],[Calciatore]],'Raccolta Aste'!$F$2:$J$33,4,FALSE)*Asta!$U$3/100</f>
        <v>13.125</v>
      </c>
      <c r="N86" s="29">
        <f t="shared" ref="N86:N96" si="53">N35</f>
        <v>2</v>
      </c>
      <c r="O86" s="54" t="str">
        <f ca="1">IF(ISNUMBER(N86),INDIRECT("B" &amp; 84 + MATCH(N86,INDIRECT(ADDRESS(85,22+MATCH($P$27,'I.A. + Fasce'!$W$84:$AA$84,0),1,1) &amp; ":" &amp; ADDRESS(305,22+MATCH($P$27,'I.A. + Fasce'!$W$84:$AA$84,0),1,1)),0)),"")</f>
        <v>ALEX SANDRO</v>
      </c>
      <c r="P86" s="54" t="str">
        <f t="shared" ref="P86:P96" ca="1" si="54">IF(O86="","",VLOOKUP(O86,$B$85:$C$305,2,FALSE))</f>
        <v>Juventus</v>
      </c>
      <c r="Q86" s="59">
        <f t="shared" si="52"/>
        <v>10</v>
      </c>
      <c r="R86" s="54" t="str">
        <f ca="1">IF(ISNUMBER(Q86),INDIRECT("B" &amp; 84 + MATCH(Q86,INDIRECT(ADDRESS(85,22+MATCH($P$27,'I.A. + Fasce'!$W$84:$AA$84,0),1,1) &amp; ":" &amp; ADDRESS(305,22+MATCH($P$27,'I.A. + Fasce'!$W$84:$AA$84,0),1,1)),0)),"")</f>
        <v>FLORENZI</v>
      </c>
      <c r="S86" s="54" t="str">
        <f t="shared" ref="S86:S96" ca="1" si="55">IF(R86="","",VLOOKUP(R86,$B$85:$C$305,2,FALSE))</f>
        <v>Roma</v>
      </c>
      <c r="U86" s="311"/>
      <c r="V86" s="311"/>
      <c r="W86" s="56">
        <f t="shared" ref="W86:W149" ca="1" si="56">_xlfn.RANK.EQ(D86,D$85:D$305,0)</f>
        <v>5</v>
      </c>
      <c r="X86" s="56">
        <f t="shared" ref="X86:X149" ca="1" si="57">_xlfn.RANK.EQ(E86,$E$85:$E$305,0)</f>
        <v>3</v>
      </c>
      <c r="Y86" s="56">
        <f t="shared" ref="Y86:Y149" ca="1" si="58">_xlfn.RANK.EQ(F86,$F$85:$F$305,0)</f>
        <v>2</v>
      </c>
      <c r="Z86" s="56">
        <f t="shared" ref="Z86:Z149" ca="1" si="59">_xlfn.RANK.EQ(J86,$J$85:$J$305,0)</f>
        <v>4</v>
      </c>
      <c r="AA86" s="56">
        <f t="shared" ref="AA86:AA149" ca="1" si="60">_xlfn.RANK.EQ(K86,$K$85:$K$305,0)</f>
        <v>4</v>
      </c>
      <c r="AB86" s="56">
        <f ca="1">_xlfn.CEILING.MATH(INDIRECT(ADDRESS(85,22+MATCH($P$27,'I.A. + Fasce'!$W$84:$AA$84,0),1,1) &amp; ":" &amp; ADDRESS(305,22+MATCH($P$27,'I.A. + Fasce'!$W$84:$AA$84,0),1,1))/Asta!$H$3)</f>
        <v>1</v>
      </c>
      <c r="AD86" s="56">
        <f>'Mia rosa + Org. Finanza'!AG86</f>
        <v>0</v>
      </c>
      <c r="AE86" s="56" t="str">
        <f ca="1">'Mia rosa + Org. Finanza'!AH86</f>
        <v/>
      </c>
      <c r="AF86" s="56" t="str">
        <f ca="1">'Mia rosa + Org. Finanza'!AI86</f>
        <v/>
      </c>
      <c r="AG86" s="56" t="str">
        <f ca="1">'Mia rosa + Org. Finanza'!AJ86</f>
        <v/>
      </c>
    </row>
    <row r="87" spans="1:33" ht="14.25" customHeight="1">
      <c r="A87" s="238" t="str">
        <f ca="1">IF(Giocatori!G11="","D",Giocatori!G11)</f>
        <v>D</v>
      </c>
      <c r="B87" s="238" t="str">
        <f ca="1">IF(Giocatori!H11="","ZZZ" &amp; ROW(),Giocatori!H11)</f>
        <v>ADJAPONG</v>
      </c>
      <c r="C87" s="238" t="str">
        <f ca="1">IF(Giocatori!I11="","NDR" &amp; ROW(),Giocatori!I11)</f>
        <v>Sassuolo</v>
      </c>
      <c r="D87" s="63">
        <f t="shared" ca="1" si="44"/>
        <v>60.000869999999999</v>
      </c>
      <c r="E87" s="63">
        <f t="shared" ca="1" si="45"/>
        <v>33.000869999999999</v>
      </c>
      <c r="F87" s="64">
        <f t="shared" ca="1" si="46"/>
        <v>55.577218506307496</v>
      </c>
      <c r="G87" s="63" t="str">
        <f t="shared" ca="1" si="47"/>
        <v/>
      </c>
      <c r="H87" s="65">
        <f t="shared" ca="1" si="48"/>
        <v>50</v>
      </c>
      <c r="I87" s="63" t="str">
        <f t="shared" ca="1" si="49"/>
        <v/>
      </c>
      <c r="J87" s="63">
        <f t="shared" ca="1" si="50"/>
        <v>1.0008699999999999</v>
      </c>
      <c r="K87" s="63">
        <f t="shared" ca="1" si="51"/>
        <v>1.0008699999999999</v>
      </c>
      <c r="L87" s="324" t="e">
        <f ca="1">VLOOKUP(Tabella113[[#This Row],[Calciatore]],'Raccolta Aste'!$F$2:$J$33,4,FALSE)*Asta!$U$3/100</f>
        <v>#N/A</v>
      </c>
      <c r="N87" s="29">
        <f t="shared" si="53"/>
        <v>3</v>
      </c>
      <c r="O87" s="54" t="str">
        <f ca="1">IF(ISNUMBER(N87),INDIRECT("B" &amp; 84 + MATCH(N87,INDIRECT(ADDRESS(85,22+MATCH($P$27,'I.A. + Fasce'!$W$84:$AA$84,0),1,1) &amp; ":" &amp; ADDRESS(305,22+MATCH($P$27,'I.A. + Fasce'!$W$84:$AA$84,0),1,1)),0)),"")</f>
        <v>ACERBI</v>
      </c>
      <c r="P87" s="54" t="str">
        <f t="shared" ca="1" si="54"/>
        <v>Sassuolo</v>
      </c>
      <c r="Q87" s="59">
        <f t="shared" si="52"/>
        <v>11</v>
      </c>
      <c r="R87" s="54" t="str">
        <f ca="1">IF(ISNUMBER(Q87),INDIRECT("B" &amp; 84 + MATCH(Q87,INDIRECT(ADDRESS(85,22+MATCH($P$27,'I.A. + Fasce'!$W$84:$AA$84,0),1,1) &amp; ":" &amp; ADDRESS(305,22+MATCH($P$27,'I.A. + Fasce'!$W$84:$AA$84,0),1,1)),0)),"")</f>
        <v>DE VRIJ</v>
      </c>
      <c r="S87" s="54" t="str">
        <f t="shared" ca="1" si="55"/>
        <v>Lazio</v>
      </c>
      <c r="U87" s="311"/>
      <c r="V87" s="311"/>
      <c r="W87" s="56">
        <f t="shared" ca="1" si="56"/>
        <v>158</v>
      </c>
      <c r="X87" s="56">
        <f t="shared" ca="1" si="57"/>
        <v>148</v>
      </c>
      <c r="Y87" s="56">
        <f t="shared" ca="1" si="58"/>
        <v>152</v>
      </c>
      <c r="Z87" s="56">
        <f t="shared" ca="1" si="59"/>
        <v>186</v>
      </c>
      <c r="AA87" s="56">
        <f t="shared" ca="1" si="60"/>
        <v>186</v>
      </c>
      <c r="AB87" s="56">
        <f ca="1">_xlfn.CEILING.MATH(INDIRECT(ADDRESS(85,22+MATCH($P$27,'I.A. + Fasce'!$W$84:$AA$84,0),1,1) &amp; ":" &amp; ADDRESS(305,22+MATCH($P$27,'I.A. + Fasce'!$W$84:$AA$84,0),1,1))/Asta!$H$3)</f>
        <v>19</v>
      </c>
      <c r="AD87" s="56">
        <f>'Mia rosa + Org. Finanza'!AG87</f>
        <v>0</v>
      </c>
      <c r="AE87" s="56" t="str">
        <f ca="1">'Mia rosa + Org. Finanza'!AH87</f>
        <v/>
      </c>
      <c r="AF87" s="56" t="str">
        <f ca="1">'Mia rosa + Org. Finanza'!AI87</f>
        <v/>
      </c>
      <c r="AG87" s="56" t="str">
        <f ca="1">'Mia rosa + Org. Finanza'!AJ87</f>
        <v/>
      </c>
    </row>
    <row r="88" spans="1:33" ht="14.25" customHeight="1">
      <c r="A88" s="238" t="str">
        <f ca="1">IF(Giocatori!G12="","D",Giocatori!G12)</f>
        <v>D</v>
      </c>
      <c r="B88" s="238" t="str">
        <f ca="1">IF(Giocatori!H12="","ZZZ" &amp; ROW(),Giocatori!H12)</f>
        <v>ADNAN</v>
      </c>
      <c r="C88" s="238" t="str">
        <f ca="1">IF(Giocatori!I12="","NDR" &amp; ROW(),Giocatori!I12)</f>
        <v>Udinese</v>
      </c>
      <c r="D88" s="63">
        <f t="shared" ca="1" si="44"/>
        <v>65.000879999999995</v>
      </c>
      <c r="E88" s="63">
        <f t="shared" ca="1" si="45"/>
        <v>32.000880000000002</v>
      </c>
      <c r="F88" s="64">
        <f t="shared" ca="1" si="46"/>
        <v>57.035562673120005</v>
      </c>
      <c r="G88" s="63" t="str">
        <f t="shared" ca="1" si="47"/>
        <v/>
      </c>
      <c r="H88" s="65">
        <f t="shared" ca="1" si="48"/>
        <v>40</v>
      </c>
      <c r="I88" s="63" t="str">
        <f t="shared" ca="1" si="49"/>
        <v/>
      </c>
      <c r="J88" s="63">
        <f t="shared" ca="1" si="50"/>
        <v>1.00088</v>
      </c>
      <c r="K88" s="63">
        <f t="shared" ca="1" si="51"/>
        <v>1.00088</v>
      </c>
      <c r="L88" s="324" t="e">
        <f ca="1">VLOOKUP(Tabella113[[#This Row],[Calciatore]],'Raccolta Aste'!$F$2:$J$33,4,FALSE)*Asta!$U$3/100</f>
        <v>#N/A</v>
      </c>
      <c r="N88" s="29">
        <f t="shared" si="53"/>
        <v>4</v>
      </c>
      <c r="O88" s="54" t="str">
        <f ca="1">IF(ISNUMBER(N88),INDIRECT("B" &amp; 84 + MATCH(N88,INDIRECT(ADDRESS(85,22+MATCH($P$27,'I.A. + Fasce'!$W$84:$AA$84,0),1,1) &amp; ":" &amp; ADDRESS(305,22+MATCH($P$27,'I.A. + Fasce'!$W$84:$AA$84,0),1,1)),0)),"")</f>
        <v>BONUCCI</v>
      </c>
      <c r="P88" s="54" t="str">
        <f t="shared" ca="1" si="54"/>
        <v>Milan</v>
      </c>
      <c r="Q88" s="59">
        <f t="shared" si="52"/>
        <v>12</v>
      </c>
      <c r="R88" s="54" t="str">
        <f ca="1">IF(ISNUMBER(Q88),INDIRECT("B" &amp; 84 + MATCH(Q88,INDIRECT(ADDRESS(85,22+MATCH($P$27,'I.A. + Fasce'!$W$84:$AA$84,0),1,1) &amp; ":" &amp; ADDRESS(305,22+MATCH($P$27,'I.A. + Fasce'!$W$84:$AA$84,0),1,1)),0)),"")</f>
        <v>CHIELLINI</v>
      </c>
      <c r="S88" s="54" t="str">
        <f t="shared" ca="1" si="55"/>
        <v>Juventus</v>
      </c>
      <c r="U88" s="311"/>
      <c r="V88" s="311"/>
      <c r="W88" s="56">
        <f t="shared" ca="1" si="56"/>
        <v>138</v>
      </c>
      <c r="X88" s="56">
        <f t="shared" ca="1" si="57"/>
        <v>159</v>
      </c>
      <c r="Y88" s="56">
        <f t="shared" ca="1" si="58"/>
        <v>144</v>
      </c>
      <c r="Z88" s="56">
        <f t="shared" ca="1" si="59"/>
        <v>185</v>
      </c>
      <c r="AA88" s="56">
        <f t="shared" ca="1" si="60"/>
        <v>185</v>
      </c>
      <c r="AB88" s="56">
        <f ca="1">_xlfn.CEILING.MATH(INDIRECT(ADDRESS(85,22+MATCH($P$27,'I.A. + Fasce'!$W$84:$AA$84,0),1,1) &amp; ":" &amp; ADDRESS(305,22+MATCH($P$27,'I.A. + Fasce'!$W$84:$AA$84,0),1,1))/Asta!$H$3)</f>
        <v>20</v>
      </c>
      <c r="AD88" s="56">
        <f>'Mia rosa + Org. Finanza'!AG88</f>
        <v>0</v>
      </c>
      <c r="AE88" s="56" t="str">
        <f ca="1">'Mia rosa + Org. Finanza'!AH88</f>
        <v/>
      </c>
      <c r="AF88" s="56" t="str">
        <f ca="1">'Mia rosa + Org. Finanza'!AI88</f>
        <v/>
      </c>
      <c r="AG88" s="56" t="str">
        <f ca="1">'Mia rosa + Org. Finanza'!AJ88</f>
        <v/>
      </c>
    </row>
    <row r="89" spans="1:33" ht="14.25" customHeight="1">
      <c r="A89" s="238" t="str">
        <f ca="1">IF(Giocatori!G13="","D",Giocatori!G13)</f>
        <v>D</v>
      </c>
      <c r="B89" s="238" t="str">
        <f ca="1">IF(Giocatori!H13="","ZZZ" &amp; ROW(),Giocatori!H13)</f>
        <v>AJETI</v>
      </c>
      <c r="C89" s="238" t="str">
        <f ca="1">IF(Giocatori!I13="","NDR" &amp; ROW(),Giocatori!I13)</f>
        <v>Crotone</v>
      </c>
      <c r="D89" s="63">
        <f t="shared" ca="1" si="44"/>
        <v>69.000889999999998</v>
      </c>
      <c r="E89" s="63">
        <f t="shared" ca="1" si="45"/>
        <v>35.000889999999998</v>
      </c>
      <c r="F89" s="64">
        <f t="shared" ca="1" si="46"/>
        <v>62.210632506600831</v>
      </c>
      <c r="G89" s="63" t="str">
        <f t="shared" ca="1" si="47"/>
        <v/>
      </c>
      <c r="H89" s="65">
        <f t="shared" ca="1" si="48"/>
        <v>60</v>
      </c>
      <c r="I89" s="63" t="str">
        <f t="shared" ca="1" si="49"/>
        <v/>
      </c>
      <c r="J89" s="63">
        <f t="shared" ca="1" si="50"/>
        <v>1.0008900000000001</v>
      </c>
      <c r="K89" s="63">
        <f t="shared" ca="1" si="51"/>
        <v>1.0008900000000001</v>
      </c>
      <c r="L89" s="324" t="e">
        <f ca="1">VLOOKUP(Tabella113[[#This Row],[Calciatore]],'Raccolta Aste'!$F$2:$J$33,4,FALSE)*Asta!$U$3/100</f>
        <v>#N/A</v>
      </c>
      <c r="N89" s="29">
        <f t="shared" si="53"/>
        <v>5</v>
      </c>
      <c r="O89" s="54" t="str">
        <f ca="1">IF(ISNUMBER(N89),INDIRECT("B" &amp; 84 + MATCH(N89,INDIRECT(ADDRESS(85,22+MATCH($P$27,'I.A. + Fasce'!$W$84:$AA$84,0),1,1) &amp; ":" &amp; ADDRESS(305,22+MATCH($P$27,'I.A. + Fasce'!$W$84:$AA$84,0),1,1)),0)),"")</f>
        <v>GHOULAM</v>
      </c>
      <c r="P89" s="54" t="str">
        <f t="shared" ca="1" si="54"/>
        <v>Napoli</v>
      </c>
      <c r="Q89" s="59">
        <f t="shared" si="52"/>
        <v>13</v>
      </c>
      <c r="R89" s="54" t="str">
        <f ca="1">IF(ISNUMBER(Q89),INDIRECT("B" &amp; 84 + MATCH(Q89,INDIRECT(ADDRESS(85,22+MATCH($P$27,'I.A. + Fasce'!$W$84:$AA$84,0),1,1) &amp; ":" &amp; ADDRESS(305,22+MATCH($P$27,'I.A. + Fasce'!$W$84:$AA$84,0),1,1)),0)),"")</f>
        <v>RUGANI</v>
      </c>
      <c r="S89" s="54" t="str">
        <f t="shared" ca="1" si="55"/>
        <v>Juventus</v>
      </c>
      <c r="U89" s="311"/>
      <c r="V89" s="311"/>
      <c r="W89" s="56">
        <f t="shared" ca="1" si="56"/>
        <v>101</v>
      </c>
      <c r="X89" s="56">
        <f t="shared" ca="1" si="57"/>
        <v>123</v>
      </c>
      <c r="Y89" s="56">
        <f t="shared" ca="1" si="58"/>
        <v>107</v>
      </c>
      <c r="Z89" s="56">
        <f t="shared" ca="1" si="59"/>
        <v>184</v>
      </c>
      <c r="AA89" s="56">
        <f t="shared" ca="1" si="60"/>
        <v>184</v>
      </c>
      <c r="AB89" s="56">
        <f ca="1">_xlfn.CEILING.MATH(INDIRECT(ADDRESS(85,22+MATCH($P$27,'I.A. + Fasce'!$W$84:$AA$84,0),1,1) &amp; ":" &amp; ADDRESS(305,22+MATCH($P$27,'I.A. + Fasce'!$W$84:$AA$84,0),1,1))/Asta!$H$3)</f>
        <v>16</v>
      </c>
      <c r="AD89" s="56">
        <f>'Mia rosa + Org. Finanza'!AG89</f>
        <v>0</v>
      </c>
      <c r="AE89" s="56" t="str">
        <f ca="1">'Mia rosa + Org. Finanza'!AH89</f>
        <v/>
      </c>
      <c r="AF89" s="56" t="str">
        <f ca="1">'Mia rosa + Org. Finanza'!AI89</f>
        <v/>
      </c>
      <c r="AG89" s="56" t="str">
        <f ca="1">'Mia rosa + Org. Finanza'!AJ89</f>
        <v/>
      </c>
    </row>
    <row r="90" spans="1:33" ht="14.25" customHeight="1">
      <c r="A90" s="238" t="str">
        <f ca="1">IF(Giocatori!G14="","D",Giocatori!G14)</f>
        <v>D</v>
      </c>
      <c r="B90" s="238" t="str">
        <f ca="1">IF(Giocatori!H14="","ZZZ" &amp; ROW(),Giocatori!H14)</f>
        <v>ALBERTAZZI</v>
      </c>
      <c r="C90" s="238" t="str">
        <f ca="1">IF(Giocatori!I14="","NDR" &amp; ROW(),Giocatori!I14)</f>
        <v>Verona</v>
      </c>
      <c r="D90" s="63">
        <f t="shared" ca="1" si="44"/>
        <v>45.000900000000001</v>
      </c>
      <c r="E90" s="63">
        <f t="shared" ca="1" si="45"/>
        <v>8.9999999999999998E-4</v>
      </c>
      <c r="F90" s="64">
        <f t="shared" ca="1" si="46"/>
        <v>22.501800006750003</v>
      </c>
      <c r="G90" s="63" t="str">
        <f t="shared" ca="1" si="47"/>
        <v/>
      </c>
      <c r="H90" s="65">
        <f t="shared" ca="1" si="48"/>
        <v>0</v>
      </c>
      <c r="I90" s="63" t="str">
        <f t="shared" ca="1" si="49"/>
        <v/>
      </c>
      <c r="J90" s="63">
        <f t="shared" ca="1" si="50"/>
        <v>1.0008999999999999</v>
      </c>
      <c r="K90" s="63">
        <f t="shared" ca="1" si="51"/>
        <v>1.0008999999999999</v>
      </c>
      <c r="L90" s="324" t="e">
        <f ca="1">VLOOKUP(Tabella113[[#This Row],[Calciatore]],'Raccolta Aste'!$F$2:$J$33,4,FALSE)*Asta!$U$3/100</f>
        <v>#N/A</v>
      </c>
      <c r="N90" s="29">
        <f t="shared" si="53"/>
        <v>6</v>
      </c>
      <c r="O90" s="54" t="str">
        <f ca="1">IF(ISNUMBER(N90),INDIRECT("B" &amp; 84 + MATCH(N90,INDIRECT(ADDRESS(85,22+MATCH($P$27,'I.A. + Fasce'!$W$84:$AA$84,0),1,1) &amp; ":" &amp; ADDRESS(305,22+MATCH($P$27,'I.A. + Fasce'!$W$84:$AA$84,0),1,1)),0)),"")</f>
        <v>RODRIGUEZ R</v>
      </c>
      <c r="P90" s="54" t="str">
        <f t="shared" ca="1" si="54"/>
        <v>Milan</v>
      </c>
      <c r="Q90" s="59">
        <f t="shared" si="52"/>
        <v>14</v>
      </c>
      <c r="R90" s="54" t="str">
        <f ca="1">IF(ISNUMBER(Q90),INDIRECT("B" &amp; 84 + MATCH(Q90,INDIRECT(ADDRESS(85,22+MATCH($P$27,'I.A. + Fasce'!$W$84:$AA$84,0),1,1) &amp; ":" &amp; ADDRESS(305,22+MATCH($P$27,'I.A. + Fasce'!$W$84:$AA$84,0),1,1)),0)),"")</f>
        <v>ROMULO</v>
      </c>
      <c r="S90" s="54" t="str">
        <f t="shared" ca="1" si="55"/>
        <v>Verona</v>
      </c>
      <c r="U90" s="311"/>
      <c r="V90" s="311"/>
      <c r="W90" s="56">
        <f t="shared" ca="1" si="56"/>
        <v>184</v>
      </c>
      <c r="X90" s="56">
        <f t="shared" ca="1" si="57"/>
        <v>221</v>
      </c>
      <c r="Y90" s="56">
        <f t="shared" ca="1" si="58"/>
        <v>186</v>
      </c>
      <c r="Z90" s="56">
        <f t="shared" ca="1" si="59"/>
        <v>183</v>
      </c>
      <c r="AA90" s="56">
        <f t="shared" ca="1" si="60"/>
        <v>183</v>
      </c>
      <c r="AB90" s="56">
        <f ca="1">_xlfn.CEILING.MATH(INDIRECT(ADDRESS(85,22+MATCH($P$27,'I.A. + Fasce'!$W$84:$AA$84,0),1,1) &amp; ":" &amp; ADDRESS(305,22+MATCH($P$27,'I.A. + Fasce'!$W$84:$AA$84,0),1,1))/Asta!$H$3)</f>
        <v>28</v>
      </c>
      <c r="AD90" s="56">
        <f>'Mia rosa + Org. Finanza'!AG90</f>
        <v>0</v>
      </c>
      <c r="AE90" s="56" t="str">
        <f ca="1">'Mia rosa + Org. Finanza'!AH90</f>
        <v/>
      </c>
      <c r="AF90" s="56" t="str">
        <f ca="1">'Mia rosa + Org. Finanza'!AI90</f>
        <v/>
      </c>
      <c r="AG90" s="56" t="str">
        <f ca="1">'Mia rosa + Org. Finanza'!AJ90</f>
        <v/>
      </c>
    </row>
    <row r="91" spans="1:33" ht="14.25" customHeight="1">
      <c r="A91" s="238" t="str">
        <f ca="1">IF(Giocatori!G15="","D",Giocatori!G15)</f>
        <v>D</v>
      </c>
      <c r="B91" s="238" t="str">
        <f ca="1">IF(Giocatori!H15="","ZZZ" &amp; ROW(),Giocatori!H15)</f>
        <v>ALBIOL</v>
      </c>
      <c r="C91" s="238" t="str">
        <f ca="1">IF(Giocatori!I15="","NDR" &amp; ROW(),Giocatori!I15)</f>
        <v>Napoli</v>
      </c>
      <c r="D91" s="63">
        <f t="shared" ca="1" si="44"/>
        <v>88.000910000000005</v>
      </c>
      <c r="E91" s="63">
        <f t="shared" ca="1" si="45"/>
        <v>45.000909999999998</v>
      </c>
      <c r="F91" s="64">
        <f t="shared" ca="1" si="46"/>
        <v>83.377502506900839</v>
      </c>
      <c r="G91" s="63" t="str">
        <f t="shared" ca="1" si="47"/>
        <v/>
      </c>
      <c r="H91" s="65">
        <f t="shared" ca="1" si="48"/>
        <v>90</v>
      </c>
      <c r="I91" s="63" t="str">
        <f t="shared" ca="1" si="49"/>
        <v/>
      </c>
      <c r="J91" s="63">
        <f t="shared" ca="1" si="50"/>
        <v>14.991420908699409</v>
      </c>
      <c r="K91" s="63">
        <f t="shared" ca="1" si="51"/>
        <v>15.772121627399871</v>
      </c>
      <c r="L91" s="324">
        <f ca="1">VLOOKUP(Tabella113[[#This Row],[Calciatore]],'Raccolta Aste'!$F$2:$J$33,4,FALSE)*Asta!$U$3/100</f>
        <v>11.445</v>
      </c>
      <c r="N91" s="29">
        <f t="shared" si="53"/>
        <v>7</v>
      </c>
      <c r="O91" s="54" t="str">
        <f ca="1">IF(ISNUMBER(N91),INDIRECT("B" &amp; 84 + MATCH(N91,INDIRECT(ADDRESS(85,22+MATCH($P$27,'I.A. + Fasce'!$W$84:$AA$84,0),1,1) &amp; ":" &amp; ADDRESS(305,22+MATCH($P$27,'I.A. + Fasce'!$W$84:$AA$84,0),1,1)),0)),"")</f>
        <v>CONTI</v>
      </c>
      <c r="P91" s="54" t="str">
        <f t="shared" ca="1" si="54"/>
        <v>Milan</v>
      </c>
      <c r="Q91" s="59">
        <f t="shared" si="52"/>
        <v>15</v>
      </c>
      <c r="R91" s="54" t="str">
        <f ca="1">IF(ISNUMBER(Q91),INDIRECT("B" &amp; 84 + MATCH(Q91,INDIRECT(ADDRESS(85,22+MATCH($P$27,'I.A. + Fasce'!$W$84:$AA$84,0),1,1) &amp; ":" &amp; ADDRESS(305,22+MATCH($P$27,'I.A. + Fasce'!$W$84:$AA$84,0),1,1)),0)),"")</f>
        <v>ROMAGNOLI A</v>
      </c>
      <c r="S91" s="54" t="str">
        <f t="shared" ca="1" si="55"/>
        <v>Milan</v>
      </c>
      <c r="U91" s="311"/>
      <c r="V91" s="311"/>
      <c r="W91" s="56">
        <f t="shared" ca="1" si="56"/>
        <v>11</v>
      </c>
      <c r="X91" s="56">
        <f t="shared" ca="1" si="57"/>
        <v>9</v>
      </c>
      <c r="Y91" s="56">
        <f t="shared" ca="1" si="58"/>
        <v>9</v>
      </c>
      <c r="Z91" s="56">
        <f t="shared" ca="1" si="59"/>
        <v>12</v>
      </c>
      <c r="AA91" s="56">
        <f t="shared" ca="1" si="60"/>
        <v>12</v>
      </c>
      <c r="AB91" s="56">
        <f ca="1">_xlfn.CEILING.MATH(INDIRECT(ADDRESS(85,22+MATCH($P$27,'I.A. + Fasce'!$W$84:$AA$84,0),1,1) &amp; ":" &amp; ADDRESS(305,22+MATCH($P$27,'I.A. + Fasce'!$W$84:$AA$84,0),1,1))/Asta!$H$3)</f>
        <v>2</v>
      </c>
      <c r="AD91" s="56">
        <f>'Mia rosa + Org. Finanza'!AG91</f>
        <v>0</v>
      </c>
      <c r="AE91" s="56" t="str">
        <f ca="1">'Mia rosa + Org. Finanza'!AH91</f>
        <v/>
      </c>
      <c r="AF91" s="56" t="str">
        <f ca="1">'Mia rosa + Org. Finanza'!AI91</f>
        <v/>
      </c>
      <c r="AG91" s="56" t="str">
        <f ca="1">'Mia rosa + Org. Finanza'!AJ91</f>
        <v/>
      </c>
    </row>
    <row r="92" spans="1:33" ht="14.25" customHeight="1">
      <c r="A92" s="238" t="str">
        <f ca="1">IF(Giocatori!G16="","D",Giocatori!G16)</f>
        <v>D</v>
      </c>
      <c r="B92" s="238" t="str">
        <f ca="1">IF(Giocatori!H16="","ZZZ" &amp; ROW(),Giocatori!H16)</f>
        <v>ALEX SANDRO</v>
      </c>
      <c r="C92" s="238" t="str">
        <f ca="1">IF(Giocatori!I16="","NDR" &amp; ROW(),Giocatori!I16)</f>
        <v>Juventus</v>
      </c>
      <c r="D92" s="63">
        <f t="shared" ca="1" si="44"/>
        <v>94.000919999999994</v>
      </c>
      <c r="E92" s="63">
        <f t="shared" ca="1" si="45"/>
        <v>51.000920000000001</v>
      </c>
      <c r="F92" s="64">
        <f t="shared" ca="1" si="46"/>
        <v>94.177622007053316</v>
      </c>
      <c r="G92" s="63" t="str">
        <f t="shared" ca="1" si="47"/>
        <v>CONSIGLIATO</v>
      </c>
      <c r="H92" s="65">
        <f t="shared" ca="1" si="48"/>
        <v>90</v>
      </c>
      <c r="I92" s="63" t="str">
        <f t="shared" ca="1" si="49"/>
        <v/>
      </c>
      <c r="J92" s="63">
        <f t="shared" ca="1" si="50"/>
        <v>29.832865270672233</v>
      </c>
      <c r="K92" s="63">
        <f t="shared" ca="1" si="51"/>
        <v>31.378060485424726</v>
      </c>
      <c r="L92" s="324">
        <f ca="1">VLOOKUP(Tabella113[[#This Row],[Calciatore]],'Raccolta Aste'!$F$2:$J$33,4,FALSE)*Asta!$U$3/100</f>
        <v>24.92</v>
      </c>
      <c r="N92" s="29">
        <f t="shared" si="53"/>
        <v>8</v>
      </c>
      <c r="O92" s="54" t="str">
        <f ca="1">IF(ISNUMBER(N92),INDIRECT("B" &amp; 84 + MATCH(N92,INDIRECT(ADDRESS(85,22+MATCH($P$27,'I.A. + Fasce'!$W$84:$AA$84,0),1,1) &amp; ":" &amp; ADDRESS(305,22+MATCH($P$27,'I.A. + Fasce'!$W$84:$AA$84,0),1,1)),0)),"")</f>
        <v>CALDARA</v>
      </c>
      <c r="P92" s="54" t="str">
        <f t="shared" ca="1" si="54"/>
        <v>Atalanta</v>
      </c>
      <c r="Q92" s="59">
        <f t="shared" si="52"/>
        <v>16</v>
      </c>
      <c r="R92" s="54" t="str">
        <f ca="1">IF(ISNUMBER(Q92),INDIRECT("B" &amp; 84 + MATCH(Q92,INDIRECT(ADDRESS(85,22+MATCH($P$27,'I.A. + Fasce'!$W$84:$AA$84,0),1,1) &amp; ":" &amp; ADDRESS(305,22+MATCH($P$27,'I.A. + Fasce'!$W$84:$AA$84,0),1,1)),0)),"")</f>
        <v>N'KOULOU</v>
      </c>
      <c r="S92" s="54" t="str">
        <f t="shared" ca="1" si="55"/>
        <v>Torino</v>
      </c>
      <c r="U92" s="311"/>
      <c r="V92" s="311"/>
      <c r="W92" s="56">
        <f t="shared" ca="1" si="56"/>
        <v>3</v>
      </c>
      <c r="X92" s="56">
        <f t="shared" ca="1" si="57"/>
        <v>2</v>
      </c>
      <c r="Y92" s="56">
        <f t="shared" ca="1" si="58"/>
        <v>1</v>
      </c>
      <c r="Z92" s="56">
        <f t="shared" ca="1" si="59"/>
        <v>1</v>
      </c>
      <c r="AA92" s="56">
        <f t="shared" ca="1" si="60"/>
        <v>1</v>
      </c>
      <c r="AB92" s="56">
        <f ca="1">_xlfn.CEILING.MATH(INDIRECT(ADDRESS(85,22+MATCH($P$27,'I.A. + Fasce'!$W$84:$AA$84,0),1,1) &amp; ":" &amp; ADDRESS(305,22+MATCH($P$27,'I.A. + Fasce'!$W$84:$AA$84,0),1,1))/Asta!$H$3)</f>
        <v>1</v>
      </c>
      <c r="AD92" s="56">
        <f>'Mia rosa + Org. Finanza'!AG92</f>
        <v>0</v>
      </c>
      <c r="AE92" s="56" t="str">
        <f ca="1">'Mia rosa + Org. Finanza'!AH92</f>
        <v/>
      </c>
      <c r="AF92" s="56" t="str">
        <f ca="1">'Mia rosa + Org. Finanza'!AI92</f>
        <v/>
      </c>
      <c r="AG92" s="56" t="str">
        <f ca="1">'Mia rosa + Org. Finanza'!AJ92</f>
        <v/>
      </c>
    </row>
    <row r="93" spans="1:33" ht="14.25" customHeight="1">
      <c r="A93" s="238" t="str">
        <f ca="1">IF(Giocatori!G17="","D",Giocatori!G17)</f>
        <v>D</v>
      </c>
      <c r="B93" s="238" t="str">
        <f ca="1">IF(Giocatori!H17="","ZZZ" &amp; ROW(),Giocatori!H17)</f>
        <v>ANDERSEN</v>
      </c>
      <c r="C93" s="238" t="str">
        <f ca="1">IF(Giocatori!I17="","NDR" &amp; ROW(),Giocatori!I17)</f>
        <v>Sampdoria</v>
      </c>
      <c r="D93" s="63">
        <f t="shared" ca="1" si="44"/>
        <v>66.000929999999997</v>
      </c>
      <c r="E93" s="63">
        <f t="shared" ca="1" si="45"/>
        <v>32.000929999999997</v>
      </c>
      <c r="F93" s="64">
        <f t="shared" ca="1" si="46"/>
        <v>57.53568934054082</v>
      </c>
      <c r="G93" s="63" t="str">
        <f t="shared" ca="1" si="47"/>
        <v/>
      </c>
      <c r="H93" s="65">
        <f t="shared" ca="1" si="48"/>
        <v>40</v>
      </c>
      <c r="I93" s="63" t="str">
        <f t="shared" ca="1" si="49"/>
        <v/>
      </c>
      <c r="J93" s="63">
        <f t="shared" ca="1" si="50"/>
        <v>1.0009300000000001</v>
      </c>
      <c r="K93" s="63">
        <f t="shared" ca="1" si="51"/>
        <v>1.0009300000000001</v>
      </c>
      <c r="L93" s="324" t="e">
        <f ca="1">VLOOKUP(Tabella113[[#This Row],[Calciatore]],'Raccolta Aste'!$F$2:$J$33,4,FALSE)*Asta!$U$3/100</f>
        <v>#N/A</v>
      </c>
      <c r="N93" s="29" t="str">
        <f t="shared" si="53"/>
        <v/>
      </c>
      <c r="O93" s="54" t="str">
        <f ca="1">IF(ISNUMBER(N93),INDIRECT("B" &amp; 84 + MATCH(N93,INDIRECT(ADDRESS(85,22+MATCH($P$27,'I.A. + Fasce'!$W$84:$AA$84,0),1,1) &amp; ":" &amp; ADDRESS(305,22+MATCH($P$27,'I.A. + Fasce'!$W$84:$AA$84,0),1,1)),0)),"")</f>
        <v/>
      </c>
      <c r="P93" s="54" t="str">
        <f t="shared" ca="1" si="54"/>
        <v/>
      </c>
      <c r="Q93" s="59" t="str">
        <f t="shared" si="52"/>
        <v/>
      </c>
      <c r="R93" s="54" t="str">
        <f ca="1">IF(ISNUMBER(Q93),INDIRECT("B" &amp; 84 + MATCH(Q93,INDIRECT(ADDRESS(85,22+MATCH($P$27,'I.A. + Fasce'!$W$84:$AA$84,0),1,1) &amp; ":" &amp; ADDRESS(305,22+MATCH($P$27,'I.A. + Fasce'!$W$84:$AA$84,0),1,1)),0)),"")</f>
        <v/>
      </c>
      <c r="S93" s="54" t="str">
        <f t="shared" ca="1" si="55"/>
        <v/>
      </c>
      <c r="U93" s="311"/>
      <c r="V93" s="311"/>
      <c r="W93" s="56">
        <f t="shared" ca="1" si="56"/>
        <v>129</v>
      </c>
      <c r="X93" s="56">
        <f t="shared" ca="1" si="57"/>
        <v>158</v>
      </c>
      <c r="Y93" s="56">
        <f t="shared" ca="1" si="58"/>
        <v>142</v>
      </c>
      <c r="Z93" s="56">
        <f t="shared" ca="1" si="59"/>
        <v>182</v>
      </c>
      <c r="AA93" s="56">
        <f t="shared" ca="1" si="60"/>
        <v>182</v>
      </c>
      <c r="AB93" s="56">
        <f ca="1">_xlfn.CEILING.MATH(INDIRECT(ADDRESS(85,22+MATCH($P$27,'I.A. + Fasce'!$W$84:$AA$84,0),1,1) &amp; ":" &amp; ADDRESS(305,22+MATCH($P$27,'I.A. + Fasce'!$W$84:$AA$84,0),1,1))/Asta!$H$3)</f>
        <v>20</v>
      </c>
      <c r="AD93" s="56">
        <f>'Mia rosa + Org. Finanza'!AG93</f>
        <v>0</v>
      </c>
      <c r="AE93" s="56" t="str">
        <f ca="1">'Mia rosa + Org. Finanza'!AH93</f>
        <v/>
      </c>
      <c r="AF93" s="56" t="str">
        <f ca="1">'Mia rosa + Org. Finanza'!AI93</f>
        <v/>
      </c>
      <c r="AG93" s="56" t="str">
        <f ca="1">'Mia rosa + Org. Finanza'!AJ93</f>
        <v/>
      </c>
    </row>
    <row r="94" spans="1:33" ht="14.25" customHeight="1">
      <c r="A94" s="238" t="str">
        <f ca="1">IF(Giocatori!G18="","D",Giocatori!G18)</f>
        <v>D</v>
      </c>
      <c r="B94" s="238" t="str">
        <f ca="1">IF(Giocatori!H18="","ZZZ" &amp; ROW(),Giocatori!H18)</f>
        <v>ANDREOLLI</v>
      </c>
      <c r="C94" s="238" t="str">
        <f ca="1">IF(Giocatori!I18="","NDR" &amp; ROW(),Giocatori!I18)</f>
        <v>Cagliari</v>
      </c>
      <c r="D94" s="63">
        <f t="shared" ca="1" si="44"/>
        <v>73.00094</v>
      </c>
      <c r="E94" s="63">
        <f t="shared" ca="1" si="45"/>
        <v>41.00094</v>
      </c>
      <c r="F94" s="64">
        <f t="shared" ca="1" si="46"/>
        <v>71.010855674029997</v>
      </c>
      <c r="G94" s="63" t="str">
        <f t="shared" ca="1" si="47"/>
        <v/>
      </c>
      <c r="H94" s="65">
        <f t="shared" ca="1" si="48"/>
        <v>80</v>
      </c>
      <c r="I94" s="63" t="str">
        <f t="shared" ca="1" si="49"/>
        <v/>
      </c>
      <c r="J94" s="63">
        <f t="shared" ca="1" si="50"/>
        <v>4.6090330181319281</v>
      </c>
      <c r="K94" s="63">
        <f t="shared" ca="1" si="51"/>
        <v>4.6819035299408789</v>
      </c>
      <c r="L94" s="324" t="e">
        <f ca="1">VLOOKUP(Tabella113[[#This Row],[Calciatore]],'Raccolta Aste'!$F$2:$J$33,4,FALSE)*Asta!$U$3/100</f>
        <v>#N/A</v>
      </c>
      <c r="N94" s="29" t="str">
        <f t="shared" si="53"/>
        <v/>
      </c>
      <c r="O94" s="54" t="str">
        <f ca="1">IF(ISNUMBER(N94),INDIRECT("B" &amp; 84 + MATCH(N94,INDIRECT(ADDRESS(85,22+MATCH($P$27,'I.A. + Fasce'!$W$84:$AA$84,0),1,1) &amp; ":" &amp; ADDRESS(305,22+MATCH($P$27,'I.A. + Fasce'!$W$84:$AA$84,0),1,1)),0)),"")</f>
        <v/>
      </c>
      <c r="P94" s="54" t="str">
        <f t="shared" ca="1" si="54"/>
        <v/>
      </c>
      <c r="Q94" s="59" t="str">
        <f t="shared" si="52"/>
        <v/>
      </c>
      <c r="R94" s="54" t="str">
        <f ca="1">IF(ISNUMBER(Q94),INDIRECT("B" &amp; 84 + MATCH(Q94,INDIRECT(ADDRESS(85,22+MATCH($P$27,'I.A. + Fasce'!$W$84:$AA$84,0),1,1) &amp; ":" &amp; ADDRESS(305,22+MATCH($P$27,'I.A. + Fasce'!$W$84:$AA$84,0),1,1)),0)),"")</f>
        <v/>
      </c>
      <c r="S94" s="54" t="str">
        <f t="shared" ca="1" si="55"/>
        <v/>
      </c>
      <c r="U94" s="311"/>
      <c r="V94" s="311"/>
      <c r="W94" s="56">
        <f t="shared" ca="1" si="56"/>
        <v>72</v>
      </c>
      <c r="X94" s="56">
        <f t="shared" ca="1" si="57"/>
        <v>49</v>
      </c>
      <c r="Y94" s="56">
        <f t="shared" ca="1" si="58"/>
        <v>48</v>
      </c>
      <c r="Z94" s="56">
        <f t="shared" ca="1" si="59"/>
        <v>48</v>
      </c>
      <c r="AA94" s="56">
        <f t="shared" ca="1" si="60"/>
        <v>47</v>
      </c>
      <c r="AB94" s="56">
        <f ca="1">_xlfn.CEILING.MATH(INDIRECT(ADDRESS(85,22+MATCH($P$27,'I.A. + Fasce'!$W$84:$AA$84,0),1,1) &amp; ":" &amp; ADDRESS(305,22+MATCH($P$27,'I.A. + Fasce'!$W$84:$AA$84,0),1,1))/Asta!$H$3)</f>
        <v>7</v>
      </c>
      <c r="AD94" s="56">
        <f>'Mia rosa + Org. Finanza'!AG94</f>
        <v>0</v>
      </c>
      <c r="AE94" s="56" t="str">
        <f ca="1">'Mia rosa + Org. Finanza'!AH94</f>
        <v/>
      </c>
      <c r="AF94" s="56" t="str">
        <f ca="1">'Mia rosa + Org. Finanza'!AI94</f>
        <v/>
      </c>
      <c r="AG94" s="56" t="str">
        <f ca="1">'Mia rosa + Org. Finanza'!AJ94</f>
        <v/>
      </c>
    </row>
    <row r="95" spans="1:33" ht="14.25" customHeight="1">
      <c r="A95" s="238" t="str">
        <f ca="1">IF(Giocatori!G19="","D",Giocatori!G19)</f>
        <v>D</v>
      </c>
      <c r="B95" s="238" t="str">
        <f ca="1">IF(Giocatori!H19="","ZZZ" &amp; ROW(),Giocatori!H19)</f>
        <v>ANGELLA</v>
      </c>
      <c r="C95" s="238" t="str">
        <f ca="1">IF(Giocatori!I19="","NDR" &amp; ROW(),Giocatori!I19)</f>
        <v>Udinese</v>
      </c>
      <c r="D95" s="63">
        <f t="shared" ca="1" si="44"/>
        <v>67.000950000000003</v>
      </c>
      <c r="E95" s="63">
        <f t="shared" ca="1" si="45"/>
        <v>38.000950000000003</v>
      </c>
      <c r="F95" s="64">
        <f t="shared" ca="1" si="46"/>
        <v>64.535835007520845</v>
      </c>
      <c r="G95" s="63" t="str">
        <f t="shared" ca="1" si="47"/>
        <v>SCONSIGLIATO</v>
      </c>
      <c r="H95" s="65">
        <f t="shared" ca="1" si="48"/>
        <v>60</v>
      </c>
      <c r="I95" s="63" t="str">
        <f t="shared" ca="1" si="49"/>
        <v/>
      </c>
      <c r="J95" s="63">
        <f t="shared" ca="1" si="50"/>
        <v>2.0485902934761175</v>
      </c>
      <c r="K95" s="63">
        <f t="shared" ca="1" si="51"/>
        <v>1.00095</v>
      </c>
      <c r="L95" s="324" t="e">
        <f ca="1">VLOOKUP(Tabella113[[#This Row],[Calciatore]],'Raccolta Aste'!$F$2:$J$33,4,FALSE)*Asta!$U$3/100</f>
        <v>#N/A</v>
      </c>
      <c r="N95" s="29" t="str">
        <f t="shared" si="53"/>
        <v/>
      </c>
      <c r="O95" s="54" t="str">
        <f ca="1">IF(ISNUMBER(N95),INDIRECT("B" &amp; 84 + MATCH(N95,INDIRECT(ADDRESS(85,22+MATCH($P$27,'I.A. + Fasce'!$W$84:$AA$84,0),1,1) &amp; ":" &amp; ADDRESS(305,22+MATCH($P$27,'I.A. + Fasce'!$W$84:$AA$84,0),1,1)),0)),"")</f>
        <v/>
      </c>
      <c r="P95" s="54" t="str">
        <f t="shared" ca="1" si="54"/>
        <v/>
      </c>
      <c r="Q95" s="59" t="str">
        <f t="shared" si="52"/>
        <v/>
      </c>
      <c r="R95" s="54" t="str">
        <f ca="1">IF(ISNUMBER(Q95),INDIRECT("B" &amp; 84 + MATCH(Q95,INDIRECT(ADDRESS(85,22+MATCH($P$27,'I.A. + Fasce'!$W$84:$AA$84,0),1,1) &amp; ":" &amp; ADDRESS(305,22+MATCH($P$27,'I.A. + Fasce'!$W$84:$AA$84,0),1,1)),0)),"")</f>
        <v/>
      </c>
      <c r="S95" s="54" t="str">
        <f t="shared" ca="1" si="55"/>
        <v/>
      </c>
      <c r="U95" s="311"/>
      <c r="V95" s="311"/>
      <c r="W95" s="56">
        <f t="shared" ca="1" si="56"/>
        <v>120</v>
      </c>
      <c r="X95" s="56">
        <f t="shared" ca="1" si="57"/>
        <v>86</v>
      </c>
      <c r="Y95" s="56">
        <f t="shared" ca="1" si="58"/>
        <v>91</v>
      </c>
      <c r="Z95" s="56">
        <f t="shared" ca="1" si="59"/>
        <v>68</v>
      </c>
      <c r="AA95" s="56">
        <f t="shared" ca="1" si="60"/>
        <v>181</v>
      </c>
      <c r="AB95" s="56">
        <f ca="1">_xlfn.CEILING.MATH(INDIRECT(ADDRESS(85,22+MATCH($P$27,'I.A. + Fasce'!$W$84:$AA$84,0),1,1) &amp; ":" &amp; ADDRESS(305,22+MATCH($P$27,'I.A. + Fasce'!$W$84:$AA$84,0),1,1))/Asta!$H$3)</f>
        <v>11</v>
      </c>
      <c r="AD95" s="56">
        <f>'Mia rosa + Org. Finanza'!AG95</f>
        <v>0</v>
      </c>
      <c r="AE95" s="56" t="str">
        <f ca="1">'Mia rosa + Org. Finanza'!AH95</f>
        <v/>
      </c>
      <c r="AF95" s="56" t="str">
        <f ca="1">'Mia rosa + Org. Finanza'!AI95</f>
        <v/>
      </c>
      <c r="AG95" s="56" t="str">
        <f ca="1">'Mia rosa + Org. Finanza'!AJ95</f>
        <v/>
      </c>
    </row>
    <row r="96" spans="1:33" ht="14.25" customHeight="1">
      <c r="A96" s="238" t="str">
        <f ca="1">IF(Giocatori!G20="","D",Giocatori!G20)</f>
        <v>D</v>
      </c>
      <c r="B96" s="238" t="str">
        <f ca="1">IF(Giocatori!H20="","ZZZ" &amp; ROW(),Giocatori!H20)</f>
        <v>ANSALDI</v>
      </c>
      <c r="C96" s="238" t="str">
        <f ca="1">IF(Giocatori!I20="","NDR" &amp; ROW(),Giocatori!I20)</f>
        <v>Torino</v>
      </c>
      <c r="D96" s="63">
        <f t="shared" ca="1" si="44"/>
        <v>73.000960000000006</v>
      </c>
      <c r="E96" s="63">
        <f t="shared" ca="1" si="45"/>
        <v>38.000959999999999</v>
      </c>
      <c r="F96" s="64">
        <f t="shared" ca="1" si="46"/>
        <v>67.535861341013344</v>
      </c>
      <c r="G96" s="63" t="str">
        <f t="shared" ca="1" si="47"/>
        <v/>
      </c>
      <c r="H96" s="65">
        <f t="shared" ca="1" si="48"/>
        <v>70</v>
      </c>
      <c r="I96" s="63" t="str">
        <f t="shared" ca="1" si="49"/>
        <v/>
      </c>
      <c r="J96" s="63">
        <f t="shared" ca="1" si="50"/>
        <v>1.0009600000000001</v>
      </c>
      <c r="K96" s="63">
        <f t="shared" ca="1" si="51"/>
        <v>1.0009600000000001</v>
      </c>
      <c r="L96" s="324" t="e">
        <f ca="1">VLOOKUP(Tabella113[[#This Row],[Calciatore]],'Raccolta Aste'!$F$2:$J$33,4,FALSE)*Asta!$U$3/100</f>
        <v>#N/A</v>
      </c>
      <c r="N96" s="29" t="str">
        <f t="shared" si="53"/>
        <v/>
      </c>
      <c r="O96" s="54" t="str">
        <f ca="1">IF(ISNUMBER(N96),INDIRECT("B" &amp; 84 + MATCH(N96,INDIRECT(ADDRESS(85,22+MATCH($P$27,'I.A. + Fasce'!$W$84:$AA$84,0),1,1) &amp; ":" &amp; ADDRESS(305,22+MATCH($P$27,'I.A. + Fasce'!$W$84:$AA$84,0),1,1)),0)),"")</f>
        <v/>
      </c>
      <c r="P96" s="54" t="str">
        <f t="shared" ca="1" si="54"/>
        <v/>
      </c>
      <c r="Q96" s="59" t="str">
        <f t="shared" si="52"/>
        <v/>
      </c>
      <c r="R96" s="54" t="str">
        <f ca="1">IF(ISNUMBER(Q96),INDIRECT("B" &amp; 84 + MATCH(Q96,INDIRECT(ADDRESS(85,22+MATCH($P$27,'I.A. + Fasce'!$W$84:$AA$84,0),1,1) &amp; ":" &amp; ADDRESS(305,22+MATCH($P$27,'I.A. + Fasce'!$W$84:$AA$84,0),1,1)),0)),"")</f>
        <v/>
      </c>
      <c r="S96" s="54" t="str">
        <f t="shared" ca="1" si="55"/>
        <v/>
      </c>
      <c r="U96" s="311"/>
      <c r="V96" s="311"/>
      <c r="W96" s="56">
        <f t="shared" ca="1" si="56"/>
        <v>71</v>
      </c>
      <c r="X96" s="56">
        <f t="shared" ca="1" si="57"/>
        <v>85</v>
      </c>
      <c r="Y96" s="56">
        <f t="shared" ca="1" si="58"/>
        <v>72</v>
      </c>
      <c r="Z96" s="56">
        <f t="shared" ca="1" si="59"/>
        <v>181</v>
      </c>
      <c r="AA96" s="56">
        <f t="shared" ca="1" si="60"/>
        <v>180</v>
      </c>
      <c r="AB96" s="56">
        <f ca="1">_xlfn.CEILING.MATH(INDIRECT(ADDRESS(85,22+MATCH($P$27,'I.A. + Fasce'!$W$84:$AA$84,0),1,1) &amp; ":" &amp; ADDRESS(305,22+MATCH($P$27,'I.A. + Fasce'!$W$84:$AA$84,0),1,1))/Asta!$H$3)</f>
        <v>11</v>
      </c>
      <c r="AD96" s="56">
        <f>'Mia rosa + Org. Finanza'!AG96</f>
        <v>0</v>
      </c>
      <c r="AE96" s="56" t="str">
        <f ca="1">'Mia rosa + Org. Finanza'!AH96</f>
        <v/>
      </c>
      <c r="AF96" s="56" t="str">
        <f ca="1">'Mia rosa + Org. Finanza'!AI96</f>
        <v/>
      </c>
      <c r="AG96" s="56" t="str">
        <f ca="1">'Mia rosa + Org. Finanza'!AJ96</f>
        <v/>
      </c>
    </row>
    <row r="97" spans="1:33" ht="14.25" customHeight="1">
      <c r="A97" s="238" t="str">
        <f ca="1">IF(Giocatori!G21="","D",Giocatori!G21)</f>
        <v>D</v>
      </c>
      <c r="B97" s="238" t="str">
        <f ca="1">IF(Giocatori!H21="","ZZZ" &amp; ROW(),Giocatori!H21)</f>
        <v>ANTEI</v>
      </c>
      <c r="C97" s="238" t="str">
        <f ca="1">IF(Giocatori!I21="","NDR" &amp; ROW(),Giocatori!I21)</f>
        <v>Benevento</v>
      </c>
      <c r="D97" s="63">
        <f t="shared" ca="1" si="44"/>
        <v>66.000969999999995</v>
      </c>
      <c r="E97" s="63">
        <f t="shared" ca="1" si="45"/>
        <v>38.000970000000002</v>
      </c>
      <c r="F97" s="64">
        <f t="shared" ca="1" si="46"/>
        <v>64.035887674507507</v>
      </c>
      <c r="G97" s="63" t="str">
        <f t="shared" ca="1" si="47"/>
        <v/>
      </c>
      <c r="H97" s="65">
        <f t="shared" ca="1" si="48"/>
        <v>80</v>
      </c>
      <c r="I97" s="63" t="str">
        <f t="shared" ca="1" si="49"/>
        <v/>
      </c>
      <c r="J97" s="63">
        <f t="shared" ca="1" si="50"/>
        <v>1.0009699999999999</v>
      </c>
      <c r="K97" s="63">
        <f t="shared" ca="1" si="51"/>
        <v>1.0009699999999999</v>
      </c>
      <c r="L97" s="324" t="e">
        <f ca="1">VLOOKUP(Tabella113[[#This Row],[Calciatore]],'Raccolta Aste'!$F$2:$J$33,4,FALSE)*Asta!$U$3/100</f>
        <v>#N/A</v>
      </c>
      <c r="N97" s="58"/>
      <c r="O97" s="58"/>
      <c r="P97" s="58"/>
      <c r="Q97" s="58"/>
      <c r="R97" s="58"/>
      <c r="S97" s="58"/>
      <c r="U97" s="311"/>
      <c r="V97" s="311"/>
      <c r="W97" s="56">
        <f t="shared" ca="1" si="56"/>
        <v>128</v>
      </c>
      <c r="X97" s="56">
        <f t="shared" ca="1" si="57"/>
        <v>84</v>
      </c>
      <c r="Y97" s="56">
        <f t="shared" ca="1" si="58"/>
        <v>98</v>
      </c>
      <c r="Z97" s="56">
        <f t="shared" ca="1" si="59"/>
        <v>180</v>
      </c>
      <c r="AA97" s="56">
        <f t="shared" ca="1" si="60"/>
        <v>179</v>
      </c>
      <c r="AB97" s="56">
        <f ca="1">_xlfn.CEILING.MATH(INDIRECT(ADDRESS(85,22+MATCH($P$27,'I.A. + Fasce'!$W$84:$AA$84,0),1,1) &amp; ":" &amp; ADDRESS(305,22+MATCH($P$27,'I.A. + Fasce'!$W$84:$AA$84,0),1,1))/Asta!$H$3)</f>
        <v>11</v>
      </c>
      <c r="AD97" s="56">
        <f>'Mia rosa + Org. Finanza'!AG97</f>
        <v>0</v>
      </c>
      <c r="AE97" s="56" t="str">
        <f ca="1">'Mia rosa + Org. Finanza'!AH97</f>
        <v/>
      </c>
      <c r="AF97" s="56" t="str">
        <f ca="1">'Mia rosa + Org. Finanza'!AI97</f>
        <v/>
      </c>
      <c r="AG97" s="56" t="str">
        <f ca="1">'Mia rosa + Org. Finanza'!AJ97</f>
        <v/>
      </c>
    </row>
    <row r="98" spans="1:33" ht="14.25" customHeight="1">
      <c r="A98" s="238" t="str">
        <f ca="1">IF(Giocatori!G22="","D",Giocatori!G22)</f>
        <v>D</v>
      </c>
      <c r="B98" s="238" t="str">
        <f ca="1">IF(Giocatori!H22="","ZZZ" &amp; ROW(),Giocatori!H22)</f>
        <v>ANTONELLI</v>
      </c>
      <c r="C98" s="238" t="str">
        <f ca="1">IF(Giocatori!I22="","NDR" &amp; ROW(),Giocatori!I22)</f>
        <v>Milan</v>
      </c>
      <c r="D98" s="63">
        <f t="shared" ca="1" si="44"/>
        <v>65.000979999999998</v>
      </c>
      <c r="E98" s="63">
        <f t="shared" ca="1" si="45"/>
        <v>36.000979999999998</v>
      </c>
      <c r="F98" s="64">
        <f t="shared" ca="1" si="46"/>
        <v>61.30254800800332</v>
      </c>
      <c r="G98" s="63" t="str">
        <f t="shared" ca="1" si="47"/>
        <v/>
      </c>
      <c r="H98" s="65">
        <f t="shared" ca="1" si="48"/>
        <v>50</v>
      </c>
      <c r="I98" s="63" t="str">
        <f t="shared" ca="1" si="49"/>
        <v/>
      </c>
      <c r="J98" s="63">
        <f t="shared" ca="1" si="50"/>
        <v>1.00098</v>
      </c>
      <c r="K98" s="63">
        <f t="shared" ca="1" si="51"/>
        <v>1.00098</v>
      </c>
      <c r="L98" s="324" t="e">
        <f ca="1">VLOOKUP(Tabella113[[#This Row],[Calciatore]],'Raccolta Aste'!$F$2:$J$33,4,FALSE)*Asta!$U$3/100</f>
        <v>#N/A</v>
      </c>
      <c r="N98" s="58"/>
      <c r="O98" s="59" t="s">
        <v>689</v>
      </c>
      <c r="P98" s="59" t="s">
        <v>637</v>
      </c>
      <c r="Q98" s="58"/>
      <c r="R98" s="59" t="s">
        <v>690</v>
      </c>
      <c r="S98" s="59" t="s">
        <v>637</v>
      </c>
      <c r="U98" s="311"/>
      <c r="V98" s="311"/>
      <c r="W98" s="56">
        <f t="shared" ca="1" si="56"/>
        <v>137</v>
      </c>
      <c r="X98" s="56">
        <f t="shared" ca="1" si="57"/>
        <v>110</v>
      </c>
      <c r="Y98" s="56">
        <f t="shared" ca="1" si="58"/>
        <v>115</v>
      </c>
      <c r="Z98" s="56">
        <f t="shared" ca="1" si="59"/>
        <v>179</v>
      </c>
      <c r="AA98" s="56">
        <f t="shared" ca="1" si="60"/>
        <v>178</v>
      </c>
      <c r="AB98" s="56">
        <f ca="1">_xlfn.CEILING.MATH(INDIRECT(ADDRESS(85,22+MATCH($P$27,'I.A. + Fasce'!$W$84:$AA$84,0),1,1) &amp; ":" &amp; ADDRESS(305,22+MATCH($P$27,'I.A. + Fasce'!$W$84:$AA$84,0),1,1))/Asta!$H$3)</f>
        <v>14</v>
      </c>
      <c r="AD98" s="56">
        <f>'Mia rosa + Org. Finanza'!AG98</f>
        <v>0</v>
      </c>
      <c r="AE98" s="56" t="str">
        <f ca="1">'Mia rosa + Org. Finanza'!AH98</f>
        <v/>
      </c>
      <c r="AF98" s="56" t="str">
        <f ca="1">'Mia rosa + Org. Finanza'!AI98</f>
        <v/>
      </c>
      <c r="AG98" s="56" t="str">
        <f ca="1">'Mia rosa + Org. Finanza'!AJ98</f>
        <v/>
      </c>
    </row>
    <row r="99" spans="1:33" ht="14.25" customHeight="1">
      <c r="A99" s="238" t="str">
        <f ca="1">IF(Giocatori!G23="","D",Giocatori!G23)</f>
        <v>D</v>
      </c>
      <c r="B99" s="238" t="str">
        <f ca="1">IF(Giocatori!H23="","ZZZ" &amp; ROW(),Giocatori!H23)</f>
        <v>ASAMOAH</v>
      </c>
      <c r="C99" s="238" t="str">
        <f ca="1">IF(Giocatori!I23="","NDR" &amp; ROW(),Giocatori!I23)</f>
        <v>Juventus</v>
      </c>
      <c r="D99" s="63">
        <f t="shared" ca="1" si="44"/>
        <v>70.000990000000002</v>
      </c>
      <c r="E99" s="63">
        <f t="shared" ca="1" si="45"/>
        <v>32.000990000000002</v>
      </c>
      <c r="F99" s="64">
        <f t="shared" ca="1" si="46"/>
        <v>59.535841341500834</v>
      </c>
      <c r="G99" s="63" t="str">
        <f t="shared" ca="1" si="47"/>
        <v>SCONSIGLIATO</v>
      </c>
      <c r="H99" s="65">
        <f t="shared" ca="1" si="48"/>
        <v>50</v>
      </c>
      <c r="I99" s="63" t="str">
        <f t="shared" ca="1" si="49"/>
        <v/>
      </c>
      <c r="J99" s="63">
        <f t="shared" ca="1" si="50"/>
        <v>1.00099</v>
      </c>
      <c r="K99" s="63">
        <f t="shared" ca="1" si="51"/>
        <v>1.00099</v>
      </c>
      <c r="L99" s="324" t="e">
        <f ca="1">VLOOKUP(Tabella113[[#This Row],[Calciatore]],'Raccolta Aste'!$F$2:$J$33,4,FALSE)*Asta!$U$3/100</f>
        <v>#N/A</v>
      </c>
      <c r="N99" s="60"/>
      <c r="O99" s="61"/>
      <c r="P99" s="61"/>
      <c r="Q99" s="60"/>
      <c r="R99" s="61"/>
      <c r="S99" s="61"/>
      <c r="U99" s="311"/>
      <c r="V99" s="311"/>
      <c r="W99" s="56">
        <f t="shared" ca="1" si="56"/>
        <v>93</v>
      </c>
      <c r="X99" s="56">
        <f t="shared" ca="1" si="57"/>
        <v>157</v>
      </c>
      <c r="Y99" s="56">
        <f t="shared" ca="1" si="58"/>
        <v>131</v>
      </c>
      <c r="Z99" s="56">
        <f t="shared" ca="1" si="59"/>
        <v>178</v>
      </c>
      <c r="AA99" s="56">
        <f t="shared" ca="1" si="60"/>
        <v>177</v>
      </c>
      <c r="AB99" s="56">
        <f ca="1">_xlfn.CEILING.MATH(INDIRECT(ADDRESS(85,22+MATCH($P$27,'I.A. + Fasce'!$W$84:$AA$84,0),1,1) &amp; ":" &amp; ADDRESS(305,22+MATCH($P$27,'I.A. + Fasce'!$W$84:$AA$84,0),1,1))/Asta!$H$3)</f>
        <v>20</v>
      </c>
      <c r="AD99" s="56">
        <f>'Mia rosa + Org. Finanza'!AG99</f>
        <v>0</v>
      </c>
      <c r="AE99" s="56" t="str">
        <f ca="1">'Mia rosa + Org. Finanza'!AH99</f>
        <v/>
      </c>
      <c r="AF99" s="56" t="str">
        <f ca="1">'Mia rosa + Org. Finanza'!AI99</f>
        <v/>
      </c>
      <c r="AG99" s="56" t="str">
        <f ca="1">'Mia rosa + Org. Finanza'!AJ99</f>
        <v/>
      </c>
    </row>
    <row r="100" spans="1:33" ht="14.25" customHeight="1">
      <c r="A100" s="238" t="str">
        <f ca="1">IF(Giocatori!G24="","D",Giocatori!G24)</f>
        <v>D</v>
      </c>
      <c r="B100" s="238" t="str">
        <f ca="1">IF(Giocatori!H24="","ZZZ" &amp; ROW(),Giocatori!H24)</f>
        <v>ASTORI</v>
      </c>
      <c r="C100" s="238" t="str">
        <f ca="1">IF(Giocatori!I24="","NDR" &amp; ROW(),Giocatori!I24)</f>
        <v>Fiorentina</v>
      </c>
      <c r="D100" s="63">
        <f t="shared" ca="1" si="44"/>
        <v>84.001000000000005</v>
      </c>
      <c r="E100" s="63">
        <f t="shared" ca="1" si="45"/>
        <v>41.000999999999998</v>
      </c>
      <c r="F100" s="64">
        <f t="shared" ca="1" si="46"/>
        <v>76.511016675000008</v>
      </c>
      <c r="G100" s="63" t="str">
        <f t="shared" ca="1" si="47"/>
        <v/>
      </c>
      <c r="H100" s="65">
        <f t="shared" ca="1" si="48"/>
        <v>90</v>
      </c>
      <c r="I100" s="63" t="str">
        <f t="shared" ca="1" si="49"/>
        <v/>
      </c>
      <c r="J100" s="63">
        <f t="shared" ca="1" si="50"/>
        <v>6.27702617489589</v>
      </c>
      <c r="K100" s="63">
        <f t="shared" ca="1" si="51"/>
        <v>5.4736404063176698</v>
      </c>
      <c r="L100" s="324" t="e">
        <f ca="1">VLOOKUP(Tabella113[[#This Row],[Calciatore]],'Raccolta Aste'!$F$2:$J$33,4,FALSE)*Asta!$U$3/100</f>
        <v>#N/A</v>
      </c>
      <c r="N100" s="59">
        <f t="shared" ref="N100:N111" si="61">IF(ISNUMBER(Q85),Q85+COUNTIF($N$34:$N$45,"&gt;0"),"")</f>
        <v>17</v>
      </c>
      <c r="O100" s="62" t="str">
        <f ca="1">IF(ISNUMBER(N100),INDIRECT("B" &amp; 84 + MATCH(N100,INDIRECT(ADDRESS(85,22+MATCH($P$27,'I.A. + Fasce'!$W$84:$AA$84,0),1,1) &amp; ":" &amp; ADDRESS(305,22+MATCH($P$27,'I.A. + Fasce'!$W$84:$AA$84,0),1,1)),0)),"")</f>
        <v>MIRANDA</v>
      </c>
      <c r="P100" s="62" t="str">
        <f ca="1">IF(O100="","",VLOOKUP(O100,$B$85:$C$305,2,FALSE))</f>
        <v>Inter</v>
      </c>
      <c r="Q100" s="59">
        <f t="shared" ref="Q100:Q111" si="62">IF(ISNUMBER(N100),N100+COUNTIF($N$34:$N$45,"&gt;0"),"")</f>
        <v>25</v>
      </c>
      <c r="R100" s="62" t="str">
        <f ca="1">IF(ISNUMBER(Q100),INDIRECT("B" &amp; 84 + MATCH(Q100,INDIRECT(ADDRESS(85,22+MATCH($P$27,'I.A. + Fasce'!$W$84:$AA$84,0),1,1) &amp; ":" &amp; ADDRESS(305,22+MATCH($P$27,'I.A. + Fasce'!$W$84:$AA$84,0),1,1)),0)),"")</f>
        <v>TOLOI</v>
      </c>
      <c r="S100" s="62" t="str">
        <f ca="1">IF(R100="","",VLOOKUP(R100,$B$85:$C$305,2,FALSE))</f>
        <v>Atalanta</v>
      </c>
      <c r="U100" s="311"/>
      <c r="V100" s="311"/>
      <c r="W100" s="56">
        <f t="shared" ca="1" si="56"/>
        <v>18</v>
      </c>
      <c r="X100" s="56">
        <f t="shared" ca="1" si="57"/>
        <v>48</v>
      </c>
      <c r="Y100" s="56">
        <f t="shared" ca="1" si="58"/>
        <v>21</v>
      </c>
      <c r="Z100" s="56">
        <f t="shared" ca="1" si="59"/>
        <v>39</v>
      </c>
      <c r="AA100" s="56">
        <f t="shared" ca="1" si="60"/>
        <v>42</v>
      </c>
      <c r="AB100" s="56">
        <f ca="1">_xlfn.CEILING.MATH(INDIRECT(ADDRESS(85,22+MATCH($P$27,'I.A. + Fasce'!$W$84:$AA$84,0),1,1) &amp; ":" &amp; ADDRESS(305,22+MATCH($P$27,'I.A. + Fasce'!$W$84:$AA$84,0),1,1))/Asta!$H$3)</f>
        <v>6</v>
      </c>
      <c r="AD100" s="56">
        <f>'Mia rosa + Org. Finanza'!AG100</f>
        <v>0</v>
      </c>
      <c r="AE100" s="56" t="str">
        <f ca="1">'Mia rosa + Org. Finanza'!AH100</f>
        <v/>
      </c>
      <c r="AF100" s="56" t="str">
        <f ca="1">'Mia rosa + Org. Finanza'!AI100</f>
        <v/>
      </c>
      <c r="AG100" s="56" t="str">
        <f ca="1">'Mia rosa + Org. Finanza'!AJ100</f>
        <v/>
      </c>
    </row>
    <row r="101" spans="1:33" ht="14.25" customHeight="1">
      <c r="A101" s="238" t="str">
        <f ca="1">IF(Giocatori!G25="","D",Giocatori!G25)</f>
        <v>D</v>
      </c>
      <c r="B101" s="238" t="str">
        <f ca="1">IF(Giocatori!H25="","ZZZ" &amp; ROW(),Giocatori!H25)</f>
        <v>BANI</v>
      </c>
      <c r="C101" s="238" t="str">
        <f ca="1">IF(Giocatori!I25="","NDR" &amp; ROW(),Giocatori!I25)</f>
        <v>Chievo</v>
      </c>
      <c r="D101" s="63">
        <f t="shared" ca="1" si="44"/>
        <v>59.001010000000001</v>
      </c>
      <c r="E101" s="63">
        <f t="shared" ca="1" si="45"/>
        <v>29.001010000000001</v>
      </c>
      <c r="F101" s="64">
        <f t="shared" ca="1" si="46"/>
        <v>51.010841508500832</v>
      </c>
      <c r="G101" s="63" t="str">
        <f t="shared" ca="1" si="47"/>
        <v/>
      </c>
      <c r="H101" s="65">
        <f t="shared" ca="1" si="48"/>
        <v>40</v>
      </c>
      <c r="I101" s="63" t="str">
        <f t="shared" ca="1" si="49"/>
        <v/>
      </c>
      <c r="J101" s="63">
        <f t="shared" ca="1" si="50"/>
        <v>1.00101</v>
      </c>
      <c r="K101" s="63">
        <f t="shared" ca="1" si="51"/>
        <v>1.00101</v>
      </c>
      <c r="L101" s="324" t="e">
        <f ca="1">VLOOKUP(Tabella113[[#This Row],[Calciatore]],'Raccolta Aste'!$F$2:$J$33,4,FALSE)*Asta!$U$3/100</f>
        <v>#N/A</v>
      </c>
      <c r="N101" s="59">
        <f t="shared" si="61"/>
        <v>18</v>
      </c>
      <c r="O101" s="62" t="str">
        <f ca="1">IF(ISNUMBER(N101),INDIRECT("B" &amp; 84 + MATCH(N101,INDIRECT(ADDRESS(85,22+MATCH($P$27,'I.A. + Fasce'!$W$84:$AA$84,0),1,1) &amp; ":" &amp; ADDRESS(305,22+MATCH($P$27,'I.A. + Fasce'!$W$84:$AA$84,0),1,1)),0)),"")</f>
        <v>MASIELLO A</v>
      </c>
      <c r="P101" s="62" t="str">
        <f t="shared" ref="P101:P111" ca="1" si="63">IF(O101="","",VLOOKUP(O101,$B$85:$C$305,2,FALSE))</f>
        <v>Atalanta</v>
      </c>
      <c r="Q101" s="59">
        <f t="shared" si="62"/>
        <v>26</v>
      </c>
      <c r="R101" s="62" t="str">
        <f ca="1">IF(ISNUMBER(Q101),INDIRECT("B" &amp; 84 + MATCH(Q101,INDIRECT(ADDRESS(85,22+MATCH($P$27,'I.A. + Fasce'!$W$84:$AA$84,0),1,1) &amp; ":" &amp; ADDRESS(305,22+MATCH($P$27,'I.A. + Fasce'!$W$84:$AA$84,0),1,1)),0)),"")</f>
        <v>SILVESTRE</v>
      </c>
      <c r="S101" s="62" t="str">
        <f t="shared" ref="S101:S111" ca="1" si="64">IF(R101="","",VLOOKUP(R101,$B$85:$C$305,2,FALSE))</f>
        <v>Sampdoria</v>
      </c>
      <c r="U101" s="311"/>
      <c r="V101" s="311"/>
      <c r="W101" s="56">
        <f t="shared" ca="1" si="56"/>
        <v>164</v>
      </c>
      <c r="X101" s="56">
        <f t="shared" ca="1" si="57"/>
        <v>174</v>
      </c>
      <c r="Y101" s="56">
        <f t="shared" ca="1" si="58"/>
        <v>169</v>
      </c>
      <c r="Z101" s="56">
        <f t="shared" ca="1" si="59"/>
        <v>177</v>
      </c>
      <c r="AA101" s="56">
        <f t="shared" ca="1" si="60"/>
        <v>176</v>
      </c>
      <c r="AB101" s="56">
        <f ca="1">_xlfn.CEILING.MATH(INDIRECT(ADDRESS(85,22+MATCH($P$27,'I.A. + Fasce'!$W$84:$AA$84,0),1,1) &amp; ":" &amp; ADDRESS(305,22+MATCH($P$27,'I.A. + Fasce'!$W$84:$AA$84,0),1,1))/Asta!$H$3)</f>
        <v>22</v>
      </c>
      <c r="AD101" s="56">
        <f>'Mia rosa + Org. Finanza'!AG101</f>
        <v>0</v>
      </c>
      <c r="AE101" s="56" t="str">
        <f ca="1">'Mia rosa + Org. Finanza'!AH101</f>
        <v/>
      </c>
      <c r="AF101" s="56" t="str">
        <f ca="1">'Mia rosa + Org. Finanza'!AI101</f>
        <v/>
      </c>
      <c r="AG101" s="56">
        <f>'Mia rosa + Org. Finanza'!AJ101</f>
        <v>0</v>
      </c>
    </row>
    <row r="102" spans="1:33" ht="14.25" customHeight="1">
      <c r="A102" s="238" t="str">
        <f ca="1">IF(Giocatori!G26="","D",Giocatori!G26)</f>
        <v>D</v>
      </c>
      <c r="B102" s="238" t="str">
        <f ca="1">IF(Giocatori!H26="","ZZZ" &amp; ROW(),Giocatori!H26)</f>
        <v>BARRECA</v>
      </c>
      <c r="C102" s="238" t="str">
        <f ca="1">IF(Giocatori!I26="","NDR" &amp; ROW(),Giocatori!I26)</f>
        <v>Torino</v>
      </c>
      <c r="D102" s="63">
        <f t="shared" ca="1" si="44"/>
        <v>75.001019999999997</v>
      </c>
      <c r="E102" s="63">
        <f t="shared" ca="1" si="45"/>
        <v>42.001019999999997</v>
      </c>
      <c r="F102" s="64">
        <f t="shared" ca="1" si="46"/>
        <v>73.202754008669984</v>
      </c>
      <c r="G102" s="63" t="str">
        <f t="shared" ca="1" si="47"/>
        <v>SORPRESA</v>
      </c>
      <c r="H102" s="65">
        <f t="shared" ca="1" si="48"/>
        <v>80</v>
      </c>
      <c r="I102" s="63" t="str">
        <f t="shared" ca="1" si="49"/>
        <v/>
      </c>
      <c r="J102" s="63">
        <f t="shared" ca="1" si="50"/>
        <v>6.6826922833407698</v>
      </c>
      <c r="K102" s="63">
        <f t="shared" ca="1" si="51"/>
        <v>6.0694558822667082</v>
      </c>
      <c r="L102" s="324" t="e">
        <f ca="1">VLOOKUP(Tabella113[[#This Row],[Calciatore]],'Raccolta Aste'!$F$2:$J$33,4,FALSE)*Asta!$U$3/100</f>
        <v>#N/A</v>
      </c>
      <c r="N102" s="59">
        <f t="shared" si="61"/>
        <v>19</v>
      </c>
      <c r="O102" s="62" t="str">
        <f ca="1">IF(ISNUMBER(N102),INDIRECT("B" &amp; 84 + MATCH(N102,INDIRECT(ADDRESS(85,22+MATCH($P$27,'I.A. + Fasce'!$W$84:$AA$84,0),1,1) &amp; ":" &amp; ADDRESS(305,22+MATCH($P$27,'I.A. + Fasce'!$W$84:$AA$84,0),1,1)),0)),"")</f>
        <v>MANOLAS</v>
      </c>
      <c r="P102" s="62" t="str">
        <f t="shared" ca="1" si="63"/>
        <v>Roma</v>
      </c>
      <c r="Q102" s="59">
        <f t="shared" si="62"/>
        <v>27</v>
      </c>
      <c r="R102" s="62" t="str">
        <f ca="1">IF(ISNUMBER(Q102),INDIRECT("B" &amp; 84 + MATCH(Q102,INDIRECT(ADDRESS(85,22+MATCH($P$27,'I.A. + Fasce'!$W$84:$AA$84,0),1,1) &amp; ":" &amp; ADDRESS(305,22+MATCH($P$27,'I.A. + Fasce'!$W$84:$AA$84,0),1,1)),0)),"")</f>
        <v>SAMIR</v>
      </c>
      <c r="S102" s="62" t="str">
        <f t="shared" ca="1" si="64"/>
        <v>Udinese</v>
      </c>
      <c r="U102" s="311"/>
      <c r="V102" s="311"/>
      <c r="W102" s="56">
        <f t="shared" ca="1" si="56"/>
        <v>50</v>
      </c>
      <c r="X102" s="56">
        <f t="shared" ca="1" si="57"/>
        <v>30</v>
      </c>
      <c r="Y102" s="56">
        <f t="shared" ca="1" si="58"/>
        <v>32</v>
      </c>
      <c r="Z102" s="56">
        <f t="shared" ca="1" si="59"/>
        <v>38</v>
      </c>
      <c r="AA102" s="56">
        <f t="shared" ca="1" si="60"/>
        <v>40</v>
      </c>
      <c r="AB102" s="56">
        <f ca="1">_xlfn.CEILING.MATH(INDIRECT(ADDRESS(85,22+MATCH($P$27,'I.A. + Fasce'!$W$84:$AA$84,0),1,1) &amp; ":" &amp; ADDRESS(305,22+MATCH($P$27,'I.A. + Fasce'!$W$84:$AA$84,0),1,1))/Asta!$H$3)</f>
        <v>4</v>
      </c>
      <c r="AD102" s="56">
        <f>'Mia rosa + Org. Finanza'!AG102</f>
        <v>0</v>
      </c>
      <c r="AE102" s="56" t="str">
        <f ca="1">'Mia rosa + Org. Finanza'!AH102</f>
        <v/>
      </c>
      <c r="AF102" s="56" t="str">
        <f ca="1">'Mia rosa + Org. Finanza'!AI102</f>
        <v/>
      </c>
      <c r="AG102" s="56">
        <f>'Mia rosa + Org. Finanza'!AJ102</f>
        <v>0</v>
      </c>
    </row>
    <row r="103" spans="1:33" ht="14.25" customHeight="1">
      <c r="A103" s="238" t="str">
        <f ca="1">IF(Giocatori!G27="","D",Giocatori!G27)</f>
        <v>D</v>
      </c>
      <c r="B103" s="238" t="str">
        <f ca="1">IF(Giocatori!H27="","ZZZ" &amp; ROW(),Giocatori!H27)</f>
        <v>BARZAGLI</v>
      </c>
      <c r="C103" s="238" t="str">
        <f ca="1">IF(Giocatori!I27="","NDR" &amp; ROW(),Giocatori!I27)</f>
        <v>Juventus</v>
      </c>
      <c r="D103" s="63">
        <f t="shared" ca="1" si="44"/>
        <v>74.00103</v>
      </c>
      <c r="E103" s="63">
        <f t="shared" ca="1" si="45"/>
        <v>41.00103</v>
      </c>
      <c r="F103" s="64">
        <f t="shared" ca="1" si="46"/>
        <v>71.511097175507501</v>
      </c>
      <c r="G103" s="63" t="str">
        <f t="shared" ca="1" si="47"/>
        <v/>
      </c>
      <c r="H103" s="65">
        <f t="shared" ca="1" si="48"/>
        <v>60</v>
      </c>
      <c r="I103" s="63" t="str">
        <f t="shared" ca="1" si="49"/>
        <v/>
      </c>
      <c r="J103" s="63">
        <f t="shared" ca="1" si="50"/>
        <v>13.401535651397992</v>
      </c>
      <c r="K103" s="63">
        <f t="shared" ca="1" si="51"/>
        <v>14.062104202538414</v>
      </c>
      <c r="L103" s="324">
        <f ca="1">VLOOKUP(Tabella113[[#This Row],[Calciatore]],'Raccolta Aste'!$F$2:$J$33,4,FALSE)*Asta!$U$3/100</f>
        <v>8.82</v>
      </c>
      <c r="N103" s="59">
        <f t="shared" si="61"/>
        <v>20</v>
      </c>
      <c r="O103" s="62" t="str">
        <f ca="1">IF(ISNUMBER(N103),INDIRECT("B" &amp; 84 + MATCH(N103,INDIRECT(ADDRESS(85,22+MATCH($P$27,'I.A. + Fasce'!$W$84:$AA$84,0),1,1) &amp; ":" &amp; ADDRESS(305,22+MATCH($P$27,'I.A. + Fasce'!$W$84:$AA$84,0),1,1)),0)),"")</f>
        <v>KOLAROV</v>
      </c>
      <c r="P103" s="62" t="str">
        <f t="shared" ca="1" si="63"/>
        <v>Roma</v>
      </c>
      <c r="Q103" s="59">
        <f t="shared" si="62"/>
        <v>28</v>
      </c>
      <c r="R103" s="62" t="str">
        <f ca="1">IF(ISNUMBER(Q103),INDIRECT("B" &amp; 84 + MATCH(Q103,INDIRECT(ADDRESS(85,22+MATCH($P$27,'I.A. + Fasce'!$W$84:$AA$84,0),1,1) &amp; ":" &amp; ADDRESS(305,22+MATCH($P$27,'I.A. + Fasce'!$W$84:$AA$84,0),1,1)),0)),"")</f>
        <v>LUCIONI</v>
      </c>
      <c r="S103" s="62" t="str">
        <f t="shared" ca="1" si="64"/>
        <v>Benevento</v>
      </c>
      <c r="U103" s="311"/>
      <c r="V103" s="311"/>
      <c r="W103" s="56">
        <f t="shared" ca="1" si="56"/>
        <v>62</v>
      </c>
      <c r="X103" s="56">
        <f t="shared" ca="1" si="57"/>
        <v>47</v>
      </c>
      <c r="Y103" s="56">
        <f t="shared" ca="1" si="58"/>
        <v>41</v>
      </c>
      <c r="Z103" s="56">
        <f t="shared" ca="1" si="59"/>
        <v>13</v>
      </c>
      <c r="AA103" s="56">
        <f t="shared" ca="1" si="60"/>
        <v>13</v>
      </c>
      <c r="AB103" s="56">
        <f ca="1">_xlfn.CEILING.MATH(INDIRECT(ADDRESS(85,22+MATCH($P$27,'I.A. + Fasce'!$W$84:$AA$84,0),1,1) &amp; ":" &amp; ADDRESS(305,22+MATCH($P$27,'I.A. + Fasce'!$W$84:$AA$84,0),1,1))/Asta!$H$3)</f>
        <v>6</v>
      </c>
      <c r="AD103" s="56">
        <f>'Mia rosa + Org. Finanza'!AG103</f>
        <v>0</v>
      </c>
      <c r="AE103" s="56" t="str">
        <f ca="1">'Mia rosa + Org. Finanza'!AH103</f>
        <v/>
      </c>
      <c r="AF103" s="56" t="str">
        <f ca="1">'Mia rosa + Org. Finanza'!AI103</f>
        <v/>
      </c>
      <c r="AG103" s="56">
        <f>'Mia rosa + Org. Finanza'!AJ103</f>
        <v>0</v>
      </c>
    </row>
    <row r="104" spans="1:33" ht="14.25" customHeight="1">
      <c r="A104" s="238" t="str">
        <f ca="1">IF(Giocatori!G28="","D",Giocatori!G28)</f>
        <v>D</v>
      </c>
      <c r="B104" s="238" t="str">
        <f ca="1">IF(Giocatori!H28="","ZZZ" &amp; ROW(),Giocatori!H28)</f>
        <v>BASTA</v>
      </c>
      <c r="C104" s="238" t="str">
        <f ca="1">IF(Giocatori!I28="","NDR" &amp; ROW(),Giocatori!I28)</f>
        <v>Lazio</v>
      </c>
      <c r="D104" s="63">
        <f t="shared" ca="1" si="44"/>
        <v>74.001040000000003</v>
      </c>
      <c r="E104" s="63">
        <f t="shared" ca="1" si="45"/>
        <v>39.001040000000003</v>
      </c>
      <c r="F104" s="64">
        <f t="shared" ca="1" si="46"/>
        <v>69.177756009013351</v>
      </c>
      <c r="G104" s="63" t="str">
        <f t="shared" ca="1" si="47"/>
        <v/>
      </c>
      <c r="H104" s="65">
        <f t="shared" ca="1" si="48"/>
        <v>70</v>
      </c>
      <c r="I104" s="63" t="str">
        <f t="shared" ca="1" si="49"/>
        <v/>
      </c>
      <c r="J104" s="63">
        <f t="shared" ca="1" si="50"/>
        <v>4.2113314931588341</v>
      </c>
      <c r="K104" s="63">
        <f t="shared" ca="1" si="51"/>
        <v>4.0731660145267519</v>
      </c>
      <c r="L104" s="324" t="e">
        <f ca="1">VLOOKUP(Tabella113[[#This Row],[Calciatore]],'Raccolta Aste'!$F$2:$J$33,4,FALSE)*Asta!$U$3/100</f>
        <v>#N/A</v>
      </c>
      <c r="N104" s="59">
        <f t="shared" si="61"/>
        <v>21</v>
      </c>
      <c r="O104" s="62" t="str">
        <f ca="1">IF(ISNUMBER(N104),INDIRECT("B" &amp; 84 + MATCH(N104,INDIRECT(ADDRESS(85,22+MATCH($P$27,'I.A. + Fasce'!$W$84:$AA$84,0),1,1) &amp; ":" &amp; ADDRESS(305,22+MATCH($P$27,'I.A. + Fasce'!$W$84:$AA$84,0),1,1)),0)),"")</f>
        <v>IZZO</v>
      </c>
      <c r="P104" s="62" t="str">
        <f t="shared" ca="1" si="63"/>
        <v>Genoa</v>
      </c>
      <c r="Q104" s="59">
        <f t="shared" si="62"/>
        <v>29</v>
      </c>
      <c r="R104" s="62" t="str">
        <f ca="1">IF(ISNUMBER(Q104),INDIRECT("B" &amp; 84 + MATCH(Q104,INDIRECT(ADDRESS(85,22+MATCH($P$27,'I.A. + Fasce'!$W$84:$AA$84,0),1,1) &amp; ":" &amp; ADDRESS(305,22+MATCH($P$27,'I.A. + Fasce'!$W$84:$AA$84,0),1,1)),0)),"")</f>
        <v>CECCHERINI</v>
      </c>
      <c r="S104" s="62" t="str">
        <f t="shared" ca="1" si="64"/>
        <v>Crotone</v>
      </c>
      <c r="U104" s="311"/>
      <c r="V104" s="311"/>
      <c r="W104" s="56">
        <f t="shared" ca="1" si="56"/>
        <v>61</v>
      </c>
      <c r="X104" s="56">
        <f t="shared" ca="1" si="57"/>
        <v>70</v>
      </c>
      <c r="Y104" s="56">
        <f t="shared" ca="1" si="58"/>
        <v>59</v>
      </c>
      <c r="Z104" s="56">
        <f t="shared" ca="1" si="59"/>
        <v>52</v>
      </c>
      <c r="AA104" s="56">
        <f t="shared" ca="1" si="60"/>
        <v>49</v>
      </c>
      <c r="AB104" s="56">
        <f ca="1">_xlfn.CEILING.MATH(INDIRECT(ADDRESS(85,22+MATCH($P$27,'I.A. + Fasce'!$W$84:$AA$84,0),1,1) &amp; ":" &amp; ADDRESS(305,22+MATCH($P$27,'I.A. + Fasce'!$W$84:$AA$84,0),1,1))/Asta!$H$3)</f>
        <v>9</v>
      </c>
      <c r="AD104" s="56">
        <f>'Mia rosa + Org. Finanza'!AG104</f>
        <v>0</v>
      </c>
      <c r="AE104" s="56" t="str">
        <f ca="1">'Mia rosa + Org. Finanza'!AH104</f>
        <v/>
      </c>
      <c r="AF104" s="56" t="str">
        <f ca="1">'Mia rosa + Org. Finanza'!AI104</f>
        <v/>
      </c>
      <c r="AG104" s="56">
        <f>'Mia rosa + Org. Finanza'!AJ104</f>
        <v>0</v>
      </c>
    </row>
    <row r="105" spans="1:33" ht="14.25" customHeight="1">
      <c r="A105" s="238" t="str">
        <f ca="1">IF(Giocatori!G29="","D",Giocatori!G29)</f>
        <v>D</v>
      </c>
      <c r="B105" s="238" t="str">
        <f ca="1">IF(Giocatori!H29="","ZZZ" &amp; ROW(),Giocatori!H29)</f>
        <v>BASTONI</v>
      </c>
      <c r="C105" s="238" t="str">
        <f ca="1">IF(Giocatori!I29="","NDR" &amp; ROW(),Giocatori!I29)</f>
        <v>Atalanta</v>
      </c>
      <c r="D105" s="63">
        <f t="shared" ca="1" si="44"/>
        <v>64.001050000000006</v>
      </c>
      <c r="E105" s="63">
        <f t="shared" ca="1" si="45"/>
        <v>35.001049999999999</v>
      </c>
      <c r="F105" s="64">
        <f t="shared" ca="1" si="46"/>
        <v>59.711045842520839</v>
      </c>
      <c r="G105" s="63" t="str">
        <f t="shared" ca="1" si="47"/>
        <v/>
      </c>
      <c r="H105" s="65">
        <f t="shared" ca="1" si="48"/>
        <v>40</v>
      </c>
      <c r="I105" s="63" t="str">
        <f t="shared" ca="1" si="49"/>
        <v/>
      </c>
      <c r="J105" s="63">
        <f t="shared" ca="1" si="50"/>
        <v>1.00105</v>
      </c>
      <c r="K105" s="63">
        <f t="shared" ca="1" si="51"/>
        <v>1.00105</v>
      </c>
      <c r="L105" s="324" t="e">
        <f ca="1">VLOOKUP(Tabella113[[#This Row],[Calciatore]],'Raccolta Aste'!$F$2:$J$33,4,FALSE)*Asta!$U$3/100</f>
        <v>#N/A</v>
      </c>
      <c r="N105" s="59">
        <f t="shared" si="61"/>
        <v>22</v>
      </c>
      <c r="O105" s="62" t="str">
        <f ca="1">IF(ISNUMBER(N105),INDIRECT("B" &amp; 84 + MATCH(N105,INDIRECT(ADDRESS(85,22+MATCH($P$27,'I.A. + Fasce'!$W$84:$AA$84,0),1,1) &amp; ":" &amp; ADDRESS(305,22+MATCH($P$27,'I.A. + Fasce'!$W$84:$AA$84,0),1,1)),0)),"")</f>
        <v>HYSAJ</v>
      </c>
      <c r="P105" s="62" t="str">
        <f t="shared" ca="1" si="63"/>
        <v>Napoli</v>
      </c>
      <c r="Q105" s="59">
        <f t="shared" si="62"/>
        <v>30</v>
      </c>
      <c r="R105" s="62" t="str">
        <f ca="1">IF(ISNUMBER(Q105),INDIRECT("B" &amp; 84 + MATCH(Q105,INDIRECT(ADDRESS(85,22+MATCH($P$27,'I.A. + Fasce'!$W$84:$AA$84,0),1,1) &amp; ":" &amp; ADDRESS(305,22+MATCH($P$27,'I.A. + Fasce'!$W$84:$AA$84,0),1,1)),0)),"")</f>
        <v>BARRECA</v>
      </c>
      <c r="S105" s="62" t="str">
        <f t="shared" ca="1" si="64"/>
        <v>Torino</v>
      </c>
      <c r="U105" s="311"/>
      <c r="V105" s="311"/>
      <c r="W105" s="56">
        <f t="shared" ca="1" si="56"/>
        <v>142</v>
      </c>
      <c r="X105" s="56">
        <f t="shared" ca="1" si="57"/>
        <v>122</v>
      </c>
      <c r="Y105" s="56">
        <f t="shared" ca="1" si="58"/>
        <v>129</v>
      </c>
      <c r="Z105" s="56">
        <f t="shared" ca="1" si="59"/>
        <v>176</v>
      </c>
      <c r="AA105" s="56">
        <f t="shared" ca="1" si="60"/>
        <v>175</v>
      </c>
      <c r="AB105" s="56">
        <f ca="1">_xlfn.CEILING.MATH(INDIRECT(ADDRESS(85,22+MATCH($P$27,'I.A. + Fasce'!$W$84:$AA$84,0),1,1) &amp; ":" &amp; ADDRESS(305,22+MATCH($P$27,'I.A. + Fasce'!$W$84:$AA$84,0),1,1))/Asta!$H$3)</f>
        <v>16</v>
      </c>
      <c r="AD105" s="56">
        <f>'Mia rosa + Org. Finanza'!AG105</f>
        <v>0</v>
      </c>
      <c r="AE105" s="56" t="str">
        <f ca="1">'Mia rosa + Org. Finanza'!AH105</f>
        <v/>
      </c>
      <c r="AF105" s="56" t="str">
        <f ca="1">'Mia rosa + Org. Finanza'!AI105</f>
        <v/>
      </c>
      <c r="AG105" s="56">
        <f>'Mia rosa + Org. Finanza'!AJ105</f>
        <v>0</v>
      </c>
    </row>
    <row r="106" spans="1:33" ht="14.25" customHeight="1">
      <c r="A106" s="238" t="str">
        <f ca="1">IF(Giocatori!G30="","D",Giocatori!G30)</f>
        <v>D</v>
      </c>
      <c r="B106" s="238" t="str">
        <f ca="1">IF(Giocatori!H30="","ZZZ" &amp; ROW(),Giocatori!H30)</f>
        <v>BASTOS</v>
      </c>
      <c r="C106" s="238" t="str">
        <f ca="1">IF(Giocatori!I30="","NDR" &amp; ROW(),Giocatori!I30)</f>
        <v>Lazio</v>
      </c>
      <c r="D106" s="63">
        <f t="shared" ca="1" si="44"/>
        <v>67.001059999999995</v>
      </c>
      <c r="E106" s="63">
        <f t="shared" ca="1" si="45"/>
        <v>35.001060000000003</v>
      </c>
      <c r="F106" s="64">
        <f t="shared" ca="1" si="46"/>
        <v>61.211071676030002</v>
      </c>
      <c r="G106" s="63" t="str">
        <f t="shared" ca="1" si="47"/>
        <v/>
      </c>
      <c r="H106" s="65">
        <f t="shared" ca="1" si="48"/>
        <v>60</v>
      </c>
      <c r="I106" s="63" t="str">
        <f t="shared" ca="1" si="49"/>
        <v/>
      </c>
      <c r="J106" s="63">
        <f t="shared" ca="1" si="50"/>
        <v>1.0010600000000001</v>
      </c>
      <c r="K106" s="63">
        <f t="shared" ca="1" si="51"/>
        <v>1.0010600000000001</v>
      </c>
      <c r="L106" s="324" t="e">
        <f ca="1">VLOOKUP(Tabella113[[#This Row],[Calciatore]],'Raccolta Aste'!$F$2:$J$33,4,FALSE)*Asta!$U$3/100</f>
        <v>#N/A</v>
      </c>
      <c r="N106" s="59">
        <f t="shared" si="61"/>
        <v>23</v>
      </c>
      <c r="O106" s="62" t="str">
        <f ca="1">IF(ISNUMBER(N106),INDIRECT("B" &amp; 84 + MATCH(N106,INDIRECT(ADDRESS(85,22+MATCH($P$27,'I.A. + Fasce'!$W$84:$AA$84,0),1,1) &amp; ":" &amp; ADDRESS(305,22+MATCH($P$27,'I.A. + Fasce'!$W$84:$AA$84,0),1,1)),0)),"")</f>
        <v>BENATIA</v>
      </c>
      <c r="P106" s="62" t="str">
        <f t="shared" ca="1" si="63"/>
        <v>Juventus</v>
      </c>
      <c r="Q106" s="59">
        <f t="shared" si="62"/>
        <v>31</v>
      </c>
      <c r="R106" s="62" t="str">
        <f ca="1">IF(ISNUMBER(Q106),INDIRECT("B" &amp; 84 + MATCH(Q106,INDIRECT(ADDRESS(85,22+MATCH($P$27,'I.A. + Fasce'!$W$84:$AA$84,0),1,1) &amp; ":" &amp; ADDRESS(305,22+MATCH($P$27,'I.A. + Fasce'!$W$84:$AA$84,0),1,1)),0)),"")</f>
        <v>VAN DER WIEL</v>
      </c>
      <c r="S106" s="62" t="str">
        <f t="shared" ca="1" si="64"/>
        <v>Cagliari</v>
      </c>
      <c r="U106" s="311"/>
      <c r="V106" s="311"/>
      <c r="W106" s="56">
        <f t="shared" ca="1" si="56"/>
        <v>119</v>
      </c>
      <c r="X106" s="56">
        <f t="shared" ca="1" si="57"/>
        <v>121</v>
      </c>
      <c r="Y106" s="56">
        <f t="shared" ca="1" si="58"/>
        <v>116</v>
      </c>
      <c r="Z106" s="56">
        <f t="shared" ca="1" si="59"/>
        <v>175</v>
      </c>
      <c r="AA106" s="56">
        <f t="shared" ca="1" si="60"/>
        <v>174</v>
      </c>
      <c r="AB106" s="56">
        <f ca="1">_xlfn.CEILING.MATH(INDIRECT(ADDRESS(85,22+MATCH($P$27,'I.A. + Fasce'!$W$84:$AA$84,0),1,1) &amp; ":" &amp; ADDRESS(305,22+MATCH($P$27,'I.A. + Fasce'!$W$84:$AA$84,0),1,1))/Asta!$H$3)</f>
        <v>16</v>
      </c>
      <c r="AD106" s="56">
        <f>'Mia rosa + Org. Finanza'!AG106</f>
        <v>0</v>
      </c>
      <c r="AE106" s="56" t="str">
        <f ca="1">'Mia rosa + Org. Finanza'!AH106</f>
        <v/>
      </c>
      <c r="AF106" s="56" t="str">
        <f ca="1">'Mia rosa + Org. Finanza'!AI106</f>
        <v/>
      </c>
      <c r="AG106" s="56">
        <f>'Mia rosa + Org. Finanza'!AJ106</f>
        <v>0</v>
      </c>
    </row>
    <row r="107" spans="1:33" ht="14.25" customHeight="1">
      <c r="A107" s="238" t="str">
        <f ca="1">IF(Giocatori!G31="","D",Giocatori!G31)</f>
        <v>D</v>
      </c>
      <c r="B107" s="238" t="str">
        <f ca="1">IF(Giocatori!H31="","ZZZ" &amp; ROW(),Giocatori!H31)</f>
        <v>BENATIA</v>
      </c>
      <c r="C107" s="238" t="str">
        <f ca="1">IF(Giocatori!I31="","NDR" &amp; ROW(),Giocatori!I31)</f>
        <v>Juventus</v>
      </c>
      <c r="D107" s="63">
        <f t="shared" ca="1" si="44"/>
        <v>82.001069999999999</v>
      </c>
      <c r="E107" s="63">
        <f t="shared" ca="1" si="45"/>
        <v>43.001069999999999</v>
      </c>
      <c r="F107" s="64">
        <f t="shared" ca="1" si="46"/>
        <v>77.911240176207485</v>
      </c>
      <c r="G107" s="63" t="str">
        <f t="shared" ca="1" si="47"/>
        <v/>
      </c>
      <c r="H107" s="65">
        <f t="shared" ca="1" si="48"/>
        <v>70</v>
      </c>
      <c r="I107" s="63" t="str">
        <f t="shared" ca="1" si="49"/>
        <v/>
      </c>
      <c r="J107" s="63">
        <f t="shared" ca="1" si="50"/>
        <v>16.505135040650423</v>
      </c>
      <c r="K107" s="63">
        <f t="shared" ca="1" si="51"/>
        <v>17.202516820664172</v>
      </c>
      <c r="L107" s="324">
        <f ca="1">VLOOKUP(Tabella113[[#This Row],[Calciatore]],'Raccolta Aste'!$F$2:$J$33,4,FALSE)*Asta!$U$3/100</f>
        <v>9.4149999999999991</v>
      </c>
      <c r="N107" s="59">
        <f t="shared" si="61"/>
        <v>24</v>
      </c>
      <c r="O107" s="62" t="str">
        <f ca="1">IF(ISNUMBER(N107),INDIRECT("B" &amp; 84 + MATCH(N107,INDIRECT(ADDRESS(85,22+MATCH($P$27,'I.A. + Fasce'!$W$84:$AA$84,0),1,1) &amp; ":" &amp; ADDRESS(305,22+MATCH($P$27,'I.A. + Fasce'!$W$84:$AA$84,0),1,1)),0)),"")</f>
        <v>WIDMER</v>
      </c>
      <c r="P107" s="62" t="str">
        <f t="shared" ca="1" si="63"/>
        <v>Udinese</v>
      </c>
      <c r="Q107" s="59">
        <f t="shared" si="62"/>
        <v>32</v>
      </c>
      <c r="R107" s="62" t="str">
        <f ca="1">IF(ISNUMBER(Q107),INDIRECT("B" &amp; 84 + MATCH(Q107,INDIRECT(ADDRESS(85,22+MATCH($P$27,'I.A. + Fasce'!$W$84:$AA$84,0),1,1) &amp; ":" &amp; ADDRESS(305,22+MATCH($P$27,'I.A. + Fasce'!$W$84:$AA$84,0),1,1)),0)),"")</f>
        <v>PEZZELLA GER</v>
      </c>
      <c r="S107" s="62" t="str">
        <f t="shared" ca="1" si="64"/>
        <v>Fiorentina</v>
      </c>
      <c r="U107" s="311"/>
      <c r="V107" s="311"/>
      <c r="W107" s="56">
        <f t="shared" ca="1" si="56"/>
        <v>20</v>
      </c>
      <c r="X107" s="56">
        <f t="shared" ca="1" si="57"/>
        <v>23</v>
      </c>
      <c r="Y107" s="56">
        <f t="shared" ca="1" si="58"/>
        <v>18</v>
      </c>
      <c r="Z107" s="56">
        <f t="shared" ca="1" si="59"/>
        <v>9</v>
      </c>
      <c r="AA107" s="56">
        <f t="shared" ca="1" si="60"/>
        <v>9</v>
      </c>
      <c r="AB107" s="56">
        <f ca="1">_xlfn.CEILING.MATH(INDIRECT(ADDRESS(85,22+MATCH($P$27,'I.A. + Fasce'!$W$84:$AA$84,0),1,1) &amp; ":" &amp; ADDRESS(305,22+MATCH($P$27,'I.A. + Fasce'!$W$84:$AA$84,0),1,1))/Asta!$H$3)</f>
        <v>3</v>
      </c>
      <c r="AD107" s="56">
        <f>'Mia rosa + Org. Finanza'!AG107</f>
        <v>0</v>
      </c>
      <c r="AE107" s="56" t="str">
        <f ca="1">'Mia rosa + Org. Finanza'!AH107</f>
        <v/>
      </c>
      <c r="AF107" s="56" t="str">
        <f ca="1">'Mia rosa + Org. Finanza'!AI107</f>
        <v/>
      </c>
      <c r="AG107" s="56">
        <f>'Mia rosa + Org. Finanza'!AJ107</f>
        <v>0</v>
      </c>
    </row>
    <row r="108" spans="1:33" ht="14.25" customHeight="1">
      <c r="A108" s="238" t="str">
        <f ca="1">IF(Giocatori!G32="","D",Giocatori!G32)</f>
        <v>D</v>
      </c>
      <c r="B108" s="238" t="str">
        <f ca="1">IF(Giocatori!H32="","ZZZ" &amp; ROW(),Giocatori!H32)</f>
        <v>BERESZYNSKI</v>
      </c>
      <c r="C108" s="238" t="str">
        <f ca="1">IF(Giocatori!I32="","NDR" &amp; ROW(),Giocatori!I32)</f>
        <v>Sampdoria</v>
      </c>
      <c r="D108" s="63">
        <f t="shared" ca="1" si="44"/>
        <v>67.001080000000002</v>
      </c>
      <c r="E108" s="63">
        <f t="shared" ca="1" si="45"/>
        <v>32.001080000000002</v>
      </c>
      <c r="F108" s="64">
        <f t="shared" ca="1" si="46"/>
        <v>58.036069343053342</v>
      </c>
      <c r="G108" s="63" t="str">
        <f t="shared" ca="1" si="47"/>
        <v/>
      </c>
      <c r="H108" s="65">
        <f t="shared" ca="1" si="48"/>
        <v>60</v>
      </c>
      <c r="I108" s="63" t="str">
        <f t="shared" ca="1" si="49"/>
        <v/>
      </c>
      <c r="J108" s="63">
        <f t="shared" ca="1" si="50"/>
        <v>1.00108</v>
      </c>
      <c r="K108" s="63">
        <f t="shared" ca="1" si="51"/>
        <v>1.00108</v>
      </c>
      <c r="L108" s="324" t="e">
        <f ca="1">VLOOKUP(Tabella113[[#This Row],[Calciatore]],'Raccolta Aste'!$F$2:$J$33,4,FALSE)*Asta!$U$3/100</f>
        <v>#N/A</v>
      </c>
      <c r="N108" s="59" t="str">
        <f t="shared" si="61"/>
        <v/>
      </c>
      <c r="O108" s="62" t="str">
        <f ca="1">IF(ISNUMBER(N108),INDIRECT("B" &amp; 84 + MATCH(N108,INDIRECT(ADDRESS(85,22+MATCH($P$27,'I.A. + Fasce'!$W$84:$AA$84,0),1,1) &amp; ":" &amp; ADDRESS(305,22+MATCH($P$27,'I.A. + Fasce'!$W$84:$AA$84,0),1,1)),0)),"")</f>
        <v/>
      </c>
      <c r="P108" s="62" t="str">
        <f t="shared" ca="1" si="63"/>
        <v/>
      </c>
      <c r="Q108" s="59" t="str">
        <f t="shared" si="62"/>
        <v/>
      </c>
      <c r="R108" s="62" t="str">
        <f ca="1">IF(ISNUMBER(Q108),INDIRECT("B" &amp; 84 + MATCH(Q108,INDIRECT(ADDRESS(85,22+MATCH($P$27,'I.A. + Fasce'!$W$84:$AA$84,0),1,1) &amp; ":" &amp; ADDRESS(305,22+MATCH($P$27,'I.A. + Fasce'!$W$84:$AA$84,0),1,1)),0)),"")</f>
        <v/>
      </c>
      <c r="S108" s="62" t="str">
        <f t="shared" ca="1" si="64"/>
        <v/>
      </c>
      <c r="U108" s="311"/>
      <c r="V108" s="311"/>
      <c r="W108" s="56">
        <f t="shared" ca="1" si="56"/>
        <v>118</v>
      </c>
      <c r="X108" s="56">
        <f t="shared" ca="1" si="57"/>
        <v>156</v>
      </c>
      <c r="Y108" s="56">
        <f t="shared" ca="1" si="58"/>
        <v>140</v>
      </c>
      <c r="Z108" s="56">
        <f t="shared" ca="1" si="59"/>
        <v>174</v>
      </c>
      <c r="AA108" s="56">
        <f t="shared" ca="1" si="60"/>
        <v>173</v>
      </c>
      <c r="AB108" s="56">
        <f ca="1">_xlfn.CEILING.MATH(INDIRECT(ADDRESS(85,22+MATCH($P$27,'I.A. + Fasce'!$W$84:$AA$84,0),1,1) &amp; ":" &amp; ADDRESS(305,22+MATCH($P$27,'I.A. + Fasce'!$W$84:$AA$84,0),1,1))/Asta!$H$3)</f>
        <v>20</v>
      </c>
      <c r="AD108" s="56">
        <f>'Mia rosa + Org. Finanza'!AG108</f>
        <v>0</v>
      </c>
      <c r="AE108" s="56" t="str">
        <f ca="1">'Mia rosa + Org. Finanza'!AH108</f>
        <v/>
      </c>
      <c r="AF108" s="56" t="str">
        <f ca="1">'Mia rosa + Org. Finanza'!AI108</f>
        <v/>
      </c>
      <c r="AG108" s="56">
        <f>'Mia rosa + Org. Finanza'!AJ108</f>
        <v>0</v>
      </c>
    </row>
    <row r="109" spans="1:33" ht="14.25" customHeight="1">
      <c r="A109" s="238" t="str">
        <f ca="1">IF(Giocatori!G33="","D",Giocatori!G33)</f>
        <v>D</v>
      </c>
      <c r="B109" s="238" t="str">
        <f ca="1">IF(Giocatori!H33="","ZZZ" &amp; ROW(),Giocatori!H33)</f>
        <v>BIANCHETTI</v>
      </c>
      <c r="C109" s="238" t="str">
        <f ca="1">IF(Giocatori!I33="","NDR" &amp; ROW(),Giocatori!I33)</f>
        <v>Verona</v>
      </c>
      <c r="D109" s="63">
        <f t="shared" ca="1" si="44"/>
        <v>55.001089999999998</v>
      </c>
      <c r="E109" s="63">
        <f t="shared" ca="1" si="45"/>
        <v>29.001090000000001</v>
      </c>
      <c r="F109" s="64">
        <f t="shared" ca="1" si="46"/>
        <v>49.011040176567498</v>
      </c>
      <c r="G109" s="63" t="str">
        <f t="shared" ca="1" si="47"/>
        <v>SCONSIGLIATO</v>
      </c>
      <c r="H109" s="65">
        <f t="shared" ca="1" si="48"/>
        <v>50</v>
      </c>
      <c r="I109" s="63" t="str">
        <f t="shared" ca="1" si="49"/>
        <v/>
      </c>
      <c r="J109" s="63">
        <f t="shared" ca="1" si="50"/>
        <v>1.00109</v>
      </c>
      <c r="K109" s="63">
        <f t="shared" ca="1" si="51"/>
        <v>1.00109</v>
      </c>
      <c r="L109" s="324" t="e">
        <f ca="1">VLOOKUP(Tabella113[[#This Row],[Calciatore]],'Raccolta Aste'!$F$2:$J$33,4,FALSE)*Asta!$U$3/100</f>
        <v>#N/A</v>
      </c>
      <c r="N109" s="59" t="str">
        <f t="shared" si="61"/>
        <v/>
      </c>
      <c r="O109" s="62" t="str">
        <f ca="1">IF(ISNUMBER(N109),INDIRECT("B" &amp; 84 + MATCH(N109,INDIRECT(ADDRESS(85,22+MATCH($P$27,'I.A. + Fasce'!$W$84:$AA$84,0),1,1) &amp; ":" &amp; ADDRESS(305,22+MATCH($P$27,'I.A. + Fasce'!$W$84:$AA$84,0),1,1)),0)),"")</f>
        <v/>
      </c>
      <c r="P109" s="62" t="str">
        <f t="shared" ca="1" si="63"/>
        <v/>
      </c>
      <c r="Q109" s="59" t="str">
        <f t="shared" si="62"/>
        <v/>
      </c>
      <c r="R109" s="62" t="str">
        <f ca="1">IF(ISNUMBER(Q109),INDIRECT("B" &amp; 84 + MATCH(Q109,INDIRECT(ADDRESS(85,22+MATCH($P$27,'I.A. + Fasce'!$W$84:$AA$84,0),1,1) &amp; ":" &amp; ADDRESS(305,22+MATCH($P$27,'I.A. + Fasce'!$W$84:$AA$84,0),1,1)),0)),"")</f>
        <v/>
      </c>
      <c r="S109" s="62" t="str">
        <f t="shared" ca="1" si="64"/>
        <v/>
      </c>
      <c r="U109" s="311"/>
      <c r="V109" s="311"/>
      <c r="W109" s="56">
        <f t="shared" ca="1" si="56"/>
        <v>176</v>
      </c>
      <c r="X109" s="56">
        <f t="shared" ca="1" si="57"/>
        <v>173</v>
      </c>
      <c r="Y109" s="56">
        <f t="shared" ca="1" si="58"/>
        <v>173</v>
      </c>
      <c r="Z109" s="56">
        <f t="shared" ca="1" si="59"/>
        <v>173</v>
      </c>
      <c r="AA109" s="56">
        <f t="shared" ca="1" si="60"/>
        <v>172</v>
      </c>
      <c r="AB109" s="56">
        <f ca="1">_xlfn.CEILING.MATH(INDIRECT(ADDRESS(85,22+MATCH($P$27,'I.A. + Fasce'!$W$84:$AA$84,0),1,1) &amp; ":" &amp; ADDRESS(305,22+MATCH($P$27,'I.A. + Fasce'!$W$84:$AA$84,0),1,1))/Asta!$H$3)</f>
        <v>22</v>
      </c>
      <c r="AD109" s="56">
        <f>'Mia rosa + Org. Finanza'!AG109</f>
        <v>0</v>
      </c>
      <c r="AE109" s="56" t="str">
        <f ca="1">'Mia rosa + Org. Finanza'!AH109</f>
        <v/>
      </c>
      <c r="AF109" s="56" t="str">
        <f ca="1">'Mia rosa + Org. Finanza'!AI109</f>
        <v/>
      </c>
      <c r="AG109" s="56">
        <f>'Mia rosa + Org. Finanza'!AJ109</f>
        <v>0</v>
      </c>
    </row>
    <row r="110" spans="1:33" ht="14.25" customHeight="1">
      <c r="A110" s="238" t="str">
        <f ca="1">IF(Giocatori!G34="","D",Giocatori!G34)</f>
        <v>D</v>
      </c>
      <c r="B110" s="238" t="str">
        <f ca="1">IF(Giocatori!H34="","ZZZ" &amp; ROW(),Giocatori!H34)</f>
        <v>BIRAGHI</v>
      </c>
      <c r="C110" s="238" t="str">
        <f ca="1">IF(Giocatori!I34="","NDR" &amp; ROW(),Giocatori!I34)</f>
        <v>Fiorentina</v>
      </c>
      <c r="D110" s="63">
        <f t="shared" ca="1" si="44"/>
        <v>69.001099999999994</v>
      </c>
      <c r="E110" s="63">
        <f t="shared" ca="1" si="45"/>
        <v>41.001100000000001</v>
      </c>
      <c r="F110" s="64">
        <f t="shared" ca="1" si="46"/>
        <v>69.011285010083327</v>
      </c>
      <c r="G110" s="63" t="str">
        <f t="shared" ca="1" si="47"/>
        <v/>
      </c>
      <c r="H110" s="65">
        <f t="shared" ca="1" si="48"/>
        <v>70</v>
      </c>
      <c r="I110" s="63" t="str">
        <f t="shared" ca="1" si="49"/>
        <v/>
      </c>
      <c r="J110" s="63">
        <f t="shared" ca="1" si="50"/>
        <v>6.1634785445171429</v>
      </c>
      <c r="K110" s="63">
        <f t="shared" ca="1" si="51"/>
        <v>5.3587447314186489</v>
      </c>
      <c r="L110" s="324" t="e">
        <f ca="1">VLOOKUP(Tabella113[[#This Row],[Calciatore]],'Raccolta Aste'!$F$2:$J$33,4,FALSE)*Asta!$U$3/100</f>
        <v>#N/A</v>
      </c>
      <c r="N110" s="59" t="str">
        <f t="shared" si="61"/>
        <v/>
      </c>
      <c r="O110" s="62" t="str">
        <f ca="1">IF(ISNUMBER(N110),INDIRECT("B" &amp; 84 + MATCH(N110,INDIRECT(ADDRESS(85,22+MATCH($P$27,'I.A. + Fasce'!$W$84:$AA$84,0),1,1) &amp; ":" &amp; ADDRESS(305,22+MATCH($P$27,'I.A. + Fasce'!$W$84:$AA$84,0),1,1)),0)),"")</f>
        <v/>
      </c>
      <c r="P110" s="62" t="str">
        <f t="shared" ca="1" si="63"/>
        <v/>
      </c>
      <c r="Q110" s="59" t="str">
        <f t="shared" si="62"/>
        <v/>
      </c>
      <c r="R110" s="62" t="str">
        <f ca="1">IF(ISNUMBER(Q110),INDIRECT("B" &amp; 84 + MATCH(Q110,INDIRECT(ADDRESS(85,22+MATCH($P$27,'I.A. + Fasce'!$W$84:$AA$84,0),1,1) &amp; ":" &amp; ADDRESS(305,22+MATCH($P$27,'I.A. + Fasce'!$W$84:$AA$84,0),1,1)),0)),"")</f>
        <v/>
      </c>
      <c r="S110" s="62" t="str">
        <f t="shared" ca="1" si="64"/>
        <v/>
      </c>
      <c r="U110" s="311"/>
      <c r="V110" s="311"/>
      <c r="W110" s="56">
        <f t="shared" ca="1" si="56"/>
        <v>100</v>
      </c>
      <c r="X110" s="56">
        <f t="shared" ca="1" si="57"/>
        <v>46</v>
      </c>
      <c r="Y110" s="56">
        <f t="shared" ca="1" si="58"/>
        <v>60</v>
      </c>
      <c r="Z110" s="56">
        <f t="shared" ca="1" si="59"/>
        <v>42</v>
      </c>
      <c r="AA110" s="56">
        <f t="shared" ca="1" si="60"/>
        <v>43</v>
      </c>
      <c r="AB110" s="56">
        <f ca="1">_xlfn.CEILING.MATH(INDIRECT(ADDRESS(85,22+MATCH($P$27,'I.A. + Fasce'!$W$84:$AA$84,0),1,1) &amp; ":" &amp; ADDRESS(305,22+MATCH($P$27,'I.A. + Fasce'!$W$84:$AA$84,0),1,1))/Asta!$H$3)</f>
        <v>6</v>
      </c>
      <c r="AD110" s="56">
        <f>'Mia rosa + Org. Finanza'!AG110</f>
        <v>0</v>
      </c>
      <c r="AE110" s="56" t="str">
        <f ca="1">'Mia rosa + Org. Finanza'!AH110</f>
        <v/>
      </c>
      <c r="AF110" s="56" t="str">
        <f ca="1">'Mia rosa + Org. Finanza'!AI110</f>
        <v/>
      </c>
      <c r="AG110" s="56">
        <f>'Mia rosa + Org. Finanza'!AJ110</f>
        <v>0</v>
      </c>
    </row>
    <row r="111" spans="1:33" ht="14.25" customHeight="1">
      <c r="A111" s="238" t="str">
        <f ca="1">IF(Giocatori!G35="","D",Giocatori!G35)</f>
        <v>D</v>
      </c>
      <c r="B111" s="238" t="str">
        <f ca="1">IF(Giocatori!H35="","ZZZ" &amp; ROW(),Giocatori!H35)</f>
        <v>BIRASCHI</v>
      </c>
      <c r="C111" s="238" t="str">
        <f ca="1">IF(Giocatori!I35="","NDR" &amp; ROW(),Giocatori!I35)</f>
        <v>Genoa</v>
      </c>
      <c r="D111" s="63">
        <f t="shared" ca="1" si="44"/>
        <v>64.001109999999997</v>
      </c>
      <c r="E111" s="63">
        <f t="shared" ca="1" si="45"/>
        <v>39.001109999999997</v>
      </c>
      <c r="F111" s="64">
        <f t="shared" ca="1" si="46"/>
        <v>64.177941510267488</v>
      </c>
      <c r="G111" s="63" t="str">
        <f t="shared" ca="1" si="47"/>
        <v/>
      </c>
      <c r="H111" s="65">
        <f t="shared" ca="1" si="48"/>
        <v>70</v>
      </c>
      <c r="I111" s="63" t="str">
        <f t="shared" ca="1" si="49"/>
        <v/>
      </c>
      <c r="J111" s="63">
        <f t="shared" ca="1" si="50"/>
        <v>1.7277991333630454</v>
      </c>
      <c r="K111" s="63">
        <f t="shared" ca="1" si="51"/>
        <v>1.1059212277648662</v>
      </c>
      <c r="L111" s="324" t="e">
        <f ca="1">VLOOKUP(Tabella113[[#This Row],[Calciatore]],'Raccolta Aste'!$F$2:$J$33,4,FALSE)*Asta!$U$3/100</f>
        <v>#N/A</v>
      </c>
      <c r="N111" s="59" t="str">
        <f t="shared" si="61"/>
        <v/>
      </c>
      <c r="O111" s="62" t="str">
        <f ca="1">IF(ISNUMBER(N111),INDIRECT("B" &amp; 84 + MATCH(N111,INDIRECT(ADDRESS(85,22+MATCH($P$27,'I.A. + Fasce'!$W$84:$AA$84,0),1,1) &amp; ":" &amp; ADDRESS(305,22+MATCH($P$27,'I.A. + Fasce'!$W$84:$AA$84,0),1,1)),0)),"")</f>
        <v/>
      </c>
      <c r="P111" s="62" t="str">
        <f t="shared" ca="1" si="63"/>
        <v/>
      </c>
      <c r="Q111" s="59" t="str">
        <f t="shared" si="62"/>
        <v/>
      </c>
      <c r="R111" s="62" t="str">
        <f ca="1">IF(ISNUMBER(Q111),INDIRECT("B" &amp; 84 + MATCH(Q111,INDIRECT(ADDRESS(85,22+MATCH($P$27,'I.A. + Fasce'!$W$84:$AA$84,0),1,1) &amp; ":" &amp; ADDRESS(305,22+MATCH($P$27,'I.A. + Fasce'!$W$84:$AA$84,0),1,1)),0)),"")</f>
        <v/>
      </c>
      <c r="S111" s="62" t="str">
        <f t="shared" ca="1" si="64"/>
        <v/>
      </c>
      <c r="U111" s="311"/>
      <c r="V111" s="311"/>
      <c r="W111" s="56">
        <f t="shared" ca="1" si="56"/>
        <v>141</v>
      </c>
      <c r="X111" s="56">
        <f t="shared" ca="1" si="57"/>
        <v>69</v>
      </c>
      <c r="Y111" s="56">
        <f t="shared" ca="1" si="58"/>
        <v>96</v>
      </c>
      <c r="Z111" s="56">
        <f t="shared" ca="1" si="59"/>
        <v>71</v>
      </c>
      <c r="AA111" s="56">
        <f t="shared" ca="1" si="60"/>
        <v>69</v>
      </c>
      <c r="AB111" s="56">
        <f ca="1">_xlfn.CEILING.MATH(INDIRECT(ADDRESS(85,22+MATCH($P$27,'I.A. + Fasce'!$W$84:$AA$84,0),1,1) &amp; ":" &amp; ADDRESS(305,22+MATCH($P$27,'I.A. + Fasce'!$W$84:$AA$84,0),1,1))/Asta!$H$3)</f>
        <v>9</v>
      </c>
      <c r="AD111" s="56">
        <f>'Mia rosa + Org. Finanza'!AG111</f>
        <v>0</v>
      </c>
      <c r="AE111" s="56" t="str">
        <f ca="1">'Mia rosa + Org. Finanza'!AH111</f>
        <v/>
      </c>
      <c r="AF111" s="56" t="str">
        <f ca="1">'Mia rosa + Org. Finanza'!AI111</f>
        <v/>
      </c>
      <c r="AG111" s="56">
        <f>'Mia rosa + Org. Finanza'!AJ111</f>
        <v>0</v>
      </c>
    </row>
    <row r="112" spans="1:33" ht="14.25" customHeight="1">
      <c r="A112" s="238" t="str">
        <f ca="1">IF(Giocatori!G36="","D",Giocatori!G36)</f>
        <v>D</v>
      </c>
      <c r="B112" s="238" t="str">
        <f ca="1">IF(Giocatori!H36="","ZZZ" &amp; ROW(),Giocatori!H36)</f>
        <v>BOCHNIEWICZ</v>
      </c>
      <c r="C112" s="238" t="str">
        <f ca="1">IF(Giocatori!I36="","NDR" &amp; ROW(),Giocatori!I36)</f>
        <v>Udinese</v>
      </c>
      <c r="D112" s="63">
        <f t="shared" ca="1" si="44"/>
        <v>59.00112</v>
      </c>
      <c r="E112" s="63">
        <f t="shared" ca="1" si="45"/>
        <v>34.00112</v>
      </c>
      <c r="F112" s="64">
        <f t="shared" ca="1" si="46"/>
        <v>56.136208010453338</v>
      </c>
      <c r="G112" s="63" t="str">
        <f t="shared" ca="1" si="47"/>
        <v/>
      </c>
      <c r="H112" s="65">
        <f t="shared" ca="1" si="48"/>
        <v>30</v>
      </c>
      <c r="I112" s="63" t="str">
        <f t="shared" ca="1" si="49"/>
        <v/>
      </c>
      <c r="J112" s="63">
        <f t="shared" ca="1" si="50"/>
        <v>1.00112</v>
      </c>
      <c r="K112" s="63">
        <f t="shared" ca="1" si="51"/>
        <v>1.00112</v>
      </c>
      <c r="L112" s="324" t="e">
        <f ca="1">VLOOKUP(Tabella113[[#This Row],[Calciatore]],'Raccolta Aste'!$F$2:$J$33,4,FALSE)*Asta!$U$3/100</f>
        <v>#N/A</v>
      </c>
      <c r="N112"/>
      <c r="O112"/>
      <c r="P112"/>
      <c r="Q112"/>
      <c r="R112"/>
      <c r="S112"/>
      <c r="U112" s="311"/>
      <c r="V112" s="311"/>
      <c r="W112" s="56">
        <f t="shared" ca="1" si="56"/>
        <v>163</v>
      </c>
      <c r="X112" s="56">
        <f t="shared" ca="1" si="57"/>
        <v>139</v>
      </c>
      <c r="Y112" s="56">
        <f t="shared" ca="1" si="58"/>
        <v>149</v>
      </c>
      <c r="Z112" s="56">
        <f t="shared" ca="1" si="59"/>
        <v>172</v>
      </c>
      <c r="AA112" s="56">
        <f t="shared" ca="1" si="60"/>
        <v>171</v>
      </c>
      <c r="AB112" s="56">
        <f ca="1">_xlfn.CEILING.MATH(INDIRECT(ADDRESS(85,22+MATCH($P$27,'I.A. + Fasce'!$W$84:$AA$84,0),1,1) &amp; ":" &amp; ADDRESS(305,22+MATCH($P$27,'I.A. + Fasce'!$W$84:$AA$84,0),1,1))/Asta!$H$3)</f>
        <v>18</v>
      </c>
      <c r="AD112" s="56">
        <f>'Mia rosa + Org. Finanza'!AG112</f>
        <v>0</v>
      </c>
      <c r="AE112" s="56" t="str">
        <f ca="1">'Mia rosa + Org. Finanza'!AH112</f>
        <v/>
      </c>
      <c r="AF112" s="56" t="str">
        <f ca="1">'Mia rosa + Org. Finanza'!AI112</f>
        <v/>
      </c>
      <c r="AG112" s="56">
        <f>'Mia rosa + Org. Finanza'!AJ112</f>
        <v>0</v>
      </c>
    </row>
    <row r="113" spans="1:33" ht="14.25" customHeight="1">
      <c r="A113" s="238" t="str">
        <f ca="1">IF(Giocatori!G37="","D",Giocatori!G37)</f>
        <v>D</v>
      </c>
      <c r="B113" s="238" t="str">
        <f ca="1">IF(Giocatori!H37="","ZZZ" &amp; ROW(),Giocatori!H37)</f>
        <v>BONIFAZI</v>
      </c>
      <c r="C113" s="238" t="str">
        <f ca="1">IF(Giocatori!I37="","NDR" &amp; ROW(),Giocatori!I37)</f>
        <v>Torino</v>
      </c>
      <c r="D113" s="63">
        <f t="shared" ca="1" si="44"/>
        <v>62.001130000000003</v>
      </c>
      <c r="E113" s="63">
        <f t="shared" ca="1" si="45"/>
        <v>35.001130000000003</v>
      </c>
      <c r="F113" s="64">
        <f t="shared" ca="1" si="46"/>
        <v>58.711252510640847</v>
      </c>
      <c r="G113" s="63" t="str">
        <f t="shared" ca="1" si="47"/>
        <v/>
      </c>
      <c r="H113" s="65">
        <f t="shared" ca="1" si="48"/>
        <v>50</v>
      </c>
      <c r="I113" s="325" t="str">
        <f t="shared" ca="1" si="49"/>
        <v/>
      </c>
      <c r="J113" s="63">
        <f t="shared" ca="1" si="50"/>
        <v>1.0011300000000001</v>
      </c>
      <c r="K113" s="63">
        <f t="shared" ca="1" si="51"/>
        <v>1.0011300000000001</v>
      </c>
      <c r="L113" s="324" t="e">
        <f ca="1">VLOOKUP(Tabella113[[#This Row],[Calciatore]],'Raccolta Aste'!$F$2:$J$33,4,FALSE)*Asta!$U$3/100</f>
        <v>#N/A</v>
      </c>
      <c r="N113" s="58"/>
      <c r="O113" s="59" t="s">
        <v>705</v>
      </c>
      <c r="P113" s="59" t="s">
        <v>637</v>
      </c>
      <c r="Q113" s="58"/>
      <c r="R113" s="59" t="s">
        <v>706</v>
      </c>
      <c r="S113" s="59" t="s">
        <v>637</v>
      </c>
      <c r="U113" s="311"/>
      <c r="V113" s="311"/>
      <c r="W113" s="56">
        <f t="shared" ca="1" si="56"/>
        <v>149</v>
      </c>
      <c r="X113" s="56">
        <f t="shared" ca="1" si="57"/>
        <v>120</v>
      </c>
      <c r="Y113" s="56">
        <f t="shared" ca="1" si="58"/>
        <v>138</v>
      </c>
      <c r="Z113" s="56">
        <f t="shared" ca="1" si="59"/>
        <v>171</v>
      </c>
      <c r="AA113" s="56">
        <f t="shared" ca="1" si="60"/>
        <v>170</v>
      </c>
      <c r="AB113" s="56">
        <f ca="1">_xlfn.CEILING.MATH(INDIRECT(ADDRESS(85,22+MATCH($P$27,'I.A. + Fasce'!$W$84:$AA$84,0),1,1) &amp; ":" &amp; ADDRESS(305,22+MATCH($P$27,'I.A. + Fasce'!$W$84:$AA$84,0),1,1))/Asta!$H$3)</f>
        <v>15</v>
      </c>
      <c r="AD113" s="56">
        <f>'Mia rosa + Org. Finanza'!AG113</f>
        <v>0</v>
      </c>
      <c r="AE113" s="56" t="str">
        <f ca="1">'Mia rosa + Org. Finanza'!AH113</f>
        <v/>
      </c>
      <c r="AF113" s="56" t="str">
        <f ca="1">'Mia rosa + Org. Finanza'!AI113</f>
        <v/>
      </c>
      <c r="AG113" s="56">
        <f>'Mia rosa + Org. Finanza'!AJ113</f>
        <v>0</v>
      </c>
    </row>
    <row r="114" spans="1:33" ht="14.25" customHeight="1">
      <c r="A114" s="238" t="str">
        <f ca="1">IF(Giocatori!G38="","D",Giocatori!G38)</f>
        <v>D</v>
      </c>
      <c r="B114" s="238" t="str">
        <f ca="1">IF(Giocatori!H38="","ZZZ" &amp; ROW(),Giocatori!H38)</f>
        <v>BONUCCI</v>
      </c>
      <c r="C114" s="238" t="str">
        <f ca="1">IF(Giocatori!I38="","NDR" &amp; ROW(),Giocatori!I38)</f>
        <v>Milan</v>
      </c>
      <c r="D114" s="63">
        <f t="shared" ca="1" si="44"/>
        <v>95.001140000000007</v>
      </c>
      <c r="E114" s="63">
        <f t="shared" ca="1" si="45"/>
        <v>50.001139999999999</v>
      </c>
      <c r="F114" s="64">
        <f t="shared" ca="1" si="46"/>
        <v>93.336563344163338</v>
      </c>
      <c r="G114" s="63" t="str">
        <f t="shared" ca="1" si="47"/>
        <v/>
      </c>
      <c r="H114" s="65">
        <f t="shared" ca="1" si="48"/>
        <v>90</v>
      </c>
      <c r="I114" s="325" t="str">
        <f t="shared" ca="1" si="49"/>
        <v/>
      </c>
      <c r="J114" s="63">
        <f t="shared" ca="1" si="50"/>
        <v>23.363969664882013</v>
      </c>
      <c r="K114" s="63">
        <f t="shared" ca="1" si="51"/>
        <v>24.142707475257033</v>
      </c>
      <c r="L114" s="324">
        <f ca="1">VLOOKUP(Tabella113[[#This Row],[Calciatore]],'Raccolta Aste'!$F$2:$J$33,4,FALSE)*Asta!$U$3/100</f>
        <v>24.71</v>
      </c>
      <c r="N114" s="60"/>
      <c r="O114" s="61"/>
      <c r="P114" s="61"/>
      <c r="Q114" s="60"/>
      <c r="R114" s="61"/>
      <c r="S114" s="61"/>
      <c r="U114" s="311"/>
      <c r="V114" s="311"/>
      <c r="W114" s="56">
        <f t="shared" ca="1" si="56"/>
        <v>1</v>
      </c>
      <c r="X114" s="56">
        <f t="shared" ca="1" si="57"/>
        <v>4</v>
      </c>
      <c r="Y114" s="56">
        <f t="shared" ca="1" si="58"/>
        <v>3</v>
      </c>
      <c r="Z114" s="56">
        <f t="shared" ca="1" si="59"/>
        <v>3</v>
      </c>
      <c r="AA114" s="56">
        <f t="shared" ca="1" si="60"/>
        <v>3</v>
      </c>
      <c r="AB114" s="56">
        <f ca="1">_xlfn.CEILING.MATH(INDIRECT(ADDRESS(85,22+MATCH($P$27,'I.A. + Fasce'!$W$84:$AA$84,0),1,1) &amp; ":" &amp; ADDRESS(305,22+MATCH($P$27,'I.A. + Fasce'!$W$84:$AA$84,0),1,1))/Asta!$H$3)</f>
        <v>1</v>
      </c>
      <c r="AD114" s="56">
        <f>'Mia rosa + Org. Finanza'!AG114</f>
        <v>0</v>
      </c>
      <c r="AE114" s="56" t="str">
        <f ca="1">'Mia rosa + Org. Finanza'!AH114</f>
        <v/>
      </c>
      <c r="AF114" s="56" t="str">
        <f ca="1">'Mia rosa + Org. Finanza'!AI114</f>
        <v/>
      </c>
      <c r="AG114" s="56">
        <f>'Mia rosa + Org. Finanza'!AJ114</f>
        <v>0</v>
      </c>
    </row>
    <row r="115" spans="1:33" ht="14.25" customHeight="1">
      <c r="A115" s="238" t="str">
        <f ca="1">IF(Giocatori!G39="","D",Giocatori!G39)</f>
        <v>D</v>
      </c>
      <c r="B115" s="238" t="str">
        <f ca="1">IF(Giocatori!H39="","ZZZ" &amp; ROW(),Giocatori!H39)</f>
        <v>BRUNO PERES</v>
      </c>
      <c r="C115" s="238" t="str">
        <f ca="1">IF(Giocatori!I39="","NDR" &amp; ROW(),Giocatori!I39)</f>
        <v>Roma</v>
      </c>
      <c r="D115" s="63">
        <f t="shared" ca="1" si="44"/>
        <v>81.001149999999996</v>
      </c>
      <c r="E115" s="63">
        <f t="shared" ca="1" si="45"/>
        <v>39.001150000000003</v>
      </c>
      <c r="F115" s="64">
        <f t="shared" ca="1" si="46"/>
        <v>72.678047511020836</v>
      </c>
      <c r="G115" s="63" t="str">
        <f t="shared" ca="1" si="47"/>
        <v/>
      </c>
      <c r="H115" s="65">
        <f t="shared" ca="1" si="48"/>
        <v>60</v>
      </c>
      <c r="I115" s="63" t="str">
        <f t="shared" ca="1" si="49"/>
        <v/>
      </c>
      <c r="J115" s="63">
        <f t="shared" ca="1" si="50"/>
        <v>4.5090074261352351</v>
      </c>
      <c r="K115" s="63">
        <f t="shared" ca="1" si="51"/>
        <v>2.9949250783689694</v>
      </c>
      <c r="L115" s="324" t="e">
        <f ca="1">VLOOKUP(Tabella113[[#This Row],[Calciatore]],'Raccolta Aste'!$F$2:$J$33,4,FALSE)*Asta!$U$3/100</f>
        <v>#N/A</v>
      </c>
      <c r="N115" s="59">
        <f t="shared" ref="N115:N126" si="65">IF(ISNUMBER(Q100),Q100+COUNTIF($N$34:$N$45,"&gt;0"),"")</f>
        <v>33</v>
      </c>
      <c r="O115" s="62" t="str">
        <f ca="1">IF(ISNUMBER(N115),INDIRECT("B" &amp; 84 + MATCH(N115,INDIRECT(ADDRESS(85,22+MATCH($P$27,'I.A. + Fasce'!$W$84:$AA$84,0),1,1) &amp; ":" &amp; ADDRESS(305,22+MATCH($P$27,'I.A. + Fasce'!$W$84:$AA$84,0),1,1)),0)),"")</f>
        <v>NUYTINCK</v>
      </c>
      <c r="P115" s="62" t="str">
        <f ca="1">IF(O115="","",VLOOKUP(O115,$B$85:$C$305,2,FALSE))</f>
        <v>Udinese</v>
      </c>
      <c r="Q115" s="59">
        <f t="shared" ref="Q115:Q126" si="66">IF(ISNUMBER(N115),N115+COUNTIF($N$34:$N$45,"&gt;0"),"")</f>
        <v>41</v>
      </c>
      <c r="R115" s="62" t="str">
        <f ca="1">IF(ISNUMBER(Q115),INDIRECT("B" &amp; 84 + MATCH(Q115,INDIRECT(ADDRESS(85,22+MATCH($P$27,'I.A. + Fasce'!$W$84:$AA$84,0),1,1) &amp; ":" &amp; ADDRESS(305,22+MATCH($P$27,'I.A. + Fasce'!$W$84:$AA$84,0),1,1)),0)),"")</f>
        <v>FAZIO</v>
      </c>
      <c r="S115" s="62" t="str">
        <f ca="1">IF(R115="","",VLOOKUP(R115,$B$85:$C$305,2,FALSE))</f>
        <v>Roma</v>
      </c>
      <c r="U115" s="311"/>
      <c r="V115" s="311"/>
      <c r="W115" s="56">
        <f t="shared" ca="1" si="56"/>
        <v>23</v>
      </c>
      <c r="X115" s="56">
        <f t="shared" ca="1" si="57"/>
        <v>68</v>
      </c>
      <c r="Y115" s="56">
        <f t="shared" ca="1" si="58"/>
        <v>37</v>
      </c>
      <c r="Z115" s="56">
        <f t="shared" ca="1" si="59"/>
        <v>49</v>
      </c>
      <c r="AA115" s="56">
        <f t="shared" ca="1" si="60"/>
        <v>58</v>
      </c>
      <c r="AB115" s="56">
        <f ca="1">_xlfn.CEILING.MATH(INDIRECT(ADDRESS(85,22+MATCH($P$27,'I.A. + Fasce'!$W$84:$AA$84,0),1,1) &amp; ":" &amp; ADDRESS(305,22+MATCH($P$27,'I.A. + Fasce'!$W$84:$AA$84,0),1,1))/Asta!$H$3)</f>
        <v>9</v>
      </c>
      <c r="AD115" s="56">
        <f>'Mia rosa + Org. Finanza'!AG115</f>
        <v>0</v>
      </c>
      <c r="AE115" s="56" t="str">
        <f ca="1">'Mia rosa + Org. Finanza'!AH115</f>
        <v/>
      </c>
      <c r="AF115" s="56" t="str">
        <f ca="1">'Mia rosa + Org. Finanza'!AI115</f>
        <v/>
      </c>
      <c r="AG115" s="56">
        <f>'Mia rosa + Org. Finanza'!AJ115</f>
        <v>0</v>
      </c>
    </row>
    <row r="116" spans="1:33" ht="14.25" customHeight="1">
      <c r="A116" s="238" t="str">
        <f ca="1">IF(Giocatori!G40="","D",Giocatori!G40)</f>
        <v>D</v>
      </c>
      <c r="B116" s="238" t="str">
        <f ca="1">IF(Giocatori!H40="","ZZZ" &amp; ROW(),Giocatori!H40)</f>
        <v>BURDISSO</v>
      </c>
      <c r="C116" s="238" t="str">
        <f ca="1">IF(Giocatori!I40="","NDR" &amp; ROW(),Giocatori!I40)</f>
        <v>Torino</v>
      </c>
      <c r="D116" s="63">
        <f t="shared" ca="1" si="44"/>
        <v>60.001159999999999</v>
      </c>
      <c r="E116" s="63">
        <f t="shared" ca="1" si="45"/>
        <v>37.001159999999999</v>
      </c>
      <c r="F116" s="64">
        <f t="shared" ca="1" si="46"/>
        <v>59.911368677879999</v>
      </c>
      <c r="G116" s="63" t="str">
        <f t="shared" ca="1" si="47"/>
        <v/>
      </c>
      <c r="H116" s="65">
        <f t="shared" ca="1" si="48"/>
        <v>60</v>
      </c>
      <c r="I116" s="63" t="str">
        <f t="shared" ca="1" si="49"/>
        <v/>
      </c>
      <c r="J116" s="63">
        <f t="shared" ca="1" si="50"/>
        <v>1.00116</v>
      </c>
      <c r="K116" s="63">
        <f t="shared" ca="1" si="51"/>
        <v>1.00116</v>
      </c>
      <c r="L116" s="324" t="e">
        <f ca="1">VLOOKUP(Tabella113[[#This Row],[Calciatore]],'Raccolta Aste'!$F$2:$J$33,4,FALSE)*Asta!$U$3/100</f>
        <v>#N/A</v>
      </c>
      <c r="N116" s="59">
        <f t="shared" si="65"/>
        <v>34</v>
      </c>
      <c r="O116" s="62" t="str">
        <f ca="1">IF(ISNUMBER(N116),INDIRECT("B" &amp; 84 + MATCH(N116,INDIRECT(ADDRESS(85,22+MATCH($P$27,'I.A. + Fasce'!$W$84:$AA$84,0),1,1) &amp; ":" &amp; ADDRESS(305,22+MATCH($P$27,'I.A. + Fasce'!$W$84:$AA$84,0),1,1)),0)),"")</f>
        <v>MUSACCHIO</v>
      </c>
      <c r="P116" s="62" t="str">
        <f t="shared" ref="P116:P126" ca="1" si="67">IF(O116="","",VLOOKUP(O116,$B$85:$C$305,2,FALSE))</f>
        <v>Milan</v>
      </c>
      <c r="Q116" s="59">
        <f t="shared" si="66"/>
        <v>42</v>
      </c>
      <c r="R116" s="62" t="str">
        <f ca="1">IF(ISNUMBER(Q116),INDIRECT("B" &amp; 84 + MATCH(Q116,INDIRECT(ADDRESS(85,22+MATCH($P$27,'I.A. + Fasce'!$W$84:$AA$84,0),1,1) &amp; ":" &amp; ADDRESS(305,22+MATCH($P$27,'I.A. + Fasce'!$W$84:$AA$84,0),1,1)),0)),"")</f>
        <v>DI CHIARA</v>
      </c>
      <c r="S116" s="62" t="str">
        <f t="shared" ref="S116:S126" ca="1" si="68">IF(R116="","",VLOOKUP(R116,$B$85:$C$305,2,FALSE))</f>
        <v>Benevento</v>
      </c>
      <c r="U116" s="311"/>
      <c r="V116" s="311"/>
      <c r="W116" s="56">
        <f t="shared" ca="1" si="56"/>
        <v>157</v>
      </c>
      <c r="X116" s="56">
        <f t="shared" ca="1" si="57"/>
        <v>98</v>
      </c>
      <c r="Y116" s="56">
        <f t="shared" ca="1" si="58"/>
        <v>127</v>
      </c>
      <c r="Z116" s="56">
        <f t="shared" ca="1" si="59"/>
        <v>170</v>
      </c>
      <c r="AA116" s="56">
        <f t="shared" ca="1" si="60"/>
        <v>169</v>
      </c>
      <c r="AB116" s="56">
        <f ca="1">_xlfn.CEILING.MATH(INDIRECT(ADDRESS(85,22+MATCH($P$27,'I.A. + Fasce'!$W$84:$AA$84,0),1,1) &amp; ":" &amp; ADDRESS(305,22+MATCH($P$27,'I.A. + Fasce'!$W$84:$AA$84,0),1,1))/Asta!$H$3)</f>
        <v>13</v>
      </c>
      <c r="AD116" s="56">
        <f>'Mia rosa + Org. Finanza'!AG116</f>
        <v>0</v>
      </c>
      <c r="AE116" s="56" t="str">
        <f ca="1">'Mia rosa + Org. Finanza'!AH116</f>
        <v/>
      </c>
      <c r="AF116" s="56" t="str">
        <f ca="1">'Mia rosa + Org. Finanza'!AI116</f>
        <v/>
      </c>
      <c r="AG116" s="56">
        <f>'Mia rosa + Org. Finanza'!AJ116</f>
        <v>0</v>
      </c>
    </row>
    <row r="117" spans="1:33" ht="14.25" customHeight="1">
      <c r="A117" s="238" t="str">
        <f ca="1">IF(Giocatori!G41="","D",Giocatori!G41)</f>
        <v>D</v>
      </c>
      <c r="B117" s="238" t="str">
        <f ca="1">IF(Giocatori!H41="","ZZZ" &amp; ROW(),Giocatori!H41)</f>
        <v>CABRERA</v>
      </c>
      <c r="C117" s="238" t="str">
        <f ca="1">IF(Giocatori!I41="","NDR" &amp; ROW(),Giocatori!I41)</f>
        <v>Crotone</v>
      </c>
      <c r="D117" s="63">
        <f t="shared" ca="1" si="44"/>
        <v>68.001170000000002</v>
      </c>
      <c r="E117" s="63">
        <f t="shared" ca="1" si="45"/>
        <v>38.001170000000002</v>
      </c>
      <c r="F117" s="64">
        <f t="shared" ca="1" si="46"/>
        <v>65.036414344740848</v>
      </c>
      <c r="G117" s="63" t="str">
        <f t="shared" ca="1" si="47"/>
        <v>SCONSIGLIATO</v>
      </c>
      <c r="H117" s="65">
        <f t="shared" ca="1" si="48"/>
        <v>70</v>
      </c>
      <c r="I117" s="63" t="str">
        <f t="shared" ca="1" si="49"/>
        <v/>
      </c>
      <c r="J117" s="63">
        <f t="shared" ca="1" si="50"/>
        <v>1.0011699999999999</v>
      </c>
      <c r="K117" s="63">
        <f t="shared" ca="1" si="51"/>
        <v>1.0011699999999999</v>
      </c>
      <c r="L117" s="324" t="e">
        <f ca="1">VLOOKUP(Tabella113[[#This Row],[Calciatore]],'Raccolta Aste'!$F$2:$J$33,4,FALSE)*Asta!$U$3/100</f>
        <v>#N/A</v>
      </c>
      <c r="N117" s="59">
        <f t="shared" si="65"/>
        <v>35</v>
      </c>
      <c r="O117" s="62" t="str">
        <f ca="1">IF(ISNUMBER(N117),INDIRECT("B" &amp; 84 + MATCH(N117,INDIRECT(ADDRESS(85,22+MATCH($P$27,'I.A. + Fasce'!$W$84:$AA$84,0),1,1) &amp; ":" &amp; ADDRESS(305,22+MATCH($P$27,'I.A. + Fasce'!$W$84:$AA$84,0),1,1)),0)),"")</f>
        <v>MASINA</v>
      </c>
      <c r="P117" s="62" t="str">
        <f t="shared" ca="1" si="67"/>
        <v>Bologna</v>
      </c>
      <c r="Q117" s="59">
        <f t="shared" si="66"/>
        <v>43</v>
      </c>
      <c r="R117" s="62" t="str">
        <f ca="1">IF(ISNUMBER(Q117),INDIRECT("B" &amp; 84 + MATCH(Q117,INDIRECT(ADDRESS(85,22+MATCH($P$27,'I.A. + Fasce'!$W$84:$AA$84,0),1,1) &amp; ":" &amp; ADDRESS(305,22+MATCH($P$27,'I.A. + Fasce'!$W$84:$AA$84,0),1,1)),0)),"")</f>
        <v>DANILO</v>
      </c>
      <c r="S117" s="62" t="str">
        <f t="shared" ca="1" si="68"/>
        <v>Udinese</v>
      </c>
      <c r="U117" s="311"/>
      <c r="V117" s="311"/>
      <c r="W117" s="56">
        <f t="shared" ca="1" si="56"/>
        <v>112</v>
      </c>
      <c r="X117" s="56">
        <f t="shared" ca="1" si="57"/>
        <v>83</v>
      </c>
      <c r="Y117" s="56">
        <f t="shared" ca="1" si="58"/>
        <v>88</v>
      </c>
      <c r="Z117" s="56">
        <f t="shared" ca="1" si="59"/>
        <v>169</v>
      </c>
      <c r="AA117" s="56">
        <f t="shared" ca="1" si="60"/>
        <v>168</v>
      </c>
      <c r="AB117" s="56">
        <f ca="1">_xlfn.CEILING.MATH(INDIRECT(ADDRESS(85,22+MATCH($P$27,'I.A. + Fasce'!$W$84:$AA$84,0),1,1) &amp; ":" &amp; ADDRESS(305,22+MATCH($P$27,'I.A. + Fasce'!$W$84:$AA$84,0),1,1))/Asta!$H$3)</f>
        <v>11</v>
      </c>
      <c r="AD117" s="56">
        <f>'Mia rosa + Org. Finanza'!AG117</f>
        <v>0</v>
      </c>
      <c r="AE117" s="56" t="str">
        <f ca="1">'Mia rosa + Org. Finanza'!AH117</f>
        <v/>
      </c>
      <c r="AF117" s="56" t="str">
        <f ca="1">'Mia rosa + Org. Finanza'!AI117</f>
        <v/>
      </c>
      <c r="AG117" s="56">
        <f>'Mia rosa + Org. Finanza'!AJ117</f>
        <v>0</v>
      </c>
    </row>
    <row r="118" spans="1:33" ht="14.25" customHeight="1">
      <c r="A118" s="238" t="str">
        <f ca="1">IF(Giocatori!G42="","D",Giocatori!G42)</f>
        <v>D</v>
      </c>
      <c r="B118" s="238" t="str">
        <f ca="1">IF(Giocatori!H42="","ZZZ" &amp; ROW(),Giocatori!H42)</f>
        <v>CACCIATORE</v>
      </c>
      <c r="C118" s="238" t="str">
        <f ca="1">IF(Giocatori!I42="","NDR" &amp; ROW(),Giocatori!I42)</f>
        <v>Chievo</v>
      </c>
      <c r="D118" s="63">
        <f t="shared" ca="1" si="44"/>
        <v>74.001180000000005</v>
      </c>
      <c r="E118" s="63">
        <f t="shared" ca="1" si="45"/>
        <v>37.001179999999998</v>
      </c>
      <c r="F118" s="64">
        <f t="shared" ca="1" si="46"/>
        <v>66.911421011603338</v>
      </c>
      <c r="G118" s="63" t="str">
        <f t="shared" ca="1" si="47"/>
        <v/>
      </c>
      <c r="H118" s="65">
        <f t="shared" ca="1" si="48"/>
        <v>90</v>
      </c>
      <c r="I118" s="63" t="str">
        <f t="shared" ca="1" si="49"/>
        <v/>
      </c>
      <c r="J118" s="63">
        <f t="shared" ca="1" si="50"/>
        <v>2.4549525560182475</v>
      </c>
      <c r="K118" s="63">
        <f t="shared" ca="1" si="51"/>
        <v>1.00118</v>
      </c>
      <c r="L118" s="324" t="e">
        <f ca="1">VLOOKUP(Tabella113[[#This Row],[Calciatore]],'Raccolta Aste'!$F$2:$J$33,4,FALSE)*Asta!$U$3/100</f>
        <v>#N/A</v>
      </c>
      <c r="N118" s="59">
        <f t="shared" si="65"/>
        <v>36</v>
      </c>
      <c r="O118" s="62" t="str">
        <f ca="1">IF(ISNUMBER(N118),INDIRECT("B" &amp; 84 + MATCH(N118,INDIRECT(ADDRESS(85,22+MATCH($P$27,'I.A. + Fasce'!$W$84:$AA$84,0),1,1) &amp; ":" &amp; ADDRESS(305,22+MATCH($P$27,'I.A. + Fasce'!$W$84:$AA$84,0),1,1)),0)),"")</f>
        <v>LETIZIA</v>
      </c>
      <c r="P118" s="62" t="str">
        <f t="shared" ca="1" si="67"/>
        <v>Benevento</v>
      </c>
      <c r="Q118" s="59">
        <f t="shared" si="66"/>
        <v>44</v>
      </c>
      <c r="R118" s="62" t="str">
        <f ca="1">IF(ISNUMBER(Q118),INDIRECT("B" &amp; 84 + MATCH(Q118,INDIRECT(ADDRESS(85,22+MATCH($P$27,'I.A. + Fasce'!$W$84:$AA$84,0),1,1) &amp; ":" &amp; ADDRESS(305,22+MATCH($P$27,'I.A. + Fasce'!$W$84:$AA$84,0),1,1)),0)),"")</f>
        <v>DALBERT</v>
      </c>
      <c r="S118" s="62" t="str">
        <f t="shared" ca="1" si="68"/>
        <v>Inter</v>
      </c>
      <c r="U118" s="311"/>
      <c r="V118" s="311"/>
      <c r="W118" s="56">
        <f t="shared" ca="1" si="56"/>
        <v>60</v>
      </c>
      <c r="X118" s="56">
        <f t="shared" ca="1" si="57"/>
        <v>97</v>
      </c>
      <c r="Y118" s="56">
        <f t="shared" ca="1" si="58"/>
        <v>77</v>
      </c>
      <c r="Z118" s="56">
        <f t="shared" ca="1" si="59"/>
        <v>65</v>
      </c>
      <c r="AA118" s="56">
        <f t="shared" ca="1" si="60"/>
        <v>167</v>
      </c>
      <c r="AB118" s="56">
        <f ca="1">_xlfn.CEILING.MATH(INDIRECT(ADDRESS(85,22+MATCH($P$27,'I.A. + Fasce'!$W$84:$AA$84,0),1,1) &amp; ":" &amp; ADDRESS(305,22+MATCH($P$27,'I.A. + Fasce'!$W$84:$AA$84,0),1,1))/Asta!$H$3)</f>
        <v>13</v>
      </c>
      <c r="AD118" s="56">
        <f>'Mia rosa + Org. Finanza'!AG118</f>
        <v>0</v>
      </c>
      <c r="AE118" s="56" t="str">
        <f ca="1">'Mia rosa + Org. Finanza'!AH118</f>
        <v/>
      </c>
      <c r="AF118" s="56" t="str">
        <f ca="1">'Mia rosa + Org. Finanza'!AI118</f>
        <v/>
      </c>
      <c r="AG118" s="56">
        <f>'Mia rosa + Org. Finanza'!AJ118</f>
        <v>0</v>
      </c>
    </row>
    <row r="119" spans="1:33" ht="14.25" customHeight="1">
      <c r="A119" s="238" t="str">
        <f ca="1">IF(Giocatori!G43="","D",Giocatori!G43)</f>
        <v>D</v>
      </c>
      <c r="B119" s="238" t="str">
        <f ca="1">IF(Giocatori!H43="","ZZZ" &amp; ROW(),Giocatori!H43)</f>
        <v>CACERES</v>
      </c>
      <c r="C119" s="238" t="str">
        <f ca="1">IF(Giocatori!I43="","NDR" &amp; ROW(),Giocatori!I43)</f>
        <v>Verona</v>
      </c>
      <c r="D119" s="63">
        <f t="shared" ca="1" si="44"/>
        <v>71.001189999999994</v>
      </c>
      <c r="E119" s="63">
        <f t="shared" ca="1" si="45"/>
        <v>38.001190000000001</v>
      </c>
      <c r="F119" s="64">
        <f t="shared" ca="1" si="46"/>
        <v>66.536467011800823</v>
      </c>
      <c r="G119" s="63" t="str">
        <f t="shared" ca="1" si="47"/>
        <v/>
      </c>
      <c r="H119" s="65">
        <f t="shared" ca="1" si="48"/>
        <v>70</v>
      </c>
      <c r="I119" s="63" t="str">
        <f t="shared" ca="1" si="49"/>
        <v/>
      </c>
      <c r="J119" s="63">
        <f t="shared" ca="1" si="50"/>
        <v>1.00119</v>
      </c>
      <c r="K119" s="63">
        <f t="shared" ca="1" si="51"/>
        <v>1.00119</v>
      </c>
      <c r="L119" s="324" t="e">
        <f ca="1">VLOOKUP(Tabella113[[#This Row],[Calciatore]],'Raccolta Aste'!$F$2:$J$33,4,FALSE)*Asta!$U$3/100</f>
        <v>#N/A</v>
      </c>
      <c r="N119" s="59">
        <f t="shared" si="65"/>
        <v>37</v>
      </c>
      <c r="O119" s="62" t="str">
        <f ca="1">IF(ISNUMBER(N119),INDIRECT("B" &amp; 84 + MATCH(N119,INDIRECT(ADDRESS(85,22+MATCH($P$27,'I.A. + Fasce'!$W$84:$AA$84,0),1,1) &amp; ":" &amp; ADDRESS(305,22+MATCH($P$27,'I.A. + Fasce'!$W$84:$AA$84,0),1,1)),0)),"")</f>
        <v>KARSDORP</v>
      </c>
      <c r="P119" s="62" t="str">
        <f t="shared" ca="1" si="67"/>
        <v>Roma</v>
      </c>
      <c r="Q119" s="59">
        <f t="shared" si="66"/>
        <v>45</v>
      </c>
      <c r="R119" s="62" t="str">
        <f ca="1">IF(ISNUMBER(Q119),INDIRECT("B" &amp; 84 + MATCH(Q119,INDIRECT(ADDRESS(85,22+MATCH($P$27,'I.A. + Fasce'!$W$84:$AA$84,0),1,1) &amp; ":" &amp; ADDRESS(305,22+MATCH($P$27,'I.A. + Fasce'!$W$84:$AA$84,0),1,1)),0)),"")</f>
        <v>CANCELO</v>
      </c>
      <c r="S119" s="62" t="str">
        <f t="shared" ca="1" si="68"/>
        <v>Inter</v>
      </c>
      <c r="U119" s="311"/>
      <c r="V119" s="311"/>
      <c r="W119" s="56">
        <f t="shared" ca="1" si="56"/>
        <v>80</v>
      </c>
      <c r="X119" s="56">
        <f t="shared" ca="1" si="57"/>
        <v>82</v>
      </c>
      <c r="Y119" s="56">
        <f t="shared" ca="1" si="58"/>
        <v>78</v>
      </c>
      <c r="Z119" s="56">
        <f t="shared" ca="1" si="59"/>
        <v>168</v>
      </c>
      <c r="AA119" s="56">
        <f t="shared" ca="1" si="60"/>
        <v>166</v>
      </c>
      <c r="AB119" s="56">
        <f ca="1">_xlfn.CEILING.MATH(INDIRECT(ADDRESS(85,22+MATCH($P$27,'I.A. + Fasce'!$W$84:$AA$84,0),1,1) &amp; ":" &amp; ADDRESS(305,22+MATCH($P$27,'I.A. + Fasce'!$W$84:$AA$84,0),1,1))/Asta!$H$3)</f>
        <v>11</v>
      </c>
      <c r="AD119" s="56">
        <f>'Mia rosa + Org. Finanza'!AG119</f>
        <v>0</v>
      </c>
      <c r="AE119" s="56" t="str">
        <f ca="1">'Mia rosa + Org. Finanza'!AH119</f>
        <v/>
      </c>
      <c r="AF119" s="56" t="str">
        <f ca="1">'Mia rosa + Org. Finanza'!AI119</f>
        <v/>
      </c>
      <c r="AG119" s="56">
        <f>'Mia rosa + Org. Finanza'!AJ119</f>
        <v>0</v>
      </c>
    </row>
    <row r="120" spans="1:33" ht="14.25" customHeight="1">
      <c r="A120" s="238" t="str">
        <f ca="1">IF(Giocatori!G44="","D",Giocatori!G44)</f>
        <v>D</v>
      </c>
      <c r="B120" s="238" t="str">
        <f ca="1">IF(Giocatori!H44="","ZZZ" &amp; ROW(),Giocatori!H44)</f>
        <v>CALABRIA</v>
      </c>
      <c r="C120" s="238" t="str">
        <f ca="1">IF(Giocatori!I44="","NDR" &amp; ROW(),Giocatori!I44)</f>
        <v>Milan</v>
      </c>
      <c r="D120" s="63">
        <f t="shared" ca="1" si="44"/>
        <v>62.001199999999997</v>
      </c>
      <c r="E120" s="63">
        <f t="shared" ca="1" si="45"/>
        <v>36.001199999999997</v>
      </c>
      <c r="F120" s="64">
        <f t="shared" ca="1" si="46"/>
        <v>59.803120011999987</v>
      </c>
      <c r="G120" s="63" t="str">
        <f t="shared" ca="1" si="47"/>
        <v/>
      </c>
      <c r="H120" s="65">
        <f t="shared" ca="1" si="48"/>
        <v>60</v>
      </c>
      <c r="I120" s="63" t="str">
        <f t="shared" ca="1" si="49"/>
        <v/>
      </c>
      <c r="J120" s="63">
        <f t="shared" ca="1" si="50"/>
        <v>1.0012000000000001</v>
      </c>
      <c r="K120" s="63">
        <f t="shared" ca="1" si="51"/>
        <v>1.0012000000000001</v>
      </c>
      <c r="L120" s="324" t="e">
        <f ca="1">VLOOKUP(Tabella113[[#This Row],[Calciatore]],'Raccolta Aste'!$F$2:$J$33,4,FALSE)*Asta!$U$3/100</f>
        <v>#N/A</v>
      </c>
      <c r="N120" s="59">
        <f t="shared" si="65"/>
        <v>38</v>
      </c>
      <c r="O120" s="62" t="str">
        <f ca="1">IF(ISNUMBER(N120),INDIRECT("B" &amp; 84 + MATCH(N120,INDIRECT(ADDRESS(85,22+MATCH($P$27,'I.A. + Fasce'!$W$84:$AA$84,0),1,1) &amp; ":" &amp; ADDRESS(305,22+MATCH($P$27,'I.A. + Fasce'!$W$84:$AA$84,0),1,1)),0)),"")</f>
        <v>HOWEDES</v>
      </c>
      <c r="P120" s="62" t="str">
        <f t="shared" ca="1" si="67"/>
        <v>Juventus</v>
      </c>
      <c r="Q120" s="59">
        <f t="shared" si="66"/>
        <v>46</v>
      </c>
      <c r="R120" s="62" t="str">
        <f ca="1">IF(ISNUMBER(Q120),INDIRECT("B" &amp; 84 + MATCH(Q120,INDIRECT(ADDRESS(85,22+MATCH($P$27,'I.A. + Fasce'!$W$84:$AA$84,0),1,1) &amp; ":" &amp; ADDRESS(305,22+MATCH($P$27,'I.A. + Fasce'!$W$84:$AA$84,0),1,1)),0)),"")</f>
        <v>BIRAGHI</v>
      </c>
      <c r="S120" s="62" t="str">
        <f t="shared" ca="1" si="68"/>
        <v>Fiorentina</v>
      </c>
      <c r="U120" s="311"/>
      <c r="V120" s="311"/>
      <c r="W120" s="56">
        <f t="shared" ca="1" si="56"/>
        <v>148</v>
      </c>
      <c r="X120" s="56">
        <f t="shared" ca="1" si="57"/>
        <v>109</v>
      </c>
      <c r="Y120" s="56">
        <f t="shared" ca="1" si="58"/>
        <v>128</v>
      </c>
      <c r="Z120" s="56">
        <f t="shared" ca="1" si="59"/>
        <v>167</v>
      </c>
      <c r="AA120" s="56">
        <f t="shared" ca="1" si="60"/>
        <v>165</v>
      </c>
      <c r="AB120" s="56">
        <f ca="1">_xlfn.CEILING.MATH(INDIRECT(ADDRESS(85,22+MATCH($P$27,'I.A. + Fasce'!$W$84:$AA$84,0),1,1) &amp; ":" &amp; ADDRESS(305,22+MATCH($P$27,'I.A. + Fasce'!$W$84:$AA$84,0),1,1))/Asta!$H$3)</f>
        <v>14</v>
      </c>
      <c r="AD120" s="56">
        <f>'Mia rosa + Org. Finanza'!AG120</f>
        <v>0</v>
      </c>
      <c r="AE120" s="56" t="str">
        <f ca="1">'Mia rosa + Org. Finanza'!AH120</f>
        <v/>
      </c>
      <c r="AF120" s="56" t="str">
        <f ca="1">'Mia rosa + Org. Finanza'!AI120</f>
        <v/>
      </c>
      <c r="AG120" s="56">
        <f>'Mia rosa + Org. Finanza'!AJ120</f>
        <v>0</v>
      </c>
    </row>
    <row r="121" spans="1:33" ht="14.25" customHeight="1">
      <c r="A121" s="238" t="str">
        <f ca="1">IF(Giocatori!G45="","D",Giocatori!G45)</f>
        <v>D</v>
      </c>
      <c r="B121" s="238" t="str">
        <f ca="1">IF(Giocatori!H45="","ZZZ" &amp; ROW(),Giocatori!H45)</f>
        <v>CALDARA</v>
      </c>
      <c r="C121" s="238" t="str">
        <f ca="1">IF(Giocatori!I45="","NDR" &amp; ROW(),Giocatori!I45)</f>
        <v>Atalanta</v>
      </c>
      <c r="D121" s="63">
        <f t="shared" ca="1" si="44"/>
        <v>93.00121</v>
      </c>
      <c r="E121" s="63">
        <f t="shared" ca="1" si="45"/>
        <v>47.00121</v>
      </c>
      <c r="F121" s="64">
        <f t="shared" ca="1" si="46"/>
        <v>88.411701178867489</v>
      </c>
      <c r="G121" s="63" t="str">
        <f t="shared" ca="1" si="47"/>
        <v>CONSIGLIATO</v>
      </c>
      <c r="H121" s="65">
        <f t="shared" ca="1" si="48"/>
        <v>90</v>
      </c>
      <c r="I121" s="63" t="str">
        <f t="shared" ca="1" si="49"/>
        <v/>
      </c>
      <c r="J121" s="63">
        <f t="shared" ca="1" si="50"/>
        <v>15.951413252032536</v>
      </c>
      <c r="K121" s="63">
        <f t="shared" ca="1" si="51"/>
        <v>15.952502095398785</v>
      </c>
      <c r="L121" s="324">
        <f ca="1">VLOOKUP(Tabella113[[#This Row],[Calciatore]],'Raccolta Aste'!$F$2:$J$33,4,FALSE)*Asta!$U$3/100</f>
        <v>16.03</v>
      </c>
      <c r="N121" s="59">
        <f t="shared" si="65"/>
        <v>39</v>
      </c>
      <c r="O121" s="62" t="str">
        <f ca="1">IF(ISNUMBER(N121),INDIRECT("B" &amp; 84 + MATCH(N121,INDIRECT(ADDRESS(85,22+MATCH($P$27,'I.A. + Fasce'!$W$84:$AA$84,0),1,1) &amp; ":" &amp; ADDRESS(305,22+MATCH($P$27,'I.A. + Fasce'!$W$84:$AA$84,0),1,1)),0)),"")</f>
        <v>HECTOR MORENO</v>
      </c>
      <c r="P121" s="62" t="str">
        <f t="shared" ca="1" si="67"/>
        <v>Roma</v>
      </c>
      <c r="Q121" s="59">
        <f t="shared" si="66"/>
        <v>47</v>
      </c>
      <c r="R121" s="62" t="str">
        <f ca="1">IF(ISNUMBER(Q121),INDIRECT("B" &amp; 84 + MATCH(Q121,INDIRECT(ADDRESS(85,22+MATCH($P$27,'I.A. + Fasce'!$W$84:$AA$84,0),1,1) &amp; ":" &amp; ADDRESS(305,22+MATCH($P$27,'I.A. + Fasce'!$W$84:$AA$84,0),1,1)),0)),"")</f>
        <v>BARZAGLI</v>
      </c>
      <c r="S121" s="62" t="str">
        <f t="shared" ca="1" si="68"/>
        <v>Juventus</v>
      </c>
      <c r="U121" s="311"/>
      <c r="V121" s="311"/>
      <c r="W121" s="56">
        <f t="shared" ca="1" si="56"/>
        <v>4</v>
      </c>
      <c r="X121" s="56">
        <f t="shared" ca="1" si="57"/>
        <v>8</v>
      </c>
      <c r="Y121" s="56">
        <f t="shared" ca="1" si="58"/>
        <v>6</v>
      </c>
      <c r="Z121" s="56">
        <f t="shared" ca="1" si="59"/>
        <v>11</v>
      </c>
      <c r="AA121" s="56">
        <f t="shared" ca="1" si="60"/>
        <v>11</v>
      </c>
      <c r="AB121" s="56">
        <f ca="1">_xlfn.CEILING.MATH(INDIRECT(ADDRESS(85,22+MATCH($P$27,'I.A. + Fasce'!$W$84:$AA$84,0),1,1) &amp; ":" &amp; ADDRESS(305,22+MATCH($P$27,'I.A. + Fasce'!$W$84:$AA$84,0),1,1))/Asta!$H$3)</f>
        <v>1</v>
      </c>
      <c r="AD121" s="56">
        <f>'Mia rosa + Org. Finanza'!AG121</f>
        <v>0</v>
      </c>
      <c r="AE121" s="56" t="str">
        <f ca="1">'Mia rosa + Org. Finanza'!AH121</f>
        <v/>
      </c>
      <c r="AF121" s="56" t="str">
        <f ca="1">'Mia rosa + Org. Finanza'!AI121</f>
        <v/>
      </c>
      <c r="AG121" s="56">
        <f>'Mia rosa + Org. Finanza'!AJ121</f>
        <v>0</v>
      </c>
    </row>
    <row r="122" spans="1:33" ht="14.25" customHeight="1">
      <c r="A122" s="238" t="str">
        <f ca="1">IF(Giocatori!G46="","D",Giocatori!G46)</f>
        <v>D</v>
      </c>
      <c r="B122" s="238" t="str">
        <f ca="1">IF(Giocatori!H46="","ZZZ" &amp; ROW(),Giocatori!H46)</f>
        <v>CANCELO</v>
      </c>
      <c r="C122" s="238" t="str">
        <f ca="1">IF(Giocatori!I46="","NDR" &amp; ROW(),Giocatori!I46)</f>
        <v>Inter</v>
      </c>
      <c r="D122" s="63">
        <f t="shared" ca="1" si="44"/>
        <v>77.001220000000004</v>
      </c>
      <c r="E122" s="63">
        <f t="shared" ca="1" si="45"/>
        <v>41.001220000000004</v>
      </c>
      <c r="F122" s="64">
        <f t="shared" ca="1" si="46"/>
        <v>73.011607012403331</v>
      </c>
      <c r="G122" s="63" t="str">
        <f t="shared" ca="1" si="47"/>
        <v/>
      </c>
      <c r="H122" s="65">
        <f t="shared" ca="1" si="48"/>
        <v>70</v>
      </c>
      <c r="I122" s="63" t="str">
        <f t="shared" ca="1" si="49"/>
        <v/>
      </c>
      <c r="J122" s="63">
        <f t="shared" ca="1" si="50"/>
        <v>5.7448743266751165</v>
      </c>
      <c r="K122" s="63">
        <f t="shared" ca="1" si="51"/>
        <v>5.1300020196512648</v>
      </c>
      <c r="L122" s="324" t="e">
        <f ca="1">VLOOKUP(Tabella113[[#This Row],[Calciatore]],'Raccolta Aste'!$F$2:$J$33,4,FALSE)*Asta!$U$3/100</f>
        <v>#N/A</v>
      </c>
      <c r="N122" s="59">
        <f t="shared" si="65"/>
        <v>40</v>
      </c>
      <c r="O122" s="62" t="str">
        <f ca="1">IF(ISNUMBER(N122),INDIRECT("B" &amp; 84 + MATCH(N122,INDIRECT(ADDRESS(85,22+MATCH($P$27,'I.A. + Fasce'!$W$84:$AA$84,0),1,1) &amp; ":" &amp; ADDRESS(305,22+MATCH($P$27,'I.A. + Fasce'!$W$84:$AA$84,0),1,1)),0)),"")</f>
        <v>HATEBOER</v>
      </c>
      <c r="P122" s="62" t="str">
        <f t="shared" ca="1" si="67"/>
        <v>Atalanta</v>
      </c>
      <c r="Q122" s="59">
        <f t="shared" si="66"/>
        <v>48</v>
      </c>
      <c r="R122" s="62" t="str">
        <f ca="1">IF(ISNUMBER(Q122),INDIRECT("B" &amp; 84 + MATCH(Q122,INDIRECT(ADDRESS(85,22+MATCH($P$27,'I.A. + Fasce'!$W$84:$AA$84,0),1,1) &amp; ":" &amp; ADDRESS(305,22+MATCH($P$27,'I.A. + Fasce'!$W$84:$AA$84,0),1,1)),0)),"")</f>
        <v>ASTORI</v>
      </c>
      <c r="S122" s="62" t="str">
        <f t="shared" ca="1" si="68"/>
        <v>Fiorentina</v>
      </c>
      <c r="U122" s="311"/>
      <c r="V122" s="311"/>
      <c r="W122" s="56">
        <f t="shared" ca="1" si="56"/>
        <v>35</v>
      </c>
      <c r="X122" s="56">
        <f t="shared" ca="1" si="57"/>
        <v>45</v>
      </c>
      <c r="Y122" s="56">
        <f t="shared" ca="1" si="58"/>
        <v>35</v>
      </c>
      <c r="Z122" s="56">
        <f t="shared" ca="1" si="59"/>
        <v>44</v>
      </c>
      <c r="AA122" s="56">
        <f t="shared" ca="1" si="60"/>
        <v>45</v>
      </c>
      <c r="AB122" s="56">
        <f ca="1">_xlfn.CEILING.MATH(INDIRECT(ADDRESS(85,22+MATCH($P$27,'I.A. + Fasce'!$W$84:$AA$84,0),1,1) &amp; ":" &amp; ADDRESS(305,22+MATCH($P$27,'I.A. + Fasce'!$W$84:$AA$84,0),1,1))/Asta!$H$3)</f>
        <v>6</v>
      </c>
      <c r="AD122" s="56">
        <f>'Mia rosa + Org. Finanza'!AG122</f>
        <v>0</v>
      </c>
      <c r="AE122" s="56" t="str">
        <f ca="1">'Mia rosa + Org. Finanza'!AH122</f>
        <v/>
      </c>
      <c r="AF122" s="56" t="str">
        <f ca="1">'Mia rosa + Org. Finanza'!AI122</f>
        <v/>
      </c>
      <c r="AG122" s="56">
        <f>'Mia rosa + Org. Finanza'!AJ122</f>
        <v>0</v>
      </c>
    </row>
    <row r="123" spans="1:33" ht="14.25" customHeight="1">
      <c r="A123" s="238" t="str">
        <f ca="1">IF(Giocatori!G47="","D",Giocatori!G47)</f>
        <v>D</v>
      </c>
      <c r="B123" s="238" t="str">
        <f ca="1">IF(Giocatori!H47="","ZZZ" &amp; ROW(),Giocatori!H47)</f>
        <v>CANNAVARO</v>
      </c>
      <c r="C123" s="238" t="str">
        <f ca="1">IF(Giocatori!I47="","NDR" &amp; ROW(),Giocatori!I47)</f>
        <v>Sassuolo</v>
      </c>
      <c r="D123" s="63">
        <f t="shared" ca="1" si="44"/>
        <v>68.001230000000007</v>
      </c>
      <c r="E123" s="63">
        <f t="shared" ca="1" si="45"/>
        <v>36.00123</v>
      </c>
      <c r="F123" s="64">
        <f t="shared" ca="1" si="46"/>
        <v>62.803198012607503</v>
      </c>
      <c r="G123" s="63" t="str">
        <f t="shared" ca="1" si="47"/>
        <v/>
      </c>
      <c r="H123" s="65">
        <f t="shared" ca="1" si="48"/>
        <v>70</v>
      </c>
      <c r="I123" s="63" t="str">
        <f t="shared" ca="1" si="49"/>
        <v/>
      </c>
      <c r="J123" s="63">
        <f t="shared" ca="1" si="50"/>
        <v>1.0012300000000001</v>
      </c>
      <c r="K123" s="63">
        <f t="shared" ca="1" si="51"/>
        <v>1.0012300000000001</v>
      </c>
      <c r="L123" s="324" t="e">
        <f ca="1">VLOOKUP(Tabella113[[#This Row],[Calciatore]],'Raccolta Aste'!$F$2:$J$33,4,FALSE)*Asta!$U$3/100</f>
        <v>#N/A</v>
      </c>
      <c r="N123" s="59" t="str">
        <f t="shared" si="65"/>
        <v/>
      </c>
      <c r="O123" s="62" t="str">
        <f ca="1">IF(ISNUMBER(N123),INDIRECT("B" &amp; 84 + MATCH(N123,INDIRECT(ADDRESS(85,22+MATCH($P$27,'I.A. + Fasce'!$W$84:$AA$84,0),1,1) &amp; ":" &amp; ADDRESS(305,22+MATCH($P$27,'I.A. + Fasce'!$W$84:$AA$84,0),1,1)),0)),"")</f>
        <v/>
      </c>
      <c r="P123" s="62" t="str">
        <f t="shared" ca="1" si="67"/>
        <v/>
      </c>
      <c r="Q123" s="59" t="str">
        <f t="shared" si="66"/>
        <v/>
      </c>
      <c r="R123" s="62" t="str">
        <f ca="1">IF(ISNUMBER(Q123),INDIRECT("B" &amp; 84 + MATCH(Q123,INDIRECT(ADDRESS(85,22+MATCH($P$27,'I.A. + Fasce'!$W$84:$AA$84,0),1,1) &amp; ":" &amp; ADDRESS(305,22+MATCH($P$27,'I.A. + Fasce'!$W$84:$AA$84,0),1,1)),0)),"")</f>
        <v/>
      </c>
      <c r="S123" s="62" t="str">
        <f t="shared" ca="1" si="68"/>
        <v/>
      </c>
      <c r="U123" s="311"/>
      <c r="V123" s="311"/>
      <c r="W123" s="56">
        <f t="shared" ca="1" si="56"/>
        <v>111</v>
      </c>
      <c r="X123" s="56">
        <f t="shared" ca="1" si="57"/>
        <v>108</v>
      </c>
      <c r="Y123" s="56">
        <f t="shared" ca="1" si="58"/>
        <v>104</v>
      </c>
      <c r="Z123" s="56">
        <f t="shared" ca="1" si="59"/>
        <v>166</v>
      </c>
      <c r="AA123" s="56">
        <f t="shared" ca="1" si="60"/>
        <v>164</v>
      </c>
      <c r="AB123" s="56">
        <f ca="1">_xlfn.CEILING.MATH(INDIRECT(ADDRESS(85,22+MATCH($P$27,'I.A. + Fasce'!$W$84:$AA$84,0),1,1) &amp; ":" &amp; ADDRESS(305,22+MATCH($P$27,'I.A. + Fasce'!$W$84:$AA$84,0),1,1))/Asta!$H$3)</f>
        <v>14</v>
      </c>
      <c r="AD123" s="56">
        <f>'Mia rosa + Org. Finanza'!AG123</f>
        <v>0</v>
      </c>
      <c r="AE123" s="56" t="str">
        <f ca="1">'Mia rosa + Org. Finanza'!AH123</f>
        <v/>
      </c>
      <c r="AF123" s="56" t="str">
        <f ca="1">'Mia rosa + Org. Finanza'!AI123</f>
        <v/>
      </c>
      <c r="AG123" s="56">
        <f>'Mia rosa + Org. Finanza'!AJ123</f>
        <v>0</v>
      </c>
    </row>
    <row r="124" spans="1:33" ht="14.25" customHeight="1">
      <c r="A124" s="238" t="str">
        <f ca="1">IF(Giocatori!G48="","D",Giocatori!G48)</f>
        <v>D</v>
      </c>
      <c r="B124" s="238" t="str">
        <f ca="1">IF(Giocatori!H48="","ZZZ" &amp; ROW(),Giocatori!H48)</f>
        <v>CAPUANO</v>
      </c>
      <c r="C124" s="238" t="str">
        <f ca="1">IF(Giocatori!I48="","NDR" &amp; ROW(),Giocatori!I48)</f>
        <v>Cagliari</v>
      </c>
      <c r="D124" s="63">
        <f t="shared" ca="1" si="44"/>
        <v>60.001240000000003</v>
      </c>
      <c r="E124" s="63">
        <f t="shared" ca="1" si="45"/>
        <v>34.001240000000003</v>
      </c>
      <c r="F124" s="64">
        <f t="shared" ca="1" si="46"/>
        <v>56.636516012813338</v>
      </c>
      <c r="G124" s="63" t="str">
        <f t="shared" ca="1" si="47"/>
        <v/>
      </c>
      <c r="H124" s="65">
        <f t="shared" ca="1" si="48"/>
        <v>60</v>
      </c>
      <c r="I124" s="63" t="str">
        <f t="shared" ca="1" si="49"/>
        <v/>
      </c>
      <c r="J124" s="63">
        <f t="shared" ca="1" si="50"/>
        <v>1.0012399999999999</v>
      </c>
      <c r="K124" s="63">
        <f t="shared" ca="1" si="51"/>
        <v>1.0012399999999999</v>
      </c>
      <c r="L124" s="324" t="e">
        <f ca="1">VLOOKUP(Tabella113[[#This Row],[Calciatore]],'Raccolta Aste'!$F$2:$J$33,4,FALSE)*Asta!$U$3/100</f>
        <v>#N/A</v>
      </c>
      <c r="N124" s="59" t="str">
        <f t="shared" si="65"/>
        <v/>
      </c>
      <c r="O124" s="62" t="str">
        <f ca="1">IF(ISNUMBER(N124),INDIRECT("B" &amp; 84 + MATCH(N124,INDIRECT(ADDRESS(85,22+MATCH($P$27,'I.A. + Fasce'!$W$84:$AA$84,0),1,1) &amp; ":" &amp; ADDRESS(305,22+MATCH($P$27,'I.A. + Fasce'!$W$84:$AA$84,0),1,1)),0)),"")</f>
        <v/>
      </c>
      <c r="P124" s="62" t="str">
        <f t="shared" ca="1" si="67"/>
        <v/>
      </c>
      <c r="Q124" s="59" t="str">
        <f t="shared" si="66"/>
        <v/>
      </c>
      <c r="R124" s="62" t="str">
        <f ca="1">IF(ISNUMBER(Q124),INDIRECT("B" &amp; 84 + MATCH(Q124,INDIRECT(ADDRESS(85,22+MATCH($P$27,'I.A. + Fasce'!$W$84:$AA$84,0),1,1) &amp; ":" &amp; ADDRESS(305,22+MATCH($P$27,'I.A. + Fasce'!$W$84:$AA$84,0),1,1)),0)),"")</f>
        <v/>
      </c>
      <c r="S124" s="62" t="str">
        <f t="shared" ca="1" si="68"/>
        <v/>
      </c>
      <c r="U124" s="311"/>
      <c r="V124" s="311"/>
      <c r="W124" s="56">
        <f t="shared" ca="1" si="56"/>
        <v>156</v>
      </c>
      <c r="X124" s="56">
        <f t="shared" ca="1" si="57"/>
        <v>138</v>
      </c>
      <c r="Y124" s="56">
        <f t="shared" ca="1" si="58"/>
        <v>146</v>
      </c>
      <c r="Z124" s="56">
        <f t="shared" ca="1" si="59"/>
        <v>165</v>
      </c>
      <c r="AA124" s="56">
        <f t="shared" ca="1" si="60"/>
        <v>163</v>
      </c>
      <c r="AB124" s="56">
        <f ca="1">_xlfn.CEILING.MATH(INDIRECT(ADDRESS(85,22+MATCH($P$27,'I.A. + Fasce'!$W$84:$AA$84,0),1,1) &amp; ":" &amp; ADDRESS(305,22+MATCH($P$27,'I.A. + Fasce'!$W$84:$AA$84,0),1,1))/Asta!$H$3)</f>
        <v>18</v>
      </c>
      <c r="AD124" s="56">
        <f>'Mia rosa + Org. Finanza'!AG124</f>
        <v>0</v>
      </c>
      <c r="AE124" s="56" t="str">
        <f ca="1">'Mia rosa + Org. Finanza'!AH124</f>
        <v/>
      </c>
      <c r="AF124" s="56" t="str">
        <f ca="1">'Mia rosa + Org. Finanza'!AI124</f>
        <v/>
      </c>
      <c r="AG124" s="56">
        <f>'Mia rosa + Org. Finanza'!AJ124</f>
        <v>0</v>
      </c>
    </row>
    <row r="125" spans="1:33" ht="14.25" customHeight="1">
      <c r="A125" s="238" t="str">
        <f ca="1">IF(Giocatori!G49="","D",Giocatori!G49)</f>
        <v>D</v>
      </c>
      <c r="B125" s="238" t="str">
        <f ca="1">IF(Giocatori!H49="","ZZZ" &amp; ROW(),Giocatori!H49)</f>
        <v>CARACCIOLO A</v>
      </c>
      <c r="C125" s="238" t="str">
        <f ca="1">IF(Giocatori!I49="","NDR" &amp; ROW(),Giocatori!I49)</f>
        <v>Verona</v>
      </c>
      <c r="D125" s="63">
        <f t="shared" ca="1" si="44"/>
        <v>68.001249999999999</v>
      </c>
      <c r="E125" s="63">
        <f t="shared" ca="1" si="45"/>
        <v>32.001249999999999</v>
      </c>
      <c r="F125" s="64">
        <f t="shared" ca="1" si="46"/>
        <v>58.536500013020827</v>
      </c>
      <c r="G125" s="63" t="str">
        <f t="shared" ca="1" si="47"/>
        <v/>
      </c>
      <c r="H125" s="65">
        <f t="shared" ca="1" si="48"/>
        <v>60</v>
      </c>
      <c r="I125" s="63" t="str">
        <f t="shared" ca="1" si="49"/>
        <v/>
      </c>
      <c r="J125" s="63">
        <f t="shared" ca="1" si="50"/>
        <v>1.00125</v>
      </c>
      <c r="K125" s="63">
        <f t="shared" ca="1" si="51"/>
        <v>1.00125</v>
      </c>
      <c r="L125" s="324" t="e">
        <f ca="1">VLOOKUP(Tabella113[[#This Row],[Calciatore]],'Raccolta Aste'!$F$2:$J$33,4,FALSE)*Asta!$U$3/100</f>
        <v>#N/A</v>
      </c>
      <c r="N125" s="59" t="str">
        <f t="shared" si="65"/>
        <v/>
      </c>
      <c r="O125" s="62" t="str">
        <f ca="1">IF(ISNUMBER(N125),INDIRECT("B" &amp; 84 + MATCH(N125,INDIRECT(ADDRESS(85,22+MATCH($P$27,'I.A. + Fasce'!$W$84:$AA$84,0),1,1) &amp; ":" &amp; ADDRESS(305,22+MATCH($P$27,'I.A. + Fasce'!$W$84:$AA$84,0),1,1)),0)),"")</f>
        <v/>
      </c>
      <c r="P125" s="62" t="str">
        <f t="shared" ca="1" si="67"/>
        <v/>
      </c>
      <c r="Q125" s="59" t="str">
        <f t="shared" si="66"/>
        <v/>
      </c>
      <c r="R125" s="62" t="str">
        <f ca="1">IF(ISNUMBER(Q125),INDIRECT("B" &amp; 84 + MATCH(Q125,INDIRECT(ADDRESS(85,22+MATCH($P$27,'I.A. + Fasce'!$W$84:$AA$84,0),1,1) &amp; ":" &amp; ADDRESS(305,22+MATCH($P$27,'I.A. + Fasce'!$W$84:$AA$84,0),1,1)),0)),"")</f>
        <v/>
      </c>
      <c r="S125" s="62" t="str">
        <f t="shared" ca="1" si="68"/>
        <v/>
      </c>
      <c r="U125" s="311"/>
      <c r="V125" s="311"/>
      <c r="W125" s="56">
        <f t="shared" ca="1" si="56"/>
        <v>110</v>
      </c>
      <c r="X125" s="56">
        <f t="shared" ca="1" si="57"/>
        <v>155</v>
      </c>
      <c r="Y125" s="56">
        <f t="shared" ca="1" si="58"/>
        <v>139</v>
      </c>
      <c r="Z125" s="56">
        <f t="shared" ca="1" si="59"/>
        <v>164</v>
      </c>
      <c r="AA125" s="56">
        <f t="shared" ca="1" si="60"/>
        <v>162</v>
      </c>
      <c r="AB125" s="56">
        <f ca="1">_xlfn.CEILING.MATH(INDIRECT(ADDRESS(85,22+MATCH($P$27,'I.A. + Fasce'!$W$84:$AA$84,0),1,1) &amp; ":" &amp; ADDRESS(305,22+MATCH($P$27,'I.A. + Fasce'!$W$84:$AA$84,0),1,1))/Asta!$H$3)</f>
        <v>20</v>
      </c>
    </row>
    <row r="126" spans="1:33" ht="14.25" customHeight="1">
      <c r="A126" s="238" t="str">
        <f ca="1">IF(Giocatori!G50="","D",Giocatori!G50)</f>
        <v>D</v>
      </c>
      <c r="B126" s="238" t="str">
        <f ca="1">IF(Giocatori!H50="","ZZZ" &amp; ROW(),Giocatori!H50)</f>
        <v>CASTAGNE</v>
      </c>
      <c r="C126" s="238" t="str">
        <f ca="1">IF(Giocatori!I50="","NDR" &amp; ROW(),Giocatori!I50)</f>
        <v>Atalanta</v>
      </c>
      <c r="D126" s="63">
        <f t="shared" ca="1" si="44"/>
        <v>72.001260000000002</v>
      </c>
      <c r="E126" s="63">
        <f t="shared" ca="1" si="45"/>
        <v>40.001260000000002</v>
      </c>
      <c r="F126" s="64">
        <f t="shared" ca="1" si="46"/>
        <v>69.336693346563337</v>
      </c>
      <c r="G126" s="63" t="str">
        <f t="shared" ca="1" si="47"/>
        <v>SORPRESA</v>
      </c>
      <c r="H126" s="65">
        <f t="shared" ca="1" si="48"/>
        <v>60</v>
      </c>
      <c r="I126" s="63" t="str">
        <f t="shared" ca="1" si="49"/>
        <v/>
      </c>
      <c r="J126" s="63">
        <f t="shared" ca="1" si="50"/>
        <v>4.1656941847643782</v>
      </c>
      <c r="K126" s="63">
        <f t="shared" ca="1" si="51"/>
        <v>3.5480677133795395</v>
      </c>
      <c r="L126" s="324" t="e">
        <f ca="1">VLOOKUP(Tabella113[[#This Row],[Calciatore]],'Raccolta Aste'!$F$2:$J$33,4,FALSE)*Asta!$U$3/100</f>
        <v>#N/A</v>
      </c>
      <c r="N126" s="59" t="str">
        <f t="shared" si="65"/>
        <v/>
      </c>
      <c r="O126" s="62" t="str">
        <f ca="1">IF(ISNUMBER(N126),INDIRECT("B" &amp; 84 + MATCH(N126,INDIRECT(ADDRESS(85,22+MATCH($P$27,'I.A. + Fasce'!$W$84:$AA$84,0),1,1) &amp; ":" &amp; ADDRESS(305,22+MATCH($P$27,'I.A. + Fasce'!$W$84:$AA$84,0),1,1)),0)),"")</f>
        <v/>
      </c>
      <c r="P126" s="62" t="str">
        <f t="shared" ca="1" si="67"/>
        <v/>
      </c>
      <c r="Q126" s="59" t="str">
        <f t="shared" si="66"/>
        <v/>
      </c>
      <c r="R126" s="62" t="str">
        <f ca="1">IF(ISNUMBER(Q126),INDIRECT("B" &amp; 84 + MATCH(Q126,INDIRECT(ADDRESS(85,22+MATCH($P$27,'I.A. + Fasce'!$W$84:$AA$84,0),1,1) &amp; ":" &amp; ADDRESS(305,22+MATCH($P$27,'I.A. + Fasce'!$W$84:$AA$84,0),1,1)),0)),"")</f>
        <v/>
      </c>
      <c r="S126" s="62" t="str">
        <f t="shared" ca="1" si="68"/>
        <v/>
      </c>
      <c r="U126" s="311"/>
      <c r="V126" s="311"/>
      <c r="W126" s="56">
        <f t="shared" ca="1" si="56"/>
        <v>74</v>
      </c>
      <c r="X126" s="56">
        <f t="shared" ca="1" si="57"/>
        <v>57</v>
      </c>
      <c r="Y126" s="56">
        <f t="shared" ca="1" si="58"/>
        <v>55</v>
      </c>
      <c r="Z126" s="56">
        <f t="shared" ca="1" si="59"/>
        <v>55</v>
      </c>
      <c r="AA126" s="56">
        <f t="shared" ca="1" si="60"/>
        <v>55</v>
      </c>
      <c r="AB126" s="56">
        <f ca="1">_xlfn.CEILING.MATH(INDIRECT(ADDRESS(85,22+MATCH($P$27,'I.A. + Fasce'!$W$84:$AA$84,0),1,1) &amp; ":" &amp; ADDRESS(305,22+MATCH($P$27,'I.A. + Fasce'!$W$84:$AA$84,0),1,1))/Asta!$H$3)</f>
        <v>8</v>
      </c>
    </row>
    <row r="127" spans="1:33" ht="14.25" customHeight="1">
      <c r="A127" s="238" t="str">
        <f ca="1">IF(Giocatori!G51="","D",Giocatori!G51)</f>
        <v>D</v>
      </c>
      <c r="B127" s="238" t="str">
        <f ca="1">IF(Giocatori!H51="","ZZZ" &amp; ROW(),Giocatori!H51)</f>
        <v>CASTAN</v>
      </c>
      <c r="C127" s="238" t="str">
        <f ca="1">IF(Giocatori!I51="","NDR" &amp; ROW(),Giocatori!I51)</f>
        <v>Roma</v>
      </c>
      <c r="D127" s="63">
        <f t="shared" ca="1" si="44"/>
        <v>59.001269999999998</v>
      </c>
      <c r="E127" s="63">
        <f t="shared" ca="1" si="45"/>
        <v>27.001270000000002</v>
      </c>
      <c r="F127" s="64">
        <f t="shared" ca="1" si="46"/>
        <v>49.078111513440831</v>
      </c>
      <c r="G127" s="63" t="str">
        <f t="shared" ca="1" si="47"/>
        <v/>
      </c>
      <c r="H127" s="65">
        <f t="shared" ca="1" si="48"/>
        <v>30</v>
      </c>
      <c r="I127" s="63" t="str">
        <f t="shared" ca="1" si="49"/>
        <v/>
      </c>
      <c r="J127" s="63">
        <f t="shared" ca="1" si="50"/>
        <v>1.0012700000000001</v>
      </c>
      <c r="K127" s="63">
        <f t="shared" ca="1" si="51"/>
        <v>1.0012700000000001</v>
      </c>
      <c r="L127" s="324" t="e">
        <f ca="1">VLOOKUP(Tabella113[[#This Row],[Calciatore]],'Raccolta Aste'!$F$2:$J$33,4,FALSE)*Asta!$U$3/100</f>
        <v>#N/A</v>
      </c>
      <c r="N127" s="58"/>
      <c r="O127" s="58"/>
      <c r="P127" s="58"/>
      <c r="Q127" s="58"/>
      <c r="R127" s="58"/>
      <c r="S127" s="58"/>
      <c r="U127" s="311"/>
      <c r="V127" s="311"/>
      <c r="W127" s="56">
        <f t="shared" ca="1" si="56"/>
        <v>162</v>
      </c>
      <c r="X127" s="56">
        <f t="shared" ca="1" si="57"/>
        <v>179</v>
      </c>
      <c r="Y127" s="56">
        <f t="shared" ca="1" si="58"/>
        <v>172</v>
      </c>
      <c r="Z127" s="56">
        <f t="shared" ca="1" si="59"/>
        <v>163</v>
      </c>
      <c r="AA127" s="56">
        <f t="shared" ca="1" si="60"/>
        <v>161</v>
      </c>
      <c r="AB127" s="56">
        <f ca="1">_xlfn.CEILING.MATH(INDIRECT(ADDRESS(85,22+MATCH($P$27,'I.A. + Fasce'!$W$84:$AA$84,0),1,1) &amp; ":" &amp; ADDRESS(305,22+MATCH($P$27,'I.A. + Fasce'!$W$84:$AA$84,0),1,1))/Asta!$H$3)</f>
        <v>23</v>
      </c>
    </row>
    <row r="128" spans="1:33" ht="14.25" customHeight="1">
      <c r="A128" s="238" t="str">
        <f ca="1">IF(Giocatori!G52="","D",Giocatori!G52)</f>
        <v>D</v>
      </c>
      <c r="B128" s="238" t="str">
        <f ca="1">IF(Giocatori!H52="","ZZZ" &amp; ROW(),Giocatori!H52)</f>
        <v>CECCHERINI</v>
      </c>
      <c r="C128" s="238" t="str">
        <f ca="1">IF(Giocatori!I52="","NDR" &amp; ROW(),Giocatori!I52)</f>
        <v>Crotone</v>
      </c>
      <c r="D128" s="63">
        <f t="shared" ca="1" si="44"/>
        <v>67.001279999999994</v>
      </c>
      <c r="E128" s="63">
        <f t="shared" ca="1" si="45"/>
        <v>42.001280000000001</v>
      </c>
      <c r="F128" s="64">
        <f t="shared" ca="1" si="46"/>
        <v>69.203456013653323</v>
      </c>
      <c r="G128" s="63" t="str">
        <f t="shared" ca="1" si="47"/>
        <v>SORPRESA</v>
      </c>
      <c r="H128" s="65">
        <f t="shared" ca="1" si="48"/>
        <v>90</v>
      </c>
      <c r="I128" s="63" t="str">
        <f t="shared" ca="1" si="49"/>
        <v/>
      </c>
      <c r="J128" s="63">
        <f t="shared" ca="1" si="50"/>
        <v>7.1229089906801617</v>
      </c>
      <c r="K128" s="63">
        <f t="shared" ca="1" si="51"/>
        <v>6.3295534377637344</v>
      </c>
      <c r="L128" s="324" t="e">
        <f ca="1">VLOOKUP(Tabella113[[#This Row],[Calciatore]],'Raccolta Aste'!$F$2:$J$33,4,FALSE)*Asta!$U$3/100</f>
        <v>#N/A</v>
      </c>
      <c r="N128" s="58"/>
      <c r="O128" s="59" t="s">
        <v>707</v>
      </c>
      <c r="P128" s="59" t="s">
        <v>637</v>
      </c>
      <c r="Q128" s="58"/>
      <c r="R128" s="59" t="s">
        <v>708</v>
      </c>
      <c r="S128" s="59" t="s">
        <v>637</v>
      </c>
      <c r="U128" s="311"/>
      <c r="V128" s="311"/>
      <c r="W128" s="56">
        <f t="shared" ca="1" si="56"/>
        <v>117</v>
      </c>
      <c r="X128" s="56">
        <f t="shared" ca="1" si="57"/>
        <v>29</v>
      </c>
      <c r="Y128" s="56">
        <f t="shared" ca="1" si="58"/>
        <v>56</v>
      </c>
      <c r="Z128" s="56">
        <f t="shared" ca="1" si="59"/>
        <v>37</v>
      </c>
      <c r="AA128" s="56">
        <f t="shared" ca="1" si="60"/>
        <v>37</v>
      </c>
      <c r="AB128" s="56">
        <f ca="1">_xlfn.CEILING.MATH(INDIRECT(ADDRESS(85,22+MATCH($P$27,'I.A. + Fasce'!$W$84:$AA$84,0),1,1) &amp; ":" &amp; ADDRESS(305,22+MATCH($P$27,'I.A. + Fasce'!$W$84:$AA$84,0),1,1))/Asta!$H$3)</f>
        <v>4</v>
      </c>
      <c r="AD128" s="56"/>
      <c r="AE128" s="56">
        <f>'Mia rosa + Org. Finanza'!AH125</f>
        <v>0</v>
      </c>
      <c r="AF128" s="56">
        <f>'Mia rosa + Org. Finanza'!AI125</f>
        <v>0</v>
      </c>
      <c r="AG128" s="56">
        <f>'Mia rosa + Org. Finanza'!AJ125</f>
        <v>0</v>
      </c>
    </row>
    <row r="129" spans="1:33" ht="14.25" customHeight="1">
      <c r="A129" s="238" t="str">
        <f ca="1">IF(Giocatori!G53="","D",Giocatori!G53)</f>
        <v>D</v>
      </c>
      <c r="B129" s="238" t="str">
        <f ca="1">IF(Giocatori!H53="","ZZZ" &amp; ROW(),Giocatori!H53)</f>
        <v>CEPPITELLI</v>
      </c>
      <c r="C129" s="238" t="str">
        <f ca="1">IF(Giocatori!I53="","NDR" &amp; ROW(),Giocatori!I53)</f>
        <v>Cagliari</v>
      </c>
      <c r="D129" s="63">
        <f t="shared" ca="1" si="44"/>
        <v>67.001289999999997</v>
      </c>
      <c r="E129" s="63">
        <f t="shared" ca="1" si="45"/>
        <v>33.001289999999997</v>
      </c>
      <c r="F129" s="64">
        <f t="shared" ca="1" si="46"/>
        <v>59.078289513867503</v>
      </c>
      <c r="G129" s="63" t="str">
        <f t="shared" ca="1" si="47"/>
        <v/>
      </c>
      <c r="H129" s="65">
        <f t="shared" ca="1" si="48"/>
        <v>60</v>
      </c>
      <c r="I129" s="63" t="str">
        <f t="shared" ca="1" si="49"/>
        <v/>
      </c>
      <c r="J129" s="63">
        <f t="shared" ca="1" si="50"/>
        <v>1.00129</v>
      </c>
      <c r="K129" s="63">
        <f t="shared" ca="1" si="51"/>
        <v>1.00129</v>
      </c>
      <c r="L129" s="324" t="e">
        <f ca="1">VLOOKUP(Tabella113[[#This Row],[Calciatore]],'Raccolta Aste'!$F$2:$J$33,4,FALSE)*Asta!$U$3/100</f>
        <v>#N/A</v>
      </c>
      <c r="N129" s="60"/>
      <c r="O129" s="61"/>
      <c r="P129" s="61"/>
      <c r="Q129" s="60"/>
      <c r="R129" s="61"/>
      <c r="S129" s="61"/>
      <c r="U129" s="311"/>
      <c r="V129" s="311"/>
      <c r="W129" s="56">
        <f t="shared" ca="1" si="56"/>
        <v>116</v>
      </c>
      <c r="X129" s="56">
        <f t="shared" ca="1" si="57"/>
        <v>147</v>
      </c>
      <c r="Y129" s="56">
        <f t="shared" ca="1" si="58"/>
        <v>134</v>
      </c>
      <c r="Z129" s="56">
        <f t="shared" ca="1" si="59"/>
        <v>162</v>
      </c>
      <c r="AA129" s="56">
        <f t="shared" ca="1" si="60"/>
        <v>160</v>
      </c>
      <c r="AB129" s="56">
        <f ca="1">_xlfn.CEILING.MATH(INDIRECT(ADDRESS(85,22+MATCH($P$27,'I.A. + Fasce'!$W$84:$AA$84,0),1,1) &amp; ":" &amp; ADDRESS(305,22+MATCH($P$27,'I.A. + Fasce'!$W$84:$AA$84,0),1,1))/Asta!$H$3)</f>
        <v>19</v>
      </c>
      <c r="AD129" s="56"/>
      <c r="AE129" s="56">
        <f>'Mia rosa + Org. Finanza'!AH126</f>
        <v>0</v>
      </c>
      <c r="AF129" s="56">
        <f>'Mia rosa + Org. Finanza'!AI126</f>
        <v>0</v>
      </c>
      <c r="AG129" s="56">
        <f>'Mia rosa + Org. Finanza'!AJ126</f>
        <v>0</v>
      </c>
    </row>
    <row r="130" spans="1:33" ht="14.25" customHeight="1">
      <c r="A130" s="238" t="str">
        <f ca="1">IF(Giocatori!G54="","D",Giocatori!G54)</f>
        <v>D</v>
      </c>
      <c r="B130" s="238" t="str">
        <f ca="1">IF(Giocatori!H54="","ZZZ" &amp; ROW(),Giocatori!H54)</f>
        <v>CESAR</v>
      </c>
      <c r="C130" s="238" t="str">
        <f ca="1">IF(Giocatori!I54="","NDR" &amp; ROW(),Giocatori!I54)</f>
        <v>Chievo</v>
      </c>
      <c r="D130" s="63">
        <f t="shared" ca="1" si="44"/>
        <v>68.001300000000001</v>
      </c>
      <c r="E130" s="63">
        <f t="shared" ca="1" si="45"/>
        <v>29.001300000000001</v>
      </c>
      <c r="F130" s="64">
        <f t="shared" ca="1" si="46"/>
        <v>55.511561680750006</v>
      </c>
      <c r="G130" s="63" t="str">
        <f t="shared" ca="1" si="47"/>
        <v/>
      </c>
      <c r="H130" s="65">
        <f t="shared" ca="1" si="48"/>
        <v>50</v>
      </c>
      <c r="I130" s="324" t="str">
        <f t="shared" ca="1" si="49"/>
        <v/>
      </c>
      <c r="J130" s="63">
        <f t="shared" ca="1" si="50"/>
        <v>1.0013000000000001</v>
      </c>
      <c r="K130" s="63">
        <f t="shared" ca="1" si="51"/>
        <v>1.0013000000000001</v>
      </c>
      <c r="L130" s="324" t="e">
        <f ca="1">VLOOKUP(Tabella113[[#This Row],[Calciatore]],'Raccolta Aste'!$F$2:$J$33,4,FALSE)*Asta!$U$3/100</f>
        <v>#N/A</v>
      </c>
      <c r="N130" s="59">
        <f t="shared" ref="N130:N141" si="69">IF(ISNUMBER(Q115),Q115+COUNTIF($N$34:$N$45,"&gt;0"),"")</f>
        <v>49</v>
      </c>
      <c r="O130" s="62" t="str">
        <f ca="1">IF(ISNUMBER(N130),INDIRECT("B" &amp; 84 + MATCH(N130,INDIRECT(ADDRESS(85,22+MATCH($P$27,'I.A. + Fasce'!$W$84:$AA$84,0),1,1) &amp; ":" &amp; ADDRESS(305,22+MATCH($P$27,'I.A. + Fasce'!$W$84:$AA$84,0),1,1)),0)),"")</f>
        <v>ANDREOLLI</v>
      </c>
      <c r="P130" s="62" t="str">
        <f ca="1">IF(O130="","",VLOOKUP(O130,$B$85:$C$305,2,FALSE))</f>
        <v>Cagliari</v>
      </c>
      <c r="Q130" s="59">
        <f t="shared" ref="Q130:Q141" si="70">IF(ISNUMBER(N130),N130+COUNTIF($N$34:$N$45,"&gt;0"),"")</f>
        <v>57</v>
      </c>
      <c r="R130" s="62" t="str">
        <f ca="1">IF(ISNUMBER(Q130),INDIRECT("B" &amp; 84 + MATCH(Q130,INDIRECT(ADDRESS(85,22+MATCH($P$27,'I.A. + Fasce'!$W$84:$AA$84,0),1,1) &amp; ":" &amp; ADDRESS(305,22+MATCH($P$27,'I.A. + Fasce'!$W$84:$AA$84,0),1,1)),0)),"")</f>
        <v>CASTAGNE</v>
      </c>
      <c r="S130" s="62" t="str">
        <f ca="1">IF(R130="","",VLOOKUP(R130,$B$85:$C$305,2,FALSE))</f>
        <v>Atalanta</v>
      </c>
      <c r="U130" s="311"/>
      <c r="V130" s="311"/>
      <c r="W130" s="56">
        <f t="shared" ca="1" si="56"/>
        <v>109</v>
      </c>
      <c r="X130" s="56">
        <f t="shared" ca="1" si="57"/>
        <v>172</v>
      </c>
      <c r="Y130" s="56">
        <f t="shared" ca="1" si="58"/>
        <v>154</v>
      </c>
      <c r="Z130" s="56">
        <f t="shared" ca="1" si="59"/>
        <v>161</v>
      </c>
      <c r="AA130" s="56">
        <f t="shared" ca="1" si="60"/>
        <v>159</v>
      </c>
      <c r="AB130" s="56">
        <f ca="1">_xlfn.CEILING.MATH(INDIRECT(ADDRESS(85,22+MATCH($P$27,'I.A. + Fasce'!$W$84:$AA$84,0),1,1) &amp; ":" &amp; ADDRESS(305,22+MATCH($P$27,'I.A. + Fasce'!$W$84:$AA$84,0),1,1))/Asta!$H$3)</f>
        <v>22</v>
      </c>
      <c r="AD130" s="56"/>
      <c r="AE130" s="56">
        <f>'Mia rosa + Org. Finanza'!AH127</f>
        <v>0</v>
      </c>
      <c r="AF130" s="56">
        <f>'Mia rosa + Org. Finanza'!AI127</f>
        <v>0</v>
      </c>
      <c r="AG130" s="56">
        <f>'Mia rosa + Org. Finanza'!AJ127</f>
        <v>0</v>
      </c>
    </row>
    <row r="131" spans="1:33" ht="14.25" customHeight="1">
      <c r="A131" s="238" t="str">
        <f ca="1">IF(Giocatori!G55="","D",Giocatori!G55)</f>
        <v>D</v>
      </c>
      <c r="B131" s="238" t="str">
        <f ca="1">IF(Giocatori!H55="","ZZZ" &amp; ROW(),Giocatori!H55)</f>
        <v>CHERUBIN</v>
      </c>
      <c r="C131" s="238" t="str">
        <f ca="1">IF(Giocatori!I55="","NDR" &amp; ROW(),Giocatori!I55)</f>
        <v>Verona</v>
      </c>
      <c r="D131" s="63">
        <f t="shared" ca="1" si="44"/>
        <v>45.001309999999997</v>
      </c>
      <c r="E131" s="63">
        <f t="shared" ca="1" si="45"/>
        <v>29.00131</v>
      </c>
      <c r="F131" s="64">
        <f t="shared" ca="1" si="46"/>
        <v>44.011586514300831</v>
      </c>
      <c r="G131" s="63" t="str">
        <f t="shared" ca="1" si="47"/>
        <v/>
      </c>
      <c r="H131" s="65">
        <f t="shared" ca="1" si="48"/>
        <v>50</v>
      </c>
      <c r="I131" s="63" t="str">
        <f t="shared" ca="1" si="49"/>
        <v/>
      </c>
      <c r="J131" s="63">
        <f t="shared" ca="1" si="50"/>
        <v>1.0013099999999999</v>
      </c>
      <c r="K131" s="63">
        <f t="shared" ca="1" si="51"/>
        <v>1.0013099999999999</v>
      </c>
      <c r="L131" s="324" t="e">
        <f ca="1">VLOOKUP(Tabella113[[#This Row],[Calciatore]],'Raccolta Aste'!$F$2:$J$33,4,FALSE)*Asta!$U$3/100</f>
        <v>#N/A</v>
      </c>
      <c r="N131" s="59">
        <f t="shared" si="69"/>
        <v>50</v>
      </c>
      <c r="O131" s="62" t="str">
        <f ca="1">IF(ISNUMBER(N131),INDIRECT("B" &amp; 84 + MATCH(N131,INDIRECT(ADDRESS(85,22+MATCH($P$27,'I.A. + Fasce'!$W$84:$AA$84,0),1,1) &amp; ":" &amp; ADDRESS(305,22+MATCH($P$27,'I.A. + Fasce'!$W$84:$AA$84,0),1,1)),0)),"")</f>
        <v>ZUKANOVIC</v>
      </c>
      <c r="P131" s="62" t="str">
        <f t="shared" ref="P131:P141" ca="1" si="71">IF(O131="","",VLOOKUP(O131,$B$85:$C$305,2,FALSE))</f>
        <v>Genoa</v>
      </c>
      <c r="Q131" s="59">
        <f t="shared" si="70"/>
        <v>58</v>
      </c>
      <c r="R131" s="62" t="str">
        <f ca="1">IF(ISNUMBER(Q131),INDIRECT("B" &amp; 84 + MATCH(Q131,INDIRECT(ADDRESS(85,22+MATCH($P$27,'I.A. + Fasce'!$W$84:$AA$84,0),1,1) &amp; ":" &amp; ADDRESS(305,22+MATCH($P$27,'I.A. + Fasce'!$W$84:$AA$84,0),1,1)),0)),"")</f>
        <v>VITOR HUGO</v>
      </c>
      <c r="S131" s="62" t="str">
        <f t="shared" ref="S131:S141" ca="1" si="72">IF(R131="","",VLOOKUP(R131,$B$85:$C$305,2,FALSE))</f>
        <v>Fiorentina</v>
      </c>
      <c r="U131" s="311"/>
      <c r="V131" s="311"/>
      <c r="W131" s="56">
        <f t="shared" ca="1" si="56"/>
        <v>183</v>
      </c>
      <c r="X131" s="56">
        <f t="shared" ca="1" si="57"/>
        <v>171</v>
      </c>
      <c r="Y131" s="56">
        <f t="shared" ca="1" si="58"/>
        <v>182</v>
      </c>
      <c r="Z131" s="56">
        <f t="shared" ca="1" si="59"/>
        <v>160</v>
      </c>
      <c r="AA131" s="56">
        <f t="shared" ca="1" si="60"/>
        <v>158</v>
      </c>
      <c r="AB131" s="56">
        <f ca="1">_xlfn.CEILING.MATH(INDIRECT(ADDRESS(85,22+MATCH($P$27,'I.A. + Fasce'!$W$84:$AA$84,0),1,1) &amp; ":" &amp; ADDRESS(305,22+MATCH($P$27,'I.A. + Fasce'!$W$84:$AA$84,0),1,1))/Asta!$H$3)</f>
        <v>22</v>
      </c>
      <c r="AD131" s="56"/>
      <c r="AE131" s="56">
        <f>'Mia rosa + Org. Finanza'!AH128</f>
        <v>0</v>
      </c>
      <c r="AF131" s="56">
        <f>'Mia rosa + Org. Finanza'!AI128</f>
        <v>0</v>
      </c>
      <c r="AG131" s="56">
        <f>'Mia rosa + Org. Finanza'!AJ128</f>
        <v>0</v>
      </c>
    </row>
    <row r="132" spans="1:33" ht="14.25" customHeight="1">
      <c r="A132" s="238" t="str">
        <f ca="1">IF(Giocatori!G56="","D",Giocatori!G56)</f>
        <v>D</v>
      </c>
      <c r="B132" s="238" t="str">
        <f ca="1">IF(Giocatori!H56="","ZZZ" &amp; ROW(),Giocatori!H56)</f>
        <v>CHIELLINI</v>
      </c>
      <c r="C132" s="238" t="str">
        <f ca="1">IF(Giocatori!I56="","NDR" &amp; ROW(),Giocatori!I56)</f>
        <v>Juventus</v>
      </c>
      <c r="D132" s="63">
        <f t="shared" ca="1" si="44"/>
        <v>84.001320000000007</v>
      </c>
      <c r="E132" s="63">
        <f t="shared" ca="1" si="45"/>
        <v>44.00132</v>
      </c>
      <c r="F132" s="64">
        <f t="shared" ca="1" si="46"/>
        <v>80.136941347853352</v>
      </c>
      <c r="G132" s="63" t="str">
        <f t="shared" ca="1" si="47"/>
        <v/>
      </c>
      <c r="H132" s="65">
        <f t="shared" ca="1" si="48"/>
        <v>90</v>
      </c>
      <c r="I132" s="63" t="str">
        <f t="shared" ca="1" si="49"/>
        <v/>
      </c>
      <c r="J132" s="63">
        <f t="shared" ca="1" si="50"/>
        <v>18.099195344887157</v>
      </c>
      <c r="K132" s="63">
        <f t="shared" ca="1" si="51"/>
        <v>18.885315315887908</v>
      </c>
      <c r="L132" s="324">
        <f ca="1">VLOOKUP(Tabella113[[#This Row],[Calciatore]],'Raccolta Aste'!$F$2:$J$33,4,FALSE)*Asta!$U$3/100</f>
        <v>16.344999999999999</v>
      </c>
      <c r="N132" s="59">
        <f t="shared" si="69"/>
        <v>51</v>
      </c>
      <c r="O132" s="62" t="str">
        <f ca="1">IF(ISNUMBER(N132),INDIRECT("B" &amp; 84 + MATCH(N132,INDIRECT(ADDRESS(85,22+MATCH($P$27,'I.A. + Fasce'!$W$84:$AA$84,0),1,1) &amp; ":" &amp; ADDRESS(305,22+MATCH($P$27,'I.A. + Fasce'!$W$84:$AA$84,0),1,1)),0)),"")</f>
        <v>SKRINIAR</v>
      </c>
      <c r="P132" s="62" t="str">
        <f t="shared" ca="1" si="71"/>
        <v>Inter</v>
      </c>
      <c r="Q132" s="59">
        <f t="shared" si="70"/>
        <v>59</v>
      </c>
      <c r="R132" s="62" t="str">
        <f ca="1">IF(ISNUMBER(Q132),INDIRECT("B" &amp; 84 + MATCH(Q132,INDIRECT(ADDRESS(85,22+MATCH($P$27,'I.A. + Fasce'!$W$84:$AA$84,0),1,1) &amp; ":" &amp; ADDRESS(305,22+MATCH($P$27,'I.A. + Fasce'!$W$84:$AA$84,0),1,1)),0)),"")</f>
        <v>VENUTI</v>
      </c>
      <c r="S132" s="62" t="str">
        <f t="shared" ca="1" si="72"/>
        <v>Benevento</v>
      </c>
      <c r="U132" s="311"/>
      <c r="V132" s="311"/>
      <c r="W132" s="56">
        <f t="shared" ca="1" si="56"/>
        <v>17</v>
      </c>
      <c r="X132" s="56">
        <f t="shared" ca="1" si="57"/>
        <v>12</v>
      </c>
      <c r="Y132" s="56">
        <f t="shared" ca="1" si="58"/>
        <v>14</v>
      </c>
      <c r="Z132" s="56">
        <f t="shared" ca="1" si="59"/>
        <v>8</v>
      </c>
      <c r="AA132" s="56">
        <f t="shared" ca="1" si="60"/>
        <v>6</v>
      </c>
      <c r="AB132" s="56">
        <f ca="1">_xlfn.CEILING.MATH(INDIRECT(ADDRESS(85,22+MATCH($P$27,'I.A. + Fasce'!$W$84:$AA$84,0),1,1) &amp; ":" &amp; ADDRESS(305,22+MATCH($P$27,'I.A. + Fasce'!$W$84:$AA$84,0),1,1))/Asta!$H$3)</f>
        <v>2</v>
      </c>
      <c r="AD132" s="56"/>
      <c r="AE132" s="56">
        <f>'Mia rosa + Org. Finanza'!AH129</f>
        <v>0</v>
      </c>
      <c r="AF132" s="56">
        <f>'Mia rosa + Org. Finanza'!AI129</f>
        <v>0</v>
      </c>
      <c r="AG132" s="56">
        <f>'Mia rosa + Org. Finanza'!AJ129</f>
        <v>0</v>
      </c>
    </row>
    <row r="133" spans="1:33" ht="14.25" customHeight="1">
      <c r="A133" s="238" t="str">
        <f ca="1">IF(Giocatori!G57="","D",Giocatori!G57)</f>
        <v>D</v>
      </c>
      <c r="B133" s="238" t="str">
        <f ca="1">IF(Giocatori!H57="","ZZZ" &amp; ROW(),Giocatori!H57)</f>
        <v>CHIRICHES</v>
      </c>
      <c r="C133" s="238" t="str">
        <f ca="1">IF(Giocatori!I57="","NDR" &amp; ROW(),Giocatori!I57)</f>
        <v>Napoli</v>
      </c>
      <c r="D133" s="63">
        <f t="shared" ca="1" si="44"/>
        <v>69.001329999999996</v>
      </c>
      <c r="E133" s="63">
        <f t="shared" ca="1" si="45"/>
        <v>38.001330000000003</v>
      </c>
      <c r="F133" s="64">
        <f t="shared" ca="1" si="46"/>
        <v>65.536835681407496</v>
      </c>
      <c r="G133" s="63" t="str">
        <f t="shared" ca="1" si="47"/>
        <v/>
      </c>
      <c r="H133" s="65">
        <f t="shared" ca="1" si="48"/>
        <v>60</v>
      </c>
      <c r="I133" s="63" t="str">
        <f t="shared" ca="1" si="49"/>
        <v/>
      </c>
      <c r="J133" s="63">
        <f t="shared" ca="1" si="50"/>
        <v>3.1931949194053222</v>
      </c>
      <c r="K133" s="63">
        <f t="shared" ca="1" si="51"/>
        <v>3.2635955254341948</v>
      </c>
      <c r="L133" s="324" t="e">
        <f ca="1">VLOOKUP(Tabella113[[#This Row],[Calciatore]],'Raccolta Aste'!$F$2:$J$33,4,FALSE)*Asta!$U$3/100</f>
        <v>#N/A</v>
      </c>
      <c r="N133" s="59">
        <f t="shared" si="69"/>
        <v>52</v>
      </c>
      <c r="O133" s="62" t="str">
        <f ca="1">IF(ISNUMBER(N133),INDIRECT("B" &amp; 84 + MATCH(N133,INDIRECT(ADDRESS(85,22+MATCH($P$27,'I.A. + Fasce'!$W$84:$AA$84,0),1,1) &amp; ":" &amp; ADDRESS(305,22+MATCH($P$27,'I.A. + Fasce'!$W$84:$AA$84,0),1,1)),0)),"")</f>
        <v>ROSSETTINI</v>
      </c>
      <c r="P133" s="62" t="str">
        <f t="shared" ca="1" si="71"/>
        <v>Genoa</v>
      </c>
      <c r="Q133" s="59">
        <f t="shared" si="70"/>
        <v>60</v>
      </c>
      <c r="R133" s="62" t="str">
        <f ca="1">IF(ISNUMBER(Q133),INDIRECT("B" &amp; 84 + MATCH(Q133,INDIRECT(ADDRESS(85,22+MATCH($P$27,'I.A. + Fasce'!$W$84:$AA$84,0),1,1) &amp; ":" &amp; ADDRESS(305,22+MATCH($P$27,'I.A. + Fasce'!$W$84:$AA$84,0),1,1)),0)),"")</f>
        <v>PISACANE</v>
      </c>
      <c r="S133" s="62" t="str">
        <f t="shared" ca="1" si="72"/>
        <v>Cagliari</v>
      </c>
      <c r="U133" s="311"/>
      <c r="V133" s="311"/>
      <c r="W133" s="56">
        <f t="shared" ca="1" si="56"/>
        <v>99</v>
      </c>
      <c r="X133" s="56">
        <f t="shared" ca="1" si="57"/>
        <v>81</v>
      </c>
      <c r="Y133" s="56">
        <f t="shared" ca="1" si="58"/>
        <v>83</v>
      </c>
      <c r="Z133" s="56">
        <f t="shared" ca="1" si="59"/>
        <v>60</v>
      </c>
      <c r="AA133" s="56">
        <f t="shared" ca="1" si="60"/>
        <v>57</v>
      </c>
      <c r="AB133" s="56">
        <f ca="1">_xlfn.CEILING.MATH(INDIRECT(ADDRESS(85,22+MATCH($P$27,'I.A. + Fasce'!$W$84:$AA$84,0),1,1) &amp; ":" &amp; ADDRESS(305,22+MATCH($P$27,'I.A. + Fasce'!$W$84:$AA$84,0),1,1))/Asta!$H$3)</f>
        <v>11</v>
      </c>
      <c r="AD133" s="56"/>
      <c r="AE133" s="56">
        <f>'Mia rosa + Org. Finanza'!AH130</f>
        <v>0</v>
      </c>
      <c r="AF133" s="56">
        <f>'Mia rosa + Org. Finanza'!AI130</f>
        <v>0</v>
      </c>
      <c r="AG133" s="56">
        <f>'Mia rosa + Org. Finanza'!AJ130</f>
        <v>0</v>
      </c>
    </row>
    <row r="134" spans="1:33" ht="14.25" customHeight="1">
      <c r="A134" s="238" t="str">
        <f ca="1">IF(Giocatori!G58="","D",Giocatori!G58)</f>
        <v>D</v>
      </c>
      <c r="B134" s="238" t="str">
        <f ca="1">IF(Giocatori!H58="","ZZZ" &amp; ROW(),Giocatori!H58)</f>
        <v>CONTI</v>
      </c>
      <c r="C134" s="238" t="str">
        <f ca="1">IF(Giocatori!I58="","NDR" &amp; ROW(),Giocatori!I58)</f>
        <v>Milan</v>
      </c>
      <c r="D134" s="63">
        <f t="shared" ca="1" si="44"/>
        <v>94.001339999999999</v>
      </c>
      <c r="E134" s="63">
        <f t="shared" ca="1" si="45"/>
        <v>47.001339999999999</v>
      </c>
      <c r="F134" s="64">
        <f t="shared" ca="1" si="46"/>
        <v>88.912063014963337</v>
      </c>
      <c r="G134" s="63" t="str">
        <f t="shared" ca="1" si="47"/>
        <v/>
      </c>
      <c r="H134" s="65">
        <f t="shared" ca="1" si="48"/>
        <v>80</v>
      </c>
      <c r="I134" s="63" t="str">
        <f t="shared" ca="1" si="49"/>
        <v/>
      </c>
      <c r="J134" s="63">
        <f t="shared" ca="1" si="50"/>
        <v>18.303565857624449</v>
      </c>
      <c r="K134" s="63">
        <f t="shared" ca="1" si="51"/>
        <v>18.3325534893286</v>
      </c>
      <c r="L134" s="324">
        <f ca="1">VLOOKUP(Tabella113[[#This Row],[Calciatore]],'Raccolta Aste'!$F$2:$J$33,4,FALSE)*Asta!$U$3/100</f>
        <v>18.934999999999999</v>
      </c>
      <c r="N134" s="59">
        <f t="shared" si="69"/>
        <v>53</v>
      </c>
      <c r="O134" s="62" t="str">
        <f ca="1">IF(ISNUMBER(N134),INDIRECT("B" &amp; 84 + MATCH(N134,INDIRECT(ADDRESS(85,22+MATCH($P$27,'I.A. + Fasce'!$W$84:$AA$84,0),1,1) &amp; ":" &amp; ADDRESS(305,22+MATCH($P$27,'I.A. + Fasce'!$W$84:$AA$84,0),1,1)),0)),"")</f>
        <v>HEURTAUX</v>
      </c>
      <c r="P134" s="62" t="str">
        <f t="shared" ca="1" si="71"/>
        <v>Verona</v>
      </c>
      <c r="Q134" s="59">
        <f t="shared" si="70"/>
        <v>61</v>
      </c>
      <c r="R134" s="62" t="str">
        <f ca="1">IF(ISNUMBER(Q134),INDIRECT("B" &amp; 84 + MATCH(Q134,INDIRECT(ADDRESS(85,22+MATCH($P$27,'I.A. + Fasce'!$W$84:$AA$84,0),1,1) &amp; ":" &amp; ADDRESS(305,22+MATCH($P$27,'I.A. + Fasce'!$W$84:$AA$84,0),1,1)),0)),"")</f>
        <v>PALOMINO</v>
      </c>
      <c r="S134" s="62" t="str">
        <f t="shared" ca="1" si="72"/>
        <v>Atalanta</v>
      </c>
      <c r="U134" s="311"/>
      <c r="V134" s="311"/>
      <c r="W134" s="56">
        <f t="shared" ca="1" si="56"/>
        <v>2</v>
      </c>
      <c r="X134" s="56">
        <f t="shared" ca="1" si="57"/>
        <v>7</v>
      </c>
      <c r="Y134" s="56">
        <f t="shared" ca="1" si="58"/>
        <v>5</v>
      </c>
      <c r="Z134" s="56">
        <f t="shared" ca="1" si="59"/>
        <v>6</v>
      </c>
      <c r="AA134" s="56">
        <f t="shared" ca="1" si="60"/>
        <v>8</v>
      </c>
      <c r="AB134" s="56">
        <f ca="1">_xlfn.CEILING.MATH(INDIRECT(ADDRESS(85,22+MATCH($P$27,'I.A. + Fasce'!$W$84:$AA$84,0),1,1) &amp; ":" &amp; ADDRESS(305,22+MATCH($P$27,'I.A. + Fasce'!$W$84:$AA$84,0),1,1))/Asta!$H$3)</f>
        <v>1</v>
      </c>
      <c r="AD134" s="56"/>
      <c r="AE134" s="56">
        <f>'Mia rosa + Org. Finanza'!AH131</f>
        <v>0</v>
      </c>
      <c r="AF134" s="56">
        <f>'Mia rosa + Org. Finanza'!AI131</f>
        <v>0</v>
      </c>
      <c r="AG134" s="56">
        <f>'Mia rosa + Org. Finanza'!AJ131</f>
        <v>0</v>
      </c>
    </row>
    <row r="135" spans="1:33" ht="14.25" customHeight="1">
      <c r="A135" s="238" t="str">
        <f ca="1">IF(Giocatori!G59="","D",Giocatori!G59)</f>
        <v>D</v>
      </c>
      <c r="B135" s="238" t="str">
        <f ca="1">IF(Giocatori!H59="","ZZZ" &amp; ROW(),Giocatori!H59)</f>
        <v>COSTA</v>
      </c>
      <c r="C135" s="238" t="str">
        <f ca="1">IF(Giocatori!I59="","NDR" &amp; ROW(),Giocatori!I59)</f>
        <v>Benevento</v>
      </c>
      <c r="D135" s="63">
        <f t="shared" ca="1" si="44"/>
        <v>73.001350000000002</v>
      </c>
      <c r="E135" s="63">
        <f t="shared" ca="1" si="45"/>
        <v>35.001350000000002</v>
      </c>
      <c r="F135" s="64">
        <f t="shared" ca="1" si="46"/>
        <v>64.211820848520844</v>
      </c>
      <c r="G135" s="63" t="str">
        <f t="shared" ca="1" si="47"/>
        <v>SCONSIGLIATO</v>
      </c>
      <c r="H135" s="65">
        <f t="shared" ca="1" si="48"/>
        <v>70</v>
      </c>
      <c r="I135" s="63" t="str">
        <f t="shared" ca="1" si="49"/>
        <v/>
      </c>
      <c r="J135" s="63">
        <f t="shared" ca="1" si="50"/>
        <v>1.00135</v>
      </c>
      <c r="K135" s="63">
        <f t="shared" ca="1" si="51"/>
        <v>1.00135</v>
      </c>
      <c r="L135" s="324" t="e">
        <f ca="1">VLOOKUP(Tabella113[[#This Row],[Calciatore]],'Raccolta Aste'!$F$2:$J$33,4,FALSE)*Asta!$U$3/100</f>
        <v>#N/A</v>
      </c>
      <c r="N135" s="59">
        <f t="shared" si="69"/>
        <v>54</v>
      </c>
      <c r="O135" s="62" t="str">
        <f ca="1">IF(ISNUMBER(N135),INDIRECT("B" &amp; 84 + MATCH(N135,INDIRECT(ADDRESS(85,22+MATCH($P$27,'I.A. + Fasce'!$W$84:$AA$84,0),1,1) &amp; ":" &amp; ADDRESS(305,22+MATCH($P$27,'I.A. + Fasce'!$W$84:$AA$84,0),1,1)),0)),"")</f>
        <v>FERRARI G</v>
      </c>
      <c r="P135" s="62" t="str">
        <f t="shared" ca="1" si="71"/>
        <v>Sampdoria</v>
      </c>
      <c r="Q135" s="59">
        <f t="shared" si="70"/>
        <v>62</v>
      </c>
      <c r="R135" s="62" t="str">
        <f ca="1">IF(ISNUMBER(Q135),INDIRECT("B" &amp; 84 + MATCH(Q135,INDIRECT(ADDRESS(85,22+MATCH($P$27,'I.A. + Fasce'!$W$84:$AA$84,0),1,1) &amp; ":" &amp; ADDRESS(305,22+MATCH($P$27,'I.A. + Fasce'!$W$84:$AA$84,0),1,1)),0)),"")</f>
        <v>MARUSIC</v>
      </c>
      <c r="S135" s="62" t="str">
        <f t="shared" ca="1" si="72"/>
        <v>Lazio</v>
      </c>
      <c r="U135" s="311"/>
      <c r="V135" s="311"/>
      <c r="W135" s="56">
        <f t="shared" ca="1" si="56"/>
        <v>70</v>
      </c>
      <c r="X135" s="56">
        <f t="shared" ca="1" si="57"/>
        <v>119</v>
      </c>
      <c r="Y135" s="56">
        <f t="shared" ca="1" si="58"/>
        <v>95</v>
      </c>
      <c r="Z135" s="56">
        <f t="shared" ca="1" si="59"/>
        <v>159</v>
      </c>
      <c r="AA135" s="56">
        <f t="shared" ca="1" si="60"/>
        <v>157</v>
      </c>
      <c r="AB135" s="56">
        <f ca="1">_xlfn.CEILING.MATH(INDIRECT(ADDRESS(85,22+MATCH($P$27,'I.A. + Fasce'!$W$84:$AA$84,0),1,1) &amp; ":" &amp; ADDRESS(305,22+MATCH($P$27,'I.A. + Fasce'!$W$84:$AA$84,0),1,1))/Asta!$H$3)</f>
        <v>15</v>
      </c>
      <c r="AD135" s="56"/>
      <c r="AE135" s="56">
        <f>'Mia rosa + Org. Finanza'!AH132</f>
        <v>0</v>
      </c>
      <c r="AF135" s="56">
        <f>'Mia rosa + Org. Finanza'!AI132</f>
        <v>0</v>
      </c>
      <c r="AG135" s="56">
        <f>'Mia rosa + Org. Finanza'!AJ132</f>
        <v>0</v>
      </c>
    </row>
    <row r="136" spans="1:33" ht="14.25" customHeight="1">
      <c r="A136" s="238" t="str">
        <f ca="1">IF(Giocatori!G60="","D",Giocatori!G60)</f>
        <v>D</v>
      </c>
      <c r="B136" s="238" t="str">
        <f ca="1">IF(Giocatori!H60="","ZZZ" &amp; ROW(),Giocatori!H60)</f>
        <v>COSTA F</v>
      </c>
      <c r="C136" s="238" t="str">
        <f ca="1">IF(Giocatori!I60="","NDR" &amp; ROW(),Giocatori!I60)</f>
        <v>SPAL</v>
      </c>
      <c r="D136" s="63">
        <f t="shared" ca="1" si="44"/>
        <v>70.001360000000005</v>
      </c>
      <c r="E136" s="63">
        <f t="shared" ca="1" si="45"/>
        <v>40.001359999999998</v>
      </c>
      <c r="F136" s="64">
        <f t="shared" ca="1" si="46"/>
        <v>68.336960015413339</v>
      </c>
      <c r="G136" s="63" t="str">
        <f t="shared" ca="1" si="47"/>
        <v/>
      </c>
      <c r="H136" s="65">
        <f t="shared" ca="1" si="48"/>
        <v>70</v>
      </c>
      <c r="I136" s="63" t="str">
        <f t="shared" ca="1" si="49"/>
        <v/>
      </c>
      <c r="J136" s="63">
        <f t="shared" ca="1" si="50"/>
        <v>1.00136</v>
      </c>
      <c r="K136" s="63">
        <f t="shared" ca="1" si="51"/>
        <v>1.00136</v>
      </c>
      <c r="L136" s="324" t="e">
        <f ca="1">VLOOKUP(Tabella113[[#This Row],[Calciatore]],'Raccolta Aste'!$F$2:$J$33,4,FALSE)*Asta!$U$3/100</f>
        <v>#N/A</v>
      </c>
      <c r="N136" s="59">
        <f t="shared" si="69"/>
        <v>55</v>
      </c>
      <c r="O136" s="62" t="str">
        <f ca="1">IF(ISNUMBER(N136),INDIRECT("B" &amp; 84 + MATCH(N136,INDIRECT(ADDRESS(85,22+MATCH($P$27,'I.A. + Fasce'!$W$84:$AA$84,0),1,1) &amp; ":" &amp; ADDRESS(305,22+MATCH($P$27,'I.A. + Fasce'!$W$84:$AA$84,0),1,1)),0)),"")</f>
        <v>D'AMBROSIO</v>
      </c>
      <c r="P136" s="62" t="str">
        <f t="shared" ca="1" si="71"/>
        <v>Inter</v>
      </c>
      <c r="Q136" s="59">
        <f t="shared" si="70"/>
        <v>63</v>
      </c>
      <c r="R136" s="62" t="str">
        <f ca="1">IF(ISNUMBER(Q136),INDIRECT("B" &amp; 84 + MATCH(Q136,INDIRECT(ADDRESS(85,22+MATCH($P$27,'I.A. + Fasce'!$W$84:$AA$84,0),1,1) &amp; ":" &amp; ADDRESS(305,22+MATCH($P$27,'I.A. + Fasce'!$W$84:$AA$84,0),1,1)),0)),"")</f>
        <v>MARTELLA</v>
      </c>
      <c r="S136" s="62" t="str">
        <f t="shared" ca="1" si="72"/>
        <v>Crotone</v>
      </c>
      <c r="U136" s="311"/>
      <c r="V136" s="311"/>
      <c r="W136" s="56">
        <f t="shared" ca="1" si="56"/>
        <v>92</v>
      </c>
      <c r="X136" s="56">
        <f t="shared" ca="1" si="57"/>
        <v>56</v>
      </c>
      <c r="Y136" s="56">
        <f t="shared" ca="1" si="58"/>
        <v>67</v>
      </c>
      <c r="Z136" s="56">
        <f t="shared" ca="1" si="59"/>
        <v>158</v>
      </c>
      <c r="AA136" s="56">
        <f t="shared" ca="1" si="60"/>
        <v>156</v>
      </c>
      <c r="AB136" s="56">
        <f ca="1">_xlfn.CEILING.MATH(INDIRECT(ADDRESS(85,22+MATCH($P$27,'I.A. + Fasce'!$W$84:$AA$84,0),1,1) &amp; ":" &amp; ADDRESS(305,22+MATCH($P$27,'I.A. + Fasce'!$W$84:$AA$84,0),1,1))/Asta!$H$3)</f>
        <v>7</v>
      </c>
      <c r="AD136" s="56"/>
      <c r="AE136" s="56">
        <f>'Mia rosa + Org. Finanza'!AH133</f>
        <v>0</v>
      </c>
      <c r="AF136" s="56">
        <f>'Mia rosa + Org. Finanza'!AI133</f>
        <v>0</v>
      </c>
      <c r="AG136" s="56">
        <f>'Mia rosa + Org. Finanza'!AJ133</f>
        <v>0</v>
      </c>
    </row>
    <row r="137" spans="1:33" ht="14.25" customHeight="1">
      <c r="A137" s="238" t="str">
        <f ca="1">IF(Giocatori!G61="","D",Giocatori!G61)</f>
        <v>D</v>
      </c>
      <c r="B137" s="238" t="str">
        <f ca="1">IF(Giocatori!H61="","ZZZ" &amp; ROW(),Giocatori!H61)</f>
        <v>CREMONESI</v>
      </c>
      <c r="C137" s="238" t="str">
        <f ca="1">IF(Giocatori!I61="","NDR" &amp; ROW(),Giocatori!I61)</f>
        <v>SPAL</v>
      </c>
      <c r="D137" s="63">
        <f t="shared" ca="1" si="44"/>
        <v>59.001370000000001</v>
      </c>
      <c r="E137" s="63">
        <f t="shared" ca="1" si="45"/>
        <v>29.001370000000001</v>
      </c>
      <c r="F137" s="64">
        <f t="shared" ca="1" si="46"/>
        <v>51.011735515640837</v>
      </c>
      <c r="G137" s="63" t="str">
        <f t="shared" ca="1" si="47"/>
        <v/>
      </c>
      <c r="H137" s="65">
        <f t="shared" ca="1" si="48"/>
        <v>50</v>
      </c>
      <c r="I137" s="63" t="str">
        <f t="shared" ca="1" si="49"/>
        <v/>
      </c>
      <c r="J137" s="63">
        <f t="shared" ca="1" si="50"/>
        <v>1.0013700000000001</v>
      </c>
      <c r="K137" s="63">
        <f t="shared" ca="1" si="51"/>
        <v>1.0013700000000001</v>
      </c>
      <c r="L137" s="324" t="e">
        <f ca="1">VLOOKUP(Tabella113[[#This Row],[Calciatore]],'Raccolta Aste'!$F$2:$J$33,4,FALSE)*Asta!$U$3/100</f>
        <v>#N/A</v>
      </c>
      <c r="N137" s="59">
        <f t="shared" si="69"/>
        <v>56</v>
      </c>
      <c r="O137" s="62" t="str">
        <f ca="1">IF(ISNUMBER(N137),INDIRECT("B" &amp; 84 + MATCH(N137,INDIRECT(ADDRESS(85,22+MATCH($P$27,'I.A. + Fasce'!$W$84:$AA$84,0),1,1) &amp; ":" &amp; ADDRESS(305,22+MATCH($P$27,'I.A. + Fasce'!$W$84:$AA$84,0),1,1)),0)),"")</f>
        <v>COSTA F</v>
      </c>
      <c r="P137" s="62" t="str">
        <f t="shared" ca="1" si="71"/>
        <v>SPAL</v>
      </c>
      <c r="Q137" s="59">
        <f t="shared" si="70"/>
        <v>64</v>
      </c>
      <c r="R137" s="62" t="str">
        <f ca="1">IF(ISNUMBER(Q137),INDIRECT("B" &amp; 84 + MATCH(Q137,INDIRECT(ADDRESS(85,22+MATCH($P$27,'I.A. + Fasce'!$W$84:$AA$84,0),1,1) &amp; ":" &amp; ADDRESS(305,22+MATCH($P$27,'I.A. + Fasce'!$W$84:$AA$84,0),1,1)),0)),"")</f>
        <v>MARIO RUI</v>
      </c>
      <c r="S137" s="62" t="str">
        <f t="shared" ca="1" si="72"/>
        <v>Napoli</v>
      </c>
      <c r="U137" s="311"/>
      <c r="V137" s="311"/>
      <c r="W137" s="56">
        <f t="shared" ca="1" si="56"/>
        <v>161</v>
      </c>
      <c r="X137" s="56">
        <f t="shared" ca="1" si="57"/>
        <v>170</v>
      </c>
      <c r="Y137" s="56">
        <f t="shared" ca="1" si="58"/>
        <v>168</v>
      </c>
      <c r="Z137" s="56">
        <f t="shared" ca="1" si="59"/>
        <v>157</v>
      </c>
      <c r="AA137" s="56">
        <f t="shared" ca="1" si="60"/>
        <v>155</v>
      </c>
      <c r="AB137" s="56">
        <f ca="1">_xlfn.CEILING.MATH(INDIRECT(ADDRESS(85,22+MATCH($P$27,'I.A. + Fasce'!$W$84:$AA$84,0),1,1) &amp; ":" &amp; ADDRESS(305,22+MATCH($P$27,'I.A. + Fasce'!$W$84:$AA$84,0),1,1))/Asta!$H$3)</f>
        <v>22</v>
      </c>
      <c r="AD137" s="56"/>
      <c r="AE137" s="56">
        <f>'Mia rosa + Org. Finanza'!AH134</f>
        <v>0</v>
      </c>
      <c r="AF137" s="56">
        <f>'Mia rosa + Org. Finanza'!AI134</f>
        <v>0</v>
      </c>
      <c r="AG137" s="56">
        <f>'Mia rosa + Org. Finanza'!AJ134</f>
        <v>0</v>
      </c>
    </row>
    <row r="138" spans="1:33" ht="14.25" customHeight="1">
      <c r="A138" s="238" t="str">
        <f ca="1">IF(Giocatori!G62="","D",Giocatori!G62)</f>
        <v>D</v>
      </c>
      <c r="B138" s="238" t="str">
        <f ca="1">IF(Giocatori!H62="","ZZZ" &amp; ROW(),Giocatori!H62)</f>
        <v>DAINELLI</v>
      </c>
      <c r="C138" s="238" t="str">
        <f ca="1">IF(Giocatori!I62="","NDR" &amp; ROW(),Giocatori!I62)</f>
        <v>Chievo</v>
      </c>
      <c r="D138" s="63">
        <f t="shared" ca="1" si="44"/>
        <v>72.001379999999997</v>
      </c>
      <c r="E138" s="63">
        <f t="shared" ca="1" si="45"/>
        <v>32.001379999999997</v>
      </c>
      <c r="F138" s="64">
        <f t="shared" ca="1" si="46"/>
        <v>60.53682934920333</v>
      </c>
      <c r="G138" s="63" t="str">
        <f t="shared" ca="1" si="47"/>
        <v/>
      </c>
      <c r="H138" s="65">
        <f t="shared" ca="1" si="48"/>
        <v>60</v>
      </c>
      <c r="I138" s="63" t="str">
        <f t="shared" ca="1" si="49"/>
        <v/>
      </c>
      <c r="J138" s="63">
        <f t="shared" ca="1" si="50"/>
        <v>1.0013799999999999</v>
      </c>
      <c r="K138" s="63">
        <f t="shared" ca="1" si="51"/>
        <v>1.0013799999999999</v>
      </c>
      <c r="L138" s="324" t="e">
        <f ca="1">VLOOKUP(Tabella113[[#This Row],[Calciatore]],'Raccolta Aste'!$F$2:$J$33,4,FALSE)*Asta!$U$3/100</f>
        <v>#N/A</v>
      </c>
      <c r="N138" s="59" t="str">
        <f t="shared" si="69"/>
        <v/>
      </c>
      <c r="O138" s="62" t="str">
        <f ca="1">IF(ISNUMBER(N138),INDIRECT("B" &amp; 84 + MATCH(N138,INDIRECT(ADDRESS(85,22+MATCH($P$27,'I.A. + Fasce'!$W$84:$AA$84,0),1,1) &amp; ":" &amp; ADDRESS(305,22+MATCH($P$27,'I.A. + Fasce'!$W$84:$AA$84,0),1,1)),0)),"")</f>
        <v/>
      </c>
      <c r="P138" s="62" t="str">
        <f t="shared" ca="1" si="71"/>
        <v/>
      </c>
      <c r="Q138" s="59" t="str">
        <f t="shared" si="70"/>
        <v/>
      </c>
      <c r="R138" s="62" t="str">
        <f ca="1">IF(ISNUMBER(Q138),INDIRECT("B" &amp; 84 + MATCH(Q138,INDIRECT(ADDRESS(85,22+MATCH($P$27,'I.A. + Fasce'!$W$84:$AA$84,0),1,1) &amp; ":" &amp; ADDRESS(305,22+MATCH($P$27,'I.A. + Fasce'!$W$84:$AA$84,0),1,1)),0)),"")</f>
        <v/>
      </c>
      <c r="S138" s="62" t="str">
        <f t="shared" ca="1" si="72"/>
        <v/>
      </c>
      <c r="U138" s="311"/>
      <c r="V138" s="311"/>
      <c r="W138" s="56">
        <f t="shared" ca="1" si="56"/>
        <v>73</v>
      </c>
      <c r="X138" s="56">
        <f t="shared" ca="1" si="57"/>
        <v>154</v>
      </c>
      <c r="Y138" s="56">
        <f t="shared" ca="1" si="58"/>
        <v>124</v>
      </c>
      <c r="Z138" s="56">
        <f t="shared" ca="1" si="59"/>
        <v>156</v>
      </c>
      <c r="AA138" s="56">
        <f t="shared" ca="1" si="60"/>
        <v>154</v>
      </c>
      <c r="AB138" s="56">
        <f ca="1">_xlfn.CEILING.MATH(INDIRECT(ADDRESS(85,22+MATCH($P$27,'I.A. + Fasce'!$W$84:$AA$84,0),1,1) &amp; ":" &amp; ADDRESS(305,22+MATCH($P$27,'I.A. + Fasce'!$W$84:$AA$84,0),1,1))/Asta!$H$3)</f>
        <v>20</v>
      </c>
      <c r="AD138" s="56"/>
      <c r="AE138" s="56">
        <f>'Mia rosa + Org. Finanza'!AH135</f>
        <v>0</v>
      </c>
      <c r="AF138" s="56">
        <f>'Mia rosa + Org. Finanza'!AI135</f>
        <v>0</v>
      </c>
      <c r="AG138" s="56">
        <f>'Mia rosa + Org. Finanza'!AJ135</f>
        <v>0</v>
      </c>
    </row>
    <row r="139" spans="1:33" ht="14.25" customHeight="1">
      <c r="A139" s="238" t="str">
        <f ca="1">IF(Giocatori!G63="","D",Giocatori!G63)</f>
        <v>D</v>
      </c>
      <c r="B139" s="238" t="str">
        <f ca="1">IF(Giocatori!H63="","ZZZ" &amp; ROW(),Giocatori!H63)</f>
        <v>DALBERT</v>
      </c>
      <c r="C139" s="238" t="str">
        <f ca="1">IF(Giocatori!I63="","NDR" &amp; ROW(),Giocatori!I63)</f>
        <v>Inter</v>
      </c>
      <c r="D139" s="63">
        <f t="shared" ca="1" si="44"/>
        <v>80.001390000000001</v>
      </c>
      <c r="E139" s="63">
        <f t="shared" ca="1" si="45"/>
        <v>41.001390000000001</v>
      </c>
      <c r="F139" s="64">
        <f t="shared" ca="1" si="46"/>
        <v>74.512063182767491</v>
      </c>
      <c r="G139" s="63" t="str">
        <f t="shared" ca="1" si="47"/>
        <v/>
      </c>
      <c r="H139" s="65">
        <f t="shared" ca="1" si="48"/>
        <v>80</v>
      </c>
      <c r="I139" s="63" t="str">
        <f t="shared" ca="1" si="49"/>
        <v/>
      </c>
      <c r="J139" s="63">
        <f t="shared" ca="1" si="50"/>
        <v>6.0460310866547813</v>
      </c>
      <c r="K139" s="63">
        <f t="shared" ca="1" si="51"/>
        <v>5.2399007170739891</v>
      </c>
      <c r="L139" s="324" t="e">
        <f ca="1">VLOOKUP(Tabella113[[#This Row],[Calciatore]],'Raccolta Aste'!$F$2:$J$33,4,FALSE)*Asta!$U$3/100</f>
        <v>#N/A</v>
      </c>
      <c r="N139" s="59" t="str">
        <f t="shared" si="69"/>
        <v/>
      </c>
      <c r="O139" s="62" t="str">
        <f ca="1">IF(ISNUMBER(N139),INDIRECT("B" &amp; 84 + MATCH(N139,INDIRECT(ADDRESS(85,22+MATCH($P$27,'I.A. + Fasce'!$W$84:$AA$84,0),1,1) &amp; ":" &amp; ADDRESS(305,22+MATCH($P$27,'I.A. + Fasce'!$W$84:$AA$84,0),1,1)),0)),"")</f>
        <v/>
      </c>
      <c r="P139" s="62" t="str">
        <f t="shared" ca="1" si="71"/>
        <v/>
      </c>
      <c r="Q139" s="59" t="str">
        <f t="shared" si="70"/>
        <v/>
      </c>
      <c r="R139" s="62" t="str">
        <f ca="1">IF(ISNUMBER(Q139),INDIRECT("B" &amp; 84 + MATCH(Q139,INDIRECT(ADDRESS(85,22+MATCH($P$27,'I.A. + Fasce'!$W$84:$AA$84,0),1,1) &amp; ":" &amp; ADDRESS(305,22+MATCH($P$27,'I.A. + Fasce'!$W$84:$AA$84,0),1,1)),0)),"")</f>
        <v/>
      </c>
      <c r="S139" s="62" t="str">
        <f t="shared" ca="1" si="72"/>
        <v/>
      </c>
      <c r="U139" s="311"/>
      <c r="V139" s="311"/>
      <c r="W139" s="56">
        <f t="shared" ca="1" si="56"/>
        <v>25</v>
      </c>
      <c r="X139" s="56">
        <f t="shared" ca="1" si="57"/>
        <v>44</v>
      </c>
      <c r="Y139" s="56">
        <f t="shared" ca="1" si="58"/>
        <v>27</v>
      </c>
      <c r="Z139" s="56">
        <f t="shared" ca="1" si="59"/>
        <v>43</v>
      </c>
      <c r="AA139" s="56">
        <f t="shared" ca="1" si="60"/>
        <v>44</v>
      </c>
      <c r="AB139" s="56">
        <f ca="1">_xlfn.CEILING.MATH(INDIRECT(ADDRESS(85,22+MATCH($P$27,'I.A. + Fasce'!$W$84:$AA$84,0),1,1) &amp; ":" &amp; ADDRESS(305,22+MATCH($P$27,'I.A. + Fasce'!$W$84:$AA$84,0),1,1))/Asta!$H$3)</f>
        <v>6</v>
      </c>
      <c r="AD139" s="56"/>
      <c r="AE139" s="56">
        <f>'Mia rosa + Org. Finanza'!AH136</f>
        <v>0</v>
      </c>
      <c r="AF139" s="56">
        <f>'Mia rosa + Org. Finanza'!AI136</f>
        <v>0</v>
      </c>
      <c r="AG139" s="56">
        <f>'Mia rosa + Org. Finanza'!AJ136</f>
        <v>0</v>
      </c>
    </row>
    <row r="140" spans="1:33" ht="14.25" customHeight="1">
      <c r="A140" s="238" t="str">
        <f ca="1">IF(Giocatori!G64="","D",Giocatori!G64)</f>
        <v>D</v>
      </c>
      <c r="B140" s="238" t="str">
        <f ca="1">IF(Giocatori!H64="","ZZZ" &amp; ROW(),Giocatori!H64)</f>
        <v>D'AMBROSIO</v>
      </c>
      <c r="C140" s="238" t="str">
        <f ca="1">IF(Giocatori!I64="","NDR" &amp; ROW(),Giocatori!I64)</f>
        <v>Inter</v>
      </c>
      <c r="D140" s="63">
        <f t="shared" ca="1" si="44"/>
        <v>76.001400000000004</v>
      </c>
      <c r="E140" s="63">
        <f t="shared" ca="1" si="45"/>
        <v>40.001399999999997</v>
      </c>
      <c r="F140" s="64">
        <f t="shared" ca="1" si="46"/>
        <v>71.337066683000003</v>
      </c>
      <c r="G140" s="63" t="str">
        <f t="shared" ca="1" si="47"/>
        <v/>
      </c>
      <c r="H140" s="65">
        <f t="shared" ca="1" si="48"/>
        <v>80</v>
      </c>
      <c r="I140" s="63" t="str">
        <f t="shared" ca="1" si="49"/>
        <v/>
      </c>
      <c r="J140" s="63">
        <f t="shared" ca="1" si="50"/>
        <v>4.3936268490977568</v>
      </c>
      <c r="K140" s="63">
        <f t="shared" ca="1" si="51"/>
        <v>3.567896176802829</v>
      </c>
      <c r="L140" s="324" t="e">
        <f ca="1">VLOOKUP(Tabella113[[#This Row],[Calciatore]],'Raccolta Aste'!$F$2:$J$33,4,FALSE)*Asta!$U$3/100</f>
        <v>#N/A</v>
      </c>
      <c r="N140" s="59" t="str">
        <f t="shared" si="69"/>
        <v/>
      </c>
      <c r="O140" s="62" t="str">
        <f ca="1">IF(ISNUMBER(N140),INDIRECT("B" &amp; 84 + MATCH(N140,INDIRECT(ADDRESS(85,22+MATCH($P$27,'I.A. + Fasce'!$W$84:$AA$84,0),1,1) &amp; ":" &amp; ADDRESS(305,22+MATCH($P$27,'I.A. + Fasce'!$W$84:$AA$84,0),1,1)),0)),"")</f>
        <v/>
      </c>
      <c r="P140" s="62" t="str">
        <f t="shared" ca="1" si="71"/>
        <v/>
      </c>
      <c r="Q140" s="59" t="str">
        <f t="shared" si="70"/>
        <v/>
      </c>
      <c r="R140" s="62" t="str">
        <f ca="1">IF(ISNUMBER(Q140),INDIRECT("B" &amp; 84 + MATCH(Q140,INDIRECT(ADDRESS(85,22+MATCH($P$27,'I.A. + Fasce'!$W$84:$AA$84,0),1,1) &amp; ":" &amp; ADDRESS(305,22+MATCH($P$27,'I.A. + Fasce'!$W$84:$AA$84,0),1,1)),0)),"")</f>
        <v/>
      </c>
      <c r="S140" s="62" t="str">
        <f t="shared" ca="1" si="72"/>
        <v/>
      </c>
      <c r="U140" s="311"/>
      <c r="V140" s="311"/>
      <c r="W140" s="56">
        <f t="shared" ca="1" si="56"/>
        <v>43</v>
      </c>
      <c r="X140" s="56">
        <f t="shared" ca="1" si="57"/>
        <v>55</v>
      </c>
      <c r="Y140" s="56">
        <f t="shared" ca="1" si="58"/>
        <v>45</v>
      </c>
      <c r="Z140" s="56">
        <f t="shared" ca="1" si="59"/>
        <v>51</v>
      </c>
      <c r="AA140" s="56">
        <f t="shared" ca="1" si="60"/>
        <v>54</v>
      </c>
      <c r="AB140" s="56">
        <f ca="1">_xlfn.CEILING.MATH(INDIRECT(ADDRESS(85,22+MATCH($P$27,'I.A. + Fasce'!$W$84:$AA$84,0),1,1) &amp; ":" &amp; ADDRESS(305,22+MATCH($P$27,'I.A. + Fasce'!$W$84:$AA$84,0),1,1))/Asta!$H$3)</f>
        <v>7</v>
      </c>
      <c r="AD140" s="56"/>
      <c r="AE140" s="56">
        <f>'Mia rosa + Org. Finanza'!AH137</f>
        <v>0</v>
      </c>
      <c r="AF140" s="56">
        <f>'Mia rosa + Org. Finanza'!AI137</f>
        <v>0</v>
      </c>
      <c r="AG140" s="56">
        <f>'Mia rosa + Org. Finanza'!AJ137</f>
        <v>0</v>
      </c>
    </row>
    <row r="141" spans="1:33" ht="14.25" customHeight="1">
      <c r="A141" s="238" t="str">
        <f ca="1">IF(Giocatori!G65="","D",Giocatori!G65)</f>
        <v>D</v>
      </c>
      <c r="B141" s="238" t="str">
        <f ca="1">IF(Giocatori!H65="","ZZZ" &amp; ROW(),Giocatori!H65)</f>
        <v>DANILO</v>
      </c>
      <c r="C141" s="238" t="str">
        <f ca="1">IF(Giocatori!I65="","NDR" &amp; ROW(),Giocatori!I65)</f>
        <v>Udinese</v>
      </c>
      <c r="D141" s="63">
        <f t="shared" ca="1" si="44"/>
        <v>74.001410000000007</v>
      </c>
      <c r="E141" s="63">
        <f t="shared" ca="1" si="45"/>
        <v>41.00141</v>
      </c>
      <c r="F141" s="64">
        <f t="shared" ca="1" si="46"/>
        <v>71.512116849900835</v>
      </c>
      <c r="G141" s="63" t="str">
        <f t="shared" ca="1" si="47"/>
        <v/>
      </c>
      <c r="H141" s="65">
        <f t="shared" ca="1" si="48"/>
        <v>100</v>
      </c>
      <c r="I141" s="63" t="str">
        <f t="shared" ca="1" si="49"/>
        <v/>
      </c>
      <c r="J141" s="63">
        <f t="shared" ca="1" si="50"/>
        <v>7.2335882669046221</v>
      </c>
      <c r="K141" s="63">
        <f t="shared" ca="1" si="51"/>
        <v>5.7518207660792235</v>
      </c>
      <c r="L141" s="324" t="e">
        <f ca="1">VLOOKUP(Tabella113[[#This Row],[Calciatore]],'Raccolta Aste'!$F$2:$J$33,4,FALSE)*Asta!$U$3/100</f>
        <v>#N/A</v>
      </c>
      <c r="N141" s="59" t="str">
        <f t="shared" si="69"/>
        <v/>
      </c>
      <c r="O141" s="62" t="str">
        <f ca="1">IF(ISNUMBER(N141),INDIRECT("B" &amp; 84 + MATCH(N141,INDIRECT(ADDRESS(85,22+MATCH($P$27,'I.A. + Fasce'!$W$84:$AA$84,0),1,1) &amp; ":" &amp; ADDRESS(305,22+MATCH($P$27,'I.A. + Fasce'!$W$84:$AA$84,0),1,1)),0)),"")</f>
        <v/>
      </c>
      <c r="P141" s="62" t="str">
        <f t="shared" ca="1" si="71"/>
        <v/>
      </c>
      <c r="Q141" s="59" t="str">
        <f t="shared" si="70"/>
        <v/>
      </c>
      <c r="R141" s="62" t="str">
        <f ca="1">IF(ISNUMBER(Q141),INDIRECT("B" &amp; 84 + MATCH(Q141,INDIRECT(ADDRESS(85,22+MATCH($P$27,'I.A. + Fasce'!$W$84:$AA$84,0),1,1) &amp; ":" &amp; ADDRESS(305,22+MATCH($P$27,'I.A. + Fasce'!$W$84:$AA$84,0),1,1)),0)),"")</f>
        <v/>
      </c>
      <c r="S141" s="62" t="str">
        <f t="shared" ca="1" si="72"/>
        <v/>
      </c>
      <c r="U141" s="311"/>
      <c r="V141" s="311"/>
      <c r="W141" s="56">
        <f t="shared" ca="1" si="56"/>
        <v>59</v>
      </c>
      <c r="X141" s="56">
        <f t="shared" ca="1" si="57"/>
        <v>43</v>
      </c>
      <c r="Y141" s="56">
        <f t="shared" ca="1" si="58"/>
        <v>40</v>
      </c>
      <c r="Z141" s="56">
        <f t="shared" ca="1" si="59"/>
        <v>36</v>
      </c>
      <c r="AA141" s="56">
        <f t="shared" ca="1" si="60"/>
        <v>41</v>
      </c>
      <c r="AB141" s="56">
        <f ca="1">_xlfn.CEILING.MATH(INDIRECT(ADDRESS(85,22+MATCH($P$27,'I.A. + Fasce'!$W$84:$AA$84,0),1,1) &amp; ":" &amp; ADDRESS(305,22+MATCH($P$27,'I.A. + Fasce'!$W$84:$AA$84,0),1,1))/Asta!$H$3)</f>
        <v>6</v>
      </c>
      <c r="AD141" s="56"/>
      <c r="AE141" s="56">
        <f>'Mia rosa + Org. Finanza'!AH138</f>
        <v>0</v>
      </c>
      <c r="AF141" s="56">
        <f>'Mia rosa + Org. Finanza'!AI138</f>
        <v>0</v>
      </c>
      <c r="AG141" s="56">
        <f>'Mia rosa + Org. Finanza'!AJ138</f>
        <v>0</v>
      </c>
    </row>
    <row r="142" spans="1:33" ht="14.25" customHeight="1">
      <c r="A142" s="238" t="str">
        <f ca="1">IF(Giocatori!G66="","D",Giocatori!G66)</f>
        <v>D</v>
      </c>
      <c r="B142" s="238" t="str">
        <f ca="1">IF(Giocatori!H66="","ZZZ" &amp; ROW(),Giocatori!H66)</f>
        <v>DE MAIO</v>
      </c>
      <c r="C142" s="238" t="str">
        <f ca="1">IF(Giocatori!I66="","NDR" &amp; ROW(),Giocatori!I66)</f>
        <v>Bologna</v>
      </c>
      <c r="D142" s="63">
        <f t="shared" ca="1" si="44"/>
        <v>74.001419999999996</v>
      </c>
      <c r="E142" s="63">
        <f t="shared" ca="1" si="45"/>
        <v>37.001420000000003</v>
      </c>
      <c r="F142" s="64">
        <f t="shared" ca="1" si="46"/>
        <v>66.912049016803337</v>
      </c>
      <c r="G142" s="63" t="str">
        <f t="shared" ca="1" si="47"/>
        <v/>
      </c>
      <c r="H142" s="65">
        <f t="shared" ca="1" si="48"/>
        <v>70</v>
      </c>
      <c r="I142" s="63" t="str">
        <f t="shared" ca="1" si="49"/>
        <v/>
      </c>
      <c r="J142" s="63">
        <f t="shared" ca="1" si="50"/>
        <v>1.00142</v>
      </c>
      <c r="K142" s="63">
        <f t="shared" ca="1" si="51"/>
        <v>1.00142</v>
      </c>
      <c r="L142" s="324" t="e">
        <f ca="1">VLOOKUP(Tabella113[[#This Row],[Calciatore]],'Raccolta Aste'!$F$2:$J$33,4,FALSE)*Asta!$U$3/100</f>
        <v>#N/A</v>
      </c>
      <c r="N142"/>
      <c r="O142"/>
      <c r="P142"/>
      <c r="Q142"/>
      <c r="R142"/>
      <c r="S142"/>
      <c r="U142" s="311"/>
      <c r="V142" s="311"/>
      <c r="W142" s="56">
        <f t="shared" ca="1" si="56"/>
        <v>58</v>
      </c>
      <c r="X142" s="56">
        <f t="shared" ca="1" si="57"/>
        <v>96</v>
      </c>
      <c r="Y142" s="56">
        <f t="shared" ca="1" si="58"/>
        <v>76</v>
      </c>
      <c r="Z142" s="56">
        <f t="shared" ca="1" si="59"/>
        <v>155</v>
      </c>
      <c r="AA142" s="56">
        <f t="shared" ca="1" si="60"/>
        <v>153</v>
      </c>
      <c r="AB142" s="56">
        <f ca="1">_xlfn.CEILING.MATH(INDIRECT(ADDRESS(85,22+MATCH($P$27,'I.A. + Fasce'!$W$84:$AA$84,0),1,1) &amp; ":" &amp; ADDRESS(305,22+MATCH($P$27,'I.A. + Fasce'!$W$84:$AA$84,0),1,1))/Asta!$H$3)</f>
        <v>12</v>
      </c>
      <c r="AD142" s="56"/>
      <c r="AE142" s="56">
        <f>'Mia rosa + Org. Finanza'!AH139</f>
        <v>0</v>
      </c>
      <c r="AF142" s="56">
        <f>'Mia rosa + Org. Finanza'!AI139</f>
        <v>0</v>
      </c>
      <c r="AG142" s="56">
        <f>'Mia rosa + Org. Finanza'!AJ139</f>
        <v>0</v>
      </c>
    </row>
    <row r="143" spans="1:33" ht="14.25" customHeight="1">
      <c r="A143" s="238" t="str">
        <f ca="1">IF(Giocatori!G67="","D",Giocatori!G67)</f>
        <v>D</v>
      </c>
      <c r="B143" s="238" t="str">
        <f ca="1">IF(Giocatori!H67="","ZZZ" &amp; ROW(),Giocatori!H67)</f>
        <v>DE SCIGLIO</v>
      </c>
      <c r="C143" s="238" t="str">
        <f ca="1">IF(Giocatori!I67="","NDR" &amp; ROW(),Giocatori!I67)</f>
        <v>Juventus</v>
      </c>
      <c r="D143" s="63">
        <f t="shared" ca="1" si="44"/>
        <v>77.001429999999999</v>
      </c>
      <c r="E143" s="63">
        <f t="shared" ca="1" si="45"/>
        <v>38.001429999999999</v>
      </c>
      <c r="F143" s="64">
        <f t="shared" ca="1" si="46"/>
        <v>69.537099017040831</v>
      </c>
      <c r="G143" s="63" t="str">
        <f t="shared" ca="1" si="47"/>
        <v>SCONSIGLIATO</v>
      </c>
      <c r="H143" s="65">
        <f t="shared" ca="1" si="48"/>
        <v>60</v>
      </c>
      <c r="I143" s="63" t="str">
        <f t="shared" ca="1" si="49"/>
        <v/>
      </c>
      <c r="J143" s="63">
        <f t="shared" ca="1" si="50"/>
        <v>1.00143</v>
      </c>
      <c r="K143" s="63">
        <f t="shared" ca="1" si="51"/>
        <v>8.2574171940862691</v>
      </c>
      <c r="L143" s="324">
        <f ca="1">VLOOKUP(Tabella113[[#This Row],[Calciatore]],'Raccolta Aste'!$F$2:$J$33,4,FALSE)*Asta!$U$3/100</f>
        <v>0</v>
      </c>
      <c r="N143" s="58"/>
      <c r="O143" s="59" t="s">
        <v>709</v>
      </c>
      <c r="P143" s="59" t="s">
        <v>637</v>
      </c>
      <c r="Q143" s="58"/>
      <c r="R143" s="59" t="s">
        <v>710</v>
      </c>
      <c r="S143" s="59" t="s">
        <v>637</v>
      </c>
      <c r="U143" s="311"/>
      <c r="V143" s="311"/>
      <c r="W143" s="56">
        <f t="shared" ca="1" si="56"/>
        <v>34</v>
      </c>
      <c r="X143" s="56">
        <f t="shared" ca="1" si="57"/>
        <v>80</v>
      </c>
      <c r="Y143" s="56">
        <f t="shared" ca="1" si="58"/>
        <v>53</v>
      </c>
      <c r="Z143" s="56">
        <f t="shared" ca="1" si="59"/>
        <v>154</v>
      </c>
      <c r="AA143" s="56">
        <f t="shared" ca="1" si="60"/>
        <v>28</v>
      </c>
      <c r="AB143" s="56">
        <f ca="1">_xlfn.CEILING.MATH(INDIRECT(ADDRESS(85,22+MATCH($P$27,'I.A. + Fasce'!$W$84:$AA$84,0),1,1) &amp; ":" &amp; ADDRESS(305,22+MATCH($P$27,'I.A. + Fasce'!$W$84:$AA$84,0),1,1))/Asta!$H$3)</f>
        <v>10</v>
      </c>
      <c r="AD143" s="56"/>
      <c r="AE143" s="56">
        <f>'Mia rosa + Org. Finanza'!AH140</f>
        <v>0</v>
      </c>
      <c r="AF143" s="56">
        <f>'Mia rosa + Org. Finanza'!AI140</f>
        <v>0</v>
      </c>
      <c r="AG143" s="56">
        <f>'Mia rosa + Org. Finanza'!AJ140</f>
        <v>0</v>
      </c>
    </row>
    <row r="144" spans="1:33" ht="14.25" customHeight="1">
      <c r="A144" s="238" t="str">
        <f ca="1">IF(Giocatori!G68="","D",Giocatori!G68)</f>
        <v>D</v>
      </c>
      <c r="B144" s="238" t="str">
        <f ca="1">IF(Giocatori!H68="","ZZZ" &amp; ROW(),Giocatori!H68)</f>
        <v>DE SILVESTRI</v>
      </c>
      <c r="C144" s="238" t="str">
        <f ca="1">IF(Giocatori!I68="","NDR" &amp; ROW(),Giocatori!I68)</f>
        <v>Torino</v>
      </c>
      <c r="D144" s="63">
        <f t="shared" ca="1" si="44"/>
        <v>75.001440000000002</v>
      </c>
      <c r="E144" s="63">
        <f t="shared" ca="1" si="45"/>
        <v>38.001440000000002</v>
      </c>
      <c r="F144" s="64">
        <f t="shared" ca="1" si="46"/>
        <v>68.537125350613337</v>
      </c>
      <c r="G144" s="63" t="str">
        <f t="shared" ca="1" si="47"/>
        <v/>
      </c>
      <c r="H144" s="65">
        <f t="shared" ca="1" si="48"/>
        <v>70</v>
      </c>
      <c r="I144" s="63" t="str">
        <f t="shared" ca="1" si="49"/>
        <v/>
      </c>
      <c r="J144" s="63">
        <f t="shared" ca="1" si="50"/>
        <v>1.0014400000000001</v>
      </c>
      <c r="K144" s="63">
        <f t="shared" ca="1" si="51"/>
        <v>1.0014400000000001</v>
      </c>
      <c r="L144" s="324" t="e">
        <f ca="1">VLOOKUP(Tabella113[[#This Row],[Calciatore]],'Raccolta Aste'!$F$2:$J$33,4,FALSE)*Asta!$U$3/100</f>
        <v>#N/A</v>
      </c>
      <c r="N144" s="60"/>
      <c r="O144" s="61"/>
      <c r="P144" s="61"/>
      <c r="Q144" s="60"/>
      <c r="R144" s="61"/>
      <c r="S144" s="61"/>
      <c r="U144" s="311"/>
      <c r="V144" s="311"/>
      <c r="W144" s="56">
        <f t="shared" ca="1" si="56"/>
        <v>49</v>
      </c>
      <c r="X144" s="56">
        <f t="shared" ca="1" si="57"/>
        <v>79</v>
      </c>
      <c r="Y144" s="56">
        <f t="shared" ca="1" si="58"/>
        <v>65</v>
      </c>
      <c r="Z144" s="56">
        <f t="shared" ca="1" si="59"/>
        <v>153</v>
      </c>
      <c r="AA144" s="56">
        <f t="shared" ca="1" si="60"/>
        <v>152</v>
      </c>
      <c r="AB144" s="56">
        <f ca="1">_xlfn.CEILING.MATH(INDIRECT(ADDRESS(85,22+MATCH($P$27,'I.A. + Fasce'!$W$84:$AA$84,0),1,1) &amp; ":" &amp; ADDRESS(305,22+MATCH($P$27,'I.A. + Fasce'!$W$84:$AA$84,0),1,1))/Asta!$H$3)</f>
        <v>10</v>
      </c>
      <c r="AD144" s="56"/>
      <c r="AE144" s="56">
        <f>'Mia rosa + Org. Finanza'!AH141</f>
        <v>0</v>
      </c>
      <c r="AF144" s="56">
        <f>'Mia rosa + Org. Finanza'!AI141</f>
        <v>0</v>
      </c>
      <c r="AG144" s="56">
        <f>'Mia rosa + Org. Finanza'!AJ141</f>
        <v>0</v>
      </c>
    </row>
    <row r="145" spans="1:33" ht="14.25" customHeight="1">
      <c r="A145" s="238" t="str">
        <f ca="1">IF(Giocatori!G69="","D",Giocatori!G69)</f>
        <v>D</v>
      </c>
      <c r="B145" s="238" t="str">
        <f ca="1">IF(Giocatori!H69="","ZZZ" &amp; ROW(),Giocatori!H69)</f>
        <v>DE VRIJ</v>
      </c>
      <c r="C145" s="238" t="str">
        <f ca="1">IF(Giocatori!I69="","NDR" &amp; ROW(),Giocatori!I69)</f>
        <v>Lazio</v>
      </c>
      <c r="D145" s="63">
        <f t="shared" ca="1" si="44"/>
        <v>90.001450000000006</v>
      </c>
      <c r="E145" s="63">
        <f t="shared" ca="1" si="45"/>
        <v>44.001449999999998</v>
      </c>
      <c r="F145" s="64">
        <f t="shared" ca="1" si="46"/>
        <v>83.13729668418749</v>
      </c>
      <c r="G145" s="63" t="str">
        <f t="shared" ca="1" si="47"/>
        <v>CONSIGLIATO</v>
      </c>
      <c r="H145" s="65">
        <f t="shared" ca="1" si="48"/>
        <v>90</v>
      </c>
      <c r="I145" s="63" t="str">
        <f t="shared" ca="1" si="49"/>
        <v/>
      </c>
      <c r="J145" s="63">
        <f t="shared" ca="1" si="50"/>
        <v>12.253519322944578</v>
      </c>
      <c r="K145" s="63">
        <f t="shared" ca="1" si="51"/>
        <v>12.339720950888726</v>
      </c>
      <c r="L145" s="324">
        <f ca="1">VLOOKUP(Tabella113[[#This Row],[Calciatore]],'Raccolta Aste'!$F$2:$J$33,4,FALSE)*Asta!$U$3/100</f>
        <v>13.615</v>
      </c>
      <c r="N145" s="59">
        <f t="shared" ref="N145:N156" si="73">IF(ISNUMBER(Q130),Q130+COUNTIF($N$34:$N$45,"&gt;0"),"")</f>
        <v>65</v>
      </c>
      <c r="O145" s="62" t="str">
        <f ca="1">IF(ISNUMBER(N145),INDIRECT("B" &amp; 84 + MATCH(N145,INDIRECT(ADDRESS(85,22+MATCH($P$27,'I.A. + Fasce'!$W$84:$AA$84,0),1,1) &amp; ":" &amp; ADDRESS(305,22+MATCH($P$27,'I.A. + Fasce'!$W$84:$AA$84,0),1,1)),0)),"")</f>
        <v>LYANCO</v>
      </c>
      <c r="P145" s="62" t="str">
        <f ca="1">IF(O145="","",VLOOKUP(O145,$B$85:$C$305,2,FALSE))</f>
        <v>Torino</v>
      </c>
      <c r="Q145" s="59">
        <f t="shared" ref="Q145:Q156" si="74">IF(ISNUMBER(N145),N145+COUNTIF($N$34:$N$45,"&gt;0"),"")</f>
        <v>73</v>
      </c>
      <c r="R145" s="62" t="str">
        <f ca="1">IF(ISNUMBER(Q145),INDIRECT("B" &amp; 84 + MATCH(Q145,INDIRECT(ADDRESS(85,22+MATCH($P$27,'I.A. + Fasce'!$W$84:$AA$84,0),1,1) &amp; ":" &amp; ADDRESS(305,22+MATCH($P$27,'I.A. + Fasce'!$W$84:$AA$84,0),1,1)),0)),"")</f>
        <v>MORETTI</v>
      </c>
      <c r="S145" s="62" t="str">
        <f ca="1">IF(R145="","",VLOOKUP(R145,$B$85:$C$305,2,FALSE))</f>
        <v>Torino</v>
      </c>
      <c r="U145" s="311"/>
      <c r="V145" s="311"/>
      <c r="W145" s="56">
        <f t="shared" ca="1" si="56"/>
        <v>7</v>
      </c>
      <c r="X145" s="56">
        <f t="shared" ca="1" si="57"/>
        <v>11</v>
      </c>
      <c r="Y145" s="56">
        <f t="shared" ca="1" si="58"/>
        <v>10</v>
      </c>
      <c r="Z145" s="56">
        <f t="shared" ca="1" si="59"/>
        <v>16</v>
      </c>
      <c r="AA145" s="56">
        <f t="shared" ca="1" si="60"/>
        <v>16</v>
      </c>
      <c r="AB145" s="56">
        <f ca="1">_xlfn.CEILING.MATH(INDIRECT(ADDRESS(85,22+MATCH($P$27,'I.A. + Fasce'!$W$84:$AA$84,0),1,1) &amp; ":" &amp; ADDRESS(305,22+MATCH($P$27,'I.A. + Fasce'!$W$84:$AA$84,0),1,1))/Asta!$H$3)</f>
        <v>2</v>
      </c>
      <c r="AD145" s="56"/>
      <c r="AE145" s="56">
        <f>'Mia rosa + Org. Finanza'!AH142</f>
        <v>0</v>
      </c>
      <c r="AF145" s="56">
        <f>'Mia rosa + Org. Finanza'!AI142</f>
        <v>0</v>
      </c>
      <c r="AG145" s="56">
        <f>'Mia rosa + Org. Finanza'!AJ142</f>
        <v>0</v>
      </c>
    </row>
    <row r="146" spans="1:33" ht="14.25" customHeight="1">
      <c r="A146" s="238" t="str">
        <f ca="1">IF(Giocatori!G70="","D",Giocatori!G70)</f>
        <v>D</v>
      </c>
      <c r="B146" s="238" t="str">
        <f ca="1">IF(Giocatori!H70="","ZZZ" &amp; ROW(),Giocatori!H70)</f>
        <v>DELLA GIOVANNA</v>
      </c>
      <c r="C146" s="238" t="str">
        <f ca="1">IF(Giocatori!I70="","NDR" &amp; ROW(),Giocatori!I70)</f>
        <v>SPAL</v>
      </c>
      <c r="D146" s="63">
        <f t="shared" ca="1" si="44"/>
        <v>60.001460000000002</v>
      </c>
      <c r="E146" s="63">
        <f t="shared" ca="1" si="45"/>
        <v>22.001460000000002</v>
      </c>
      <c r="F146" s="64">
        <f t="shared" ca="1" si="46"/>
        <v>45.03678868443</v>
      </c>
      <c r="G146" s="63" t="str">
        <f t="shared" ca="1" si="47"/>
        <v/>
      </c>
      <c r="H146" s="65">
        <f t="shared" ca="1" si="48"/>
        <v>40</v>
      </c>
      <c r="I146" s="63" t="str">
        <f t="shared" ca="1" si="49"/>
        <v/>
      </c>
      <c r="J146" s="63">
        <f t="shared" ca="1" si="50"/>
        <v>1.00146</v>
      </c>
      <c r="K146" s="63">
        <f t="shared" ca="1" si="51"/>
        <v>1.00146</v>
      </c>
      <c r="L146" s="324" t="e">
        <f ca="1">VLOOKUP(Tabella113[[#This Row],[Calciatore]],'Raccolta Aste'!$F$2:$J$33,4,FALSE)*Asta!$U$3/100</f>
        <v>#N/A</v>
      </c>
      <c r="N146" s="59">
        <f t="shared" si="73"/>
        <v>66</v>
      </c>
      <c r="O146" s="62" t="str">
        <f ca="1">IF(ISNUMBER(N146),INDIRECT("B" &amp; 84 + MATCH(N146,INDIRECT(ADDRESS(85,22+MATCH($P$27,'I.A. + Fasce'!$W$84:$AA$84,0),1,1) &amp; ":" &amp; ADDRESS(305,22+MATCH($P$27,'I.A. + Fasce'!$W$84:$AA$84,0),1,1)),0)),"")</f>
        <v>GOSENS</v>
      </c>
      <c r="P146" s="62" t="str">
        <f t="shared" ref="P146:P156" ca="1" si="75">IF(O146="","",VLOOKUP(O146,$B$85:$C$305,2,FALSE))</f>
        <v>Atalanta</v>
      </c>
      <c r="Q146" s="59">
        <f t="shared" si="74"/>
        <v>74</v>
      </c>
      <c r="R146" s="62" t="str">
        <f ca="1">IF(ISNUMBER(Q146),INDIRECT("B" &amp; 84 + MATCH(Q146,INDIRECT(ADDRESS(85,22+MATCH($P$27,'I.A. + Fasce'!$W$84:$AA$84,0),1,1) &amp; ":" &amp; ADDRESS(305,22+MATCH($P$27,'I.A. + Fasce'!$W$84:$AA$84,0),1,1)),0)),"")</f>
        <v>MILENKOVIC</v>
      </c>
      <c r="S146" s="62" t="str">
        <f t="shared" ref="S146:S156" ca="1" si="76">IF(R146="","",VLOOKUP(R146,$B$85:$C$305,2,FALSE))</f>
        <v>Fiorentina</v>
      </c>
      <c r="U146" s="311"/>
      <c r="V146" s="311"/>
      <c r="W146" s="56">
        <f t="shared" ca="1" si="56"/>
        <v>155</v>
      </c>
      <c r="X146" s="56">
        <f t="shared" ca="1" si="57"/>
        <v>183</v>
      </c>
      <c r="Y146" s="56">
        <f t="shared" ca="1" si="58"/>
        <v>180</v>
      </c>
      <c r="Z146" s="56">
        <f t="shared" ca="1" si="59"/>
        <v>152</v>
      </c>
      <c r="AA146" s="56">
        <f t="shared" ca="1" si="60"/>
        <v>151</v>
      </c>
      <c r="AB146" s="56">
        <f ca="1">_xlfn.CEILING.MATH(INDIRECT(ADDRESS(85,22+MATCH($P$27,'I.A. + Fasce'!$W$84:$AA$84,0),1,1) &amp; ":" &amp; ADDRESS(305,22+MATCH($P$27,'I.A. + Fasce'!$W$84:$AA$84,0),1,1))/Asta!$H$3)</f>
        <v>23</v>
      </c>
      <c r="AD146" s="56"/>
      <c r="AE146" s="56">
        <f>'Mia rosa + Org. Finanza'!AH143</f>
        <v>0</v>
      </c>
      <c r="AF146" s="56">
        <f>'Mia rosa + Org. Finanza'!AI143</f>
        <v>0</v>
      </c>
      <c r="AG146" s="56">
        <f>'Mia rosa + Org. Finanza'!AJ143</f>
        <v>0</v>
      </c>
    </row>
    <row r="147" spans="1:33" ht="14.25" customHeight="1">
      <c r="A147" s="238" t="str">
        <f ca="1">IF(Giocatori!G71="","D",Giocatori!G71)</f>
        <v>D</v>
      </c>
      <c r="B147" s="238" t="str">
        <f ca="1">IF(Giocatori!H71="","ZZZ" &amp; ROW(),Giocatori!H71)</f>
        <v>DELL'ORCO</v>
      </c>
      <c r="C147" s="238" t="str">
        <f ca="1">IF(Giocatori!I71="","NDR" &amp; ROW(),Giocatori!I71)</f>
        <v>Sassuolo</v>
      </c>
      <c r="D147" s="63">
        <f t="shared" ca="1" si="44"/>
        <v>40.001469999999998</v>
      </c>
      <c r="E147" s="63">
        <f t="shared" ca="1" si="45"/>
        <v>34.001469999999998</v>
      </c>
      <c r="F147" s="64">
        <f t="shared" ca="1" si="46"/>
        <v>46.637106351340833</v>
      </c>
      <c r="G147" s="63" t="str">
        <f t="shared" ca="1" si="47"/>
        <v/>
      </c>
      <c r="H147" s="65">
        <f t="shared" ca="1" si="48"/>
        <v>60</v>
      </c>
      <c r="I147" s="63" t="str">
        <f t="shared" ca="1" si="49"/>
        <v/>
      </c>
      <c r="J147" s="63">
        <f t="shared" ca="1" si="50"/>
        <v>1.0014700000000001</v>
      </c>
      <c r="K147" s="63">
        <f t="shared" ca="1" si="51"/>
        <v>1.0014700000000001</v>
      </c>
      <c r="L147" s="324" t="e">
        <f ca="1">VLOOKUP(Tabella113[[#This Row],[Calciatore]],'Raccolta Aste'!$F$2:$J$33,4,FALSE)*Asta!$U$3/100</f>
        <v>#N/A</v>
      </c>
      <c r="N147" s="59">
        <f t="shared" si="73"/>
        <v>67</v>
      </c>
      <c r="O147" s="62" t="str">
        <f ca="1">IF(ISNUMBER(N147),INDIRECT("B" &amp; 84 + MATCH(N147,INDIRECT(ADDRESS(85,22+MATCH($P$27,'I.A. + Fasce'!$W$84:$AA$84,0),1,1) &amp; ":" &amp; ADDRESS(305,22+MATCH($P$27,'I.A. + Fasce'!$W$84:$AA$84,0),1,1)),0)),"")</f>
        <v>GONZALEZ G</v>
      </c>
      <c r="P147" s="62" t="str">
        <f t="shared" ca="1" si="75"/>
        <v>Bologna</v>
      </c>
      <c r="Q147" s="59">
        <f t="shared" si="74"/>
        <v>75</v>
      </c>
      <c r="R147" s="62" t="str">
        <f ca="1">IF(ISNUMBER(Q147),INDIRECT("B" &amp; 84 + MATCH(Q147,INDIRECT(ADDRESS(85,22+MATCH($P$27,'I.A. + Fasce'!$W$84:$AA$84,0),1,1) &amp; ":" &amp; ADDRESS(305,22+MATCH($P$27,'I.A. + Fasce'!$W$84:$AA$84,0),1,1)),0)),"")</f>
        <v>MAKSIMOVIC</v>
      </c>
      <c r="S147" s="62" t="str">
        <f t="shared" ca="1" si="76"/>
        <v>Napoli</v>
      </c>
      <c r="U147" s="311"/>
      <c r="V147" s="311"/>
      <c r="W147" s="56">
        <f t="shared" ca="1" si="56"/>
        <v>186</v>
      </c>
      <c r="X147" s="56">
        <f t="shared" ca="1" si="57"/>
        <v>137</v>
      </c>
      <c r="Y147" s="56">
        <f t="shared" ca="1" si="58"/>
        <v>176</v>
      </c>
      <c r="Z147" s="56">
        <f t="shared" ca="1" si="59"/>
        <v>151</v>
      </c>
      <c r="AA147" s="56">
        <f t="shared" ca="1" si="60"/>
        <v>150</v>
      </c>
      <c r="AB147" s="56">
        <f ca="1">_xlfn.CEILING.MATH(INDIRECT(ADDRESS(85,22+MATCH($P$27,'I.A. + Fasce'!$W$84:$AA$84,0),1,1) &amp; ":" &amp; ADDRESS(305,22+MATCH($P$27,'I.A. + Fasce'!$W$84:$AA$84,0),1,1))/Asta!$H$3)</f>
        <v>18</v>
      </c>
      <c r="AD147" s="56"/>
      <c r="AE147" s="56">
        <f>'Mia rosa + Org. Finanza'!AH144</f>
        <v>0</v>
      </c>
      <c r="AF147" s="56">
        <f>'Mia rosa + Org. Finanza'!AI144</f>
        <v>0</v>
      </c>
      <c r="AG147" s="56">
        <f>'Mia rosa + Org. Finanza'!AJ144</f>
        <v>0</v>
      </c>
    </row>
    <row r="148" spans="1:33" ht="14.25" customHeight="1">
      <c r="A148" s="238" t="str">
        <f ca="1">IF(Giocatori!G72="","D",Giocatori!G72)</f>
        <v>D</v>
      </c>
      <c r="B148" s="238" t="str">
        <f ca="1">IF(Giocatori!H72="","ZZZ" &amp; ROW(),Giocatori!H72)</f>
        <v>DEPAOLI</v>
      </c>
      <c r="C148" s="238" t="str">
        <f ca="1">IF(Giocatori!I72="","NDR" &amp; ROW(),Giocatori!I72)</f>
        <v>Chievo</v>
      </c>
      <c r="D148" s="63">
        <f t="shared" ca="1" si="44"/>
        <v>61.001480000000001</v>
      </c>
      <c r="E148" s="63">
        <f t="shared" ca="1" si="45"/>
        <v>31.001480000000001</v>
      </c>
      <c r="F148" s="64">
        <f t="shared" ca="1" si="46"/>
        <v>54.012058018253327</v>
      </c>
      <c r="G148" s="63" t="str">
        <f t="shared" ca="1" si="47"/>
        <v/>
      </c>
      <c r="H148" s="65">
        <f t="shared" ca="1" si="48"/>
        <v>40</v>
      </c>
      <c r="I148" s="63" t="str">
        <f t="shared" ca="1" si="49"/>
        <v/>
      </c>
      <c r="J148" s="63">
        <f t="shared" ca="1" si="50"/>
        <v>1.0014799999999999</v>
      </c>
      <c r="K148" s="63">
        <f t="shared" ca="1" si="51"/>
        <v>1.0014799999999999</v>
      </c>
      <c r="L148" s="324" t="e">
        <f ca="1">VLOOKUP(Tabella113[[#This Row],[Calciatore]],'Raccolta Aste'!$F$2:$J$33,4,FALSE)*Asta!$U$3/100</f>
        <v>#N/A</v>
      </c>
      <c r="N148" s="59">
        <f t="shared" si="73"/>
        <v>68</v>
      </c>
      <c r="O148" s="62" t="str">
        <f ca="1">IF(ISNUMBER(N148),INDIRECT("B" &amp; 84 + MATCH(N148,INDIRECT(ADDRESS(85,22+MATCH($P$27,'I.A. + Fasce'!$W$84:$AA$84,0),1,1) &amp; ":" &amp; ADDRESS(305,22+MATCH($P$27,'I.A. + Fasce'!$W$84:$AA$84,0),1,1)),0)),"")</f>
        <v>BRUNO PERES</v>
      </c>
      <c r="P148" s="62" t="str">
        <f t="shared" ca="1" si="75"/>
        <v>Roma</v>
      </c>
      <c r="Q148" s="59">
        <f t="shared" si="74"/>
        <v>76</v>
      </c>
      <c r="R148" s="62" t="str">
        <f ca="1">IF(ISNUMBER(Q148),INDIRECT("B" &amp; 84 + MATCH(Q148,INDIRECT(ADDRESS(85,22+MATCH($P$27,'I.A. + Fasce'!$W$84:$AA$84,0),1,1) &amp; ":" &amp; ADDRESS(305,22+MATCH($P$27,'I.A. + Fasce'!$W$84:$AA$84,0),1,1)),0)),"")</f>
        <v>LICHTSTEINER</v>
      </c>
      <c r="S148" s="62" t="str">
        <f t="shared" ca="1" si="76"/>
        <v>Juventus</v>
      </c>
      <c r="U148" s="311"/>
      <c r="V148" s="311"/>
      <c r="W148" s="56">
        <f t="shared" ca="1" si="56"/>
        <v>150</v>
      </c>
      <c r="X148" s="56">
        <f t="shared" ca="1" si="57"/>
        <v>161</v>
      </c>
      <c r="Y148" s="56">
        <f t="shared" ca="1" si="58"/>
        <v>158</v>
      </c>
      <c r="Z148" s="56">
        <f t="shared" ca="1" si="59"/>
        <v>150</v>
      </c>
      <c r="AA148" s="56">
        <f t="shared" ca="1" si="60"/>
        <v>149</v>
      </c>
      <c r="AB148" s="56">
        <f ca="1">_xlfn.CEILING.MATH(INDIRECT(ADDRESS(85,22+MATCH($P$27,'I.A. + Fasce'!$W$84:$AA$84,0),1,1) &amp; ":" &amp; ADDRESS(305,22+MATCH($P$27,'I.A. + Fasce'!$W$84:$AA$84,0),1,1))/Asta!$H$3)</f>
        <v>21</v>
      </c>
      <c r="AD148" s="56"/>
      <c r="AE148" s="56">
        <f>'Mia rosa + Org. Finanza'!AH145</f>
        <v>0</v>
      </c>
      <c r="AF148" s="56">
        <f>'Mia rosa + Org. Finanza'!AI145</f>
        <v>0</v>
      </c>
      <c r="AG148" s="56">
        <f>'Mia rosa + Org. Finanza'!AJ145</f>
        <v>0</v>
      </c>
    </row>
    <row r="149" spans="1:33" ht="14.25" customHeight="1">
      <c r="A149" s="238" t="str">
        <f ca="1">IF(Giocatori!G73="","D",Giocatori!G73)</f>
        <v>D</v>
      </c>
      <c r="B149" s="238" t="str">
        <f ca="1">IF(Giocatori!H73="","ZZZ" &amp; ROW(),Giocatori!H73)</f>
        <v>DI CHIARA</v>
      </c>
      <c r="C149" s="238" t="str">
        <f ca="1">IF(Giocatori!I73="","NDR" &amp; ROW(),Giocatori!I73)</f>
        <v>Benevento</v>
      </c>
      <c r="D149" s="63">
        <f t="shared" ref="D149:D212" ca="1" si="77">IF(ISNA(VLOOKUP($B149,TabAlgTutti,6,FALSE)),0,VLOOKUP($B149,TabAlgTutti,6,FALSE))+ROW()/100000</f>
        <v>68.001490000000004</v>
      </c>
      <c r="E149" s="63">
        <f t="shared" ref="E149:E212" ca="1" si="78">IF(ISNA(VLOOKUP($B149,TabAlgTutti,5,FALSE)),0,VLOOKUP($B149,TabAlgTutti,5,FALSE))+ROW()/100000</f>
        <v>41.001489999999997</v>
      </c>
      <c r="F149" s="64">
        <f t="shared" ref="F149:F212" ca="1" si="79">($D149*$P$8+$E149*(1+$E149*100/60/100)*$S$8)/100+ROW()/100000</f>
        <v>68.512331518500844</v>
      </c>
      <c r="G149" s="63" t="str">
        <f t="shared" ref="G149:G212" ca="1" si="80">IF(ISNA(VLOOKUP($B149,TabAlgTutti,7,FALSE)),"",IF(VLOOKUP($B149,TabAlgTutti,7,FALSE)=-1,"SCONSIGLIATO",IF(VLOOKUP($B149,TabAlgTutti,7,FALSE)=0,"SORPRESA",IF(VLOOKUP($B149,TabAlgTutti,7,FALSE)=1,"CONSIGLIATO",""))))</f>
        <v>SORPRESA</v>
      </c>
      <c r="H149" s="65">
        <f t="shared" ref="H149:H212" ca="1" si="81">IF(ISNA(VLOOKUP($B149,TabAlgTutti,8,FALSE)),"",VLOOKUP($B149,TabAlgTutti,8,FALSE))</f>
        <v>70</v>
      </c>
      <c r="I149" s="63" t="str">
        <f t="shared" ref="I149:I212" ca="1" si="82">IF(ISNA(VLOOKUP($B149,TabAlgTutti,9,FALSE)),"",IF(VLOOKUP($B149,TabAlgTutti,9,FALSE)="","",VLOOKUP($B149,TabAlgTutti,9,FALSE)&amp;"R "))&amp;IF(ISNA(VLOOKUP($B149,TabAlgTutti,10,FALSE)),"",IF(VLOOKUP($B149,TabAlgTutti,10,FALSE)="","",VLOOKUP($B149,TabAlgTutti,10,FALSE)&amp;"P "))&amp;IF(ISNA(VLOOKUP($B149,TabAlgTutti,11,FALSE)),"",IF(VLOOKUP($B149,TabAlgTutti,11,FALSE)="","",VLOOKUP($B149,TabAlgTutti,11,FALSE)&amp;"A"))</f>
        <v xml:space="preserve">4P </v>
      </c>
      <c r="J149" s="63">
        <f t="shared" ref="J149:J212" ca="1" si="83">IF(ISNA(VLOOKUP($B149,TabAlgTutti,3,FALSE)),0,VLOOKUP($B149,TabAlgTutti,3,FALSE))+ROW()/100000</f>
        <v>1.00149</v>
      </c>
      <c r="K149" s="63">
        <f t="shared" ref="K149:K212" ca="1" si="84">IF(ISNA(VLOOKUP($B149,TabAlgTutti,4,FALSE)),0,VLOOKUP($B149,TabAlgTutti,4,FALSE))+ROW()/100000</f>
        <v>1.00149</v>
      </c>
      <c r="L149" s="324" t="e">
        <f ca="1">VLOOKUP(Tabella113[[#This Row],[Calciatore]],'Raccolta Aste'!$F$2:$J$33,4,FALSE)*Asta!$U$3/100</f>
        <v>#N/A</v>
      </c>
      <c r="N149" s="59">
        <f t="shared" si="73"/>
        <v>69</v>
      </c>
      <c r="O149" s="62" t="str">
        <f ca="1">IF(ISNUMBER(N149),INDIRECT("B" &amp; 84 + MATCH(N149,INDIRECT(ADDRESS(85,22+MATCH($P$27,'I.A. + Fasce'!$W$84:$AA$84,0),1,1) &amp; ":" &amp; ADDRESS(305,22+MATCH($P$27,'I.A. + Fasce'!$W$84:$AA$84,0),1,1)),0)),"")</f>
        <v>BIRASCHI</v>
      </c>
      <c r="P149" s="62" t="str">
        <f t="shared" ca="1" si="75"/>
        <v>Genoa</v>
      </c>
      <c r="Q149" s="59">
        <f t="shared" si="74"/>
        <v>77</v>
      </c>
      <c r="R149" s="62" t="str">
        <f ca="1">IF(ISNUMBER(Q149),INDIRECT("B" &amp; 84 + MATCH(Q149,INDIRECT(ADDRESS(85,22+MATCH($P$27,'I.A. + Fasce'!$W$84:$AA$84,0),1,1) &amp; ":" &amp; ADDRESS(305,22+MATCH($P$27,'I.A. + Fasce'!$W$84:$AA$84,0),1,1)),0)),"")</f>
        <v>LAZAAR</v>
      </c>
      <c r="S149" s="62" t="str">
        <f t="shared" ca="1" si="76"/>
        <v>Benevento</v>
      </c>
      <c r="U149" s="311"/>
      <c r="V149" s="311"/>
      <c r="W149" s="56">
        <f t="shared" ca="1" si="56"/>
        <v>108</v>
      </c>
      <c r="X149" s="56">
        <f t="shared" ca="1" si="57"/>
        <v>42</v>
      </c>
      <c r="Y149" s="56">
        <f t="shared" ca="1" si="58"/>
        <v>66</v>
      </c>
      <c r="Z149" s="56">
        <f t="shared" ca="1" si="59"/>
        <v>149</v>
      </c>
      <c r="AA149" s="56">
        <f t="shared" ca="1" si="60"/>
        <v>148</v>
      </c>
      <c r="AB149" s="56">
        <f ca="1">_xlfn.CEILING.MATH(INDIRECT(ADDRESS(85,22+MATCH($P$27,'I.A. + Fasce'!$W$84:$AA$84,0),1,1) &amp; ":" &amp; ADDRESS(305,22+MATCH($P$27,'I.A. + Fasce'!$W$84:$AA$84,0),1,1))/Asta!$H$3)</f>
        <v>6</v>
      </c>
      <c r="AD149" s="56"/>
      <c r="AE149" s="56">
        <f>'Mia rosa + Org. Finanza'!AH146</f>
        <v>0</v>
      </c>
      <c r="AF149" s="56">
        <f>'Mia rosa + Org. Finanza'!AI146</f>
        <v>0</v>
      </c>
      <c r="AG149" s="56">
        <f>'Mia rosa + Org. Finanza'!AJ146</f>
        <v>0</v>
      </c>
    </row>
    <row r="150" spans="1:33" ht="14.25" customHeight="1">
      <c r="A150" s="238" t="str">
        <f ca="1">IF(Giocatori!G74="","D",Giocatori!G74)</f>
        <v>D</v>
      </c>
      <c r="B150" s="238" t="str">
        <f ca="1">IF(Giocatori!H74="","ZZZ" &amp; ROW(),Giocatori!H74)</f>
        <v>DJIMSITI</v>
      </c>
      <c r="C150" s="238" t="str">
        <f ca="1">IF(Giocatori!I74="","NDR" &amp; ROW(),Giocatori!I74)</f>
        <v>Benevento</v>
      </c>
      <c r="D150" s="63">
        <f t="shared" ca="1" si="77"/>
        <v>58.0015</v>
      </c>
      <c r="E150" s="63">
        <f t="shared" ca="1" si="78"/>
        <v>34.0015</v>
      </c>
      <c r="F150" s="64">
        <f t="shared" ca="1" si="79"/>
        <v>55.637183352083333</v>
      </c>
      <c r="G150" s="63" t="str">
        <f t="shared" ca="1" si="80"/>
        <v/>
      </c>
      <c r="H150" s="65">
        <f t="shared" ca="1" si="81"/>
        <v>60</v>
      </c>
      <c r="I150" s="63" t="str">
        <f t="shared" ca="1" si="82"/>
        <v/>
      </c>
      <c r="J150" s="63">
        <f t="shared" ca="1" si="83"/>
        <v>1.0015000000000001</v>
      </c>
      <c r="K150" s="63">
        <f t="shared" ca="1" si="84"/>
        <v>1.0015000000000001</v>
      </c>
      <c r="L150" s="324" t="e">
        <f ca="1">VLOOKUP(Tabella113[[#This Row],[Calciatore]],'Raccolta Aste'!$F$2:$J$33,4,FALSE)*Asta!$U$3/100</f>
        <v>#N/A</v>
      </c>
      <c r="N150" s="59">
        <f t="shared" si="73"/>
        <v>70</v>
      </c>
      <c r="O150" s="62" t="str">
        <f ca="1">IF(ISNUMBER(N150),INDIRECT("B" &amp; 84 + MATCH(N150,INDIRECT(ADDRESS(85,22+MATCH($P$27,'I.A. + Fasce'!$W$84:$AA$84,0),1,1) &amp; ":" &amp; ADDRESS(305,22+MATCH($P$27,'I.A. + Fasce'!$W$84:$AA$84,0),1,1)),0)),"")</f>
        <v>BASTA</v>
      </c>
      <c r="P150" s="62" t="str">
        <f t="shared" ca="1" si="75"/>
        <v>Lazio</v>
      </c>
      <c r="Q150" s="59">
        <f t="shared" si="74"/>
        <v>78</v>
      </c>
      <c r="R150" s="62" t="str">
        <f ca="1">IF(ISNUMBER(Q150),INDIRECT("B" &amp; 84 + MATCH(Q150,INDIRECT(ADDRESS(85,22+MATCH($P$27,'I.A. + Fasce'!$W$84:$AA$84,0),1,1) &amp; ":" &amp; ADDRESS(305,22+MATCH($P$27,'I.A. + Fasce'!$W$84:$AA$84,0),1,1)),0)),"")</f>
        <v>GASPAR</v>
      </c>
      <c r="S150" s="62" t="str">
        <f t="shared" ca="1" si="76"/>
        <v>Fiorentina</v>
      </c>
      <c r="U150" s="311"/>
      <c r="V150" s="311"/>
      <c r="W150" s="56">
        <f t="shared" ref="W150:W213" ca="1" si="85">_xlfn.RANK.EQ(D150,D$85:D$305,0)</f>
        <v>168</v>
      </c>
      <c r="X150" s="56">
        <f t="shared" ref="X150:X213" ca="1" si="86">_xlfn.RANK.EQ(E150,$E$85:$E$305,0)</f>
        <v>136</v>
      </c>
      <c r="Y150" s="56">
        <f t="shared" ref="Y150:Y213" ca="1" si="87">_xlfn.RANK.EQ(F150,$F$85:$F$305,0)</f>
        <v>151</v>
      </c>
      <c r="Z150" s="56">
        <f t="shared" ref="Z150:Z213" ca="1" si="88">_xlfn.RANK.EQ(J150,$J$85:$J$305,0)</f>
        <v>148</v>
      </c>
      <c r="AA150" s="56">
        <f t="shared" ref="AA150:AA213" ca="1" si="89">_xlfn.RANK.EQ(K150,$K$85:$K$305,0)</f>
        <v>147</v>
      </c>
      <c r="AB150" s="56">
        <f ca="1">_xlfn.CEILING.MATH(INDIRECT(ADDRESS(85,22+MATCH($P$27,'I.A. + Fasce'!$W$84:$AA$84,0),1,1) &amp; ":" &amp; ADDRESS(305,22+MATCH($P$27,'I.A. + Fasce'!$W$84:$AA$84,0),1,1))/Asta!$H$3)</f>
        <v>17</v>
      </c>
      <c r="AD150" s="56"/>
      <c r="AE150" s="56">
        <f>'Mia rosa + Org. Finanza'!AH147</f>
        <v>0</v>
      </c>
      <c r="AF150" s="56">
        <f>'Mia rosa + Org. Finanza'!AI147</f>
        <v>0</v>
      </c>
      <c r="AG150" s="56">
        <f>'Mia rosa + Org. Finanza'!AJ147</f>
        <v>0</v>
      </c>
    </row>
    <row r="151" spans="1:33" ht="14.25" customHeight="1">
      <c r="A151" s="238" t="str">
        <f ca="1">IF(Giocatori!G75="","D",Giocatori!G75)</f>
        <v>D</v>
      </c>
      <c r="B151" s="238" t="str">
        <f ca="1">IF(Giocatori!H75="","ZZZ" &amp; ROW(),Giocatori!H75)</f>
        <v>DODO'</v>
      </c>
      <c r="C151" s="238" t="str">
        <f ca="1">IF(Giocatori!I75="","NDR" &amp; ROW(),Giocatori!I75)</f>
        <v>Sampdoria</v>
      </c>
      <c r="D151" s="63">
        <f t="shared" ca="1" si="77"/>
        <v>56.001510000000003</v>
      </c>
      <c r="E151" s="63">
        <f t="shared" ca="1" si="78"/>
        <v>26.00151</v>
      </c>
      <c r="F151" s="64">
        <f t="shared" ca="1" si="79"/>
        <v>46.637007685667506</v>
      </c>
      <c r="G151" s="63" t="str">
        <f t="shared" ca="1" si="80"/>
        <v>SCONSIGLIATO</v>
      </c>
      <c r="H151" s="65">
        <f t="shared" ca="1" si="81"/>
        <v>40</v>
      </c>
      <c r="I151" s="63" t="str">
        <f t="shared" ca="1" si="82"/>
        <v/>
      </c>
      <c r="J151" s="63">
        <f t="shared" ca="1" si="83"/>
        <v>1.0015099999999999</v>
      </c>
      <c r="K151" s="63">
        <f t="shared" ca="1" si="84"/>
        <v>1.0015099999999999</v>
      </c>
      <c r="L151" s="324" t="e">
        <f ca="1">VLOOKUP(Tabella113[[#This Row],[Calciatore]],'Raccolta Aste'!$F$2:$J$33,4,FALSE)*Asta!$U$3/100</f>
        <v>#N/A</v>
      </c>
      <c r="N151" s="59">
        <f t="shared" si="73"/>
        <v>71</v>
      </c>
      <c r="O151" s="62" t="str">
        <f ca="1">IF(ISNUMBER(N151),INDIRECT("B" &amp; 84 + MATCH(N151,INDIRECT(ADDRESS(85,22+MATCH($P$27,'I.A. + Fasce'!$W$84:$AA$84,0),1,1) &amp; ":" &amp; ADDRESS(305,22+MATCH($P$27,'I.A. + Fasce'!$W$84:$AA$84,0),1,1)),0)),"")</f>
        <v>OLIVERA M</v>
      </c>
      <c r="P151" s="62" t="str">
        <f t="shared" ca="1" si="75"/>
        <v>Fiorentina</v>
      </c>
      <c r="Q151" s="59">
        <f t="shared" si="74"/>
        <v>79</v>
      </c>
      <c r="R151" s="62" t="str">
        <f ca="1">IF(ISNUMBER(Q151),INDIRECT("B" &amp; 84 + MATCH(Q151,INDIRECT(ADDRESS(85,22+MATCH($P$27,'I.A. + Fasce'!$W$84:$AA$84,0),1,1) &amp; ":" &amp; ADDRESS(305,22+MATCH($P$27,'I.A. + Fasce'!$W$84:$AA$84,0),1,1)),0)),"")</f>
        <v>DE SILVESTRI</v>
      </c>
      <c r="S151" s="62" t="str">
        <f t="shared" ca="1" si="76"/>
        <v>Torino</v>
      </c>
      <c r="U151" s="311"/>
      <c r="V151" s="311"/>
      <c r="W151" s="56">
        <f t="shared" ca="1" si="85"/>
        <v>169</v>
      </c>
      <c r="X151" s="56">
        <f t="shared" ca="1" si="86"/>
        <v>180</v>
      </c>
      <c r="Y151" s="56">
        <f t="shared" ca="1" si="87"/>
        <v>177</v>
      </c>
      <c r="Z151" s="56">
        <f t="shared" ca="1" si="88"/>
        <v>147</v>
      </c>
      <c r="AA151" s="56">
        <f t="shared" ca="1" si="89"/>
        <v>146</v>
      </c>
      <c r="AB151" s="56">
        <f ca="1">_xlfn.CEILING.MATH(INDIRECT(ADDRESS(85,22+MATCH($P$27,'I.A. + Fasce'!$W$84:$AA$84,0),1,1) &amp; ":" &amp; ADDRESS(305,22+MATCH($P$27,'I.A. + Fasce'!$W$84:$AA$84,0),1,1))/Asta!$H$3)</f>
        <v>23</v>
      </c>
      <c r="AD151" s="56"/>
      <c r="AE151" s="56">
        <f>'Mia rosa + Org. Finanza'!AH148</f>
        <v>0</v>
      </c>
      <c r="AF151" s="56">
        <f>'Mia rosa + Org. Finanza'!AI148</f>
        <v>0</v>
      </c>
      <c r="AG151" s="56">
        <f>'Mia rosa + Org. Finanza'!AJ148</f>
        <v>0</v>
      </c>
    </row>
    <row r="152" spans="1:33" ht="14.25" customHeight="1">
      <c r="A152" s="238" t="str">
        <f ca="1">IF(Giocatori!G76="","D",Giocatori!G76)</f>
        <v>D</v>
      </c>
      <c r="B152" s="238" t="str">
        <f ca="1">IF(Giocatori!H76="","ZZZ" &amp; ROW(),Giocatori!H76)</f>
        <v>DRAME'</v>
      </c>
      <c r="C152" s="238" t="str">
        <f ca="1">IF(Giocatori!I76="","NDR" &amp; ROW(),Giocatori!I76)</f>
        <v>Atalanta</v>
      </c>
      <c r="D152" s="63">
        <f t="shared" ca="1" si="77"/>
        <v>55.001519999999999</v>
      </c>
      <c r="E152" s="63">
        <f t="shared" ca="1" si="78"/>
        <v>30.001519999999999</v>
      </c>
      <c r="F152" s="64">
        <f t="shared" ca="1" si="79"/>
        <v>50.00380001925334</v>
      </c>
      <c r="G152" s="63" t="str">
        <f t="shared" ca="1" si="80"/>
        <v/>
      </c>
      <c r="H152" s="65">
        <f t="shared" ca="1" si="81"/>
        <v>40</v>
      </c>
      <c r="I152" s="63" t="str">
        <f t="shared" ca="1" si="82"/>
        <v/>
      </c>
      <c r="J152" s="63">
        <f t="shared" ca="1" si="83"/>
        <v>1.00152</v>
      </c>
      <c r="K152" s="63">
        <f t="shared" ca="1" si="84"/>
        <v>1.00152</v>
      </c>
      <c r="L152" s="324" t="e">
        <f ca="1">VLOOKUP(Tabella113[[#This Row],[Calciatore]],'Raccolta Aste'!$F$2:$J$33,4,FALSE)*Asta!$U$3/100</f>
        <v>#N/A</v>
      </c>
      <c r="N152" s="59">
        <f t="shared" si="73"/>
        <v>72</v>
      </c>
      <c r="O152" s="62" t="str">
        <f ca="1">IF(ISNUMBER(N152),INDIRECT("B" &amp; 84 + MATCH(N152,INDIRECT(ADDRESS(85,22+MATCH($P$27,'I.A. + Fasce'!$W$84:$AA$84,0),1,1) &amp; ":" &amp; ADDRESS(305,22+MATCH($P$27,'I.A. + Fasce'!$W$84:$AA$84,0),1,1)),0)),"")</f>
        <v>OIKONOMOU</v>
      </c>
      <c r="P152" s="62" t="str">
        <f t="shared" ca="1" si="75"/>
        <v>SPAL</v>
      </c>
      <c r="Q152" s="59">
        <f t="shared" si="74"/>
        <v>80</v>
      </c>
      <c r="R152" s="62" t="str">
        <f ca="1">IF(ISNUMBER(Q152),INDIRECT("B" &amp; 84 + MATCH(Q152,INDIRECT(ADDRESS(85,22+MATCH($P$27,'I.A. + Fasce'!$W$84:$AA$84,0),1,1) &amp; ":" &amp; ADDRESS(305,22+MATCH($P$27,'I.A. + Fasce'!$W$84:$AA$84,0),1,1)),0)),"")</f>
        <v>DE SCIGLIO</v>
      </c>
      <c r="S152" s="62" t="str">
        <f t="shared" ca="1" si="76"/>
        <v>Juventus</v>
      </c>
      <c r="U152" s="311"/>
      <c r="V152" s="311"/>
      <c r="W152" s="56">
        <f t="shared" ca="1" si="85"/>
        <v>175</v>
      </c>
      <c r="X152" s="56">
        <f t="shared" ca="1" si="86"/>
        <v>166</v>
      </c>
      <c r="Y152" s="56">
        <f t="shared" ca="1" si="87"/>
        <v>171</v>
      </c>
      <c r="Z152" s="56">
        <f t="shared" ca="1" si="88"/>
        <v>146</v>
      </c>
      <c r="AA152" s="56">
        <f t="shared" ca="1" si="89"/>
        <v>145</v>
      </c>
      <c r="AB152" s="56">
        <f ca="1">_xlfn.CEILING.MATH(INDIRECT(ADDRESS(85,22+MATCH($P$27,'I.A. + Fasce'!$W$84:$AA$84,0),1,1) &amp; ":" &amp; ADDRESS(305,22+MATCH($P$27,'I.A. + Fasce'!$W$84:$AA$84,0),1,1))/Asta!$H$3)</f>
        <v>21</v>
      </c>
      <c r="AD152" s="56"/>
      <c r="AE152" s="56">
        <f>'Mia rosa + Org. Finanza'!AH149</f>
        <v>0</v>
      </c>
      <c r="AF152" s="56">
        <f>'Mia rosa + Org. Finanza'!AI149</f>
        <v>0</v>
      </c>
      <c r="AG152" s="56">
        <f>'Mia rosa + Org. Finanza'!AJ149</f>
        <v>0</v>
      </c>
    </row>
    <row r="153" spans="1:33" ht="14.25" customHeight="1">
      <c r="A153" s="238" t="str">
        <f ca="1">IF(Giocatori!G77="","D",Giocatori!G77)</f>
        <v>D</v>
      </c>
      <c r="B153" s="238" t="str">
        <f ca="1">IF(Giocatori!H77="","ZZZ" &amp; ROW(),Giocatori!H77)</f>
        <v>EMERSON</v>
      </c>
      <c r="C153" s="238" t="str">
        <f ca="1">IF(Giocatori!I77="","NDR" &amp; ROW(),Giocatori!I77)</f>
        <v>Roma</v>
      </c>
      <c r="D153" s="63">
        <f t="shared" ca="1" si="77"/>
        <v>65.001530000000002</v>
      </c>
      <c r="E153" s="63">
        <f t="shared" ca="1" si="78"/>
        <v>36.001530000000002</v>
      </c>
      <c r="F153" s="64">
        <f t="shared" ca="1" si="79"/>
        <v>61.303978019507504</v>
      </c>
      <c r="G153" s="63" t="str">
        <f t="shared" ca="1" si="80"/>
        <v/>
      </c>
      <c r="H153" s="65">
        <f t="shared" ca="1" si="81"/>
        <v>60</v>
      </c>
      <c r="I153" s="63" t="str">
        <f t="shared" ca="1" si="82"/>
        <v/>
      </c>
      <c r="J153" s="63">
        <f t="shared" ca="1" si="83"/>
        <v>1.00153</v>
      </c>
      <c r="K153" s="63">
        <f t="shared" ca="1" si="84"/>
        <v>1.00153</v>
      </c>
      <c r="L153" s="324" t="e">
        <f ca="1">VLOOKUP(Tabella113[[#This Row],[Calciatore]],'Raccolta Aste'!$F$2:$J$33,4,FALSE)*Asta!$U$3/100</f>
        <v>#N/A</v>
      </c>
      <c r="N153" s="59" t="str">
        <f t="shared" si="73"/>
        <v/>
      </c>
      <c r="O153" s="62" t="str">
        <f ca="1">IF(ISNUMBER(N153),INDIRECT("B" &amp; 84 + MATCH(N153,INDIRECT(ADDRESS(85,22+MATCH($P$27,'I.A. + Fasce'!$W$84:$AA$84,0),1,1) &amp; ":" &amp; ADDRESS(305,22+MATCH($P$27,'I.A. + Fasce'!$W$84:$AA$84,0),1,1)),0)),"")</f>
        <v/>
      </c>
      <c r="P153" s="62" t="str">
        <f t="shared" ca="1" si="75"/>
        <v/>
      </c>
      <c r="Q153" s="59" t="str">
        <f t="shared" si="74"/>
        <v/>
      </c>
      <c r="R153" s="62" t="str">
        <f ca="1">IF(ISNUMBER(Q153),INDIRECT("B" &amp; 84 + MATCH(Q153,INDIRECT(ADDRESS(85,22+MATCH($P$27,'I.A. + Fasce'!$W$84:$AA$84,0),1,1) &amp; ":" &amp; ADDRESS(305,22+MATCH($P$27,'I.A. + Fasce'!$W$84:$AA$84,0),1,1)),0)),"")</f>
        <v/>
      </c>
      <c r="S153" s="62" t="str">
        <f t="shared" ca="1" si="76"/>
        <v/>
      </c>
      <c r="U153" s="311"/>
      <c r="V153" s="311"/>
      <c r="W153" s="56">
        <f t="shared" ca="1" si="85"/>
        <v>136</v>
      </c>
      <c r="X153" s="56">
        <f t="shared" ca="1" si="86"/>
        <v>107</v>
      </c>
      <c r="Y153" s="56">
        <f t="shared" ca="1" si="87"/>
        <v>114</v>
      </c>
      <c r="Z153" s="56">
        <f t="shared" ca="1" si="88"/>
        <v>145</v>
      </c>
      <c r="AA153" s="56">
        <f t="shared" ca="1" si="89"/>
        <v>144</v>
      </c>
      <c r="AB153" s="56">
        <f ca="1">_xlfn.CEILING.MATH(INDIRECT(ADDRESS(85,22+MATCH($P$27,'I.A. + Fasce'!$W$84:$AA$84,0),1,1) &amp; ":" &amp; ADDRESS(305,22+MATCH($P$27,'I.A. + Fasce'!$W$84:$AA$84,0),1,1))/Asta!$H$3)</f>
        <v>14</v>
      </c>
      <c r="AD153" s="56"/>
      <c r="AE153" s="56">
        <f>'Mia rosa + Org. Finanza'!AH150</f>
        <v>0</v>
      </c>
      <c r="AF153" s="56">
        <f>'Mia rosa + Org. Finanza'!AI150</f>
        <v>0</v>
      </c>
      <c r="AG153" s="56">
        <f>'Mia rosa + Org. Finanza'!AJ150</f>
        <v>0</v>
      </c>
    </row>
    <row r="154" spans="1:33" ht="14.25" customHeight="1">
      <c r="A154" s="238" t="str">
        <f ca="1">IF(Giocatori!G78="","D",Giocatori!G78)</f>
        <v>D</v>
      </c>
      <c r="B154" s="238" t="str">
        <f ca="1">IF(Giocatori!H78="","ZZZ" &amp; ROW(),Giocatori!H78)</f>
        <v>FARAONI</v>
      </c>
      <c r="C154" s="238" t="str">
        <f ca="1">IF(Giocatori!I78="","NDR" &amp; ROW(),Giocatori!I78)</f>
        <v>Crotone</v>
      </c>
      <c r="D154" s="63">
        <f t="shared" ca="1" si="77"/>
        <v>68.001540000000006</v>
      </c>
      <c r="E154" s="63">
        <f t="shared" ca="1" si="78"/>
        <v>36.001539999999999</v>
      </c>
      <c r="F154" s="64">
        <f t="shared" ca="1" si="79"/>
        <v>62.804004019763333</v>
      </c>
      <c r="G154" s="63" t="str">
        <f t="shared" ca="1" si="80"/>
        <v/>
      </c>
      <c r="H154" s="65">
        <f t="shared" ca="1" si="81"/>
        <v>70</v>
      </c>
      <c r="I154" s="63" t="str">
        <f t="shared" ca="1" si="82"/>
        <v/>
      </c>
      <c r="J154" s="63">
        <f t="shared" ca="1" si="83"/>
        <v>1.0015400000000001</v>
      </c>
      <c r="K154" s="63">
        <f t="shared" ca="1" si="84"/>
        <v>1.0015400000000001</v>
      </c>
      <c r="L154" s="324" t="e">
        <f ca="1">VLOOKUP(Tabella113[[#This Row],[Calciatore]],'Raccolta Aste'!$F$2:$J$33,4,FALSE)*Asta!$U$3/100</f>
        <v>#N/A</v>
      </c>
      <c r="N154" s="59" t="str">
        <f t="shared" si="73"/>
        <v/>
      </c>
      <c r="O154" s="62" t="str">
        <f ca="1">IF(ISNUMBER(N154),INDIRECT("B" &amp; 84 + MATCH(N154,INDIRECT(ADDRESS(85,22+MATCH($P$27,'I.A. + Fasce'!$W$84:$AA$84,0),1,1) &amp; ":" &amp; ADDRESS(305,22+MATCH($P$27,'I.A. + Fasce'!$W$84:$AA$84,0),1,1)),0)),"")</f>
        <v/>
      </c>
      <c r="P154" s="62" t="str">
        <f t="shared" ca="1" si="75"/>
        <v/>
      </c>
      <c r="Q154" s="59" t="str">
        <f t="shared" si="74"/>
        <v/>
      </c>
      <c r="R154" s="62" t="str">
        <f ca="1">IF(ISNUMBER(Q154),INDIRECT("B" &amp; 84 + MATCH(Q154,INDIRECT(ADDRESS(85,22+MATCH($P$27,'I.A. + Fasce'!$W$84:$AA$84,0),1,1) &amp; ":" &amp; ADDRESS(305,22+MATCH($P$27,'I.A. + Fasce'!$W$84:$AA$84,0),1,1)),0)),"")</f>
        <v/>
      </c>
      <c r="S154" s="62" t="str">
        <f t="shared" ca="1" si="76"/>
        <v/>
      </c>
      <c r="U154" s="311"/>
      <c r="V154" s="311"/>
      <c r="W154" s="56">
        <f t="shared" ca="1" si="85"/>
        <v>107</v>
      </c>
      <c r="X154" s="56">
        <f t="shared" ca="1" si="86"/>
        <v>106</v>
      </c>
      <c r="Y154" s="56">
        <f t="shared" ca="1" si="87"/>
        <v>103</v>
      </c>
      <c r="Z154" s="56">
        <f t="shared" ca="1" si="88"/>
        <v>144</v>
      </c>
      <c r="AA154" s="56">
        <f t="shared" ca="1" si="89"/>
        <v>143</v>
      </c>
      <c r="AB154" s="56">
        <f ca="1">_xlfn.CEILING.MATH(INDIRECT(ADDRESS(85,22+MATCH($P$27,'I.A. + Fasce'!$W$84:$AA$84,0),1,1) &amp; ":" &amp; ADDRESS(305,22+MATCH($P$27,'I.A. + Fasce'!$W$84:$AA$84,0),1,1))/Asta!$H$3)</f>
        <v>14</v>
      </c>
      <c r="AD154" s="56"/>
      <c r="AE154" s="56">
        <f>'Mia rosa + Org. Finanza'!AH151</f>
        <v>0</v>
      </c>
      <c r="AF154" s="56">
        <f>'Mia rosa + Org. Finanza'!AI151</f>
        <v>0</v>
      </c>
      <c r="AG154" s="56">
        <f>'Mia rosa + Org. Finanza'!AJ151</f>
        <v>0</v>
      </c>
    </row>
    <row r="155" spans="1:33" ht="14.25" customHeight="1">
      <c r="A155" s="238" t="str">
        <f ca="1">IF(Giocatori!G79="","D",Giocatori!G79)</f>
        <v>D</v>
      </c>
      <c r="B155" s="238" t="str">
        <f ca="1">IF(Giocatori!H79="","ZZZ" &amp; ROW(),Giocatori!H79)</f>
        <v>FAZIO</v>
      </c>
      <c r="C155" s="238" t="str">
        <f ca="1">IF(Giocatori!I79="","NDR" &amp; ROW(),Giocatori!I79)</f>
        <v>Roma</v>
      </c>
      <c r="D155" s="63">
        <f t="shared" ca="1" si="77"/>
        <v>84.001549999999995</v>
      </c>
      <c r="E155" s="63">
        <f t="shared" ca="1" si="78"/>
        <v>41.001550000000002</v>
      </c>
      <c r="F155" s="64">
        <f t="shared" ca="1" si="79"/>
        <v>76.512492520020814</v>
      </c>
      <c r="G155" s="63" t="str">
        <f t="shared" ca="1" si="80"/>
        <v/>
      </c>
      <c r="H155" s="65">
        <f t="shared" ca="1" si="81"/>
        <v>60</v>
      </c>
      <c r="I155" s="63" t="str">
        <f t="shared" ca="1" si="82"/>
        <v/>
      </c>
      <c r="J155" s="63">
        <f t="shared" ca="1" si="83"/>
        <v>8.0105476204640151</v>
      </c>
      <c r="K155" s="63">
        <f t="shared" ca="1" si="84"/>
        <v>7.9174409341886101</v>
      </c>
      <c r="L155" s="324">
        <f ca="1">VLOOKUP(Tabella113[[#This Row],[Calciatore]],'Raccolta Aste'!$F$2:$J$33,4,FALSE)*Asta!$U$3/100</f>
        <v>6.65</v>
      </c>
      <c r="N155" s="59" t="str">
        <f t="shared" si="73"/>
        <v/>
      </c>
      <c r="O155" s="62" t="str">
        <f ca="1">IF(ISNUMBER(N155),INDIRECT("B" &amp; 84 + MATCH(N155,INDIRECT(ADDRESS(85,22+MATCH($P$27,'I.A. + Fasce'!$W$84:$AA$84,0),1,1) &amp; ":" &amp; ADDRESS(305,22+MATCH($P$27,'I.A. + Fasce'!$W$84:$AA$84,0),1,1)),0)),"")</f>
        <v/>
      </c>
      <c r="P155" s="62" t="str">
        <f t="shared" ca="1" si="75"/>
        <v/>
      </c>
      <c r="Q155" s="59" t="str">
        <f t="shared" si="74"/>
        <v/>
      </c>
      <c r="R155" s="62" t="str">
        <f ca="1">IF(ISNUMBER(Q155),INDIRECT("B" &amp; 84 + MATCH(Q155,INDIRECT(ADDRESS(85,22+MATCH($P$27,'I.A. + Fasce'!$W$84:$AA$84,0),1,1) &amp; ":" &amp; ADDRESS(305,22+MATCH($P$27,'I.A. + Fasce'!$W$84:$AA$84,0),1,1)),0)),"")</f>
        <v/>
      </c>
      <c r="S155" s="62" t="str">
        <f t="shared" ca="1" si="76"/>
        <v/>
      </c>
      <c r="U155" s="311"/>
      <c r="V155" s="311"/>
      <c r="W155" s="56">
        <f t="shared" ca="1" si="85"/>
        <v>16</v>
      </c>
      <c r="X155" s="56">
        <f t="shared" ca="1" si="86"/>
        <v>41</v>
      </c>
      <c r="Y155" s="56">
        <f t="shared" ca="1" si="87"/>
        <v>20</v>
      </c>
      <c r="Z155" s="56">
        <f t="shared" ca="1" si="88"/>
        <v>29</v>
      </c>
      <c r="AA155" s="56">
        <f t="shared" ca="1" si="89"/>
        <v>30</v>
      </c>
      <c r="AB155" s="56">
        <f ca="1">_xlfn.CEILING.MATH(INDIRECT(ADDRESS(85,22+MATCH($P$27,'I.A. + Fasce'!$W$84:$AA$84,0),1,1) &amp; ":" &amp; ADDRESS(305,22+MATCH($P$27,'I.A. + Fasce'!$W$84:$AA$84,0),1,1))/Asta!$H$3)</f>
        <v>6</v>
      </c>
      <c r="AD155" s="56"/>
      <c r="AE155" s="56">
        <f>'Mia rosa + Org. Finanza'!AH152</f>
        <v>0</v>
      </c>
      <c r="AF155" s="56">
        <f>'Mia rosa + Org. Finanza'!AI152</f>
        <v>0</v>
      </c>
      <c r="AG155" s="56">
        <f>'Mia rosa + Org. Finanza'!AJ152</f>
        <v>0</v>
      </c>
    </row>
    <row r="156" spans="1:33" ht="14.25" customHeight="1">
      <c r="A156" s="238" t="str">
        <f ca="1">IF(Giocatori!G80="","D",Giocatori!G80)</f>
        <v>D</v>
      </c>
      <c r="B156" s="238" t="str">
        <f ca="1">IF(Giocatori!H80="","ZZZ" &amp; ROW(),Giocatori!H80)</f>
        <v>FELICIOLI</v>
      </c>
      <c r="C156" s="238" t="str">
        <f ca="1">IF(Giocatori!I80="","NDR" &amp; ROW(),Giocatori!I80)</f>
        <v>Verona</v>
      </c>
      <c r="D156" s="63">
        <f t="shared" ca="1" si="77"/>
        <v>55.001559999999998</v>
      </c>
      <c r="E156" s="63">
        <f t="shared" ca="1" si="78"/>
        <v>34.001559999999998</v>
      </c>
      <c r="F156" s="64">
        <f t="shared" ca="1" si="79"/>
        <v>54.137337353613326</v>
      </c>
      <c r="G156" s="63" t="str">
        <f t="shared" ca="1" si="80"/>
        <v/>
      </c>
      <c r="H156" s="65">
        <f t="shared" ca="1" si="81"/>
        <v>50</v>
      </c>
      <c r="I156" s="63" t="str">
        <f t="shared" ca="1" si="82"/>
        <v/>
      </c>
      <c r="J156" s="63">
        <f t="shared" ca="1" si="83"/>
        <v>1.00156</v>
      </c>
      <c r="K156" s="63">
        <f t="shared" ca="1" si="84"/>
        <v>1.00156</v>
      </c>
      <c r="L156" s="324" t="e">
        <f ca="1">VLOOKUP(Tabella113[[#This Row],[Calciatore]],'Raccolta Aste'!$F$2:$J$33,4,FALSE)*Asta!$U$3/100</f>
        <v>#N/A</v>
      </c>
      <c r="N156" s="59" t="str">
        <f t="shared" si="73"/>
        <v/>
      </c>
      <c r="O156" s="62" t="str">
        <f ca="1">IF(ISNUMBER(N156),INDIRECT("B" &amp; 84 + MATCH(N156,INDIRECT(ADDRESS(85,22+MATCH($P$27,'I.A. + Fasce'!$W$84:$AA$84,0),1,1) &amp; ":" &amp; ADDRESS(305,22+MATCH($P$27,'I.A. + Fasce'!$W$84:$AA$84,0),1,1)),0)),"")</f>
        <v/>
      </c>
      <c r="P156" s="62" t="str">
        <f t="shared" ca="1" si="75"/>
        <v/>
      </c>
      <c r="Q156" s="59" t="str">
        <f t="shared" si="74"/>
        <v/>
      </c>
      <c r="R156" s="62" t="str">
        <f ca="1">IF(ISNUMBER(Q156),INDIRECT("B" &amp; 84 + MATCH(Q156,INDIRECT(ADDRESS(85,22+MATCH($P$27,'I.A. + Fasce'!$W$84:$AA$84,0),1,1) &amp; ":" &amp; ADDRESS(305,22+MATCH($P$27,'I.A. + Fasce'!$W$84:$AA$84,0),1,1)),0)),"")</f>
        <v/>
      </c>
      <c r="S156" s="62" t="str">
        <f t="shared" ca="1" si="76"/>
        <v/>
      </c>
      <c r="U156" s="311"/>
      <c r="V156" s="311"/>
      <c r="W156" s="56">
        <f t="shared" ca="1" si="85"/>
        <v>174</v>
      </c>
      <c r="X156" s="56">
        <f t="shared" ca="1" si="86"/>
        <v>135</v>
      </c>
      <c r="Y156" s="56">
        <f t="shared" ca="1" si="87"/>
        <v>156</v>
      </c>
      <c r="Z156" s="56">
        <f t="shared" ca="1" si="88"/>
        <v>143</v>
      </c>
      <c r="AA156" s="56">
        <f t="shared" ca="1" si="89"/>
        <v>142</v>
      </c>
      <c r="AB156" s="56">
        <f ca="1">_xlfn.CEILING.MATH(INDIRECT(ADDRESS(85,22+MATCH($P$27,'I.A. + Fasce'!$W$84:$AA$84,0),1,1) &amp; ":" &amp; ADDRESS(305,22+MATCH($P$27,'I.A. + Fasce'!$W$84:$AA$84,0),1,1))/Asta!$H$3)</f>
        <v>17</v>
      </c>
      <c r="AD156" s="56"/>
      <c r="AE156" s="56">
        <f>'Mia rosa + Org. Finanza'!AH153</f>
        <v>0</v>
      </c>
      <c r="AF156" s="56">
        <f>'Mia rosa + Org. Finanza'!AI153</f>
        <v>0</v>
      </c>
      <c r="AG156" s="56">
        <f>'Mia rosa + Org. Finanza'!AJ153</f>
        <v>0</v>
      </c>
    </row>
    <row r="157" spans="1:33" ht="14.25" customHeight="1">
      <c r="A157" s="238" t="str">
        <f ca="1">IF(Giocatori!G81="","D",Giocatori!G81)</f>
        <v>D</v>
      </c>
      <c r="B157" s="238" t="str">
        <f ca="1">IF(Giocatori!H81="","ZZZ" &amp; ROW(),Giocatori!H81)</f>
        <v>FELIPE</v>
      </c>
      <c r="C157" s="238" t="str">
        <f ca="1">IF(Giocatori!I81="","NDR" &amp; ROW(),Giocatori!I81)</f>
        <v>SPAL</v>
      </c>
      <c r="D157" s="63">
        <f t="shared" ca="1" si="77"/>
        <v>75.001570000000001</v>
      </c>
      <c r="E157" s="63">
        <f t="shared" ca="1" si="78"/>
        <v>37.001570000000001</v>
      </c>
      <c r="F157" s="64">
        <f t="shared" ca="1" si="79"/>
        <v>67.412441520540838</v>
      </c>
      <c r="G157" s="63" t="str">
        <f t="shared" ca="1" si="80"/>
        <v/>
      </c>
      <c r="H157" s="65">
        <f t="shared" ca="1" si="81"/>
        <v>70</v>
      </c>
      <c r="I157" s="63" t="str">
        <f t="shared" ca="1" si="82"/>
        <v/>
      </c>
      <c r="J157" s="63">
        <f t="shared" ca="1" si="83"/>
        <v>1.0015700000000001</v>
      </c>
      <c r="K157" s="63">
        <f t="shared" ca="1" si="84"/>
        <v>1.0015700000000001</v>
      </c>
      <c r="L157" s="324" t="e">
        <f ca="1">VLOOKUP(Tabella113[[#This Row],[Calciatore]],'Raccolta Aste'!$F$2:$J$33,4,FALSE)*Asta!$U$3/100</f>
        <v>#N/A</v>
      </c>
      <c r="N157" s="58"/>
      <c r="O157" s="58"/>
      <c r="P157" s="58"/>
      <c r="Q157" s="58"/>
      <c r="R157" s="58"/>
      <c r="S157" s="58"/>
      <c r="U157" s="311"/>
      <c r="V157" s="311"/>
      <c r="W157" s="56">
        <f t="shared" ca="1" si="85"/>
        <v>48</v>
      </c>
      <c r="X157" s="56">
        <f t="shared" ca="1" si="86"/>
        <v>95</v>
      </c>
      <c r="Y157" s="56">
        <f t="shared" ca="1" si="87"/>
        <v>73</v>
      </c>
      <c r="Z157" s="56">
        <f t="shared" ca="1" si="88"/>
        <v>142</v>
      </c>
      <c r="AA157" s="56">
        <f t="shared" ca="1" si="89"/>
        <v>141</v>
      </c>
      <c r="AB157" s="56">
        <f ca="1">_xlfn.CEILING.MATH(INDIRECT(ADDRESS(85,22+MATCH($P$27,'I.A. + Fasce'!$W$84:$AA$84,0),1,1) &amp; ":" &amp; ADDRESS(305,22+MATCH($P$27,'I.A. + Fasce'!$W$84:$AA$84,0),1,1))/Asta!$H$3)</f>
        <v>12</v>
      </c>
      <c r="AD157" s="56"/>
      <c r="AE157" s="56">
        <f>'Mia rosa + Org. Finanza'!AH154</f>
        <v>0</v>
      </c>
      <c r="AF157" s="56">
        <f>'Mia rosa + Org. Finanza'!AI154</f>
        <v>0</v>
      </c>
      <c r="AG157" s="56">
        <f>'Mia rosa + Org. Finanza'!AJ154</f>
        <v>0</v>
      </c>
    </row>
    <row r="158" spans="1:33" ht="14.25" customHeight="1">
      <c r="A158" s="238" t="str">
        <f ca="1">IF(Giocatori!G82="","D",Giocatori!G82)</f>
        <v>D</v>
      </c>
      <c r="B158" s="238" t="str">
        <f ca="1">IF(Giocatori!H82="","ZZZ" &amp; ROW(),Giocatori!H82)</f>
        <v>FERRARI A</v>
      </c>
      <c r="C158" s="238" t="str">
        <f ca="1">IF(Giocatori!I82="","NDR" &amp; ROW(),Giocatori!I82)</f>
        <v>Verona</v>
      </c>
      <c r="D158" s="63">
        <f t="shared" ca="1" si="77"/>
        <v>66.001580000000004</v>
      </c>
      <c r="E158" s="63">
        <f t="shared" ca="1" si="78"/>
        <v>35.001579999999997</v>
      </c>
      <c r="F158" s="64">
        <f t="shared" ca="1" si="79"/>
        <v>60.712415020803327</v>
      </c>
      <c r="G158" s="63" t="str">
        <f t="shared" ca="1" si="80"/>
        <v/>
      </c>
      <c r="H158" s="65">
        <f t="shared" ca="1" si="81"/>
        <v>70</v>
      </c>
      <c r="I158" s="63" t="str">
        <f t="shared" ca="1" si="82"/>
        <v/>
      </c>
      <c r="J158" s="63">
        <f t="shared" ca="1" si="83"/>
        <v>1.0015799999999999</v>
      </c>
      <c r="K158" s="63">
        <f t="shared" ca="1" si="84"/>
        <v>1.0015799999999999</v>
      </c>
      <c r="L158" s="324" t="e">
        <f ca="1">VLOOKUP(Tabella113[[#This Row],[Calciatore]],'Raccolta Aste'!$F$2:$J$33,4,FALSE)*Asta!$U$3/100</f>
        <v>#N/A</v>
      </c>
      <c r="N158" s="58"/>
      <c r="O158" s="58"/>
      <c r="P158" s="58"/>
      <c r="Q158" s="58"/>
      <c r="R158" s="58"/>
      <c r="S158" s="58"/>
      <c r="U158" s="311"/>
      <c r="V158" s="311"/>
      <c r="W158" s="56">
        <f t="shared" ca="1" si="85"/>
        <v>127</v>
      </c>
      <c r="X158" s="56">
        <f t="shared" ca="1" si="86"/>
        <v>118</v>
      </c>
      <c r="Y158" s="56">
        <f t="shared" ca="1" si="87"/>
        <v>121</v>
      </c>
      <c r="Z158" s="56">
        <f t="shared" ca="1" si="88"/>
        <v>141</v>
      </c>
      <c r="AA158" s="56">
        <f t="shared" ca="1" si="89"/>
        <v>140</v>
      </c>
      <c r="AB158" s="56">
        <f ca="1">_xlfn.CEILING.MATH(INDIRECT(ADDRESS(85,22+MATCH($P$27,'I.A. + Fasce'!$W$84:$AA$84,0),1,1) &amp; ":" &amp; ADDRESS(305,22+MATCH($P$27,'I.A. + Fasce'!$W$84:$AA$84,0),1,1))/Asta!$H$3)</f>
        <v>15</v>
      </c>
      <c r="AD158" s="56"/>
      <c r="AE158" s="56">
        <f>'Mia rosa + Org. Finanza'!AH155</f>
        <v>0</v>
      </c>
      <c r="AF158" s="56">
        <f>'Mia rosa + Org. Finanza'!AI155</f>
        <v>0</v>
      </c>
      <c r="AG158" s="56">
        <f>'Mia rosa + Org. Finanza'!AJ155</f>
        <v>0</v>
      </c>
    </row>
    <row r="159" spans="1:33" ht="14.25" customHeight="1">
      <c r="A159" s="238" t="str">
        <f ca="1">IF(Giocatori!G83="","D",Giocatori!G83)</f>
        <v>D</v>
      </c>
      <c r="B159" s="238" t="str">
        <f ca="1">IF(Giocatori!H83="","ZZZ" &amp; ROW(),Giocatori!H83)</f>
        <v>FERRARI G</v>
      </c>
      <c r="C159" s="238" t="str">
        <f ca="1">IF(Giocatori!I83="","NDR" &amp; ROW(),Giocatori!I83)</f>
        <v>Sampdoria</v>
      </c>
      <c r="D159" s="63">
        <f t="shared" ca="1" si="77"/>
        <v>76.001589999999993</v>
      </c>
      <c r="E159" s="63">
        <f t="shared" ca="1" si="78"/>
        <v>40.00159</v>
      </c>
      <c r="F159" s="64">
        <f t="shared" ca="1" si="79"/>
        <v>71.337573354400831</v>
      </c>
      <c r="G159" s="63" t="str">
        <f t="shared" ca="1" si="80"/>
        <v/>
      </c>
      <c r="H159" s="65">
        <f t="shared" ca="1" si="81"/>
        <v>80</v>
      </c>
      <c r="I159" s="63" t="str">
        <f t="shared" ca="1" si="82"/>
        <v/>
      </c>
      <c r="J159" s="63">
        <f t="shared" ca="1" si="83"/>
        <v>4.4694166904620332</v>
      </c>
      <c r="K159" s="63">
        <f t="shared" ca="1" si="84"/>
        <v>3.6445827544346656</v>
      </c>
      <c r="L159" s="324" t="e">
        <f ca="1">VLOOKUP(Tabella113[[#This Row],[Calciatore]],'Raccolta Aste'!$F$2:$J$33,4,FALSE)*Asta!$U$3/100</f>
        <v>#N/A</v>
      </c>
      <c r="N159" s="58"/>
      <c r="O159" s="58"/>
      <c r="P159" s="58"/>
      <c r="Q159" s="58"/>
      <c r="R159" s="58"/>
      <c r="S159" s="58"/>
      <c r="U159" s="311"/>
      <c r="V159" s="311"/>
      <c r="W159" s="56">
        <f t="shared" ca="1" si="85"/>
        <v>42</v>
      </c>
      <c r="X159" s="56">
        <f t="shared" ca="1" si="86"/>
        <v>54</v>
      </c>
      <c r="Y159" s="56">
        <f t="shared" ca="1" si="87"/>
        <v>44</v>
      </c>
      <c r="Z159" s="56">
        <f t="shared" ca="1" si="88"/>
        <v>50</v>
      </c>
      <c r="AA159" s="56">
        <f t="shared" ca="1" si="89"/>
        <v>52</v>
      </c>
      <c r="AB159" s="56">
        <f ca="1">_xlfn.CEILING.MATH(INDIRECT(ADDRESS(85,22+MATCH($P$27,'I.A. + Fasce'!$W$84:$AA$84,0),1,1) &amp; ":" &amp; ADDRESS(305,22+MATCH($P$27,'I.A. + Fasce'!$W$84:$AA$84,0),1,1))/Asta!$H$3)</f>
        <v>7</v>
      </c>
      <c r="AD159" s="56"/>
      <c r="AE159" s="56">
        <f>'Mia rosa + Org. Finanza'!AH156</f>
        <v>0</v>
      </c>
      <c r="AF159" s="56">
        <f>'Mia rosa + Org. Finanza'!AI156</f>
        <v>0</v>
      </c>
      <c r="AG159" s="56">
        <f>'Mia rosa + Org. Finanza'!AJ156</f>
        <v>0</v>
      </c>
    </row>
    <row r="160" spans="1:33" ht="14.25" customHeight="1">
      <c r="A160" s="238" t="str">
        <f ca="1">IF(Giocatori!G84="","D",Giocatori!G84)</f>
        <v>D</v>
      </c>
      <c r="B160" s="238" t="str">
        <f ca="1">IF(Giocatori!H84="","ZZZ" &amp; ROW(),Giocatori!H84)</f>
        <v>FLORENZI</v>
      </c>
      <c r="C160" s="238" t="str">
        <f ca="1">IF(Giocatori!I84="","NDR" &amp; ROW(),Giocatori!I84)</f>
        <v>Roma</v>
      </c>
      <c r="D160" s="63">
        <f t="shared" ca="1" si="77"/>
        <v>83.001599999999996</v>
      </c>
      <c r="E160" s="63">
        <f t="shared" ca="1" si="78"/>
        <v>44.001600000000003</v>
      </c>
      <c r="F160" s="64">
        <f t="shared" ca="1" si="79"/>
        <v>79.637706687999994</v>
      </c>
      <c r="G160" s="63" t="str">
        <f t="shared" ca="1" si="80"/>
        <v>CONSIGLIATO</v>
      </c>
      <c r="H160" s="65">
        <f t="shared" ca="1" si="81"/>
        <v>60</v>
      </c>
      <c r="I160" s="63" t="str">
        <f t="shared" ca="1" si="82"/>
        <v/>
      </c>
      <c r="J160" s="63">
        <f t="shared" ca="1" si="83"/>
        <v>12.742019522991654</v>
      </c>
      <c r="K160" s="63">
        <f t="shared" ca="1" si="84"/>
        <v>12.829072835055669</v>
      </c>
      <c r="L160" s="324">
        <f ca="1">VLOOKUP(Tabella113[[#This Row],[Calciatore]],'Raccolta Aste'!$F$2:$J$33,4,FALSE)*Asta!$U$3/100</f>
        <v>9.625</v>
      </c>
      <c r="N160" s="58"/>
      <c r="O160" s="58"/>
      <c r="P160" s="58"/>
      <c r="Q160" s="58"/>
      <c r="R160" s="58"/>
      <c r="S160" s="58"/>
      <c r="U160" s="311"/>
      <c r="V160" s="311"/>
      <c r="W160" s="56">
        <f t="shared" ca="1" si="85"/>
        <v>19</v>
      </c>
      <c r="X160" s="56">
        <f t="shared" ca="1" si="86"/>
        <v>10</v>
      </c>
      <c r="Y160" s="56">
        <f t="shared" ca="1" si="87"/>
        <v>15</v>
      </c>
      <c r="Z160" s="56">
        <f t="shared" ca="1" si="88"/>
        <v>15</v>
      </c>
      <c r="AA160" s="56">
        <f t="shared" ca="1" si="89"/>
        <v>15</v>
      </c>
      <c r="AB160" s="56">
        <f ca="1">_xlfn.CEILING.MATH(INDIRECT(ADDRESS(85,22+MATCH($P$27,'I.A. + Fasce'!$W$84:$AA$84,0),1,1) &amp; ":" &amp; ADDRESS(305,22+MATCH($P$27,'I.A. + Fasce'!$W$84:$AA$84,0),1,1))/Asta!$H$3)</f>
        <v>2</v>
      </c>
      <c r="AD160" s="56"/>
      <c r="AE160" s="56">
        <f>'Mia rosa + Org. Finanza'!AH157</f>
        <v>0</v>
      </c>
      <c r="AF160" s="56">
        <f>'Mia rosa + Org. Finanza'!AI157</f>
        <v>0</v>
      </c>
      <c r="AG160" s="56">
        <f>'Mia rosa + Org. Finanza'!AJ157</f>
        <v>0</v>
      </c>
    </row>
    <row r="161" spans="1:33" ht="14.25" customHeight="1">
      <c r="A161" s="238" t="str">
        <f ca="1">IF(Giocatori!G85="","D",Giocatori!G85)</f>
        <v>D</v>
      </c>
      <c r="B161" s="238" t="str">
        <f ca="1">IF(Giocatori!H85="","ZZZ" &amp; ROW(),Giocatori!H85)</f>
        <v>FREY</v>
      </c>
      <c r="C161" s="238" t="str">
        <f ca="1">IF(Giocatori!I85="","NDR" &amp; ROW(),Giocatori!I85)</f>
        <v>Chievo</v>
      </c>
      <c r="D161" s="63">
        <f t="shared" ca="1" si="77"/>
        <v>58.001609999999999</v>
      </c>
      <c r="E161" s="63">
        <f t="shared" ca="1" si="78"/>
        <v>23.001609999999999</v>
      </c>
      <c r="F161" s="64">
        <f t="shared" ca="1" si="79"/>
        <v>44.912170521600835</v>
      </c>
      <c r="G161" s="63" t="str">
        <f t="shared" ca="1" si="80"/>
        <v/>
      </c>
      <c r="H161" s="65">
        <f t="shared" ca="1" si="81"/>
        <v>20</v>
      </c>
      <c r="I161" s="63" t="str">
        <f t="shared" ca="1" si="82"/>
        <v/>
      </c>
      <c r="J161" s="63">
        <f t="shared" ca="1" si="83"/>
        <v>1.0016099999999999</v>
      </c>
      <c r="K161" s="63">
        <f t="shared" ca="1" si="84"/>
        <v>1.0016099999999999</v>
      </c>
      <c r="L161" s="324" t="e">
        <f ca="1">VLOOKUP(Tabella113[[#This Row],[Calciatore]],'Raccolta Aste'!$F$2:$J$33,4,FALSE)*Asta!$U$3/100</f>
        <v>#N/A</v>
      </c>
      <c r="N161" s="58"/>
      <c r="O161" s="58"/>
      <c r="P161" s="58"/>
      <c r="Q161" s="58"/>
      <c r="R161" s="58"/>
      <c r="S161" s="58"/>
      <c r="U161" s="311"/>
      <c r="V161" s="311"/>
      <c r="W161" s="56">
        <f t="shared" ca="1" si="85"/>
        <v>167</v>
      </c>
      <c r="X161" s="56">
        <f t="shared" ca="1" si="86"/>
        <v>182</v>
      </c>
      <c r="Y161" s="56">
        <f t="shared" ca="1" si="87"/>
        <v>181</v>
      </c>
      <c r="Z161" s="56">
        <f t="shared" ca="1" si="88"/>
        <v>140</v>
      </c>
      <c r="AA161" s="56">
        <f t="shared" ca="1" si="89"/>
        <v>139</v>
      </c>
      <c r="AB161" s="56">
        <f ca="1">_xlfn.CEILING.MATH(INDIRECT(ADDRESS(85,22+MATCH($P$27,'I.A. + Fasce'!$W$84:$AA$84,0),1,1) &amp; ":" &amp; ADDRESS(305,22+MATCH($P$27,'I.A. + Fasce'!$W$84:$AA$84,0),1,1))/Asta!$H$3)</f>
        <v>23</v>
      </c>
      <c r="AD161" s="56"/>
      <c r="AE161" s="56">
        <f>'Mia rosa + Org. Finanza'!AH158</f>
        <v>0</v>
      </c>
      <c r="AF161" s="56">
        <f>'Mia rosa + Org. Finanza'!AI158</f>
        <v>0</v>
      </c>
      <c r="AG161" s="56">
        <f>'Mia rosa + Org. Finanza'!AJ158</f>
        <v>0</v>
      </c>
    </row>
    <row r="162" spans="1:33" ht="14.25" customHeight="1">
      <c r="A162" s="238" t="str">
        <f ca="1">IF(Giocatori!G86="","D",Giocatori!G86)</f>
        <v>D</v>
      </c>
      <c r="B162" s="238" t="str">
        <f ca="1">IF(Giocatori!H86="","ZZZ" &amp; ROW(),Giocatori!H86)</f>
        <v>GAMBERINI</v>
      </c>
      <c r="C162" s="238" t="str">
        <f ca="1">IF(Giocatori!I86="","NDR" &amp; ROW(),Giocatori!I86)</f>
        <v>Chievo</v>
      </c>
      <c r="D162" s="63">
        <f t="shared" ca="1" si="77"/>
        <v>73.001620000000003</v>
      </c>
      <c r="E162" s="63">
        <f t="shared" ca="1" si="78"/>
        <v>36.001620000000003</v>
      </c>
      <c r="F162" s="64">
        <f t="shared" ca="1" si="79"/>
        <v>65.304212021870001</v>
      </c>
      <c r="G162" s="63" t="str">
        <f t="shared" ca="1" si="80"/>
        <v/>
      </c>
      <c r="H162" s="65">
        <f t="shared" ca="1" si="81"/>
        <v>60</v>
      </c>
      <c r="I162" s="63" t="str">
        <f t="shared" ca="1" si="82"/>
        <v/>
      </c>
      <c r="J162" s="63">
        <f t="shared" ca="1" si="83"/>
        <v>1.00162</v>
      </c>
      <c r="K162" s="63">
        <f t="shared" ca="1" si="84"/>
        <v>1.00162</v>
      </c>
      <c r="L162" s="324" t="e">
        <f ca="1">VLOOKUP(Tabella113[[#This Row],[Calciatore]],'Raccolta Aste'!$F$2:$J$33,4,FALSE)*Asta!$U$3/100</f>
        <v>#N/A</v>
      </c>
      <c r="N162" s="58"/>
      <c r="O162" s="58"/>
      <c r="P162" s="58"/>
      <c r="Q162" s="58"/>
      <c r="R162" s="58"/>
      <c r="S162" s="58"/>
      <c r="U162" s="311"/>
      <c r="V162" s="311"/>
      <c r="W162" s="56">
        <f t="shared" ca="1" si="85"/>
        <v>69</v>
      </c>
      <c r="X162" s="56">
        <f t="shared" ca="1" si="86"/>
        <v>105</v>
      </c>
      <c r="Y162" s="56">
        <f t="shared" ca="1" si="87"/>
        <v>85</v>
      </c>
      <c r="Z162" s="56">
        <f t="shared" ca="1" si="88"/>
        <v>139</v>
      </c>
      <c r="AA162" s="56">
        <f t="shared" ca="1" si="89"/>
        <v>138</v>
      </c>
      <c r="AB162" s="56">
        <f ca="1">_xlfn.CEILING.MATH(INDIRECT(ADDRESS(85,22+MATCH($P$27,'I.A. + Fasce'!$W$84:$AA$84,0),1,1) &amp; ":" &amp; ADDRESS(305,22+MATCH($P$27,'I.A. + Fasce'!$W$84:$AA$84,0),1,1))/Asta!$H$3)</f>
        <v>14</v>
      </c>
      <c r="AD162" s="56"/>
      <c r="AE162" s="56">
        <f>'Mia rosa + Org. Finanza'!AH159</f>
        <v>0</v>
      </c>
      <c r="AF162" s="56">
        <f>'Mia rosa + Org. Finanza'!AI159</f>
        <v>0</v>
      </c>
      <c r="AG162" s="56">
        <f>'Mia rosa + Org. Finanza'!AJ159</f>
        <v>0</v>
      </c>
    </row>
    <row r="163" spans="1:33" ht="14.25" customHeight="1">
      <c r="A163" s="238" t="str">
        <f ca="1">IF(Giocatori!G87="","D",Giocatori!G87)</f>
        <v>D</v>
      </c>
      <c r="B163" s="238" t="str">
        <f ca="1">IF(Giocatori!H87="","ZZZ" &amp; ROW(),Giocatori!H87)</f>
        <v>GASPAR</v>
      </c>
      <c r="C163" s="238" t="str">
        <f ca="1">IF(Giocatori!I87="","NDR" &amp; ROW(),Giocatori!I87)</f>
        <v>Fiorentina</v>
      </c>
      <c r="D163" s="63">
        <f t="shared" ca="1" si="77"/>
        <v>74.001630000000006</v>
      </c>
      <c r="E163" s="63">
        <f t="shared" ca="1" si="78"/>
        <v>38.001629999999999</v>
      </c>
      <c r="F163" s="64">
        <f t="shared" ca="1" si="79"/>
        <v>68.037625688807509</v>
      </c>
      <c r="G163" s="63" t="str">
        <f t="shared" ca="1" si="80"/>
        <v/>
      </c>
      <c r="H163" s="65">
        <f t="shared" ca="1" si="81"/>
        <v>70</v>
      </c>
      <c r="I163" s="63" t="str">
        <f t="shared" ca="1" si="82"/>
        <v/>
      </c>
      <c r="J163" s="63">
        <f t="shared" ca="1" si="83"/>
        <v>1.211847132659146</v>
      </c>
      <c r="K163" s="63">
        <f t="shared" ca="1" si="84"/>
        <v>1.00163</v>
      </c>
      <c r="L163" s="324" t="e">
        <f ca="1">VLOOKUP(Tabella113[[#This Row],[Calciatore]],'Raccolta Aste'!$F$2:$J$33,4,FALSE)*Asta!$U$3/100</f>
        <v>#N/A</v>
      </c>
      <c r="N163" s="58"/>
      <c r="O163" s="58"/>
      <c r="P163" s="58"/>
      <c r="Q163" s="58"/>
      <c r="R163" s="58"/>
      <c r="S163" s="58"/>
      <c r="U163" s="311"/>
      <c r="V163" s="311"/>
      <c r="W163" s="56">
        <f t="shared" ca="1" si="85"/>
        <v>57</v>
      </c>
      <c r="X163" s="56">
        <f t="shared" ca="1" si="86"/>
        <v>78</v>
      </c>
      <c r="Y163" s="56">
        <f t="shared" ca="1" si="87"/>
        <v>70</v>
      </c>
      <c r="Z163" s="56">
        <f t="shared" ca="1" si="88"/>
        <v>73</v>
      </c>
      <c r="AA163" s="56">
        <f t="shared" ca="1" si="89"/>
        <v>137</v>
      </c>
      <c r="AB163" s="56">
        <f ca="1">_xlfn.CEILING.MATH(INDIRECT(ADDRESS(85,22+MATCH($P$27,'I.A. + Fasce'!$W$84:$AA$84,0),1,1) &amp; ":" &amp; ADDRESS(305,22+MATCH($P$27,'I.A. + Fasce'!$W$84:$AA$84,0),1,1))/Asta!$H$3)</f>
        <v>10</v>
      </c>
      <c r="AD163" s="56"/>
      <c r="AE163" s="56">
        <f>'Mia rosa + Org. Finanza'!AH160</f>
        <v>0</v>
      </c>
      <c r="AF163" s="56">
        <f>'Mia rosa + Org. Finanza'!AI160</f>
        <v>0</v>
      </c>
      <c r="AG163" s="56">
        <f>'Mia rosa + Org. Finanza'!AJ160</f>
        <v>0</v>
      </c>
    </row>
    <row r="164" spans="1:33" ht="14.25" customHeight="1">
      <c r="A164" s="238" t="str">
        <f ca="1">IF(Giocatori!G88="","D",Giocatori!G88)</f>
        <v>D</v>
      </c>
      <c r="B164" s="238" t="str">
        <f ca="1">IF(Giocatori!H88="","ZZZ" &amp; ROW(),Giocatori!H88)</f>
        <v>GAZZOLA</v>
      </c>
      <c r="C164" s="238" t="str">
        <f ca="1">IF(Giocatori!I88="","NDR" &amp; ROW(),Giocatori!I88)</f>
        <v>Sassuolo</v>
      </c>
      <c r="D164" s="63">
        <f t="shared" ca="1" si="77"/>
        <v>60.001640000000002</v>
      </c>
      <c r="E164" s="63">
        <f t="shared" ca="1" si="78"/>
        <v>29.001639999999998</v>
      </c>
      <c r="F164" s="64">
        <f t="shared" ca="1" si="79"/>
        <v>51.512406022413337</v>
      </c>
      <c r="G164" s="63" t="str">
        <f t="shared" ca="1" si="80"/>
        <v/>
      </c>
      <c r="H164" s="65">
        <f t="shared" ca="1" si="81"/>
        <v>60</v>
      </c>
      <c r="I164" s="63" t="str">
        <f t="shared" ca="1" si="82"/>
        <v/>
      </c>
      <c r="J164" s="63">
        <f t="shared" ca="1" si="83"/>
        <v>1.0016400000000001</v>
      </c>
      <c r="K164" s="63">
        <f t="shared" ca="1" si="84"/>
        <v>1.0016400000000001</v>
      </c>
      <c r="L164" s="324" t="e">
        <f ca="1">VLOOKUP(Tabella113[[#This Row],[Calciatore]],'Raccolta Aste'!$F$2:$J$33,4,FALSE)*Asta!$U$3/100</f>
        <v>#N/A</v>
      </c>
      <c r="N164" s="58"/>
      <c r="O164" s="58"/>
      <c r="P164" s="58"/>
      <c r="Q164" s="58"/>
      <c r="R164" s="58"/>
      <c r="S164" s="58"/>
      <c r="U164" s="311"/>
      <c r="V164" s="311"/>
      <c r="W164" s="56">
        <f t="shared" ca="1" si="85"/>
        <v>154</v>
      </c>
      <c r="X164" s="56">
        <f t="shared" ca="1" si="86"/>
        <v>169</v>
      </c>
      <c r="Y164" s="56">
        <f t="shared" ca="1" si="87"/>
        <v>165</v>
      </c>
      <c r="Z164" s="56">
        <f t="shared" ca="1" si="88"/>
        <v>138</v>
      </c>
      <c r="AA164" s="56">
        <f t="shared" ca="1" si="89"/>
        <v>136</v>
      </c>
      <c r="AB164" s="56">
        <f ca="1">_xlfn.CEILING.MATH(INDIRECT(ADDRESS(85,22+MATCH($P$27,'I.A. + Fasce'!$W$84:$AA$84,0),1,1) &amp; ":" &amp; ADDRESS(305,22+MATCH($P$27,'I.A. + Fasce'!$W$84:$AA$84,0),1,1))/Asta!$H$3)</f>
        <v>22</v>
      </c>
      <c r="AD164" s="56"/>
      <c r="AE164" s="56">
        <f>'Mia rosa + Org. Finanza'!AH161</f>
        <v>0</v>
      </c>
      <c r="AF164" s="56">
        <f>'Mia rosa + Org. Finanza'!AI161</f>
        <v>0</v>
      </c>
      <c r="AG164" s="56">
        <f>'Mia rosa + Org. Finanza'!AJ161</f>
        <v>0</v>
      </c>
    </row>
    <row r="165" spans="1:33" ht="14.25" customHeight="1">
      <c r="A165" s="238" t="str">
        <f ca="1">IF(Giocatori!G89="","D",Giocatori!G89)</f>
        <v>D</v>
      </c>
      <c r="B165" s="238" t="str">
        <f ca="1">IF(Giocatori!H89="","ZZZ" &amp; ROW(),Giocatori!H89)</f>
        <v>GENTILETTI</v>
      </c>
      <c r="C165" s="238" t="str">
        <f ca="1">IF(Giocatori!I89="","NDR" &amp; ROW(),Giocatori!I89)</f>
        <v>Genoa</v>
      </c>
      <c r="D165" s="63">
        <f t="shared" ca="1" si="77"/>
        <v>65.001649999999998</v>
      </c>
      <c r="E165" s="63">
        <f t="shared" ca="1" si="78"/>
        <v>35.001649999999998</v>
      </c>
      <c r="F165" s="64">
        <f t="shared" ca="1" si="79"/>
        <v>60.212595856020826</v>
      </c>
      <c r="G165" s="63" t="str">
        <f t="shared" ca="1" si="80"/>
        <v>SCONSIGLIATO</v>
      </c>
      <c r="H165" s="65">
        <f t="shared" ca="1" si="81"/>
        <v>60</v>
      </c>
      <c r="I165" s="63" t="str">
        <f t="shared" ca="1" si="82"/>
        <v/>
      </c>
      <c r="J165" s="63">
        <f t="shared" ca="1" si="83"/>
        <v>1.0016499999999999</v>
      </c>
      <c r="K165" s="63">
        <f t="shared" ca="1" si="84"/>
        <v>1.0016499999999999</v>
      </c>
      <c r="L165" s="324" t="e">
        <f ca="1">VLOOKUP(Tabella113[[#This Row],[Calciatore]],'Raccolta Aste'!$F$2:$J$33,4,FALSE)*Asta!$U$3/100</f>
        <v>#N/A</v>
      </c>
      <c r="N165" s="58"/>
      <c r="O165" s="58"/>
      <c r="P165" s="58"/>
      <c r="Q165" s="58"/>
      <c r="R165" s="58"/>
      <c r="S165" s="58"/>
      <c r="U165" s="311"/>
      <c r="V165" s="311"/>
      <c r="W165" s="56">
        <f t="shared" ca="1" si="85"/>
        <v>135</v>
      </c>
      <c r="X165" s="56">
        <f t="shared" ca="1" si="86"/>
        <v>117</v>
      </c>
      <c r="Y165" s="56">
        <f t="shared" ca="1" si="87"/>
        <v>125</v>
      </c>
      <c r="Z165" s="56">
        <f t="shared" ca="1" si="88"/>
        <v>137</v>
      </c>
      <c r="AA165" s="56">
        <f t="shared" ca="1" si="89"/>
        <v>135</v>
      </c>
      <c r="AB165" s="56">
        <f ca="1">_xlfn.CEILING.MATH(INDIRECT(ADDRESS(85,22+MATCH($P$27,'I.A. + Fasce'!$W$84:$AA$84,0),1,1) &amp; ":" &amp; ADDRESS(305,22+MATCH($P$27,'I.A. + Fasce'!$W$84:$AA$84,0),1,1))/Asta!$H$3)</f>
        <v>15</v>
      </c>
      <c r="AD165" s="56"/>
      <c r="AE165" s="56">
        <f>'Mia rosa + Org. Finanza'!AH162</f>
        <v>0</v>
      </c>
      <c r="AF165" s="56">
        <f>'Mia rosa + Org. Finanza'!AI162</f>
        <v>0</v>
      </c>
      <c r="AG165" s="56">
        <f>'Mia rosa + Org. Finanza'!AJ162</f>
        <v>0</v>
      </c>
    </row>
    <row r="166" spans="1:33" ht="14.25" customHeight="1">
      <c r="A166" s="238" t="str">
        <f ca="1">IF(Giocatori!G90="","D",Giocatori!G90)</f>
        <v>D</v>
      </c>
      <c r="B166" s="238" t="str">
        <f ca="1">IF(Giocatori!H90="","ZZZ" &amp; ROW(),Giocatori!H90)</f>
        <v>GHOULAM</v>
      </c>
      <c r="C166" s="238" t="str">
        <f ca="1">IF(Giocatori!I90="","NDR" &amp; ROW(),Giocatori!I90)</f>
        <v>Napoli</v>
      </c>
      <c r="D166" s="63">
        <f t="shared" ca="1" si="77"/>
        <v>88.001660000000001</v>
      </c>
      <c r="E166" s="63">
        <f t="shared" ca="1" si="78"/>
        <v>48.001660000000001</v>
      </c>
      <c r="F166" s="64">
        <f t="shared" ca="1" si="79"/>
        <v>87.204648022963326</v>
      </c>
      <c r="G166" s="63" t="str">
        <f t="shared" ca="1" si="80"/>
        <v/>
      </c>
      <c r="H166" s="65">
        <f t="shared" ca="1" si="81"/>
        <v>80</v>
      </c>
      <c r="I166" s="63" t="str">
        <f t="shared" ca="1" si="82"/>
        <v/>
      </c>
      <c r="J166" s="63">
        <f t="shared" ca="1" si="83"/>
        <v>19.941056192742401</v>
      </c>
      <c r="K166" s="63">
        <f t="shared" ca="1" si="84"/>
        <v>20.679186550790629</v>
      </c>
      <c r="L166" s="324">
        <f ca="1">VLOOKUP(Tabella113[[#This Row],[Calciatore]],'Raccolta Aste'!$F$2:$J$33,4,FALSE)*Asta!$U$3/100</f>
        <v>12.984999999999999</v>
      </c>
      <c r="N166" s="58"/>
      <c r="O166" s="58"/>
      <c r="P166" s="58"/>
      <c r="Q166" s="58"/>
      <c r="R166" s="58"/>
      <c r="S166" s="58"/>
      <c r="U166" s="311"/>
      <c r="V166" s="311"/>
      <c r="W166" s="56">
        <f t="shared" ca="1" si="85"/>
        <v>10</v>
      </c>
      <c r="X166" s="56">
        <f t="shared" ca="1" si="86"/>
        <v>5</v>
      </c>
      <c r="Y166" s="56">
        <f t="shared" ca="1" si="87"/>
        <v>7</v>
      </c>
      <c r="Z166" s="56">
        <f t="shared" ca="1" si="88"/>
        <v>5</v>
      </c>
      <c r="AA166" s="56">
        <f t="shared" ca="1" si="89"/>
        <v>5</v>
      </c>
      <c r="AB166" s="56">
        <f ca="1">_xlfn.CEILING.MATH(INDIRECT(ADDRESS(85,22+MATCH($P$27,'I.A. + Fasce'!$W$84:$AA$84,0),1,1) &amp; ":" &amp; ADDRESS(305,22+MATCH($P$27,'I.A. + Fasce'!$W$84:$AA$84,0),1,1))/Asta!$H$3)</f>
        <v>1</v>
      </c>
      <c r="AD166" s="56"/>
      <c r="AE166" s="56">
        <f>'Mia rosa + Org. Finanza'!AH163</f>
        <v>0</v>
      </c>
      <c r="AF166" s="56">
        <f>'Mia rosa + Org. Finanza'!AI163</f>
        <v>0</v>
      </c>
      <c r="AG166" s="56">
        <f>'Mia rosa + Org. Finanza'!AJ163</f>
        <v>0</v>
      </c>
    </row>
    <row r="167" spans="1:33" ht="14.25" customHeight="1">
      <c r="A167" s="238" t="str">
        <f ca="1">IF(Giocatori!G91="","D",Giocatori!G91)</f>
        <v>D</v>
      </c>
      <c r="B167" s="238" t="str">
        <f ca="1">IF(Giocatori!H91="","ZZZ" &amp; ROW(),Giocatori!H91)</f>
        <v>GOBBI</v>
      </c>
      <c r="C167" s="238" t="str">
        <f ca="1">IF(Giocatori!I91="","NDR" &amp; ROW(),Giocatori!I91)</f>
        <v>Chievo</v>
      </c>
      <c r="D167" s="63">
        <f t="shared" ca="1" si="77"/>
        <v>71.001670000000004</v>
      </c>
      <c r="E167" s="63">
        <f t="shared" ca="1" si="78"/>
        <v>36.001669999999997</v>
      </c>
      <c r="F167" s="64">
        <f t="shared" ca="1" si="79"/>
        <v>64.304342023240835</v>
      </c>
      <c r="G167" s="63" t="str">
        <f t="shared" ca="1" si="80"/>
        <v/>
      </c>
      <c r="H167" s="65">
        <f t="shared" ca="1" si="81"/>
        <v>80</v>
      </c>
      <c r="I167" s="63" t="str">
        <f t="shared" ca="1" si="82"/>
        <v/>
      </c>
      <c r="J167" s="63">
        <f t="shared" ca="1" si="83"/>
        <v>1.0016700000000001</v>
      </c>
      <c r="K167" s="63">
        <f t="shared" ca="1" si="84"/>
        <v>1.0016700000000001</v>
      </c>
      <c r="L167" s="324" t="e">
        <f ca="1">VLOOKUP(Tabella113[[#This Row],[Calciatore]],'Raccolta Aste'!$F$2:$J$33,4,FALSE)*Asta!$U$3/100</f>
        <v>#N/A</v>
      </c>
      <c r="N167" s="58"/>
      <c r="O167" s="58"/>
      <c r="P167" s="58"/>
      <c r="Q167" s="58"/>
      <c r="R167" s="58"/>
      <c r="S167" s="58"/>
      <c r="U167" s="311"/>
      <c r="V167" s="311"/>
      <c r="W167" s="56">
        <f t="shared" ca="1" si="85"/>
        <v>79</v>
      </c>
      <c r="X167" s="56">
        <f t="shared" ca="1" si="86"/>
        <v>104</v>
      </c>
      <c r="Y167" s="56">
        <f t="shared" ca="1" si="87"/>
        <v>94</v>
      </c>
      <c r="Z167" s="56">
        <f t="shared" ca="1" si="88"/>
        <v>136</v>
      </c>
      <c r="AA167" s="56">
        <f t="shared" ca="1" si="89"/>
        <v>134</v>
      </c>
      <c r="AB167" s="56">
        <f ca="1">_xlfn.CEILING.MATH(INDIRECT(ADDRESS(85,22+MATCH($P$27,'I.A. + Fasce'!$W$84:$AA$84,0),1,1) &amp; ":" &amp; ADDRESS(305,22+MATCH($P$27,'I.A. + Fasce'!$W$84:$AA$84,0),1,1))/Asta!$H$3)</f>
        <v>13</v>
      </c>
      <c r="AD167" s="56"/>
      <c r="AE167" s="56">
        <f>'Mia rosa + Org. Finanza'!AH164</f>
        <v>0</v>
      </c>
      <c r="AF167" s="56">
        <f>'Mia rosa + Org. Finanza'!AI164</f>
        <v>0</v>
      </c>
      <c r="AG167" s="56">
        <f>'Mia rosa + Org. Finanza'!AJ164</f>
        <v>0</v>
      </c>
    </row>
    <row r="168" spans="1:33" ht="14.25" customHeight="1">
      <c r="A168" s="238" t="str">
        <f ca="1">IF(Giocatori!G92="","D",Giocatori!G92)</f>
        <v>D</v>
      </c>
      <c r="B168" s="238" t="str">
        <f ca="1">IF(Giocatori!H92="","ZZZ" &amp; ROW(),Giocatori!H92)</f>
        <v>GOLDANIGA</v>
      </c>
      <c r="C168" s="238" t="str">
        <f ca="1">IF(Giocatori!I92="","NDR" &amp; ROW(),Giocatori!I92)</f>
        <v>Sassuolo</v>
      </c>
      <c r="D168" s="63">
        <f t="shared" ca="1" si="77"/>
        <v>68.001679999999993</v>
      </c>
      <c r="E168" s="63">
        <f t="shared" ca="1" si="78"/>
        <v>34.00168</v>
      </c>
      <c r="F168" s="64">
        <f t="shared" ca="1" si="79"/>
        <v>60.637645356853341</v>
      </c>
      <c r="G168" s="63" t="str">
        <f t="shared" ca="1" si="80"/>
        <v/>
      </c>
      <c r="H168" s="65">
        <f t="shared" ca="1" si="81"/>
        <v>60</v>
      </c>
      <c r="I168" s="63" t="str">
        <f t="shared" ca="1" si="82"/>
        <v/>
      </c>
      <c r="J168" s="63">
        <f t="shared" ca="1" si="83"/>
        <v>1.0016799999999999</v>
      </c>
      <c r="K168" s="63">
        <f t="shared" ca="1" si="84"/>
        <v>1.0016799999999999</v>
      </c>
      <c r="L168" s="324" t="e">
        <f ca="1">VLOOKUP(Tabella113[[#This Row],[Calciatore]],'Raccolta Aste'!$F$2:$J$33,4,FALSE)*Asta!$U$3/100</f>
        <v>#N/A</v>
      </c>
      <c r="N168" s="58"/>
      <c r="O168" s="58"/>
      <c r="P168" s="58"/>
      <c r="Q168" s="58"/>
      <c r="R168" s="58"/>
      <c r="S168" s="58"/>
      <c r="U168" s="311"/>
      <c r="V168" s="311"/>
      <c r="W168" s="56">
        <f t="shared" ca="1" si="85"/>
        <v>106</v>
      </c>
      <c r="X168" s="56">
        <f t="shared" ca="1" si="86"/>
        <v>134</v>
      </c>
      <c r="Y168" s="56">
        <f t="shared" ca="1" si="87"/>
        <v>123</v>
      </c>
      <c r="Z168" s="56">
        <f t="shared" ca="1" si="88"/>
        <v>135</v>
      </c>
      <c r="AA168" s="56">
        <f t="shared" ca="1" si="89"/>
        <v>133</v>
      </c>
      <c r="AB168" s="56">
        <f ca="1">_xlfn.CEILING.MATH(INDIRECT(ADDRESS(85,22+MATCH($P$27,'I.A. + Fasce'!$W$84:$AA$84,0),1,1) &amp; ":" &amp; ADDRESS(305,22+MATCH($P$27,'I.A. + Fasce'!$W$84:$AA$84,0),1,1))/Asta!$H$3)</f>
        <v>17</v>
      </c>
      <c r="AD168" s="56"/>
      <c r="AE168" s="56">
        <f>'Mia rosa + Org. Finanza'!AH165</f>
        <v>0</v>
      </c>
      <c r="AF168" s="56">
        <f>'Mia rosa + Org. Finanza'!AI165</f>
        <v>0</v>
      </c>
      <c r="AG168" s="56">
        <f>'Mia rosa + Org. Finanza'!AJ165</f>
        <v>0</v>
      </c>
    </row>
    <row r="169" spans="1:33" ht="14.25" customHeight="1">
      <c r="A169" s="238" t="str">
        <f ca="1">IF(Giocatori!G93="","D",Giocatori!G93)</f>
        <v>D</v>
      </c>
      <c r="B169" s="238" t="str">
        <f ca="1">IF(Giocatori!H93="","ZZZ" &amp; ROW(),Giocatori!H93)</f>
        <v>GOMEZ G</v>
      </c>
      <c r="C169" s="238" t="str">
        <f ca="1">IF(Giocatori!I93="","NDR" &amp; ROW(),Giocatori!I93)</f>
        <v>Milan</v>
      </c>
      <c r="D169" s="63">
        <f t="shared" ca="1" si="77"/>
        <v>58.001690000000004</v>
      </c>
      <c r="E169" s="63">
        <f t="shared" ca="1" si="78"/>
        <v>37.001690000000004</v>
      </c>
      <c r="F169" s="64">
        <f t="shared" ca="1" si="79"/>
        <v>58.912755523800847</v>
      </c>
      <c r="G169" s="63" t="str">
        <f t="shared" ca="1" si="80"/>
        <v/>
      </c>
      <c r="H169" s="65">
        <f t="shared" ca="1" si="81"/>
        <v>50</v>
      </c>
      <c r="I169" s="63" t="str">
        <f t="shared" ca="1" si="82"/>
        <v/>
      </c>
      <c r="J169" s="63">
        <f t="shared" ca="1" si="83"/>
        <v>1.7692390779298179</v>
      </c>
      <c r="K169" s="63">
        <f t="shared" ca="1" si="84"/>
        <v>1.00169</v>
      </c>
      <c r="L169" s="324" t="e">
        <f ca="1">VLOOKUP(Tabella113[[#This Row],[Calciatore]],'Raccolta Aste'!$F$2:$J$33,4,FALSE)*Asta!$U$3/100</f>
        <v>#N/A</v>
      </c>
      <c r="N169" s="58"/>
      <c r="O169" s="547" t="s">
        <v>704</v>
      </c>
      <c r="P169" s="547"/>
      <c r="Q169" s="58"/>
      <c r="R169" s="58"/>
      <c r="S169" s="58"/>
      <c r="U169" s="311"/>
      <c r="V169" s="311"/>
      <c r="W169" s="56">
        <f t="shared" ca="1" si="85"/>
        <v>166</v>
      </c>
      <c r="X169" s="56">
        <f t="shared" ca="1" si="86"/>
        <v>94</v>
      </c>
      <c r="Y169" s="56">
        <f t="shared" ca="1" si="87"/>
        <v>137</v>
      </c>
      <c r="Z169" s="56">
        <f t="shared" ca="1" si="88"/>
        <v>70</v>
      </c>
      <c r="AA169" s="56">
        <f t="shared" ca="1" si="89"/>
        <v>132</v>
      </c>
      <c r="AB169" s="56">
        <f ca="1">_xlfn.CEILING.MATH(INDIRECT(ADDRESS(85,22+MATCH($P$27,'I.A. + Fasce'!$W$84:$AA$84,0),1,1) &amp; ":" &amp; ADDRESS(305,22+MATCH($P$27,'I.A. + Fasce'!$W$84:$AA$84,0),1,1))/Asta!$H$3)</f>
        <v>12</v>
      </c>
      <c r="AD169" s="56"/>
      <c r="AE169" s="56">
        <f>'Mia rosa + Org. Finanza'!AH166</f>
        <v>0</v>
      </c>
      <c r="AF169" s="56">
        <f>'Mia rosa + Org. Finanza'!AI166</f>
        <v>0</v>
      </c>
      <c r="AG169" s="56">
        <f>'Mia rosa + Org. Finanza'!AJ166</f>
        <v>0</v>
      </c>
    </row>
    <row r="170" spans="1:33" ht="14.25" customHeight="1">
      <c r="A170" s="238" t="str">
        <f ca="1">IF(Giocatori!G94="","D",Giocatori!G94)</f>
        <v>D</v>
      </c>
      <c r="B170" s="238" t="str">
        <f ca="1">IF(Giocatori!H94="","ZZZ" &amp; ROW(),Giocatori!H94)</f>
        <v>GONZALEZ G</v>
      </c>
      <c r="C170" s="238" t="str">
        <f ca="1">IF(Giocatori!I94="","NDR" &amp; ROW(),Giocatori!I94)</f>
        <v>Bologna</v>
      </c>
      <c r="D170" s="63">
        <f t="shared" ca="1" si="77"/>
        <v>74.0017</v>
      </c>
      <c r="E170" s="63">
        <f t="shared" ca="1" si="78"/>
        <v>39.0017</v>
      </c>
      <c r="F170" s="64">
        <f t="shared" ca="1" si="79"/>
        <v>69.17950502408334</v>
      </c>
      <c r="G170" s="63" t="str">
        <f t="shared" ca="1" si="80"/>
        <v/>
      </c>
      <c r="H170" s="65">
        <f t="shared" ca="1" si="81"/>
        <v>80</v>
      </c>
      <c r="I170" s="63" t="str">
        <f t="shared" ca="1" si="82"/>
        <v/>
      </c>
      <c r="J170" s="63">
        <f t="shared" ca="1" si="83"/>
        <v>2.2154120761451463</v>
      </c>
      <c r="K170" s="63">
        <f t="shared" ca="1" si="84"/>
        <v>1.3638406987493643</v>
      </c>
      <c r="L170" s="324" t="e">
        <f ca="1">VLOOKUP(Tabella113[[#This Row],[Calciatore]],'Raccolta Aste'!$F$2:$J$33,4,FALSE)*Asta!$U$3/100</f>
        <v>#N/A</v>
      </c>
      <c r="N170" s="58"/>
      <c r="O170" s="58"/>
      <c r="P170" s="58"/>
      <c r="Q170" s="58"/>
      <c r="R170" s="58"/>
      <c r="S170" s="58"/>
      <c r="U170" s="311"/>
      <c r="V170" s="311"/>
      <c r="W170" s="56">
        <f t="shared" ca="1" si="85"/>
        <v>56</v>
      </c>
      <c r="X170" s="56">
        <f t="shared" ca="1" si="86"/>
        <v>67</v>
      </c>
      <c r="Y170" s="56">
        <f t="shared" ca="1" si="87"/>
        <v>58</v>
      </c>
      <c r="Z170" s="56">
        <f t="shared" ca="1" si="88"/>
        <v>66</v>
      </c>
      <c r="AA170" s="56">
        <f t="shared" ca="1" si="89"/>
        <v>65</v>
      </c>
      <c r="AB170" s="56">
        <f ca="1">_xlfn.CEILING.MATH(INDIRECT(ADDRESS(85,22+MATCH($P$27,'I.A. + Fasce'!$W$84:$AA$84,0),1,1) &amp; ":" &amp; ADDRESS(305,22+MATCH($P$27,'I.A. + Fasce'!$W$84:$AA$84,0),1,1))/Asta!$H$3)</f>
        <v>9</v>
      </c>
      <c r="AD170" s="56"/>
      <c r="AE170" s="56">
        <f>'Mia rosa + Org. Finanza'!AH167</f>
        <v>0</v>
      </c>
      <c r="AF170" s="56">
        <f>'Mia rosa + Org. Finanza'!AI167</f>
        <v>0</v>
      </c>
      <c r="AG170" s="56">
        <f>'Mia rosa + Org. Finanza'!AJ167</f>
        <v>0</v>
      </c>
    </row>
    <row r="171" spans="1:33" ht="14.25" customHeight="1">
      <c r="A171" s="238" t="str">
        <f ca="1">IF(Giocatori!G95="","D",Giocatori!G95)</f>
        <v>D</v>
      </c>
      <c r="B171" s="238" t="str">
        <f ca="1">IF(Giocatori!H95="","ZZZ" &amp; ROW(),Giocatori!H95)</f>
        <v>GOSENS</v>
      </c>
      <c r="C171" s="238" t="str">
        <f ca="1">IF(Giocatori!I95="","NDR" &amp; ROW(),Giocatori!I95)</f>
        <v>Atalanta</v>
      </c>
      <c r="D171" s="63">
        <f t="shared" ca="1" si="77"/>
        <v>68.001710000000003</v>
      </c>
      <c r="E171" s="63">
        <f t="shared" ca="1" si="78"/>
        <v>39.001710000000003</v>
      </c>
      <c r="F171" s="64">
        <f t="shared" ca="1" si="79"/>
        <v>66.179531524367519</v>
      </c>
      <c r="G171" s="63" t="str">
        <f t="shared" ca="1" si="80"/>
        <v/>
      </c>
      <c r="H171" s="65">
        <f t="shared" ca="1" si="81"/>
        <v>60</v>
      </c>
      <c r="I171" s="63" t="str">
        <f t="shared" ca="1" si="82"/>
        <v/>
      </c>
      <c r="J171" s="63">
        <f t="shared" ca="1" si="83"/>
        <v>2.8253021078723011</v>
      </c>
      <c r="K171" s="63">
        <f t="shared" ca="1" si="84"/>
        <v>1.9809648930548116</v>
      </c>
      <c r="L171" s="324" t="e">
        <f ca="1">VLOOKUP(Tabella113[[#This Row],[Calciatore]],'Raccolta Aste'!$F$2:$J$33,4,FALSE)*Asta!$U$3/100</f>
        <v>#N/A</v>
      </c>
      <c r="N171" s="58"/>
      <c r="O171" s="58"/>
      <c r="P171" s="58"/>
      <c r="Q171" s="58"/>
      <c r="R171" s="58"/>
      <c r="S171" s="58"/>
      <c r="U171" s="311"/>
      <c r="V171" s="311"/>
      <c r="W171" s="56">
        <f t="shared" ca="1" si="85"/>
        <v>105</v>
      </c>
      <c r="X171" s="56">
        <f t="shared" ca="1" si="86"/>
        <v>66</v>
      </c>
      <c r="Y171" s="56">
        <f t="shared" ca="1" si="87"/>
        <v>79</v>
      </c>
      <c r="Z171" s="56">
        <f t="shared" ca="1" si="88"/>
        <v>62</v>
      </c>
      <c r="AA171" s="56">
        <f t="shared" ca="1" si="89"/>
        <v>64</v>
      </c>
      <c r="AB171" s="56">
        <f ca="1">_xlfn.CEILING.MATH(INDIRECT(ADDRESS(85,22+MATCH($P$27,'I.A. + Fasce'!$W$84:$AA$84,0),1,1) &amp; ":" &amp; ADDRESS(305,22+MATCH($P$27,'I.A. + Fasce'!$W$84:$AA$84,0),1,1))/Asta!$H$3)</f>
        <v>9</v>
      </c>
      <c r="AD171" s="56"/>
      <c r="AE171" s="56">
        <f>'Mia rosa + Org. Finanza'!AH168</f>
        <v>0</v>
      </c>
      <c r="AF171" s="56">
        <f>'Mia rosa + Org. Finanza'!AI168</f>
        <v>0</v>
      </c>
      <c r="AG171" s="56">
        <f>'Mia rosa + Org. Finanza'!AJ168</f>
        <v>0</v>
      </c>
    </row>
    <row r="172" spans="1:33" ht="14.25" customHeight="1">
      <c r="A172" s="238" t="str">
        <f ca="1">IF(Giocatori!G96="","D",Giocatori!G96)</f>
        <v>D</v>
      </c>
      <c r="B172" s="238" t="str">
        <f ca="1">IF(Giocatori!H96="","ZZZ" &amp; ROW(),Giocatori!H96)</f>
        <v>GRAVILLON</v>
      </c>
      <c r="C172" s="238" t="str">
        <f ca="1">IF(Giocatori!I96="","NDR" &amp; ROW(),Giocatori!I96)</f>
        <v>Benevento</v>
      </c>
      <c r="D172" s="63">
        <f t="shared" ca="1" si="77"/>
        <v>53.001719999999999</v>
      </c>
      <c r="E172" s="63">
        <f t="shared" ca="1" si="78"/>
        <v>34.001719999999999</v>
      </c>
      <c r="F172" s="64">
        <f t="shared" ca="1" si="79"/>
        <v>53.137748024653334</v>
      </c>
      <c r="G172" s="63" t="str">
        <f t="shared" ca="1" si="80"/>
        <v/>
      </c>
      <c r="H172" s="65">
        <f t="shared" ca="1" si="81"/>
        <v>40</v>
      </c>
      <c r="I172" s="63" t="str">
        <f t="shared" ca="1" si="82"/>
        <v/>
      </c>
      <c r="J172" s="63">
        <f t="shared" ca="1" si="83"/>
        <v>1.0017199999999999</v>
      </c>
      <c r="K172" s="63">
        <f t="shared" ca="1" si="84"/>
        <v>1.0017199999999999</v>
      </c>
      <c r="L172" s="324" t="e">
        <f ca="1">VLOOKUP(Tabella113[[#This Row],[Calciatore]],'Raccolta Aste'!$F$2:$J$33,4,FALSE)*Asta!$U$3/100</f>
        <v>#N/A</v>
      </c>
      <c r="N172" s="58"/>
      <c r="O172" s="58"/>
      <c r="P172" s="58"/>
      <c r="Q172" s="58"/>
      <c r="R172" s="58"/>
      <c r="S172" s="58"/>
      <c r="U172" s="311"/>
      <c r="V172" s="311"/>
      <c r="W172" s="56">
        <f t="shared" ca="1" si="85"/>
        <v>178</v>
      </c>
      <c r="X172" s="56">
        <f t="shared" ca="1" si="86"/>
        <v>133</v>
      </c>
      <c r="Y172" s="56">
        <f t="shared" ca="1" si="87"/>
        <v>160</v>
      </c>
      <c r="Z172" s="56">
        <f t="shared" ca="1" si="88"/>
        <v>134</v>
      </c>
      <c r="AA172" s="56">
        <f t="shared" ca="1" si="89"/>
        <v>131</v>
      </c>
      <c r="AB172" s="56">
        <f ca="1">_xlfn.CEILING.MATH(INDIRECT(ADDRESS(85,22+MATCH($P$27,'I.A. + Fasce'!$W$84:$AA$84,0),1,1) &amp; ":" &amp; ADDRESS(305,22+MATCH($P$27,'I.A. + Fasce'!$W$84:$AA$84,0),1,1))/Asta!$H$3)</f>
        <v>17</v>
      </c>
      <c r="AD172" s="56"/>
      <c r="AE172" s="56">
        <f>'Mia rosa + Org. Finanza'!AH169</f>
        <v>0</v>
      </c>
      <c r="AF172" s="56">
        <f>'Mia rosa + Org. Finanza'!AI169</f>
        <v>0</v>
      </c>
      <c r="AG172" s="56">
        <f>'Mia rosa + Org. Finanza'!AJ169</f>
        <v>0</v>
      </c>
    </row>
    <row r="173" spans="1:33" ht="14.25" customHeight="1">
      <c r="A173" s="238" t="str">
        <f ca="1">IF(Giocatori!G97="","D",Giocatori!G97)</f>
        <v>D</v>
      </c>
      <c r="B173" s="238" t="str">
        <f ca="1">IF(Giocatori!H97="","ZZZ" &amp; ROW(),Giocatori!H97)</f>
        <v>GYAMFI</v>
      </c>
      <c r="C173" s="238" t="str">
        <f ca="1">IF(Giocatori!I97="","NDR" &amp; ROW(),Giocatori!I97)</f>
        <v>Benevento</v>
      </c>
      <c r="D173" s="63">
        <f t="shared" ca="1" si="77"/>
        <v>53.001730000000002</v>
      </c>
      <c r="E173" s="63">
        <f t="shared" ca="1" si="78"/>
        <v>32.001730000000002</v>
      </c>
      <c r="F173" s="64">
        <f t="shared" ca="1" si="79"/>
        <v>51.037716024940835</v>
      </c>
      <c r="G173" s="63" t="str">
        <f t="shared" ca="1" si="80"/>
        <v/>
      </c>
      <c r="H173" s="65">
        <f t="shared" ca="1" si="81"/>
        <v>40</v>
      </c>
      <c r="I173" s="63" t="str">
        <f t="shared" ca="1" si="82"/>
        <v/>
      </c>
      <c r="J173" s="63">
        <f t="shared" ca="1" si="83"/>
        <v>1.00173</v>
      </c>
      <c r="K173" s="63">
        <f t="shared" ca="1" si="84"/>
        <v>1.00173</v>
      </c>
      <c r="L173" s="324" t="e">
        <f ca="1">VLOOKUP(Tabella113[[#This Row],[Calciatore]],'Raccolta Aste'!$F$2:$J$33,4,FALSE)*Asta!$U$3/100</f>
        <v>#N/A</v>
      </c>
      <c r="N173" s="58"/>
      <c r="O173" s="58"/>
      <c r="P173" s="58"/>
      <c r="Q173" s="58"/>
      <c r="R173" s="58"/>
      <c r="S173" s="58"/>
      <c r="U173" s="311"/>
      <c r="V173" s="311"/>
      <c r="W173" s="56">
        <f t="shared" ca="1" si="85"/>
        <v>177</v>
      </c>
      <c r="X173" s="56">
        <f t="shared" ca="1" si="86"/>
        <v>153</v>
      </c>
      <c r="Y173" s="56">
        <f t="shared" ca="1" si="87"/>
        <v>167</v>
      </c>
      <c r="Z173" s="56">
        <f t="shared" ca="1" si="88"/>
        <v>133</v>
      </c>
      <c r="AA173" s="56">
        <f t="shared" ca="1" si="89"/>
        <v>130</v>
      </c>
      <c r="AB173" s="56">
        <f ca="1">_xlfn.CEILING.MATH(INDIRECT(ADDRESS(85,22+MATCH($P$27,'I.A. + Fasce'!$W$84:$AA$84,0),1,1) &amp; ":" &amp; ADDRESS(305,22+MATCH($P$27,'I.A. + Fasce'!$W$84:$AA$84,0),1,1))/Asta!$H$3)</f>
        <v>20</v>
      </c>
      <c r="AD173" s="56"/>
      <c r="AE173" s="56">
        <f>'Mia rosa + Org. Finanza'!AH170</f>
        <v>0</v>
      </c>
      <c r="AF173" s="56">
        <f>'Mia rosa + Org. Finanza'!AI170</f>
        <v>0</v>
      </c>
      <c r="AG173" s="56">
        <f>'Mia rosa + Org. Finanza'!AJ170</f>
        <v>0</v>
      </c>
    </row>
    <row r="174" spans="1:33" ht="14.25" customHeight="1">
      <c r="A174" s="238" t="str">
        <f ca="1">IF(Giocatori!G98="","D",Giocatori!G98)</f>
        <v>D</v>
      </c>
      <c r="B174" s="238" t="str">
        <f ca="1">IF(Giocatori!H98="","ZZZ" &amp; ROW(),Giocatori!H98)</f>
        <v>HATEBOER</v>
      </c>
      <c r="C174" s="238" t="str">
        <f ca="1">IF(Giocatori!I98="","NDR" &amp; ROW(),Giocatori!I98)</f>
        <v>Atalanta</v>
      </c>
      <c r="D174" s="63">
        <f t="shared" ca="1" si="77"/>
        <v>70.001739999999998</v>
      </c>
      <c r="E174" s="63">
        <f t="shared" ca="1" si="78"/>
        <v>41.001739999999998</v>
      </c>
      <c r="F174" s="64">
        <f t="shared" ca="1" si="79"/>
        <v>69.513002358563327</v>
      </c>
      <c r="G174" s="63" t="str">
        <f t="shared" ca="1" si="80"/>
        <v/>
      </c>
      <c r="H174" s="65">
        <f t="shared" ca="1" si="81"/>
        <v>70</v>
      </c>
      <c r="I174" s="63" t="str">
        <f t="shared" ca="1" si="82"/>
        <v/>
      </c>
      <c r="J174" s="63">
        <f t="shared" ca="1" si="83"/>
        <v>6.2335216775728828</v>
      </c>
      <c r="K174" s="63">
        <f t="shared" ca="1" si="84"/>
        <v>6.1193343387120844</v>
      </c>
      <c r="L174" s="324" t="e">
        <f ca="1">VLOOKUP(Tabella113[[#This Row],[Calciatore]],'Raccolta Aste'!$F$2:$J$33,4,FALSE)*Asta!$U$3/100</f>
        <v>#N/A</v>
      </c>
      <c r="N174" s="58"/>
      <c r="O174" s="58"/>
      <c r="P174" s="58"/>
      <c r="Q174" s="58"/>
      <c r="R174" s="58"/>
      <c r="S174" s="58"/>
      <c r="U174" s="311"/>
      <c r="V174" s="311"/>
      <c r="W174" s="56">
        <f t="shared" ca="1" si="85"/>
        <v>91</v>
      </c>
      <c r="X174" s="56">
        <f t="shared" ca="1" si="86"/>
        <v>40</v>
      </c>
      <c r="Y174" s="56">
        <f t="shared" ca="1" si="87"/>
        <v>54</v>
      </c>
      <c r="Z174" s="56">
        <f t="shared" ca="1" si="88"/>
        <v>40</v>
      </c>
      <c r="AA174" s="56">
        <f t="shared" ca="1" si="89"/>
        <v>39</v>
      </c>
      <c r="AB174" s="56">
        <f ca="1">_xlfn.CEILING.MATH(INDIRECT(ADDRESS(85,22+MATCH($P$27,'I.A. + Fasce'!$W$84:$AA$84,0),1,1) &amp; ":" &amp; ADDRESS(305,22+MATCH($P$27,'I.A. + Fasce'!$W$84:$AA$84,0),1,1))/Asta!$H$3)</f>
        <v>5</v>
      </c>
      <c r="AD174" s="56"/>
      <c r="AE174" s="56">
        <f>'Mia rosa + Org. Finanza'!AH171</f>
        <v>0</v>
      </c>
      <c r="AF174" s="56">
        <f>'Mia rosa + Org. Finanza'!AI171</f>
        <v>0</v>
      </c>
      <c r="AG174" s="56">
        <f>'Mia rosa + Org. Finanza'!AJ171</f>
        <v>0</v>
      </c>
    </row>
    <row r="175" spans="1:33" ht="14.25" customHeight="1">
      <c r="A175" s="238" t="str">
        <f ca="1">IF(Giocatori!G99="","D",Giocatori!G99)</f>
        <v>D</v>
      </c>
      <c r="B175" s="238" t="str">
        <f ca="1">IF(Giocatori!H99="","ZZZ" &amp; ROW(),Giocatori!H99)</f>
        <v>HECTOR MORENO</v>
      </c>
      <c r="C175" s="238" t="str">
        <f ca="1">IF(Giocatori!I99="","NDR" &amp; ROW(),Giocatori!I99)</f>
        <v>Roma</v>
      </c>
      <c r="D175" s="63">
        <f t="shared" ca="1" si="77"/>
        <v>73.001750000000001</v>
      </c>
      <c r="E175" s="63">
        <f t="shared" ca="1" si="78"/>
        <v>41.001750000000001</v>
      </c>
      <c r="F175" s="64">
        <f t="shared" ca="1" si="79"/>
        <v>71.013029192187503</v>
      </c>
      <c r="G175" s="63" t="str">
        <f t="shared" ca="1" si="80"/>
        <v/>
      </c>
      <c r="H175" s="65">
        <f t="shared" ca="1" si="81"/>
        <v>60</v>
      </c>
      <c r="I175" s="63" t="str">
        <f t="shared" ca="1" si="82"/>
        <v/>
      </c>
      <c r="J175" s="63">
        <f t="shared" ca="1" si="83"/>
        <v>7.7399912883131483</v>
      </c>
      <c r="K175" s="63">
        <f t="shared" ca="1" si="84"/>
        <v>7.1285975465499396</v>
      </c>
      <c r="L175" s="324" t="e">
        <f ca="1">VLOOKUP(Tabella113[[#This Row],[Calciatore]],'Raccolta Aste'!$F$2:$J$33,4,FALSE)*Asta!$U$3/100</f>
        <v>#N/A</v>
      </c>
      <c r="N175" s="58"/>
      <c r="O175" s="58"/>
      <c r="P175" s="58"/>
      <c r="Q175" s="58"/>
      <c r="R175" s="58"/>
      <c r="S175" s="58"/>
      <c r="U175" s="311"/>
      <c r="V175" s="311"/>
      <c r="W175" s="56">
        <f t="shared" ca="1" si="85"/>
        <v>68</v>
      </c>
      <c r="X175" s="56">
        <f t="shared" ca="1" si="86"/>
        <v>39</v>
      </c>
      <c r="Y175" s="56">
        <f t="shared" ca="1" si="87"/>
        <v>47</v>
      </c>
      <c r="Z175" s="56">
        <f t="shared" ca="1" si="88"/>
        <v>33</v>
      </c>
      <c r="AA175" s="56">
        <f t="shared" ca="1" si="89"/>
        <v>35</v>
      </c>
      <c r="AB175" s="56">
        <f ca="1">_xlfn.CEILING.MATH(INDIRECT(ADDRESS(85,22+MATCH($P$27,'I.A. + Fasce'!$W$84:$AA$84,0),1,1) &amp; ":" &amp; ADDRESS(305,22+MATCH($P$27,'I.A. + Fasce'!$W$84:$AA$84,0),1,1))/Asta!$H$3)</f>
        <v>5</v>
      </c>
      <c r="AD175" s="56"/>
      <c r="AE175" s="56">
        <f>'Mia rosa + Org. Finanza'!AH172</f>
        <v>0</v>
      </c>
      <c r="AF175" s="56">
        <f>'Mia rosa + Org. Finanza'!AI172</f>
        <v>0</v>
      </c>
      <c r="AG175" s="56">
        <f>'Mia rosa + Org. Finanza'!AJ172</f>
        <v>0</v>
      </c>
    </row>
    <row r="176" spans="1:33" ht="14.25" customHeight="1">
      <c r="A176" s="238" t="str">
        <f ca="1">IF(Giocatori!G100="","D",Giocatori!G100)</f>
        <v>D</v>
      </c>
      <c r="B176" s="238" t="str">
        <f ca="1">IF(Giocatori!H100="","ZZZ" &amp; ROW(),Giocatori!H100)</f>
        <v>HELANDER</v>
      </c>
      <c r="C176" s="238" t="str">
        <f ca="1">IF(Giocatori!I100="","NDR" &amp; ROW(),Giocatori!I100)</f>
        <v>Bologna</v>
      </c>
      <c r="D176" s="63">
        <f t="shared" ca="1" si="77"/>
        <v>64.001760000000004</v>
      </c>
      <c r="E176" s="63">
        <f t="shared" ca="1" si="78"/>
        <v>31.001760000000001</v>
      </c>
      <c r="F176" s="64">
        <f t="shared" ca="1" si="79"/>
        <v>55.512762692480003</v>
      </c>
      <c r="G176" s="63" t="str">
        <f t="shared" ca="1" si="80"/>
        <v/>
      </c>
      <c r="H176" s="65">
        <f t="shared" ca="1" si="81"/>
        <v>50</v>
      </c>
      <c r="I176" s="63" t="str">
        <f t="shared" ca="1" si="82"/>
        <v/>
      </c>
      <c r="J176" s="63">
        <f t="shared" ca="1" si="83"/>
        <v>1.00176</v>
      </c>
      <c r="K176" s="63">
        <f t="shared" ca="1" si="84"/>
        <v>1.00176</v>
      </c>
      <c r="L176" s="324" t="e">
        <f ca="1">VLOOKUP(Tabella113[[#This Row],[Calciatore]],'Raccolta Aste'!$F$2:$J$33,4,FALSE)*Asta!$U$3/100</f>
        <v>#N/A</v>
      </c>
      <c r="N176" s="58"/>
      <c r="O176" s="58"/>
      <c r="P176" s="58"/>
      <c r="Q176" s="58"/>
      <c r="R176" s="58"/>
      <c r="S176" s="58"/>
      <c r="U176" s="311"/>
      <c r="V176" s="311"/>
      <c r="W176" s="56">
        <f t="shared" ca="1" si="85"/>
        <v>140</v>
      </c>
      <c r="X176" s="56">
        <f t="shared" ca="1" si="86"/>
        <v>160</v>
      </c>
      <c r="Y176" s="56">
        <f t="shared" ca="1" si="87"/>
        <v>153</v>
      </c>
      <c r="Z176" s="56">
        <f t="shared" ca="1" si="88"/>
        <v>132</v>
      </c>
      <c r="AA176" s="56">
        <f t="shared" ca="1" si="89"/>
        <v>129</v>
      </c>
      <c r="AB176" s="56">
        <f ca="1">_xlfn.CEILING.MATH(INDIRECT(ADDRESS(85,22+MATCH($P$27,'I.A. + Fasce'!$W$84:$AA$84,0),1,1) &amp; ":" &amp; ADDRESS(305,22+MATCH($P$27,'I.A. + Fasce'!$W$84:$AA$84,0),1,1))/Asta!$H$3)</f>
        <v>20</v>
      </c>
      <c r="AD176" s="56"/>
      <c r="AE176" s="56">
        <f>'Mia rosa + Org. Finanza'!AH173</f>
        <v>0</v>
      </c>
      <c r="AF176" s="56">
        <f>'Mia rosa + Org. Finanza'!AI173</f>
        <v>0</v>
      </c>
      <c r="AG176" s="56">
        <f>'Mia rosa + Org. Finanza'!AJ173</f>
        <v>0</v>
      </c>
    </row>
    <row r="177" spans="1:33" ht="14.25" customHeight="1">
      <c r="A177" s="238" t="str">
        <f ca="1">IF(Giocatori!G101="","D",Giocatori!G101)</f>
        <v>D</v>
      </c>
      <c r="B177" s="238" t="str">
        <f ca="1">IF(Giocatori!H101="","ZZZ" &amp; ROW(),Giocatori!H101)</f>
        <v>HEURTAUX</v>
      </c>
      <c r="C177" s="238" t="str">
        <f ca="1">IF(Giocatori!I101="","NDR" &amp; ROW(),Giocatori!I101)</f>
        <v>Verona</v>
      </c>
      <c r="D177" s="63">
        <f t="shared" ca="1" si="77"/>
        <v>76.001769999999993</v>
      </c>
      <c r="E177" s="63">
        <f t="shared" ca="1" si="78"/>
        <v>40.00177</v>
      </c>
      <c r="F177" s="64">
        <f t="shared" ca="1" si="79"/>
        <v>71.338053359440821</v>
      </c>
      <c r="G177" s="63" t="str">
        <f t="shared" ca="1" si="80"/>
        <v>SORPRESA</v>
      </c>
      <c r="H177" s="65">
        <f t="shared" ca="1" si="81"/>
        <v>70</v>
      </c>
      <c r="I177" s="63" t="str">
        <f t="shared" ca="1" si="82"/>
        <v/>
      </c>
      <c r="J177" s="63">
        <f t="shared" ca="1" si="83"/>
        <v>2.9966391255205234</v>
      </c>
      <c r="K177" s="63">
        <f t="shared" ca="1" si="84"/>
        <v>2.8440567738127842</v>
      </c>
      <c r="L177" s="324" t="e">
        <f ca="1">VLOOKUP(Tabella113[[#This Row],[Calciatore]],'Raccolta Aste'!$F$2:$J$33,4,FALSE)*Asta!$U$3/100</f>
        <v>#N/A</v>
      </c>
      <c r="N177" s="58"/>
      <c r="O177" s="58"/>
      <c r="P177" s="58"/>
      <c r="Q177" s="58"/>
      <c r="R177" s="58"/>
      <c r="S177" s="58"/>
      <c r="U177" s="311"/>
      <c r="V177" s="311"/>
      <c r="W177" s="56">
        <f t="shared" ca="1" si="85"/>
        <v>41</v>
      </c>
      <c r="X177" s="56">
        <f t="shared" ca="1" si="86"/>
        <v>53</v>
      </c>
      <c r="Y177" s="56">
        <f t="shared" ca="1" si="87"/>
        <v>43</v>
      </c>
      <c r="Z177" s="56">
        <f t="shared" ca="1" si="88"/>
        <v>61</v>
      </c>
      <c r="AA177" s="56">
        <f t="shared" ca="1" si="89"/>
        <v>59</v>
      </c>
      <c r="AB177" s="56">
        <f ca="1">_xlfn.CEILING.MATH(INDIRECT(ADDRESS(85,22+MATCH($P$27,'I.A. + Fasce'!$W$84:$AA$84,0),1,1) &amp; ":" &amp; ADDRESS(305,22+MATCH($P$27,'I.A. + Fasce'!$W$84:$AA$84,0),1,1))/Asta!$H$3)</f>
        <v>7</v>
      </c>
      <c r="AD177" s="56"/>
      <c r="AE177" s="56">
        <f>'Mia rosa + Org. Finanza'!AH174</f>
        <v>0</v>
      </c>
      <c r="AF177" s="56">
        <f>'Mia rosa + Org. Finanza'!AI174</f>
        <v>0</v>
      </c>
      <c r="AG177" s="56">
        <f>'Mia rosa + Org. Finanza'!AJ174</f>
        <v>0</v>
      </c>
    </row>
    <row r="178" spans="1:33" ht="14.25" customHeight="1">
      <c r="A178" s="238" t="str">
        <f ca="1">IF(Giocatori!G102="","D",Giocatori!G102)</f>
        <v>D</v>
      </c>
      <c r="B178" s="238" t="str">
        <f ca="1">IF(Giocatori!H102="","ZZZ" &amp; ROW(),Giocatori!H102)</f>
        <v>HOWEDES</v>
      </c>
      <c r="C178" s="238" t="str">
        <f ca="1">IF(Giocatori!I102="","NDR" &amp; ROW(),Giocatori!I102)</f>
        <v>Juventus</v>
      </c>
      <c r="D178" s="63">
        <f t="shared" ca="1" si="77"/>
        <v>87.001779999999997</v>
      </c>
      <c r="E178" s="63">
        <f t="shared" ca="1" si="78"/>
        <v>41.001779999999997</v>
      </c>
      <c r="F178" s="64">
        <f t="shared" ca="1" si="79"/>
        <v>78.013109693069993</v>
      </c>
      <c r="G178" s="63" t="str">
        <f t="shared" ca="1" si="80"/>
        <v/>
      </c>
      <c r="H178" s="65">
        <f t="shared" ca="1" si="81"/>
        <v>80</v>
      </c>
      <c r="I178" s="63" t="str">
        <f t="shared" ca="1" si="82"/>
        <v/>
      </c>
      <c r="J178" s="63">
        <f t="shared" ca="1" si="83"/>
        <v>13.211303101328589</v>
      </c>
      <c r="K178" s="63">
        <f t="shared" ca="1" si="84"/>
        <v>13.179883049905907</v>
      </c>
      <c r="L178" s="324">
        <f ca="1">VLOOKUP(Tabella113[[#This Row],[Calciatore]],'Raccolta Aste'!$F$2:$J$33,4,FALSE)*Asta!$U$3/100</f>
        <v>0</v>
      </c>
      <c r="N178" s="58"/>
      <c r="O178" s="58"/>
      <c r="P178" s="58"/>
      <c r="Q178" s="58"/>
      <c r="R178" s="58"/>
      <c r="S178" s="58"/>
      <c r="U178" s="311"/>
      <c r="V178" s="311"/>
      <c r="W178" s="56">
        <f t="shared" ca="1" si="85"/>
        <v>13</v>
      </c>
      <c r="X178" s="56">
        <f t="shared" ca="1" si="86"/>
        <v>38</v>
      </c>
      <c r="Y178" s="56">
        <f t="shared" ca="1" si="87"/>
        <v>17</v>
      </c>
      <c r="Z178" s="56">
        <f t="shared" ca="1" si="88"/>
        <v>14</v>
      </c>
      <c r="AA178" s="56">
        <f t="shared" ca="1" si="89"/>
        <v>14</v>
      </c>
      <c r="AB178" s="56">
        <f ca="1">_xlfn.CEILING.MATH(INDIRECT(ADDRESS(85,22+MATCH($P$27,'I.A. + Fasce'!$W$84:$AA$84,0),1,1) &amp; ":" &amp; ADDRESS(305,22+MATCH($P$27,'I.A. + Fasce'!$W$84:$AA$84,0),1,1))/Asta!$H$3)</f>
        <v>5</v>
      </c>
      <c r="AD178" s="56"/>
      <c r="AE178" s="56">
        <f>'Mia rosa + Org. Finanza'!AH175</f>
        <v>0</v>
      </c>
      <c r="AF178" s="56">
        <f>'Mia rosa + Org. Finanza'!AI175</f>
        <v>0</v>
      </c>
      <c r="AG178" s="56">
        <f>'Mia rosa + Org. Finanza'!AJ175</f>
        <v>0</v>
      </c>
    </row>
    <row r="179" spans="1:33" ht="14.25" customHeight="1">
      <c r="A179" s="238" t="str">
        <f ca="1">IF(Giocatori!G103="","D",Giocatori!G103)</f>
        <v>D</v>
      </c>
      <c r="B179" s="238" t="str">
        <f ca="1">IF(Giocatori!H103="","ZZZ" &amp; ROW(),Giocatori!H103)</f>
        <v>HRISTOV</v>
      </c>
      <c r="C179" s="238" t="str">
        <f ca="1">IF(Giocatori!I103="","NDR" &amp; ROW(),Giocatori!I103)</f>
        <v>Fiorentina</v>
      </c>
      <c r="D179" s="63">
        <f t="shared" ca="1" si="77"/>
        <v>45.00179</v>
      </c>
      <c r="E179" s="63">
        <f t="shared" ca="1" si="78"/>
        <v>28.00179</v>
      </c>
      <c r="F179" s="64">
        <f t="shared" ca="1" si="79"/>
        <v>43.037748693367504</v>
      </c>
      <c r="G179" s="63" t="str">
        <f t="shared" ca="1" si="80"/>
        <v/>
      </c>
      <c r="H179" s="65">
        <f t="shared" ca="1" si="81"/>
        <v>20</v>
      </c>
      <c r="I179" s="63" t="str">
        <f t="shared" ca="1" si="82"/>
        <v/>
      </c>
      <c r="J179" s="63">
        <f t="shared" ca="1" si="83"/>
        <v>1.00179</v>
      </c>
      <c r="K179" s="63">
        <f t="shared" ca="1" si="84"/>
        <v>1.00179</v>
      </c>
      <c r="L179" s="324" t="e">
        <f ca="1">VLOOKUP(Tabella113[[#This Row],[Calciatore]],'Raccolta Aste'!$F$2:$J$33,4,FALSE)*Asta!$U$3/100</f>
        <v>#N/A</v>
      </c>
      <c r="N179" s="58"/>
      <c r="O179" s="58"/>
      <c r="P179" s="58"/>
      <c r="Q179" s="58"/>
      <c r="R179" s="58"/>
      <c r="S179" s="58"/>
      <c r="U179" s="311"/>
      <c r="V179" s="311"/>
      <c r="W179" s="56">
        <f t="shared" ca="1" si="85"/>
        <v>182</v>
      </c>
      <c r="X179" s="56">
        <f t="shared" ca="1" si="86"/>
        <v>176</v>
      </c>
      <c r="Y179" s="56">
        <f t="shared" ca="1" si="87"/>
        <v>183</v>
      </c>
      <c r="Z179" s="56">
        <f t="shared" ca="1" si="88"/>
        <v>131</v>
      </c>
      <c r="AA179" s="56">
        <f t="shared" ca="1" si="89"/>
        <v>128</v>
      </c>
      <c r="AB179" s="56">
        <f ca="1">_xlfn.CEILING.MATH(INDIRECT(ADDRESS(85,22+MATCH($P$27,'I.A. + Fasce'!$W$84:$AA$84,0),1,1) &amp; ":" &amp; ADDRESS(305,22+MATCH($P$27,'I.A. + Fasce'!$W$84:$AA$84,0),1,1))/Asta!$H$3)</f>
        <v>22</v>
      </c>
      <c r="AE179" s="56">
        <f>'Mia rosa + Org. Finanza'!AH176</f>
        <v>0</v>
      </c>
      <c r="AF179" s="56">
        <f>'Mia rosa + Org. Finanza'!AI176</f>
        <v>0</v>
      </c>
      <c r="AG179" s="56">
        <f>'Mia rosa + Org. Finanza'!AJ176</f>
        <v>0</v>
      </c>
    </row>
    <row r="180" spans="1:33" ht="14.25" customHeight="1">
      <c r="A180" s="238" t="str">
        <f ca="1">IF(Giocatori!G104="","D",Giocatori!G104)</f>
        <v>D</v>
      </c>
      <c r="B180" s="238" t="str">
        <f ca="1">IF(Giocatori!H104="","ZZZ" &amp; ROW(),Giocatori!H104)</f>
        <v>HYSAJ</v>
      </c>
      <c r="C180" s="238" t="str">
        <f ca="1">IF(Giocatori!I104="","NDR" &amp; ROW(),Giocatori!I104)</f>
        <v>Napoli</v>
      </c>
      <c r="D180" s="63">
        <f t="shared" ca="1" si="77"/>
        <v>79.001800000000003</v>
      </c>
      <c r="E180" s="63">
        <f t="shared" ca="1" si="78"/>
        <v>43.001800000000003</v>
      </c>
      <c r="F180" s="64">
        <f t="shared" ca="1" si="79"/>
        <v>76.413223360333348</v>
      </c>
      <c r="G180" s="63" t="str">
        <f t="shared" ca="1" si="80"/>
        <v>SCONSIGLIATO</v>
      </c>
      <c r="H180" s="65">
        <f t="shared" ca="1" si="81"/>
        <v>90</v>
      </c>
      <c r="I180" s="63" t="str">
        <f t="shared" ca="1" si="82"/>
        <v/>
      </c>
      <c r="J180" s="63">
        <f t="shared" ca="1" si="83"/>
        <v>11.659236292894942</v>
      </c>
      <c r="K180" s="63">
        <f t="shared" ca="1" si="84"/>
        <v>11.744400879165319</v>
      </c>
      <c r="L180" s="324">
        <f ca="1">VLOOKUP(Tabella113[[#This Row],[Calciatore]],'Raccolta Aste'!$F$2:$J$33,4,FALSE)*Asta!$U$3/100</f>
        <v>8.5050000000000008</v>
      </c>
      <c r="N180" s="58"/>
      <c r="O180" s="58"/>
      <c r="P180" s="58"/>
      <c r="Q180" s="58"/>
      <c r="R180" s="58"/>
      <c r="S180" s="58"/>
      <c r="U180" s="311"/>
      <c r="V180" s="311"/>
      <c r="W180" s="56">
        <f t="shared" ca="1" si="85"/>
        <v>27</v>
      </c>
      <c r="X180" s="56">
        <f t="shared" ca="1" si="86"/>
        <v>22</v>
      </c>
      <c r="Y180" s="56">
        <f t="shared" ca="1" si="87"/>
        <v>23</v>
      </c>
      <c r="Z180" s="56">
        <f t="shared" ca="1" si="88"/>
        <v>18</v>
      </c>
      <c r="AA180" s="56">
        <f t="shared" ca="1" si="89"/>
        <v>18</v>
      </c>
      <c r="AB180" s="56">
        <f ca="1">_xlfn.CEILING.MATH(INDIRECT(ADDRESS(85,22+MATCH($P$27,'I.A. + Fasce'!$W$84:$AA$84,0),1,1) &amp; ":" &amp; ADDRESS(305,22+MATCH($P$27,'I.A. + Fasce'!$W$84:$AA$84,0),1,1))/Asta!$H$3)</f>
        <v>3</v>
      </c>
      <c r="AE180" s="56">
        <f>'Mia rosa + Org. Finanza'!AH177</f>
        <v>0</v>
      </c>
      <c r="AF180" s="56">
        <f>'Mia rosa + Org. Finanza'!AI177</f>
        <v>0</v>
      </c>
      <c r="AG180" s="56">
        <f>'Mia rosa + Org. Finanza'!AJ177</f>
        <v>0</v>
      </c>
    </row>
    <row r="181" spans="1:33" ht="14.25" customHeight="1">
      <c r="A181" s="238" t="str">
        <f ca="1">IF(Giocatori!G105="","D",Giocatori!G105)</f>
        <v>D</v>
      </c>
      <c r="B181" s="238" t="str">
        <f ca="1">IF(Giocatori!H105="","ZZZ" &amp; ROW(),Giocatori!H105)</f>
        <v>IZZO</v>
      </c>
      <c r="C181" s="238" t="str">
        <f ca="1">IF(Giocatori!I105="","NDR" &amp; ROW(),Giocatori!I105)</f>
        <v>Genoa</v>
      </c>
      <c r="D181" s="63">
        <f t="shared" ca="1" si="77"/>
        <v>55.001809999999999</v>
      </c>
      <c r="E181" s="63">
        <f t="shared" ca="1" si="78"/>
        <v>43.001809999999999</v>
      </c>
      <c r="F181" s="64">
        <f t="shared" ca="1" si="79"/>
        <v>64.413250527300832</v>
      </c>
      <c r="G181" s="63" t="str">
        <f t="shared" ca="1" si="80"/>
        <v/>
      </c>
      <c r="H181" s="65">
        <f t="shared" ca="1" si="81"/>
        <v>80</v>
      </c>
      <c r="I181" s="63" t="str">
        <f t="shared" ca="1" si="82"/>
        <v/>
      </c>
      <c r="J181" s="63">
        <f t="shared" ca="1" si="83"/>
        <v>8.6742272119770139</v>
      </c>
      <c r="K181" s="63">
        <f t="shared" ca="1" si="84"/>
        <v>8.5889897539644782</v>
      </c>
      <c r="L181" s="324">
        <f ca="1">VLOOKUP(Tabella113[[#This Row],[Calciatore]],'Raccolta Aste'!$F$2:$J$33,4,FALSE)*Asta!$U$3/100</f>
        <v>0</v>
      </c>
      <c r="N181" s="58"/>
      <c r="O181" s="58"/>
      <c r="P181" s="58"/>
      <c r="Q181" s="58"/>
      <c r="R181" s="58"/>
      <c r="S181" s="58"/>
      <c r="U181" s="311"/>
      <c r="V181" s="311"/>
      <c r="W181" s="56">
        <f t="shared" ca="1" si="85"/>
        <v>173</v>
      </c>
      <c r="X181" s="56">
        <f t="shared" ca="1" si="86"/>
        <v>21</v>
      </c>
      <c r="Y181" s="56">
        <f t="shared" ca="1" si="87"/>
        <v>93</v>
      </c>
      <c r="Z181" s="56">
        <f t="shared" ca="1" si="88"/>
        <v>25</v>
      </c>
      <c r="AA181" s="56">
        <f t="shared" ca="1" si="89"/>
        <v>24</v>
      </c>
      <c r="AB181" s="56">
        <f ca="1">_xlfn.CEILING.MATH(INDIRECT(ADDRESS(85,22+MATCH($P$27,'I.A. + Fasce'!$W$84:$AA$84,0),1,1) &amp; ":" &amp; ADDRESS(305,22+MATCH($P$27,'I.A. + Fasce'!$W$84:$AA$84,0),1,1))/Asta!$H$3)</f>
        <v>3</v>
      </c>
      <c r="AE181" s="56">
        <f>'Mia rosa + Org. Finanza'!AH178</f>
        <v>0</v>
      </c>
      <c r="AF181" s="56">
        <f>'Mia rosa + Org. Finanza'!AI178</f>
        <v>0</v>
      </c>
      <c r="AG181" s="56">
        <f>'Mia rosa + Org. Finanza'!AJ178</f>
        <v>0</v>
      </c>
    </row>
    <row r="182" spans="1:33" ht="14.25" customHeight="1">
      <c r="A182" s="238" t="str">
        <f ca="1">IF(Giocatori!G106="","D",Giocatori!G106)</f>
        <v>D</v>
      </c>
      <c r="B182" s="238" t="str">
        <f ca="1">IF(Giocatori!H106="","ZZZ" &amp; ROW(),Giocatori!H106)</f>
        <v>JAROSZYNSKI</v>
      </c>
      <c r="C182" s="238" t="str">
        <f ca="1">IF(Giocatori!I106="","NDR" &amp; ROW(),Giocatori!I106)</f>
        <v>Chievo</v>
      </c>
      <c r="D182" s="63">
        <f t="shared" ca="1" si="77"/>
        <v>62.001820000000002</v>
      </c>
      <c r="E182" s="63">
        <f t="shared" ca="1" si="78"/>
        <v>27.001819999999999</v>
      </c>
      <c r="F182" s="64">
        <f t="shared" ca="1" si="79"/>
        <v>50.579459027603328</v>
      </c>
      <c r="G182" s="63" t="str">
        <f t="shared" ca="1" si="80"/>
        <v/>
      </c>
      <c r="H182" s="65">
        <f t="shared" ca="1" si="81"/>
        <v>30</v>
      </c>
      <c r="I182" s="63" t="str">
        <f t="shared" ca="1" si="82"/>
        <v/>
      </c>
      <c r="J182" s="63">
        <f t="shared" ca="1" si="83"/>
        <v>1.0018199999999999</v>
      </c>
      <c r="K182" s="63">
        <f t="shared" ca="1" si="84"/>
        <v>1.0018199999999999</v>
      </c>
      <c r="L182" s="324" t="e">
        <f ca="1">VLOOKUP(Tabella113[[#This Row],[Calciatore]],'Raccolta Aste'!$F$2:$J$33,4,FALSE)*Asta!$U$3/100</f>
        <v>#N/A</v>
      </c>
      <c r="N182" s="58"/>
      <c r="O182" s="58"/>
      <c r="P182" s="58"/>
      <c r="Q182" s="58"/>
      <c r="R182" s="58"/>
      <c r="S182" s="58"/>
      <c r="U182" s="311"/>
      <c r="V182" s="311"/>
      <c r="W182" s="56">
        <f t="shared" ca="1" si="85"/>
        <v>147</v>
      </c>
      <c r="X182" s="56">
        <f t="shared" ca="1" si="86"/>
        <v>178</v>
      </c>
      <c r="Y182" s="56">
        <f t="shared" ca="1" si="87"/>
        <v>170</v>
      </c>
      <c r="Z182" s="56">
        <f t="shared" ca="1" si="88"/>
        <v>130</v>
      </c>
      <c r="AA182" s="56">
        <f t="shared" ca="1" si="89"/>
        <v>127</v>
      </c>
      <c r="AB182" s="56">
        <f ca="1">_xlfn.CEILING.MATH(INDIRECT(ADDRESS(85,22+MATCH($P$27,'I.A. + Fasce'!$W$84:$AA$84,0),1,1) &amp; ":" &amp; ADDRESS(305,22+MATCH($P$27,'I.A. + Fasce'!$W$84:$AA$84,0),1,1))/Asta!$H$3)</f>
        <v>23</v>
      </c>
      <c r="AE182" s="56">
        <f>'Mia rosa + Org. Finanza'!AH179</f>
        <v>0</v>
      </c>
      <c r="AF182" s="56">
        <f>'Mia rosa + Org. Finanza'!AI179</f>
        <v>0</v>
      </c>
      <c r="AG182" s="56">
        <f>'Mia rosa + Org. Finanza'!AJ179</f>
        <v>0</v>
      </c>
    </row>
    <row r="183" spans="1:33" ht="14.25" customHeight="1">
      <c r="A183" s="238" t="str">
        <f ca="1">IF(Giocatori!G107="","D",Giocatori!G107)</f>
        <v>D</v>
      </c>
      <c r="B183" s="238" t="str">
        <f ca="1">IF(Giocatori!H107="","ZZZ" &amp; ROW(),Giocatori!H107)</f>
        <v>JUAN JESUS</v>
      </c>
      <c r="C183" s="238" t="str">
        <f ca="1">IF(Giocatori!I107="","NDR" &amp; ROW(),Giocatori!I107)</f>
        <v>Roma</v>
      </c>
      <c r="D183" s="63">
        <f t="shared" ca="1" si="77"/>
        <v>65.001829999999998</v>
      </c>
      <c r="E183" s="63">
        <f t="shared" ca="1" si="78"/>
        <v>34.001829999999998</v>
      </c>
      <c r="F183" s="64">
        <f t="shared" ca="1" si="79"/>
        <v>59.138030361240823</v>
      </c>
      <c r="G183" s="63" t="str">
        <f t="shared" ca="1" si="80"/>
        <v>SCONSIGLIATO</v>
      </c>
      <c r="H183" s="65">
        <f t="shared" ca="1" si="81"/>
        <v>60</v>
      </c>
      <c r="I183" s="63" t="str">
        <f t="shared" ca="1" si="82"/>
        <v/>
      </c>
      <c r="J183" s="63">
        <f t="shared" ca="1" si="83"/>
        <v>1.00183</v>
      </c>
      <c r="K183" s="63">
        <f t="shared" ca="1" si="84"/>
        <v>1.00183</v>
      </c>
      <c r="L183" s="324" t="e">
        <f ca="1">VLOOKUP(Tabella113[[#This Row],[Calciatore]],'Raccolta Aste'!$F$2:$J$33,4,FALSE)*Asta!$U$3/100</f>
        <v>#N/A</v>
      </c>
      <c r="N183" s="58"/>
      <c r="O183" s="58"/>
      <c r="P183" s="58"/>
      <c r="Q183" s="58"/>
      <c r="R183" s="58"/>
      <c r="S183" s="58"/>
      <c r="U183" s="311"/>
      <c r="V183" s="311"/>
      <c r="W183" s="56">
        <f t="shared" ca="1" si="85"/>
        <v>134</v>
      </c>
      <c r="X183" s="56">
        <f t="shared" ca="1" si="86"/>
        <v>132</v>
      </c>
      <c r="Y183" s="56">
        <f t="shared" ca="1" si="87"/>
        <v>132</v>
      </c>
      <c r="Z183" s="56">
        <f t="shared" ca="1" si="88"/>
        <v>129</v>
      </c>
      <c r="AA183" s="56">
        <f t="shared" ca="1" si="89"/>
        <v>126</v>
      </c>
      <c r="AB183" s="56">
        <f ca="1">_xlfn.CEILING.MATH(INDIRECT(ADDRESS(85,22+MATCH($P$27,'I.A. + Fasce'!$W$84:$AA$84,0),1,1) &amp; ":" &amp; ADDRESS(305,22+MATCH($P$27,'I.A. + Fasce'!$W$84:$AA$84,0),1,1))/Asta!$H$3)</f>
        <v>17</v>
      </c>
      <c r="AE183" s="56">
        <f>'Mia rosa + Org. Finanza'!AH180</f>
        <v>0</v>
      </c>
      <c r="AF183" s="56">
        <f>'Mia rosa + Org. Finanza'!AI180</f>
        <v>0</v>
      </c>
      <c r="AG183" s="56">
        <f>'Mia rosa + Org. Finanza'!AJ180</f>
        <v>0</v>
      </c>
    </row>
    <row r="184" spans="1:33" ht="14.25" customHeight="1">
      <c r="A184" s="238" t="str">
        <f ca="1">IF(Giocatori!G108="","D",Giocatori!G108)</f>
        <v>D</v>
      </c>
      <c r="B184" s="238" t="str">
        <f ca="1">IF(Giocatori!H108="","ZZZ" &amp; ROW(),Giocatori!H108)</f>
        <v>KARSDORP</v>
      </c>
      <c r="C184" s="238" t="str">
        <f ca="1">IF(Giocatori!I108="","NDR" &amp; ROW(),Giocatori!I108)</f>
        <v>Roma</v>
      </c>
      <c r="D184" s="63">
        <f t="shared" ca="1" si="77"/>
        <v>81.001840000000001</v>
      </c>
      <c r="E184" s="63">
        <f t="shared" ca="1" si="78"/>
        <v>41.001840000000001</v>
      </c>
      <c r="F184" s="64">
        <f t="shared" ca="1" si="79"/>
        <v>75.013270694880006</v>
      </c>
      <c r="G184" s="63" t="str">
        <f t="shared" ca="1" si="80"/>
        <v>SORPRESA</v>
      </c>
      <c r="H184" s="65">
        <f t="shared" ca="1" si="81"/>
        <v>70</v>
      </c>
      <c r="I184" s="63" t="str">
        <f t="shared" ca="1" si="82"/>
        <v/>
      </c>
      <c r="J184" s="63">
        <f t="shared" ca="1" si="83"/>
        <v>7.8496189517433503</v>
      </c>
      <c r="K184" s="63">
        <f t="shared" ca="1" si="84"/>
        <v>7.2384162439726776</v>
      </c>
      <c r="L184" s="324">
        <f ca="1">VLOOKUP(Tabella113[[#This Row],[Calciatore]],'Raccolta Aste'!$F$2:$J$33,4,FALSE)*Asta!$U$3/100</f>
        <v>6.6849999999999996</v>
      </c>
      <c r="N184" s="58"/>
      <c r="O184" s="58"/>
      <c r="P184" s="58"/>
      <c r="Q184" s="58"/>
      <c r="R184" s="58"/>
      <c r="S184" s="58"/>
      <c r="U184" s="311"/>
      <c r="V184" s="311"/>
      <c r="W184" s="56">
        <f t="shared" ca="1" si="85"/>
        <v>22</v>
      </c>
      <c r="X184" s="56">
        <f t="shared" ca="1" si="86"/>
        <v>37</v>
      </c>
      <c r="Y184" s="56">
        <f t="shared" ca="1" si="87"/>
        <v>25</v>
      </c>
      <c r="Z184" s="56">
        <f t="shared" ca="1" si="88"/>
        <v>31</v>
      </c>
      <c r="AA184" s="56">
        <f t="shared" ca="1" si="89"/>
        <v>34</v>
      </c>
      <c r="AB184" s="56">
        <f ca="1">_xlfn.CEILING.MATH(INDIRECT(ADDRESS(85,22+MATCH($P$27,'I.A. + Fasce'!$W$84:$AA$84,0),1,1) &amp; ":" &amp; ADDRESS(305,22+MATCH($P$27,'I.A. + Fasce'!$W$84:$AA$84,0),1,1))/Asta!$H$3)</f>
        <v>5</v>
      </c>
      <c r="AE184" s="56">
        <f>'Mia rosa + Org. Finanza'!AH181</f>
        <v>0</v>
      </c>
      <c r="AF184" s="56">
        <f>'Mia rosa + Org. Finanza'!AI181</f>
        <v>0</v>
      </c>
      <c r="AG184" s="56">
        <f>'Mia rosa + Org. Finanza'!AJ181</f>
        <v>0</v>
      </c>
    </row>
    <row r="185" spans="1:33" ht="14.25" customHeight="1">
      <c r="A185" s="238" t="str">
        <f ca="1">IF(Giocatori!G109="","D",Giocatori!G109)</f>
        <v>D</v>
      </c>
      <c r="B185" s="238" t="str">
        <f ca="1">IF(Giocatori!H109="","ZZZ" &amp; ROW(),Giocatori!H109)</f>
        <v>KEITA C</v>
      </c>
      <c r="C185" s="238" t="str">
        <f ca="1">IF(Giocatori!I109="","NDR" &amp; ROW(),Giocatori!I109)</f>
        <v>Bologna</v>
      </c>
      <c r="D185" s="63">
        <f t="shared" ca="1" si="77"/>
        <v>60.001849999999997</v>
      </c>
      <c r="E185" s="63">
        <f t="shared" ca="1" si="78"/>
        <v>1.8500000000000001E-3</v>
      </c>
      <c r="F185" s="64">
        <f t="shared" ca="1" si="79"/>
        <v>30.003700028520832</v>
      </c>
      <c r="G185" s="63" t="str">
        <f t="shared" ca="1" si="80"/>
        <v/>
      </c>
      <c r="H185" s="65">
        <f t="shared" ca="1" si="81"/>
        <v>0</v>
      </c>
      <c r="I185" s="63" t="str">
        <f t="shared" ca="1" si="82"/>
        <v/>
      </c>
      <c r="J185" s="63">
        <f t="shared" ca="1" si="83"/>
        <v>1.0018499999999999</v>
      </c>
      <c r="K185" s="63">
        <f t="shared" ca="1" si="84"/>
        <v>1.0018499999999999</v>
      </c>
      <c r="L185" s="324" t="e">
        <f ca="1">VLOOKUP(Tabella113[[#This Row],[Calciatore]],'Raccolta Aste'!$F$2:$J$33,4,FALSE)*Asta!$U$3/100</f>
        <v>#N/A</v>
      </c>
      <c r="N185" s="58"/>
      <c r="O185" s="58"/>
      <c r="P185" s="58"/>
      <c r="Q185" s="58"/>
      <c r="R185" s="58"/>
      <c r="S185" s="58"/>
      <c r="U185" s="311"/>
      <c r="V185" s="311"/>
      <c r="W185" s="56">
        <f t="shared" ca="1" si="85"/>
        <v>153</v>
      </c>
      <c r="X185" s="56">
        <f t="shared" ca="1" si="86"/>
        <v>220</v>
      </c>
      <c r="Y185" s="56">
        <f t="shared" ca="1" si="87"/>
        <v>184</v>
      </c>
      <c r="Z185" s="56">
        <f t="shared" ca="1" si="88"/>
        <v>128</v>
      </c>
      <c r="AA185" s="56">
        <f t="shared" ca="1" si="89"/>
        <v>125</v>
      </c>
      <c r="AB185" s="56">
        <f ca="1">_xlfn.CEILING.MATH(INDIRECT(ADDRESS(85,22+MATCH($P$27,'I.A. + Fasce'!$W$84:$AA$84,0),1,1) &amp; ":" &amp; ADDRESS(305,22+MATCH($P$27,'I.A. + Fasce'!$W$84:$AA$84,0),1,1))/Asta!$H$3)</f>
        <v>28</v>
      </c>
      <c r="AE185" s="56">
        <f>'Mia rosa + Org. Finanza'!AH182</f>
        <v>0</v>
      </c>
      <c r="AF185" s="56">
        <f>'Mia rosa + Org. Finanza'!AI182</f>
        <v>0</v>
      </c>
      <c r="AG185" s="56">
        <f>'Mia rosa + Org. Finanza'!AJ182</f>
        <v>0</v>
      </c>
    </row>
    <row r="186" spans="1:33" ht="14.25" customHeight="1">
      <c r="A186" s="238" t="str">
        <f ca="1">IF(Giocatori!G110="","D",Giocatori!G110)</f>
        <v>D</v>
      </c>
      <c r="B186" s="238" t="str">
        <f ca="1">IF(Giocatori!H110="","ZZZ" &amp; ROW(),Giocatori!H110)</f>
        <v>KOLAROV</v>
      </c>
      <c r="C186" s="238" t="str">
        <f ca="1">IF(Giocatori!I110="","NDR" &amp; ROW(),Giocatori!I110)</f>
        <v>Roma</v>
      </c>
      <c r="D186" s="63">
        <f t="shared" ca="1" si="77"/>
        <v>87.001859999999994</v>
      </c>
      <c r="E186" s="63">
        <f t="shared" ca="1" si="78"/>
        <v>43.001860000000001</v>
      </c>
      <c r="F186" s="64">
        <f t="shared" ca="1" si="79"/>
        <v>80.413386362163322</v>
      </c>
      <c r="G186" s="63" t="str">
        <f t="shared" ca="1" si="80"/>
        <v>CONSIGLIATO</v>
      </c>
      <c r="H186" s="65">
        <f t="shared" ca="1" si="81"/>
        <v>70</v>
      </c>
      <c r="I186" s="63" t="str">
        <f t="shared" ca="1" si="82"/>
        <v>1P 2A</v>
      </c>
      <c r="J186" s="63">
        <f t="shared" ca="1" si="83"/>
        <v>11.320891330557217</v>
      </c>
      <c r="K186" s="63">
        <f t="shared" ca="1" si="84"/>
        <v>11.267046992207232</v>
      </c>
      <c r="L186" s="324">
        <f ca="1">VLOOKUP(Tabella113[[#This Row],[Calciatore]],'Raccolta Aste'!$F$2:$J$33,4,FALSE)*Asta!$U$3/100</f>
        <v>12.775</v>
      </c>
      <c r="N186" s="58"/>
      <c r="O186" s="58"/>
      <c r="P186" s="58"/>
      <c r="Q186" s="58"/>
      <c r="R186" s="58"/>
      <c r="S186" s="58"/>
      <c r="U186" s="311"/>
      <c r="V186" s="311"/>
      <c r="W186" s="56">
        <f t="shared" ca="1" si="85"/>
        <v>12</v>
      </c>
      <c r="X186" s="56">
        <f t="shared" ca="1" si="86"/>
        <v>20</v>
      </c>
      <c r="Y186" s="56">
        <f t="shared" ca="1" si="87"/>
        <v>13</v>
      </c>
      <c r="Z186" s="56">
        <f t="shared" ca="1" si="88"/>
        <v>20</v>
      </c>
      <c r="AA186" s="56">
        <f t="shared" ca="1" si="89"/>
        <v>20</v>
      </c>
      <c r="AB186" s="56">
        <f ca="1">_xlfn.CEILING.MATH(INDIRECT(ADDRESS(85,22+MATCH($P$27,'I.A. + Fasce'!$W$84:$AA$84,0),1,1) &amp; ":" &amp; ADDRESS(305,22+MATCH($P$27,'I.A. + Fasce'!$W$84:$AA$84,0),1,1))/Asta!$H$3)</f>
        <v>3</v>
      </c>
      <c r="AE186" s="56">
        <f>'Mia rosa + Org. Finanza'!AH183</f>
        <v>0</v>
      </c>
      <c r="AF186" s="56">
        <f>'Mia rosa + Org. Finanza'!AI183</f>
        <v>0</v>
      </c>
      <c r="AG186" s="56">
        <f>'Mia rosa + Org. Finanza'!AJ183</f>
        <v>0</v>
      </c>
    </row>
    <row r="187" spans="1:33" ht="14.25" customHeight="1">
      <c r="A187" s="238" t="str">
        <f ca="1">IF(Giocatori!G111="","D",Giocatori!G111)</f>
        <v>D</v>
      </c>
      <c r="B187" s="238" t="str">
        <f ca="1">IF(Giocatori!H111="","ZZZ" &amp; ROW(),Giocatori!H111)</f>
        <v>KONATE</v>
      </c>
      <c r="C187" s="238" t="str">
        <f ca="1">IF(Giocatori!I111="","NDR" &amp; ROW(),Giocatori!I111)</f>
        <v>SPAL</v>
      </c>
      <c r="D187" s="63">
        <f t="shared" ca="1" si="77"/>
        <v>59.001869999999997</v>
      </c>
      <c r="E187" s="63">
        <f t="shared" ca="1" si="78"/>
        <v>24.00187</v>
      </c>
      <c r="F187" s="64">
        <f t="shared" ca="1" si="79"/>
        <v>46.304488029140828</v>
      </c>
      <c r="G187" s="63" t="str">
        <f t="shared" ca="1" si="80"/>
        <v/>
      </c>
      <c r="H187" s="65">
        <f t="shared" ca="1" si="81"/>
        <v>40</v>
      </c>
      <c r="I187" s="63" t="str">
        <f t="shared" ca="1" si="82"/>
        <v/>
      </c>
      <c r="J187" s="63">
        <f t="shared" ca="1" si="83"/>
        <v>1.00187</v>
      </c>
      <c r="K187" s="63">
        <f t="shared" ca="1" si="84"/>
        <v>1.00187</v>
      </c>
      <c r="L187" s="324" t="e">
        <f ca="1">VLOOKUP(Tabella113[[#This Row],[Calciatore]],'Raccolta Aste'!$F$2:$J$33,4,FALSE)*Asta!$U$3/100</f>
        <v>#N/A</v>
      </c>
      <c r="N187" s="58"/>
      <c r="O187" s="58"/>
      <c r="P187" s="58"/>
      <c r="Q187" s="58"/>
      <c r="R187" s="58"/>
      <c r="S187" s="58"/>
      <c r="U187" s="311"/>
      <c r="V187" s="311"/>
      <c r="W187" s="56">
        <f t="shared" ca="1" si="85"/>
        <v>160</v>
      </c>
      <c r="X187" s="56">
        <f t="shared" ca="1" si="86"/>
        <v>181</v>
      </c>
      <c r="Y187" s="56">
        <f t="shared" ca="1" si="87"/>
        <v>179</v>
      </c>
      <c r="Z187" s="56">
        <f t="shared" ca="1" si="88"/>
        <v>127</v>
      </c>
      <c r="AA187" s="56">
        <f t="shared" ca="1" si="89"/>
        <v>124</v>
      </c>
      <c r="AB187" s="56">
        <f ca="1">_xlfn.CEILING.MATH(INDIRECT(ADDRESS(85,22+MATCH($P$27,'I.A. + Fasce'!$W$84:$AA$84,0),1,1) &amp; ":" &amp; ADDRESS(305,22+MATCH($P$27,'I.A. + Fasce'!$W$84:$AA$84,0),1,1))/Asta!$H$3)</f>
        <v>23</v>
      </c>
      <c r="AE187" s="56">
        <f>'Mia rosa + Org. Finanza'!AH184</f>
        <v>0</v>
      </c>
      <c r="AF187" s="56">
        <f>'Mia rosa + Org. Finanza'!AI184</f>
        <v>0</v>
      </c>
      <c r="AG187" s="56">
        <f>'Mia rosa + Org. Finanza'!AJ184</f>
        <v>0</v>
      </c>
    </row>
    <row r="188" spans="1:33" ht="14.25" customHeight="1">
      <c r="A188" s="238" t="str">
        <f ca="1">IF(Giocatori!G112="","D",Giocatori!G112)</f>
        <v>D</v>
      </c>
      <c r="B188" s="238" t="str">
        <f ca="1">IF(Giocatori!H112="","ZZZ" &amp; ROW(),Giocatori!H112)</f>
        <v>KOULIBALY</v>
      </c>
      <c r="C188" s="238" t="str">
        <f ca="1">IF(Giocatori!I112="","NDR" &amp; ROW(),Giocatori!I112)</f>
        <v>Napoli</v>
      </c>
      <c r="D188" s="63">
        <f t="shared" ca="1" si="77"/>
        <v>91.00188</v>
      </c>
      <c r="E188" s="63">
        <f t="shared" ca="1" si="78"/>
        <v>51.00188</v>
      </c>
      <c r="F188" s="64">
        <f t="shared" ca="1" si="79"/>
        <v>92.68035802945333</v>
      </c>
      <c r="G188" s="63" t="str">
        <f t="shared" ca="1" si="80"/>
        <v>CONSIGLIATO</v>
      </c>
      <c r="H188" s="65">
        <f t="shared" ca="1" si="81"/>
        <v>90</v>
      </c>
      <c r="I188" s="63" t="str">
        <f t="shared" ca="1" si="82"/>
        <v/>
      </c>
      <c r="J188" s="63">
        <f t="shared" ca="1" si="83"/>
        <v>25.00188</v>
      </c>
      <c r="K188" s="63">
        <f t="shared" ca="1" si="84"/>
        <v>26.489760536719096</v>
      </c>
      <c r="L188" s="324">
        <f ca="1">VLOOKUP(Tabella113[[#This Row],[Calciatore]],'Raccolta Aste'!$F$2:$J$33,4,FALSE)*Asta!$U$3/100</f>
        <v>16.415000000000003</v>
      </c>
      <c r="N188" s="58"/>
      <c r="O188" s="58"/>
      <c r="P188" s="58"/>
      <c r="Q188" s="58"/>
      <c r="R188" s="58"/>
      <c r="S188" s="58"/>
      <c r="U188" s="311"/>
      <c r="V188" s="311"/>
      <c r="W188" s="56">
        <f t="shared" ca="1" si="85"/>
        <v>6</v>
      </c>
      <c r="X188" s="56">
        <f t="shared" ca="1" si="86"/>
        <v>1</v>
      </c>
      <c r="Y188" s="56">
        <f t="shared" ca="1" si="87"/>
        <v>4</v>
      </c>
      <c r="Z188" s="56">
        <f t="shared" ca="1" si="88"/>
        <v>2</v>
      </c>
      <c r="AA188" s="56">
        <f t="shared" ca="1" si="89"/>
        <v>2</v>
      </c>
      <c r="AB188" s="56">
        <f ca="1">_xlfn.CEILING.MATH(INDIRECT(ADDRESS(85,22+MATCH($P$27,'I.A. + Fasce'!$W$84:$AA$84,0),1,1) &amp; ":" &amp; ADDRESS(305,22+MATCH($P$27,'I.A. + Fasce'!$W$84:$AA$84,0),1,1))/Asta!$H$3)</f>
        <v>1</v>
      </c>
      <c r="AE188" s="56">
        <f>'Mia rosa + Org. Finanza'!AH185</f>
        <v>0</v>
      </c>
      <c r="AF188" s="56">
        <f>'Mia rosa + Org. Finanza'!AI185</f>
        <v>0</v>
      </c>
      <c r="AG188" s="56"/>
    </row>
    <row r="189" spans="1:33" ht="14.25" customHeight="1">
      <c r="A189" s="238" t="str">
        <f ca="1">IF(Giocatori!G113="","D",Giocatori!G113)</f>
        <v>D</v>
      </c>
      <c r="B189" s="238" t="str">
        <f ca="1">IF(Giocatori!H113="","ZZZ" &amp; ROW(),Giocatori!H113)</f>
        <v>KRAFTH</v>
      </c>
      <c r="C189" s="238" t="str">
        <f ca="1">IF(Giocatori!I113="","NDR" &amp; ROW(),Giocatori!I113)</f>
        <v>Bologna</v>
      </c>
      <c r="D189" s="63">
        <f t="shared" ca="1" si="77"/>
        <v>69.001890000000003</v>
      </c>
      <c r="E189" s="63">
        <f t="shared" ca="1" si="78"/>
        <v>33.001890000000003</v>
      </c>
      <c r="F189" s="64">
        <f t="shared" ca="1" si="79"/>
        <v>60.079819529767512</v>
      </c>
      <c r="G189" s="63" t="str">
        <f t="shared" ca="1" si="80"/>
        <v>SCONSIGLIATO</v>
      </c>
      <c r="H189" s="65">
        <f t="shared" ca="1" si="81"/>
        <v>60</v>
      </c>
      <c r="I189" s="63" t="str">
        <f t="shared" ca="1" si="82"/>
        <v/>
      </c>
      <c r="J189" s="63">
        <f t="shared" ca="1" si="83"/>
        <v>1.0018899999999999</v>
      </c>
      <c r="K189" s="63">
        <f t="shared" ca="1" si="84"/>
        <v>1.0018899999999999</v>
      </c>
      <c r="L189" s="324" t="e">
        <f ca="1">VLOOKUP(Tabella113[[#This Row],[Calciatore]],'Raccolta Aste'!$F$2:$J$33,4,FALSE)*Asta!$U$3/100</f>
        <v>#N/A</v>
      </c>
      <c r="N189" s="58"/>
      <c r="O189" s="58"/>
      <c r="P189" s="58"/>
      <c r="Q189" s="58"/>
      <c r="R189" s="58"/>
      <c r="S189" s="58"/>
      <c r="U189" s="311"/>
      <c r="V189" s="311"/>
      <c r="W189" s="56">
        <f t="shared" ca="1" si="85"/>
        <v>98</v>
      </c>
      <c r="X189" s="56">
        <f t="shared" ca="1" si="86"/>
        <v>146</v>
      </c>
      <c r="Y189" s="56">
        <f t="shared" ca="1" si="87"/>
        <v>126</v>
      </c>
      <c r="Z189" s="56">
        <f t="shared" ca="1" si="88"/>
        <v>126</v>
      </c>
      <c r="AA189" s="56">
        <f t="shared" ca="1" si="89"/>
        <v>123</v>
      </c>
      <c r="AB189" s="56">
        <f ca="1">_xlfn.CEILING.MATH(INDIRECT(ADDRESS(85,22+MATCH($P$27,'I.A. + Fasce'!$W$84:$AA$84,0),1,1) &amp; ":" &amp; ADDRESS(305,22+MATCH($P$27,'I.A. + Fasce'!$W$84:$AA$84,0),1,1))/Asta!$H$3)</f>
        <v>19</v>
      </c>
      <c r="AE189" s="56">
        <f>'Mia rosa + Org. Finanza'!AH186</f>
        <v>0</v>
      </c>
      <c r="AF189" s="56">
        <f>'Mia rosa + Org. Finanza'!AI186</f>
        <v>0</v>
      </c>
      <c r="AG189" s="56"/>
    </row>
    <row r="190" spans="1:33" ht="14.25" customHeight="1">
      <c r="A190" s="238" t="str">
        <f ca="1">IF(Giocatori!G114="","D",Giocatori!G114)</f>
        <v>D</v>
      </c>
      <c r="B190" s="238" t="str">
        <f ca="1">IF(Giocatori!H114="","ZZZ" &amp; ROW(),Giocatori!H114)</f>
        <v>LAURINI</v>
      </c>
      <c r="C190" s="238" t="str">
        <f ca="1">IF(Giocatori!I114="","NDR" &amp; ROW(),Giocatori!I114)</f>
        <v>Fiorentina</v>
      </c>
      <c r="D190" s="63">
        <f t="shared" ca="1" si="77"/>
        <v>68.001900000000006</v>
      </c>
      <c r="E190" s="63">
        <f t="shared" ca="1" si="78"/>
        <v>36.001899999999999</v>
      </c>
      <c r="F190" s="64">
        <f t="shared" ca="1" si="79"/>
        <v>62.804940030083337</v>
      </c>
      <c r="G190" s="63" t="str">
        <f t="shared" ca="1" si="80"/>
        <v/>
      </c>
      <c r="H190" s="65">
        <f t="shared" ca="1" si="81"/>
        <v>70</v>
      </c>
      <c r="I190" s="63" t="str">
        <f t="shared" ca="1" si="82"/>
        <v/>
      </c>
      <c r="J190" s="63">
        <f t="shared" ca="1" si="83"/>
        <v>1.0019</v>
      </c>
      <c r="K190" s="63">
        <f t="shared" ca="1" si="84"/>
        <v>1.0019</v>
      </c>
      <c r="L190" s="324" t="e">
        <f ca="1">VLOOKUP(Tabella113[[#This Row],[Calciatore]],'Raccolta Aste'!$F$2:$J$33,4,FALSE)*Asta!$U$3/100</f>
        <v>#N/A</v>
      </c>
      <c r="N190" s="58"/>
      <c r="O190" s="58"/>
      <c r="P190" s="58"/>
      <c r="Q190" s="58"/>
      <c r="R190" s="58"/>
      <c r="S190" s="58"/>
      <c r="U190" s="311"/>
      <c r="V190" s="311"/>
      <c r="W190" s="56">
        <f t="shared" ca="1" si="85"/>
        <v>104</v>
      </c>
      <c r="X190" s="56">
        <f t="shared" ca="1" si="86"/>
        <v>103</v>
      </c>
      <c r="Y190" s="56">
        <f t="shared" ca="1" si="87"/>
        <v>102</v>
      </c>
      <c r="Z190" s="56">
        <f t="shared" ca="1" si="88"/>
        <v>125</v>
      </c>
      <c r="AA190" s="56">
        <f t="shared" ca="1" si="89"/>
        <v>122</v>
      </c>
      <c r="AB190" s="56">
        <f ca="1">_xlfn.CEILING.MATH(INDIRECT(ADDRESS(85,22+MATCH($P$27,'I.A. + Fasce'!$W$84:$AA$84,0),1,1) &amp; ":" &amp; ADDRESS(305,22+MATCH($P$27,'I.A. + Fasce'!$W$84:$AA$84,0),1,1))/Asta!$H$3)</f>
        <v>13</v>
      </c>
      <c r="AE190" s="56">
        <f>'Mia rosa + Org. Finanza'!AH187</f>
        <v>0</v>
      </c>
      <c r="AF190" s="56">
        <f>'Mia rosa + Org. Finanza'!AI187</f>
        <v>0</v>
      </c>
      <c r="AG190" s="56"/>
    </row>
    <row r="191" spans="1:33" ht="14.25" customHeight="1">
      <c r="A191" s="238" t="str">
        <f ca="1">IF(Giocatori!G115="","D",Giocatori!G115)</f>
        <v>D</v>
      </c>
      <c r="B191" s="238" t="str">
        <f ca="1">IF(Giocatori!H115="","ZZZ" &amp; ROW(),Giocatori!H115)</f>
        <v>LAZAAR</v>
      </c>
      <c r="C191" s="238" t="str">
        <f ca="1">IF(Giocatori!I115="","NDR" &amp; ROW(),Giocatori!I115)</f>
        <v>Benevento</v>
      </c>
      <c r="D191" s="63">
        <f t="shared" ca="1" si="77"/>
        <v>70.001909999999995</v>
      </c>
      <c r="E191" s="63">
        <f t="shared" ca="1" si="78"/>
        <v>38.001910000000002</v>
      </c>
      <c r="F191" s="64">
        <f t="shared" ca="1" si="79"/>
        <v>66.038363030400831</v>
      </c>
      <c r="G191" s="63" t="str">
        <f t="shared" ca="1" si="80"/>
        <v/>
      </c>
      <c r="H191" s="65">
        <f t="shared" ca="1" si="81"/>
        <v>70</v>
      </c>
      <c r="I191" s="63" t="str">
        <f t="shared" ca="1" si="82"/>
        <v/>
      </c>
      <c r="J191" s="63">
        <f t="shared" ca="1" si="83"/>
        <v>1.0019100000000001</v>
      </c>
      <c r="K191" s="63">
        <f t="shared" ca="1" si="84"/>
        <v>1.0019100000000001</v>
      </c>
      <c r="L191" s="324" t="e">
        <f ca="1">VLOOKUP(Tabella113[[#This Row],[Calciatore]],'Raccolta Aste'!$F$2:$J$33,4,FALSE)*Asta!$U$3/100</f>
        <v>#N/A</v>
      </c>
      <c r="N191" s="58"/>
      <c r="O191" s="58"/>
      <c r="P191" s="58"/>
      <c r="Q191" s="58"/>
      <c r="R191" s="58"/>
      <c r="S191" s="58"/>
      <c r="U191" s="311"/>
      <c r="V191" s="311"/>
      <c r="W191" s="56">
        <f t="shared" ca="1" si="85"/>
        <v>90</v>
      </c>
      <c r="X191" s="56">
        <f t="shared" ca="1" si="86"/>
        <v>77</v>
      </c>
      <c r="Y191" s="56">
        <f t="shared" ca="1" si="87"/>
        <v>81</v>
      </c>
      <c r="Z191" s="56">
        <f t="shared" ca="1" si="88"/>
        <v>124</v>
      </c>
      <c r="AA191" s="56">
        <f t="shared" ca="1" si="89"/>
        <v>121</v>
      </c>
      <c r="AB191" s="56">
        <f ca="1">_xlfn.CEILING.MATH(INDIRECT(ADDRESS(85,22+MATCH($P$27,'I.A. + Fasce'!$W$84:$AA$84,0),1,1) &amp; ":" &amp; ADDRESS(305,22+MATCH($P$27,'I.A. + Fasce'!$W$84:$AA$84,0),1,1))/Asta!$H$3)</f>
        <v>10</v>
      </c>
      <c r="AE191" s="56">
        <f>'Mia rosa + Org. Finanza'!AH188</f>
        <v>0</v>
      </c>
      <c r="AF191" s="56">
        <f>'Mia rosa + Org. Finanza'!AI188</f>
        <v>0</v>
      </c>
    </row>
    <row r="192" spans="1:33" ht="14.25" customHeight="1">
      <c r="A192" s="238" t="str">
        <f ca="1">IF(Giocatori!G116="","D",Giocatori!G116)</f>
        <v>D</v>
      </c>
      <c r="B192" s="238" t="str">
        <f ca="1">IF(Giocatori!H116="","ZZZ" &amp; ROW(),Giocatori!H116)</f>
        <v>LETIZIA</v>
      </c>
      <c r="C192" s="238" t="str">
        <f ca="1">IF(Giocatori!I116="","NDR" &amp; ROW(),Giocatori!I116)</f>
        <v>Benevento</v>
      </c>
      <c r="D192" s="63">
        <f t="shared" ca="1" si="77"/>
        <v>74.001919999999998</v>
      </c>
      <c r="E192" s="63">
        <f t="shared" ca="1" si="78"/>
        <v>41.001919999999998</v>
      </c>
      <c r="F192" s="64">
        <f t="shared" ca="1" si="79"/>
        <v>71.513485364053324</v>
      </c>
      <c r="G192" s="63" t="str">
        <f t="shared" ca="1" si="80"/>
        <v/>
      </c>
      <c r="H192" s="65">
        <f t="shared" ca="1" si="81"/>
        <v>70</v>
      </c>
      <c r="I192" s="63" t="str">
        <f t="shared" ca="1" si="82"/>
        <v/>
      </c>
      <c r="J192" s="63">
        <f t="shared" ca="1" si="83"/>
        <v>1.0019199999999999</v>
      </c>
      <c r="K192" s="63">
        <f t="shared" ca="1" si="84"/>
        <v>1.0019199999999999</v>
      </c>
      <c r="L192" s="324" t="e">
        <f ca="1">VLOOKUP(Tabella113[[#This Row],[Calciatore]],'Raccolta Aste'!$F$2:$J$33,4,FALSE)*Asta!$U$3/100</f>
        <v>#N/A</v>
      </c>
      <c r="N192" s="58"/>
      <c r="O192" s="58"/>
      <c r="P192" s="58"/>
      <c r="Q192" s="58"/>
      <c r="R192" s="58"/>
      <c r="S192" s="58"/>
      <c r="U192" s="311"/>
      <c r="V192" s="311"/>
      <c r="W192" s="56">
        <f t="shared" ca="1" si="85"/>
        <v>55</v>
      </c>
      <c r="X192" s="56">
        <f t="shared" ca="1" si="86"/>
        <v>36</v>
      </c>
      <c r="Y192" s="56">
        <f t="shared" ca="1" si="87"/>
        <v>39</v>
      </c>
      <c r="Z192" s="56">
        <f t="shared" ca="1" si="88"/>
        <v>123</v>
      </c>
      <c r="AA192" s="56">
        <f t="shared" ca="1" si="89"/>
        <v>120</v>
      </c>
      <c r="AB192" s="56">
        <f ca="1">_xlfn.CEILING.MATH(INDIRECT(ADDRESS(85,22+MATCH($P$27,'I.A. + Fasce'!$W$84:$AA$84,0),1,1) &amp; ":" &amp; ADDRESS(305,22+MATCH($P$27,'I.A. + Fasce'!$W$84:$AA$84,0),1,1))/Asta!$H$3)</f>
        <v>5</v>
      </c>
      <c r="AE192" s="56">
        <f>'Mia rosa + Org. Finanza'!AH189</f>
        <v>0</v>
      </c>
      <c r="AF192" s="56">
        <f>'Mia rosa + Org. Finanza'!AI189</f>
        <v>0</v>
      </c>
    </row>
    <row r="193" spans="1:32" ht="14.25" customHeight="1">
      <c r="A193" s="238" t="str">
        <f ca="1">IF(Giocatori!G117="","D",Giocatori!G117)</f>
        <v>D</v>
      </c>
      <c r="B193" s="238" t="str">
        <f ca="1">IF(Giocatori!H117="","ZZZ" &amp; ROW(),Giocatori!H117)</f>
        <v>LETSCHERT</v>
      </c>
      <c r="C193" s="238" t="str">
        <f ca="1">IF(Giocatori!I117="","NDR" &amp; ROW(),Giocatori!I117)</f>
        <v>Sassuolo</v>
      </c>
      <c r="D193" s="63">
        <f t="shared" ca="1" si="77"/>
        <v>63.001930000000002</v>
      </c>
      <c r="E193" s="63">
        <f t="shared" ca="1" si="78"/>
        <v>29.001930000000002</v>
      </c>
      <c r="F193" s="64">
        <f t="shared" ca="1" si="79"/>
        <v>53.013126197707507</v>
      </c>
      <c r="G193" s="63" t="str">
        <f t="shared" ca="1" si="80"/>
        <v/>
      </c>
      <c r="H193" s="65">
        <f t="shared" ca="1" si="81"/>
        <v>50</v>
      </c>
      <c r="I193" s="63" t="str">
        <f t="shared" ca="1" si="82"/>
        <v/>
      </c>
      <c r="J193" s="63">
        <f t="shared" ca="1" si="83"/>
        <v>1.00193</v>
      </c>
      <c r="K193" s="63">
        <f t="shared" ca="1" si="84"/>
        <v>1.00193</v>
      </c>
      <c r="L193" s="324" t="e">
        <f ca="1">VLOOKUP(Tabella113[[#This Row],[Calciatore]],'Raccolta Aste'!$F$2:$J$33,4,FALSE)*Asta!$U$3/100</f>
        <v>#N/A</v>
      </c>
      <c r="N193" s="58"/>
      <c r="O193" s="58"/>
      <c r="P193" s="58"/>
      <c r="Q193" s="58"/>
      <c r="R193" s="58"/>
      <c r="S193" s="58"/>
      <c r="U193" s="311"/>
      <c r="V193" s="311"/>
      <c r="W193" s="56">
        <f t="shared" ca="1" si="85"/>
        <v>145</v>
      </c>
      <c r="X193" s="56">
        <f t="shared" ca="1" si="86"/>
        <v>168</v>
      </c>
      <c r="Y193" s="56">
        <f t="shared" ca="1" si="87"/>
        <v>161</v>
      </c>
      <c r="Z193" s="56">
        <f t="shared" ca="1" si="88"/>
        <v>122</v>
      </c>
      <c r="AA193" s="56">
        <f t="shared" ca="1" si="89"/>
        <v>119</v>
      </c>
      <c r="AB193" s="56">
        <f ca="1">_xlfn.CEILING.MATH(INDIRECT(ADDRESS(85,22+MATCH($P$27,'I.A. + Fasce'!$W$84:$AA$84,0),1,1) &amp; ":" &amp; ADDRESS(305,22+MATCH($P$27,'I.A. + Fasce'!$W$84:$AA$84,0),1,1))/Asta!$H$3)</f>
        <v>21</v>
      </c>
      <c r="AE193" s="56">
        <f>'Mia rosa + Org. Finanza'!AH190</f>
        <v>0</v>
      </c>
      <c r="AF193" s="56">
        <f>'Mia rosa + Org. Finanza'!AI190</f>
        <v>0</v>
      </c>
    </row>
    <row r="194" spans="1:32" ht="14.25" customHeight="1">
      <c r="A194" s="238" t="str">
        <f ca="1">IF(Giocatori!G118="","D",Giocatori!G118)</f>
        <v>D</v>
      </c>
      <c r="B194" s="238" t="str">
        <f ca="1">IF(Giocatori!H118="","ZZZ" &amp; ROW(),Giocatori!H118)</f>
        <v>LICHTSTEINER</v>
      </c>
      <c r="C194" s="238" t="str">
        <f ca="1">IF(Giocatori!I118="","NDR" &amp; ROW(),Giocatori!I118)</f>
        <v>Juventus</v>
      </c>
      <c r="D194" s="63">
        <f t="shared" ca="1" si="77"/>
        <v>78.001940000000005</v>
      </c>
      <c r="E194" s="63">
        <f t="shared" ca="1" si="78"/>
        <v>38.001939999999998</v>
      </c>
      <c r="F194" s="64">
        <f t="shared" ca="1" si="79"/>
        <v>70.038442031363346</v>
      </c>
      <c r="G194" s="63" t="str">
        <f t="shared" ca="1" si="80"/>
        <v/>
      </c>
      <c r="H194" s="65">
        <f t="shared" ca="1" si="81"/>
        <v>70</v>
      </c>
      <c r="I194" s="63" t="str">
        <f t="shared" ca="1" si="82"/>
        <v/>
      </c>
      <c r="J194" s="63">
        <f t="shared" ca="1" si="83"/>
        <v>8.1840904934828291</v>
      </c>
      <c r="K194" s="63">
        <f t="shared" ca="1" si="84"/>
        <v>8.2631941715625583</v>
      </c>
      <c r="L194" s="324">
        <f ca="1">VLOOKUP(Tabella113[[#This Row],[Calciatore]],'Raccolta Aste'!$F$2:$J$33,4,FALSE)*Asta!$U$3/100</f>
        <v>9.8699999999999992</v>
      </c>
      <c r="N194" s="58"/>
      <c r="O194" s="58"/>
      <c r="P194" s="58"/>
      <c r="Q194" s="58"/>
      <c r="R194" s="58"/>
      <c r="S194" s="58"/>
      <c r="U194" s="311"/>
      <c r="V194" s="311"/>
      <c r="W194" s="56">
        <f t="shared" ca="1" si="85"/>
        <v>30</v>
      </c>
      <c r="X194" s="56">
        <f t="shared" ca="1" si="86"/>
        <v>76</v>
      </c>
      <c r="Y194" s="56">
        <f t="shared" ca="1" si="87"/>
        <v>51</v>
      </c>
      <c r="Z194" s="56">
        <f t="shared" ca="1" si="88"/>
        <v>28</v>
      </c>
      <c r="AA194" s="56">
        <f t="shared" ca="1" si="89"/>
        <v>27</v>
      </c>
      <c r="AB194" s="56">
        <f ca="1">_xlfn.CEILING.MATH(INDIRECT(ADDRESS(85,22+MATCH($P$27,'I.A. + Fasce'!$W$84:$AA$84,0),1,1) &amp; ":" &amp; ADDRESS(305,22+MATCH($P$27,'I.A. + Fasce'!$W$84:$AA$84,0),1,1))/Asta!$H$3)</f>
        <v>10</v>
      </c>
      <c r="AE194" s="56">
        <f>'Mia rosa + Org. Finanza'!AH191</f>
        <v>0</v>
      </c>
      <c r="AF194" s="56">
        <f>'Mia rosa + Org. Finanza'!AI191</f>
        <v>0</v>
      </c>
    </row>
    <row r="195" spans="1:32" ht="14.25" customHeight="1">
      <c r="A195" s="238" t="str">
        <f ca="1">IF(Giocatori!G119="","D",Giocatori!G119)</f>
        <v>D</v>
      </c>
      <c r="B195" s="238" t="str">
        <f ca="1">IF(Giocatori!H119="","ZZZ" &amp; ROW(),Giocatori!H119)</f>
        <v>LIROLA</v>
      </c>
      <c r="C195" s="238" t="str">
        <f ca="1">IF(Giocatori!I119="","NDR" &amp; ROW(),Giocatori!I119)</f>
        <v>Sassuolo</v>
      </c>
      <c r="D195" s="63">
        <f t="shared" ca="1" si="77"/>
        <v>76.001949999999994</v>
      </c>
      <c r="E195" s="63">
        <f t="shared" ca="1" si="78"/>
        <v>37.001950000000001</v>
      </c>
      <c r="F195" s="64">
        <f t="shared" ca="1" si="79"/>
        <v>67.91343586502083</v>
      </c>
      <c r="G195" s="63" t="str">
        <f t="shared" ca="1" si="80"/>
        <v/>
      </c>
      <c r="H195" s="65">
        <f t="shared" ca="1" si="81"/>
        <v>70</v>
      </c>
      <c r="I195" s="63" t="str">
        <f t="shared" ca="1" si="82"/>
        <v/>
      </c>
      <c r="J195" s="63">
        <f t="shared" ca="1" si="83"/>
        <v>1.0019499999999999</v>
      </c>
      <c r="K195" s="63">
        <f t="shared" ca="1" si="84"/>
        <v>1.0019499999999999</v>
      </c>
      <c r="L195" s="324" t="e">
        <f ca="1">VLOOKUP(Tabella113[[#This Row],[Calciatore]],'Raccolta Aste'!$F$2:$J$33,4,FALSE)*Asta!$U$3/100</f>
        <v>#N/A</v>
      </c>
      <c r="N195" s="58"/>
      <c r="O195" s="58"/>
      <c r="P195" s="58"/>
      <c r="Q195" s="58"/>
      <c r="R195" s="58"/>
      <c r="S195" s="58"/>
      <c r="U195" s="311"/>
      <c r="V195" s="311"/>
      <c r="W195" s="56">
        <f t="shared" ca="1" si="85"/>
        <v>40</v>
      </c>
      <c r="X195" s="56">
        <f t="shared" ca="1" si="86"/>
        <v>93</v>
      </c>
      <c r="Y195" s="56">
        <f t="shared" ca="1" si="87"/>
        <v>71</v>
      </c>
      <c r="Z195" s="56">
        <f t="shared" ca="1" si="88"/>
        <v>121</v>
      </c>
      <c r="AA195" s="56">
        <f t="shared" ca="1" si="89"/>
        <v>118</v>
      </c>
      <c r="AB195" s="56">
        <f ca="1">_xlfn.CEILING.MATH(INDIRECT(ADDRESS(85,22+MATCH($P$27,'I.A. + Fasce'!$W$84:$AA$84,0),1,1) &amp; ":" &amp; ADDRESS(305,22+MATCH($P$27,'I.A. + Fasce'!$W$84:$AA$84,0),1,1))/Asta!$H$3)</f>
        <v>12</v>
      </c>
      <c r="AE195" s="56">
        <f>'Mia rosa + Org. Finanza'!AH192</f>
        <v>0</v>
      </c>
      <c r="AF195" s="56">
        <f>'Mia rosa + Org. Finanza'!AI192</f>
        <v>0</v>
      </c>
    </row>
    <row r="196" spans="1:32" ht="14.25" customHeight="1">
      <c r="A196" s="238" t="str">
        <f ca="1">IF(Giocatori!G120="","D",Giocatori!G120)</f>
        <v>D</v>
      </c>
      <c r="B196" s="238" t="str">
        <f ca="1">IF(Giocatori!H120="","ZZZ" &amp; ROW(),Giocatori!H120)</f>
        <v>LUCIONI</v>
      </c>
      <c r="C196" s="238" t="str">
        <f ca="1">IF(Giocatori!I120="","NDR" &amp; ROW(),Giocatori!I120)</f>
        <v>Benevento</v>
      </c>
      <c r="D196" s="63">
        <f t="shared" ca="1" si="77"/>
        <v>74.001959999999997</v>
      </c>
      <c r="E196" s="63">
        <f t="shared" ca="1" si="78"/>
        <v>42.001959999999997</v>
      </c>
      <c r="F196" s="64">
        <f t="shared" ca="1" si="79"/>
        <v>72.705292032013332</v>
      </c>
      <c r="G196" s="63" t="str">
        <f t="shared" ca="1" si="80"/>
        <v>SORPRESA</v>
      </c>
      <c r="H196" s="65">
        <f t="shared" ca="1" si="81"/>
        <v>80</v>
      </c>
      <c r="I196" s="63" t="str">
        <f t="shared" ca="1" si="82"/>
        <v/>
      </c>
      <c r="J196" s="63">
        <f t="shared" ca="1" si="83"/>
        <v>1.00196</v>
      </c>
      <c r="K196" s="63">
        <f t="shared" ca="1" si="84"/>
        <v>1.00196</v>
      </c>
      <c r="L196" s="324" t="e">
        <f ca="1">VLOOKUP(Tabella113[[#This Row],[Calciatore]],'Raccolta Aste'!$F$2:$J$33,4,FALSE)*Asta!$U$3/100</f>
        <v>#N/A</v>
      </c>
      <c r="N196" s="58"/>
      <c r="O196" s="58"/>
      <c r="P196" s="58"/>
      <c r="Q196" s="58"/>
      <c r="R196" s="58"/>
      <c r="S196" s="58"/>
      <c r="U196" s="311"/>
      <c r="V196" s="311"/>
      <c r="W196" s="56">
        <f t="shared" ca="1" si="85"/>
        <v>54</v>
      </c>
      <c r="X196" s="56">
        <f t="shared" ca="1" si="86"/>
        <v>28</v>
      </c>
      <c r="Y196" s="56">
        <f t="shared" ca="1" si="87"/>
        <v>36</v>
      </c>
      <c r="Z196" s="56">
        <f t="shared" ca="1" si="88"/>
        <v>120</v>
      </c>
      <c r="AA196" s="56">
        <f t="shared" ca="1" si="89"/>
        <v>117</v>
      </c>
      <c r="AB196" s="56">
        <f ca="1">_xlfn.CEILING.MATH(INDIRECT(ADDRESS(85,22+MATCH($P$27,'I.A. + Fasce'!$W$84:$AA$84,0),1,1) &amp; ":" &amp; ADDRESS(305,22+MATCH($P$27,'I.A. + Fasce'!$W$84:$AA$84,0),1,1))/Asta!$H$3)</f>
        <v>4</v>
      </c>
      <c r="AE196" s="56">
        <f>'Mia rosa + Org. Finanza'!AH193</f>
        <v>0</v>
      </c>
      <c r="AF196" s="56">
        <f>'Mia rosa + Org. Finanza'!AI193</f>
        <v>0</v>
      </c>
    </row>
    <row r="197" spans="1:32" ht="14.25" customHeight="1">
      <c r="A197" s="238" t="str">
        <f ca="1">IF(Giocatori!G121="","D",Giocatori!G121)</f>
        <v>D</v>
      </c>
      <c r="B197" s="238" t="str">
        <f ca="1">IF(Giocatori!H121="","ZZZ" &amp; ROW(),Giocatori!H121)</f>
        <v>LUKAKU</v>
      </c>
      <c r="C197" s="238" t="str">
        <f ca="1">IF(Giocatori!I121="","NDR" &amp; ROW(),Giocatori!I121)</f>
        <v>Lazio</v>
      </c>
      <c r="D197" s="63">
        <f t="shared" ca="1" si="77"/>
        <v>66.00197</v>
      </c>
      <c r="E197" s="63">
        <f t="shared" ca="1" si="78"/>
        <v>34.00197</v>
      </c>
      <c r="F197" s="64">
        <f t="shared" ca="1" si="79"/>
        <v>59.63838969900749</v>
      </c>
      <c r="G197" s="63" t="str">
        <f t="shared" ca="1" si="80"/>
        <v/>
      </c>
      <c r="H197" s="65">
        <f t="shared" ca="1" si="81"/>
        <v>50</v>
      </c>
      <c r="I197" s="63" t="str">
        <f t="shared" ca="1" si="82"/>
        <v/>
      </c>
      <c r="J197" s="63">
        <f t="shared" ca="1" si="83"/>
        <v>1.00197</v>
      </c>
      <c r="K197" s="63">
        <f t="shared" ca="1" si="84"/>
        <v>1.00197</v>
      </c>
      <c r="L197" s="324" t="e">
        <f ca="1">VLOOKUP(Tabella113[[#This Row],[Calciatore]],'Raccolta Aste'!$F$2:$J$33,4,FALSE)*Asta!$U$3/100</f>
        <v>#N/A</v>
      </c>
      <c r="N197" s="58"/>
      <c r="O197" s="58"/>
      <c r="P197" s="58"/>
      <c r="Q197" s="58"/>
      <c r="R197" s="58"/>
      <c r="S197" s="58"/>
      <c r="U197" s="311"/>
      <c r="V197" s="311"/>
      <c r="W197" s="56">
        <f t="shared" ca="1" si="85"/>
        <v>126</v>
      </c>
      <c r="X197" s="56">
        <f t="shared" ca="1" si="86"/>
        <v>131</v>
      </c>
      <c r="Y197" s="56">
        <f t="shared" ca="1" si="87"/>
        <v>130</v>
      </c>
      <c r="Z197" s="56">
        <f t="shared" ca="1" si="88"/>
        <v>119</v>
      </c>
      <c r="AA197" s="56">
        <f t="shared" ca="1" si="89"/>
        <v>116</v>
      </c>
      <c r="AB197" s="56">
        <f ca="1">_xlfn.CEILING.MATH(INDIRECT(ADDRESS(85,22+MATCH($P$27,'I.A. + Fasce'!$W$84:$AA$84,0),1,1) &amp; ":" &amp; ADDRESS(305,22+MATCH($P$27,'I.A. + Fasce'!$W$84:$AA$84,0),1,1))/Asta!$H$3)</f>
        <v>17</v>
      </c>
      <c r="AE197" s="56">
        <f>'Mia rosa + Org. Finanza'!AH194</f>
        <v>0</v>
      </c>
      <c r="AF197" s="56">
        <f>'Mia rosa + Org. Finanza'!AI194</f>
        <v>0</v>
      </c>
    </row>
    <row r="198" spans="1:32" ht="14.25" customHeight="1">
      <c r="A198" s="238" t="str">
        <f ca="1">IF(Giocatori!G122="","D",Giocatori!G122)</f>
        <v>D</v>
      </c>
      <c r="B198" s="238" t="str">
        <f ca="1">IF(Giocatori!H122="","ZZZ" &amp; ROW(),Giocatori!H122)</f>
        <v>LYANCO</v>
      </c>
      <c r="C198" s="238" t="str">
        <f ca="1">IF(Giocatori!I122="","NDR" &amp; ROW(),Giocatori!I122)</f>
        <v>Torino</v>
      </c>
      <c r="D198" s="63">
        <f t="shared" ca="1" si="77"/>
        <v>70.001980000000003</v>
      </c>
      <c r="E198" s="63">
        <f t="shared" ca="1" si="78"/>
        <v>39.001980000000003</v>
      </c>
      <c r="F198" s="64">
        <f t="shared" ca="1" si="79"/>
        <v>67.18024703267001</v>
      </c>
      <c r="G198" s="63" t="str">
        <f t="shared" ca="1" si="80"/>
        <v/>
      </c>
      <c r="H198" s="65">
        <f t="shared" ca="1" si="81"/>
        <v>70</v>
      </c>
      <c r="I198" s="63" t="str">
        <f t="shared" ca="1" si="82"/>
        <v/>
      </c>
      <c r="J198" s="63">
        <f t="shared" ca="1" si="83"/>
        <v>2.0076066111441695</v>
      </c>
      <c r="K198" s="63">
        <f t="shared" ca="1" si="84"/>
        <v>1.1535670039233605</v>
      </c>
      <c r="L198" s="324" t="e">
        <f ca="1">VLOOKUP(Tabella113[[#This Row],[Calciatore]],'Raccolta Aste'!$F$2:$J$33,4,FALSE)*Asta!$U$3/100</f>
        <v>#N/A</v>
      </c>
      <c r="N198" s="58"/>
      <c r="O198" s="58"/>
      <c r="P198" s="58"/>
      <c r="Q198" s="58"/>
      <c r="R198" s="58"/>
      <c r="S198" s="58"/>
      <c r="U198" s="311"/>
      <c r="V198" s="311"/>
      <c r="W198" s="56">
        <f t="shared" ca="1" si="85"/>
        <v>89</v>
      </c>
      <c r="X198" s="56">
        <f t="shared" ca="1" si="86"/>
        <v>65</v>
      </c>
      <c r="Y198" s="56">
        <f t="shared" ca="1" si="87"/>
        <v>75</v>
      </c>
      <c r="Z198" s="56">
        <f t="shared" ca="1" si="88"/>
        <v>69</v>
      </c>
      <c r="AA198" s="56">
        <f t="shared" ca="1" si="89"/>
        <v>68</v>
      </c>
      <c r="AB198" s="56">
        <f ca="1">_xlfn.CEILING.MATH(INDIRECT(ADDRESS(85,22+MATCH($P$27,'I.A. + Fasce'!$W$84:$AA$84,0),1,1) &amp; ":" &amp; ADDRESS(305,22+MATCH($P$27,'I.A. + Fasce'!$W$84:$AA$84,0),1,1))/Asta!$H$3)</f>
        <v>9</v>
      </c>
      <c r="AE198" s="56">
        <f>'Mia rosa + Org. Finanza'!AH195</f>
        <v>0</v>
      </c>
      <c r="AF198" s="56">
        <f>'Mia rosa + Org. Finanza'!AI195</f>
        <v>0</v>
      </c>
    </row>
    <row r="199" spans="1:32" ht="14.25" customHeight="1">
      <c r="A199" s="238" t="str">
        <f ca="1">IF(Giocatori!G123="","D",Giocatori!G123)</f>
        <v>D</v>
      </c>
      <c r="B199" s="238" t="str">
        <f ca="1">IF(Giocatori!H123="","ZZZ" &amp; ROW(),Giocatori!H123)</f>
        <v>MAGGIO</v>
      </c>
      <c r="C199" s="238" t="str">
        <f ca="1">IF(Giocatori!I123="","NDR" &amp; ROW(),Giocatori!I123)</f>
        <v>Napoli</v>
      </c>
      <c r="D199" s="63">
        <f t="shared" ca="1" si="77"/>
        <v>55.001989999999999</v>
      </c>
      <c r="E199" s="63">
        <f t="shared" ca="1" si="78"/>
        <v>34.001989999999999</v>
      </c>
      <c r="F199" s="64">
        <f t="shared" ca="1" si="79"/>
        <v>54.138441033000831</v>
      </c>
      <c r="G199" s="63" t="str">
        <f t="shared" ca="1" si="80"/>
        <v/>
      </c>
      <c r="H199" s="65">
        <f t="shared" ca="1" si="81"/>
        <v>50</v>
      </c>
      <c r="I199" s="63" t="str">
        <f t="shared" ca="1" si="82"/>
        <v/>
      </c>
      <c r="J199" s="63">
        <f t="shared" ca="1" si="83"/>
        <v>1.0019899999999999</v>
      </c>
      <c r="K199" s="63">
        <f t="shared" ca="1" si="84"/>
        <v>1.0019899999999999</v>
      </c>
      <c r="L199" s="324" t="e">
        <f ca="1">VLOOKUP(Tabella113[[#This Row],[Calciatore]],'Raccolta Aste'!$F$2:$J$33,4,FALSE)*Asta!$U$3/100</f>
        <v>#N/A</v>
      </c>
      <c r="N199" s="58"/>
      <c r="O199" s="58"/>
      <c r="P199" s="58"/>
      <c r="Q199" s="58"/>
      <c r="R199" s="58"/>
      <c r="S199" s="58"/>
      <c r="U199" s="311"/>
      <c r="V199" s="311"/>
      <c r="W199" s="56">
        <f t="shared" ca="1" si="85"/>
        <v>172</v>
      </c>
      <c r="X199" s="56">
        <f t="shared" ca="1" si="86"/>
        <v>130</v>
      </c>
      <c r="Y199" s="56">
        <f t="shared" ca="1" si="87"/>
        <v>155</v>
      </c>
      <c r="Z199" s="56">
        <f t="shared" ca="1" si="88"/>
        <v>118</v>
      </c>
      <c r="AA199" s="56">
        <f t="shared" ca="1" si="89"/>
        <v>115</v>
      </c>
      <c r="AB199" s="56">
        <f ca="1">_xlfn.CEILING.MATH(INDIRECT(ADDRESS(85,22+MATCH($P$27,'I.A. + Fasce'!$W$84:$AA$84,0),1,1) &amp; ":" &amp; ADDRESS(305,22+MATCH($P$27,'I.A. + Fasce'!$W$84:$AA$84,0),1,1))/Asta!$H$3)</f>
        <v>17</v>
      </c>
      <c r="AE199" s="56">
        <f>'Mia rosa + Org. Finanza'!AH196</f>
        <v>0</v>
      </c>
      <c r="AF199" s="56">
        <f>'Mia rosa + Org. Finanza'!AI196</f>
        <v>0</v>
      </c>
    </row>
    <row r="200" spans="1:32" ht="14.25" customHeight="1">
      <c r="A200" s="238" t="str">
        <f ca="1">IF(Giocatori!G124="","D",Giocatori!G124)</f>
        <v>D</v>
      </c>
      <c r="B200" s="238" t="str">
        <f ca="1">IF(Giocatori!H124="","ZZZ" &amp; ROW(),Giocatori!H124)</f>
        <v>MAIETTA</v>
      </c>
      <c r="C200" s="238" t="str">
        <f ca="1">IF(Giocatori!I124="","NDR" &amp; ROW(),Giocatori!I124)</f>
        <v>Bologna</v>
      </c>
      <c r="D200" s="63">
        <f t="shared" ca="1" si="77"/>
        <v>69.001999999999995</v>
      </c>
      <c r="E200" s="63">
        <f t="shared" ca="1" si="78"/>
        <v>37.002000000000002</v>
      </c>
      <c r="F200" s="64">
        <f t="shared" ca="1" si="79"/>
        <v>64.413566700000004</v>
      </c>
      <c r="G200" s="63" t="str">
        <f t="shared" ca="1" si="80"/>
        <v/>
      </c>
      <c r="H200" s="65">
        <f t="shared" ca="1" si="81"/>
        <v>70</v>
      </c>
      <c r="I200" s="63" t="str">
        <f t="shared" ca="1" si="82"/>
        <v/>
      </c>
      <c r="J200" s="63">
        <f t="shared" ca="1" si="83"/>
        <v>1.002</v>
      </c>
      <c r="K200" s="63">
        <f t="shared" ca="1" si="84"/>
        <v>1.002</v>
      </c>
      <c r="L200" s="324" t="e">
        <f ca="1">VLOOKUP(Tabella113[[#This Row],[Calciatore]],'Raccolta Aste'!$F$2:$J$33,4,FALSE)*Asta!$U$3/100</f>
        <v>#N/A</v>
      </c>
      <c r="N200" s="58"/>
      <c r="O200" s="58"/>
      <c r="P200" s="58"/>
      <c r="Q200" s="58"/>
      <c r="R200" s="58"/>
      <c r="S200" s="58"/>
      <c r="U200" s="311"/>
      <c r="V200" s="311"/>
      <c r="W200" s="56">
        <f t="shared" ca="1" si="85"/>
        <v>97</v>
      </c>
      <c r="X200" s="56">
        <f t="shared" ca="1" si="86"/>
        <v>92</v>
      </c>
      <c r="Y200" s="56">
        <f t="shared" ca="1" si="87"/>
        <v>92</v>
      </c>
      <c r="Z200" s="56">
        <f t="shared" ca="1" si="88"/>
        <v>117</v>
      </c>
      <c r="AA200" s="56">
        <f t="shared" ca="1" si="89"/>
        <v>114</v>
      </c>
      <c r="AB200" s="56">
        <f ca="1">_xlfn.CEILING.MATH(INDIRECT(ADDRESS(85,22+MATCH($P$27,'I.A. + Fasce'!$W$84:$AA$84,0),1,1) &amp; ":" &amp; ADDRESS(305,22+MATCH($P$27,'I.A. + Fasce'!$W$84:$AA$84,0),1,1))/Asta!$H$3)</f>
        <v>12</v>
      </c>
      <c r="AE200" s="56">
        <f>'Mia rosa + Org. Finanza'!AH197</f>
        <v>0</v>
      </c>
      <c r="AF200" s="56">
        <f>'Mia rosa + Org. Finanza'!AI197</f>
        <v>0</v>
      </c>
    </row>
    <row r="201" spans="1:32" ht="14.25" customHeight="1">
      <c r="A201" s="238" t="str">
        <f ca="1">IF(Giocatori!G125="","D",Giocatori!G125)</f>
        <v>D</v>
      </c>
      <c r="B201" s="238" t="str">
        <f ca="1">IF(Giocatori!H125="","ZZZ" &amp; ROW(),Giocatori!H125)</f>
        <v>MAKSIMOVIC</v>
      </c>
      <c r="C201" s="238" t="str">
        <f ca="1">IF(Giocatori!I125="","NDR" &amp; ROW(),Giocatori!I125)</f>
        <v>Napoli</v>
      </c>
      <c r="D201" s="63">
        <f t="shared" ca="1" si="77"/>
        <v>68.002009999999999</v>
      </c>
      <c r="E201" s="63">
        <f t="shared" ca="1" si="78"/>
        <v>38.002009999999999</v>
      </c>
      <c r="F201" s="64">
        <f t="shared" ca="1" si="79"/>
        <v>65.03862636700083</v>
      </c>
      <c r="G201" s="63" t="str">
        <f t="shared" ca="1" si="80"/>
        <v/>
      </c>
      <c r="H201" s="65">
        <f t="shared" ca="1" si="81"/>
        <v>60</v>
      </c>
      <c r="I201" s="63" t="str">
        <f t="shared" ca="1" si="82"/>
        <v/>
      </c>
      <c r="J201" s="63">
        <f t="shared" ca="1" si="83"/>
        <v>3.1938749194053222</v>
      </c>
      <c r="K201" s="63">
        <f t="shared" ca="1" si="84"/>
        <v>3.2642755254341949</v>
      </c>
      <c r="L201" s="324" t="e">
        <f ca="1">VLOOKUP(Tabella113[[#This Row],[Calciatore]],'Raccolta Aste'!$F$2:$J$33,4,FALSE)*Asta!$U$3/100</f>
        <v>#N/A</v>
      </c>
      <c r="N201" s="58"/>
      <c r="O201" s="58"/>
      <c r="P201" s="58"/>
      <c r="Q201" s="58"/>
      <c r="R201" s="58"/>
      <c r="S201" s="58"/>
      <c r="U201" s="311"/>
      <c r="V201" s="311"/>
      <c r="W201" s="56">
        <f t="shared" ca="1" si="85"/>
        <v>103</v>
      </c>
      <c r="X201" s="56">
        <f t="shared" ca="1" si="86"/>
        <v>75</v>
      </c>
      <c r="Y201" s="56">
        <f t="shared" ca="1" si="87"/>
        <v>87</v>
      </c>
      <c r="Z201" s="56">
        <f t="shared" ca="1" si="88"/>
        <v>59</v>
      </c>
      <c r="AA201" s="56">
        <f t="shared" ca="1" si="89"/>
        <v>56</v>
      </c>
      <c r="AB201" s="56">
        <f ca="1">_xlfn.CEILING.MATH(INDIRECT(ADDRESS(85,22+MATCH($P$27,'I.A. + Fasce'!$W$84:$AA$84,0),1,1) &amp; ":" &amp; ADDRESS(305,22+MATCH($P$27,'I.A. + Fasce'!$W$84:$AA$84,0),1,1))/Asta!$H$3)</f>
        <v>10</v>
      </c>
      <c r="AE201" s="56">
        <f>'Mia rosa + Org. Finanza'!AH198</f>
        <v>0</v>
      </c>
      <c r="AF201" s="56">
        <f>'Mia rosa + Org. Finanza'!AI198</f>
        <v>0</v>
      </c>
    </row>
    <row r="202" spans="1:32" ht="14.25" customHeight="1">
      <c r="A202" s="238" t="str">
        <f ca="1">IF(Giocatori!G126="","D",Giocatori!G126)</f>
        <v>D</v>
      </c>
      <c r="B202" s="238" t="str">
        <f ca="1">IF(Giocatori!H126="","ZZZ" &amp; ROW(),Giocatori!H126)</f>
        <v>MANCINI G</v>
      </c>
      <c r="C202" s="238" t="str">
        <f ca="1">IF(Giocatori!I126="","NDR" &amp; ROW(),Giocatori!I126)</f>
        <v>Atalanta</v>
      </c>
      <c r="D202" s="63">
        <f t="shared" ca="1" si="77"/>
        <v>42.002020000000002</v>
      </c>
      <c r="E202" s="63">
        <f t="shared" ca="1" si="78"/>
        <v>35.002020000000002</v>
      </c>
      <c r="F202" s="64">
        <f t="shared" ca="1" si="79"/>
        <v>48.713551700670003</v>
      </c>
      <c r="G202" s="63" t="str">
        <f t="shared" ca="1" si="80"/>
        <v/>
      </c>
      <c r="H202" s="65">
        <f t="shared" ca="1" si="81"/>
        <v>40</v>
      </c>
      <c r="I202" s="63" t="str">
        <f t="shared" ca="1" si="82"/>
        <v/>
      </c>
      <c r="J202" s="63">
        <f t="shared" ca="1" si="83"/>
        <v>1.0020199999999999</v>
      </c>
      <c r="K202" s="63">
        <f t="shared" ca="1" si="84"/>
        <v>1.0020199999999999</v>
      </c>
      <c r="L202" s="324" t="e">
        <f ca="1">VLOOKUP(Tabella113[[#This Row],[Calciatore]],'Raccolta Aste'!$F$2:$J$33,4,FALSE)*Asta!$U$3/100</f>
        <v>#N/A</v>
      </c>
      <c r="N202" s="58"/>
      <c r="O202" s="58"/>
      <c r="P202" s="58"/>
      <c r="Q202" s="58"/>
      <c r="R202" s="58"/>
      <c r="S202" s="58"/>
      <c r="U202" s="311"/>
      <c r="V202" s="311"/>
      <c r="W202" s="56">
        <f t="shared" ca="1" si="85"/>
        <v>185</v>
      </c>
      <c r="X202" s="56">
        <f t="shared" ca="1" si="86"/>
        <v>116</v>
      </c>
      <c r="Y202" s="56">
        <f t="shared" ca="1" si="87"/>
        <v>174</v>
      </c>
      <c r="Z202" s="56">
        <f t="shared" ca="1" si="88"/>
        <v>116</v>
      </c>
      <c r="AA202" s="56">
        <f t="shared" ca="1" si="89"/>
        <v>113</v>
      </c>
      <c r="AB202" s="56">
        <f ca="1">_xlfn.CEILING.MATH(INDIRECT(ADDRESS(85,22+MATCH($P$27,'I.A. + Fasce'!$W$84:$AA$84,0),1,1) &amp; ":" &amp; ADDRESS(305,22+MATCH($P$27,'I.A. + Fasce'!$W$84:$AA$84,0),1,1))/Asta!$H$3)</f>
        <v>15</v>
      </c>
      <c r="AE202" s="56">
        <f>'Mia rosa + Org. Finanza'!AH199</f>
        <v>0</v>
      </c>
      <c r="AF202" s="56">
        <f>'Mia rosa + Org. Finanza'!AI199</f>
        <v>0</v>
      </c>
    </row>
    <row r="203" spans="1:32" ht="14.25" customHeight="1">
      <c r="A203" s="238" t="str">
        <f ca="1">IF(Giocatori!G127="","D",Giocatori!G127)</f>
        <v>D</v>
      </c>
      <c r="B203" s="238" t="str">
        <f ca="1">IF(Giocatori!H127="","ZZZ" &amp; ROW(),Giocatori!H127)</f>
        <v>MANOLAS</v>
      </c>
      <c r="C203" s="238" t="str">
        <f ca="1">IF(Giocatori!I127="","NDR" &amp; ROW(),Giocatori!I127)</f>
        <v>Roma</v>
      </c>
      <c r="D203" s="63">
        <f t="shared" ca="1" si="77"/>
        <v>89.002030000000005</v>
      </c>
      <c r="E203" s="63">
        <f t="shared" ca="1" si="78"/>
        <v>43.002029999999998</v>
      </c>
      <c r="F203" s="64">
        <f t="shared" ca="1" si="79"/>
        <v>81.413848201007511</v>
      </c>
      <c r="G203" s="63" t="str">
        <f t="shared" ca="1" si="80"/>
        <v/>
      </c>
      <c r="H203" s="65">
        <f t="shared" ca="1" si="81"/>
        <v>80</v>
      </c>
      <c r="I203" s="63" t="str">
        <f t="shared" ca="1" si="82"/>
        <v/>
      </c>
      <c r="J203" s="63">
        <f t="shared" ca="1" si="83"/>
        <v>11.429503725956788</v>
      </c>
      <c r="K203" s="63">
        <f t="shared" ca="1" si="84"/>
        <v>11.37694568962997</v>
      </c>
      <c r="L203" s="324">
        <f ca="1">VLOOKUP(Tabella113[[#This Row],[Calciatore]],'Raccolta Aste'!$F$2:$J$33,4,FALSE)*Asta!$U$3/100</f>
        <v>14.665000000000003</v>
      </c>
      <c r="N203" s="58"/>
      <c r="O203" s="58"/>
      <c r="P203" s="58"/>
      <c r="Q203" s="58"/>
      <c r="R203" s="58"/>
      <c r="S203" s="58"/>
      <c r="U203" s="311"/>
      <c r="V203" s="311"/>
      <c r="W203" s="56">
        <f t="shared" ca="1" si="85"/>
        <v>8</v>
      </c>
      <c r="X203" s="56">
        <f t="shared" ca="1" si="86"/>
        <v>19</v>
      </c>
      <c r="Y203" s="56">
        <f t="shared" ca="1" si="87"/>
        <v>11</v>
      </c>
      <c r="Z203" s="56">
        <f t="shared" ca="1" si="88"/>
        <v>19</v>
      </c>
      <c r="AA203" s="56">
        <f t="shared" ca="1" si="89"/>
        <v>19</v>
      </c>
      <c r="AB203" s="56">
        <f ca="1">_xlfn.CEILING.MATH(INDIRECT(ADDRESS(85,22+MATCH($P$27,'I.A. + Fasce'!$W$84:$AA$84,0),1,1) &amp; ":" &amp; ADDRESS(305,22+MATCH($P$27,'I.A. + Fasce'!$W$84:$AA$84,0),1,1))/Asta!$H$3)</f>
        <v>3</v>
      </c>
      <c r="AE203" s="56">
        <f>'Mia rosa + Org. Finanza'!AH200</f>
        <v>0</v>
      </c>
      <c r="AF203" s="56">
        <f>'Mia rosa + Org. Finanza'!AI200</f>
        <v>0</v>
      </c>
    </row>
    <row r="204" spans="1:32" ht="14.25" customHeight="1">
      <c r="A204" s="238" t="str">
        <f ca="1">IF(Giocatori!G128="","D",Giocatori!G128)</f>
        <v>D</v>
      </c>
      <c r="B204" s="238" t="str">
        <f ca="1">IF(Giocatori!H128="","ZZZ" &amp; ROW(),Giocatori!H128)</f>
        <v>MARIO RUI</v>
      </c>
      <c r="C204" s="238" t="str">
        <f ca="1">IF(Giocatori!I128="","NDR" &amp; ROW(),Giocatori!I128)</f>
        <v>Napoli</v>
      </c>
      <c r="D204" s="63">
        <f t="shared" ca="1" si="77"/>
        <v>74.002039999999994</v>
      </c>
      <c r="E204" s="63">
        <f t="shared" ca="1" si="78"/>
        <v>39.002040000000001</v>
      </c>
      <c r="F204" s="64">
        <f t="shared" ca="1" si="79"/>
        <v>69.18040603467999</v>
      </c>
      <c r="G204" s="63" t="str">
        <f t="shared" ca="1" si="80"/>
        <v/>
      </c>
      <c r="H204" s="65">
        <f t="shared" ca="1" si="81"/>
        <v>60</v>
      </c>
      <c r="I204" s="63" t="str">
        <f t="shared" ca="1" si="82"/>
        <v/>
      </c>
      <c r="J204" s="63">
        <f t="shared" ca="1" si="83"/>
        <v>4.9672883938648829</v>
      </c>
      <c r="K204" s="63">
        <f t="shared" ca="1" si="84"/>
        <v>5.0407817856517836</v>
      </c>
      <c r="L204" s="324" t="e">
        <f ca="1">VLOOKUP(Tabella113[[#This Row],[Calciatore]],'Raccolta Aste'!$F$2:$J$33,4,FALSE)*Asta!$U$3/100</f>
        <v>#N/A</v>
      </c>
      <c r="N204" s="58"/>
      <c r="O204" s="58"/>
      <c r="P204" s="58"/>
      <c r="Q204" s="58"/>
      <c r="R204" s="58"/>
      <c r="S204" s="58"/>
      <c r="U204" s="311"/>
      <c r="V204" s="311"/>
      <c r="W204" s="56">
        <f t="shared" ca="1" si="85"/>
        <v>53</v>
      </c>
      <c r="X204" s="56">
        <f t="shared" ca="1" si="86"/>
        <v>64</v>
      </c>
      <c r="Y204" s="56">
        <f t="shared" ca="1" si="87"/>
        <v>57</v>
      </c>
      <c r="Z204" s="56">
        <f t="shared" ca="1" si="88"/>
        <v>46</v>
      </c>
      <c r="AA204" s="56">
        <f t="shared" ca="1" si="89"/>
        <v>46</v>
      </c>
      <c r="AB204" s="56">
        <f ca="1">_xlfn.CEILING.MATH(INDIRECT(ADDRESS(85,22+MATCH($P$27,'I.A. + Fasce'!$W$84:$AA$84,0),1,1) &amp; ":" &amp; ADDRESS(305,22+MATCH($P$27,'I.A. + Fasce'!$W$84:$AA$84,0),1,1))/Asta!$H$3)</f>
        <v>8</v>
      </c>
      <c r="AE204" s="56">
        <f>'Mia rosa + Org. Finanza'!AH201</f>
        <v>0</v>
      </c>
      <c r="AF204" s="56">
        <f>'Mia rosa + Org. Finanza'!AI201</f>
        <v>0</v>
      </c>
    </row>
    <row r="205" spans="1:32" ht="14.25" customHeight="1">
      <c r="A205" s="238" t="str">
        <f ca="1">IF(Giocatori!G129="","D",Giocatori!G129)</f>
        <v>D</v>
      </c>
      <c r="B205" s="238" t="str">
        <f ca="1">IF(Giocatori!H129="","ZZZ" &amp; ROW(),Giocatori!H129)</f>
        <v>MARTELLA</v>
      </c>
      <c r="C205" s="238" t="str">
        <f ca="1">IF(Giocatori!I129="","NDR" &amp; ROW(),Giocatori!I129)</f>
        <v>Crotone</v>
      </c>
      <c r="D205" s="63">
        <f t="shared" ca="1" si="77"/>
        <v>70.002049999999997</v>
      </c>
      <c r="E205" s="63">
        <f t="shared" ca="1" si="78"/>
        <v>39.002049999999997</v>
      </c>
      <c r="F205" s="64">
        <f t="shared" ca="1" si="79"/>
        <v>67.180432535020827</v>
      </c>
      <c r="G205" s="63" t="str">
        <f t="shared" ca="1" si="80"/>
        <v/>
      </c>
      <c r="H205" s="65">
        <f t="shared" ca="1" si="81"/>
        <v>70</v>
      </c>
      <c r="I205" s="63" t="str">
        <f t="shared" ca="1" si="82"/>
        <v/>
      </c>
      <c r="J205" s="63">
        <f t="shared" ca="1" si="83"/>
        <v>2.0527886476303858</v>
      </c>
      <c r="K205" s="63">
        <f t="shared" ca="1" si="84"/>
        <v>1.1992841420512188</v>
      </c>
      <c r="L205" s="324" t="e">
        <f ca="1">VLOOKUP(Tabella113[[#This Row],[Calciatore]],'Raccolta Aste'!$F$2:$J$33,4,FALSE)*Asta!$U$3/100</f>
        <v>#N/A</v>
      </c>
      <c r="N205" s="58"/>
      <c r="O205" s="547" t="s">
        <v>704</v>
      </c>
      <c r="P205" s="547"/>
      <c r="Q205" s="58"/>
      <c r="R205" s="58"/>
      <c r="S205" s="58"/>
      <c r="U205" s="311"/>
      <c r="V205" s="311"/>
      <c r="W205" s="56">
        <f t="shared" ca="1" si="85"/>
        <v>88</v>
      </c>
      <c r="X205" s="56">
        <f t="shared" ca="1" si="86"/>
        <v>63</v>
      </c>
      <c r="Y205" s="56">
        <f t="shared" ca="1" si="87"/>
        <v>74</v>
      </c>
      <c r="Z205" s="56">
        <f t="shared" ca="1" si="88"/>
        <v>67</v>
      </c>
      <c r="AA205" s="56">
        <f t="shared" ca="1" si="89"/>
        <v>67</v>
      </c>
      <c r="AB205" s="56">
        <f ca="1">_xlfn.CEILING.MATH(INDIRECT(ADDRESS(85,22+MATCH($P$27,'I.A. + Fasce'!$W$84:$AA$84,0),1,1) &amp; ":" &amp; ADDRESS(305,22+MATCH($P$27,'I.A. + Fasce'!$W$84:$AA$84,0),1,1))/Asta!$H$3)</f>
        <v>8</v>
      </c>
      <c r="AE205" s="56">
        <f>'Mia rosa + Org. Finanza'!AH202</f>
        <v>0</v>
      </c>
      <c r="AF205" s="56">
        <f>'Mia rosa + Org. Finanza'!AI202</f>
        <v>0</v>
      </c>
    </row>
    <row r="206" spans="1:32" ht="14.25" customHeight="1">
      <c r="A206" s="238" t="str">
        <f ca="1">IF(Giocatori!G130="","D",Giocatori!G130)</f>
        <v>D</v>
      </c>
      <c r="B206" s="238" t="str">
        <f ca="1">IF(Giocatori!H130="","ZZZ" &amp; ROW(),Giocatori!H130)</f>
        <v>MARUSIC</v>
      </c>
      <c r="C206" s="238" t="str">
        <f ca="1">IF(Giocatori!I130="","NDR" &amp; ROW(),Giocatori!I130)</f>
        <v>Lazio</v>
      </c>
      <c r="D206" s="63">
        <f t="shared" ca="1" si="77"/>
        <v>60.00206</v>
      </c>
      <c r="E206" s="63">
        <f t="shared" ca="1" si="78"/>
        <v>39.00206</v>
      </c>
      <c r="F206" s="64">
        <f t="shared" ca="1" si="79"/>
        <v>62.180459035363334</v>
      </c>
      <c r="G206" s="63" t="str">
        <f t="shared" ca="1" si="80"/>
        <v/>
      </c>
      <c r="H206" s="65">
        <f t="shared" ca="1" si="81"/>
        <v>60</v>
      </c>
      <c r="I206" s="63" t="str">
        <f t="shared" ca="1" si="82"/>
        <v/>
      </c>
      <c r="J206" s="63">
        <f t="shared" ca="1" si="83"/>
        <v>4.2071462581796624</v>
      </c>
      <c r="K206" s="63">
        <f t="shared" ca="1" si="84"/>
        <v>4.0689190370504633</v>
      </c>
      <c r="L206" s="324" t="e">
        <f ca="1">VLOOKUP(Tabella113[[#This Row],[Calciatore]],'Raccolta Aste'!$F$2:$J$33,4,FALSE)*Asta!$U$3/100</f>
        <v>#N/A</v>
      </c>
      <c r="N206" s="58"/>
      <c r="O206" s="58"/>
      <c r="P206" s="58"/>
      <c r="Q206" s="58"/>
      <c r="R206" s="58"/>
      <c r="S206" s="58"/>
      <c r="U206" s="311"/>
      <c r="V206" s="311"/>
      <c r="W206" s="56">
        <f t="shared" ca="1" si="85"/>
        <v>152</v>
      </c>
      <c r="X206" s="56">
        <f t="shared" ca="1" si="86"/>
        <v>62</v>
      </c>
      <c r="Y206" s="56">
        <f t="shared" ca="1" si="87"/>
        <v>108</v>
      </c>
      <c r="Z206" s="56">
        <f t="shared" ca="1" si="88"/>
        <v>53</v>
      </c>
      <c r="AA206" s="56">
        <f t="shared" ca="1" si="89"/>
        <v>50</v>
      </c>
      <c r="AB206" s="56">
        <f ca="1">_xlfn.CEILING.MATH(INDIRECT(ADDRESS(85,22+MATCH($P$27,'I.A. + Fasce'!$W$84:$AA$84,0),1,1) &amp; ":" &amp; ADDRESS(305,22+MATCH($P$27,'I.A. + Fasce'!$W$84:$AA$84,0),1,1))/Asta!$H$3)</f>
        <v>8</v>
      </c>
      <c r="AE206" s="56">
        <f>'Mia rosa + Org. Finanza'!AH203</f>
        <v>0</v>
      </c>
      <c r="AF206" s="56">
        <f>'Mia rosa + Org. Finanza'!AI203</f>
        <v>0</v>
      </c>
    </row>
    <row r="207" spans="1:32" ht="14.25" customHeight="1">
      <c r="A207" s="238" t="str">
        <f ca="1">IF(Giocatori!G131="","D",Giocatori!G131)</f>
        <v>D</v>
      </c>
      <c r="B207" s="238" t="str">
        <f ca="1">IF(Giocatori!H131="","ZZZ" &amp; ROW(),Giocatori!H131)</f>
        <v>MASIELLO A</v>
      </c>
      <c r="C207" s="238" t="str">
        <f ca="1">IF(Giocatori!I131="","NDR" &amp; ROW(),Giocatori!I131)</f>
        <v>Atalanta</v>
      </c>
      <c r="D207" s="63">
        <f t="shared" ca="1" si="77"/>
        <v>76.002070000000003</v>
      </c>
      <c r="E207" s="63">
        <f t="shared" ca="1" si="78"/>
        <v>43.002070000000003</v>
      </c>
      <c r="F207" s="64">
        <f t="shared" ca="1" si="79"/>
        <v>74.913956869040845</v>
      </c>
      <c r="G207" s="63" t="str">
        <f t="shared" ca="1" si="80"/>
        <v/>
      </c>
      <c r="H207" s="65">
        <f t="shared" ca="1" si="81"/>
        <v>80</v>
      </c>
      <c r="I207" s="63" t="str">
        <f t="shared" ca="1" si="82"/>
        <v/>
      </c>
      <c r="J207" s="63">
        <f t="shared" ca="1" si="83"/>
        <v>9.5438853876660801</v>
      </c>
      <c r="K207" s="63">
        <f t="shared" ca="1" si="84"/>
        <v>9.4689603967307079</v>
      </c>
      <c r="L207" s="324">
        <f ca="1">VLOOKUP(Tabella113[[#This Row],[Calciatore]],'Raccolta Aste'!$F$2:$J$33,4,FALSE)*Asta!$U$3/100</f>
        <v>8.5750000000000011</v>
      </c>
      <c r="N207" s="58"/>
      <c r="O207" s="58"/>
      <c r="P207" s="58"/>
      <c r="Q207" s="58"/>
      <c r="R207" s="58"/>
      <c r="S207" s="58"/>
      <c r="U207" s="311"/>
      <c r="V207" s="311"/>
      <c r="W207" s="56">
        <f t="shared" ca="1" si="85"/>
        <v>39</v>
      </c>
      <c r="X207" s="56">
        <f t="shared" ca="1" si="86"/>
        <v>18</v>
      </c>
      <c r="Y207" s="56">
        <f t="shared" ca="1" si="87"/>
        <v>26</v>
      </c>
      <c r="Z207" s="56">
        <f t="shared" ca="1" si="88"/>
        <v>21</v>
      </c>
      <c r="AA207" s="56">
        <f t="shared" ca="1" si="89"/>
        <v>21</v>
      </c>
      <c r="AB207" s="56">
        <f ca="1">_xlfn.CEILING.MATH(INDIRECT(ADDRESS(85,22+MATCH($P$27,'I.A. + Fasce'!$W$84:$AA$84,0),1,1) &amp; ":" &amp; ADDRESS(305,22+MATCH($P$27,'I.A. + Fasce'!$W$84:$AA$84,0),1,1))/Asta!$H$3)</f>
        <v>3</v>
      </c>
      <c r="AE207" s="56">
        <f>'Mia rosa + Org. Finanza'!AH204</f>
        <v>0</v>
      </c>
      <c r="AF207" s="56">
        <f>'Mia rosa + Org. Finanza'!AI204</f>
        <v>0</v>
      </c>
    </row>
    <row r="208" spans="1:32" ht="14.25" customHeight="1">
      <c r="A208" s="238" t="str">
        <f ca="1">IF(Giocatori!G132="","D",Giocatori!G132)</f>
        <v>D</v>
      </c>
      <c r="B208" s="238" t="str">
        <f ca="1">IF(Giocatori!H132="","ZZZ" &amp; ROW(),Giocatori!H132)</f>
        <v>MASINA</v>
      </c>
      <c r="C208" s="238" t="str">
        <f ca="1">IF(Giocatori!I132="","NDR" &amp; ROW(),Giocatori!I132)</f>
        <v>Bologna</v>
      </c>
      <c r="D208" s="63">
        <f t="shared" ca="1" si="77"/>
        <v>75.002080000000007</v>
      </c>
      <c r="E208" s="63">
        <f t="shared" ca="1" si="78"/>
        <v>41.002079999999999</v>
      </c>
      <c r="F208" s="64">
        <f t="shared" ca="1" si="79"/>
        <v>72.013914702720015</v>
      </c>
      <c r="G208" s="63" t="str">
        <f t="shared" ca="1" si="80"/>
        <v>CONSIGLIATO</v>
      </c>
      <c r="H208" s="65">
        <f t="shared" ca="1" si="81"/>
        <v>80</v>
      </c>
      <c r="I208" s="63" t="str">
        <f t="shared" ca="1" si="82"/>
        <v/>
      </c>
      <c r="J208" s="63">
        <f t="shared" ca="1" si="83"/>
        <v>5.2195779845069987</v>
      </c>
      <c r="K208" s="63">
        <f t="shared" ca="1" si="84"/>
        <v>4.6037880593452671</v>
      </c>
      <c r="L208" s="324" t="e">
        <f ca="1">VLOOKUP(Tabella113[[#This Row],[Calciatore]],'Raccolta Aste'!$F$2:$J$33,4,FALSE)*Asta!$U$3/100</f>
        <v>#N/A</v>
      </c>
      <c r="N208" s="58"/>
      <c r="O208" s="58"/>
      <c r="P208" s="58"/>
      <c r="Q208" s="58"/>
      <c r="R208" s="58"/>
      <c r="S208" s="58"/>
      <c r="U208" s="311"/>
      <c r="V208" s="311"/>
      <c r="W208" s="56">
        <f t="shared" ca="1" si="85"/>
        <v>47</v>
      </c>
      <c r="X208" s="56">
        <f t="shared" ca="1" si="86"/>
        <v>35</v>
      </c>
      <c r="Y208" s="56">
        <f t="shared" ca="1" si="87"/>
        <v>38</v>
      </c>
      <c r="Z208" s="56">
        <f t="shared" ca="1" si="88"/>
        <v>45</v>
      </c>
      <c r="AA208" s="56">
        <f t="shared" ca="1" si="89"/>
        <v>48</v>
      </c>
      <c r="AB208" s="56">
        <f ca="1">_xlfn.CEILING.MATH(INDIRECT(ADDRESS(85,22+MATCH($P$27,'I.A. + Fasce'!$W$84:$AA$84,0),1,1) &amp; ":" &amp; ADDRESS(305,22+MATCH($P$27,'I.A. + Fasce'!$W$84:$AA$84,0),1,1))/Asta!$H$3)</f>
        <v>5</v>
      </c>
      <c r="AE208" s="56">
        <f>'Mia rosa + Org. Finanza'!AH205</f>
        <v>0</v>
      </c>
      <c r="AF208" s="56">
        <f>'Mia rosa + Org. Finanza'!AI205</f>
        <v>0</v>
      </c>
    </row>
    <row r="209" spans="1:32" ht="14.25" customHeight="1">
      <c r="A209" s="238" t="str">
        <f ca="1">IF(Giocatori!G133="","D",Giocatori!G133)</f>
        <v>D</v>
      </c>
      <c r="B209" s="238" t="str">
        <f ca="1">IF(Giocatori!H133="","ZZZ" &amp; ROW(),Giocatori!H133)</f>
        <v>MATTIELLO</v>
      </c>
      <c r="C209" s="238" t="str">
        <f ca="1">IF(Giocatori!I133="","NDR" &amp; ROW(),Giocatori!I133)</f>
        <v>SPAL</v>
      </c>
      <c r="D209" s="63">
        <f t="shared" ca="1" si="77"/>
        <v>73.002089999999995</v>
      </c>
      <c r="E209" s="63">
        <f t="shared" ca="1" si="78"/>
        <v>30.002089999999999</v>
      </c>
      <c r="F209" s="64">
        <f t="shared" ca="1" si="79"/>
        <v>59.005225036400837</v>
      </c>
      <c r="G209" s="63" t="str">
        <f t="shared" ca="1" si="80"/>
        <v/>
      </c>
      <c r="H209" s="65">
        <f t="shared" ca="1" si="81"/>
        <v>50</v>
      </c>
      <c r="I209" s="63" t="str">
        <f t="shared" ca="1" si="82"/>
        <v/>
      </c>
      <c r="J209" s="63">
        <f t="shared" ca="1" si="83"/>
        <v>1.0020899999999999</v>
      </c>
      <c r="K209" s="63">
        <f t="shared" ca="1" si="84"/>
        <v>1.0020899999999999</v>
      </c>
      <c r="L209" s="324" t="e">
        <f ca="1">VLOOKUP(Tabella113[[#This Row],[Calciatore]],'Raccolta Aste'!$F$2:$J$33,4,FALSE)*Asta!$U$3/100</f>
        <v>#N/A</v>
      </c>
      <c r="N209" s="58"/>
      <c r="O209" s="58"/>
      <c r="P209" s="58"/>
      <c r="Q209" s="58"/>
      <c r="R209" s="58"/>
      <c r="S209" s="58"/>
      <c r="U209" s="311"/>
      <c r="V209" s="311"/>
      <c r="W209" s="56">
        <f t="shared" ca="1" si="85"/>
        <v>67</v>
      </c>
      <c r="X209" s="56">
        <f t="shared" ca="1" si="86"/>
        <v>165</v>
      </c>
      <c r="Y209" s="56">
        <f t="shared" ca="1" si="87"/>
        <v>136</v>
      </c>
      <c r="Z209" s="56">
        <f t="shared" ca="1" si="88"/>
        <v>115</v>
      </c>
      <c r="AA209" s="56">
        <f t="shared" ca="1" si="89"/>
        <v>112</v>
      </c>
      <c r="AB209" s="56">
        <f ca="1">_xlfn.CEILING.MATH(INDIRECT(ADDRESS(85,22+MATCH($P$27,'I.A. + Fasce'!$W$84:$AA$84,0),1,1) &amp; ":" &amp; ADDRESS(305,22+MATCH($P$27,'I.A. + Fasce'!$W$84:$AA$84,0),1,1))/Asta!$H$3)</f>
        <v>21</v>
      </c>
      <c r="AE209" s="56">
        <f>'Mia rosa + Org. Finanza'!AH206</f>
        <v>0</v>
      </c>
      <c r="AF209" s="56">
        <f>'Mia rosa + Org. Finanza'!AI206</f>
        <v>0</v>
      </c>
    </row>
    <row r="210" spans="1:32" ht="14.25" customHeight="1">
      <c r="A210" s="238" t="str">
        <f ca="1">IF(Giocatori!G134="","D",Giocatori!G134)</f>
        <v>D</v>
      </c>
      <c r="B210" s="238" t="str">
        <f ca="1">IF(Giocatori!H134="","ZZZ" &amp; ROW(),Giocatori!H134)</f>
        <v>MBAYE</v>
      </c>
      <c r="C210" s="238" t="str">
        <f ca="1">IF(Giocatori!I134="","NDR" &amp; ROW(),Giocatori!I134)</f>
        <v>Bologna</v>
      </c>
      <c r="D210" s="63">
        <f t="shared" ca="1" si="77"/>
        <v>66.002099999999999</v>
      </c>
      <c r="E210" s="63">
        <f t="shared" ca="1" si="78"/>
        <v>35.002099999999999</v>
      </c>
      <c r="F210" s="64">
        <f t="shared" ca="1" si="79"/>
        <v>60.713758370083333</v>
      </c>
      <c r="G210" s="63" t="str">
        <f t="shared" ca="1" si="80"/>
        <v/>
      </c>
      <c r="H210" s="65">
        <f t="shared" ca="1" si="81"/>
        <v>70</v>
      </c>
      <c r="I210" s="63" t="str">
        <f t="shared" ca="1" si="82"/>
        <v/>
      </c>
      <c r="J210" s="63">
        <f t="shared" ca="1" si="83"/>
        <v>1.0021</v>
      </c>
      <c r="K210" s="63">
        <f t="shared" ca="1" si="84"/>
        <v>1.0021</v>
      </c>
      <c r="L210" s="324" t="e">
        <f ca="1">VLOOKUP(Tabella113[[#This Row],[Calciatore]],'Raccolta Aste'!$F$2:$J$33,4,FALSE)*Asta!$U$3/100</f>
        <v>#N/A</v>
      </c>
      <c r="N210" s="58"/>
      <c r="O210" s="58"/>
      <c r="P210" s="58"/>
      <c r="Q210" s="58"/>
      <c r="R210" s="58"/>
      <c r="S210" s="58"/>
      <c r="U210" s="311"/>
      <c r="V210" s="311"/>
      <c r="W210" s="56">
        <f t="shared" ca="1" si="85"/>
        <v>125</v>
      </c>
      <c r="X210" s="56">
        <f t="shared" ca="1" si="86"/>
        <v>115</v>
      </c>
      <c r="Y210" s="56">
        <f t="shared" ca="1" si="87"/>
        <v>120</v>
      </c>
      <c r="Z210" s="56">
        <f t="shared" ca="1" si="88"/>
        <v>114</v>
      </c>
      <c r="AA210" s="56">
        <f t="shared" ca="1" si="89"/>
        <v>111</v>
      </c>
      <c r="AB210" s="56">
        <f ca="1">_xlfn.CEILING.MATH(INDIRECT(ADDRESS(85,22+MATCH($P$27,'I.A. + Fasce'!$W$84:$AA$84,0),1,1) &amp; ":" &amp; ADDRESS(305,22+MATCH($P$27,'I.A. + Fasce'!$W$84:$AA$84,0),1,1))/Asta!$H$3)</f>
        <v>15</v>
      </c>
      <c r="AE210" s="56">
        <f>'Mia rosa + Org. Finanza'!AH207</f>
        <v>0</v>
      </c>
      <c r="AF210" s="56">
        <f>'Mia rosa + Org. Finanza'!AI207</f>
        <v>0</v>
      </c>
    </row>
    <row r="211" spans="1:32" ht="14.25" customHeight="1">
      <c r="A211" s="238" t="str">
        <f ca="1">IF(Giocatori!G135="","D",Giocatori!G135)</f>
        <v>D</v>
      </c>
      <c r="B211" s="238" t="str">
        <f ca="1">IF(Giocatori!H135="","ZZZ" &amp; ROW(),Giocatori!H135)</f>
        <v>MIANGUE</v>
      </c>
      <c r="C211" s="238" t="str">
        <f ca="1">IF(Giocatori!I135="","NDR" &amp; ROW(),Giocatori!I135)</f>
        <v>Cagliari</v>
      </c>
      <c r="D211" s="63">
        <f t="shared" ca="1" si="77"/>
        <v>70.002110000000002</v>
      </c>
      <c r="E211" s="63">
        <f t="shared" ca="1" si="78"/>
        <v>36.002110000000002</v>
      </c>
      <c r="F211" s="64">
        <f t="shared" ca="1" si="79"/>
        <v>63.805486037100842</v>
      </c>
      <c r="G211" s="63" t="str">
        <f t="shared" ca="1" si="80"/>
        <v/>
      </c>
      <c r="H211" s="65">
        <f t="shared" ca="1" si="81"/>
        <v>60</v>
      </c>
      <c r="I211" s="63" t="str">
        <f t="shared" ca="1" si="82"/>
        <v/>
      </c>
      <c r="J211" s="63">
        <f t="shared" ca="1" si="83"/>
        <v>1.0021100000000001</v>
      </c>
      <c r="K211" s="63">
        <f t="shared" ca="1" si="84"/>
        <v>1.0021100000000001</v>
      </c>
      <c r="L211" s="324" t="e">
        <f ca="1">VLOOKUP(Tabella113[[#This Row],[Calciatore]],'Raccolta Aste'!$F$2:$J$33,4,FALSE)*Asta!$U$3/100</f>
        <v>#N/A</v>
      </c>
      <c r="N211" s="58"/>
      <c r="O211" s="58"/>
      <c r="P211" s="58"/>
      <c r="Q211" s="58"/>
      <c r="R211" s="58"/>
      <c r="S211" s="58"/>
      <c r="U211" s="311"/>
      <c r="V211" s="311"/>
      <c r="W211" s="56">
        <f t="shared" ca="1" si="85"/>
        <v>87</v>
      </c>
      <c r="X211" s="56">
        <f t="shared" ca="1" si="86"/>
        <v>102</v>
      </c>
      <c r="Y211" s="56">
        <f t="shared" ca="1" si="87"/>
        <v>99</v>
      </c>
      <c r="Z211" s="56">
        <f t="shared" ca="1" si="88"/>
        <v>113</v>
      </c>
      <c r="AA211" s="56">
        <f t="shared" ca="1" si="89"/>
        <v>110</v>
      </c>
      <c r="AB211" s="56">
        <f ca="1">_xlfn.CEILING.MATH(INDIRECT(ADDRESS(85,22+MATCH($P$27,'I.A. + Fasce'!$W$84:$AA$84,0),1,1) &amp; ":" &amp; ADDRESS(305,22+MATCH($P$27,'I.A. + Fasce'!$W$84:$AA$84,0),1,1))/Asta!$H$3)</f>
        <v>13</v>
      </c>
      <c r="AE211" s="56">
        <f>'Mia rosa + Org. Finanza'!AH208</f>
        <v>0</v>
      </c>
      <c r="AF211" s="56">
        <f>'Mia rosa + Org. Finanza'!AI208</f>
        <v>0</v>
      </c>
    </row>
    <row r="212" spans="1:32" ht="14.25" customHeight="1">
      <c r="A212" s="238" t="str">
        <f ca="1">IF(Giocatori!G136="","D",Giocatori!G136)</f>
        <v>D</v>
      </c>
      <c r="B212" s="238" t="str">
        <f ca="1">IF(Giocatori!H136="","ZZZ" &amp; ROW(),Giocatori!H136)</f>
        <v>MIGLIORE</v>
      </c>
      <c r="C212" s="238" t="str">
        <f ca="1">IF(Giocatori!I136="","NDR" &amp; ROW(),Giocatori!I136)</f>
        <v>Genoa</v>
      </c>
      <c r="D212" s="63">
        <f t="shared" ca="1" si="77"/>
        <v>65.002120000000005</v>
      </c>
      <c r="E212" s="63">
        <f t="shared" ca="1" si="78"/>
        <v>36.002119999999998</v>
      </c>
      <c r="F212" s="64">
        <f t="shared" ca="1" si="79"/>
        <v>61.305512037453333</v>
      </c>
      <c r="G212" s="63" t="str">
        <f t="shared" ca="1" si="80"/>
        <v/>
      </c>
      <c r="H212" s="65">
        <f t="shared" ca="1" si="81"/>
        <v>50</v>
      </c>
      <c r="I212" s="63" t="str">
        <f t="shared" ca="1" si="82"/>
        <v/>
      </c>
      <c r="J212" s="63">
        <f t="shared" ca="1" si="83"/>
        <v>1.0021199999999999</v>
      </c>
      <c r="K212" s="63">
        <f t="shared" ca="1" si="84"/>
        <v>1.0021199999999999</v>
      </c>
      <c r="L212" s="324" t="e">
        <f ca="1">VLOOKUP(Tabella113[[#This Row],[Calciatore]],'Raccolta Aste'!$F$2:$J$33,4,FALSE)*Asta!$U$3/100</f>
        <v>#N/A</v>
      </c>
      <c r="N212" s="58"/>
      <c r="O212" s="58"/>
      <c r="P212" s="58"/>
      <c r="Q212" s="58"/>
      <c r="R212" s="58"/>
      <c r="S212" s="58"/>
      <c r="U212" s="311"/>
      <c r="V212" s="311"/>
      <c r="W212" s="56">
        <f t="shared" ca="1" si="85"/>
        <v>133</v>
      </c>
      <c r="X212" s="56">
        <f t="shared" ca="1" si="86"/>
        <v>101</v>
      </c>
      <c r="Y212" s="56">
        <f t="shared" ca="1" si="87"/>
        <v>113</v>
      </c>
      <c r="Z212" s="56">
        <f t="shared" ca="1" si="88"/>
        <v>112</v>
      </c>
      <c r="AA212" s="56">
        <f t="shared" ca="1" si="89"/>
        <v>109</v>
      </c>
      <c r="AB212" s="56">
        <f ca="1">_xlfn.CEILING.MATH(INDIRECT(ADDRESS(85,22+MATCH($P$27,'I.A. + Fasce'!$W$84:$AA$84,0),1,1) &amp; ":" &amp; ADDRESS(305,22+MATCH($P$27,'I.A. + Fasce'!$W$84:$AA$84,0),1,1))/Asta!$H$3)</f>
        <v>13</v>
      </c>
    </row>
    <row r="213" spans="1:32" ht="14.25" customHeight="1">
      <c r="A213" s="238" t="str">
        <f ca="1">IF(Giocatori!G137="","D",Giocatori!G137)</f>
        <v>D</v>
      </c>
      <c r="B213" s="238" t="str">
        <f ca="1">IF(Giocatori!H137="","ZZZ" &amp; ROW(),Giocatori!H137)</f>
        <v>MIKULIC</v>
      </c>
      <c r="C213" s="238" t="str">
        <f ca="1">IF(Giocatori!I137="","NDR" &amp; ROW(),Giocatori!I137)</f>
        <v>Sampdoria</v>
      </c>
      <c r="D213" s="63">
        <f t="shared" ref="D213:D276" ca="1" si="90">IF(ISNA(VLOOKUP($B213,TabAlgTutti,6,FALSE)),0,VLOOKUP($B213,TabAlgTutti,6,FALSE))+ROW()/100000</f>
        <v>50.002130000000001</v>
      </c>
      <c r="E213" s="63">
        <f t="shared" ref="E213:E276" ca="1" si="91">IF(ISNA(VLOOKUP($B213,TabAlgTutti,5,FALSE)),0,VLOOKUP($B213,TabAlgTutti,5,FALSE))+ROW()/100000</f>
        <v>29.002130000000001</v>
      </c>
      <c r="F213" s="64">
        <f t="shared" ref="F213:F276" ca="1" si="92">($D213*$P$8+$E213*(1+$E213*100/60/100)*$S$8)/100+ROW()/100000</f>
        <v>46.513622871140839</v>
      </c>
      <c r="G213" s="63" t="str">
        <f t="shared" ref="G213:G276" ca="1" si="93">IF(ISNA(VLOOKUP($B213,TabAlgTutti,7,FALSE)),"",IF(VLOOKUP($B213,TabAlgTutti,7,FALSE)=-1,"SCONSIGLIATO",IF(VLOOKUP($B213,TabAlgTutti,7,FALSE)=0,"SORPRESA",IF(VLOOKUP($B213,TabAlgTutti,7,FALSE)=1,"CONSIGLIATO",""))))</f>
        <v/>
      </c>
      <c r="H213" s="65">
        <f t="shared" ref="H213:H276" ca="1" si="94">IF(ISNA(VLOOKUP($B213,TabAlgTutti,8,FALSE)),"",VLOOKUP($B213,TabAlgTutti,8,FALSE))</f>
        <v>30</v>
      </c>
      <c r="I213" s="63" t="str">
        <f t="shared" ref="I213:I276" ca="1" si="95">IF(ISNA(VLOOKUP($B213,TabAlgTutti,9,FALSE)),"",IF(VLOOKUP($B213,TabAlgTutti,9,FALSE)="","",VLOOKUP($B213,TabAlgTutti,9,FALSE)&amp;"R "))&amp;IF(ISNA(VLOOKUP($B213,TabAlgTutti,10,FALSE)),"",IF(VLOOKUP($B213,TabAlgTutti,10,FALSE)="","",VLOOKUP($B213,TabAlgTutti,10,FALSE)&amp;"P "))&amp;IF(ISNA(VLOOKUP($B213,TabAlgTutti,11,FALSE)),"",IF(VLOOKUP($B213,TabAlgTutti,11,FALSE)="","",VLOOKUP($B213,TabAlgTutti,11,FALSE)&amp;"A"))</f>
        <v/>
      </c>
      <c r="J213" s="63">
        <f t="shared" ref="J213:J276" ca="1" si="96">IF(ISNA(VLOOKUP($B213,TabAlgTutti,3,FALSE)),0,VLOOKUP($B213,TabAlgTutti,3,FALSE))+ROW()/100000</f>
        <v>1.00213</v>
      </c>
      <c r="K213" s="63">
        <f t="shared" ref="K213:K276" ca="1" si="97">IF(ISNA(VLOOKUP($B213,TabAlgTutti,4,FALSE)),0,VLOOKUP($B213,TabAlgTutti,4,FALSE))+ROW()/100000</f>
        <v>1.00213</v>
      </c>
      <c r="L213" s="324" t="e">
        <f ca="1">VLOOKUP(Tabella113[[#This Row],[Calciatore]],'Raccolta Aste'!$F$2:$J$33,4,FALSE)*Asta!$U$3/100</f>
        <v>#N/A</v>
      </c>
      <c r="N213" s="58"/>
      <c r="O213" s="58"/>
      <c r="P213" s="58"/>
      <c r="Q213" s="58"/>
      <c r="R213" s="58"/>
      <c r="S213" s="58"/>
      <c r="U213" s="311"/>
      <c r="V213" s="311"/>
      <c r="W213" s="56">
        <f t="shared" ca="1" si="85"/>
        <v>179</v>
      </c>
      <c r="X213" s="56">
        <f t="shared" ca="1" si="86"/>
        <v>167</v>
      </c>
      <c r="Y213" s="56">
        <f t="shared" ca="1" si="87"/>
        <v>178</v>
      </c>
      <c r="Z213" s="56">
        <f t="shared" ca="1" si="88"/>
        <v>111</v>
      </c>
      <c r="AA213" s="56">
        <f t="shared" ca="1" si="89"/>
        <v>108</v>
      </c>
      <c r="AB213" s="56">
        <f ca="1">_xlfn.CEILING.MATH(INDIRECT(ADDRESS(85,22+MATCH($P$27,'I.A. + Fasce'!$W$84:$AA$84,0),1,1) &amp; ":" &amp; ADDRESS(305,22+MATCH($P$27,'I.A. + Fasce'!$W$84:$AA$84,0),1,1))/Asta!$H$3)</f>
        <v>21</v>
      </c>
    </row>
    <row r="214" spans="1:32" ht="14.25" customHeight="1">
      <c r="A214" s="238" t="str">
        <f ca="1">IF(Giocatori!G138="","D",Giocatori!G138)</f>
        <v>D</v>
      </c>
      <c r="B214" s="238" t="str">
        <f ca="1">IF(Giocatori!H138="","ZZZ" &amp; ROW(),Giocatori!H138)</f>
        <v>MILENKOVIC</v>
      </c>
      <c r="C214" s="238" t="str">
        <f ca="1">IF(Giocatori!I138="","NDR" &amp; ROW(),Giocatori!I138)</f>
        <v>Fiorentina</v>
      </c>
      <c r="D214" s="63">
        <f t="shared" ca="1" si="90"/>
        <v>75.002139999999997</v>
      </c>
      <c r="E214" s="63">
        <f t="shared" ca="1" si="91"/>
        <v>38.002139999999997</v>
      </c>
      <c r="F214" s="64">
        <f t="shared" ca="1" si="92"/>
        <v>68.538968704829998</v>
      </c>
      <c r="G214" s="63" t="str">
        <f t="shared" ca="1" si="93"/>
        <v/>
      </c>
      <c r="H214" s="65">
        <f t="shared" ca="1" si="94"/>
        <v>50</v>
      </c>
      <c r="I214" s="63" t="str">
        <f t="shared" ca="1" si="95"/>
        <v/>
      </c>
      <c r="J214" s="63">
        <f t="shared" ca="1" si="96"/>
        <v>1.00214</v>
      </c>
      <c r="K214" s="63">
        <f t="shared" ca="1" si="97"/>
        <v>1.00214</v>
      </c>
      <c r="L214" s="324" t="e">
        <f ca="1">VLOOKUP(Tabella113[[#This Row],[Calciatore]],'Raccolta Aste'!$F$2:$J$33,4,FALSE)*Asta!$U$3/100</f>
        <v>#N/A</v>
      </c>
      <c r="N214" s="58"/>
      <c r="O214" s="58"/>
      <c r="P214" s="58"/>
      <c r="Q214" s="58"/>
      <c r="R214" s="58"/>
      <c r="S214" s="58"/>
      <c r="U214" s="311"/>
      <c r="V214" s="311"/>
      <c r="W214" s="56">
        <f t="shared" ref="W214:W277" ca="1" si="98">_xlfn.RANK.EQ(D214,D$85:D$305,0)</f>
        <v>46</v>
      </c>
      <c r="X214" s="56">
        <f t="shared" ref="X214:X277" ca="1" si="99">_xlfn.RANK.EQ(E214,$E$85:$E$305,0)</f>
        <v>74</v>
      </c>
      <c r="Y214" s="56">
        <f t="shared" ref="Y214:Y277" ca="1" si="100">_xlfn.RANK.EQ(F214,$F$85:$F$305,0)</f>
        <v>64</v>
      </c>
      <c r="Z214" s="56">
        <f t="shared" ref="Z214:Z277" ca="1" si="101">_xlfn.RANK.EQ(J214,$J$85:$J$305,0)</f>
        <v>110</v>
      </c>
      <c r="AA214" s="56">
        <f t="shared" ref="AA214:AA277" ca="1" si="102">_xlfn.RANK.EQ(K214,$K$85:$K$305,0)</f>
        <v>107</v>
      </c>
      <c r="AB214" s="56">
        <f ca="1">_xlfn.CEILING.MATH(INDIRECT(ADDRESS(85,22+MATCH($P$27,'I.A. + Fasce'!$W$84:$AA$84,0),1,1) &amp; ":" &amp; ADDRESS(305,22+MATCH($P$27,'I.A. + Fasce'!$W$84:$AA$84,0),1,1))/Asta!$H$3)</f>
        <v>10</v>
      </c>
    </row>
    <row r="215" spans="1:32" ht="14.25" customHeight="1">
      <c r="A215" s="238" t="str">
        <f ca="1">IF(Giocatori!G139="","D",Giocatori!G139)</f>
        <v>D</v>
      </c>
      <c r="B215" s="238" t="str">
        <f ca="1">IF(Giocatori!H139="","ZZZ" &amp; ROW(),Giocatori!H139)</f>
        <v>MIRANDA</v>
      </c>
      <c r="C215" s="238" t="str">
        <f ca="1">IF(Giocatori!I139="","NDR" &amp; ROW(),Giocatori!I139)</f>
        <v>Inter</v>
      </c>
      <c r="D215" s="63">
        <f t="shared" ca="1" si="90"/>
        <v>88.00215</v>
      </c>
      <c r="E215" s="63">
        <f t="shared" ca="1" si="91"/>
        <v>43.00215</v>
      </c>
      <c r="F215" s="64">
        <f t="shared" ca="1" si="92"/>
        <v>80.914174205187493</v>
      </c>
      <c r="G215" s="63" t="str">
        <f t="shared" ca="1" si="93"/>
        <v/>
      </c>
      <c r="H215" s="65">
        <f t="shared" ca="1" si="94"/>
        <v>90</v>
      </c>
      <c r="I215" s="63" t="str">
        <f t="shared" ca="1" si="95"/>
        <v/>
      </c>
      <c r="J215" s="63">
        <f t="shared" ca="1" si="96"/>
        <v>9.4549806563553602</v>
      </c>
      <c r="K215" s="63">
        <f t="shared" ca="1" si="97"/>
        <v>9.3790001627312591</v>
      </c>
      <c r="L215" s="324">
        <f ca="1">VLOOKUP(Tabella113[[#This Row],[Calciatore]],'Raccolta Aste'!$F$2:$J$33,4,FALSE)*Asta!$U$3/100</f>
        <v>10.5</v>
      </c>
      <c r="N215" s="58"/>
      <c r="O215" s="58"/>
      <c r="P215" s="58"/>
      <c r="Q215" s="58"/>
      <c r="R215" s="58"/>
      <c r="S215" s="58"/>
      <c r="U215" s="311"/>
      <c r="V215" s="311"/>
      <c r="W215" s="56">
        <f t="shared" ca="1" si="98"/>
        <v>9</v>
      </c>
      <c r="X215" s="56">
        <f t="shared" ca="1" si="99"/>
        <v>17</v>
      </c>
      <c r="Y215" s="56">
        <f t="shared" ca="1" si="100"/>
        <v>12</v>
      </c>
      <c r="Z215" s="56">
        <f t="shared" ca="1" si="101"/>
        <v>22</v>
      </c>
      <c r="AA215" s="56">
        <f t="shared" ca="1" si="102"/>
        <v>22</v>
      </c>
      <c r="AB215" s="56">
        <f ca="1">_xlfn.CEILING.MATH(INDIRECT(ADDRESS(85,22+MATCH($P$27,'I.A. + Fasce'!$W$84:$AA$84,0),1,1) &amp; ":" &amp; ADDRESS(305,22+MATCH($P$27,'I.A. + Fasce'!$W$84:$AA$84,0),1,1))/Asta!$H$3)</f>
        <v>3</v>
      </c>
    </row>
    <row r="216" spans="1:32" ht="14.25" customHeight="1">
      <c r="A216" s="238" t="str">
        <f ca="1">IF(Giocatori!G140="","D",Giocatori!G140)</f>
        <v>D</v>
      </c>
      <c r="B216" s="238" t="str">
        <f ca="1">IF(Giocatori!H140="","ZZZ" &amp; ROW(),Giocatori!H140)</f>
        <v>MOLINARO</v>
      </c>
      <c r="C216" s="238" t="str">
        <f ca="1">IF(Giocatori!I140="","NDR" &amp; ROW(),Giocatori!I140)</f>
        <v>Torino</v>
      </c>
      <c r="D216" s="63">
        <f t="shared" ca="1" si="90"/>
        <v>65.002160000000003</v>
      </c>
      <c r="E216" s="63">
        <f t="shared" ca="1" si="91"/>
        <v>37.002160000000003</v>
      </c>
      <c r="F216" s="64">
        <f t="shared" ca="1" si="92"/>
        <v>62.41398537221334</v>
      </c>
      <c r="G216" s="63" t="str">
        <f t="shared" ca="1" si="93"/>
        <v/>
      </c>
      <c r="H216" s="65">
        <f t="shared" ca="1" si="94"/>
        <v>70</v>
      </c>
      <c r="I216" s="63" t="str">
        <f t="shared" ca="1" si="95"/>
        <v/>
      </c>
      <c r="J216" s="63">
        <f t="shared" ca="1" si="96"/>
        <v>1.0021599999999999</v>
      </c>
      <c r="K216" s="63">
        <f t="shared" ca="1" si="97"/>
        <v>1.0021599999999999</v>
      </c>
      <c r="L216" s="324" t="e">
        <f ca="1">VLOOKUP(Tabella113[[#This Row],[Calciatore]],'Raccolta Aste'!$F$2:$J$33,4,FALSE)*Asta!$U$3/100</f>
        <v>#N/A</v>
      </c>
      <c r="N216" s="58"/>
      <c r="O216" s="58"/>
      <c r="P216" s="58"/>
      <c r="Q216" s="58"/>
      <c r="R216" s="58"/>
      <c r="S216" s="58"/>
      <c r="U216" s="311"/>
      <c r="V216" s="311"/>
      <c r="W216" s="56">
        <f t="shared" ca="1" si="98"/>
        <v>132</v>
      </c>
      <c r="X216" s="56">
        <f t="shared" ca="1" si="99"/>
        <v>91</v>
      </c>
      <c r="Y216" s="56">
        <f t="shared" ca="1" si="100"/>
        <v>105</v>
      </c>
      <c r="Z216" s="56">
        <f t="shared" ca="1" si="101"/>
        <v>109</v>
      </c>
      <c r="AA216" s="56">
        <f t="shared" ca="1" si="102"/>
        <v>106</v>
      </c>
      <c r="AB216" s="56">
        <f ca="1">_xlfn.CEILING.MATH(INDIRECT(ADDRESS(85,22+MATCH($P$27,'I.A. + Fasce'!$W$84:$AA$84,0),1,1) &amp; ":" &amp; ADDRESS(305,22+MATCH($P$27,'I.A. + Fasce'!$W$84:$AA$84,0),1,1))/Asta!$H$3)</f>
        <v>12</v>
      </c>
    </row>
    <row r="217" spans="1:32" ht="14.25" customHeight="1">
      <c r="A217" s="238" t="str">
        <f ca="1">IF(Giocatori!G141="","D",Giocatori!G141)</f>
        <v>D</v>
      </c>
      <c r="B217" s="238" t="str">
        <f ca="1">IF(Giocatori!H141="","ZZZ" &amp; ROW(),Giocatori!H141)</f>
        <v>MORETTI</v>
      </c>
      <c r="C217" s="238" t="str">
        <f ca="1">IF(Giocatori!I141="","NDR" &amp; ROW(),Giocatori!I141)</f>
        <v>Torino</v>
      </c>
      <c r="D217" s="63">
        <f t="shared" ca="1" si="90"/>
        <v>74.002170000000007</v>
      </c>
      <c r="E217" s="63">
        <f t="shared" ca="1" si="91"/>
        <v>38.00217</v>
      </c>
      <c r="F217" s="64">
        <f t="shared" ca="1" si="92"/>
        <v>68.039047705907507</v>
      </c>
      <c r="G217" s="63" t="str">
        <f t="shared" ca="1" si="93"/>
        <v/>
      </c>
      <c r="H217" s="65">
        <f t="shared" ca="1" si="94"/>
        <v>80</v>
      </c>
      <c r="I217" s="63" t="str">
        <f t="shared" ca="1" si="95"/>
        <v/>
      </c>
      <c r="J217" s="63">
        <f t="shared" ca="1" si="96"/>
        <v>1.00217</v>
      </c>
      <c r="K217" s="63">
        <f t="shared" ca="1" si="97"/>
        <v>1.00217</v>
      </c>
      <c r="L217" s="324" t="e">
        <f ca="1">VLOOKUP(Tabella113[[#This Row],[Calciatore]],'Raccolta Aste'!$F$2:$J$33,4,FALSE)*Asta!$U$3/100</f>
        <v>#N/A</v>
      </c>
      <c r="N217" s="58"/>
      <c r="O217" s="58"/>
      <c r="P217" s="58"/>
      <c r="Q217" s="58"/>
      <c r="R217" s="58"/>
      <c r="S217" s="58"/>
      <c r="U217" s="311"/>
      <c r="V217" s="311"/>
      <c r="W217" s="56">
        <f t="shared" ca="1" si="98"/>
        <v>52</v>
      </c>
      <c r="X217" s="56">
        <f t="shared" ca="1" si="99"/>
        <v>73</v>
      </c>
      <c r="Y217" s="56">
        <f t="shared" ca="1" si="100"/>
        <v>69</v>
      </c>
      <c r="Z217" s="56">
        <f t="shared" ca="1" si="101"/>
        <v>108</v>
      </c>
      <c r="AA217" s="56">
        <f t="shared" ca="1" si="102"/>
        <v>105</v>
      </c>
      <c r="AB217" s="56">
        <f ca="1">_xlfn.CEILING.MATH(INDIRECT(ADDRESS(85,22+MATCH($P$27,'I.A. + Fasce'!$W$84:$AA$84,0),1,1) &amp; ":" &amp; ADDRESS(305,22+MATCH($P$27,'I.A. + Fasce'!$W$84:$AA$84,0),1,1))/Asta!$H$3)</f>
        <v>10</v>
      </c>
    </row>
    <row r="218" spans="1:32" ht="14.25" customHeight="1">
      <c r="A218" s="238" t="str">
        <f ca="1">IF(Giocatori!G142="","D",Giocatori!G142)</f>
        <v>D</v>
      </c>
      <c r="B218" s="238" t="str">
        <f ca="1">IF(Giocatori!H142="","ZZZ" &amp; ROW(),Giocatori!H142)</f>
        <v>MURRU</v>
      </c>
      <c r="C218" s="238" t="str">
        <f ca="1">IF(Giocatori!I142="","NDR" &amp; ROW(),Giocatori!I142)</f>
        <v>Sampdoria</v>
      </c>
      <c r="D218" s="63">
        <f t="shared" ca="1" si="90"/>
        <v>70.002179999999996</v>
      </c>
      <c r="E218" s="63">
        <f t="shared" ca="1" si="91"/>
        <v>34.002180000000003</v>
      </c>
      <c r="F218" s="64">
        <f t="shared" ca="1" si="92"/>
        <v>61.638928706270001</v>
      </c>
      <c r="G218" s="63" t="str">
        <f t="shared" ca="1" si="93"/>
        <v/>
      </c>
      <c r="H218" s="65">
        <f t="shared" ca="1" si="94"/>
        <v>60</v>
      </c>
      <c r="I218" s="63" t="str">
        <f t="shared" ca="1" si="95"/>
        <v/>
      </c>
      <c r="J218" s="63">
        <f t="shared" ca="1" si="96"/>
        <v>1.0021800000000001</v>
      </c>
      <c r="K218" s="63">
        <f t="shared" ca="1" si="97"/>
        <v>1.0021800000000001</v>
      </c>
      <c r="L218" s="324" t="e">
        <f ca="1">VLOOKUP(Tabella113[[#This Row],[Calciatore]],'Raccolta Aste'!$F$2:$J$33,4,FALSE)*Asta!$U$3/100</f>
        <v>#N/A</v>
      </c>
      <c r="N218" s="58"/>
      <c r="O218" s="58"/>
      <c r="P218" s="58"/>
      <c r="Q218" s="58"/>
      <c r="R218" s="58"/>
      <c r="S218" s="58"/>
      <c r="U218" s="311"/>
      <c r="V218" s="311"/>
      <c r="W218" s="56">
        <f t="shared" ca="1" si="98"/>
        <v>86</v>
      </c>
      <c r="X218" s="56">
        <f t="shared" ca="1" si="99"/>
        <v>129</v>
      </c>
      <c r="Y218" s="56">
        <f t="shared" ca="1" si="100"/>
        <v>111</v>
      </c>
      <c r="Z218" s="56">
        <f t="shared" ca="1" si="101"/>
        <v>107</v>
      </c>
      <c r="AA218" s="56">
        <f t="shared" ca="1" si="102"/>
        <v>104</v>
      </c>
      <c r="AB218" s="56">
        <f ca="1">_xlfn.CEILING.MATH(INDIRECT(ADDRESS(85,22+MATCH($P$27,'I.A. + Fasce'!$W$84:$AA$84,0),1,1) &amp; ":" &amp; ADDRESS(305,22+MATCH($P$27,'I.A. + Fasce'!$W$84:$AA$84,0),1,1))/Asta!$H$3)</f>
        <v>17</v>
      </c>
    </row>
    <row r="219" spans="1:32" ht="14.25" customHeight="1">
      <c r="A219" s="238" t="str">
        <f ca="1">IF(Giocatori!G204="","D",Giocatori!G204)</f>
        <v>D</v>
      </c>
      <c r="B219" s="238" t="str">
        <f ca="1">IF(Giocatori!H143="","ZZZ" &amp; ROW(),Giocatori!H143)</f>
        <v>MUSACCHIO</v>
      </c>
      <c r="C219" s="238" t="str">
        <f ca="1">IF(Giocatori!I143="","NDR" &amp; ROW(),Giocatori!I143)</f>
        <v>Milan</v>
      </c>
      <c r="D219" s="63">
        <f t="shared" ca="1" si="90"/>
        <v>77.002189999999999</v>
      </c>
      <c r="E219" s="63">
        <f t="shared" ca="1" si="91"/>
        <v>41.002189999999999</v>
      </c>
      <c r="F219" s="64">
        <f t="shared" ca="1" si="92"/>
        <v>73.014209873300828</v>
      </c>
      <c r="G219" s="63" t="str">
        <f t="shared" ca="1" si="93"/>
        <v/>
      </c>
      <c r="H219" s="65">
        <f t="shared" ca="1" si="94"/>
        <v>70</v>
      </c>
      <c r="I219" s="63" t="str">
        <f t="shared" ca="1" si="95"/>
        <v/>
      </c>
      <c r="J219" s="63">
        <f t="shared" ca="1" si="96"/>
        <v>8.3211686833447676</v>
      </c>
      <c r="K219" s="63">
        <f t="shared" ca="1" si="97"/>
        <v>8.4005109901717407</v>
      </c>
      <c r="L219" s="324">
        <f ca="1">VLOOKUP(Tabella113[[#This Row],[Calciatore]],'Raccolta Aste'!$F$2:$J$33,4,FALSE)*Asta!$U$3/100</f>
        <v>8.82</v>
      </c>
      <c r="N219" s="58"/>
      <c r="O219" s="58"/>
      <c r="P219" s="58"/>
      <c r="Q219" s="58"/>
      <c r="R219" s="58"/>
      <c r="S219" s="58"/>
      <c r="U219" s="311"/>
      <c r="V219" s="311"/>
      <c r="W219" s="56">
        <f t="shared" ca="1" si="98"/>
        <v>33</v>
      </c>
      <c r="X219" s="56">
        <f t="shared" ca="1" si="99"/>
        <v>34</v>
      </c>
      <c r="Y219" s="56">
        <f t="shared" ca="1" si="100"/>
        <v>34</v>
      </c>
      <c r="Z219" s="56">
        <f t="shared" ca="1" si="101"/>
        <v>27</v>
      </c>
      <c r="AA219" s="56">
        <f t="shared" ca="1" si="102"/>
        <v>26</v>
      </c>
      <c r="AB219" s="56">
        <f ca="1">_xlfn.CEILING.MATH(INDIRECT(ADDRESS(85,22+MATCH($P$27,'I.A. + Fasce'!$W$84:$AA$84,0),1,1) &amp; ":" &amp; ADDRESS(305,22+MATCH($P$27,'I.A. + Fasce'!$W$84:$AA$84,0),1,1))/Asta!$H$3)</f>
        <v>5</v>
      </c>
    </row>
    <row r="220" spans="1:32" ht="14.25" customHeight="1">
      <c r="A220" s="238" t="str">
        <f ca="1">IF(Giocatori!G205="","D",Giocatori!G205)</f>
        <v>D</v>
      </c>
      <c r="B220" s="238" t="str">
        <f ca="1">IF(Giocatori!H144="","ZZZ" &amp; ROW(),Giocatori!H144)</f>
        <v>NAGATOMO</v>
      </c>
      <c r="C220" s="238" t="str">
        <f ca="1">IF(Giocatori!I144="","NDR" &amp; ROW(),Giocatori!I144)</f>
        <v>Inter</v>
      </c>
      <c r="D220" s="63">
        <f t="shared" ca="1" si="90"/>
        <v>68.002200000000002</v>
      </c>
      <c r="E220" s="63">
        <f t="shared" ca="1" si="91"/>
        <v>34.002200000000002</v>
      </c>
      <c r="F220" s="64">
        <f t="shared" ca="1" si="92"/>
        <v>60.638980040333337</v>
      </c>
      <c r="G220" s="63" t="str">
        <f t="shared" ca="1" si="93"/>
        <v>SCONSIGLIATO</v>
      </c>
      <c r="H220" s="65">
        <f t="shared" ca="1" si="94"/>
        <v>60</v>
      </c>
      <c r="I220" s="63" t="str">
        <f t="shared" ca="1" si="95"/>
        <v/>
      </c>
      <c r="J220" s="63">
        <f t="shared" ca="1" si="96"/>
        <v>1.0022</v>
      </c>
      <c r="K220" s="63">
        <f t="shared" ca="1" si="97"/>
        <v>1.0022</v>
      </c>
      <c r="L220" s="324" t="e">
        <f ca="1">VLOOKUP(Tabella113[[#This Row],[Calciatore]],'Raccolta Aste'!$F$2:$J$33,4,FALSE)*Asta!$U$3/100</f>
        <v>#N/A</v>
      </c>
      <c r="N220" s="58"/>
      <c r="O220" s="58"/>
      <c r="P220" s="58"/>
      <c r="Q220" s="58"/>
      <c r="R220" s="58"/>
      <c r="S220" s="58"/>
      <c r="U220" s="311"/>
      <c r="V220" s="311"/>
      <c r="W220" s="56">
        <f t="shared" ca="1" si="98"/>
        <v>102</v>
      </c>
      <c r="X220" s="56">
        <f t="shared" ca="1" si="99"/>
        <v>128</v>
      </c>
      <c r="Y220" s="56">
        <f t="shared" ca="1" si="100"/>
        <v>122</v>
      </c>
      <c r="Z220" s="56">
        <f t="shared" ca="1" si="101"/>
        <v>106</v>
      </c>
      <c r="AA220" s="56">
        <f t="shared" ca="1" si="102"/>
        <v>103</v>
      </c>
      <c r="AB220" s="56">
        <f ca="1">_xlfn.CEILING.MATH(INDIRECT(ADDRESS(85,22+MATCH($P$27,'I.A. + Fasce'!$W$84:$AA$84,0),1,1) &amp; ":" &amp; ADDRESS(305,22+MATCH($P$27,'I.A. + Fasce'!$W$84:$AA$84,0),1,1))/Asta!$H$3)</f>
        <v>16</v>
      </c>
    </row>
    <row r="221" spans="1:32" ht="14.25" customHeight="1">
      <c r="A221" s="238" t="str">
        <f ca="1">IF(Giocatori!G206="","D",Giocatori!G206)</f>
        <v>D</v>
      </c>
      <c r="B221" s="238" t="str">
        <f ca="1">IF(Giocatori!H145="","ZZZ" &amp; ROW(),Giocatori!H145)</f>
        <v>N'KOULOU</v>
      </c>
      <c r="C221" s="238" t="str">
        <f ca="1">IF(Giocatori!I145="","NDR" &amp; ROW(),Giocatori!I145)</f>
        <v>Torino</v>
      </c>
      <c r="D221" s="63">
        <f t="shared" ca="1" si="90"/>
        <v>75.002210000000005</v>
      </c>
      <c r="E221" s="63">
        <f t="shared" ca="1" si="91"/>
        <v>43.002209999999998</v>
      </c>
      <c r="F221" s="64">
        <f t="shared" ca="1" si="92"/>
        <v>74.41433720736751</v>
      </c>
      <c r="G221" s="63" t="str">
        <f t="shared" ca="1" si="93"/>
        <v/>
      </c>
      <c r="H221" s="65">
        <f t="shared" ca="1" si="94"/>
        <v>80</v>
      </c>
      <c r="I221" s="63" t="str">
        <f t="shared" ca="1" si="95"/>
        <v/>
      </c>
      <c r="J221" s="63">
        <f t="shared" ca="1" si="96"/>
        <v>8.4521331358567497</v>
      </c>
      <c r="K221" s="63">
        <f t="shared" ca="1" si="97"/>
        <v>8.5317038101765181</v>
      </c>
      <c r="L221" s="324">
        <f ca="1">VLOOKUP(Tabella113[[#This Row],[Calciatore]],'Raccolta Aste'!$F$2:$J$33,4,FALSE)*Asta!$U$3/100</f>
        <v>0</v>
      </c>
      <c r="N221" s="58"/>
      <c r="O221" s="58"/>
      <c r="P221" s="58"/>
      <c r="Q221" s="58"/>
      <c r="R221" s="58"/>
      <c r="S221" s="58"/>
      <c r="U221" s="311"/>
      <c r="V221" s="311"/>
      <c r="W221" s="56">
        <f t="shared" ca="1" si="98"/>
        <v>45</v>
      </c>
      <c r="X221" s="56">
        <f t="shared" ca="1" si="99"/>
        <v>16</v>
      </c>
      <c r="Y221" s="56">
        <f t="shared" ca="1" si="100"/>
        <v>28</v>
      </c>
      <c r="Z221" s="56">
        <f t="shared" ca="1" si="101"/>
        <v>26</v>
      </c>
      <c r="AA221" s="56">
        <f t="shared" ca="1" si="102"/>
        <v>25</v>
      </c>
      <c r="AB221" s="56">
        <f ca="1">_xlfn.CEILING.MATH(INDIRECT(ADDRESS(85,22+MATCH($P$27,'I.A. + Fasce'!$W$84:$AA$84,0),1,1) &amp; ":" &amp; ADDRESS(305,22+MATCH($P$27,'I.A. + Fasce'!$W$84:$AA$84,0),1,1))/Asta!$H$3)</f>
        <v>2</v>
      </c>
    </row>
    <row r="222" spans="1:32" ht="14.25" customHeight="1">
      <c r="A222" s="238" t="str">
        <f ca="1">IF(Giocatori!G207="","D",Giocatori!G207)</f>
        <v>D</v>
      </c>
      <c r="B222" s="238" t="str">
        <f ca="1">IF(Giocatori!H146="","ZZZ" &amp; ROW(),Giocatori!H146)</f>
        <v>NUYTINCK</v>
      </c>
      <c r="C222" s="238" t="str">
        <f ca="1">IF(Giocatori!I146="","NDR" &amp; ROW(),Giocatori!I146)</f>
        <v>Udinese</v>
      </c>
      <c r="D222" s="63">
        <f t="shared" ca="1" si="90"/>
        <v>73.002219999999994</v>
      </c>
      <c r="E222" s="63">
        <f t="shared" ca="1" si="91"/>
        <v>41.002220000000001</v>
      </c>
      <c r="F222" s="64">
        <f t="shared" ca="1" si="92"/>
        <v>71.014290374403316</v>
      </c>
      <c r="G222" s="63" t="str">
        <f t="shared" ca="1" si="93"/>
        <v/>
      </c>
      <c r="H222" s="65">
        <f t="shared" ca="1" si="94"/>
        <v>80</v>
      </c>
      <c r="I222" s="63" t="str">
        <f t="shared" ca="1" si="95"/>
        <v/>
      </c>
      <c r="J222" s="63">
        <f t="shared" ca="1" si="96"/>
        <v>7.3221436565536484</v>
      </c>
      <c r="K222" s="63">
        <f t="shared" ca="1" si="97"/>
        <v>6.5311401987652991</v>
      </c>
      <c r="L222" s="324" t="e">
        <f ca="1">VLOOKUP(Tabella113[[#This Row],[Calciatore]],'Raccolta Aste'!$F$2:$J$33,4,FALSE)*Asta!$U$3/100</f>
        <v>#N/A</v>
      </c>
      <c r="N222" s="58"/>
      <c r="O222" s="58"/>
      <c r="P222" s="58"/>
      <c r="Q222" s="58"/>
      <c r="R222" s="58"/>
      <c r="S222" s="58"/>
      <c r="U222" s="311"/>
      <c r="V222" s="311"/>
      <c r="W222" s="56">
        <f t="shared" ca="1" si="98"/>
        <v>66</v>
      </c>
      <c r="X222" s="56">
        <f t="shared" ca="1" si="99"/>
        <v>33</v>
      </c>
      <c r="Y222" s="56">
        <f t="shared" ca="1" si="100"/>
        <v>46</v>
      </c>
      <c r="Z222" s="56">
        <f t="shared" ca="1" si="101"/>
        <v>35</v>
      </c>
      <c r="AA222" s="56">
        <f t="shared" ca="1" si="102"/>
        <v>36</v>
      </c>
      <c r="AB222" s="56">
        <f ca="1">_xlfn.CEILING.MATH(INDIRECT(ADDRESS(85,22+MATCH($P$27,'I.A. + Fasce'!$W$84:$AA$84,0),1,1) &amp; ":" &amp; ADDRESS(305,22+MATCH($P$27,'I.A. + Fasce'!$W$84:$AA$84,0),1,1))/Asta!$H$3)</f>
        <v>5</v>
      </c>
    </row>
    <row r="223" spans="1:32" ht="14.25" customHeight="1">
      <c r="A223" s="238" t="str">
        <f ca="1">IF(Giocatori!G208="","D",Giocatori!G208)</f>
        <v>D</v>
      </c>
      <c r="B223" s="238" t="str">
        <f ca="1">IF(Giocatori!H147="","ZZZ" &amp; ROW(),Giocatori!H147)</f>
        <v>OIKONOMOU</v>
      </c>
      <c r="C223" s="238" t="str">
        <f ca="1">IF(Giocatori!I147="","NDR" &amp; ROW(),Giocatori!I147)</f>
        <v>SPAL</v>
      </c>
      <c r="D223" s="63">
        <f t="shared" ca="1" si="90"/>
        <v>74.002229999999997</v>
      </c>
      <c r="E223" s="63">
        <f t="shared" ca="1" si="91"/>
        <v>38.002229999999997</v>
      </c>
      <c r="F223" s="64">
        <f t="shared" ca="1" si="92"/>
        <v>68.039205708107488</v>
      </c>
      <c r="G223" s="63" t="str">
        <f t="shared" ca="1" si="93"/>
        <v/>
      </c>
      <c r="H223" s="65">
        <f t="shared" ca="1" si="94"/>
        <v>70</v>
      </c>
      <c r="I223" s="63" t="str">
        <f t="shared" ca="1" si="95"/>
        <v/>
      </c>
      <c r="J223" s="63">
        <f t="shared" ca="1" si="96"/>
        <v>1.00223</v>
      </c>
      <c r="K223" s="63">
        <f t="shared" ca="1" si="97"/>
        <v>1.00223</v>
      </c>
      <c r="L223" s="324" t="e">
        <f ca="1">VLOOKUP(Tabella113[[#This Row],[Calciatore]],'Raccolta Aste'!$F$2:$J$33,4,FALSE)*Asta!$U$3/100</f>
        <v>#N/A</v>
      </c>
      <c r="N223" s="58"/>
      <c r="O223" s="58"/>
      <c r="P223" s="58"/>
      <c r="Q223" s="58"/>
      <c r="R223" s="58"/>
      <c r="S223" s="58"/>
      <c r="U223" s="311"/>
      <c r="V223" s="311"/>
      <c r="W223" s="56">
        <f t="shared" ca="1" si="98"/>
        <v>51</v>
      </c>
      <c r="X223" s="56">
        <f t="shared" ca="1" si="99"/>
        <v>72</v>
      </c>
      <c r="Y223" s="56">
        <f t="shared" ca="1" si="100"/>
        <v>68</v>
      </c>
      <c r="Z223" s="56">
        <f t="shared" ca="1" si="101"/>
        <v>105</v>
      </c>
      <c r="AA223" s="56">
        <f t="shared" ca="1" si="102"/>
        <v>102</v>
      </c>
      <c r="AB223" s="56">
        <f ca="1">_xlfn.CEILING.MATH(INDIRECT(ADDRESS(85,22+MATCH($P$27,'I.A. + Fasce'!$W$84:$AA$84,0),1,1) &amp; ":" &amp; ADDRESS(305,22+MATCH($P$27,'I.A. + Fasce'!$W$84:$AA$84,0),1,1))/Asta!$H$3)</f>
        <v>9</v>
      </c>
    </row>
    <row r="224" spans="1:32" ht="14.25" customHeight="1">
      <c r="A224" s="238" t="str">
        <f ca="1">IF(Giocatori!G209="","D",Giocatori!G209)</f>
        <v>D</v>
      </c>
      <c r="B224" s="238" t="str">
        <f ca="1">IF(Giocatori!H148="","ZZZ" &amp; ROW(),Giocatori!H148)</f>
        <v>OLIVERA M</v>
      </c>
      <c r="C224" s="238" t="str">
        <f ca="1">IF(Giocatori!I148="","NDR" &amp; ROW(),Giocatori!I148)</f>
        <v>Fiorentina</v>
      </c>
      <c r="D224" s="63">
        <f t="shared" ca="1" si="90"/>
        <v>70.00224</v>
      </c>
      <c r="E224" s="63">
        <f t="shared" ca="1" si="91"/>
        <v>38.00224</v>
      </c>
      <c r="F224" s="64">
        <f t="shared" ca="1" si="92"/>
        <v>66.039232041813335</v>
      </c>
      <c r="G224" s="63" t="str">
        <f t="shared" ca="1" si="93"/>
        <v/>
      </c>
      <c r="H224" s="65">
        <f t="shared" ca="1" si="94"/>
        <v>70</v>
      </c>
      <c r="I224" s="63" t="str">
        <f t="shared" ca="1" si="95"/>
        <v/>
      </c>
      <c r="J224" s="63">
        <f t="shared" ca="1" si="96"/>
        <v>1.00224</v>
      </c>
      <c r="K224" s="63">
        <f t="shared" ca="1" si="97"/>
        <v>1.00224</v>
      </c>
      <c r="L224" s="324" t="e">
        <f ca="1">VLOOKUP(Tabella113[[#This Row],[Calciatore]],'Raccolta Aste'!$F$2:$J$33,4,FALSE)*Asta!$U$3/100</f>
        <v>#N/A</v>
      </c>
      <c r="N224" s="58"/>
      <c r="O224" s="58"/>
      <c r="P224" s="58"/>
      <c r="Q224" s="58"/>
      <c r="R224" s="58"/>
      <c r="S224" s="58"/>
      <c r="U224" s="311"/>
      <c r="V224" s="311"/>
      <c r="W224" s="56">
        <f t="shared" ca="1" si="98"/>
        <v>85</v>
      </c>
      <c r="X224" s="56">
        <f t="shared" ca="1" si="99"/>
        <v>71</v>
      </c>
      <c r="Y224" s="56">
        <f t="shared" ca="1" si="100"/>
        <v>80</v>
      </c>
      <c r="Z224" s="56">
        <f t="shared" ca="1" si="101"/>
        <v>104</v>
      </c>
      <c r="AA224" s="56">
        <f t="shared" ca="1" si="102"/>
        <v>101</v>
      </c>
      <c r="AB224" s="56">
        <f ca="1">_xlfn.CEILING.MATH(INDIRECT(ADDRESS(85,22+MATCH($P$27,'I.A. + Fasce'!$W$84:$AA$84,0),1,1) &amp; ":" &amp; ADDRESS(305,22+MATCH($P$27,'I.A. + Fasce'!$W$84:$AA$84,0),1,1))/Asta!$H$3)</f>
        <v>9</v>
      </c>
    </row>
    <row r="225" spans="1:28" ht="14.25" customHeight="1">
      <c r="A225" s="238" t="str">
        <f ca="1">IF(Giocatori!G210="","D",Giocatori!G210)</f>
        <v>D</v>
      </c>
      <c r="B225" s="238" t="str">
        <f ca="1">IF(Giocatori!H149="","ZZZ" &amp; ROW(),Giocatori!H149)</f>
        <v>PALETTA</v>
      </c>
      <c r="C225" s="238" t="str">
        <f ca="1">IF(Giocatori!I149="","NDR" &amp; ROW(),Giocatori!I149)</f>
        <v>Milan</v>
      </c>
      <c r="D225" s="63">
        <f t="shared" ca="1" si="90"/>
        <v>64.002250000000004</v>
      </c>
      <c r="E225" s="63">
        <f t="shared" ca="1" si="91"/>
        <v>33.002249999999997</v>
      </c>
      <c r="F225" s="64">
        <f t="shared" ca="1" si="92"/>
        <v>57.580737542187492</v>
      </c>
      <c r="G225" s="63" t="str">
        <f t="shared" ca="1" si="93"/>
        <v/>
      </c>
      <c r="H225" s="65">
        <f t="shared" ca="1" si="94"/>
        <v>40</v>
      </c>
      <c r="I225" s="63" t="str">
        <f t="shared" ca="1" si="95"/>
        <v/>
      </c>
      <c r="J225" s="63">
        <f t="shared" ca="1" si="96"/>
        <v>1.0022500000000001</v>
      </c>
      <c r="K225" s="63">
        <f t="shared" ca="1" si="97"/>
        <v>1.0022500000000001</v>
      </c>
      <c r="L225" s="324" t="e">
        <f ca="1">VLOOKUP(Tabella113[[#This Row],[Calciatore]],'Raccolta Aste'!$F$2:$J$33,4,FALSE)*Asta!$U$3/100</f>
        <v>#N/A</v>
      </c>
      <c r="N225" s="58"/>
      <c r="O225" s="58"/>
      <c r="P225" s="58"/>
      <c r="Q225" s="58"/>
      <c r="R225" s="58"/>
      <c r="S225" s="58"/>
      <c r="U225" s="311"/>
      <c r="V225" s="311"/>
      <c r="W225" s="56">
        <f t="shared" ca="1" si="98"/>
        <v>139</v>
      </c>
      <c r="X225" s="56">
        <f t="shared" ca="1" si="99"/>
        <v>145</v>
      </c>
      <c r="Y225" s="56">
        <f t="shared" ca="1" si="100"/>
        <v>141</v>
      </c>
      <c r="Z225" s="56">
        <f t="shared" ca="1" si="101"/>
        <v>103</v>
      </c>
      <c r="AA225" s="56">
        <f t="shared" ca="1" si="102"/>
        <v>100</v>
      </c>
      <c r="AB225" s="56">
        <f ca="1">_xlfn.CEILING.MATH(INDIRECT(ADDRESS(85,22+MATCH($P$27,'I.A. + Fasce'!$W$84:$AA$84,0),1,1) &amp; ":" &amp; ADDRESS(305,22+MATCH($P$27,'I.A. + Fasce'!$W$84:$AA$84,0),1,1))/Asta!$H$3)</f>
        <v>19</v>
      </c>
    </row>
    <row r="226" spans="1:28" ht="14.25" customHeight="1">
      <c r="A226" s="238" t="str">
        <f ca="1">IF(Giocatori!G211="","D",Giocatori!G211)</f>
        <v>D</v>
      </c>
      <c r="B226" s="238" t="str">
        <f ca="1">IF(Giocatori!H150="","ZZZ" &amp; ROW(),Giocatori!H150)</f>
        <v>PALOMINO</v>
      </c>
      <c r="C226" s="238" t="str">
        <f ca="1">IF(Giocatori!I150="","NDR" &amp; ROW(),Giocatori!I150)</f>
        <v>Atalanta</v>
      </c>
      <c r="D226" s="63">
        <f t="shared" ca="1" si="90"/>
        <v>67.002260000000007</v>
      </c>
      <c r="E226" s="63">
        <f t="shared" ca="1" si="91"/>
        <v>39.00226</v>
      </c>
      <c r="F226" s="64">
        <f t="shared" ca="1" si="92"/>
        <v>65.68098904256334</v>
      </c>
      <c r="G226" s="63" t="str">
        <f t="shared" ca="1" si="93"/>
        <v/>
      </c>
      <c r="H226" s="65">
        <f t="shared" ca="1" si="94"/>
        <v>50</v>
      </c>
      <c r="I226" s="63" t="str">
        <f t="shared" ca="1" si="95"/>
        <v/>
      </c>
      <c r="J226" s="63">
        <f t="shared" ca="1" si="96"/>
        <v>2.8155655720801076</v>
      </c>
      <c r="K226" s="63">
        <f t="shared" ca="1" si="97"/>
        <v>2.6608295832707403</v>
      </c>
      <c r="L226" s="324" t="e">
        <f ca="1">VLOOKUP(Tabella113[[#This Row],[Calciatore]],'Raccolta Aste'!$F$2:$J$33,4,FALSE)*Asta!$U$3/100</f>
        <v>#N/A</v>
      </c>
      <c r="N226" s="58"/>
      <c r="O226" s="58"/>
      <c r="P226" s="58"/>
      <c r="Q226" s="58"/>
      <c r="R226" s="58"/>
      <c r="S226" s="58"/>
      <c r="U226" s="311"/>
      <c r="V226" s="311"/>
      <c r="W226" s="56">
        <f t="shared" ca="1" si="98"/>
        <v>115</v>
      </c>
      <c r="X226" s="56">
        <f t="shared" ca="1" si="99"/>
        <v>61</v>
      </c>
      <c r="Y226" s="56">
        <f t="shared" ca="1" si="100"/>
        <v>82</v>
      </c>
      <c r="Z226" s="56">
        <f t="shared" ca="1" si="101"/>
        <v>63</v>
      </c>
      <c r="AA226" s="56">
        <f t="shared" ca="1" si="102"/>
        <v>63</v>
      </c>
      <c r="AB226" s="56">
        <f ca="1">_xlfn.CEILING.MATH(INDIRECT(ADDRESS(85,22+MATCH($P$27,'I.A. + Fasce'!$W$84:$AA$84,0),1,1) &amp; ":" &amp; ADDRESS(305,22+MATCH($P$27,'I.A. + Fasce'!$W$84:$AA$84,0),1,1))/Asta!$H$3)</f>
        <v>8</v>
      </c>
    </row>
    <row r="227" spans="1:28" ht="14.25" customHeight="1">
      <c r="A227" s="238" t="str">
        <f ca="1">IF(Giocatori!G212="","D",Giocatori!G212)</f>
        <v>D</v>
      </c>
      <c r="B227" s="238" t="str">
        <f ca="1">IF(Giocatori!H151="","ZZZ" &amp; ROW(),Giocatori!H151)</f>
        <v>PATRIC</v>
      </c>
      <c r="C227" s="238" t="str">
        <f ca="1">IF(Giocatori!I151="","NDR" &amp; ROW(),Giocatori!I151)</f>
        <v>Lazio</v>
      </c>
      <c r="D227" s="63">
        <f t="shared" ca="1" si="90"/>
        <v>62.002270000000003</v>
      </c>
      <c r="E227" s="63">
        <f t="shared" ca="1" si="91"/>
        <v>33.002270000000003</v>
      </c>
      <c r="F227" s="64">
        <f t="shared" ca="1" si="92"/>
        <v>56.580788542940837</v>
      </c>
      <c r="G227" s="63" t="str">
        <f t="shared" ca="1" si="93"/>
        <v/>
      </c>
      <c r="H227" s="65">
        <f t="shared" ca="1" si="94"/>
        <v>50</v>
      </c>
      <c r="I227" s="63" t="str">
        <f t="shared" ca="1" si="95"/>
        <v/>
      </c>
      <c r="J227" s="63">
        <f t="shared" ca="1" si="96"/>
        <v>1.00227</v>
      </c>
      <c r="K227" s="63">
        <f t="shared" ca="1" si="97"/>
        <v>1.00227</v>
      </c>
      <c r="L227" s="324" t="e">
        <f ca="1">VLOOKUP(Tabella113[[#This Row],[Calciatore]],'Raccolta Aste'!$F$2:$J$33,4,FALSE)*Asta!$U$3/100</f>
        <v>#N/A</v>
      </c>
      <c r="N227" s="58"/>
      <c r="O227" s="58"/>
      <c r="P227" s="58"/>
      <c r="Q227" s="58"/>
      <c r="R227" s="58"/>
      <c r="S227" s="58"/>
      <c r="U227" s="311"/>
      <c r="V227" s="311"/>
      <c r="W227" s="56">
        <f t="shared" ca="1" si="98"/>
        <v>146</v>
      </c>
      <c r="X227" s="56">
        <f t="shared" ca="1" si="99"/>
        <v>144</v>
      </c>
      <c r="Y227" s="56">
        <f t="shared" ca="1" si="100"/>
        <v>147</v>
      </c>
      <c r="Z227" s="56">
        <f t="shared" ca="1" si="101"/>
        <v>102</v>
      </c>
      <c r="AA227" s="56">
        <f t="shared" ca="1" si="102"/>
        <v>99</v>
      </c>
      <c r="AB227" s="56">
        <f ca="1">_xlfn.CEILING.MATH(INDIRECT(ADDRESS(85,22+MATCH($P$27,'I.A. + Fasce'!$W$84:$AA$84,0),1,1) &amp; ":" &amp; ADDRESS(305,22+MATCH($P$27,'I.A. + Fasce'!$W$84:$AA$84,0),1,1))/Asta!$H$3)</f>
        <v>18</v>
      </c>
    </row>
    <row r="228" spans="1:28" ht="14.25" customHeight="1">
      <c r="A228" s="238" t="str">
        <f ca="1">IF(Giocatori!G213="","D",Giocatori!G213)</f>
        <v>D</v>
      </c>
      <c r="B228" s="238" t="str">
        <f ca="1">IF(Giocatori!H152="","ZZZ" &amp; ROW(),Giocatori!H152)</f>
        <v>PAVLOVIC</v>
      </c>
      <c r="C228" s="238" t="str">
        <f ca="1">IF(Giocatori!I152="","NDR" &amp; ROW(),Giocatori!I152)</f>
        <v>Crotone</v>
      </c>
      <c r="D228" s="63">
        <f t="shared" ca="1" si="90"/>
        <v>71.002279999999999</v>
      </c>
      <c r="E228" s="63">
        <f t="shared" ca="1" si="91"/>
        <v>37.002279999999999</v>
      </c>
      <c r="F228" s="64">
        <f t="shared" ca="1" si="92"/>
        <v>65.414299376653332</v>
      </c>
      <c r="G228" s="63" t="str">
        <f t="shared" ca="1" si="93"/>
        <v/>
      </c>
      <c r="H228" s="65">
        <f t="shared" ca="1" si="94"/>
        <v>60</v>
      </c>
      <c r="I228" s="63" t="str">
        <f t="shared" ca="1" si="95"/>
        <v xml:space="preserve">2P </v>
      </c>
      <c r="J228" s="63">
        <f t="shared" ca="1" si="96"/>
        <v>1.0022800000000001</v>
      </c>
      <c r="K228" s="63">
        <f t="shared" ca="1" si="97"/>
        <v>1.0022800000000001</v>
      </c>
      <c r="L228" s="324" t="e">
        <f ca="1">VLOOKUP(Tabella113[[#This Row],[Calciatore]],'Raccolta Aste'!$F$2:$J$33,4,FALSE)*Asta!$U$3/100</f>
        <v>#N/A</v>
      </c>
      <c r="N228" s="58"/>
      <c r="O228" s="58"/>
      <c r="P228" s="58"/>
      <c r="Q228" s="58"/>
      <c r="R228" s="58"/>
      <c r="S228" s="58"/>
      <c r="U228" s="311"/>
      <c r="V228" s="311"/>
      <c r="W228" s="56">
        <f t="shared" ca="1" si="98"/>
        <v>78</v>
      </c>
      <c r="X228" s="56">
        <f t="shared" ca="1" si="99"/>
        <v>90</v>
      </c>
      <c r="Y228" s="56">
        <f t="shared" ca="1" si="100"/>
        <v>84</v>
      </c>
      <c r="Z228" s="56">
        <f t="shared" ca="1" si="101"/>
        <v>101</v>
      </c>
      <c r="AA228" s="56">
        <f t="shared" ca="1" si="102"/>
        <v>98</v>
      </c>
      <c r="AB228" s="56">
        <f ca="1">_xlfn.CEILING.MATH(INDIRECT(ADDRESS(85,22+MATCH($P$27,'I.A. + Fasce'!$W$84:$AA$84,0),1,1) &amp; ":" &amp; ADDRESS(305,22+MATCH($P$27,'I.A. + Fasce'!$W$84:$AA$84,0),1,1))/Asta!$H$3)</f>
        <v>12</v>
      </c>
    </row>
    <row r="229" spans="1:28" ht="14.25" customHeight="1">
      <c r="A229" s="238" t="str">
        <f ca="1">IF(Giocatori!G214="","D",Giocatori!G214)</f>
        <v>D</v>
      </c>
      <c r="B229" s="238" t="str">
        <f ca="1">IF(Giocatori!H153="","ZZZ" &amp; ROW(),Giocatori!H153)</f>
        <v>PELUSO</v>
      </c>
      <c r="C229" s="238" t="str">
        <f ca="1">IF(Giocatori!I153="","NDR" &amp; ROW(),Giocatori!I153)</f>
        <v>Sassuolo</v>
      </c>
      <c r="D229" s="63">
        <f t="shared" ca="1" si="90"/>
        <v>75.002290000000002</v>
      </c>
      <c r="E229" s="63">
        <f t="shared" ca="1" si="91"/>
        <v>34.002290000000002</v>
      </c>
      <c r="F229" s="64">
        <f t="shared" ca="1" si="92"/>
        <v>64.13921104370084</v>
      </c>
      <c r="G229" s="63" t="str">
        <f t="shared" ca="1" si="93"/>
        <v>SCONSIGLIATO</v>
      </c>
      <c r="H229" s="65">
        <f t="shared" ca="1" si="94"/>
        <v>70</v>
      </c>
      <c r="I229" s="63" t="str">
        <f t="shared" ca="1" si="95"/>
        <v/>
      </c>
      <c r="J229" s="63">
        <f t="shared" ca="1" si="96"/>
        <v>1.0022899999999999</v>
      </c>
      <c r="K229" s="63">
        <f t="shared" ca="1" si="97"/>
        <v>1.0022899999999999</v>
      </c>
      <c r="L229" s="324" t="e">
        <f ca="1">VLOOKUP(Tabella113[[#This Row],[Calciatore]],'Raccolta Aste'!$F$2:$J$33,4,FALSE)*Asta!$U$3/100</f>
        <v>#N/A</v>
      </c>
      <c r="N229" s="58"/>
      <c r="O229" s="58"/>
      <c r="P229" s="58"/>
      <c r="Q229" s="58"/>
      <c r="R229" s="58"/>
      <c r="S229" s="58"/>
      <c r="U229" s="311"/>
      <c r="V229" s="311"/>
      <c r="W229" s="56">
        <f t="shared" ca="1" si="98"/>
        <v>44</v>
      </c>
      <c r="X229" s="56">
        <f t="shared" ca="1" si="99"/>
        <v>127</v>
      </c>
      <c r="Y229" s="56">
        <f t="shared" ca="1" si="100"/>
        <v>97</v>
      </c>
      <c r="Z229" s="56">
        <f t="shared" ca="1" si="101"/>
        <v>100</v>
      </c>
      <c r="AA229" s="56">
        <f t="shared" ca="1" si="102"/>
        <v>97</v>
      </c>
      <c r="AB229" s="56">
        <f ca="1">_xlfn.CEILING.MATH(INDIRECT(ADDRESS(85,22+MATCH($P$27,'I.A. + Fasce'!$W$84:$AA$84,0),1,1) &amp; ":" &amp; ADDRESS(305,22+MATCH($P$27,'I.A. + Fasce'!$W$84:$AA$84,0),1,1))/Asta!$H$3)</f>
        <v>16</v>
      </c>
    </row>
    <row r="230" spans="1:28" ht="14.25" customHeight="1">
      <c r="A230" s="238" t="str">
        <f ca="1">IF(Giocatori!G215="","D",Giocatori!G215)</f>
        <v>D</v>
      </c>
      <c r="B230" s="238" t="str">
        <f ca="1">IF(Giocatori!H154="","ZZZ" &amp; ROW(),Giocatori!H154)</f>
        <v>PEZZELLA GER</v>
      </c>
      <c r="C230" s="238" t="str">
        <f ca="1">IF(Giocatori!I154="","NDR" &amp; ROW(),Giocatori!I154)</f>
        <v>Fiorentina</v>
      </c>
      <c r="D230" s="63">
        <f t="shared" ca="1" si="90"/>
        <v>78.002300000000005</v>
      </c>
      <c r="E230" s="63">
        <f t="shared" ca="1" si="91"/>
        <v>41.002299999999998</v>
      </c>
      <c r="F230" s="64">
        <f t="shared" ca="1" si="92"/>
        <v>73.514505044083336</v>
      </c>
      <c r="G230" s="63" t="str">
        <f t="shared" ca="1" si="93"/>
        <v/>
      </c>
      <c r="H230" s="65">
        <f t="shared" ca="1" si="94"/>
        <v>70</v>
      </c>
      <c r="I230" s="63" t="str">
        <f t="shared" ca="1" si="95"/>
        <v/>
      </c>
      <c r="J230" s="63">
        <f t="shared" ca="1" si="96"/>
        <v>6.1778456853427333</v>
      </c>
      <c r="K230" s="63">
        <f t="shared" ca="1" si="97"/>
        <v>6.2534498390037481</v>
      </c>
      <c r="L230" s="324" t="e">
        <f ca="1">VLOOKUP(Tabella113[[#This Row],[Calciatore]],'Raccolta Aste'!$F$2:$J$33,4,FALSE)*Asta!$U$3/100</f>
        <v>#N/A</v>
      </c>
      <c r="N230" s="58"/>
      <c r="O230" s="58"/>
      <c r="P230" s="58"/>
      <c r="Q230" s="58"/>
      <c r="R230" s="58"/>
      <c r="S230" s="58"/>
      <c r="U230" s="311"/>
      <c r="V230" s="311"/>
      <c r="W230" s="56">
        <f t="shared" ca="1" si="98"/>
        <v>29</v>
      </c>
      <c r="X230" s="56">
        <f t="shared" ca="1" si="99"/>
        <v>32</v>
      </c>
      <c r="Y230" s="56">
        <f t="shared" ca="1" si="100"/>
        <v>31</v>
      </c>
      <c r="Z230" s="56">
        <f t="shared" ca="1" si="101"/>
        <v>41</v>
      </c>
      <c r="AA230" s="56">
        <f t="shared" ca="1" si="102"/>
        <v>38</v>
      </c>
      <c r="AB230" s="56">
        <f ca="1">_xlfn.CEILING.MATH(INDIRECT(ADDRESS(85,22+MATCH($P$27,'I.A. + Fasce'!$W$84:$AA$84,0),1,1) &amp; ":" &amp; ADDRESS(305,22+MATCH($P$27,'I.A. + Fasce'!$W$84:$AA$84,0),1,1))/Asta!$H$3)</f>
        <v>4</v>
      </c>
    </row>
    <row r="231" spans="1:28" ht="14.25" customHeight="1">
      <c r="A231" s="238" t="str">
        <f ca="1">IF(Giocatori!G216="","D",Giocatori!G216)</f>
        <v>D</v>
      </c>
      <c r="B231" s="238" t="str">
        <f ca="1">IF(Giocatori!H155="","ZZZ" &amp; ROW(),Giocatori!H155)</f>
        <v>PEZZELLA GIU</v>
      </c>
      <c r="C231" s="238" t="str">
        <f ca="1">IF(Giocatori!I155="","NDR" &amp; ROW(),Giocatori!I155)</f>
        <v>Udinese</v>
      </c>
      <c r="D231" s="63">
        <f t="shared" ca="1" si="90"/>
        <v>55.002310000000001</v>
      </c>
      <c r="E231" s="63">
        <f t="shared" ca="1" si="91"/>
        <v>36.002310000000001</v>
      </c>
      <c r="F231" s="64">
        <f t="shared" ca="1" si="92"/>
        <v>56.306006044467509</v>
      </c>
      <c r="G231" s="63" t="str">
        <f t="shared" ca="1" si="93"/>
        <v/>
      </c>
      <c r="H231" s="65">
        <f t="shared" ca="1" si="94"/>
        <v>60</v>
      </c>
      <c r="I231" s="63" t="str">
        <f t="shared" ca="1" si="95"/>
        <v/>
      </c>
      <c r="J231" s="63">
        <f t="shared" ca="1" si="96"/>
        <v>1.00231</v>
      </c>
      <c r="K231" s="63">
        <f t="shared" ca="1" si="97"/>
        <v>1.00231</v>
      </c>
      <c r="L231" s="324" t="e">
        <f ca="1">VLOOKUP(Tabella113[[#This Row],[Calciatore]],'Raccolta Aste'!$F$2:$J$33,4,FALSE)*Asta!$U$3/100</f>
        <v>#N/A</v>
      </c>
      <c r="N231" s="58"/>
      <c r="O231" s="58"/>
      <c r="P231" s="58"/>
      <c r="Q231" s="58"/>
      <c r="R231" s="58"/>
      <c r="S231" s="58"/>
      <c r="U231" s="311"/>
      <c r="V231" s="311"/>
      <c r="W231" s="56">
        <f t="shared" ca="1" si="98"/>
        <v>171</v>
      </c>
      <c r="X231" s="56">
        <f t="shared" ca="1" si="99"/>
        <v>100</v>
      </c>
      <c r="Y231" s="56">
        <f t="shared" ca="1" si="100"/>
        <v>148</v>
      </c>
      <c r="Z231" s="56">
        <f t="shared" ca="1" si="101"/>
        <v>99</v>
      </c>
      <c r="AA231" s="56">
        <f t="shared" ca="1" si="102"/>
        <v>96</v>
      </c>
      <c r="AB231" s="56">
        <f ca="1">_xlfn.CEILING.MATH(INDIRECT(ADDRESS(85,22+MATCH($P$27,'I.A. + Fasce'!$W$84:$AA$84,0),1,1) &amp; ":" &amp; ADDRESS(305,22+MATCH($P$27,'I.A. + Fasce'!$W$84:$AA$84,0),1,1))/Asta!$H$3)</f>
        <v>13</v>
      </c>
    </row>
    <row r="232" spans="1:28" ht="14.25" customHeight="1">
      <c r="A232" s="238" t="str">
        <f ca="1">IF(Giocatori!G217="","D",Giocatori!G217)</f>
        <v>D</v>
      </c>
      <c r="B232" s="238" t="str">
        <f ca="1">IF(Giocatori!H156="","ZZZ" &amp; ROW(),Giocatori!H156)</f>
        <v>PISACANE</v>
      </c>
      <c r="C232" s="238" t="str">
        <f ca="1">IF(Giocatori!I156="","NDR" &amp; ROW(),Giocatori!I156)</f>
        <v>Cagliari</v>
      </c>
      <c r="D232" s="63">
        <f t="shared" ca="1" si="90"/>
        <v>73.002319999999997</v>
      </c>
      <c r="E232" s="63">
        <f t="shared" ca="1" si="91"/>
        <v>39.002319999999997</v>
      </c>
      <c r="F232" s="64">
        <f t="shared" ca="1" si="92"/>
        <v>68.68114804485333</v>
      </c>
      <c r="G232" s="63" t="str">
        <f t="shared" ca="1" si="93"/>
        <v/>
      </c>
      <c r="H232" s="65">
        <f t="shared" ca="1" si="94"/>
        <v>70</v>
      </c>
      <c r="I232" s="63" t="str">
        <f t="shared" ca="1" si="95"/>
        <v/>
      </c>
      <c r="J232" s="63">
        <f t="shared" ca="1" si="96"/>
        <v>1.2720805944828149</v>
      </c>
      <c r="K232" s="63">
        <f t="shared" ca="1" si="97"/>
        <v>1.0023200000000001</v>
      </c>
      <c r="L232" s="324" t="e">
        <f ca="1">VLOOKUP(Tabella113[[#This Row],[Calciatore]],'Raccolta Aste'!$F$2:$J$33,4,FALSE)*Asta!$U$3/100</f>
        <v>#N/A</v>
      </c>
      <c r="N232" s="58"/>
      <c r="O232" s="58"/>
      <c r="P232" s="58"/>
      <c r="Q232" s="58"/>
      <c r="R232" s="58"/>
      <c r="S232" s="58"/>
      <c r="U232" s="311"/>
      <c r="V232" s="311"/>
      <c r="W232" s="56">
        <f t="shared" ca="1" si="98"/>
        <v>65</v>
      </c>
      <c r="X232" s="56">
        <f t="shared" ca="1" si="99"/>
        <v>60</v>
      </c>
      <c r="Y232" s="56">
        <f t="shared" ca="1" si="100"/>
        <v>63</v>
      </c>
      <c r="Z232" s="56">
        <f t="shared" ca="1" si="101"/>
        <v>72</v>
      </c>
      <c r="AA232" s="56">
        <f t="shared" ca="1" si="102"/>
        <v>95</v>
      </c>
      <c r="AB232" s="56">
        <f ca="1">_xlfn.CEILING.MATH(INDIRECT(ADDRESS(85,22+MATCH($P$27,'I.A. + Fasce'!$W$84:$AA$84,0),1,1) &amp; ":" &amp; ADDRESS(305,22+MATCH($P$27,'I.A. + Fasce'!$W$84:$AA$84,0),1,1))/Asta!$H$3)</f>
        <v>8</v>
      </c>
    </row>
    <row r="233" spans="1:28" ht="14.25" customHeight="1">
      <c r="A233" s="238" t="str">
        <f ca="1">IF(Giocatori!G218="","D",Giocatori!G218)</f>
        <v>D</v>
      </c>
      <c r="B233" s="238" t="str">
        <f ca="1">IF(Giocatori!H157="","ZZZ" &amp; ROW(),Giocatori!H157)</f>
        <v>RADU</v>
      </c>
      <c r="C233" s="238" t="str">
        <f ca="1">IF(Giocatori!I157="","NDR" &amp; ROW(),Giocatori!I157)</f>
        <v>Lazio</v>
      </c>
      <c r="D233" s="63">
        <f t="shared" ca="1" si="90"/>
        <v>71.002330000000001</v>
      </c>
      <c r="E233" s="63">
        <f t="shared" ca="1" si="91"/>
        <v>35.002330000000001</v>
      </c>
      <c r="F233" s="64">
        <f t="shared" ca="1" si="92"/>
        <v>63.214352545240835</v>
      </c>
      <c r="G233" s="63" t="str">
        <f t="shared" ca="1" si="93"/>
        <v/>
      </c>
      <c r="H233" s="65">
        <f t="shared" ca="1" si="94"/>
        <v>60</v>
      </c>
      <c r="I233" s="63" t="str">
        <f t="shared" ca="1" si="95"/>
        <v/>
      </c>
      <c r="J233" s="63">
        <f t="shared" ca="1" si="96"/>
        <v>1.0023299999999999</v>
      </c>
      <c r="K233" s="63">
        <f t="shared" ca="1" si="97"/>
        <v>1.0023299999999999</v>
      </c>
      <c r="L233" s="324" t="e">
        <f ca="1">VLOOKUP(Tabella113[[#This Row],[Calciatore]],'Raccolta Aste'!$F$2:$J$33,4,FALSE)*Asta!$U$3/100</f>
        <v>#N/A</v>
      </c>
      <c r="N233" s="58"/>
      <c r="O233" s="58"/>
      <c r="P233" s="58"/>
      <c r="Q233" s="58"/>
      <c r="R233" s="58"/>
      <c r="S233" s="58"/>
      <c r="U233" s="311"/>
      <c r="V233" s="311"/>
      <c r="W233" s="56">
        <f t="shared" ca="1" si="98"/>
        <v>77</v>
      </c>
      <c r="X233" s="56">
        <f t="shared" ca="1" si="99"/>
        <v>114</v>
      </c>
      <c r="Y233" s="56">
        <f t="shared" ca="1" si="100"/>
        <v>100</v>
      </c>
      <c r="Z233" s="56">
        <f t="shared" ca="1" si="101"/>
        <v>98</v>
      </c>
      <c r="AA233" s="56">
        <f t="shared" ca="1" si="102"/>
        <v>94</v>
      </c>
      <c r="AB233" s="56">
        <f ca="1">_xlfn.CEILING.MATH(INDIRECT(ADDRESS(85,22+MATCH($P$27,'I.A. + Fasce'!$W$84:$AA$84,0),1,1) &amp; ":" &amp; ADDRESS(305,22+MATCH($P$27,'I.A. + Fasce'!$W$84:$AA$84,0),1,1))/Asta!$H$3)</f>
        <v>15</v>
      </c>
    </row>
    <row r="234" spans="1:28" ht="14.25" customHeight="1">
      <c r="A234" s="238" t="str">
        <f ca="1">IF(Giocatori!G219="","D",Giocatori!G219)</f>
        <v>D</v>
      </c>
      <c r="B234" s="238" t="str">
        <f ca="1">IF(Giocatori!H158="","ZZZ" &amp; ROW(),Giocatori!H158)</f>
        <v>RANOCCHIA</v>
      </c>
      <c r="C234" s="238" t="str">
        <f ca="1">IF(Giocatori!I158="","NDR" &amp; ROW(),Giocatori!I158)</f>
        <v>Inter</v>
      </c>
      <c r="D234" s="63">
        <f t="shared" ca="1" si="90"/>
        <v>63.002339999999997</v>
      </c>
      <c r="E234" s="63">
        <f t="shared" ca="1" si="91"/>
        <v>32.002339999999997</v>
      </c>
      <c r="F234" s="64">
        <f t="shared" ca="1" si="92"/>
        <v>56.039261378963324</v>
      </c>
      <c r="G234" s="63" t="str">
        <f t="shared" ca="1" si="93"/>
        <v/>
      </c>
      <c r="H234" s="65">
        <f t="shared" ca="1" si="94"/>
        <v>50</v>
      </c>
      <c r="I234" s="63" t="str">
        <f t="shared" ca="1" si="95"/>
        <v/>
      </c>
      <c r="J234" s="63">
        <f t="shared" ca="1" si="96"/>
        <v>1.00234</v>
      </c>
      <c r="K234" s="63">
        <f t="shared" ca="1" si="97"/>
        <v>1.00234</v>
      </c>
      <c r="L234" s="324" t="e">
        <f ca="1">VLOOKUP(Tabella113[[#This Row],[Calciatore]],'Raccolta Aste'!$F$2:$J$33,4,FALSE)*Asta!$U$3/100</f>
        <v>#N/A</v>
      </c>
      <c r="N234" s="58"/>
      <c r="O234" s="58"/>
      <c r="P234" s="58"/>
      <c r="Q234" s="58"/>
      <c r="R234" s="58"/>
      <c r="S234" s="58"/>
      <c r="U234" s="311"/>
      <c r="V234" s="311"/>
      <c r="W234" s="56">
        <f t="shared" ca="1" si="98"/>
        <v>144</v>
      </c>
      <c r="X234" s="56">
        <f t="shared" ca="1" si="99"/>
        <v>152</v>
      </c>
      <c r="Y234" s="56">
        <f t="shared" ca="1" si="100"/>
        <v>150</v>
      </c>
      <c r="Z234" s="56">
        <f t="shared" ca="1" si="101"/>
        <v>97</v>
      </c>
      <c r="AA234" s="56">
        <f t="shared" ca="1" si="102"/>
        <v>93</v>
      </c>
      <c r="AB234" s="56">
        <f ca="1">_xlfn.CEILING.MATH(INDIRECT(ADDRESS(85,22+MATCH($P$27,'I.A. + Fasce'!$W$84:$AA$84,0),1,1) &amp; ":" &amp; ADDRESS(305,22+MATCH($P$27,'I.A. + Fasce'!$W$84:$AA$84,0),1,1))/Asta!$H$3)</f>
        <v>19</v>
      </c>
    </row>
    <row r="235" spans="1:28" ht="14.25" customHeight="1">
      <c r="A235" s="238" t="str">
        <f ca="1">IF(Giocatori!G220="","D",Giocatori!G220)</f>
        <v>D</v>
      </c>
      <c r="B235" s="238" t="str">
        <f ca="1">IF(Giocatori!H159="","ZZZ" &amp; ROW(),Giocatori!H159)</f>
        <v>REGINI</v>
      </c>
      <c r="C235" s="238" t="str">
        <f ca="1">IF(Giocatori!I159="","NDR" &amp; ROW(),Giocatori!I159)</f>
        <v>Sampdoria</v>
      </c>
      <c r="D235" s="63">
        <f t="shared" ca="1" si="90"/>
        <v>71.002350000000007</v>
      </c>
      <c r="E235" s="63">
        <f t="shared" ca="1" si="91"/>
        <v>33.00235</v>
      </c>
      <c r="F235" s="64">
        <f t="shared" ca="1" si="92"/>
        <v>61.080992546020838</v>
      </c>
      <c r="G235" s="63" t="str">
        <f t="shared" ca="1" si="93"/>
        <v>SCONSIGLIATO</v>
      </c>
      <c r="H235" s="65">
        <f t="shared" ca="1" si="94"/>
        <v>50</v>
      </c>
      <c r="I235" s="63" t="str">
        <f t="shared" ca="1" si="95"/>
        <v/>
      </c>
      <c r="J235" s="63">
        <f t="shared" ca="1" si="96"/>
        <v>1.0023500000000001</v>
      </c>
      <c r="K235" s="63">
        <f t="shared" ca="1" si="97"/>
        <v>1.0023500000000001</v>
      </c>
      <c r="L235" s="324" t="e">
        <f ca="1">VLOOKUP(Tabella113[[#This Row],[Calciatore]],'Raccolta Aste'!$F$2:$J$33,4,FALSE)*Asta!$U$3/100</f>
        <v>#N/A</v>
      </c>
      <c r="N235" s="58"/>
      <c r="O235" s="58"/>
      <c r="P235" s="58"/>
      <c r="Q235" s="58"/>
      <c r="R235" s="58"/>
      <c r="S235" s="58"/>
      <c r="U235" s="311"/>
      <c r="V235" s="311"/>
      <c r="W235" s="56">
        <f t="shared" ca="1" si="98"/>
        <v>76</v>
      </c>
      <c r="X235" s="56">
        <f t="shared" ca="1" si="99"/>
        <v>143</v>
      </c>
      <c r="Y235" s="56">
        <f t="shared" ca="1" si="100"/>
        <v>117</v>
      </c>
      <c r="Z235" s="56">
        <f t="shared" ca="1" si="101"/>
        <v>96</v>
      </c>
      <c r="AA235" s="56">
        <f t="shared" ca="1" si="102"/>
        <v>92</v>
      </c>
      <c r="AB235" s="56">
        <f ca="1">_xlfn.CEILING.MATH(INDIRECT(ADDRESS(85,22+MATCH($P$27,'I.A. + Fasce'!$W$84:$AA$84,0),1,1) &amp; ":" &amp; ADDRESS(305,22+MATCH($P$27,'I.A. + Fasce'!$W$84:$AA$84,0),1,1))/Asta!$H$3)</f>
        <v>18</v>
      </c>
    </row>
    <row r="236" spans="1:28" ht="14.25" customHeight="1">
      <c r="A236" s="238" t="str">
        <f ca="1">IF(Giocatori!G221="","D",Giocatori!G221)</f>
        <v>D</v>
      </c>
      <c r="B236" s="238" t="str">
        <f ca="1">IF(Giocatori!H160="","ZZZ" &amp; ROW(),Giocatori!H160)</f>
        <v>RODRIGUEZ R</v>
      </c>
      <c r="C236" s="238" t="str">
        <f ca="1">IF(Giocatori!I160="","NDR" &amp; ROW(),Giocatori!I160)</f>
        <v>Milan</v>
      </c>
      <c r="D236" s="63">
        <f t="shared" ca="1" si="90"/>
        <v>86.002359999999996</v>
      </c>
      <c r="E236" s="63">
        <f t="shared" ca="1" si="91"/>
        <v>47.002360000000003</v>
      </c>
      <c r="F236" s="64">
        <f t="shared" ca="1" si="92"/>
        <v>84.914902046413317</v>
      </c>
      <c r="G236" s="63" t="str">
        <f t="shared" ca="1" si="93"/>
        <v>CONSIGLIATO</v>
      </c>
      <c r="H236" s="65">
        <f t="shared" ca="1" si="94"/>
        <v>80</v>
      </c>
      <c r="I236" s="63" t="str">
        <f t="shared" ca="1" si="95"/>
        <v xml:space="preserve">4P </v>
      </c>
      <c r="J236" s="63">
        <f t="shared" ca="1" si="96"/>
        <v>18.23693834884806</v>
      </c>
      <c r="K236" s="63">
        <f t="shared" ca="1" si="97"/>
        <v>18.3335734893286</v>
      </c>
      <c r="L236" s="324">
        <f ca="1">VLOOKUP(Tabella113[[#This Row],[Calciatore]],'Raccolta Aste'!$F$2:$J$33,4,FALSE)*Asta!$U$3/100</f>
        <v>21.734999999999999</v>
      </c>
      <c r="N236" s="58"/>
      <c r="O236" s="58"/>
      <c r="P236" s="58"/>
      <c r="Q236" s="58"/>
      <c r="R236" s="58"/>
      <c r="S236" s="58"/>
      <c r="U236" s="311"/>
      <c r="V236" s="311"/>
      <c r="W236" s="56">
        <f t="shared" ca="1" si="98"/>
        <v>14</v>
      </c>
      <c r="X236" s="56">
        <f t="shared" ca="1" si="99"/>
        <v>6</v>
      </c>
      <c r="Y236" s="56">
        <f t="shared" ca="1" si="100"/>
        <v>8</v>
      </c>
      <c r="Z236" s="56">
        <f t="shared" ca="1" si="101"/>
        <v>7</v>
      </c>
      <c r="AA236" s="56">
        <f t="shared" ca="1" si="102"/>
        <v>7</v>
      </c>
      <c r="AB236" s="56">
        <f ca="1">_xlfn.CEILING.MATH(INDIRECT(ADDRESS(85,22+MATCH($P$27,'I.A. + Fasce'!$W$84:$AA$84,0),1,1) &amp; ":" &amp; ADDRESS(305,22+MATCH($P$27,'I.A. + Fasce'!$W$84:$AA$84,0),1,1))/Asta!$H$3)</f>
        <v>1</v>
      </c>
    </row>
    <row r="237" spans="1:28" ht="14.25" customHeight="1">
      <c r="A237" s="238" t="str">
        <f ca="1">IF(Giocatori!G222="","D",Giocatori!G222)</f>
        <v>D</v>
      </c>
      <c r="B237" s="238" t="str">
        <f ca="1">IF(Giocatori!H161="","ZZZ" &amp; ROW(),Giocatori!H161)</f>
        <v>ROGERIO</v>
      </c>
      <c r="C237" s="238" t="str">
        <f ca="1">IF(Giocatori!I161="","NDR" &amp; ROW(),Giocatori!I161)</f>
        <v>Sassuolo</v>
      </c>
      <c r="D237" s="63">
        <f t="shared" ca="1" si="90"/>
        <v>59.002369999999999</v>
      </c>
      <c r="E237" s="63">
        <f t="shared" ca="1" si="91"/>
        <v>32.002369999999999</v>
      </c>
      <c r="F237" s="64">
        <f t="shared" ca="1" si="92"/>
        <v>54.039337380140829</v>
      </c>
      <c r="G237" s="63" t="str">
        <f t="shared" ca="1" si="93"/>
        <v/>
      </c>
      <c r="H237" s="65">
        <f t="shared" ca="1" si="94"/>
        <v>50</v>
      </c>
      <c r="I237" s="63" t="str">
        <f t="shared" ca="1" si="95"/>
        <v/>
      </c>
      <c r="J237" s="63">
        <f t="shared" ca="1" si="96"/>
        <v>1.00237</v>
      </c>
      <c r="K237" s="63">
        <f t="shared" ca="1" si="97"/>
        <v>1.00237</v>
      </c>
      <c r="L237" s="324" t="e">
        <f ca="1">VLOOKUP(Tabella113[[#This Row],[Calciatore]],'Raccolta Aste'!$F$2:$J$33,4,FALSE)*Asta!$U$3/100</f>
        <v>#N/A</v>
      </c>
      <c r="N237" s="58"/>
      <c r="O237" s="58"/>
      <c r="P237" s="58"/>
      <c r="Q237" s="58"/>
      <c r="R237" s="58"/>
      <c r="S237" s="58"/>
      <c r="U237" s="311"/>
      <c r="V237" s="311"/>
      <c r="W237" s="56">
        <f t="shared" ca="1" si="98"/>
        <v>159</v>
      </c>
      <c r="X237" s="56">
        <f t="shared" ca="1" si="99"/>
        <v>151</v>
      </c>
      <c r="Y237" s="56">
        <f t="shared" ca="1" si="100"/>
        <v>157</v>
      </c>
      <c r="Z237" s="56">
        <f t="shared" ca="1" si="101"/>
        <v>95</v>
      </c>
      <c r="AA237" s="56">
        <f t="shared" ca="1" si="102"/>
        <v>91</v>
      </c>
      <c r="AB237" s="56">
        <f ca="1">_xlfn.CEILING.MATH(INDIRECT(ADDRESS(85,22+MATCH($P$27,'I.A. + Fasce'!$W$84:$AA$84,0),1,1) &amp; ":" &amp; ADDRESS(305,22+MATCH($P$27,'I.A. + Fasce'!$W$84:$AA$84,0),1,1))/Asta!$H$3)</f>
        <v>19</v>
      </c>
    </row>
    <row r="238" spans="1:28" ht="14.25" customHeight="1">
      <c r="A238" s="238" t="str">
        <f ca="1">IF(Giocatori!G223="","D",Giocatori!G223)</f>
        <v>D</v>
      </c>
      <c r="B238" s="238" t="str">
        <f ca="1">IF(Giocatori!H162="","ZZZ" &amp; ROW(),Giocatori!H162)</f>
        <v>ROMAGNA</v>
      </c>
      <c r="C238" s="238" t="str">
        <f ca="1">IF(Giocatori!I162="","NDR" &amp; ROW(),Giocatori!I162)</f>
        <v>Cagliari</v>
      </c>
      <c r="D238" s="63">
        <f t="shared" ca="1" si="90"/>
        <v>55.002380000000002</v>
      </c>
      <c r="E238" s="63">
        <f t="shared" ca="1" si="91"/>
        <v>32.002380000000002</v>
      </c>
      <c r="F238" s="64">
        <f t="shared" ca="1" si="92"/>
        <v>52.039362713870005</v>
      </c>
      <c r="G238" s="63" t="str">
        <f t="shared" ca="1" si="93"/>
        <v/>
      </c>
      <c r="H238" s="65">
        <f t="shared" ca="1" si="94"/>
        <v>40</v>
      </c>
      <c r="I238" s="63" t="str">
        <f t="shared" ca="1" si="95"/>
        <v/>
      </c>
      <c r="J238" s="63">
        <f t="shared" ca="1" si="96"/>
        <v>1.00238</v>
      </c>
      <c r="K238" s="63">
        <f t="shared" ca="1" si="97"/>
        <v>1.00238</v>
      </c>
      <c r="L238" s="324" t="e">
        <f ca="1">VLOOKUP(Tabella113[[#This Row],[Calciatore]],'Raccolta Aste'!$F$2:$J$33,4,FALSE)*Asta!$U$3/100</f>
        <v>#N/A</v>
      </c>
      <c r="N238" s="58"/>
      <c r="O238" s="58"/>
      <c r="P238" s="58"/>
      <c r="Q238" s="58"/>
      <c r="R238" s="58"/>
      <c r="S238" s="58"/>
      <c r="U238" s="311"/>
      <c r="V238" s="311"/>
      <c r="W238" s="56">
        <f t="shared" ca="1" si="98"/>
        <v>170</v>
      </c>
      <c r="X238" s="56">
        <f t="shared" ca="1" si="99"/>
        <v>150</v>
      </c>
      <c r="Y238" s="56">
        <f t="shared" ca="1" si="100"/>
        <v>164</v>
      </c>
      <c r="Z238" s="56">
        <f t="shared" ca="1" si="101"/>
        <v>94</v>
      </c>
      <c r="AA238" s="56">
        <f t="shared" ca="1" si="102"/>
        <v>90</v>
      </c>
      <c r="AB238" s="56">
        <f ca="1">_xlfn.CEILING.MATH(INDIRECT(ADDRESS(85,22+MATCH($P$27,'I.A. + Fasce'!$W$84:$AA$84,0),1,1) &amp; ":" &amp; ADDRESS(305,22+MATCH($P$27,'I.A. + Fasce'!$W$84:$AA$84,0),1,1))/Asta!$H$3)</f>
        <v>19</v>
      </c>
    </row>
    <row r="239" spans="1:28" ht="14.25" customHeight="1">
      <c r="A239" s="238" t="str">
        <f ca="1">IF(Giocatori!G224="","D",Giocatori!G224)</f>
        <v>D</v>
      </c>
      <c r="B239" s="238" t="str">
        <f ca="1">IF(Giocatori!H163="","ZZZ" &amp; ROW(),Giocatori!H163)</f>
        <v>ROMAGNOLI A</v>
      </c>
      <c r="C239" s="238" t="str">
        <f ca="1">IF(Giocatori!I163="","NDR" &amp; ROW(),Giocatori!I163)</f>
        <v>Milan</v>
      </c>
      <c r="D239" s="63">
        <f t="shared" ca="1" si="90"/>
        <v>79.002390000000005</v>
      </c>
      <c r="E239" s="63">
        <f t="shared" ca="1" si="91"/>
        <v>43.002389999999998</v>
      </c>
      <c r="F239" s="64">
        <f t="shared" ca="1" si="92"/>
        <v>76.414826214267507</v>
      </c>
      <c r="G239" s="63" t="str">
        <f t="shared" ca="1" si="93"/>
        <v>SORPRESA</v>
      </c>
      <c r="H239" s="65">
        <f t="shared" ca="1" si="94"/>
        <v>80</v>
      </c>
      <c r="I239" s="63" t="str">
        <f t="shared" ca="1" si="95"/>
        <v/>
      </c>
      <c r="J239" s="63">
        <f t="shared" ca="1" si="96"/>
        <v>11.798196067816761</v>
      </c>
      <c r="K239" s="63">
        <f t="shared" ca="1" si="97"/>
        <v>11.750007048190344</v>
      </c>
      <c r="L239" s="324">
        <f ca="1">VLOOKUP(Tabella113[[#This Row],[Calciatore]],'Raccolta Aste'!$F$2:$J$33,4,FALSE)*Asta!$U$3/100</f>
        <v>9.24</v>
      </c>
      <c r="N239" s="58"/>
      <c r="O239" s="58"/>
      <c r="P239" s="58"/>
      <c r="Q239" s="58"/>
      <c r="R239" s="58"/>
      <c r="S239" s="58"/>
      <c r="U239" s="311"/>
      <c r="V239" s="311"/>
      <c r="W239" s="56">
        <f t="shared" ca="1" si="98"/>
        <v>26</v>
      </c>
      <c r="X239" s="56">
        <f t="shared" ca="1" si="99"/>
        <v>15</v>
      </c>
      <c r="Y239" s="56">
        <f t="shared" ca="1" si="100"/>
        <v>22</v>
      </c>
      <c r="Z239" s="56">
        <f t="shared" ca="1" si="101"/>
        <v>17</v>
      </c>
      <c r="AA239" s="56">
        <f t="shared" ca="1" si="102"/>
        <v>17</v>
      </c>
      <c r="AB239" s="56">
        <f ca="1">_xlfn.CEILING.MATH(INDIRECT(ADDRESS(85,22+MATCH($P$27,'I.A. + Fasce'!$W$84:$AA$84,0),1,1) &amp; ":" &amp; ADDRESS(305,22+MATCH($P$27,'I.A. + Fasce'!$W$84:$AA$84,0),1,1))/Asta!$H$3)</f>
        <v>2</v>
      </c>
    </row>
    <row r="240" spans="1:28" ht="14.25" customHeight="1">
      <c r="A240" s="238" t="str">
        <f ca="1">IF(Giocatori!G225="","D",Giocatori!G225)</f>
        <v>D</v>
      </c>
      <c r="B240" s="238" t="str">
        <f ca="1">IF(Giocatori!H164="","ZZZ" &amp; ROW(),Giocatori!H164)</f>
        <v>ROMULO</v>
      </c>
      <c r="C240" s="238" t="str">
        <f ca="1">IF(Giocatori!I164="","NDR" &amp; ROW(),Giocatori!I164)</f>
        <v>Verona</v>
      </c>
      <c r="D240" s="63">
        <f t="shared" ca="1" si="90"/>
        <v>80.002399999999994</v>
      </c>
      <c r="E240" s="63">
        <f t="shared" ca="1" si="91"/>
        <v>43.002400000000002</v>
      </c>
      <c r="F240" s="64">
        <f t="shared" ca="1" si="92"/>
        <v>76.914853381333316</v>
      </c>
      <c r="G240" s="63" t="str">
        <f t="shared" ca="1" si="93"/>
        <v>CONSIGLIATO</v>
      </c>
      <c r="H240" s="65">
        <f t="shared" ca="1" si="94"/>
        <v>80</v>
      </c>
      <c r="I240" s="63" t="str">
        <f t="shared" ca="1" si="95"/>
        <v>2A</v>
      </c>
      <c r="J240" s="63">
        <f t="shared" ca="1" si="96"/>
        <v>7.5790262900407033</v>
      </c>
      <c r="K240" s="63">
        <f t="shared" ca="1" si="97"/>
        <v>7.6570739322097001</v>
      </c>
      <c r="L240" s="324" t="e">
        <f ca="1">VLOOKUP(Tabella113[[#This Row],[Calciatore]],'Raccolta Aste'!$F$2:$J$33,4,FALSE)*Asta!$U$3/100</f>
        <v>#N/A</v>
      </c>
      <c r="N240" s="58"/>
      <c r="O240" s="58"/>
      <c r="P240" s="58"/>
      <c r="Q240" s="58"/>
      <c r="R240" s="58"/>
      <c r="S240" s="58"/>
      <c r="U240" s="311"/>
      <c r="V240" s="311"/>
      <c r="W240" s="56">
        <f t="shared" ca="1" si="98"/>
        <v>24</v>
      </c>
      <c r="X240" s="56">
        <f t="shared" ca="1" si="99"/>
        <v>14</v>
      </c>
      <c r="Y240" s="56">
        <f t="shared" ca="1" si="100"/>
        <v>19</v>
      </c>
      <c r="Z240" s="56">
        <f t="shared" ca="1" si="101"/>
        <v>34</v>
      </c>
      <c r="AA240" s="56">
        <f t="shared" ca="1" si="102"/>
        <v>33</v>
      </c>
      <c r="AB240" s="56">
        <f ca="1">_xlfn.CEILING.MATH(INDIRECT(ADDRESS(85,22+MATCH($P$27,'I.A. + Fasce'!$W$84:$AA$84,0),1,1) &amp; ":" &amp; ADDRESS(305,22+MATCH($P$27,'I.A. + Fasce'!$W$84:$AA$84,0),1,1))/Asta!$H$3)</f>
        <v>2</v>
      </c>
    </row>
    <row r="241" spans="1:28" ht="14.25" customHeight="1">
      <c r="A241" s="238" t="str">
        <f ca="1">IF(Giocatori!G226="","D",Giocatori!G226)</f>
        <v>D</v>
      </c>
      <c r="B241" s="238" t="str">
        <f ca="1">IF(Giocatori!H165="","ZZZ" &amp; ROW(),Giocatori!H165)</f>
        <v>ROSI</v>
      </c>
      <c r="C241" s="238" t="str">
        <f ca="1">IF(Giocatori!I165="","NDR" &amp; ROW(),Giocatori!I165)</f>
        <v>Genoa</v>
      </c>
      <c r="D241" s="63">
        <f t="shared" ca="1" si="90"/>
        <v>66.002409999999998</v>
      </c>
      <c r="E241" s="63">
        <f t="shared" ca="1" si="91"/>
        <v>35.002409999999998</v>
      </c>
      <c r="F241" s="64">
        <f t="shared" ca="1" si="92"/>
        <v>60.714559215067489</v>
      </c>
      <c r="G241" s="63" t="str">
        <f t="shared" ca="1" si="93"/>
        <v/>
      </c>
      <c r="H241" s="65">
        <f t="shared" ca="1" si="94"/>
        <v>50</v>
      </c>
      <c r="I241" s="63" t="str">
        <f t="shared" ca="1" si="95"/>
        <v/>
      </c>
      <c r="J241" s="63">
        <f t="shared" ca="1" si="96"/>
        <v>1.00241</v>
      </c>
      <c r="K241" s="63">
        <f t="shared" ca="1" si="97"/>
        <v>1.00241</v>
      </c>
      <c r="L241" s="324" t="e">
        <f ca="1">VLOOKUP(Tabella113[[#This Row],[Calciatore]],'Raccolta Aste'!$F$2:$J$33,4,FALSE)*Asta!$U$3/100</f>
        <v>#N/A</v>
      </c>
      <c r="N241" s="58"/>
      <c r="O241" s="547" t="s">
        <v>704</v>
      </c>
      <c r="P241" s="547"/>
      <c r="Q241" s="58"/>
      <c r="R241" s="58"/>
      <c r="S241" s="58"/>
      <c r="U241" s="311"/>
      <c r="V241" s="311"/>
      <c r="W241" s="56">
        <f t="shared" ca="1" si="98"/>
        <v>124</v>
      </c>
      <c r="X241" s="56">
        <f t="shared" ca="1" si="99"/>
        <v>113</v>
      </c>
      <c r="Y241" s="56">
        <f t="shared" ca="1" si="100"/>
        <v>119</v>
      </c>
      <c r="Z241" s="56">
        <f t="shared" ca="1" si="101"/>
        <v>93</v>
      </c>
      <c r="AA241" s="56">
        <f t="shared" ca="1" si="102"/>
        <v>89</v>
      </c>
      <c r="AB241" s="56">
        <f ca="1">_xlfn.CEILING.MATH(INDIRECT(ADDRESS(85,22+MATCH($P$27,'I.A. + Fasce'!$W$84:$AA$84,0),1,1) &amp; ":" &amp; ADDRESS(305,22+MATCH($P$27,'I.A. + Fasce'!$W$84:$AA$84,0),1,1))/Asta!$H$3)</f>
        <v>15</v>
      </c>
    </row>
    <row r="242" spans="1:28" ht="14.25" customHeight="1">
      <c r="A242" s="238" t="str">
        <f ca="1">IF(Giocatori!G227="","D",Giocatori!G227)</f>
        <v>D</v>
      </c>
      <c r="B242" s="238" t="str">
        <f ca="1">IF(Giocatori!H166="","ZZZ" &amp; ROW(),Giocatori!H166)</f>
        <v>ROSSETTINI</v>
      </c>
      <c r="C242" s="238" t="str">
        <f ca="1">IF(Giocatori!I166="","NDR" &amp; ROW(),Giocatori!I166)</f>
        <v>Genoa</v>
      </c>
      <c r="D242" s="63">
        <f t="shared" ca="1" si="90"/>
        <v>71.002420000000001</v>
      </c>
      <c r="E242" s="63">
        <f t="shared" ca="1" si="91"/>
        <v>40.002420000000001</v>
      </c>
      <c r="F242" s="64">
        <f t="shared" ca="1" si="92"/>
        <v>68.839786715469998</v>
      </c>
      <c r="G242" s="63" t="str">
        <f t="shared" ca="1" si="93"/>
        <v/>
      </c>
      <c r="H242" s="65">
        <f t="shared" ca="1" si="94"/>
        <v>70</v>
      </c>
      <c r="I242" s="63" t="str">
        <f t="shared" ca="1" si="95"/>
        <v/>
      </c>
      <c r="J242" s="63">
        <f t="shared" ca="1" si="96"/>
        <v>3.5109962442990357</v>
      </c>
      <c r="K242" s="63">
        <f t="shared" ca="1" si="97"/>
        <v>2.6747840480895944</v>
      </c>
      <c r="L242" s="324" t="e">
        <f ca="1">VLOOKUP(Tabella113[[#This Row],[Calciatore]],'Raccolta Aste'!$F$2:$J$33,4,FALSE)*Asta!$U$3/100</f>
        <v>#N/A</v>
      </c>
      <c r="N242" s="58"/>
      <c r="O242" s="58"/>
      <c r="P242" s="58"/>
      <c r="Q242" s="58"/>
      <c r="R242" s="58"/>
      <c r="S242" s="58"/>
      <c r="U242" s="311"/>
      <c r="V242" s="311"/>
      <c r="W242" s="56">
        <f t="shared" ca="1" si="98"/>
        <v>75</v>
      </c>
      <c r="X242" s="56">
        <f t="shared" ca="1" si="99"/>
        <v>52</v>
      </c>
      <c r="Y242" s="56">
        <f t="shared" ca="1" si="100"/>
        <v>62</v>
      </c>
      <c r="Z242" s="56">
        <f t="shared" ca="1" si="101"/>
        <v>56</v>
      </c>
      <c r="AA242" s="56">
        <f t="shared" ca="1" si="102"/>
        <v>61</v>
      </c>
      <c r="AB242" s="56">
        <f ca="1">_xlfn.CEILING.MATH(INDIRECT(ADDRESS(85,22+MATCH($P$27,'I.A. + Fasce'!$W$84:$AA$84,0),1,1) &amp; ":" &amp; ADDRESS(305,22+MATCH($P$27,'I.A. + Fasce'!$W$84:$AA$84,0),1,1))/Asta!$H$3)</f>
        <v>7</v>
      </c>
    </row>
    <row r="243" spans="1:28" ht="14.25" customHeight="1">
      <c r="A243" s="238" t="str">
        <f ca="1">IF(Giocatori!G228="","D",Giocatori!G228)</f>
        <v>D</v>
      </c>
      <c r="B243" s="238" t="str">
        <f ca="1">IF(Giocatori!H167="","ZZZ" &amp; ROW(),Giocatori!H167)</f>
        <v>RUGANI</v>
      </c>
      <c r="C243" s="238" t="str">
        <f ca="1">IF(Giocatori!I167="","NDR" &amp; ROW(),Giocatori!I167)</f>
        <v>Juventus</v>
      </c>
      <c r="D243" s="63">
        <f t="shared" ca="1" si="90"/>
        <v>84.002430000000004</v>
      </c>
      <c r="E243" s="63">
        <f t="shared" ca="1" si="91"/>
        <v>43.002429999999997</v>
      </c>
      <c r="F243" s="64">
        <f t="shared" ca="1" si="92"/>
        <v>78.914934882540834</v>
      </c>
      <c r="G243" s="63" t="str">
        <f t="shared" ca="1" si="93"/>
        <v/>
      </c>
      <c r="H243" s="65">
        <f t="shared" ca="1" si="94"/>
        <v>60</v>
      </c>
      <c r="I243" s="63" t="str">
        <f t="shared" ca="1" si="95"/>
        <v/>
      </c>
      <c r="J243" s="63">
        <f t="shared" ca="1" si="96"/>
        <v>16.501289805671227</v>
      </c>
      <c r="K243" s="63">
        <f t="shared" ca="1" si="97"/>
        <v>17.198609843187871</v>
      </c>
      <c r="L243" s="324">
        <f ca="1">VLOOKUP(Tabella113[[#This Row],[Calciatore]],'Raccolta Aste'!$F$2:$J$33,4,FALSE)*Asta!$U$3/100</f>
        <v>9.4149999999999991</v>
      </c>
      <c r="N243" s="58"/>
      <c r="O243" s="58"/>
      <c r="P243" s="58"/>
      <c r="Q243" s="58"/>
      <c r="R243" s="58"/>
      <c r="S243" s="58"/>
      <c r="U243" s="311"/>
      <c r="V243" s="311"/>
      <c r="W243" s="56">
        <f t="shared" ca="1" si="98"/>
        <v>15</v>
      </c>
      <c r="X243" s="56">
        <f t="shared" ca="1" si="99"/>
        <v>13</v>
      </c>
      <c r="Y243" s="56">
        <f t="shared" ca="1" si="100"/>
        <v>16</v>
      </c>
      <c r="Z243" s="56">
        <f t="shared" ca="1" si="101"/>
        <v>10</v>
      </c>
      <c r="AA243" s="56">
        <f t="shared" ca="1" si="102"/>
        <v>10</v>
      </c>
      <c r="AB243" s="56">
        <f ca="1">_xlfn.CEILING.MATH(INDIRECT(ADDRESS(85,22+MATCH($P$27,'I.A. + Fasce'!$W$84:$AA$84,0),1,1) &amp; ":" &amp; ADDRESS(305,22+MATCH($P$27,'I.A. + Fasce'!$W$84:$AA$84,0),1,1))/Asta!$H$3)</f>
        <v>2</v>
      </c>
    </row>
    <row r="244" spans="1:28" ht="14.25" customHeight="1">
      <c r="A244" s="238" t="str">
        <f>IF(Giocatori!G229="","D",Giocatori!G229)</f>
        <v>D</v>
      </c>
      <c r="B244" s="238" t="str">
        <f ca="1">IF(Giocatori!H168="","ZZZ" &amp; ROW(),Giocatori!H168)</f>
        <v>SALA</v>
      </c>
      <c r="C244" s="238" t="str">
        <f ca="1">IF(Giocatori!I168="","NDR" &amp; ROW(),Giocatori!I168)</f>
        <v>Sampdoria</v>
      </c>
      <c r="D244" s="63">
        <f t="shared" ca="1" si="90"/>
        <v>69.002440000000007</v>
      </c>
      <c r="E244" s="63">
        <f t="shared" ca="1" si="91"/>
        <v>32.00244</v>
      </c>
      <c r="F244" s="64">
        <f t="shared" ca="1" si="92"/>
        <v>59.039514716280003</v>
      </c>
      <c r="G244" s="63" t="str">
        <f t="shared" ca="1" si="93"/>
        <v>SCONSIGLIATO</v>
      </c>
      <c r="H244" s="65">
        <f t="shared" ca="1" si="94"/>
        <v>70</v>
      </c>
      <c r="I244" s="63" t="str">
        <f t="shared" ca="1" si="95"/>
        <v/>
      </c>
      <c r="J244" s="63">
        <f t="shared" ca="1" si="96"/>
        <v>1.00244</v>
      </c>
      <c r="K244" s="63">
        <f t="shared" ca="1" si="97"/>
        <v>1.00244</v>
      </c>
      <c r="L244" s="324" t="e">
        <f ca="1">VLOOKUP(Tabella113[[#This Row],[Calciatore]],'Raccolta Aste'!$F$2:$J$33,4,FALSE)*Asta!$U$3/100</f>
        <v>#N/A</v>
      </c>
      <c r="N244" s="58"/>
      <c r="O244" s="58"/>
      <c r="P244" s="58"/>
      <c r="Q244" s="58"/>
      <c r="R244" s="58"/>
      <c r="S244" s="58"/>
      <c r="U244" s="311"/>
      <c r="V244" s="311"/>
      <c r="W244" s="56">
        <f t="shared" ca="1" si="98"/>
        <v>96</v>
      </c>
      <c r="X244" s="56">
        <f t="shared" ca="1" si="99"/>
        <v>149</v>
      </c>
      <c r="Y244" s="56">
        <f t="shared" ca="1" si="100"/>
        <v>135</v>
      </c>
      <c r="Z244" s="56">
        <f t="shared" ca="1" si="101"/>
        <v>92</v>
      </c>
      <c r="AA244" s="56">
        <f t="shared" ca="1" si="102"/>
        <v>88</v>
      </c>
      <c r="AB244" s="56">
        <f ca="1">_xlfn.CEILING.MATH(INDIRECT(ADDRESS(85,22+MATCH($P$27,'I.A. + Fasce'!$W$84:$AA$84,0),1,1) &amp; ":" &amp; ADDRESS(305,22+MATCH($P$27,'I.A. + Fasce'!$W$84:$AA$84,0),1,1))/Asta!$H$3)</f>
        <v>19</v>
      </c>
    </row>
    <row r="245" spans="1:28" ht="14.25" customHeight="1">
      <c r="A245" s="238" t="str">
        <f ca="1">IF(Giocatori!G143="","D",Giocatori!G143)</f>
        <v>D</v>
      </c>
      <c r="B245" s="238" t="str">
        <f ca="1">IF(Giocatori!H169="","ZZZ" &amp; ROW(),Giocatori!H169)</f>
        <v>SALAMON</v>
      </c>
      <c r="C245" s="238" t="str">
        <f ca="1">IF(Giocatori!I169="","NDR" &amp; ROW(),Giocatori!I169)</f>
        <v>SPAL</v>
      </c>
      <c r="D245" s="63">
        <f t="shared" ca="1" si="90"/>
        <v>60.002450000000003</v>
      </c>
      <c r="E245" s="63">
        <f t="shared" ca="1" si="91"/>
        <v>30.00245</v>
      </c>
      <c r="F245" s="64">
        <f t="shared" ca="1" si="92"/>
        <v>52.506125050020835</v>
      </c>
      <c r="G245" s="63" t="str">
        <f t="shared" ca="1" si="93"/>
        <v/>
      </c>
      <c r="H245" s="65">
        <f t="shared" ca="1" si="94"/>
        <v>50</v>
      </c>
      <c r="I245" s="63" t="str">
        <f t="shared" ca="1" si="95"/>
        <v/>
      </c>
      <c r="J245" s="63">
        <f t="shared" ca="1" si="96"/>
        <v>1.0024500000000001</v>
      </c>
      <c r="K245" s="63">
        <f t="shared" ca="1" si="97"/>
        <v>1.0024500000000001</v>
      </c>
      <c r="L245" s="324" t="e">
        <f ca="1">VLOOKUP(Tabella113[[#This Row],[Calciatore]],'Raccolta Aste'!$F$2:$J$33,4,FALSE)*Asta!$U$3/100</f>
        <v>#N/A</v>
      </c>
      <c r="N245" s="58"/>
      <c r="O245" s="58"/>
      <c r="P245" s="58"/>
      <c r="Q245" s="58"/>
      <c r="R245" s="58"/>
      <c r="S245" s="58"/>
      <c r="U245" s="311"/>
      <c r="V245" s="311"/>
      <c r="W245" s="56">
        <f t="shared" ca="1" si="98"/>
        <v>151</v>
      </c>
      <c r="X245" s="56">
        <f t="shared" ca="1" si="99"/>
        <v>164</v>
      </c>
      <c r="Y245" s="56">
        <f t="shared" ca="1" si="100"/>
        <v>162</v>
      </c>
      <c r="Z245" s="56">
        <f t="shared" ca="1" si="101"/>
        <v>91</v>
      </c>
      <c r="AA245" s="56">
        <f t="shared" ca="1" si="102"/>
        <v>87</v>
      </c>
      <c r="AB245" s="56">
        <f ca="1">_xlfn.CEILING.MATH(INDIRECT(ADDRESS(85,22+MATCH($P$27,'I.A. + Fasce'!$W$84:$AA$84,0),1,1) &amp; ":" &amp; ADDRESS(305,22+MATCH($P$27,'I.A. + Fasce'!$W$84:$AA$84,0),1,1))/Asta!$H$3)</f>
        <v>21</v>
      </c>
    </row>
    <row r="246" spans="1:28" ht="14.25" customHeight="1">
      <c r="A246" s="238" t="str">
        <f ca="1">IF(Giocatori!G144="","D",Giocatori!G144)</f>
        <v>D</v>
      </c>
      <c r="B246" s="238" t="str">
        <f ca="1">IF(Giocatori!H170="","ZZZ" &amp; ROW(),Giocatori!H170)</f>
        <v>SAMIR</v>
      </c>
      <c r="C246" s="238" t="str">
        <f ca="1">IF(Giocatori!I170="","NDR" &amp; ROW(),Giocatori!I170)</f>
        <v>Udinese</v>
      </c>
      <c r="D246" s="63">
        <f t="shared" ca="1" si="90"/>
        <v>70.002459999999999</v>
      </c>
      <c r="E246" s="63">
        <f t="shared" ca="1" si="91"/>
        <v>42.002459999999999</v>
      </c>
      <c r="F246" s="64">
        <f t="shared" ca="1" si="92"/>
        <v>70.706642050430005</v>
      </c>
      <c r="G246" s="63" t="str">
        <f t="shared" ca="1" si="93"/>
        <v>SORPRESA</v>
      </c>
      <c r="H246" s="65">
        <f t="shared" ca="1" si="94"/>
        <v>90</v>
      </c>
      <c r="I246" s="63" t="str">
        <f t="shared" ca="1" si="95"/>
        <v/>
      </c>
      <c r="J246" s="63">
        <f t="shared" ca="1" si="96"/>
        <v>9.0216034279905752</v>
      </c>
      <c r="K246" s="63">
        <f t="shared" ca="1" si="97"/>
        <v>9.1021668240978428</v>
      </c>
      <c r="L246" s="324">
        <f ca="1">VLOOKUP(Tabella113[[#This Row],[Calciatore]],'Raccolta Aste'!$F$2:$J$33,4,FALSE)*Asta!$U$3/100</f>
        <v>0</v>
      </c>
      <c r="N246" s="58"/>
      <c r="O246" s="58"/>
      <c r="P246" s="58"/>
      <c r="Q246" s="58"/>
      <c r="R246" s="58"/>
      <c r="S246" s="58"/>
      <c r="U246" s="311"/>
      <c r="V246" s="311"/>
      <c r="W246" s="56">
        <f t="shared" ca="1" si="98"/>
        <v>84</v>
      </c>
      <c r="X246" s="56">
        <f t="shared" ca="1" si="99"/>
        <v>27</v>
      </c>
      <c r="Y246" s="56">
        <f t="shared" ca="1" si="100"/>
        <v>49</v>
      </c>
      <c r="Z246" s="56">
        <f t="shared" ca="1" si="101"/>
        <v>23</v>
      </c>
      <c r="AA246" s="56">
        <f t="shared" ca="1" si="102"/>
        <v>23</v>
      </c>
      <c r="AB246" s="56">
        <f ca="1">_xlfn.CEILING.MATH(INDIRECT(ADDRESS(85,22+MATCH($P$27,'I.A. + Fasce'!$W$84:$AA$84,0),1,1) &amp; ":" &amp; ADDRESS(305,22+MATCH($P$27,'I.A. + Fasce'!$W$84:$AA$84,0),1,1))/Asta!$H$3)</f>
        <v>4</v>
      </c>
    </row>
    <row r="247" spans="1:28" ht="14.25" customHeight="1">
      <c r="A247" s="238" t="str">
        <f ca="1">IF(Giocatori!G145="","D",Giocatori!G145)</f>
        <v>D</v>
      </c>
      <c r="B247" s="238" t="str">
        <f ca="1">IF(Giocatori!H171="","ZZZ" &amp; ROW(),Giocatori!H171)</f>
        <v>SAMPIRISI</v>
      </c>
      <c r="C247" s="238" t="str">
        <f ca="1">IF(Giocatori!I171="","NDR" &amp; ROW(),Giocatori!I171)</f>
        <v>Crotone</v>
      </c>
      <c r="D247" s="63">
        <f t="shared" ca="1" si="90"/>
        <v>63.002470000000002</v>
      </c>
      <c r="E247" s="63">
        <f t="shared" ca="1" si="91"/>
        <v>33.002470000000002</v>
      </c>
      <c r="F247" s="64">
        <f t="shared" ca="1" si="92"/>
        <v>57.081298550840835</v>
      </c>
      <c r="G247" s="63" t="str">
        <f t="shared" ca="1" si="93"/>
        <v/>
      </c>
      <c r="H247" s="65">
        <f t="shared" ca="1" si="94"/>
        <v>50</v>
      </c>
      <c r="I247" s="63" t="str">
        <f t="shared" ca="1" si="95"/>
        <v/>
      </c>
      <c r="J247" s="63">
        <f t="shared" ca="1" si="96"/>
        <v>1.00247</v>
      </c>
      <c r="K247" s="63">
        <f t="shared" ca="1" si="97"/>
        <v>1.00247</v>
      </c>
      <c r="L247" s="324" t="e">
        <f ca="1">VLOOKUP(Tabella113[[#This Row],[Calciatore]],'Raccolta Aste'!$F$2:$J$33,4,FALSE)*Asta!$U$3/100</f>
        <v>#N/A</v>
      </c>
      <c r="N247" s="58"/>
      <c r="O247" s="58"/>
      <c r="P247" s="58"/>
      <c r="Q247" s="58"/>
      <c r="R247" s="58"/>
      <c r="S247" s="58"/>
      <c r="U247" s="311"/>
      <c r="V247" s="311"/>
      <c r="W247" s="56">
        <f t="shared" ca="1" si="98"/>
        <v>143</v>
      </c>
      <c r="X247" s="56">
        <f t="shared" ca="1" si="99"/>
        <v>142</v>
      </c>
      <c r="Y247" s="56">
        <f t="shared" ca="1" si="100"/>
        <v>143</v>
      </c>
      <c r="Z247" s="56">
        <f t="shared" ca="1" si="101"/>
        <v>90</v>
      </c>
      <c r="AA247" s="56">
        <f t="shared" ca="1" si="102"/>
        <v>86</v>
      </c>
      <c r="AB247" s="56">
        <f ca="1">_xlfn.CEILING.MATH(INDIRECT(ADDRESS(85,22+MATCH($P$27,'I.A. + Fasce'!$W$84:$AA$84,0),1,1) &amp; ":" &amp; ADDRESS(305,22+MATCH($P$27,'I.A. + Fasce'!$W$84:$AA$84,0),1,1))/Asta!$H$3)</f>
        <v>18</v>
      </c>
    </row>
    <row r="248" spans="1:28" ht="14.25" customHeight="1">
      <c r="A248" s="238" t="str">
        <f ca="1">IF(Giocatori!G146="","D",Giocatori!G146)</f>
        <v>D</v>
      </c>
      <c r="B248" s="238" t="str">
        <f ca="1">IF(Giocatori!H172="","ZZZ" &amp; ROW(),Giocatori!H172)</f>
        <v>SANTON</v>
      </c>
      <c r="C248" s="238" t="str">
        <f ca="1">IF(Giocatori!I172="","NDR" &amp; ROW(),Giocatori!I172)</f>
        <v>Inter</v>
      </c>
      <c r="D248" s="63">
        <f t="shared" ca="1" si="90"/>
        <v>69.002480000000006</v>
      </c>
      <c r="E248" s="63">
        <f t="shared" ca="1" si="91"/>
        <v>30.002479999999998</v>
      </c>
      <c r="F248" s="64">
        <f t="shared" ca="1" si="92"/>
        <v>57.00620005125333</v>
      </c>
      <c r="G248" s="63" t="str">
        <f t="shared" ca="1" si="93"/>
        <v/>
      </c>
      <c r="H248" s="65">
        <f t="shared" ca="1" si="94"/>
        <v>50</v>
      </c>
      <c r="I248" s="63" t="str">
        <f t="shared" ca="1" si="95"/>
        <v/>
      </c>
      <c r="J248" s="63">
        <f t="shared" ca="1" si="96"/>
        <v>1.00248</v>
      </c>
      <c r="K248" s="63">
        <f t="shared" ca="1" si="97"/>
        <v>1.00248</v>
      </c>
      <c r="L248" s="324" t="e">
        <f ca="1">VLOOKUP(Tabella113[[#This Row],[Calciatore]],'Raccolta Aste'!$F$2:$J$33,4,FALSE)*Asta!$U$3/100</f>
        <v>#N/A</v>
      </c>
      <c r="N248" s="58"/>
      <c r="O248" s="58"/>
      <c r="P248" s="58"/>
      <c r="Q248" s="58"/>
      <c r="R248" s="58"/>
      <c r="S248" s="58"/>
      <c r="U248" s="311"/>
      <c r="V248" s="311"/>
      <c r="W248" s="56">
        <f t="shared" ca="1" si="98"/>
        <v>95</v>
      </c>
      <c r="X248" s="56">
        <f t="shared" ca="1" si="99"/>
        <v>163</v>
      </c>
      <c r="Y248" s="56">
        <f t="shared" ca="1" si="100"/>
        <v>145</v>
      </c>
      <c r="Z248" s="56">
        <f t="shared" ca="1" si="101"/>
        <v>89</v>
      </c>
      <c r="AA248" s="56">
        <f t="shared" ca="1" si="102"/>
        <v>85</v>
      </c>
      <c r="AB248" s="56">
        <f ca="1">_xlfn.CEILING.MATH(INDIRECT(ADDRESS(85,22+MATCH($P$27,'I.A. + Fasce'!$W$84:$AA$84,0),1,1) &amp; ":" &amp; ADDRESS(305,22+MATCH($P$27,'I.A. + Fasce'!$W$84:$AA$84,0),1,1))/Asta!$H$3)</f>
        <v>21</v>
      </c>
    </row>
    <row r="249" spans="1:28" ht="14.25" customHeight="1">
      <c r="A249" s="238" t="str">
        <f ca="1">IF(Giocatori!G147="","D",Giocatori!G147)</f>
        <v>D</v>
      </c>
      <c r="B249" s="238" t="str">
        <f ca="1">IF(Giocatori!H173="","ZZZ" &amp; ROW(),Giocatori!H173)</f>
        <v>SILVESTRE</v>
      </c>
      <c r="C249" s="238" t="str">
        <f ca="1">IF(Giocatori!I173="","NDR" &amp; ROW(),Giocatori!I173)</f>
        <v>Sampdoria</v>
      </c>
      <c r="D249" s="63">
        <f t="shared" ca="1" si="90"/>
        <v>76.002489999999995</v>
      </c>
      <c r="E249" s="63">
        <f t="shared" ca="1" si="91"/>
        <v>42.002490000000002</v>
      </c>
      <c r="F249" s="64">
        <f t="shared" ca="1" si="92"/>
        <v>73.706723051667495</v>
      </c>
      <c r="G249" s="63" t="str">
        <f t="shared" ca="1" si="93"/>
        <v>CONSIGLIATO</v>
      </c>
      <c r="H249" s="65">
        <f t="shared" ca="1" si="94"/>
        <v>90</v>
      </c>
      <c r="I249" s="63" t="str">
        <f t="shared" ca="1" si="95"/>
        <v/>
      </c>
      <c r="J249" s="63">
        <f t="shared" ca="1" si="96"/>
        <v>7.8098339056999659</v>
      </c>
      <c r="K249" s="63">
        <f t="shared" ca="1" si="97"/>
        <v>7.8882839200383916</v>
      </c>
      <c r="L249" s="324" t="e">
        <f ca="1">VLOOKUP(Tabella113[[#This Row],[Calciatore]],'Raccolta Aste'!$F$2:$J$33,4,FALSE)*Asta!$U$3/100</f>
        <v>#N/A</v>
      </c>
      <c r="N249" s="58"/>
      <c r="O249" s="58"/>
      <c r="P249" s="58"/>
      <c r="Q249" s="58"/>
      <c r="R249" s="58"/>
      <c r="S249" s="58"/>
      <c r="U249" s="311"/>
      <c r="V249" s="311"/>
      <c r="W249" s="56">
        <f t="shared" ca="1" si="98"/>
        <v>38</v>
      </c>
      <c r="X249" s="56">
        <f t="shared" ca="1" si="99"/>
        <v>26</v>
      </c>
      <c r="Y249" s="56">
        <f t="shared" ca="1" si="100"/>
        <v>30</v>
      </c>
      <c r="Z249" s="56">
        <f t="shared" ca="1" si="101"/>
        <v>32</v>
      </c>
      <c r="AA249" s="56">
        <f t="shared" ca="1" si="102"/>
        <v>31</v>
      </c>
      <c r="AB249" s="56">
        <f ca="1">_xlfn.CEILING.MATH(INDIRECT(ADDRESS(85,22+MATCH($P$27,'I.A. + Fasce'!$W$84:$AA$84,0),1,1) &amp; ":" &amp; ADDRESS(305,22+MATCH($P$27,'I.A. + Fasce'!$W$84:$AA$84,0),1,1))/Asta!$H$3)</f>
        <v>4</v>
      </c>
    </row>
    <row r="250" spans="1:28" ht="14.25" customHeight="1">
      <c r="A250" s="238" t="str">
        <f ca="1">IF(Giocatori!G148="","D",Giocatori!G148)</f>
        <v>D</v>
      </c>
      <c r="B250" s="238" t="str">
        <f ca="1">IF(Giocatori!H174="","ZZZ" &amp; ROW(),Giocatori!H174)</f>
        <v>SIMIC S</v>
      </c>
      <c r="C250" s="238" t="str">
        <f ca="1">IF(Giocatori!I174="","NDR" &amp; ROW(),Giocatori!I174)</f>
        <v>Crotone</v>
      </c>
      <c r="D250" s="63">
        <f t="shared" ca="1" si="90"/>
        <v>58.002499999999998</v>
      </c>
      <c r="E250" s="63">
        <f t="shared" ca="1" si="91"/>
        <v>30.002500000000001</v>
      </c>
      <c r="F250" s="64">
        <f t="shared" ca="1" si="92"/>
        <v>51.506250052083331</v>
      </c>
      <c r="G250" s="63" t="str">
        <f t="shared" ca="1" si="93"/>
        <v/>
      </c>
      <c r="H250" s="65">
        <f t="shared" ca="1" si="94"/>
        <v>30</v>
      </c>
      <c r="I250" s="63" t="str">
        <f t="shared" ca="1" si="95"/>
        <v/>
      </c>
      <c r="J250" s="63">
        <f t="shared" ca="1" si="96"/>
        <v>1.0024999999999999</v>
      </c>
      <c r="K250" s="63">
        <f t="shared" ca="1" si="97"/>
        <v>1.0024999999999999</v>
      </c>
      <c r="L250" s="324" t="e">
        <f ca="1">VLOOKUP(Tabella113[[#This Row],[Calciatore]],'Raccolta Aste'!$F$2:$J$33,4,FALSE)*Asta!$U$3/100</f>
        <v>#N/A</v>
      </c>
      <c r="N250" s="58"/>
      <c r="O250" s="58"/>
      <c r="P250" s="58"/>
      <c r="Q250" s="58"/>
      <c r="R250" s="58"/>
      <c r="S250" s="58"/>
      <c r="U250" s="311"/>
      <c r="V250" s="311"/>
      <c r="W250" s="56">
        <f t="shared" ca="1" si="98"/>
        <v>165</v>
      </c>
      <c r="X250" s="56">
        <f t="shared" ca="1" si="99"/>
        <v>162</v>
      </c>
      <c r="Y250" s="56">
        <f t="shared" ca="1" si="100"/>
        <v>166</v>
      </c>
      <c r="Z250" s="56">
        <f t="shared" ca="1" si="101"/>
        <v>88</v>
      </c>
      <c r="AA250" s="56">
        <f t="shared" ca="1" si="102"/>
        <v>84</v>
      </c>
      <c r="AB250" s="56">
        <f ca="1">_xlfn.CEILING.MATH(INDIRECT(ADDRESS(85,22+MATCH($P$27,'I.A. + Fasce'!$W$84:$AA$84,0),1,1) &amp; ":" &amp; ADDRESS(305,22+MATCH($P$27,'I.A. + Fasce'!$W$84:$AA$84,0),1,1))/Asta!$H$3)</f>
        <v>21</v>
      </c>
    </row>
    <row r="251" spans="1:28" ht="14.25" customHeight="1">
      <c r="A251" s="238" t="str">
        <f ca="1">IF(Giocatori!G149="","D",Giocatori!G149)</f>
        <v>D</v>
      </c>
      <c r="B251" s="238" t="str">
        <f ca="1">IF(Giocatori!H175="","ZZZ" &amp; ROW(),Giocatori!H175)</f>
        <v>SKRINIAR</v>
      </c>
      <c r="C251" s="238" t="str">
        <f ca="1">IF(Giocatori!I175="","NDR" &amp; ROW(),Giocatori!I175)</f>
        <v>Inter</v>
      </c>
      <c r="D251" s="63">
        <f t="shared" ca="1" si="90"/>
        <v>76.002510000000001</v>
      </c>
      <c r="E251" s="63">
        <f t="shared" ca="1" si="91"/>
        <v>40.002510000000001</v>
      </c>
      <c r="F251" s="64">
        <f t="shared" ca="1" si="92"/>
        <v>71.340026719167511</v>
      </c>
      <c r="G251" s="63" t="str">
        <f t="shared" ca="1" si="93"/>
        <v>SORPRESA</v>
      </c>
      <c r="H251" s="65">
        <f t="shared" ca="1" si="94"/>
        <v>80</v>
      </c>
      <c r="I251" s="63" t="str">
        <f t="shared" ca="1" si="95"/>
        <v/>
      </c>
      <c r="J251" s="63">
        <f t="shared" ca="1" si="96"/>
        <v>4.186598371231276</v>
      </c>
      <c r="K251" s="63">
        <f t="shared" ca="1" si="97"/>
        <v>3.5690061768028292</v>
      </c>
      <c r="L251" s="324" t="e">
        <f ca="1">VLOOKUP(Tabella113[[#This Row],[Calciatore]],'Raccolta Aste'!$F$2:$J$33,4,FALSE)*Asta!$U$3/100</f>
        <v>#N/A</v>
      </c>
      <c r="N251" s="58"/>
      <c r="O251" s="58"/>
      <c r="P251" s="58"/>
      <c r="Q251" s="58"/>
      <c r="R251" s="58"/>
      <c r="S251" s="58"/>
      <c r="U251" s="311"/>
      <c r="V251" s="311"/>
      <c r="W251" s="56">
        <f t="shared" ca="1" si="98"/>
        <v>37</v>
      </c>
      <c r="X251" s="56">
        <f t="shared" ca="1" si="99"/>
        <v>51</v>
      </c>
      <c r="Y251" s="56">
        <f t="shared" ca="1" si="100"/>
        <v>42</v>
      </c>
      <c r="Z251" s="56">
        <f t="shared" ca="1" si="101"/>
        <v>54</v>
      </c>
      <c r="AA251" s="56">
        <f t="shared" ca="1" si="102"/>
        <v>53</v>
      </c>
      <c r="AB251" s="56">
        <f ca="1">_xlfn.CEILING.MATH(INDIRECT(ADDRESS(85,22+MATCH($P$27,'I.A. + Fasce'!$W$84:$AA$84,0),1,1) &amp; ":" &amp; ADDRESS(305,22+MATCH($P$27,'I.A. + Fasce'!$W$84:$AA$84,0),1,1))/Asta!$H$3)</f>
        <v>7</v>
      </c>
    </row>
    <row r="252" spans="1:28" ht="14.25" customHeight="1">
      <c r="A252" s="238" t="str">
        <f ca="1">IF(Giocatori!G150="","D",Giocatori!G150)</f>
        <v>D</v>
      </c>
      <c r="B252" s="238" t="str">
        <f ca="1">IF(Giocatori!H176="","ZZZ" &amp; ROW(),Giocatori!H176)</f>
        <v>SOUPRAYEN</v>
      </c>
      <c r="C252" s="238" t="str">
        <f ca="1">IF(Giocatori!I176="","NDR" &amp; ROW(),Giocatori!I176)</f>
        <v>Verona</v>
      </c>
      <c r="D252" s="63">
        <f t="shared" ca="1" si="90"/>
        <v>73.002520000000004</v>
      </c>
      <c r="E252" s="63">
        <f t="shared" ca="1" si="91"/>
        <v>34.002519999999997</v>
      </c>
      <c r="F252" s="64">
        <f t="shared" ca="1" si="92"/>
        <v>63.139801386253325</v>
      </c>
      <c r="G252" s="63" t="str">
        <f t="shared" ca="1" si="93"/>
        <v>SCONSIGLIATO</v>
      </c>
      <c r="H252" s="65">
        <f t="shared" ca="1" si="94"/>
        <v>70</v>
      </c>
      <c r="I252" s="63" t="str">
        <f t="shared" ca="1" si="95"/>
        <v/>
      </c>
      <c r="J252" s="63">
        <f t="shared" ca="1" si="96"/>
        <v>1.0025200000000001</v>
      </c>
      <c r="K252" s="63">
        <f t="shared" ca="1" si="97"/>
        <v>1.0025200000000001</v>
      </c>
      <c r="L252" s="324" t="e">
        <f ca="1">VLOOKUP(Tabella113[[#This Row],[Calciatore]],'Raccolta Aste'!$F$2:$J$33,4,FALSE)*Asta!$U$3/100</f>
        <v>#N/A</v>
      </c>
      <c r="N252" s="58"/>
      <c r="O252" s="58"/>
      <c r="P252" s="58"/>
      <c r="Q252" s="58"/>
      <c r="R252" s="58"/>
      <c r="S252" s="58"/>
      <c r="U252" s="311"/>
      <c r="V252" s="311"/>
      <c r="W252" s="56">
        <f t="shared" ca="1" si="98"/>
        <v>64</v>
      </c>
      <c r="X252" s="56">
        <f t="shared" ca="1" si="99"/>
        <v>126</v>
      </c>
      <c r="Y252" s="56">
        <f t="shared" ca="1" si="100"/>
        <v>101</v>
      </c>
      <c r="Z252" s="56">
        <f t="shared" ca="1" si="101"/>
        <v>87</v>
      </c>
      <c r="AA252" s="56">
        <f t="shared" ca="1" si="102"/>
        <v>83</v>
      </c>
      <c r="AB252" s="56">
        <f ca="1">_xlfn.CEILING.MATH(INDIRECT(ADDRESS(85,22+MATCH($P$27,'I.A. + Fasce'!$W$84:$AA$84,0),1,1) &amp; ":" &amp; ADDRESS(305,22+MATCH($P$27,'I.A. + Fasce'!$W$84:$AA$84,0),1,1))/Asta!$H$3)</f>
        <v>16</v>
      </c>
    </row>
    <row r="253" spans="1:28" ht="14.25" customHeight="1">
      <c r="A253" s="238" t="str">
        <f ca="1">IF(Giocatori!G151="","D",Giocatori!G151)</f>
        <v>D</v>
      </c>
      <c r="B253" s="238" t="str">
        <f ca="1">IF(Giocatori!H177="","ZZZ" &amp; ROW(),Giocatori!H177)</f>
        <v>SPOLLI</v>
      </c>
      <c r="C253" s="238" t="str">
        <f ca="1">IF(Giocatori!I177="","NDR" &amp; ROW(),Giocatori!I177)</f>
        <v>Genoa</v>
      </c>
      <c r="D253" s="63">
        <f t="shared" ca="1" si="90"/>
        <v>69.002529999999993</v>
      </c>
      <c r="E253" s="63">
        <f t="shared" ca="1" si="91"/>
        <v>35.00253</v>
      </c>
      <c r="F253" s="64">
        <f t="shared" ca="1" si="92"/>
        <v>62.2148692200075</v>
      </c>
      <c r="G253" s="63" t="str">
        <f t="shared" ca="1" si="93"/>
        <v/>
      </c>
      <c r="H253" s="65">
        <f t="shared" ca="1" si="94"/>
        <v>50</v>
      </c>
      <c r="I253" s="63" t="str">
        <f t="shared" ca="1" si="95"/>
        <v/>
      </c>
      <c r="J253" s="63">
        <f t="shared" ca="1" si="96"/>
        <v>1.0025299999999999</v>
      </c>
      <c r="K253" s="63">
        <f t="shared" ca="1" si="97"/>
        <v>1.0025299999999999</v>
      </c>
      <c r="L253" s="324" t="e">
        <f ca="1">VLOOKUP(Tabella113[[#This Row],[Calciatore]],'Raccolta Aste'!$F$2:$J$33,4,FALSE)*Asta!$U$3/100</f>
        <v>#N/A</v>
      </c>
      <c r="N253" s="58"/>
      <c r="O253" s="58"/>
      <c r="P253" s="58"/>
      <c r="Q253" s="58"/>
      <c r="R253" s="58"/>
      <c r="S253" s="58"/>
      <c r="U253" s="311"/>
      <c r="V253" s="311"/>
      <c r="W253" s="56">
        <f t="shared" ca="1" si="98"/>
        <v>94</v>
      </c>
      <c r="X253" s="56">
        <f t="shared" ca="1" si="99"/>
        <v>112</v>
      </c>
      <c r="Y253" s="56">
        <f t="shared" ca="1" si="100"/>
        <v>106</v>
      </c>
      <c r="Z253" s="56">
        <f t="shared" ca="1" si="101"/>
        <v>86</v>
      </c>
      <c r="AA253" s="56">
        <f t="shared" ca="1" si="102"/>
        <v>82</v>
      </c>
      <c r="AB253" s="56">
        <f ca="1">_xlfn.CEILING.MATH(INDIRECT(ADDRESS(85,22+MATCH($P$27,'I.A. + Fasce'!$W$84:$AA$84,0),1,1) &amp; ":" &amp; ADDRESS(305,22+MATCH($P$27,'I.A. + Fasce'!$W$84:$AA$84,0),1,1))/Asta!$H$3)</f>
        <v>14</v>
      </c>
    </row>
    <row r="254" spans="1:28" ht="14.25" customHeight="1">
      <c r="A254" s="238" t="str">
        <f ca="1">IF(Giocatori!G152="","D",Giocatori!G152)</f>
        <v>D</v>
      </c>
      <c r="B254" s="238" t="str">
        <f ca="1">IF(Giocatori!H178="","ZZZ" &amp; ROW(),Giocatori!H178)</f>
        <v>STRINIC</v>
      </c>
      <c r="C254" s="238" t="str">
        <f ca="1">IF(Giocatori!I178="","NDR" &amp; ROW(),Giocatori!I178)</f>
        <v>Sampdoria</v>
      </c>
      <c r="D254" s="63">
        <f t="shared" ca="1" si="90"/>
        <v>78.002539999999996</v>
      </c>
      <c r="E254" s="63">
        <f t="shared" ca="1" si="91"/>
        <v>37.002540000000003</v>
      </c>
      <c r="F254" s="64">
        <f t="shared" ca="1" si="92"/>
        <v>68.914979720430011</v>
      </c>
      <c r="G254" s="63" t="str">
        <f t="shared" ca="1" si="93"/>
        <v/>
      </c>
      <c r="H254" s="65">
        <f t="shared" ca="1" si="94"/>
        <v>70</v>
      </c>
      <c r="I254" s="63" t="str">
        <f t="shared" ca="1" si="95"/>
        <v/>
      </c>
      <c r="J254" s="63">
        <f t="shared" ca="1" si="96"/>
        <v>1.00254</v>
      </c>
      <c r="K254" s="63">
        <f t="shared" ca="1" si="97"/>
        <v>1.00254</v>
      </c>
      <c r="L254" s="324" t="e">
        <f ca="1">VLOOKUP(Tabella113[[#This Row],[Calciatore]],'Raccolta Aste'!$F$2:$J$33,4,FALSE)*Asta!$U$3/100</f>
        <v>#N/A</v>
      </c>
      <c r="N254" s="58"/>
      <c r="O254" s="58"/>
      <c r="P254" s="58"/>
      <c r="Q254" s="58"/>
      <c r="R254" s="58"/>
      <c r="S254" s="58"/>
      <c r="U254" s="311"/>
      <c r="V254" s="311"/>
      <c r="W254" s="56">
        <f t="shared" ca="1" si="98"/>
        <v>28</v>
      </c>
      <c r="X254" s="56">
        <f t="shared" ca="1" si="99"/>
        <v>89</v>
      </c>
      <c r="Y254" s="56">
        <f t="shared" ca="1" si="100"/>
        <v>61</v>
      </c>
      <c r="Z254" s="56">
        <f t="shared" ca="1" si="101"/>
        <v>85</v>
      </c>
      <c r="AA254" s="56">
        <f t="shared" ca="1" si="102"/>
        <v>81</v>
      </c>
      <c r="AB254" s="56">
        <f ca="1">_xlfn.CEILING.MATH(INDIRECT(ADDRESS(85,22+MATCH($P$27,'I.A. + Fasce'!$W$84:$AA$84,0),1,1) &amp; ":" &amp; ADDRESS(305,22+MATCH($P$27,'I.A. + Fasce'!$W$84:$AA$84,0),1,1))/Asta!$H$3)</f>
        <v>12</v>
      </c>
    </row>
    <row r="255" spans="1:28" ht="14.25" customHeight="1">
      <c r="A255" s="238" t="str">
        <f ca="1">IF(Giocatori!G153="","D",Giocatori!G153)</f>
        <v>D</v>
      </c>
      <c r="B255" s="238" t="str">
        <f ca="1">IF(Giocatori!H179="","ZZZ" &amp; ROW(),Giocatori!H179)</f>
        <v>STRYGER LARSEN</v>
      </c>
      <c r="C255" s="238" t="str">
        <f ca="1">IF(Giocatori!I179="","NDR" &amp; ROW(),Giocatori!I179)</f>
        <v>Udinese</v>
      </c>
      <c r="D255" s="63">
        <f t="shared" ca="1" si="90"/>
        <v>66.002549999999999</v>
      </c>
      <c r="E255" s="63">
        <f t="shared" ca="1" si="91"/>
        <v>35.002549999999999</v>
      </c>
      <c r="F255" s="64">
        <f t="shared" ca="1" si="92"/>
        <v>60.714920887520826</v>
      </c>
      <c r="G255" s="63" t="str">
        <f t="shared" ca="1" si="93"/>
        <v/>
      </c>
      <c r="H255" s="65">
        <f t="shared" ca="1" si="94"/>
        <v>50</v>
      </c>
      <c r="I255" s="63" t="str">
        <f t="shared" ca="1" si="95"/>
        <v/>
      </c>
      <c r="J255" s="63">
        <f t="shared" ca="1" si="96"/>
        <v>1.0025500000000001</v>
      </c>
      <c r="K255" s="63">
        <f t="shared" ca="1" si="97"/>
        <v>1.0025500000000001</v>
      </c>
      <c r="L255" s="324" t="e">
        <f ca="1">VLOOKUP(Tabella113[[#This Row],[Calciatore]],'Raccolta Aste'!$F$2:$J$33,4,FALSE)*Asta!$U$3/100</f>
        <v>#N/A</v>
      </c>
      <c r="N255" s="58"/>
      <c r="O255" s="58"/>
      <c r="P255" s="58"/>
      <c r="Q255" s="58"/>
      <c r="R255" s="58"/>
      <c r="S255" s="58"/>
      <c r="U255" s="311"/>
      <c r="V255" s="311"/>
      <c r="W255" s="56">
        <f t="shared" ca="1" si="98"/>
        <v>123</v>
      </c>
      <c r="X255" s="56">
        <f t="shared" ca="1" si="99"/>
        <v>111</v>
      </c>
      <c r="Y255" s="56">
        <f t="shared" ca="1" si="100"/>
        <v>118</v>
      </c>
      <c r="Z255" s="56">
        <f t="shared" ca="1" si="101"/>
        <v>84</v>
      </c>
      <c r="AA255" s="56">
        <f t="shared" ca="1" si="102"/>
        <v>80</v>
      </c>
      <c r="AB255" s="56">
        <f ca="1">_xlfn.CEILING.MATH(INDIRECT(ADDRESS(85,22+MATCH($P$27,'I.A. + Fasce'!$W$84:$AA$84,0),1,1) &amp; ":" &amp; ADDRESS(305,22+MATCH($P$27,'I.A. + Fasce'!$W$84:$AA$84,0),1,1))/Asta!$H$3)</f>
        <v>14</v>
      </c>
    </row>
    <row r="256" spans="1:28" ht="14.25" customHeight="1">
      <c r="A256" s="238" t="str">
        <f ca="1">IF(Giocatori!G154="","D",Giocatori!G154)</f>
        <v>D</v>
      </c>
      <c r="B256" s="238" t="str">
        <f ca="1">IF(Giocatori!H180="","ZZZ" &amp; ROW(),Giocatori!H180)</f>
        <v>TOLOI</v>
      </c>
      <c r="C256" s="238" t="str">
        <f ca="1">IF(Giocatori!I180="","NDR" &amp; ROW(),Giocatori!I180)</f>
        <v>Atalanta</v>
      </c>
      <c r="D256" s="63">
        <f t="shared" ca="1" si="90"/>
        <v>76.002560000000003</v>
      </c>
      <c r="E256" s="63">
        <f t="shared" ca="1" si="91"/>
        <v>42.002560000000003</v>
      </c>
      <c r="F256" s="64">
        <f t="shared" ca="1" si="92"/>
        <v>73.706912054613341</v>
      </c>
      <c r="G256" s="63" t="str">
        <f t="shared" ca="1" si="93"/>
        <v/>
      </c>
      <c r="H256" s="65">
        <f t="shared" ca="1" si="94"/>
        <v>80</v>
      </c>
      <c r="I256" s="63" t="str">
        <f t="shared" ca="1" si="95"/>
        <v/>
      </c>
      <c r="J256" s="63">
        <f t="shared" ca="1" si="96"/>
        <v>7.8919611501090765</v>
      </c>
      <c r="K256" s="63">
        <f t="shared" ca="1" si="97"/>
        <v>7.7974358564595478</v>
      </c>
      <c r="L256" s="324" t="e">
        <f ca="1">VLOOKUP(Tabella113[[#This Row],[Calciatore]],'Raccolta Aste'!$F$2:$J$33,4,FALSE)*Asta!$U$3/100</f>
        <v>#N/A</v>
      </c>
      <c r="N256" s="58"/>
      <c r="O256" s="58"/>
      <c r="P256" s="58"/>
      <c r="Q256" s="58"/>
      <c r="R256" s="58"/>
      <c r="S256" s="58"/>
      <c r="U256" s="311"/>
      <c r="V256" s="311"/>
      <c r="W256" s="56">
        <f t="shared" ca="1" si="98"/>
        <v>36</v>
      </c>
      <c r="X256" s="56">
        <f t="shared" ca="1" si="99"/>
        <v>25</v>
      </c>
      <c r="Y256" s="56">
        <f t="shared" ca="1" si="100"/>
        <v>29</v>
      </c>
      <c r="Z256" s="56">
        <f t="shared" ca="1" si="101"/>
        <v>30</v>
      </c>
      <c r="AA256" s="56">
        <f t="shared" ca="1" si="102"/>
        <v>32</v>
      </c>
      <c r="AB256" s="56">
        <f ca="1">_xlfn.CEILING.MATH(INDIRECT(ADDRESS(85,22+MATCH($P$27,'I.A. + Fasce'!$W$84:$AA$84,0),1,1) &amp; ":" &amp; ADDRESS(305,22+MATCH($P$27,'I.A. + Fasce'!$W$84:$AA$84,0),1,1))/Asta!$H$3)</f>
        <v>4</v>
      </c>
    </row>
    <row r="257" spans="1:28" ht="14.25" customHeight="1">
      <c r="A257" s="238" t="str">
        <f ca="1">IF(Giocatori!G155="","D",Giocatori!G155)</f>
        <v>D</v>
      </c>
      <c r="B257" s="238" t="str">
        <f ca="1">IF(Giocatori!H181="","ZZZ" &amp; ROW(),Giocatori!H181)</f>
        <v>TOMIC</v>
      </c>
      <c r="C257" s="238" t="str">
        <f ca="1">IF(Giocatori!I181="","NDR" &amp; ROW(),Giocatori!I181)</f>
        <v>Sampdoria</v>
      </c>
      <c r="D257" s="63">
        <f t="shared" ca="1" si="90"/>
        <v>45.002569999999999</v>
      </c>
      <c r="E257" s="63">
        <f t="shared" ca="1" si="91"/>
        <v>2.5699999999999998E-3</v>
      </c>
      <c r="F257" s="64">
        <f t="shared" ca="1" si="92"/>
        <v>22.505140055040833</v>
      </c>
      <c r="G257" s="63" t="str">
        <f t="shared" ca="1" si="93"/>
        <v/>
      </c>
      <c r="H257" s="65">
        <f t="shared" ca="1" si="94"/>
        <v>0</v>
      </c>
      <c r="I257" s="63" t="str">
        <f t="shared" ca="1" si="95"/>
        <v/>
      </c>
      <c r="J257" s="63">
        <f t="shared" ca="1" si="96"/>
        <v>1.00257</v>
      </c>
      <c r="K257" s="63">
        <f t="shared" ca="1" si="97"/>
        <v>1.00257</v>
      </c>
      <c r="L257" s="324" t="e">
        <f ca="1">VLOOKUP(Tabella113[[#This Row],[Calciatore]],'Raccolta Aste'!$F$2:$J$33,4,FALSE)*Asta!$U$3/100</f>
        <v>#N/A</v>
      </c>
      <c r="N257" s="58"/>
      <c r="O257" s="58"/>
      <c r="P257" s="58"/>
      <c r="Q257" s="58"/>
      <c r="R257" s="58"/>
      <c r="S257" s="58"/>
      <c r="U257" s="311"/>
      <c r="V257" s="311"/>
      <c r="W257" s="56">
        <f t="shared" ca="1" si="98"/>
        <v>181</v>
      </c>
      <c r="X257" s="56">
        <f t="shared" ca="1" si="99"/>
        <v>219</v>
      </c>
      <c r="Y257" s="56">
        <f t="shared" ca="1" si="100"/>
        <v>185</v>
      </c>
      <c r="Z257" s="56">
        <f t="shared" ca="1" si="101"/>
        <v>83</v>
      </c>
      <c r="AA257" s="56">
        <f t="shared" ca="1" si="102"/>
        <v>79</v>
      </c>
      <c r="AB257" s="56">
        <f ca="1">_xlfn.CEILING.MATH(INDIRECT(ADDRESS(85,22+MATCH($P$27,'I.A. + Fasce'!$W$84:$AA$84,0),1,1) &amp; ":" &amp; ADDRESS(305,22+MATCH($P$27,'I.A. + Fasce'!$W$84:$AA$84,0),1,1))/Asta!$H$3)</f>
        <v>28</v>
      </c>
    </row>
    <row r="258" spans="1:28" ht="14.25" customHeight="1">
      <c r="A258" s="238" t="str">
        <f ca="1">IF(Giocatori!G156="","D",Giocatori!G156)</f>
        <v>D</v>
      </c>
      <c r="B258" s="238" t="str">
        <f ca="1">IF(Giocatori!H182="","ZZZ" &amp; ROW(),Giocatori!H182)</f>
        <v>TOMOVIC</v>
      </c>
      <c r="C258" s="238" t="str">
        <f ca="1">IF(Giocatori!I182="","NDR" &amp; ROW(),Giocatori!I182)</f>
        <v>Chievo</v>
      </c>
      <c r="D258" s="63">
        <f t="shared" ca="1" si="90"/>
        <v>65.002579999999995</v>
      </c>
      <c r="E258" s="63">
        <f t="shared" ca="1" si="91"/>
        <v>27.002579999999998</v>
      </c>
      <c r="F258" s="64">
        <f t="shared" ca="1" si="92"/>
        <v>52.081321055469999</v>
      </c>
      <c r="G258" s="63" t="str">
        <f t="shared" ca="1" si="93"/>
        <v>SCONSIGLIATO</v>
      </c>
      <c r="H258" s="65">
        <f t="shared" ca="1" si="94"/>
        <v>50</v>
      </c>
      <c r="I258" s="63" t="str">
        <f t="shared" ca="1" si="95"/>
        <v/>
      </c>
      <c r="J258" s="63">
        <f t="shared" ca="1" si="96"/>
        <v>1.00258</v>
      </c>
      <c r="K258" s="63">
        <f t="shared" ca="1" si="97"/>
        <v>1.00258</v>
      </c>
      <c r="L258" s="324" t="e">
        <f ca="1">VLOOKUP(Tabella113[[#This Row],[Calciatore]],'Raccolta Aste'!$F$2:$J$33,4,FALSE)*Asta!$U$3/100</f>
        <v>#N/A</v>
      </c>
      <c r="N258" s="58"/>
      <c r="O258" s="58"/>
      <c r="P258" s="58"/>
      <c r="Q258" s="58"/>
      <c r="R258" s="58"/>
      <c r="S258" s="58"/>
      <c r="U258" s="311"/>
      <c r="V258" s="311"/>
      <c r="W258" s="56">
        <f t="shared" ca="1" si="98"/>
        <v>131</v>
      </c>
      <c r="X258" s="56">
        <f t="shared" ca="1" si="99"/>
        <v>177</v>
      </c>
      <c r="Y258" s="56">
        <f t="shared" ca="1" si="100"/>
        <v>163</v>
      </c>
      <c r="Z258" s="56">
        <f t="shared" ca="1" si="101"/>
        <v>82</v>
      </c>
      <c r="AA258" s="56">
        <f t="shared" ca="1" si="102"/>
        <v>78</v>
      </c>
      <c r="AB258" s="56">
        <f ca="1">_xlfn.CEILING.MATH(INDIRECT(ADDRESS(85,22+MATCH($P$27,'I.A. + Fasce'!$W$84:$AA$84,0),1,1) &amp; ":" &amp; ADDRESS(305,22+MATCH($P$27,'I.A. + Fasce'!$W$84:$AA$84,0),1,1))/Asta!$H$3)</f>
        <v>23</v>
      </c>
    </row>
    <row r="259" spans="1:28" ht="14.25" customHeight="1">
      <c r="A259" s="238" t="str">
        <f ca="1">IF(Giocatori!G157="","D",Giocatori!G157)</f>
        <v>D</v>
      </c>
      <c r="B259" s="238" t="str">
        <f ca="1">IF(Giocatori!H183="","ZZZ" &amp; ROW(),Giocatori!H183)</f>
        <v>TONELLI</v>
      </c>
      <c r="C259" s="238" t="str">
        <f ca="1">IF(Giocatori!I183="","NDR" &amp; ROW(),Giocatori!I183)</f>
        <v>Napoli</v>
      </c>
      <c r="D259" s="63">
        <f t="shared" ca="1" si="90"/>
        <v>70.002589999999998</v>
      </c>
      <c r="E259" s="63">
        <f t="shared" ca="1" si="91"/>
        <v>34.002589999999998</v>
      </c>
      <c r="F259" s="64">
        <f t="shared" ca="1" si="92"/>
        <v>61.639981055900833</v>
      </c>
      <c r="G259" s="63" t="str">
        <f t="shared" ca="1" si="93"/>
        <v/>
      </c>
      <c r="H259" s="65">
        <f t="shared" ca="1" si="94"/>
        <v>50</v>
      </c>
      <c r="I259" s="63" t="str">
        <f t="shared" ca="1" si="95"/>
        <v/>
      </c>
      <c r="J259" s="63">
        <f t="shared" ca="1" si="96"/>
        <v>1.0025900000000001</v>
      </c>
      <c r="K259" s="63">
        <f t="shared" ca="1" si="97"/>
        <v>1.0025900000000001</v>
      </c>
      <c r="L259" s="324" t="e">
        <f ca="1">VLOOKUP(Tabella113[[#This Row],[Calciatore]],'Raccolta Aste'!$F$2:$J$33,4,FALSE)*Asta!$U$3/100</f>
        <v>#N/A</v>
      </c>
      <c r="N259" s="58"/>
      <c r="O259" s="58"/>
      <c r="P259" s="58"/>
      <c r="Q259" s="58"/>
      <c r="R259" s="58"/>
      <c r="S259" s="58"/>
      <c r="U259" s="311"/>
      <c r="V259" s="311"/>
      <c r="W259" s="56">
        <f t="shared" ca="1" si="98"/>
        <v>83</v>
      </c>
      <c r="X259" s="56">
        <f t="shared" ca="1" si="99"/>
        <v>125</v>
      </c>
      <c r="Y259" s="56">
        <f t="shared" ca="1" si="100"/>
        <v>110</v>
      </c>
      <c r="Z259" s="56">
        <f t="shared" ca="1" si="101"/>
        <v>81</v>
      </c>
      <c r="AA259" s="56">
        <f t="shared" ca="1" si="102"/>
        <v>77</v>
      </c>
      <c r="AB259" s="56">
        <f ca="1">_xlfn.CEILING.MATH(INDIRECT(ADDRESS(85,22+MATCH($P$27,'I.A. + Fasce'!$W$84:$AA$84,0),1,1) &amp; ":" &amp; ADDRESS(305,22+MATCH($P$27,'I.A. + Fasce'!$W$84:$AA$84,0),1,1))/Asta!$H$3)</f>
        <v>16</v>
      </c>
    </row>
    <row r="260" spans="1:28" ht="14.25" customHeight="1">
      <c r="A260" s="238" t="str">
        <f ca="1">IF(Giocatori!G158="","D",Giocatori!G158)</f>
        <v>D</v>
      </c>
      <c r="B260" s="238" t="str">
        <f ca="1">IF(Giocatori!H184="","ZZZ" &amp; ROW(),Giocatori!H184)</f>
        <v>TOROSIDIS</v>
      </c>
      <c r="C260" s="238" t="str">
        <f ca="1">IF(Giocatori!I184="","NDR" &amp; ROW(),Giocatori!I184)</f>
        <v>Bologna</v>
      </c>
      <c r="D260" s="63">
        <f t="shared" ca="1" si="90"/>
        <v>70.002600000000001</v>
      </c>
      <c r="E260" s="63">
        <f t="shared" ca="1" si="91"/>
        <v>34.002600000000001</v>
      </c>
      <c r="F260" s="64">
        <f t="shared" ca="1" si="92"/>
        <v>61.640006723000006</v>
      </c>
      <c r="G260" s="63" t="str">
        <f t="shared" ca="1" si="93"/>
        <v/>
      </c>
      <c r="H260" s="65">
        <f t="shared" ca="1" si="94"/>
        <v>70</v>
      </c>
      <c r="I260" s="63" t="str">
        <f t="shared" ca="1" si="95"/>
        <v/>
      </c>
      <c r="J260" s="63">
        <f t="shared" ca="1" si="96"/>
        <v>1.0025999999999999</v>
      </c>
      <c r="K260" s="63">
        <f t="shared" ca="1" si="97"/>
        <v>1.0025999999999999</v>
      </c>
      <c r="L260" s="324" t="e">
        <f ca="1">VLOOKUP(Tabella113[[#This Row],[Calciatore]],'Raccolta Aste'!$F$2:$J$33,4,FALSE)*Asta!$U$3/100</f>
        <v>#N/A</v>
      </c>
      <c r="N260" s="58"/>
      <c r="O260" s="58"/>
      <c r="P260" s="58"/>
      <c r="Q260" s="58"/>
      <c r="R260" s="58"/>
      <c r="S260" s="58"/>
      <c r="U260" s="311"/>
      <c r="V260" s="311"/>
      <c r="W260" s="56">
        <f t="shared" ca="1" si="98"/>
        <v>82</v>
      </c>
      <c r="X260" s="56">
        <f t="shared" ca="1" si="99"/>
        <v>124</v>
      </c>
      <c r="Y260" s="56">
        <f t="shared" ca="1" si="100"/>
        <v>109</v>
      </c>
      <c r="Z260" s="56">
        <f t="shared" ca="1" si="101"/>
        <v>80</v>
      </c>
      <c r="AA260" s="56">
        <f t="shared" ca="1" si="102"/>
        <v>76</v>
      </c>
      <c r="AB260" s="56">
        <f ca="1">_xlfn.CEILING.MATH(INDIRECT(ADDRESS(85,22+MATCH($P$27,'I.A. + Fasce'!$W$84:$AA$84,0),1,1) &amp; ":" &amp; ADDRESS(305,22+MATCH($P$27,'I.A. + Fasce'!$W$84:$AA$84,0),1,1))/Asta!$H$3)</f>
        <v>16</v>
      </c>
    </row>
    <row r="261" spans="1:28" ht="14.25" customHeight="1">
      <c r="A261" s="238" t="str">
        <f ca="1">IF(Giocatori!G159="","D",Giocatori!G159)</f>
        <v>D</v>
      </c>
      <c r="B261" s="238" t="str">
        <f ca="1">IF(Giocatori!H185="","ZZZ" &amp; ROW(),Giocatori!H185)</f>
        <v>VAISANEN</v>
      </c>
      <c r="C261" s="238" t="str">
        <f ca="1">IF(Giocatori!I185="","NDR" &amp; ROW(),Giocatori!I185)</f>
        <v>SPAL</v>
      </c>
      <c r="D261" s="63">
        <f t="shared" ca="1" si="90"/>
        <v>66.002610000000004</v>
      </c>
      <c r="E261" s="63">
        <f t="shared" ca="1" si="91"/>
        <v>28.002610000000001</v>
      </c>
      <c r="F261" s="64">
        <f t="shared" ca="1" si="92"/>
        <v>53.539771390100832</v>
      </c>
      <c r="G261" s="63" t="str">
        <f t="shared" ca="1" si="93"/>
        <v>SCONSIGLIATO</v>
      </c>
      <c r="H261" s="65">
        <f t="shared" ca="1" si="94"/>
        <v>50</v>
      </c>
      <c r="I261" s="63" t="str">
        <f t="shared" ca="1" si="95"/>
        <v/>
      </c>
      <c r="J261" s="63">
        <f t="shared" ca="1" si="96"/>
        <v>1.00261</v>
      </c>
      <c r="K261" s="63">
        <f t="shared" ca="1" si="97"/>
        <v>1.00261</v>
      </c>
      <c r="L261" s="324" t="e">
        <f ca="1">VLOOKUP(Tabella113[[#This Row],[Calciatore]],'Raccolta Aste'!$F$2:$J$33,4,FALSE)*Asta!$U$3/100</f>
        <v>#N/A</v>
      </c>
      <c r="N261" s="58"/>
      <c r="O261" s="58"/>
      <c r="P261" s="58"/>
      <c r="Q261" s="58"/>
      <c r="R261" s="58"/>
      <c r="S261" s="58"/>
      <c r="U261" s="311"/>
      <c r="V261" s="311"/>
      <c r="W261" s="56">
        <f t="shared" ca="1" si="98"/>
        <v>122</v>
      </c>
      <c r="X261" s="56">
        <f t="shared" ca="1" si="99"/>
        <v>175</v>
      </c>
      <c r="Y261" s="56">
        <f t="shared" ca="1" si="100"/>
        <v>159</v>
      </c>
      <c r="Z261" s="56">
        <f t="shared" ca="1" si="101"/>
        <v>79</v>
      </c>
      <c r="AA261" s="56">
        <f t="shared" ca="1" si="102"/>
        <v>75</v>
      </c>
      <c r="AB261" s="56">
        <f ca="1">_xlfn.CEILING.MATH(INDIRECT(ADDRESS(85,22+MATCH($P$27,'I.A. + Fasce'!$W$84:$AA$84,0),1,1) &amp; ":" &amp; ADDRESS(305,22+MATCH($P$27,'I.A. + Fasce'!$W$84:$AA$84,0),1,1))/Asta!$H$3)</f>
        <v>22</v>
      </c>
    </row>
    <row r="262" spans="1:28" ht="14.25" customHeight="1">
      <c r="A262" s="238" t="str">
        <f ca="1">IF(Giocatori!G160="","D",Giocatori!G160)</f>
        <v>D</v>
      </c>
      <c r="B262" s="238" t="str">
        <f ca="1">IF(Giocatori!H186="","ZZZ" &amp; ROW(),Giocatori!H186)</f>
        <v>VAN DER WIEL</v>
      </c>
      <c r="C262" s="238" t="str">
        <f ca="1">IF(Giocatori!I186="","NDR" &amp; ROW(),Giocatori!I186)</f>
        <v>Cagliari</v>
      </c>
      <c r="D262" s="63">
        <f t="shared" ca="1" si="90"/>
        <v>77.002619999999993</v>
      </c>
      <c r="E262" s="63">
        <f t="shared" ca="1" si="91"/>
        <v>41.00262</v>
      </c>
      <c r="F262" s="64">
        <f t="shared" ca="1" si="92"/>
        <v>73.015363723869996</v>
      </c>
      <c r="G262" s="63" t="str">
        <f t="shared" ca="1" si="93"/>
        <v/>
      </c>
      <c r="H262" s="65">
        <f t="shared" ca="1" si="94"/>
        <v>80</v>
      </c>
      <c r="I262" s="63" t="str">
        <f t="shared" ca="1" si="95"/>
        <v/>
      </c>
      <c r="J262" s="63">
        <f t="shared" ca="1" si="96"/>
        <v>4.7164560103113438</v>
      </c>
      <c r="K262" s="63">
        <f t="shared" ca="1" si="97"/>
        <v>3.8945401423022292</v>
      </c>
      <c r="L262" s="324" t="e">
        <f ca="1">VLOOKUP(Tabella113[[#This Row],[Calciatore]],'Raccolta Aste'!$F$2:$J$33,4,FALSE)*Asta!$U$3/100</f>
        <v>#N/A</v>
      </c>
      <c r="N262" s="58"/>
      <c r="O262" s="58"/>
      <c r="P262" s="58"/>
      <c r="Q262" s="58"/>
      <c r="R262" s="58"/>
      <c r="S262" s="58"/>
      <c r="U262" s="311"/>
      <c r="V262" s="311"/>
      <c r="W262" s="56">
        <f t="shared" ca="1" si="98"/>
        <v>32</v>
      </c>
      <c r="X262" s="56">
        <f t="shared" ca="1" si="99"/>
        <v>31</v>
      </c>
      <c r="Y262" s="56">
        <f t="shared" ca="1" si="100"/>
        <v>33</v>
      </c>
      <c r="Z262" s="56">
        <f t="shared" ca="1" si="101"/>
        <v>47</v>
      </c>
      <c r="AA262" s="56">
        <f t="shared" ca="1" si="102"/>
        <v>51</v>
      </c>
      <c r="AB262" s="56">
        <f ca="1">_xlfn.CEILING.MATH(INDIRECT(ADDRESS(85,22+MATCH($P$27,'I.A. + Fasce'!$W$84:$AA$84,0),1,1) &amp; ":" &amp; ADDRESS(305,22+MATCH($P$27,'I.A. + Fasce'!$W$84:$AA$84,0),1,1))/Asta!$H$3)</f>
        <v>4</v>
      </c>
    </row>
    <row r="263" spans="1:28" ht="14.25" customHeight="1">
      <c r="A263" s="238" t="str">
        <f ca="1">IF(Giocatori!G161="","D",Giocatori!G161)</f>
        <v>D</v>
      </c>
      <c r="B263" s="238" t="str">
        <f ca="1">IF(Giocatori!H187="","ZZZ" &amp; ROW(),Giocatori!H187)</f>
        <v>VANHEUSDEN</v>
      </c>
      <c r="C263" s="238" t="str">
        <f ca="1">IF(Giocatori!I187="","NDR" &amp; ROW(),Giocatori!I187)</f>
        <v>Inter</v>
      </c>
      <c r="D263" s="63">
        <f t="shared" ca="1" si="90"/>
        <v>45.002630000000003</v>
      </c>
      <c r="E263" s="63">
        <f t="shared" ca="1" si="91"/>
        <v>33.002630000000003</v>
      </c>
      <c r="F263" s="64">
        <f t="shared" ca="1" si="92"/>
        <v>48.081706557640842</v>
      </c>
      <c r="G263" s="63" t="str">
        <f t="shared" ca="1" si="93"/>
        <v/>
      </c>
      <c r="H263" s="65">
        <f t="shared" ca="1" si="94"/>
        <v>40</v>
      </c>
      <c r="I263" s="63" t="str">
        <f t="shared" ca="1" si="95"/>
        <v/>
      </c>
      <c r="J263" s="63">
        <f t="shared" ca="1" si="96"/>
        <v>1.0026299999999999</v>
      </c>
      <c r="K263" s="63">
        <f t="shared" ca="1" si="97"/>
        <v>1.0026299999999999</v>
      </c>
      <c r="L263" s="324" t="e">
        <f ca="1">VLOOKUP(Tabella113[[#This Row],[Calciatore]],'Raccolta Aste'!$F$2:$J$33,4,FALSE)*Asta!$U$3/100</f>
        <v>#N/A</v>
      </c>
      <c r="N263" s="58"/>
      <c r="O263" s="58"/>
      <c r="P263" s="58"/>
      <c r="Q263" s="58"/>
      <c r="R263" s="58"/>
      <c r="S263" s="58"/>
      <c r="U263" s="311"/>
      <c r="V263" s="311"/>
      <c r="W263" s="56">
        <f t="shared" ca="1" si="98"/>
        <v>180</v>
      </c>
      <c r="X263" s="56">
        <f t="shared" ca="1" si="99"/>
        <v>141</v>
      </c>
      <c r="Y263" s="56">
        <f t="shared" ca="1" si="100"/>
        <v>175</v>
      </c>
      <c r="Z263" s="56">
        <f t="shared" ca="1" si="101"/>
        <v>78</v>
      </c>
      <c r="AA263" s="56">
        <f t="shared" ca="1" si="102"/>
        <v>74</v>
      </c>
      <c r="AB263" s="56">
        <f ca="1">_xlfn.CEILING.MATH(INDIRECT(ADDRESS(85,22+MATCH($P$27,'I.A. + Fasce'!$W$84:$AA$84,0),1,1) &amp; ":" &amp; ADDRESS(305,22+MATCH($P$27,'I.A. + Fasce'!$W$84:$AA$84,0),1,1))/Asta!$H$3)</f>
        <v>18</v>
      </c>
    </row>
    <row r="264" spans="1:28" ht="14.25" customHeight="1">
      <c r="A264" s="238" t="str">
        <f ca="1">IF(Giocatori!G162="","D",Giocatori!G162)</f>
        <v>D</v>
      </c>
      <c r="B264" s="238" t="str">
        <f ca="1">IF(Giocatori!H188="","ZZZ" &amp; ROW(),Giocatori!H188)</f>
        <v>VENUTI</v>
      </c>
      <c r="C264" s="238" t="str">
        <f ca="1">IF(Giocatori!I188="","NDR" &amp; ROW(),Giocatori!I188)</f>
        <v>Benevento</v>
      </c>
      <c r="D264" s="63">
        <f t="shared" ca="1" si="90"/>
        <v>66.00264</v>
      </c>
      <c r="E264" s="63">
        <f t="shared" ca="1" si="91"/>
        <v>39.00264</v>
      </c>
      <c r="F264" s="64">
        <f t="shared" ca="1" si="92"/>
        <v>65.181996058080003</v>
      </c>
      <c r="G264" s="63" t="str">
        <f t="shared" ca="1" si="93"/>
        <v/>
      </c>
      <c r="H264" s="65">
        <f t="shared" ca="1" si="94"/>
        <v>70</v>
      </c>
      <c r="I264" s="63" t="str">
        <f t="shared" ca="1" si="95"/>
        <v/>
      </c>
      <c r="J264" s="63">
        <f t="shared" ca="1" si="96"/>
        <v>1.00264</v>
      </c>
      <c r="K264" s="63">
        <f t="shared" ca="1" si="97"/>
        <v>1.00264</v>
      </c>
      <c r="L264" s="324" t="e">
        <f ca="1">VLOOKUP(Tabella113[[#This Row],[Calciatore]],'Raccolta Aste'!$F$2:$J$33,4,FALSE)*Asta!$U$3/100</f>
        <v>#N/A</v>
      </c>
      <c r="N264" s="58"/>
      <c r="O264" s="58"/>
      <c r="P264" s="58"/>
      <c r="Q264" s="58"/>
      <c r="R264" s="58"/>
      <c r="S264" s="58"/>
      <c r="U264" s="311"/>
      <c r="V264" s="311"/>
      <c r="W264" s="56">
        <f t="shared" ca="1" si="98"/>
        <v>121</v>
      </c>
      <c r="X264" s="56">
        <f t="shared" ca="1" si="99"/>
        <v>59</v>
      </c>
      <c r="Y264" s="56">
        <f t="shared" ca="1" si="100"/>
        <v>86</v>
      </c>
      <c r="Z264" s="56">
        <f t="shared" ca="1" si="101"/>
        <v>77</v>
      </c>
      <c r="AA264" s="56">
        <f t="shared" ca="1" si="102"/>
        <v>73</v>
      </c>
      <c r="AB264" s="56">
        <f ca="1">_xlfn.CEILING.MATH(INDIRECT(ADDRESS(85,22+MATCH($P$27,'I.A. + Fasce'!$W$84:$AA$84,0),1,1) &amp; ":" &amp; ADDRESS(305,22+MATCH($P$27,'I.A. + Fasce'!$W$84:$AA$84,0),1,1))/Asta!$H$3)</f>
        <v>8</v>
      </c>
    </row>
    <row r="265" spans="1:28" ht="14.25" customHeight="1">
      <c r="A265" s="238" t="str">
        <f ca="1">IF(Giocatori!G163="","D",Giocatori!G163)</f>
        <v>D</v>
      </c>
      <c r="B265" s="238" t="str">
        <f ca="1">IF(Giocatori!H189="","ZZZ" &amp; ROW(),Giocatori!H189)</f>
        <v>VICARI</v>
      </c>
      <c r="C265" s="238" t="str">
        <f ca="1">IF(Giocatori!I189="","NDR" &amp; ROW(),Giocatori!I189)</f>
        <v>SPAL</v>
      </c>
      <c r="D265" s="63">
        <f t="shared" ca="1" si="90"/>
        <v>67.002650000000003</v>
      </c>
      <c r="E265" s="63">
        <f t="shared" ca="1" si="91"/>
        <v>33.002650000000003</v>
      </c>
      <c r="F265" s="64">
        <f t="shared" ca="1" si="92"/>
        <v>59.081757558520842</v>
      </c>
      <c r="G265" s="63" t="str">
        <f t="shared" ca="1" si="93"/>
        <v/>
      </c>
      <c r="H265" s="65">
        <f t="shared" ca="1" si="94"/>
        <v>60</v>
      </c>
      <c r="I265" s="63" t="str">
        <f t="shared" ca="1" si="95"/>
        <v/>
      </c>
      <c r="J265" s="63">
        <f t="shared" ca="1" si="96"/>
        <v>1.00265</v>
      </c>
      <c r="K265" s="63">
        <f t="shared" ca="1" si="97"/>
        <v>1.00265</v>
      </c>
      <c r="L265" s="324" t="e">
        <f ca="1">VLOOKUP(Tabella113[[#This Row],[Calciatore]],'Raccolta Aste'!$F$2:$J$33,4,FALSE)*Asta!$U$3/100</f>
        <v>#N/A</v>
      </c>
      <c r="N265" s="58"/>
      <c r="O265" s="58"/>
      <c r="P265" s="58"/>
      <c r="Q265" s="58"/>
      <c r="R265" s="58"/>
      <c r="S265" s="58"/>
      <c r="U265" s="311"/>
      <c r="V265" s="311"/>
      <c r="W265" s="56">
        <f t="shared" ca="1" si="98"/>
        <v>114</v>
      </c>
      <c r="X265" s="56">
        <f t="shared" ca="1" si="99"/>
        <v>140</v>
      </c>
      <c r="Y265" s="56">
        <f t="shared" ca="1" si="100"/>
        <v>133</v>
      </c>
      <c r="Z265" s="56">
        <f t="shared" ca="1" si="101"/>
        <v>76</v>
      </c>
      <c r="AA265" s="56">
        <f t="shared" ca="1" si="102"/>
        <v>72</v>
      </c>
      <c r="AB265" s="56">
        <f ca="1">_xlfn.CEILING.MATH(INDIRECT(ADDRESS(85,22+MATCH($P$27,'I.A. + Fasce'!$W$84:$AA$84,0),1,1) &amp; ":" &amp; ADDRESS(305,22+MATCH($P$27,'I.A. + Fasce'!$W$84:$AA$84,0),1,1))/Asta!$H$3)</f>
        <v>18</v>
      </c>
    </row>
    <row r="266" spans="1:28" ht="14.25" customHeight="1">
      <c r="A266" s="238" t="str">
        <f ca="1">IF(Giocatori!G164="","D",Giocatori!G164)</f>
        <v>D</v>
      </c>
      <c r="B266" s="238" t="str">
        <f ca="1">IF(Giocatori!H190="","ZZZ" &amp; ROW(),Giocatori!H190)</f>
        <v>VITOR HUGO</v>
      </c>
      <c r="C266" s="238" t="str">
        <f ca="1">IF(Giocatori!I190="","NDR" &amp; ROW(),Giocatori!I190)</f>
        <v>Fiorentina</v>
      </c>
      <c r="D266" s="63">
        <f t="shared" ca="1" si="90"/>
        <v>77.002660000000006</v>
      </c>
      <c r="E266" s="63">
        <f t="shared" ca="1" si="91"/>
        <v>39.002659999999999</v>
      </c>
      <c r="F266" s="64">
        <f t="shared" ca="1" si="92"/>
        <v>70.682049058963344</v>
      </c>
      <c r="G266" s="63" t="str">
        <f t="shared" ca="1" si="93"/>
        <v/>
      </c>
      <c r="H266" s="65">
        <f t="shared" ca="1" si="94"/>
        <v>70</v>
      </c>
      <c r="I266" s="63" t="str">
        <f t="shared" ca="1" si="95"/>
        <v/>
      </c>
      <c r="J266" s="63">
        <f t="shared" ca="1" si="96"/>
        <v>2.5374241247252214</v>
      </c>
      <c r="K266" s="63">
        <f t="shared" ca="1" si="97"/>
        <v>1.2272322632376791</v>
      </c>
      <c r="L266" s="324" t="e">
        <f ca="1">VLOOKUP(Tabella113[[#This Row],[Calciatore]],'Raccolta Aste'!$F$2:$J$33,4,FALSE)*Asta!$U$3/100</f>
        <v>#N/A</v>
      </c>
      <c r="N266" s="58"/>
      <c r="O266" s="58"/>
      <c r="P266" s="58"/>
      <c r="Q266" s="58"/>
      <c r="R266" s="58"/>
      <c r="S266" s="58"/>
      <c r="U266" s="311"/>
      <c r="V266" s="311"/>
      <c r="W266" s="56">
        <f t="shared" ca="1" si="98"/>
        <v>31</v>
      </c>
      <c r="X266" s="56">
        <f t="shared" ca="1" si="99"/>
        <v>58</v>
      </c>
      <c r="Y266" s="56">
        <f t="shared" ca="1" si="100"/>
        <v>50</v>
      </c>
      <c r="Z266" s="56">
        <f t="shared" ca="1" si="101"/>
        <v>64</v>
      </c>
      <c r="AA266" s="56">
        <f t="shared" ca="1" si="102"/>
        <v>66</v>
      </c>
      <c r="AB266" s="56">
        <f ca="1">_xlfn.CEILING.MATH(INDIRECT(ADDRESS(85,22+MATCH($P$27,'I.A. + Fasce'!$W$84:$AA$84,0),1,1) &amp; ":" &amp; ADDRESS(305,22+MATCH($P$27,'I.A. + Fasce'!$W$84:$AA$84,0),1,1))/Asta!$H$3)</f>
        <v>8</v>
      </c>
    </row>
    <row r="267" spans="1:28" ht="14.25" customHeight="1">
      <c r="A267" s="238" t="str">
        <f ca="1">IF(Giocatori!G165="","D",Giocatori!G165)</f>
        <v>D</v>
      </c>
      <c r="B267" s="238" t="str">
        <f ca="1">IF(Giocatori!H191="","ZZZ" &amp; ROW(),Giocatori!H191)</f>
        <v>WALLACE</v>
      </c>
      <c r="C267" s="238" t="str">
        <f ca="1">IF(Giocatori!I191="","NDR" &amp; ROW(),Giocatori!I191)</f>
        <v>Lazio</v>
      </c>
      <c r="D267" s="63">
        <f t="shared" ca="1" si="90"/>
        <v>70.002669999999995</v>
      </c>
      <c r="E267" s="63">
        <f t="shared" ca="1" si="91"/>
        <v>37.002670000000002</v>
      </c>
      <c r="F267" s="64">
        <f t="shared" ca="1" si="92"/>
        <v>64.915319892740825</v>
      </c>
      <c r="G267" s="63" t="str">
        <f t="shared" ca="1" si="93"/>
        <v/>
      </c>
      <c r="H267" s="65">
        <f t="shared" ca="1" si="94"/>
        <v>60</v>
      </c>
      <c r="I267" s="63" t="str">
        <f t="shared" ca="1" si="95"/>
        <v/>
      </c>
      <c r="J267" s="63">
        <f t="shared" ca="1" si="96"/>
        <v>1.00267</v>
      </c>
      <c r="K267" s="63">
        <f t="shared" ca="1" si="97"/>
        <v>1.00267</v>
      </c>
      <c r="L267" s="324" t="e">
        <f ca="1">VLOOKUP(Tabella113[[#This Row],[Calciatore]],'Raccolta Aste'!$F$2:$J$33,4,FALSE)*Asta!$U$3/100</f>
        <v>#N/A</v>
      </c>
      <c r="N267" s="58"/>
      <c r="O267" s="58"/>
      <c r="P267" s="58"/>
      <c r="Q267" s="58"/>
      <c r="R267" s="58"/>
      <c r="S267" s="58"/>
      <c r="U267" s="311"/>
      <c r="V267" s="311"/>
      <c r="W267" s="56">
        <f t="shared" ca="1" si="98"/>
        <v>81</v>
      </c>
      <c r="X267" s="56">
        <f t="shared" ca="1" si="99"/>
        <v>88</v>
      </c>
      <c r="Y267" s="56">
        <f t="shared" ca="1" si="100"/>
        <v>90</v>
      </c>
      <c r="Z267" s="56">
        <f t="shared" ca="1" si="101"/>
        <v>75</v>
      </c>
      <c r="AA267" s="56">
        <f t="shared" ca="1" si="102"/>
        <v>71</v>
      </c>
      <c r="AB267" s="56">
        <f ca="1">_xlfn.CEILING.MATH(INDIRECT(ADDRESS(85,22+MATCH($P$27,'I.A. + Fasce'!$W$84:$AA$84,0),1,1) &amp; ":" &amp; ADDRESS(305,22+MATCH($P$27,'I.A. + Fasce'!$W$84:$AA$84,0),1,1))/Asta!$H$3)</f>
        <v>11</v>
      </c>
    </row>
    <row r="268" spans="1:28" ht="14.25" customHeight="1">
      <c r="A268" s="238" t="str">
        <f ca="1">IF(Giocatori!G166="","D",Giocatori!G166)</f>
        <v>D</v>
      </c>
      <c r="B268" s="238" t="str">
        <f ca="1">IF(Giocatori!H192="","ZZZ" &amp; ROW(),Giocatori!H192)</f>
        <v>WIDMER</v>
      </c>
      <c r="C268" s="238" t="str">
        <f ca="1">IF(Giocatori!I192="","NDR" &amp; ROW(),Giocatori!I192)</f>
        <v>Udinese</v>
      </c>
      <c r="D268" s="63">
        <f t="shared" ca="1" si="90"/>
        <v>81.002679999999998</v>
      </c>
      <c r="E268" s="63">
        <f t="shared" ca="1" si="91"/>
        <v>42.002679999999998</v>
      </c>
      <c r="F268" s="64">
        <f t="shared" ca="1" si="92"/>
        <v>76.207236059853344</v>
      </c>
      <c r="G268" s="63" t="str">
        <f t="shared" ca="1" si="93"/>
        <v/>
      </c>
      <c r="H268" s="65">
        <f t="shared" ca="1" si="94"/>
        <v>90</v>
      </c>
      <c r="I268" s="63" t="str">
        <f t="shared" ca="1" si="95"/>
        <v/>
      </c>
      <c r="J268" s="63">
        <f t="shared" ca="1" si="96"/>
        <v>8.8183963387630779</v>
      </c>
      <c r="K268" s="63">
        <f t="shared" ca="1" si="97"/>
        <v>8.2088817165127583</v>
      </c>
      <c r="L268" s="324">
        <f ca="1">VLOOKUP(Tabella113[[#This Row],[Calciatore]],'Raccolta Aste'!$F$2:$J$33,4,FALSE)*Asta!$U$3/100</f>
        <v>0</v>
      </c>
      <c r="N268" s="58"/>
      <c r="O268" s="58"/>
      <c r="P268" s="58"/>
      <c r="Q268" s="58"/>
      <c r="R268" s="58"/>
      <c r="S268" s="58"/>
      <c r="U268" s="311"/>
      <c r="V268" s="311"/>
      <c r="W268" s="56">
        <f t="shared" ca="1" si="98"/>
        <v>21</v>
      </c>
      <c r="X268" s="56">
        <f t="shared" ca="1" si="99"/>
        <v>24</v>
      </c>
      <c r="Y268" s="56">
        <f t="shared" ca="1" si="100"/>
        <v>24</v>
      </c>
      <c r="Z268" s="56">
        <f t="shared" ca="1" si="101"/>
        <v>24</v>
      </c>
      <c r="AA268" s="56">
        <f t="shared" ca="1" si="102"/>
        <v>29</v>
      </c>
      <c r="AB268" s="56">
        <f ca="1">_xlfn.CEILING.MATH(INDIRECT(ADDRESS(85,22+MATCH($P$27,'I.A. + Fasce'!$W$84:$AA$84,0),1,1) &amp; ":" &amp; ADDRESS(305,22+MATCH($P$27,'I.A. + Fasce'!$W$84:$AA$84,0),1,1))/Asta!$H$3)</f>
        <v>3</v>
      </c>
    </row>
    <row r="269" spans="1:28" ht="14.25" customHeight="1">
      <c r="A269" s="238" t="str">
        <f ca="1">IF(Giocatori!G167="","D",Giocatori!G167)</f>
        <v>D</v>
      </c>
      <c r="B269" s="238" t="str">
        <f ca="1">IF(Giocatori!H193="","ZZZ" &amp; ROW(),Giocatori!H193)</f>
        <v>ZAPATA C</v>
      </c>
      <c r="C269" s="238" t="str">
        <f ca="1">IF(Giocatori!I193="","NDR" &amp; ROW(),Giocatori!I193)</f>
        <v>Milan</v>
      </c>
      <c r="D269" s="63">
        <f t="shared" ca="1" si="90"/>
        <v>65.002690000000001</v>
      </c>
      <c r="E269" s="63">
        <f t="shared" ca="1" si="91"/>
        <v>36.002690000000001</v>
      </c>
      <c r="F269" s="64">
        <f t="shared" ca="1" si="92"/>
        <v>61.306994060300838</v>
      </c>
      <c r="G269" s="63" t="str">
        <f t="shared" ca="1" si="93"/>
        <v/>
      </c>
      <c r="H269" s="65">
        <f t="shared" ca="1" si="94"/>
        <v>60</v>
      </c>
      <c r="I269" s="63" t="str">
        <f t="shared" ca="1" si="95"/>
        <v/>
      </c>
      <c r="J269" s="63">
        <f t="shared" ca="1" si="96"/>
        <v>1.0026900000000001</v>
      </c>
      <c r="K269" s="63">
        <f t="shared" ca="1" si="97"/>
        <v>1.0026900000000001</v>
      </c>
      <c r="L269" s="324" t="e">
        <f ca="1">VLOOKUP(Tabella113[[#This Row],[Calciatore]],'Raccolta Aste'!$F$2:$J$33,4,FALSE)*Asta!$U$3/100</f>
        <v>#N/A</v>
      </c>
      <c r="N269" s="58"/>
      <c r="O269" s="58"/>
      <c r="P269" s="58"/>
      <c r="Q269" s="58"/>
      <c r="R269" s="58"/>
      <c r="S269" s="58"/>
      <c r="U269" s="311"/>
      <c r="V269" s="311"/>
      <c r="W269" s="56">
        <f t="shared" ca="1" si="98"/>
        <v>130</v>
      </c>
      <c r="X269" s="56">
        <f t="shared" ca="1" si="99"/>
        <v>99</v>
      </c>
      <c r="Y269" s="56">
        <f t="shared" ca="1" si="100"/>
        <v>112</v>
      </c>
      <c r="Z269" s="56">
        <f t="shared" ca="1" si="101"/>
        <v>74</v>
      </c>
      <c r="AA269" s="56">
        <f t="shared" ca="1" si="102"/>
        <v>70</v>
      </c>
      <c r="AB269" s="56">
        <f ca="1">_xlfn.CEILING.MATH(INDIRECT(ADDRESS(85,22+MATCH($P$27,'I.A. + Fasce'!$W$84:$AA$84,0),1,1) &amp; ":" &amp; ADDRESS(305,22+MATCH($P$27,'I.A. + Fasce'!$W$84:$AA$84,0),1,1))/Asta!$H$3)</f>
        <v>13</v>
      </c>
    </row>
    <row r="270" spans="1:28" ht="14.25" customHeight="1">
      <c r="A270" s="238" t="str">
        <f ca="1">IF(Giocatori!G168="","D",Giocatori!G168)</f>
        <v>D</v>
      </c>
      <c r="B270" s="238" t="str">
        <f ca="1">IF(Giocatori!H194="","ZZZ" &amp; ROW(),Giocatori!H194)</f>
        <v>ZUKANOVIC</v>
      </c>
      <c r="C270" s="238" t="str">
        <f ca="1">IF(Giocatori!I194="","NDR" &amp; ROW(),Giocatori!I194)</f>
        <v>Genoa</v>
      </c>
      <c r="D270" s="63">
        <f t="shared" ca="1" si="90"/>
        <v>73.002700000000004</v>
      </c>
      <c r="E270" s="63">
        <f t="shared" ca="1" si="91"/>
        <v>40.002699999999997</v>
      </c>
      <c r="F270" s="64">
        <f t="shared" ca="1" si="92"/>
        <v>69.840533394083337</v>
      </c>
      <c r="G270" s="63" t="str">
        <f t="shared" ca="1" si="93"/>
        <v/>
      </c>
      <c r="H270" s="65">
        <f t="shared" ca="1" si="94"/>
        <v>60</v>
      </c>
      <c r="I270" s="63" t="str">
        <f t="shared" ca="1" si="95"/>
        <v xml:space="preserve">2P </v>
      </c>
      <c r="J270" s="63">
        <f t="shared" ca="1" si="96"/>
        <v>3.2889550888068859</v>
      </c>
      <c r="K270" s="63">
        <f t="shared" ca="1" si="97"/>
        <v>2.6697970706133054</v>
      </c>
      <c r="L270" s="324" t="e">
        <f ca="1">VLOOKUP(Tabella113[[#This Row],[Calciatore]],'Raccolta Aste'!$F$2:$J$33,4,FALSE)*Asta!$U$3/100</f>
        <v>#N/A</v>
      </c>
      <c r="N270" s="58"/>
      <c r="O270" s="58"/>
      <c r="P270" s="58"/>
      <c r="Q270" s="58"/>
      <c r="R270" s="58"/>
      <c r="S270" s="58"/>
      <c r="U270" s="311"/>
      <c r="V270" s="311"/>
      <c r="W270" s="56">
        <f t="shared" ca="1" si="98"/>
        <v>63</v>
      </c>
      <c r="X270" s="56">
        <f t="shared" ca="1" si="99"/>
        <v>50</v>
      </c>
      <c r="Y270" s="56">
        <f t="shared" ca="1" si="100"/>
        <v>52</v>
      </c>
      <c r="Z270" s="56">
        <f t="shared" ca="1" si="101"/>
        <v>58</v>
      </c>
      <c r="AA270" s="56">
        <f t="shared" ca="1" si="102"/>
        <v>62</v>
      </c>
      <c r="AB270" s="56">
        <f ca="1">_xlfn.CEILING.MATH(INDIRECT(ADDRESS(85,22+MATCH($P$27,'I.A. + Fasce'!$W$84:$AA$84,0),1,1) &amp; ":" &amp; ADDRESS(305,22+MATCH($P$27,'I.A. + Fasce'!$W$84:$AA$84,0),1,1))/Asta!$H$3)</f>
        <v>7</v>
      </c>
    </row>
    <row r="271" spans="1:28" ht="14.25" customHeight="1">
      <c r="A271" s="238" t="str">
        <f ca="1">IF(Giocatori!G169="","D",Giocatori!G169)</f>
        <v>D</v>
      </c>
      <c r="B271" s="238" t="str">
        <f ca="1">IF(Giocatori!H195="","ZZZ" &amp; ROW(),Giocatori!H195)</f>
        <v>ZZZ271</v>
      </c>
      <c r="C271" s="238" t="str">
        <f ca="1">IF(Giocatori!I195="","NDR" &amp; ROW(),Giocatori!I195)</f>
        <v>NDR271</v>
      </c>
      <c r="D271" s="63">
        <f t="shared" ca="1" si="90"/>
        <v>2.7100000000000002E-3</v>
      </c>
      <c r="E271" s="63">
        <f t="shared" ca="1" si="91"/>
        <v>2.7100000000000002E-3</v>
      </c>
      <c r="F271" s="64">
        <f t="shared" ca="1" si="92"/>
        <v>5.4200612008333338E-3</v>
      </c>
      <c r="G271" s="63" t="str">
        <f t="shared" ca="1" si="93"/>
        <v/>
      </c>
      <c r="H271" s="65" t="str">
        <f t="shared" ca="1" si="94"/>
        <v/>
      </c>
      <c r="I271" s="63" t="str">
        <f t="shared" ca="1" si="95"/>
        <v/>
      </c>
      <c r="J271" s="63">
        <f t="shared" ca="1" si="96"/>
        <v>2.7100000000000002E-3</v>
      </c>
      <c r="K271" s="63">
        <f t="shared" ca="1" si="97"/>
        <v>2.7100000000000002E-3</v>
      </c>
      <c r="L271" s="324" t="e">
        <f ca="1">VLOOKUP(Tabella113[[#This Row],[Calciatore]],'Raccolta Aste'!$F$2:$J$33,4,FALSE)*Asta!$U$3/100</f>
        <v>#N/A</v>
      </c>
      <c r="N271" s="58"/>
      <c r="O271" s="58"/>
      <c r="P271" s="58"/>
      <c r="Q271" s="58"/>
      <c r="R271" s="58"/>
      <c r="S271" s="58"/>
      <c r="U271" s="311"/>
      <c r="V271" s="311"/>
      <c r="W271" s="56">
        <f t="shared" ca="1" si="98"/>
        <v>221</v>
      </c>
      <c r="X271" s="56">
        <f t="shared" ca="1" si="99"/>
        <v>218</v>
      </c>
      <c r="Y271" s="56">
        <f t="shared" ca="1" si="100"/>
        <v>221</v>
      </c>
      <c r="Z271" s="56">
        <f t="shared" ca="1" si="101"/>
        <v>221</v>
      </c>
      <c r="AA271" s="56">
        <f t="shared" ca="1" si="102"/>
        <v>221</v>
      </c>
      <c r="AB271" s="56">
        <f ca="1">_xlfn.CEILING.MATH(INDIRECT(ADDRESS(85,22+MATCH($P$27,'I.A. + Fasce'!$W$84:$AA$84,0),1,1) &amp; ":" &amp; ADDRESS(305,22+MATCH($P$27,'I.A. + Fasce'!$W$84:$AA$84,0),1,1))/Asta!$H$3)</f>
        <v>28</v>
      </c>
    </row>
    <row r="272" spans="1:28" ht="14.25" customHeight="1">
      <c r="A272" s="238" t="str">
        <f ca="1">IF(Giocatori!G170="","D",Giocatori!G170)</f>
        <v>D</v>
      </c>
      <c r="B272" s="238" t="str">
        <f ca="1">IF(Giocatori!H196="","ZZZ" &amp; ROW(),Giocatori!H196)</f>
        <v>ZZZ272</v>
      </c>
      <c r="C272" s="238" t="str">
        <f ca="1">IF(Giocatori!I196="","NDR" &amp; ROW(),Giocatori!I196)</f>
        <v>NDR272</v>
      </c>
      <c r="D272" s="63">
        <f t="shared" ca="1" si="90"/>
        <v>2.7200000000000002E-3</v>
      </c>
      <c r="E272" s="63">
        <f t="shared" ca="1" si="91"/>
        <v>2.7200000000000002E-3</v>
      </c>
      <c r="F272" s="64">
        <f t="shared" ca="1" si="92"/>
        <v>5.4400616533333331E-3</v>
      </c>
      <c r="G272" s="63" t="str">
        <f t="shared" ca="1" si="93"/>
        <v/>
      </c>
      <c r="H272" s="65" t="str">
        <f t="shared" ca="1" si="94"/>
        <v/>
      </c>
      <c r="I272" s="63" t="str">
        <f t="shared" ca="1" si="95"/>
        <v/>
      </c>
      <c r="J272" s="63">
        <f t="shared" ca="1" si="96"/>
        <v>2.7200000000000002E-3</v>
      </c>
      <c r="K272" s="63">
        <f t="shared" ca="1" si="97"/>
        <v>2.7200000000000002E-3</v>
      </c>
      <c r="L272" s="324" t="e">
        <f ca="1">VLOOKUP(Tabella113[[#This Row],[Calciatore]],'Raccolta Aste'!$F$2:$J$33,4,FALSE)*Asta!$U$3/100</f>
        <v>#N/A</v>
      </c>
      <c r="N272" s="58"/>
      <c r="O272" s="58"/>
      <c r="P272" s="58"/>
      <c r="Q272" s="58"/>
      <c r="R272" s="58"/>
      <c r="S272" s="58"/>
      <c r="U272" s="311"/>
      <c r="V272" s="311"/>
      <c r="W272" s="56">
        <f t="shared" ca="1" si="98"/>
        <v>220</v>
      </c>
      <c r="X272" s="56">
        <f t="shared" ca="1" si="99"/>
        <v>217</v>
      </c>
      <c r="Y272" s="56">
        <f t="shared" ca="1" si="100"/>
        <v>220</v>
      </c>
      <c r="Z272" s="56">
        <f t="shared" ca="1" si="101"/>
        <v>220</v>
      </c>
      <c r="AA272" s="56">
        <f t="shared" ca="1" si="102"/>
        <v>220</v>
      </c>
      <c r="AB272" s="56">
        <f ca="1">_xlfn.CEILING.MATH(INDIRECT(ADDRESS(85,22+MATCH($P$27,'I.A. + Fasce'!$W$84:$AA$84,0),1,1) &amp; ":" &amp; ADDRESS(305,22+MATCH($P$27,'I.A. + Fasce'!$W$84:$AA$84,0),1,1))/Asta!$H$3)</f>
        <v>28</v>
      </c>
    </row>
    <row r="273" spans="1:28" ht="14.25" customHeight="1">
      <c r="A273" s="238" t="str">
        <f ca="1">IF(Giocatori!G171="","D",Giocatori!G171)</f>
        <v>D</v>
      </c>
      <c r="B273" s="238" t="str">
        <f ca="1">IF(Giocatori!H197="","ZZZ" &amp; ROW(),Giocatori!H197)</f>
        <v>ZZZ273</v>
      </c>
      <c r="C273" s="238" t="str">
        <f ca="1">IF(Giocatori!I197="","NDR" &amp; ROW(),Giocatori!I197)</f>
        <v>NDR273</v>
      </c>
      <c r="D273" s="63">
        <f t="shared" ca="1" si="90"/>
        <v>2.7299999999999998E-3</v>
      </c>
      <c r="E273" s="63">
        <f t="shared" ca="1" si="91"/>
        <v>2.7299999999999998E-3</v>
      </c>
      <c r="F273" s="64">
        <f t="shared" ca="1" si="92"/>
        <v>5.4600621075000001E-3</v>
      </c>
      <c r="G273" s="63" t="str">
        <f t="shared" ca="1" si="93"/>
        <v/>
      </c>
      <c r="H273" s="65" t="str">
        <f t="shared" ca="1" si="94"/>
        <v/>
      </c>
      <c r="I273" s="63" t="str">
        <f t="shared" ca="1" si="95"/>
        <v/>
      </c>
      <c r="J273" s="63">
        <f t="shared" ca="1" si="96"/>
        <v>2.7299999999999998E-3</v>
      </c>
      <c r="K273" s="63">
        <f t="shared" ca="1" si="97"/>
        <v>2.7299999999999998E-3</v>
      </c>
      <c r="L273" s="324" t="e">
        <f ca="1">VLOOKUP(Tabella113[[#This Row],[Calciatore]],'Raccolta Aste'!$F$2:$J$33,4,FALSE)*Asta!$U$3/100</f>
        <v>#N/A</v>
      </c>
      <c r="N273" s="58"/>
      <c r="O273" s="58"/>
      <c r="P273" s="58"/>
      <c r="Q273" s="58"/>
      <c r="R273" s="58"/>
      <c r="S273" s="58"/>
      <c r="U273" s="311"/>
      <c r="V273" s="311"/>
      <c r="W273" s="56">
        <f t="shared" ca="1" si="98"/>
        <v>219</v>
      </c>
      <c r="X273" s="56">
        <f t="shared" ca="1" si="99"/>
        <v>216</v>
      </c>
      <c r="Y273" s="56">
        <f t="shared" ca="1" si="100"/>
        <v>219</v>
      </c>
      <c r="Z273" s="56">
        <f t="shared" ca="1" si="101"/>
        <v>219</v>
      </c>
      <c r="AA273" s="56">
        <f t="shared" ca="1" si="102"/>
        <v>219</v>
      </c>
      <c r="AB273" s="56">
        <f ca="1">_xlfn.CEILING.MATH(INDIRECT(ADDRESS(85,22+MATCH($P$27,'I.A. + Fasce'!$W$84:$AA$84,0),1,1) &amp; ":" &amp; ADDRESS(305,22+MATCH($P$27,'I.A. + Fasce'!$W$84:$AA$84,0),1,1))/Asta!$H$3)</f>
        <v>27</v>
      </c>
    </row>
    <row r="274" spans="1:28" ht="14.25" customHeight="1">
      <c r="A274" s="238" t="str">
        <f ca="1">IF(Giocatori!G172="","D",Giocatori!G172)</f>
        <v>D</v>
      </c>
      <c r="B274" s="238" t="str">
        <f ca="1">IF(Giocatori!H198="","ZZZ" &amp; ROW(),Giocatori!H198)</f>
        <v>ZZZ274</v>
      </c>
      <c r="C274" s="238" t="str">
        <f ca="1">IF(Giocatori!I198="","NDR" &amp; ROW(),Giocatori!I198)</f>
        <v>NDR274</v>
      </c>
      <c r="D274" s="63">
        <f t="shared" ca="1" si="90"/>
        <v>2.7399999999999998E-3</v>
      </c>
      <c r="E274" s="63">
        <f t="shared" ca="1" si="91"/>
        <v>2.7399999999999998E-3</v>
      </c>
      <c r="F274" s="64">
        <f t="shared" ca="1" si="92"/>
        <v>5.4800625633333331E-3</v>
      </c>
      <c r="G274" s="63" t="str">
        <f t="shared" ca="1" si="93"/>
        <v/>
      </c>
      <c r="H274" s="65" t="str">
        <f t="shared" ca="1" si="94"/>
        <v/>
      </c>
      <c r="I274" s="63" t="str">
        <f t="shared" ca="1" si="95"/>
        <v/>
      </c>
      <c r="J274" s="63">
        <f t="shared" ca="1" si="96"/>
        <v>2.7399999999999998E-3</v>
      </c>
      <c r="K274" s="63">
        <f t="shared" ca="1" si="97"/>
        <v>2.7399999999999998E-3</v>
      </c>
      <c r="L274" s="324" t="e">
        <f ca="1">VLOOKUP(Tabella113[[#This Row],[Calciatore]],'Raccolta Aste'!$F$2:$J$33,4,FALSE)*Asta!$U$3/100</f>
        <v>#N/A</v>
      </c>
      <c r="N274" s="58"/>
      <c r="O274" s="58"/>
      <c r="P274" s="58"/>
      <c r="Q274" s="58"/>
      <c r="R274" s="58"/>
      <c r="S274" s="58"/>
      <c r="U274" s="311"/>
      <c r="V274" s="311"/>
      <c r="W274" s="56">
        <f t="shared" ca="1" si="98"/>
        <v>218</v>
      </c>
      <c r="X274" s="56">
        <f t="shared" ca="1" si="99"/>
        <v>215</v>
      </c>
      <c r="Y274" s="56">
        <f t="shared" ca="1" si="100"/>
        <v>218</v>
      </c>
      <c r="Z274" s="56">
        <f t="shared" ca="1" si="101"/>
        <v>218</v>
      </c>
      <c r="AA274" s="56">
        <f t="shared" ca="1" si="102"/>
        <v>218</v>
      </c>
      <c r="AB274" s="56">
        <f ca="1">_xlfn.CEILING.MATH(INDIRECT(ADDRESS(85,22+MATCH($P$27,'I.A. + Fasce'!$W$84:$AA$84,0),1,1) &amp; ":" &amp; ADDRESS(305,22+MATCH($P$27,'I.A. + Fasce'!$W$84:$AA$84,0),1,1))/Asta!$H$3)</f>
        <v>27</v>
      </c>
    </row>
    <row r="275" spans="1:28" ht="14.25" customHeight="1">
      <c r="A275" s="238" t="str">
        <f ca="1">IF(Giocatori!G173="","D",Giocatori!G173)</f>
        <v>D</v>
      </c>
      <c r="B275" s="238" t="str">
        <f ca="1">IF(Giocatori!H199="","ZZZ" &amp; ROW(),Giocatori!H199)</f>
        <v>ZZZ275</v>
      </c>
      <c r="C275" s="238" t="str">
        <f ca="1">IF(Giocatori!I199="","NDR" &amp; ROW(),Giocatori!I199)</f>
        <v>NDR275</v>
      </c>
      <c r="D275" s="63">
        <f t="shared" ca="1" si="90"/>
        <v>2.7499999999999998E-3</v>
      </c>
      <c r="E275" s="63">
        <f t="shared" ca="1" si="91"/>
        <v>2.7499999999999998E-3</v>
      </c>
      <c r="F275" s="64">
        <f t="shared" ca="1" si="92"/>
        <v>5.5000630208333328E-3</v>
      </c>
      <c r="G275" s="63" t="str">
        <f t="shared" ca="1" si="93"/>
        <v/>
      </c>
      <c r="H275" s="65" t="str">
        <f t="shared" ca="1" si="94"/>
        <v/>
      </c>
      <c r="I275" s="63" t="str">
        <f t="shared" ca="1" si="95"/>
        <v/>
      </c>
      <c r="J275" s="63">
        <f t="shared" ca="1" si="96"/>
        <v>2.7499999999999998E-3</v>
      </c>
      <c r="K275" s="63">
        <f t="shared" ca="1" si="97"/>
        <v>2.7499999999999998E-3</v>
      </c>
      <c r="L275" s="324" t="e">
        <f ca="1">VLOOKUP(Tabella113[[#This Row],[Calciatore]],'Raccolta Aste'!$F$2:$J$33,4,FALSE)*Asta!$U$3/100</f>
        <v>#N/A</v>
      </c>
      <c r="N275" s="58"/>
      <c r="O275" s="547" t="s">
        <v>704</v>
      </c>
      <c r="P275" s="547"/>
      <c r="Q275" s="58"/>
      <c r="R275" s="58"/>
      <c r="S275" s="58"/>
      <c r="U275" s="311"/>
      <c r="V275" s="311"/>
      <c r="W275" s="56">
        <f t="shared" ca="1" si="98"/>
        <v>217</v>
      </c>
      <c r="X275" s="56">
        <f t="shared" ca="1" si="99"/>
        <v>214</v>
      </c>
      <c r="Y275" s="56">
        <f t="shared" ca="1" si="100"/>
        <v>217</v>
      </c>
      <c r="Z275" s="56">
        <f t="shared" ca="1" si="101"/>
        <v>217</v>
      </c>
      <c r="AA275" s="56">
        <f t="shared" ca="1" si="102"/>
        <v>217</v>
      </c>
      <c r="AB275" s="56">
        <f ca="1">_xlfn.CEILING.MATH(INDIRECT(ADDRESS(85,22+MATCH($P$27,'I.A. + Fasce'!$W$84:$AA$84,0),1,1) &amp; ":" &amp; ADDRESS(305,22+MATCH($P$27,'I.A. + Fasce'!$W$84:$AA$84,0),1,1))/Asta!$H$3)</f>
        <v>27</v>
      </c>
    </row>
    <row r="276" spans="1:28" ht="14.25" customHeight="1">
      <c r="A276" s="238" t="str">
        <f ca="1">IF(Giocatori!G174="","D",Giocatori!G174)</f>
        <v>D</v>
      </c>
      <c r="B276" s="238" t="str">
        <f ca="1">IF(Giocatori!H200="","ZZZ" &amp; ROW(),Giocatori!H200)</f>
        <v>ZZZ276</v>
      </c>
      <c r="C276" s="238" t="str">
        <f ca="1">IF(Giocatori!I200="","NDR" &amp; ROW(),Giocatori!I200)</f>
        <v>NDR276</v>
      </c>
      <c r="D276" s="63">
        <f t="shared" ca="1" si="90"/>
        <v>2.7599999999999999E-3</v>
      </c>
      <c r="E276" s="63">
        <f t="shared" ca="1" si="91"/>
        <v>2.7599999999999999E-3</v>
      </c>
      <c r="F276" s="64">
        <f t="shared" ca="1" si="92"/>
        <v>5.5200634800000002E-3</v>
      </c>
      <c r="G276" s="63" t="str">
        <f t="shared" ca="1" si="93"/>
        <v/>
      </c>
      <c r="H276" s="65" t="str">
        <f t="shared" ca="1" si="94"/>
        <v/>
      </c>
      <c r="I276" s="63" t="str">
        <f t="shared" ca="1" si="95"/>
        <v/>
      </c>
      <c r="J276" s="63">
        <f t="shared" ca="1" si="96"/>
        <v>2.7599999999999999E-3</v>
      </c>
      <c r="K276" s="63">
        <f t="shared" ca="1" si="97"/>
        <v>2.7599999999999999E-3</v>
      </c>
      <c r="L276" s="324" t="e">
        <f ca="1">VLOOKUP(Tabella113[[#This Row],[Calciatore]],'Raccolta Aste'!$F$2:$J$33,4,FALSE)*Asta!$U$3/100</f>
        <v>#N/A</v>
      </c>
      <c r="N276" s="58"/>
      <c r="O276" s="58"/>
      <c r="P276" s="58"/>
      <c r="Q276" s="58"/>
      <c r="R276" s="58"/>
      <c r="S276" s="58"/>
      <c r="U276" s="311"/>
      <c r="V276" s="311"/>
      <c r="W276" s="56">
        <f t="shared" ca="1" si="98"/>
        <v>216</v>
      </c>
      <c r="X276" s="56">
        <f t="shared" ca="1" si="99"/>
        <v>213</v>
      </c>
      <c r="Y276" s="56">
        <f t="shared" ca="1" si="100"/>
        <v>216</v>
      </c>
      <c r="Z276" s="56">
        <f t="shared" ca="1" si="101"/>
        <v>216</v>
      </c>
      <c r="AA276" s="56">
        <f t="shared" ca="1" si="102"/>
        <v>216</v>
      </c>
      <c r="AB276" s="56">
        <f ca="1">_xlfn.CEILING.MATH(INDIRECT(ADDRESS(85,22+MATCH($P$27,'I.A. + Fasce'!$W$84:$AA$84,0),1,1) &amp; ":" &amp; ADDRESS(305,22+MATCH($P$27,'I.A. + Fasce'!$W$84:$AA$84,0),1,1))/Asta!$H$3)</f>
        <v>27</v>
      </c>
    </row>
    <row r="277" spans="1:28" ht="14.25" customHeight="1">
      <c r="A277" s="238" t="str">
        <f ca="1">IF(Giocatori!G175="","D",Giocatori!G175)</f>
        <v>D</v>
      </c>
      <c r="B277" s="238" t="str">
        <f ca="1">IF(Giocatori!H201="","ZZZ" &amp; ROW(),Giocatori!H201)</f>
        <v>ZZZ277</v>
      </c>
      <c r="C277" s="238" t="str">
        <f ca="1">IF(Giocatori!I201="","NDR" &amp; ROW(),Giocatori!I201)</f>
        <v>NDR277</v>
      </c>
      <c r="D277" s="63">
        <f t="shared" ref="D277:D305" ca="1" si="103">IF(ISNA(VLOOKUP($B277,TabAlgTutti,6,FALSE)),0,VLOOKUP($B277,TabAlgTutti,6,FALSE))+ROW()/100000</f>
        <v>2.7699999999999999E-3</v>
      </c>
      <c r="E277" s="63">
        <f t="shared" ref="E277:E305" ca="1" si="104">IF(ISNA(VLOOKUP($B277,TabAlgTutti,5,FALSE)),0,VLOOKUP($B277,TabAlgTutti,5,FALSE))+ROW()/100000</f>
        <v>2.7699999999999999E-3</v>
      </c>
      <c r="F277" s="64">
        <f t="shared" ref="F277:F305" ca="1" si="105">($D277*$P$8+$E277*(1+$E277*100/60/100)*$S$8)/100+ROW()/100000</f>
        <v>5.5400639408333327E-3</v>
      </c>
      <c r="G277" s="63" t="str">
        <f t="shared" ref="G277:G305" ca="1" si="106">IF(ISNA(VLOOKUP($B277,TabAlgTutti,7,FALSE)),"",IF(VLOOKUP($B277,TabAlgTutti,7,FALSE)=-1,"SCONSIGLIATO",IF(VLOOKUP($B277,TabAlgTutti,7,FALSE)=0,"SORPRESA",IF(VLOOKUP($B277,TabAlgTutti,7,FALSE)=1,"CONSIGLIATO",""))))</f>
        <v/>
      </c>
      <c r="H277" s="65" t="str">
        <f t="shared" ref="H277:H305" ca="1" si="107">IF(ISNA(VLOOKUP($B277,TabAlgTutti,8,FALSE)),"",VLOOKUP($B277,TabAlgTutti,8,FALSE))</f>
        <v/>
      </c>
      <c r="I277" s="63" t="str">
        <f t="shared" ref="I277:I305" ca="1" si="108">IF(ISNA(VLOOKUP($B277,TabAlgTutti,9,FALSE)),"",IF(VLOOKUP($B277,TabAlgTutti,9,FALSE)="","",VLOOKUP($B277,TabAlgTutti,9,FALSE)&amp;"R "))&amp;IF(ISNA(VLOOKUP($B277,TabAlgTutti,10,FALSE)),"",IF(VLOOKUP($B277,TabAlgTutti,10,FALSE)="","",VLOOKUP($B277,TabAlgTutti,10,FALSE)&amp;"P "))&amp;IF(ISNA(VLOOKUP($B277,TabAlgTutti,11,FALSE)),"",IF(VLOOKUP($B277,TabAlgTutti,11,FALSE)="","",VLOOKUP($B277,TabAlgTutti,11,FALSE)&amp;"A"))</f>
        <v/>
      </c>
      <c r="J277" s="63">
        <f t="shared" ref="J277:J305" ca="1" si="109">IF(ISNA(VLOOKUP($B277,TabAlgTutti,3,FALSE)),0,VLOOKUP($B277,TabAlgTutti,3,FALSE))+ROW()/100000</f>
        <v>2.7699999999999999E-3</v>
      </c>
      <c r="K277" s="63">
        <f t="shared" ref="K277:K305" ca="1" si="110">IF(ISNA(VLOOKUP($B277,TabAlgTutti,4,FALSE)),0,VLOOKUP($B277,TabAlgTutti,4,FALSE))+ROW()/100000</f>
        <v>2.7699999999999999E-3</v>
      </c>
      <c r="L277" s="324" t="e">
        <f ca="1">VLOOKUP(Tabella113[[#This Row],[Calciatore]],'Raccolta Aste'!$F$2:$J$33,4,FALSE)*Asta!$U$3/100</f>
        <v>#N/A</v>
      </c>
      <c r="N277" s="58"/>
      <c r="O277" s="58"/>
      <c r="P277" s="58"/>
      <c r="Q277" s="58"/>
      <c r="R277" s="58"/>
      <c r="S277" s="58"/>
      <c r="U277" s="311"/>
      <c r="V277" s="311"/>
      <c r="W277" s="56">
        <f t="shared" ca="1" si="98"/>
        <v>215</v>
      </c>
      <c r="X277" s="56">
        <f t="shared" ca="1" si="99"/>
        <v>212</v>
      </c>
      <c r="Y277" s="56">
        <f t="shared" ca="1" si="100"/>
        <v>215</v>
      </c>
      <c r="Z277" s="56">
        <f t="shared" ca="1" si="101"/>
        <v>215</v>
      </c>
      <c r="AA277" s="56">
        <f t="shared" ca="1" si="102"/>
        <v>215</v>
      </c>
      <c r="AB277" s="56">
        <f ca="1">_xlfn.CEILING.MATH(INDIRECT(ADDRESS(85,22+MATCH($P$27,'I.A. + Fasce'!$W$84:$AA$84,0),1,1) &amp; ":" &amp; ADDRESS(305,22+MATCH($P$27,'I.A. + Fasce'!$W$84:$AA$84,0),1,1))/Asta!$H$3)</f>
        <v>27</v>
      </c>
    </row>
    <row r="278" spans="1:28" ht="14.25" customHeight="1">
      <c r="A278" s="238" t="str">
        <f ca="1">IF(Giocatori!G176="","D",Giocatori!G176)</f>
        <v>D</v>
      </c>
      <c r="B278" s="238" t="str">
        <f ca="1">IF(Giocatori!H202="","ZZZ" &amp; ROW(),Giocatori!H202)</f>
        <v>ZZZ278</v>
      </c>
      <c r="C278" s="238" t="str">
        <f ca="1">IF(Giocatori!I202="","NDR" &amp; ROW(),Giocatori!I202)</f>
        <v>NDR278</v>
      </c>
      <c r="D278" s="63">
        <f t="shared" ca="1" si="103"/>
        <v>2.7799999999999999E-3</v>
      </c>
      <c r="E278" s="63">
        <f t="shared" ca="1" si="104"/>
        <v>2.7799999999999999E-3</v>
      </c>
      <c r="F278" s="64">
        <f t="shared" ca="1" si="105"/>
        <v>5.5600644033333337E-3</v>
      </c>
      <c r="G278" s="63" t="str">
        <f t="shared" ca="1" si="106"/>
        <v/>
      </c>
      <c r="H278" s="65" t="str">
        <f t="shared" ca="1" si="107"/>
        <v/>
      </c>
      <c r="I278" s="63" t="str">
        <f t="shared" ca="1" si="108"/>
        <v/>
      </c>
      <c r="J278" s="63">
        <f t="shared" ca="1" si="109"/>
        <v>2.7799999999999999E-3</v>
      </c>
      <c r="K278" s="63">
        <f t="shared" ca="1" si="110"/>
        <v>2.7799999999999999E-3</v>
      </c>
      <c r="L278" s="324" t="e">
        <f ca="1">VLOOKUP(Tabella113[[#This Row],[Calciatore]],'Raccolta Aste'!$F$2:$J$33,4,FALSE)*Asta!$U$3/100</f>
        <v>#N/A</v>
      </c>
      <c r="N278" s="58"/>
      <c r="O278" s="58"/>
      <c r="P278" s="58"/>
      <c r="Q278" s="58"/>
      <c r="R278" s="58"/>
      <c r="S278" s="58"/>
      <c r="U278" s="311"/>
      <c r="V278" s="311"/>
      <c r="W278" s="56">
        <f t="shared" ref="W278:W305" ca="1" si="111">_xlfn.RANK.EQ(D278,D$85:D$305,0)</f>
        <v>214</v>
      </c>
      <c r="X278" s="56">
        <f t="shared" ref="X278:X305" ca="1" si="112">_xlfn.RANK.EQ(E278,$E$85:$E$305,0)</f>
        <v>211</v>
      </c>
      <c r="Y278" s="56">
        <f t="shared" ref="Y278:Y305" ca="1" si="113">_xlfn.RANK.EQ(F278,$F$85:$F$305,0)</f>
        <v>214</v>
      </c>
      <c r="Z278" s="56">
        <f t="shared" ref="Z278:Z305" ca="1" si="114">_xlfn.RANK.EQ(J278,$J$85:$J$305,0)</f>
        <v>214</v>
      </c>
      <c r="AA278" s="56">
        <f t="shared" ref="AA278:AA305" ca="1" si="115">_xlfn.RANK.EQ(K278,$K$85:$K$305,0)</f>
        <v>214</v>
      </c>
      <c r="AB278" s="56">
        <f ca="1">_xlfn.CEILING.MATH(INDIRECT(ADDRESS(85,22+MATCH($P$27,'I.A. + Fasce'!$W$84:$AA$84,0),1,1) &amp; ":" &amp; ADDRESS(305,22+MATCH($P$27,'I.A. + Fasce'!$W$84:$AA$84,0),1,1))/Asta!$H$3)</f>
        <v>27</v>
      </c>
    </row>
    <row r="279" spans="1:28" ht="14.25" customHeight="1">
      <c r="A279" s="238" t="str">
        <f ca="1">IF(Giocatori!G177="","D",Giocatori!G177)</f>
        <v>D</v>
      </c>
      <c r="B279" s="238" t="str">
        <f ca="1">IF(Giocatori!H203="","ZZZ" &amp; ROW(),Giocatori!H203)</f>
        <v>ZZZ279</v>
      </c>
      <c r="C279" s="238" t="str">
        <f ca="1">IF(Giocatori!I203="","NDR" &amp; ROW(),Giocatori!I203)</f>
        <v>NDR279</v>
      </c>
      <c r="D279" s="63">
        <f t="shared" ca="1" si="103"/>
        <v>2.7899999999999999E-3</v>
      </c>
      <c r="E279" s="63">
        <f t="shared" ca="1" si="104"/>
        <v>2.7899999999999999E-3</v>
      </c>
      <c r="F279" s="64">
        <f t="shared" ca="1" si="105"/>
        <v>5.5800648674999998E-3</v>
      </c>
      <c r="G279" s="63" t="str">
        <f t="shared" ca="1" si="106"/>
        <v/>
      </c>
      <c r="H279" s="65" t="str">
        <f t="shared" ca="1" si="107"/>
        <v/>
      </c>
      <c r="I279" s="63" t="str">
        <f t="shared" ca="1" si="108"/>
        <v/>
      </c>
      <c r="J279" s="63">
        <f t="shared" ca="1" si="109"/>
        <v>2.7899999999999999E-3</v>
      </c>
      <c r="K279" s="63">
        <f t="shared" ca="1" si="110"/>
        <v>2.7899999999999999E-3</v>
      </c>
      <c r="L279" s="324" t="e">
        <f ca="1">VLOOKUP(Tabella113[[#This Row],[Calciatore]],'Raccolta Aste'!$F$2:$J$33,4,FALSE)*Asta!$U$3/100</f>
        <v>#N/A</v>
      </c>
      <c r="N279" s="58"/>
      <c r="O279" s="58"/>
      <c r="P279" s="58"/>
      <c r="Q279" s="58"/>
      <c r="R279" s="58"/>
      <c r="S279" s="58"/>
      <c r="U279" s="311"/>
      <c r="V279" s="311"/>
      <c r="W279" s="56">
        <f t="shared" ca="1" si="111"/>
        <v>213</v>
      </c>
      <c r="X279" s="56">
        <f t="shared" ca="1" si="112"/>
        <v>210</v>
      </c>
      <c r="Y279" s="56">
        <f t="shared" ca="1" si="113"/>
        <v>213</v>
      </c>
      <c r="Z279" s="56">
        <f t="shared" ca="1" si="114"/>
        <v>213</v>
      </c>
      <c r="AA279" s="56">
        <f t="shared" ca="1" si="115"/>
        <v>213</v>
      </c>
      <c r="AB279" s="56">
        <f ca="1">_xlfn.CEILING.MATH(INDIRECT(ADDRESS(85,22+MATCH($P$27,'I.A. + Fasce'!$W$84:$AA$84,0),1,1) &amp; ":" &amp; ADDRESS(305,22+MATCH($P$27,'I.A. + Fasce'!$W$84:$AA$84,0),1,1))/Asta!$H$3)</f>
        <v>27</v>
      </c>
    </row>
    <row r="280" spans="1:28" ht="14.25" customHeight="1">
      <c r="A280" s="238" t="str">
        <f ca="1">IF(Giocatori!G178="","D",Giocatori!G178)</f>
        <v>D</v>
      </c>
      <c r="B280" s="238" t="str">
        <f ca="1">IF(Giocatori!H204="","ZZZ" &amp; ROW(),Giocatori!H204)</f>
        <v>ZZZ280</v>
      </c>
      <c r="C280" s="238" t="str">
        <f ca="1">IF(Giocatori!I204="","NDR" &amp; ROW(),Giocatori!I204)</f>
        <v>NDR280</v>
      </c>
      <c r="D280" s="63">
        <f t="shared" ca="1" si="103"/>
        <v>2.8E-3</v>
      </c>
      <c r="E280" s="63">
        <f t="shared" ca="1" si="104"/>
        <v>2.8E-3</v>
      </c>
      <c r="F280" s="64">
        <f t="shared" ca="1" si="105"/>
        <v>5.6000653333333336E-3</v>
      </c>
      <c r="G280" s="63" t="str">
        <f t="shared" ca="1" si="106"/>
        <v/>
      </c>
      <c r="H280" s="65" t="str">
        <f t="shared" ca="1" si="107"/>
        <v/>
      </c>
      <c r="I280" s="63" t="str">
        <f t="shared" ca="1" si="108"/>
        <v/>
      </c>
      <c r="J280" s="63">
        <f t="shared" ca="1" si="109"/>
        <v>2.8E-3</v>
      </c>
      <c r="K280" s="63">
        <f t="shared" ca="1" si="110"/>
        <v>2.8E-3</v>
      </c>
      <c r="L280" s="324" t="e">
        <f ca="1">VLOOKUP(Tabella113[[#This Row],[Calciatore]],'Raccolta Aste'!$F$2:$J$33,4,FALSE)*Asta!$U$3/100</f>
        <v>#N/A</v>
      </c>
      <c r="N280" s="58"/>
      <c r="O280" s="58"/>
      <c r="P280" s="58"/>
      <c r="Q280" s="58"/>
      <c r="R280" s="58"/>
      <c r="S280" s="58"/>
      <c r="U280" s="311"/>
      <c r="V280" s="311"/>
      <c r="W280" s="56">
        <f t="shared" ca="1" si="111"/>
        <v>212</v>
      </c>
      <c r="X280" s="56">
        <f t="shared" ca="1" si="112"/>
        <v>209</v>
      </c>
      <c r="Y280" s="56">
        <f t="shared" ca="1" si="113"/>
        <v>212</v>
      </c>
      <c r="Z280" s="56">
        <f t="shared" ca="1" si="114"/>
        <v>212</v>
      </c>
      <c r="AA280" s="56">
        <f t="shared" ca="1" si="115"/>
        <v>212</v>
      </c>
      <c r="AB280" s="56">
        <f ca="1">_xlfn.CEILING.MATH(INDIRECT(ADDRESS(85,22+MATCH($P$27,'I.A. + Fasce'!$W$84:$AA$84,0),1,1) &amp; ":" &amp; ADDRESS(305,22+MATCH($P$27,'I.A. + Fasce'!$W$84:$AA$84,0),1,1))/Asta!$H$3)</f>
        <v>27</v>
      </c>
    </row>
    <row r="281" spans="1:28" ht="14.25" customHeight="1">
      <c r="A281" s="238" t="str">
        <f ca="1">IF(Giocatori!G179="","D",Giocatori!G179)</f>
        <v>D</v>
      </c>
      <c r="B281" s="238" t="str">
        <f ca="1">IF(Giocatori!H205="","ZZZ" &amp; ROW(),Giocatori!H205)</f>
        <v>ZZZ281</v>
      </c>
      <c r="C281" s="238" t="str">
        <f ca="1">IF(Giocatori!I205="","NDR" &amp; ROW(),Giocatori!I205)</f>
        <v>NDR281</v>
      </c>
      <c r="D281" s="63">
        <f t="shared" ca="1" si="103"/>
        <v>2.81E-3</v>
      </c>
      <c r="E281" s="63">
        <f t="shared" ca="1" si="104"/>
        <v>2.81E-3</v>
      </c>
      <c r="F281" s="64">
        <f t="shared" ca="1" si="105"/>
        <v>5.6200658008333333E-3</v>
      </c>
      <c r="G281" s="63" t="str">
        <f t="shared" ca="1" si="106"/>
        <v/>
      </c>
      <c r="H281" s="65" t="str">
        <f t="shared" ca="1" si="107"/>
        <v/>
      </c>
      <c r="I281" s="63" t="str">
        <f t="shared" ca="1" si="108"/>
        <v/>
      </c>
      <c r="J281" s="63">
        <f t="shared" ca="1" si="109"/>
        <v>2.81E-3</v>
      </c>
      <c r="K281" s="63">
        <f t="shared" ca="1" si="110"/>
        <v>2.81E-3</v>
      </c>
      <c r="L281" s="324" t="e">
        <f ca="1">VLOOKUP(Tabella113[[#This Row],[Calciatore]],'Raccolta Aste'!$F$2:$J$33,4,FALSE)*Asta!$U$3/100</f>
        <v>#N/A</v>
      </c>
      <c r="N281" s="58"/>
      <c r="O281" s="58"/>
      <c r="P281" s="58"/>
      <c r="Q281" s="58"/>
      <c r="R281" s="58"/>
      <c r="S281" s="58"/>
      <c r="U281" s="311"/>
      <c r="V281" s="311"/>
      <c r="W281" s="56">
        <f t="shared" ca="1" si="111"/>
        <v>211</v>
      </c>
      <c r="X281" s="56">
        <f t="shared" ca="1" si="112"/>
        <v>208</v>
      </c>
      <c r="Y281" s="56">
        <f t="shared" ca="1" si="113"/>
        <v>211</v>
      </c>
      <c r="Z281" s="56">
        <f t="shared" ca="1" si="114"/>
        <v>211</v>
      </c>
      <c r="AA281" s="56">
        <f t="shared" ca="1" si="115"/>
        <v>211</v>
      </c>
      <c r="AB281" s="56">
        <f ca="1">_xlfn.CEILING.MATH(INDIRECT(ADDRESS(85,22+MATCH($P$27,'I.A. + Fasce'!$W$84:$AA$84,0),1,1) &amp; ":" &amp; ADDRESS(305,22+MATCH($P$27,'I.A. + Fasce'!$W$84:$AA$84,0),1,1))/Asta!$H$3)</f>
        <v>26</v>
      </c>
    </row>
    <row r="282" spans="1:28" ht="14.25" customHeight="1">
      <c r="A282" s="238" t="str">
        <f ca="1">IF(Giocatori!G180="","D",Giocatori!G180)</f>
        <v>D</v>
      </c>
      <c r="B282" s="238" t="str">
        <f ca="1">IF(Giocatori!H206="","ZZZ" &amp; ROW(),Giocatori!H206)</f>
        <v>ZZZ282</v>
      </c>
      <c r="C282" s="238" t="str">
        <f ca="1">IF(Giocatori!I206="","NDR" &amp; ROW(),Giocatori!I206)</f>
        <v>NDR282</v>
      </c>
      <c r="D282" s="63">
        <f t="shared" ca="1" si="103"/>
        <v>2.82E-3</v>
      </c>
      <c r="E282" s="63">
        <f t="shared" ca="1" si="104"/>
        <v>2.82E-3</v>
      </c>
      <c r="F282" s="64">
        <f t="shared" ca="1" si="105"/>
        <v>5.6400662700000007E-3</v>
      </c>
      <c r="G282" s="63" t="str">
        <f t="shared" ca="1" si="106"/>
        <v/>
      </c>
      <c r="H282" s="65" t="str">
        <f t="shared" ca="1" si="107"/>
        <v/>
      </c>
      <c r="I282" s="63" t="str">
        <f t="shared" ca="1" si="108"/>
        <v/>
      </c>
      <c r="J282" s="63">
        <f t="shared" ca="1" si="109"/>
        <v>2.82E-3</v>
      </c>
      <c r="K282" s="63">
        <f t="shared" ca="1" si="110"/>
        <v>2.82E-3</v>
      </c>
      <c r="L282" s="324" t="e">
        <f ca="1">VLOOKUP(Tabella113[[#This Row],[Calciatore]],'Raccolta Aste'!$F$2:$J$33,4,FALSE)*Asta!$U$3/100</f>
        <v>#N/A</v>
      </c>
      <c r="N282" s="58"/>
      <c r="O282" s="58"/>
      <c r="P282" s="58"/>
      <c r="Q282" s="58"/>
      <c r="R282" s="58"/>
      <c r="S282" s="58"/>
      <c r="U282" s="311"/>
      <c r="V282" s="311"/>
      <c r="W282" s="56">
        <f t="shared" ca="1" si="111"/>
        <v>210</v>
      </c>
      <c r="X282" s="56">
        <f t="shared" ca="1" si="112"/>
        <v>207</v>
      </c>
      <c r="Y282" s="56">
        <f t="shared" ca="1" si="113"/>
        <v>210</v>
      </c>
      <c r="Z282" s="56">
        <f t="shared" ca="1" si="114"/>
        <v>210</v>
      </c>
      <c r="AA282" s="56">
        <f t="shared" ca="1" si="115"/>
        <v>210</v>
      </c>
      <c r="AB282" s="56">
        <f ca="1">_xlfn.CEILING.MATH(INDIRECT(ADDRESS(85,22+MATCH($P$27,'I.A. + Fasce'!$W$84:$AA$84,0),1,1) &amp; ":" &amp; ADDRESS(305,22+MATCH($P$27,'I.A. + Fasce'!$W$84:$AA$84,0),1,1))/Asta!$H$3)</f>
        <v>26</v>
      </c>
    </row>
    <row r="283" spans="1:28" ht="14.25" customHeight="1">
      <c r="A283" s="238" t="str">
        <f ca="1">IF(Giocatori!G181="","D",Giocatori!G181)</f>
        <v>D</v>
      </c>
      <c r="B283" s="238" t="str">
        <f ca="1">IF(Giocatori!H207="","ZZZ" &amp; ROW(),Giocatori!H207)</f>
        <v>ZZZ283</v>
      </c>
      <c r="C283" s="238" t="str">
        <f ca="1">IF(Giocatori!I207="","NDR" &amp; ROW(),Giocatori!I207)</f>
        <v>NDR283</v>
      </c>
      <c r="D283" s="63">
        <f t="shared" ca="1" si="103"/>
        <v>2.8300000000000001E-3</v>
      </c>
      <c r="E283" s="63">
        <f t="shared" ca="1" si="104"/>
        <v>2.8300000000000001E-3</v>
      </c>
      <c r="F283" s="64">
        <f t="shared" ca="1" si="105"/>
        <v>5.660066740833334E-3</v>
      </c>
      <c r="G283" s="63" t="str">
        <f t="shared" ca="1" si="106"/>
        <v/>
      </c>
      <c r="H283" s="65" t="str">
        <f t="shared" ca="1" si="107"/>
        <v/>
      </c>
      <c r="I283" s="63" t="str">
        <f t="shared" ca="1" si="108"/>
        <v/>
      </c>
      <c r="J283" s="63">
        <f t="shared" ca="1" si="109"/>
        <v>2.8300000000000001E-3</v>
      </c>
      <c r="K283" s="63">
        <f t="shared" ca="1" si="110"/>
        <v>2.8300000000000001E-3</v>
      </c>
      <c r="L283" s="324" t="e">
        <f ca="1">VLOOKUP(Tabella113[[#This Row],[Calciatore]],'Raccolta Aste'!$F$2:$J$33,4,FALSE)*Asta!$U$3/100</f>
        <v>#N/A</v>
      </c>
      <c r="N283" s="58"/>
      <c r="O283" s="58"/>
      <c r="P283" s="58"/>
      <c r="Q283" s="58"/>
      <c r="R283" s="58"/>
      <c r="S283" s="58"/>
      <c r="U283" s="311"/>
      <c r="V283" s="311"/>
      <c r="W283" s="56">
        <f t="shared" ca="1" si="111"/>
        <v>209</v>
      </c>
      <c r="X283" s="56">
        <f t="shared" ca="1" si="112"/>
        <v>206</v>
      </c>
      <c r="Y283" s="56">
        <f t="shared" ca="1" si="113"/>
        <v>209</v>
      </c>
      <c r="Z283" s="56">
        <f t="shared" ca="1" si="114"/>
        <v>209</v>
      </c>
      <c r="AA283" s="56">
        <f t="shared" ca="1" si="115"/>
        <v>209</v>
      </c>
      <c r="AB283" s="56">
        <f ca="1">_xlfn.CEILING.MATH(INDIRECT(ADDRESS(85,22+MATCH($P$27,'I.A. + Fasce'!$W$84:$AA$84,0),1,1) &amp; ":" &amp; ADDRESS(305,22+MATCH($P$27,'I.A. + Fasce'!$W$84:$AA$84,0),1,1))/Asta!$H$3)</f>
        <v>26</v>
      </c>
    </row>
    <row r="284" spans="1:28" ht="14.25" customHeight="1">
      <c r="A284" s="238" t="str">
        <f ca="1">IF(Giocatori!G182="","D",Giocatori!G182)</f>
        <v>D</v>
      </c>
      <c r="B284" s="238" t="str">
        <f ca="1">IF(Giocatori!H208="","ZZZ" &amp; ROW(),Giocatori!H208)</f>
        <v>ZZZ284</v>
      </c>
      <c r="C284" s="238" t="str">
        <f ca="1">IF(Giocatori!I208="","NDR" &amp; ROW(),Giocatori!I208)</f>
        <v>NDR284</v>
      </c>
      <c r="D284" s="63">
        <f t="shared" ca="1" si="103"/>
        <v>2.8400000000000001E-3</v>
      </c>
      <c r="E284" s="63">
        <f t="shared" ca="1" si="104"/>
        <v>2.8400000000000001E-3</v>
      </c>
      <c r="F284" s="64">
        <f t="shared" ca="1" si="105"/>
        <v>5.6800672133333341E-3</v>
      </c>
      <c r="G284" s="63" t="str">
        <f t="shared" ca="1" si="106"/>
        <v/>
      </c>
      <c r="H284" s="65" t="str">
        <f t="shared" ca="1" si="107"/>
        <v/>
      </c>
      <c r="I284" s="63" t="str">
        <f t="shared" ca="1" si="108"/>
        <v/>
      </c>
      <c r="J284" s="63">
        <f t="shared" ca="1" si="109"/>
        <v>2.8400000000000001E-3</v>
      </c>
      <c r="K284" s="63">
        <f t="shared" ca="1" si="110"/>
        <v>2.8400000000000001E-3</v>
      </c>
      <c r="L284" s="324" t="e">
        <f ca="1">VLOOKUP(Tabella113[[#This Row],[Calciatore]],'Raccolta Aste'!$F$2:$J$33,4,FALSE)*Asta!$U$3/100</f>
        <v>#N/A</v>
      </c>
      <c r="N284" s="58"/>
      <c r="O284" s="58"/>
      <c r="P284" s="58"/>
      <c r="Q284" s="58"/>
      <c r="R284" s="58"/>
      <c r="S284" s="58"/>
      <c r="U284" s="311"/>
      <c r="V284" s="311"/>
      <c r="W284" s="56">
        <f t="shared" ca="1" si="111"/>
        <v>208</v>
      </c>
      <c r="X284" s="56">
        <f t="shared" ca="1" si="112"/>
        <v>205</v>
      </c>
      <c r="Y284" s="56">
        <f t="shared" ca="1" si="113"/>
        <v>208</v>
      </c>
      <c r="Z284" s="56">
        <f t="shared" ca="1" si="114"/>
        <v>208</v>
      </c>
      <c r="AA284" s="56">
        <f t="shared" ca="1" si="115"/>
        <v>208</v>
      </c>
      <c r="AB284" s="56">
        <f ca="1">_xlfn.CEILING.MATH(INDIRECT(ADDRESS(85,22+MATCH($P$27,'I.A. + Fasce'!$W$84:$AA$84,0),1,1) &amp; ":" &amp; ADDRESS(305,22+MATCH($P$27,'I.A. + Fasce'!$W$84:$AA$84,0),1,1))/Asta!$H$3)</f>
        <v>26</v>
      </c>
    </row>
    <row r="285" spans="1:28" ht="14.25" customHeight="1">
      <c r="A285" s="238" t="str">
        <f ca="1">IF(Giocatori!G183="","D",Giocatori!G183)</f>
        <v>D</v>
      </c>
      <c r="B285" s="238" t="str">
        <f ca="1">IF(Giocatori!H209="","ZZZ" &amp; ROW(),Giocatori!H209)</f>
        <v>ZZZ285</v>
      </c>
      <c r="C285" s="238" t="str">
        <f ca="1">IF(Giocatori!I209="","NDR" &amp; ROW(),Giocatori!I209)</f>
        <v>NDR285</v>
      </c>
      <c r="D285" s="63">
        <f t="shared" ca="1" si="103"/>
        <v>2.8500000000000001E-3</v>
      </c>
      <c r="E285" s="63">
        <f t="shared" ca="1" si="104"/>
        <v>2.8500000000000001E-3</v>
      </c>
      <c r="F285" s="64">
        <f t="shared" ca="1" si="105"/>
        <v>5.700067687500001E-3</v>
      </c>
      <c r="G285" s="63" t="str">
        <f t="shared" ca="1" si="106"/>
        <v/>
      </c>
      <c r="H285" s="65" t="str">
        <f t="shared" ca="1" si="107"/>
        <v/>
      </c>
      <c r="I285" s="63" t="str">
        <f t="shared" ca="1" si="108"/>
        <v/>
      </c>
      <c r="J285" s="63">
        <f t="shared" ca="1" si="109"/>
        <v>2.8500000000000001E-3</v>
      </c>
      <c r="K285" s="63">
        <f t="shared" ca="1" si="110"/>
        <v>2.8500000000000001E-3</v>
      </c>
      <c r="L285" s="324" t="e">
        <f ca="1">VLOOKUP(Tabella113[[#This Row],[Calciatore]],'Raccolta Aste'!$F$2:$J$33,4,FALSE)*Asta!$U$3/100</f>
        <v>#N/A</v>
      </c>
      <c r="N285" s="58"/>
      <c r="O285" s="58"/>
      <c r="P285" s="58"/>
      <c r="Q285" s="58"/>
      <c r="R285" s="58"/>
      <c r="S285" s="58"/>
      <c r="U285" s="311"/>
      <c r="V285" s="311"/>
      <c r="W285" s="56">
        <f t="shared" ca="1" si="111"/>
        <v>207</v>
      </c>
      <c r="X285" s="56">
        <f t="shared" ca="1" si="112"/>
        <v>204</v>
      </c>
      <c r="Y285" s="56">
        <f t="shared" ca="1" si="113"/>
        <v>207</v>
      </c>
      <c r="Z285" s="56">
        <f t="shared" ca="1" si="114"/>
        <v>207</v>
      </c>
      <c r="AA285" s="56">
        <f t="shared" ca="1" si="115"/>
        <v>207</v>
      </c>
      <c r="AB285" s="56">
        <f ca="1">_xlfn.CEILING.MATH(INDIRECT(ADDRESS(85,22+MATCH($P$27,'I.A. + Fasce'!$W$84:$AA$84,0),1,1) &amp; ":" &amp; ADDRESS(305,22+MATCH($P$27,'I.A. + Fasce'!$W$84:$AA$84,0),1,1))/Asta!$H$3)</f>
        <v>26</v>
      </c>
    </row>
    <row r="286" spans="1:28" ht="14.25" customHeight="1">
      <c r="A286" s="238" t="str">
        <f ca="1">IF(Giocatori!G184="","D",Giocatori!G184)</f>
        <v>D</v>
      </c>
      <c r="B286" s="238" t="str">
        <f ca="1">IF(Giocatori!H210="","ZZZ" &amp; ROW(),Giocatori!H210)</f>
        <v>ZZZ286</v>
      </c>
      <c r="C286" s="238" t="str">
        <f ca="1">IF(Giocatori!I210="","NDR" &amp; ROW(),Giocatori!I210)</f>
        <v>NDR286</v>
      </c>
      <c r="D286" s="63">
        <f t="shared" ca="1" si="103"/>
        <v>2.8600000000000001E-3</v>
      </c>
      <c r="E286" s="63">
        <f t="shared" ca="1" si="104"/>
        <v>2.8600000000000001E-3</v>
      </c>
      <c r="F286" s="64">
        <f t="shared" ca="1" si="105"/>
        <v>5.7200681633333339E-3</v>
      </c>
      <c r="G286" s="63" t="str">
        <f t="shared" ca="1" si="106"/>
        <v/>
      </c>
      <c r="H286" s="65" t="str">
        <f t="shared" ca="1" si="107"/>
        <v/>
      </c>
      <c r="I286" s="63" t="str">
        <f t="shared" ca="1" si="108"/>
        <v/>
      </c>
      <c r="J286" s="63">
        <f t="shared" ca="1" si="109"/>
        <v>2.8600000000000001E-3</v>
      </c>
      <c r="K286" s="63">
        <f t="shared" ca="1" si="110"/>
        <v>2.8600000000000001E-3</v>
      </c>
      <c r="L286" s="324" t="e">
        <f ca="1">VLOOKUP(Tabella113[[#This Row],[Calciatore]],'Raccolta Aste'!$F$2:$J$33,4,FALSE)*Asta!$U$3/100</f>
        <v>#N/A</v>
      </c>
      <c r="N286" s="58"/>
      <c r="O286" s="58"/>
      <c r="P286" s="58"/>
      <c r="Q286" s="58"/>
      <c r="R286" s="58"/>
      <c r="S286" s="58"/>
      <c r="U286" s="311"/>
      <c r="V286" s="311"/>
      <c r="W286" s="56">
        <f t="shared" ca="1" si="111"/>
        <v>206</v>
      </c>
      <c r="X286" s="56">
        <f t="shared" ca="1" si="112"/>
        <v>203</v>
      </c>
      <c r="Y286" s="56">
        <f t="shared" ca="1" si="113"/>
        <v>206</v>
      </c>
      <c r="Z286" s="56">
        <f t="shared" ca="1" si="114"/>
        <v>206</v>
      </c>
      <c r="AA286" s="56">
        <f t="shared" ca="1" si="115"/>
        <v>206</v>
      </c>
      <c r="AB286" s="56">
        <f ca="1">_xlfn.CEILING.MATH(INDIRECT(ADDRESS(85,22+MATCH($P$27,'I.A. + Fasce'!$W$84:$AA$84,0),1,1) &amp; ":" &amp; ADDRESS(305,22+MATCH($P$27,'I.A. + Fasce'!$W$84:$AA$84,0),1,1))/Asta!$H$3)</f>
        <v>26</v>
      </c>
    </row>
    <row r="287" spans="1:28" ht="14.25" customHeight="1">
      <c r="A287" s="238" t="str">
        <f ca="1">IF(Giocatori!G185="","D",Giocatori!G185)</f>
        <v>D</v>
      </c>
      <c r="B287" s="238" t="str">
        <f ca="1">IF(Giocatori!H211="","ZZZ" &amp; ROW(),Giocatori!H211)</f>
        <v>ZZZ287</v>
      </c>
      <c r="C287" s="238" t="str">
        <f ca="1">IF(Giocatori!I211="","NDR" &amp; ROW(),Giocatori!I211)</f>
        <v>NDR287</v>
      </c>
      <c r="D287" s="63">
        <f t="shared" ca="1" si="103"/>
        <v>2.8700000000000002E-3</v>
      </c>
      <c r="E287" s="63">
        <f t="shared" ca="1" si="104"/>
        <v>2.8700000000000002E-3</v>
      </c>
      <c r="F287" s="64">
        <f t="shared" ca="1" si="105"/>
        <v>5.7400686408333335E-3</v>
      </c>
      <c r="G287" s="63" t="str">
        <f t="shared" ca="1" si="106"/>
        <v/>
      </c>
      <c r="H287" s="65" t="str">
        <f t="shared" ca="1" si="107"/>
        <v/>
      </c>
      <c r="I287" s="63" t="str">
        <f t="shared" ca="1" si="108"/>
        <v/>
      </c>
      <c r="J287" s="63">
        <f t="shared" ca="1" si="109"/>
        <v>2.8700000000000002E-3</v>
      </c>
      <c r="K287" s="63">
        <f t="shared" ca="1" si="110"/>
        <v>2.8700000000000002E-3</v>
      </c>
      <c r="L287" s="324" t="e">
        <f ca="1">VLOOKUP(Tabella113[[#This Row],[Calciatore]],'Raccolta Aste'!$F$2:$J$33,4,FALSE)*Asta!$U$3/100</f>
        <v>#N/A</v>
      </c>
      <c r="N287" s="58"/>
      <c r="O287" s="58"/>
      <c r="P287" s="58"/>
      <c r="Q287" s="58"/>
      <c r="R287" s="58"/>
      <c r="S287" s="58"/>
      <c r="U287" s="311"/>
      <c r="V287" s="311"/>
      <c r="W287" s="56">
        <f t="shared" ca="1" si="111"/>
        <v>205</v>
      </c>
      <c r="X287" s="56">
        <f t="shared" ca="1" si="112"/>
        <v>202</v>
      </c>
      <c r="Y287" s="56">
        <f t="shared" ca="1" si="113"/>
        <v>205</v>
      </c>
      <c r="Z287" s="56">
        <f t="shared" ca="1" si="114"/>
        <v>205</v>
      </c>
      <c r="AA287" s="56">
        <f t="shared" ca="1" si="115"/>
        <v>205</v>
      </c>
      <c r="AB287" s="56">
        <f ca="1">_xlfn.CEILING.MATH(INDIRECT(ADDRESS(85,22+MATCH($P$27,'I.A. + Fasce'!$W$84:$AA$84,0),1,1) &amp; ":" &amp; ADDRESS(305,22+MATCH($P$27,'I.A. + Fasce'!$W$84:$AA$84,0),1,1))/Asta!$H$3)</f>
        <v>26</v>
      </c>
    </row>
    <row r="288" spans="1:28" ht="14.25" customHeight="1">
      <c r="A288" s="238" t="str">
        <f ca="1">IF(Giocatori!G186="","D",Giocatori!G186)</f>
        <v>D</v>
      </c>
      <c r="B288" s="238" t="str">
        <f ca="1">IF(Giocatori!H212="","ZZZ" &amp; ROW(),Giocatori!H212)</f>
        <v>ZZZ288</v>
      </c>
      <c r="C288" s="238" t="str">
        <f ca="1">IF(Giocatori!I212="","NDR" &amp; ROW(),Giocatori!I212)</f>
        <v>NDR288</v>
      </c>
      <c r="D288" s="63">
        <f t="shared" ca="1" si="103"/>
        <v>2.8800000000000002E-3</v>
      </c>
      <c r="E288" s="63">
        <f t="shared" ca="1" si="104"/>
        <v>2.8800000000000002E-3</v>
      </c>
      <c r="F288" s="64">
        <f t="shared" ca="1" si="105"/>
        <v>5.7600691200000009E-3</v>
      </c>
      <c r="G288" s="63" t="str">
        <f t="shared" ca="1" si="106"/>
        <v/>
      </c>
      <c r="H288" s="65" t="str">
        <f t="shared" ca="1" si="107"/>
        <v/>
      </c>
      <c r="I288" s="63" t="str">
        <f t="shared" ca="1" si="108"/>
        <v/>
      </c>
      <c r="J288" s="63">
        <f t="shared" ca="1" si="109"/>
        <v>2.8800000000000002E-3</v>
      </c>
      <c r="K288" s="63">
        <f t="shared" ca="1" si="110"/>
        <v>2.8800000000000002E-3</v>
      </c>
      <c r="L288" s="324" t="e">
        <f ca="1">VLOOKUP(Tabella113[[#This Row],[Calciatore]],'Raccolta Aste'!$F$2:$J$33,4,FALSE)*Asta!$U$3/100</f>
        <v>#N/A</v>
      </c>
      <c r="N288" s="58"/>
      <c r="O288" s="58"/>
      <c r="P288" s="58"/>
      <c r="Q288" s="58"/>
      <c r="R288" s="58"/>
      <c r="S288" s="58"/>
      <c r="U288" s="311"/>
      <c r="V288" s="311"/>
      <c r="W288" s="56">
        <f t="shared" ca="1" si="111"/>
        <v>204</v>
      </c>
      <c r="X288" s="56">
        <f t="shared" ca="1" si="112"/>
        <v>201</v>
      </c>
      <c r="Y288" s="56">
        <f t="shared" ca="1" si="113"/>
        <v>204</v>
      </c>
      <c r="Z288" s="56">
        <f t="shared" ca="1" si="114"/>
        <v>204</v>
      </c>
      <c r="AA288" s="56">
        <f t="shared" ca="1" si="115"/>
        <v>204</v>
      </c>
      <c r="AB288" s="56">
        <f ca="1">_xlfn.CEILING.MATH(INDIRECT(ADDRESS(85,22+MATCH($P$27,'I.A. + Fasce'!$W$84:$AA$84,0),1,1) &amp; ":" &amp; ADDRESS(305,22+MATCH($P$27,'I.A. + Fasce'!$W$84:$AA$84,0),1,1))/Asta!$H$3)</f>
        <v>26</v>
      </c>
    </row>
    <row r="289" spans="1:28" ht="14.25" customHeight="1">
      <c r="A289" s="238" t="str">
        <f ca="1">IF(Giocatori!G187="","D",Giocatori!G187)</f>
        <v>D</v>
      </c>
      <c r="B289" s="238" t="str">
        <f ca="1">IF(Giocatori!H213="","ZZZ" &amp; ROW(),Giocatori!H213)</f>
        <v>ZZZ289</v>
      </c>
      <c r="C289" s="238" t="str">
        <f ca="1">IF(Giocatori!I213="","NDR" &amp; ROW(),Giocatori!I213)</f>
        <v>NDR289</v>
      </c>
      <c r="D289" s="63">
        <f t="shared" ca="1" si="103"/>
        <v>2.8900000000000002E-3</v>
      </c>
      <c r="E289" s="63">
        <f t="shared" ca="1" si="104"/>
        <v>2.8900000000000002E-3</v>
      </c>
      <c r="F289" s="64">
        <f t="shared" ca="1" si="105"/>
        <v>5.7800696008333341E-3</v>
      </c>
      <c r="G289" s="63" t="str">
        <f t="shared" ca="1" si="106"/>
        <v/>
      </c>
      <c r="H289" s="65" t="str">
        <f t="shared" ca="1" si="107"/>
        <v/>
      </c>
      <c r="I289" s="63" t="str">
        <f t="shared" ca="1" si="108"/>
        <v/>
      </c>
      <c r="J289" s="63">
        <f t="shared" ca="1" si="109"/>
        <v>2.8900000000000002E-3</v>
      </c>
      <c r="K289" s="63">
        <f t="shared" ca="1" si="110"/>
        <v>2.8900000000000002E-3</v>
      </c>
      <c r="L289" s="324" t="e">
        <f ca="1">VLOOKUP(Tabella113[[#This Row],[Calciatore]],'Raccolta Aste'!$F$2:$J$33,4,FALSE)*Asta!$U$3/100</f>
        <v>#N/A</v>
      </c>
      <c r="N289" s="58"/>
      <c r="O289" s="58"/>
      <c r="P289" s="58"/>
      <c r="Q289" s="58"/>
      <c r="R289" s="58"/>
      <c r="S289" s="58"/>
      <c r="U289" s="311"/>
      <c r="V289" s="311"/>
      <c r="W289" s="56">
        <f t="shared" ca="1" si="111"/>
        <v>203</v>
      </c>
      <c r="X289" s="56">
        <f t="shared" ca="1" si="112"/>
        <v>200</v>
      </c>
      <c r="Y289" s="56">
        <f t="shared" ca="1" si="113"/>
        <v>203</v>
      </c>
      <c r="Z289" s="56">
        <f t="shared" ca="1" si="114"/>
        <v>203</v>
      </c>
      <c r="AA289" s="56">
        <f t="shared" ca="1" si="115"/>
        <v>203</v>
      </c>
      <c r="AB289" s="56">
        <f ca="1">_xlfn.CEILING.MATH(INDIRECT(ADDRESS(85,22+MATCH($P$27,'I.A. + Fasce'!$W$84:$AA$84,0),1,1) &amp; ":" &amp; ADDRESS(305,22+MATCH($P$27,'I.A. + Fasce'!$W$84:$AA$84,0),1,1))/Asta!$H$3)</f>
        <v>25</v>
      </c>
    </row>
    <row r="290" spans="1:28" ht="14.25" customHeight="1">
      <c r="A290" s="238" t="str">
        <f ca="1">IF(Giocatori!G188="","D",Giocatori!G188)</f>
        <v>D</v>
      </c>
      <c r="B290" s="238" t="str">
        <f ca="1">IF(Giocatori!H214="","ZZZ" &amp; ROW(),Giocatori!H214)</f>
        <v>ZZZ290</v>
      </c>
      <c r="C290" s="238" t="str">
        <f ca="1">IF(Giocatori!I214="","NDR" &amp; ROW(),Giocatori!I214)</f>
        <v>NDR290</v>
      </c>
      <c r="D290" s="63">
        <f t="shared" ca="1" si="103"/>
        <v>2.8999999999999998E-3</v>
      </c>
      <c r="E290" s="63">
        <f t="shared" ca="1" si="104"/>
        <v>2.8999999999999998E-3</v>
      </c>
      <c r="F290" s="64">
        <f t="shared" ca="1" si="105"/>
        <v>5.8000700833333333E-3</v>
      </c>
      <c r="G290" s="63" t="str">
        <f t="shared" ca="1" si="106"/>
        <v/>
      </c>
      <c r="H290" s="65" t="str">
        <f t="shared" ca="1" si="107"/>
        <v/>
      </c>
      <c r="I290" s="63" t="str">
        <f t="shared" ca="1" si="108"/>
        <v/>
      </c>
      <c r="J290" s="63">
        <f t="shared" ca="1" si="109"/>
        <v>2.8999999999999998E-3</v>
      </c>
      <c r="K290" s="63">
        <f t="shared" ca="1" si="110"/>
        <v>2.8999999999999998E-3</v>
      </c>
      <c r="L290" s="324" t="e">
        <f ca="1">VLOOKUP(Tabella113[[#This Row],[Calciatore]],'Raccolta Aste'!$F$2:$J$33,4,FALSE)*Asta!$U$3/100</f>
        <v>#N/A</v>
      </c>
      <c r="N290" s="58"/>
      <c r="O290" s="58"/>
      <c r="P290" s="58"/>
      <c r="Q290" s="58"/>
      <c r="R290" s="58"/>
      <c r="S290" s="58"/>
      <c r="U290" s="311"/>
      <c r="V290" s="311"/>
      <c r="W290" s="56">
        <f t="shared" ca="1" si="111"/>
        <v>202</v>
      </c>
      <c r="X290" s="56">
        <f t="shared" ca="1" si="112"/>
        <v>199</v>
      </c>
      <c r="Y290" s="56">
        <f t="shared" ca="1" si="113"/>
        <v>202</v>
      </c>
      <c r="Z290" s="56">
        <f t="shared" ca="1" si="114"/>
        <v>202</v>
      </c>
      <c r="AA290" s="56">
        <f t="shared" ca="1" si="115"/>
        <v>202</v>
      </c>
      <c r="AB290" s="56">
        <f ca="1">_xlfn.CEILING.MATH(INDIRECT(ADDRESS(85,22+MATCH($P$27,'I.A. + Fasce'!$W$84:$AA$84,0),1,1) &amp; ":" &amp; ADDRESS(305,22+MATCH($P$27,'I.A. + Fasce'!$W$84:$AA$84,0),1,1))/Asta!$H$3)</f>
        <v>25</v>
      </c>
    </row>
    <row r="291" spans="1:28" ht="14.25" customHeight="1">
      <c r="A291" s="238" t="str">
        <f ca="1">IF(Giocatori!G189="","D",Giocatori!G189)</f>
        <v>D</v>
      </c>
      <c r="B291" s="238" t="str">
        <f ca="1">IF(Giocatori!H215="","ZZZ" &amp; ROW(),Giocatori!H215)</f>
        <v>ZZZ291</v>
      </c>
      <c r="C291" s="238" t="str">
        <f ca="1">IF(Giocatori!I215="","NDR" &amp; ROW(),Giocatori!I215)</f>
        <v>NDR291</v>
      </c>
      <c r="D291" s="63">
        <f t="shared" ca="1" si="103"/>
        <v>2.9099999999999998E-3</v>
      </c>
      <c r="E291" s="63">
        <f t="shared" ca="1" si="104"/>
        <v>2.9099999999999998E-3</v>
      </c>
      <c r="F291" s="64">
        <f t="shared" ca="1" si="105"/>
        <v>5.8200705674999994E-3</v>
      </c>
      <c r="G291" s="63" t="str">
        <f t="shared" ca="1" si="106"/>
        <v/>
      </c>
      <c r="H291" s="65" t="str">
        <f t="shared" ca="1" si="107"/>
        <v/>
      </c>
      <c r="I291" s="63" t="str">
        <f t="shared" ca="1" si="108"/>
        <v/>
      </c>
      <c r="J291" s="63">
        <f t="shared" ca="1" si="109"/>
        <v>2.9099999999999998E-3</v>
      </c>
      <c r="K291" s="63">
        <f t="shared" ca="1" si="110"/>
        <v>2.9099999999999998E-3</v>
      </c>
      <c r="L291" s="324" t="e">
        <f ca="1">VLOOKUP(Tabella113[[#This Row],[Calciatore]],'Raccolta Aste'!$F$2:$J$33,4,FALSE)*Asta!$U$3/100</f>
        <v>#N/A</v>
      </c>
      <c r="N291" s="58"/>
      <c r="O291" s="58"/>
      <c r="P291" s="58"/>
      <c r="Q291" s="58"/>
      <c r="R291" s="58"/>
      <c r="S291" s="58"/>
      <c r="U291" s="311"/>
      <c r="V291" s="311"/>
      <c r="W291" s="56">
        <f t="shared" ca="1" si="111"/>
        <v>201</v>
      </c>
      <c r="X291" s="56">
        <f t="shared" ca="1" si="112"/>
        <v>198</v>
      </c>
      <c r="Y291" s="56">
        <f t="shared" ca="1" si="113"/>
        <v>201</v>
      </c>
      <c r="Z291" s="56">
        <f t="shared" ca="1" si="114"/>
        <v>201</v>
      </c>
      <c r="AA291" s="56">
        <f t="shared" ca="1" si="115"/>
        <v>201</v>
      </c>
      <c r="AB291" s="56">
        <f ca="1">_xlfn.CEILING.MATH(INDIRECT(ADDRESS(85,22+MATCH($P$27,'I.A. + Fasce'!$W$84:$AA$84,0),1,1) &amp; ":" &amp; ADDRESS(305,22+MATCH($P$27,'I.A. + Fasce'!$W$84:$AA$84,0),1,1))/Asta!$H$3)</f>
        <v>25</v>
      </c>
    </row>
    <row r="292" spans="1:28" ht="14.25" customHeight="1">
      <c r="A292" s="238" t="str">
        <f ca="1">IF(Giocatori!G190="","D",Giocatori!G190)</f>
        <v>D</v>
      </c>
      <c r="B292" s="238" t="str">
        <f ca="1">IF(Giocatori!H216="","ZZZ" &amp; ROW(),Giocatori!H216)</f>
        <v>ZZZ292</v>
      </c>
      <c r="C292" s="238" t="str">
        <f ca="1">IF(Giocatori!I216="","NDR" &amp; ROW(),Giocatori!I216)</f>
        <v>NDR292</v>
      </c>
      <c r="D292" s="63">
        <f t="shared" ca="1" si="103"/>
        <v>2.9199999999999999E-3</v>
      </c>
      <c r="E292" s="63">
        <f t="shared" ca="1" si="104"/>
        <v>2.9199999999999999E-3</v>
      </c>
      <c r="F292" s="64">
        <f t="shared" ca="1" si="105"/>
        <v>5.840071053333333E-3</v>
      </c>
      <c r="G292" s="63" t="str">
        <f t="shared" ca="1" si="106"/>
        <v/>
      </c>
      <c r="H292" s="65" t="str">
        <f t="shared" ca="1" si="107"/>
        <v/>
      </c>
      <c r="I292" s="63" t="str">
        <f t="shared" ca="1" si="108"/>
        <v/>
      </c>
      <c r="J292" s="63">
        <f t="shared" ca="1" si="109"/>
        <v>2.9199999999999999E-3</v>
      </c>
      <c r="K292" s="63">
        <f t="shared" ca="1" si="110"/>
        <v>2.9199999999999999E-3</v>
      </c>
      <c r="L292" s="324" t="e">
        <f ca="1">VLOOKUP(Tabella113[[#This Row],[Calciatore]],'Raccolta Aste'!$F$2:$J$33,4,FALSE)*Asta!$U$3/100</f>
        <v>#N/A</v>
      </c>
      <c r="N292" s="58"/>
      <c r="O292" s="58"/>
      <c r="P292" s="58"/>
      <c r="Q292" s="58"/>
      <c r="R292" s="58"/>
      <c r="S292" s="58"/>
      <c r="U292" s="311"/>
      <c r="V292" s="311"/>
      <c r="W292" s="56">
        <f t="shared" ca="1" si="111"/>
        <v>200</v>
      </c>
      <c r="X292" s="56">
        <f t="shared" ca="1" si="112"/>
        <v>197</v>
      </c>
      <c r="Y292" s="56">
        <f t="shared" ca="1" si="113"/>
        <v>200</v>
      </c>
      <c r="Z292" s="56">
        <f t="shared" ca="1" si="114"/>
        <v>200</v>
      </c>
      <c r="AA292" s="56">
        <f t="shared" ca="1" si="115"/>
        <v>200</v>
      </c>
      <c r="AB292" s="56">
        <f ca="1">_xlfn.CEILING.MATH(INDIRECT(ADDRESS(85,22+MATCH($P$27,'I.A. + Fasce'!$W$84:$AA$84,0),1,1) &amp; ":" &amp; ADDRESS(305,22+MATCH($P$27,'I.A. + Fasce'!$W$84:$AA$84,0),1,1))/Asta!$H$3)</f>
        <v>25</v>
      </c>
    </row>
    <row r="293" spans="1:28" ht="14.25" customHeight="1">
      <c r="A293" s="238" t="str">
        <f ca="1">IF(Giocatori!G191="","D",Giocatori!G191)</f>
        <v>D</v>
      </c>
      <c r="B293" s="238" t="str">
        <f ca="1">IF(Giocatori!H217="","ZZZ" &amp; ROW(),Giocatori!H217)</f>
        <v>ZZZ293</v>
      </c>
      <c r="C293" s="238" t="str">
        <f ca="1">IF(Giocatori!I217="","NDR" &amp; ROW(),Giocatori!I217)</f>
        <v>NDR293</v>
      </c>
      <c r="D293" s="63">
        <f t="shared" ca="1" si="103"/>
        <v>2.9299999999999999E-3</v>
      </c>
      <c r="E293" s="63">
        <f t="shared" ca="1" si="104"/>
        <v>2.9299999999999999E-3</v>
      </c>
      <c r="F293" s="64">
        <f t="shared" ca="1" si="105"/>
        <v>5.8600715408333327E-3</v>
      </c>
      <c r="G293" s="63" t="str">
        <f t="shared" ca="1" si="106"/>
        <v/>
      </c>
      <c r="H293" s="65" t="str">
        <f t="shared" ca="1" si="107"/>
        <v/>
      </c>
      <c r="I293" s="63" t="str">
        <f t="shared" ca="1" si="108"/>
        <v/>
      </c>
      <c r="J293" s="63">
        <f t="shared" ca="1" si="109"/>
        <v>2.9299999999999999E-3</v>
      </c>
      <c r="K293" s="63">
        <f t="shared" ca="1" si="110"/>
        <v>2.9299999999999999E-3</v>
      </c>
      <c r="L293" s="324" t="e">
        <f ca="1">VLOOKUP(Tabella113[[#This Row],[Calciatore]],'Raccolta Aste'!$F$2:$J$33,4,FALSE)*Asta!$U$3/100</f>
        <v>#N/A</v>
      </c>
      <c r="N293" s="58"/>
      <c r="O293" s="58"/>
      <c r="P293" s="58"/>
      <c r="Q293" s="58"/>
      <c r="R293" s="58"/>
      <c r="S293" s="58"/>
      <c r="U293" s="311"/>
      <c r="V293" s="311"/>
      <c r="W293" s="56">
        <f t="shared" ca="1" si="111"/>
        <v>199</v>
      </c>
      <c r="X293" s="56">
        <f t="shared" ca="1" si="112"/>
        <v>196</v>
      </c>
      <c r="Y293" s="56">
        <f t="shared" ca="1" si="113"/>
        <v>199</v>
      </c>
      <c r="Z293" s="56">
        <f t="shared" ca="1" si="114"/>
        <v>199</v>
      </c>
      <c r="AA293" s="56">
        <f t="shared" ca="1" si="115"/>
        <v>199</v>
      </c>
      <c r="AB293" s="56">
        <f ca="1">_xlfn.CEILING.MATH(INDIRECT(ADDRESS(85,22+MATCH($P$27,'I.A. + Fasce'!$W$84:$AA$84,0),1,1) &amp; ":" &amp; ADDRESS(305,22+MATCH($P$27,'I.A. + Fasce'!$W$84:$AA$84,0),1,1))/Asta!$H$3)</f>
        <v>25</v>
      </c>
    </row>
    <row r="294" spans="1:28" ht="14.25" customHeight="1">
      <c r="A294" s="238" t="str">
        <f ca="1">IF(Giocatori!G192="","D",Giocatori!G192)</f>
        <v>D</v>
      </c>
      <c r="B294" s="238" t="str">
        <f ca="1">IF(Giocatori!H218="","ZZZ" &amp; ROW(),Giocatori!H218)</f>
        <v>ZZZ294</v>
      </c>
      <c r="C294" s="238" t="str">
        <f ca="1">IF(Giocatori!I218="","NDR" &amp; ROW(),Giocatori!I218)</f>
        <v>NDR294</v>
      </c>
      <c r="D294" s="63">
        <f t="shared" ca="1" si="103"/>
        <v>2.9399999999999999E-3</v>
      </c>
      <c r="E294" s="63">
        <f t="shared" ca="1" si="104"/>
        <v>2.9399999999999999E-3</v>
      </c>
      <c r="F294" s="64">
        <f t="shared" ca="1" si="105"/>
        <v>5.8800720299999991E-3</v>
      </c>
      <c r="G294" s="63" t="str">
        <f t="shared" ca="1" si="106"/>
        <v/>
      </c>
      <c r="H294" s="65" t="str">
        <f t="shared" ca="1" si="107"/>
        <v/>
      </c>
      <c r="I294" s="63" t="str">
        <f t="shared" ca="1" si="108"/>
        <v/>
      </c>
      <c r="J294" s="63">
        <f t="shared" ca="1" si="109"/>
        <v>2.9399999999999999E-3</v>
      </c>
      <c r="K294" s="63">
        <f t="shared" ca="1" si="110"/>
        <v>2.9399999999999999E-3</v>
      </c>
      <c r="L294" s="324" t="e">
        <f ca="1">VLOOKUP(Tabella113[[#This Row],[Calciatore]],'Raccolta Aste'!$F$2:$J$33,4,FALSE)*Asta!$U$3/100</f>
        <v>#N/A</v>
      </c>
      <c r="N294" s="58"/>
      <c r="O294" s="58"/>
      <c r="P294" s="58"/>
      <c r="Q294" s="58"/>
      <c r="R294" s="58"/>
      <c r="S294" s="58"/>
      <c r="U294" s="311"/>
      <c r="V294" s="311"/>
      <c r="W294" s="56">
        <f t="shared" ca="1" si="111"/>
        <v>198</v>
      </c>
      <c r="X294" s="56">
        <f t="shared" ca="1" si="112"/>
        <v>195</v>
      </c>
      <c r="Y294" s="56">
        <f t="shared" ca="1" si="113"/>
        <v>198</v>
      </c>
      <c r="Z294" s="56">
        <f t="shared" ca="1" si="114"/>
        <v>198</v>
      </c>
      <c r="AA294" s="56">
        <f t="shared" ca="1" si="115"/>
        <v>198</v>
      </c>
      <c r="AB294" s="56">
        <f ca="1">_xlfn.CEILING.MATH(INDIRECT(ADDRESS(85,22+MATCH($P$27,'I.A. + Fasce'!$W$84:$AA$84,0),1,1) &amp; ":" &amp; ADDRESS(305,22+MATCH($P$27,'I.A. + Fasce'!$W$84:$AA$84,0),1,1))/Asta!$H$3)</f>
        <v>25</v>
      </c>
    </row>
    <row r="295" spans="1:28" ht="14.25" customHeight="1">
      <c r="A295" s="238" t="str">
        <f ca="1">IF(Giocatori!G193="","D",Giocatori!G193)</f>
        <v>D</v>
      </c>
      <c r="B295" s="238" t="str">
        <f ca="1">IF(Giocatori!H219="","ZZZ" &amp; ROW(),Giocatori!H219)</f>
        <v>ZZZ295</v>
      </c>
      <c r="C295" s="238" t="str">
        <f ca="1">IF(Giocatori!I219="","NDR" &amp; ROW(),Giocatori!I219)</f>
        <v>NDR295</v>
      </c>
      <c r="D295" s="63">
        <f t="shared" ca="1" si="103"/>
        <v>2.9499999999999999E-3</v>
      </c>
      <c r="E295" s="63">
        <f t="shared" ca="1" si="104"/>
        <v>2.9499999999999999E-3</v>
      </c>
      <c r="F295" s="64">
        <f t="shared" ca="1" si="105"/>
        <v>5.9000725208333332E-3</v>
      </c>
      <c r="G295" s="63" t="str">
        <f t="shared" ca="1" si="106"/>
        <v/>
      </c>
      <c r="H295" s="65" t="str">
        <f t="shared" ca="1" si="107"/>
        <v/>
      </c>
      <c r="I295" s="63" t="str">
        <f t="shared" ca="1" si="108"/>
        <v/>
      </c>
      <c r="J295" s="63">
        <f t="shared" ca="1" si="109"/>
        <v>2.9499999999999999E-3</v>
      </c>
      <c r="K295" s="63">
        <f t="shared" ca="1" si="110"/>
        <v>2.9499999999999999E-3</v>
      </c>
      <c r="L295" s="324" t="e">
        <f ca="1">VLOOKUP(Tabella113[[#This Row],[Calciatore]],'Raccolta Aste'!$F$2:$J$33,4,FALSE)*Asta!$U$3/100</f>
        <v>#N/A</v>
      </c>
      <c r="N295" s="58"/>
      <c r="O295" s="58"/>
      <c r="P295" s="58"/>
      <c r="Q295" s="58"/>
      <c r="R295" s="58"/>
      <c r="S295" s="58"/>
      <c r="U295" s="311"/>
      <c r="V295" s="311"/>
      <c r="W295" s="56">
        <f t="shared" ca="1" si="111"/>
        <v>197</v>
      </c>
      <c r="X295" s="56">
        <f t="shared" ca="1" si="112"/>
        <v>194</v>
      </c>
      <c r="Y295" s="56">
        <f t="shared" ca="1" si="113"/>
        <v>197</v>
      </c>
      <c r="Z295" s="56">
        <f t="shared" ca="1" si="114"/>
        <v>197</v>
      </c>
      <c r="AA295" s="56">
        <f t="shared" ca="1" si="115"/>
        <v>197</v>
      </c>
      <c r="AB295" s="56">
        <f ca="1">_xlfn.CEILING.MATH(INDIRECT(ADDRESS(85,22+MATCH($P$27,'I.A. + Fasce'!$W$84:$AA$84,0),1,1) &amp; ":" &amp; ADDRESS(305,22+MATCH($P$27,'I.A. + Fasce'!$W$84:$AA$84,0),1,1))/Asta!$H$3)</f>
        <v>25</v>
      </c>
    </row>
    <row r="296" spans="1:28" ht="14.25" customHeight="1">
      <c r="A296" s="238" t="str">
        <f ca="1">IF(Giocatori!G194="","D",Giocatori!G194)</f>
        <v>D</v>
      </c>
      <c r="B296" s="238" t="str">
        <f ca="1">IF(Giocatori!H220="","ZZZ" &amp; ROW(),Giocatori!H220)</f>
        <v>ZZZ296</v>
      </c>
      <c r="C296" s="238" t="str">
        <f ca="1">IF(Giocatori!I220="","NDR" &amp; ROW(),Giocatori!I220)</f>
        <v>NDR296</v>
      </c>
      <c r="D296" s="63">
        <f t="shared" ca="1" si="103"/>
        <v>2.96E-3</v>
      </c>
      <c r="E296" s="63">
        <f t="shared" ca="1" si="104"/>
        <v>2.96E-3</v>
      </c>
      <c r="F296" s="64">
        <f t="shared" ca="1" si="105"/>
        <v>5.9200730133333332E-3</v>
      </c>
      <c r="G296" s="63" t="str">
        <f t="shared" ca="1" si="106"/>
        <v/>
      </c>
      <c r="H296" s="65" t="str">
        <f t="shared" ca="1" si="107"/>
        <v/>
      </c>
      <c r="I296" s="63" t="str">
        <f t="shared" ca="1" si="108"/>
        <v/>
      </c>
      <c r="J296" s="63">
        <f t="shared" ca="1" si="109"/>
        <v>2.96E-3</v>
      </c>
      <c r="K296" s="63">
        <f t="shared" ca="1" si="110"/>
        <v>2.96E-3</v>
      </c>
      <c r="L296" s="324" t="e">
        <f ca="1">VLOOKUP(Tabella113[[#This Row],[Calciatore]],'Raccolta Aste'!$F$2:$J$33,4,FALSE)*Asta!$U$3/100</f>
        <v>#N/A</v>
      </c>
      <c r="N296" s="58"/>
      <c r="O296" s="58"/>
      <c r="P296" s="58"/>
      <c r="Q296" s="58"/>
      <c r="R296" s="58"/>
      <c r="S296" s="58"/>
      <c r="U296" s="311"/>
      <c r="V296" s="311"/>
      <c r="W296" s="56">
        <f t="shared" ca="1" si="111"/>
        <v>196</v>
      </c>
      <c r="X296" s="56">
        <f t="shared" ca="1" si="112"/>
        <v>193</v>
      </c>
      <c r="Y296" s="56">
        <f t="shared" ca="1" si="113"/>
        <v>196</v>
      </c>
      <c r="Z296" s="56">
        <f t="shared" ca="1" si="114"/>
        <v>196</v>
      </c>
      <c r="AA296" s="56">
        <f t="shared" ca="1" si="115"/>
        <v>196</v>
      </c>
      <c r="AB296" s="56">
        <f ca="1">_xlfn.CEILING.MATH(INDIRECT(ADDRESS(85,22+MATCH($P$27,'I.A. + Fasce'!$W$84:$AA$84,0),1,1) &amp; ":" &amp; ADDRESS(305,22+MATCH($P$27,'I.A. + Fasce'!$W$84:$AA$84,0),1,1))/Asta!$H$3)</f>
        <v>25</v>
      </c>
    </row>
    <row r="297" spans="1:28" ht="14.25" customHeight="1">
      <c r="A297" s="238" t="str">
        <f ca="1">IF(Giocatori!G195="","D",Giocatori!G195)</f>
        <v>D</v>
      </c>
      <c r="B297" s="238" t="str">
        <f ca="1">IF(Giocatori!H221="","ZZZ" &amp; ROW(),Giocatori!H221)</f>
        <v>ZZZ297</v>
      </c>
      <c r="C297" s="238" t="str">
        <f ca="1">IF(Giocatori!I221="","NDR" &amp; ROW(),Giocatori!I221)</f>
        <v>NDR297</v>
      </c>
      <c r="D297" s="63">
        <f t="shared" ca="1" si="103"/>
        <v>2.97E-3</v>
      </c>
      <c r="E297" s="63">
        <f t="shared" ca="1" si="104"/>
        <v>2.97E-3</v>
      </c>
      <c r="F297" s="64">
        <f t="shared" ca="1" si="105"/>
        <v>5.9400735075000001E-3</v>
      </c>
      <c r="G297" s="63" t="str">
        <f t="shared" ca="1" si="106"/>
        <v/>
      </c>
      <c r="H297" s="65" t="str">
        <f t="shared" ca="1" si="107"/>
        <v/>
      </c>
      <c r="I297" s="63" t="str">
        <f t="shared" ca="1" si="108"/>
        <v/>
      </c>
      <c r="J297" s="63">
        <f t="shared" ca="1" si="109"/>
        <v>2.97E-3</v>
      </c>
      <c r="K297" s="63">
        <f t="shared" ca="1" si="110"/>
        <v>2.97E-3</v>
      </c>
      <c r="L297" s="324" t="e">
        <f ca="1">VLOOKUP(Tabella113[[#This Row],[Calciatore]],'Raccolta Aste'!$F$2:$J$33,4,FALSE)*Asta!$U$3/100</f>
        <v>#N/A</v>
      </c>
      <c r="N297" s="58"/>
      <c r="O297" s="58"/>
      <c r="P297" s="58"/>
      <c r="Q297" s="58"/>
      <c r="R297" s="58"/>
      <c r="S297" s="58"/>
      <c r="U297" s="311"/>
      <c r="V297" s="311"/>
      <c r="W297" s="56">
        <f t="shared" ca="1" si="111"/>
        <v>195</v>
      </c>
      <c r="X297" s="56">
        <f t="shared" ca="1" si="112"/>
        <v>192</v>
      </c>
      <c r="Y297" s="56">
        <f t="shared" ca="1" si="113"/>
        <v>195</v>
      </c>
      <c r="Z297" s="56">
        <f t="shared" ca="1" si="114"/>
        <v>195</v>
      </c>
      <c r="AA297" s="56">
        <f t="shared" ca="1" si="115"/>
        <v>195</v>
      </c>
      <c r="AB297" s="56">
        <f ca="1">_xlfn.CEILING.MATH(INDIRECT(ADDRESS(85,22+MATCH($P$27,'I.A. + Fasce'!$W$84:$AA$84,0),1,1) &amp; ":" &amp; ADDRESS(305,22+MATCH($P$27,'I.A. + Fasce'!$W$84:$AA$84,0),1,1))/Asta!$H$3)</f>
        <v>24</v>
      </c>
    </row>
    <row r="298" spans="1:28" ht="14.25" customHeight="1">
      <c r="A298" s="238" t="str">
        <f ca="1">IF(Giocatori!G196="","D",Giocatori!G196)</f>
        <v>D</v>
      </c>
      <c r="B298" s="238" t="str">
        <f ca="1">IF(Giocatori!H222="","ZZZ" &amp; ROW(),Giocatori!H222)</f>
        <v>ZZZ298</v>
      </c>
      <c r="C298" s="238" t="str">
        <f ca="1">IF(Giocatori!I222="","NDR" &amp; ROW(),Giocatori!I222)</f>
        <v>NDR298</v>
      </c>
      <c r="D298" s="63">
        <f t="shared" ca="1" si="103"/>
        <v>2.98E-3</v>
      </c>
      <c r="E298" s="63">
        <f t="shared" ca="1" si="104"/>
        <v>2.98E-3</v>
      </c>
      <c r="F298" s="64">
        <f t="shared" ca="1" si="105"/>
        <v>5.9600740033333328E-3</v>
      </c>
      <c r="G298" s="63" t="str">
        <f t="shared" ca="1" si="106"/>
        <v/>
      </c>
      <c r="H298" s="65" t="str">
        <f t="shared" ca="1" si="107"/>
        <v/>
      </c>
      <c r="I298" s="63" t="str">
        <f t="shared" ca="1" si="108"/>
        <v/>
      </c>
      <c r="J298" s="63">
        <f t="shared" ca="1" si="109"/>
        <v>2.98E-3</v>
      </c>
      <c r="K298" s="63">
        <f t="shared" ca="1" si="110"/>
        <v>2.98E-3</v>
      </c>
      <c r="L298" s="324" t="e">
        <f ca="1">VLOOKUP(Tabella113[[#This Row],[Calciatore]],'Raccolta Aste'!$F$2:$J$33,4,FALSE)*Asta!$U$3/100</f>
        <v>#N/A</v>
      </c>
      <c r="N298" s="58"/>
      <c r="O298" s="58"/>
      <c r="P298" s="58"/>
      <c r="Q298" s="58"/>
      <c r="R298" s="58"/>
      <c r="S298" s="58"/>
      <c r="U298" s="311"/>
      <c r="V298" s="311"/>
      <c r="W298" s="56">
        <f t="shared" ca="1" si="111"/>
        <v>194</v>
      </c>
      <c r="X298" s="56">
        <f t="shared" ca="1" si="112"/>
        <v>191</v>
      </c>
      <c r="Y298" s="56">
        <f t="shared" ca="1" si="113"/>
        <v>194</v>
      </c>
      <c r="Z298" s="56">
        <f t="shared" ca="1" si="114"/>
        <v>194</v>
      </c>
      <c r="AA298" s="56">
        <f t="shared" ca="1" si="115"/>
        <v>194</v>
      </c>
      <c r="AB298" s="56">
        <f ca="1">_xlfn.CEILING.MATH(INDIRECT(ADDRESS(85,22+MATCH($P$27,'I.A. + Fasce'!$W$84:$AA$84,0),1,1) &amp; ":" &amp; ADDRESS(305,22+MATCH($P$27,'I.A. + Fasce'!$W$84:$AA$84,0),1,1))/Asta!$H$3)</f>
        <v>24</v>
      </c>
    </row>
    <row r="299" spans="1:28" ht="14.25" customHeight="1">
      <c r="A299" s="238" t="str">
        <f ca="1">IF(Giocatori!G197="","D",Giocatori!G197)</f>
        <v>D</v>
      </c>
      <c r="B299" s="238" t="str">
        <f ca="1">IF(Giocatori!H223="","ZZZ" &amp; ROW(),Giocatori!H223)</f>
        <v>ZZZ299</v>
      </c>
      <c r="C299" s="238" t="str">
        <f ca="1">IF(Giocatori!I223="","NDR" &amp; ROW(),Giocatori!I223)</f>
        <v>NDR299</v>
      </c>
      <c r="D299" s="63">
        <f t="shared" ca="1" si="103"/>
        <v>2.99E-3</v>
      </c>
      <c r="E299" s="63">
        <f t="shared" ca="1" si="104"/>
        <v>2.99E-3</v>
      </c>
      <c r="F299" s="64">
        <f t="shared" ca="1" si="105"/>
        <v>5.9800745008333333E-3</v>
      </c>
      <c r="G299" s="63" t="str">
        <f t="shared" ca="1" si="106"/>
        <v/>
      </c>
      <c r="H299" s="65" t="str">
        <f t="shared" ca="1" si="107"/>
        <v/>
      </c>
      <c r="I299" s="63" t="str">
        <f t="shared" ca="1" si="108"/>
        <v/>
      </c>
      <c r="J299" s="63">
        <f t="shared" ca="1" si="109"/>
        <v>2.99E-3</v>
      </c>
      <c r="K299" s="63">
        <f t="shared" ca="1" si="110"/>
        <v>2.99E-3</v>
      </c>
      <c r="L299" s="324" t="e">
        <f ca="1">VLOOKUP(Tabella113[[#This Row],[Calciatore]],'Raccolta Aste'!$F$2:$J$33,4,FALSE)*Asta!$U$3/100</f>
        <v>#N/A</v>
      </c>
      <c r="N299" s="58"/>
      <c r="O299" s="58"/>
      <c r="P299" s="58"/>
      <c r="Q299" s="58"/>
      <c r="R299" s="58"/>
      <c r="S299" s="58"/>
      <c r="U299" s="311"/>
      <c r="V299" s="311"/>
      <c r="W299" s="56">
        <f t="shared" ca="1" si="111"/>
        <v>193</v>
      </c>
      <c r="X299" s="56">
        <f t="shared" ca="1" si="112"/>
        <v>190</v>
      </c>
      <c r="Y299" s="56">
        <f t="shared" ca="1" si="113"/>
        <v>193</v>
      </c>
      <c r="Z299" s="56">
        <f t="shared" ca="1" si="114"/>
        <v>193</v>
      </c>
      <c r="AA299" s="56">
        <f t="shared" ca="1" si="115"/>
        <v>193</v>
      </c>
      <c r="AB299" s="56">
        <f ca="1">_xlfn.CEILING.MATH(INDIRECT(ADDRESS(85,22+MATCH($P$27,'I.A. + Fasce'!$W$84:$AA$84,0),1,1) &amp; ":" &amp; ADDRESS(305,22+MATCH($P$27,'I.A. + Fasce'!$W$84:$AA$84,0),1,1))/Asta!$H$3)</f>
        <v>24</v>
      </c>
    </row>
    <row r="300" spans="1:28" ht="14.25" customHeight="1">
      <c r="A300" s="238" t="str">
        <f ca="1">IF(Giocatori!G198="","D",Giocatori!G198)</f>
        <v>D</v>
      </c>
      <c r="B300" s="238" t="str">
        <f ca="1">IF(Giocatori!H224="","ZZZ" &amp; ROW(),Giocatori!H224)</f>
        <v>ZZZ300</v>
      </c>
      <c r="C300" s="238" t="str">
        <f ca="1">IF(Giocatori!I224="","NDR" &amp; ROW(),Giocatori!I224)</f>
        <v>NDR300</v>
      </c>
      <c r="D300" s="63">
        <f t="shared" ca="1" si="103"/>
        <v>3.0000000000000001E-3</v>
      </c>
      <c r="E300" s="63">
        <f t="shared" ca="1" si="104"/>
        <v>3.0000000000000001E-3</v>
      </c>
      <c r="F300" s="64">
        <f t="shared" ca="1" si="105"/>
        <v>6.0000749999999997E-3</v>
      </c>
      <c r="G300" s="63" t="str">
        <f t="shared" ca="1" si="106"/>
        <v/>
      </c>
      <c r="H300" s="65" t="str">
        <f t="shared" ca="1" si="107"/>
        <v/>
      </c>
      <c r="I300" s="63" t="str">
        <f t="shared" ca="1" si="108"/>
        <v/>
      </c>
      <c r="J300" s="63">
        <f t="shared" ca="1" si="109"/>
        <v>3.0000000000000001E-3</v>
      </c>
      <c r="K300" s="63">
        <f t="shared" ca="1" si="110"/>
        <v>3.0000000000000001E-3</v>
      </c>
      <c r="L300" s="324" t="e">
        <f ca="1">VLOOKUP(Tabella113[[#This Row],[Calciatore]],'Raccolta Aste'!$F$2:$J$33,4,FALSE)*Asta!$U$3/100</f>
        <v>#N/A</v>
      </c>
      <c r="N300" s="58"/>
      <c r="O300" s="58"/>
      <c r="P300" s="58"/>
      <c r="Q300" s="58"/>
      <c r="R300" s="58"/>
      <c r="S300" s="58"/>
      <c r="U300" s="311"/>
      <c r="V300" s="311"/>
      <c r="W300" s="56">
        <f t="shared" ca="1" si="111"/>
        <v>192</v>
      </c>
      <c r="X300" s="56">
        <f t="shared" ca="1" si="112"/>
        <v>189</v>
      </c>
      <c r="Y300" s="56">
        <f t="shared" ca="1" si="113"/>
        <v>192</v>
      </c>
      <c r="Z300" s="56">
        <f t="shared" ca="1" si="114"/>
        <v>192</v>
      </c>
      <c r="AA300" s="56">
        <f t="shared" ca="1" si="115"/>
        <v>192</v>
      </c>
      <c r="AB300" s="56">
        <f ca="1">_xlfn.CEILING.MATH(INDIRECT(ADDRESS(85,22+MATCH($P$27,'I.A. + Fasce'!$W$84:$AA$84,0),1,1) &amp; ":" &amp; ADDRESS(305,22+MATCH($P$27,'I.A. + Fasce'!$W$84:$AA$84,0),1,1))/Asta!$H$3)</f>
        <v>24</v>
      </c>
    </row>
    <row r="301" spans="1:28" ht="14.25" customHeight="1">
      <c r="A301" s="238" t="str">
        <f ca="1">IF(Giocatori!G199="","D",Giocatori!G199)</f>
        <v>D</v>
      </c>
      <c r="B301" s="238" t="str">
        <f ca="1">IF(Giocatori!H225="","ZZZ" &amp; ROW(),Giocatori!H225)</f>
        <v>ZZZ301</v>
      </c>
      <c r="C301" s="238" t="str">
        <f ca="1">IF(Giocatori!I225="","NDR" &amp; ROW(),Giocatori!I225)</f>
        <v>NDR301</v>
      </c>
      <c r="D301" s="63">
        <f t="shared" ca="1" si="103"/>
        <v>3.0100000000000001E-3</v>
      </c>
      <c r="E301" s="63">
        <f t="shared" ca="1" si="104"/>
        <v>3.0100000000000001E-3</v>
      </c>
      <c r="F301" s="64">
        <f t="shared" ca="1" si="105"/>
        <v>6.0200755008333337E-3</v>
      </c>
      <c r="G301" s="63" t="str">
        <f t="shared" ca="1" si="106"/>
        <v/>
      </c>
      <c r="H301" s="65" t="str">
        <f t="shared" ca="1" si="107"/>
        <v/>
      </c>
      <c r="I301" s="63" t="str">
        <f t="shared" ca="1" si="108"/>
        <v/>
      </c>
      <c r="J301" s="63">
        <f t="shared" ca="1" si="109"/>
        <v>3.0100000000000001E-3</v>
      </c>
      <c r="K301" s="63">
        <f t="shared" ca="1" si="110"/>
        <v>3.0100000000000001E-3</v>
      </c>
      <c r="L301" s="324" t="e">
        <f ca="1">VLOOKUP(Tabella113[[#This Row],[Calciatore]],'Raccolta Aste'!$F$2:$J$33,4,FALSE)*Asta!$U$3/100</f>
        <v>#N/A</v>
      </c>
      <c r="N301" s="58"/>
      <c r="O301" s="58"/>
      <c r="P301" s="58"/>
      <c r="Q301" s="58"/>
      <c r="R301" s="58"/>
      <c r="S301" s="58"/>
      <c r="U301" s="311"/>
      <c r="V301" s="311"/>
      <c r="W301" s="56">
        <f t="shared" ca="1" si="111"/>
        <v>191</v>
      </c>
      <c r="X301" s="56">
        <f t="shared" ca="1" si="112"/>
        <v>188</v>
      </c>
      <c r="Y301" s="56">
        <f t="shared" ca="1" si="113"/>
        <v>191</v>
      </c>
      <c r="Z301" s="56">
        <f t="shared" ca="1" si="114"/>
        <v>191</v>
      </c>
      <c r="AA301" s="56">
        <f t="shared" ca="1" si="115"/>
        <v>191</v>
      </c>
      <c r="AB301" s="56">
        <f ca="1">_xlfn.CEILING.MATH(INDIRECT(ADDRESS(85,22+MATCH($P$27,'I.A. + Fasce'!$W$84:$AA$84,0),1,1) &amp; ":" &amp; ADDRESS(305,22+MATCH($P$27,'I.A. + Fasce'!$W$84:$AA$84,0),1,1))/Asta!$H$3)</f>
        <v>24</v>
      </c>
    </row>
    <row r="302" spans="1:28" ht="14.25" customHeight="1">
      <c r="A302" s="238" t="str">
        <f ca="1">IF(Giocatori!G200="","D",Giocatori!G200)</f>
        <v>D</v>
      </c>
      <c r="B302" s="238" t="str">
        <f ca="1">IF(Giocatori!H226="","ZZZ" &amp; ROW(),Giocatori!H226)</f>
        <v>ZZZ302</v>
      </c>
      <c r="C302" s="238" t="str">
        <f ca="1">IF(Giocatori!I226="","NDR" &amp; ROW(),Giocatori!I226)</f>
        <v>NDR302</v>
      </c>
      <c r="D302" s="63">
        <f t="shared" ca="1" si="103"/>
        <v>3.0200000000000001E-3</v>
      </c>
      <c r="E302" s="63">
        <f t="shared" ca="1" si="104"/>
        <v>3.0200000000000001E-3</v>
      </c>
      <c r="F302" s="64">
        <f t="shared" ca="1" si="105"/>
        <v>6.0400760033333329E-3</v>
      </c>
      <c r="G302" s="63" t="str">
        <f t="shared" ca="1" si="106"/>
        <v/>
      </c>
      <c r="H302" s="65" t="str">
        <f t="shared" ca="1" si="107"/>
        <v/>
      </c>
      <c r="I302" s="63" t="str">
        <f t="shared" ca="1" si="108"/>
        <v/>
      </c>
      <c r="J302" s="63">
        <f t="shared" ca="1" si="109"/>
        <v>3.0200000000000001E-3</v>
      </c>
      <c r="K302" s="63">
        <f t="shared" ca="1" si="110"/>
        <v>3.0200000000000001E-3</v>
      </c>
      <c r="L302" s="324" t="e">
        <f ca="1">VLOOKUP(Tabella113[[#This Row],[Calciatore]],'Raccolta Aste'!$F$2:$J$33,4,FALSE)*Asta!$U$3/100</f>
        <v>#N/A</v>
      </c>
      <c r="N302" s="58"/>
      <c r="O302" s="58"/>
      <c r="P302" s="58"/>
      <c r="Q302" s="58"/>
      <c r="R302" s="58"/>
      <c r="S302" s="58"/>
      <c r="U302" s="311"/>
      <c r="V302" s="311"/>
      <c r="W302" s="56">
        <f t="shared" ca="1" si="111"/>
        <v>190</v>
      </c>
      <c r="X302" s="56">
        <f t="shared" ca="1" si="112"/>
        <v>187</v>
      </c>
      <c r="Y302" s="56">
        <f t="shared" ca="1" si="113"/>
        <v>190</v>
      </c>
      <c r="Z302" s="56">
        <f t="shared" ca="1" si="114"/>
        <v>190</v>
      </c>
      <c r="AA302" s="56">
        <f t="shared" ca="1" si="115"/>
        <v>190</v>
      </c>
      <c r="AB302" s="56">
        <f ca="1">_xlfn.CEILING.MATH(INDIRECT(ADDRESS(85,22+MATCH($P$27,'I.A. + Fasce'!$W$84:$AA$84,0),1,1) &amp; ":" &amp; ADDRESS(305,22+MATCH($P$27,'I.A. + Fasce'!$W$84:$AA$84,0),1,1))/Asta!$H$3)</f>
        <v>24</v>
      </c>
    </row>
    <row r="303" spans="1:28" ht="14.25" customHeight="1">
      <c r="A303" s="238" t="str">
        <f ca="1">IF(Giocatori!G201="","D",Giocatori!G201)</f>
        <v>D</v>
      </c>
      <c r="B303" s="238" t="str">
        <f ca="1">IF(Giocatori!H227="","ZZZ" &amp; ROW(),Giocatori!H227)</f>
        <v>ZZZ303</v>
      </c>
      <c r="C303" s="238" t="str">
        <f ca="1">IF(Giocatori!I227="","NDR" &amp; ROW(),Giocatori!I227)</f>
        <v>NDR303</v>
      </c>
      <c r="D303" s="63">
        <f t="shared" ca="1" si="103"/>
        <v>3.0300000000000001E-3</v>
      </c>
      <c r="E303" s="63">
        <f t="shared" ca="1" si="104"/>
        <v>3.0300000000000001E-3</v>
      </c>
      <c r="F303" s="64">
        <f t="shared" ca="1" si="105"/>
        <v>6.0600765075000005E-3</v>
      </c>
      <c r="G303" s="63" t="str">
        <f t="shared" ca="1" si="106"/>
        <v/>
      </c>
      <c r="H303" s="65" t="str">
        <f t="shared" ca="1" si="107"/>
        <v/>
      </c>
      <c r="I303" s="63" t="str">
        <f t="shared" ca="1" si="108"/>
        <v/>
      </c>
      <c r="J303" s="63">
        <f t="shared" ca="1" si="109"/>
        <v>3.0300000000000001E-3</v>
      </c>
      <c r="K303" s="63">
        <f t="shared" ca="1" si="110"/>
        <v>3.0300000000000001E-3</v>
      </c>
      <c r="L303" s="324" t="e">
        <f ca="1">VLOOKUP(Tabella113[[#This Row],[Calciatore]],'Raccolta Aste'!$F$2:$J$33,4,FALSE)*Asta!$U$3/100</f>
        <v>#N/A</v>
      </c>
      <c r="N303" s="58"/>
      <c r="O303" s="58"/>
      <c r="P303" s="58"/>
      <c r="Q303" s="58"/>
      <c r="R303" s="58"/>
      <c r="S303" s="58"/>
      <c r="U303" s="311"/>
      <c r="V303" s="311"/>
      <c r="W303" s="56">
        <f t="shared" ca="1" si="111"/>
        <v>189</v>
      </c>
      <c r="X303" s="56">
        <f t="shared" ca="1" si="112"/>
        <v>186</v>
      </c>
      <c r="Y303" s="56">
        <f t="shared" ca="1" si="113"/>
        <v>189</v>
      </c>
      <c r="Z303" s="56">
        <f t="shared" ca="1" si="114"/>
        <v>189</v>
      </c>
      <c r="AA303" s="56">
        <f t="shared" ca="1" si="115"/>
        <v>189</v>
      </c>
      <c r="AB303" s="56">
        <f ca="1">_xlfn.CEILING.MATH(INDIRECT(ADDRESS(85,22+MATCH($P$27,'I.A. + Fasce'!$W$84:$AA$84,0),1,1) &amp; ":" &amp; ADDRESS(305,22+MATCH($P$27,'I.A. + Fasce'!$W$84:$AA$84,0),1,1))/Asta!$H$3)</f>
        <v>24</v>
      </c>
    </row>
    <row r="304" spans="1:28" ht="14.25" customHeight="1">
      <c r="A304" s="238" t="str">
        <f ca="1">IF(Giocatori!G202="","D",Giocatori!G202)</f>
        <v>D</v>
      </c>
      <c r="B304" s="238" t="str">
        <f ca="1">IF(Giocatori!H228="","ZZZ" &amp; ROW(),Giocatori!H228)</f>
        <v>ZZZ304</v>
      </c>
      <c r="C304" s="238" t="str">
        <f ca="1">IF(Giocatori!I228="","NDR" &amp; ROW(),Giocatori!I228)</f>
        <v>NDR304</v>
      </c>
      <c r="D304" s="63">
        <f t="shared" ca="1" si="103"/>
        <v>3.0400000000000002E-3</v>
      </c>
      <c r="E304" s="63">
        <f t="shared" ca="1" si="104"/>
        <v>3.0400000000000002E-3</v>
      </c>
      <c r="F304" s="64">
        <f t="shared" ca="1" si="105"/>
        <v>6.0800770133333333E-3</v>
      </c>
      <c r="G304" s="63" t="str">
        <f t="shared" ca="1" si="106"/>
        <v/>
      </c>
      <c r="H304" s="65" t="str">
        <f t="shared" ca="1" si="107"/>
        <v/>
      </c>
      <c r="I304" s="63" t="str">
        <f t="shared" ca="1" si="108"/>
        <v/>
      </c>
      <c r="J304" s="63">
        <f t="shared" ca="1" si="109"/>
        <v>3.0400000000000002E-3</v>
      </c>
      <c r="K304" s="63">
        <f t="shared" ca="1" si="110"/>
        <v>3.0400000000000002E-3</v>
      </c>
      <c r="L304" s="324" t="e">
        <f ca="1">VLOOKUP(Tabella113[[#This Row],[Calciatore]],'Raccolta Aste'!$F$2:$J$33,4,FALSE)*Asta!$U$3/100</f>
        <v>#N/A</v>
      </c>
      <c r="N304" s="58"/>
      <c r="O304" s="58"/>
      <c r="P304" s="58"/>
      <c r="Q304" s="58"/>
      <c r="R304" s="58"/>
      <c r="S304" s="58"/>
      <c r="U304" s="311"/>
      <c r="V304" s="311"/>
      <c r="W304" s="56">
        <f t="shared" ca="1" si="111"/>
        <v>188</v>
      </c>
      <c r="X304" s="56">
        <f t="shared" ca="1" si="112"/>
        <v>185</v>
      </c>
      <c r="Y304" s="56">
        <f t="shared" ca="1" si="113"/>
        <v>188</v>
      </c>
      <c r="Z304" s="56">
        <f t="shared" ca="1" si="114"/>
        <v>188</v>
      </c>
      <c r="AA304" s="56">
        <f t="shared" ca="1" si="115"/>
        <v>188</v>
      </c>
      <c r="AB304" s="56">
        <f ca="1">_xlfn.CEILING.MATH(INDIRECT(ADDRESS(85,22+MATCH($P$27,'I.A. + Fasce'!$W$84:$AA$84,0),1,1) &amp; ":" &amp; ADDRESS(305,22+MATCH($P$27,'I.A. + Fasce'!$W$84:$AA$84,0),1,1))/Asta!$H$3)</f>
        <v>24</v>
      </c>
    </row>
    <row r="305" spans="1:28" ht="14.25" customHeight="1">
      <c r="A305" s="238" t="str">
        <f ca="1">IF(Giocatori!G203="","D",Giocatori!G203)</f>
        <v>D</v>
      </c>
      <c r="B305" s="238" t="str">
        <f>IF(Giocatori!H229="","ZZZ" &amp; ROW(),Giocatori!H229)</f>
        <v>ZZZ305</v>
      </c>
      <c r="C305" s="238" t="str">
        <f>IF(Giocatori!I229="","NDR" &amp; ROW(),Giocatori!I229)</f>
        <v>NDR305</v>
      </c>
      <c r="D305" s="63">
        <f t="shared" si="103"/>
        <v>3.0500000000000002E-3</v>
      </c>
      <c r="E305" s="63">
        <f t="shared" si="104"/>
        <v>3.0500000000000002E-3</v>
      </c>
      <c r="F305" s="64">
        <f t="shared" si="105"/>
        <v>6.1000775208333337E-3</v>
      </c>
      <c r="G305" s="63" t="str">
        <f t="shared" si="106"/>
        <v/>
      </c>
      <c r="H305" s="65" t="str">
        <f t="shared" si="107"/>
        <v/>
      </c>
      <c r="I305" s="63" t="str">
        <f t="shared" si="108"/>
        <v/>
      </c>
      <c r="J305" s="63">
        <f t="shared" si="109"/>
        <v>3.0500000000000002E-3</v>
      </c>
      <c r="K305" s="63">
        <f t="shared" si="110"/>
        <v>3.0500000000000002E-3</v>
      </c>
      <c r="L305" s="324" t="e">
        <f>VLOOKUP(Tabella113[[#This Row],[Calciatore]],'Raccolta Aste'!$F$2:$J$33,4,FALSE)*Asta!$U$3/100</f>
        <v>#N/A</v>
      </c>
      <c r="N305" s="58"/>
      <c r="O305" s="58"/>
      <c r="P305" s="58"/>
      <c r="Q305" s="58"/>
      <c r="R305" s="58"/>
      <c r="S305" s="58"/>
      <c r="U305" s="311"/>
      <c r="V305" s="311"/>
      <c r="W305" s="56">
        <f t="shared" ca="1" si="111"/>
        <v>187</v>
      </c>
      <c r="X305" s="56">
        <f t="shared" ca="1" si="112"/>
        <v>184</v>
      </c>
      <c r="Y305" s="56">
        <f t="shared" ca="1" si="113"/>
        <v>187</v>
      </c>
      <c r="Z305" s="56">
        <f t="shared" ca="1" si="114"/>
        <v>187</v>
      </c>
      <c r="AA305" s="56">
        <f t="shared" ca="1" si="115"/>
        <v>187</v>
      </c>
      <c r="AB305" s="56">
        <f ca="1">_xlfn.CEILING.MATH(INDIRECT(ADDRESS(85,22+MATCH($P$27,'I.A. + Fasce'!$W$84:$AA$84,0),1,1) &amp; ":" &amp; ADDRESS(305,22+MATCH($P$27,'I.A. + Fasce'!$W$84:$AA$84,0),1,1))/Asta!$H$3)</f>
        <v>23</v>
      </c>
    </row>
    <row r="306" spans="1:28" ht="14.25" customHeight="1">
      <c r="A306" s="62"/>
      <c r="B306"/>
      <c r="C306" s="62"/>
      <c r="D306" s="67"/>
      <c r="E306" s="63"/>
      <c r="F306" s="64"/>
      <c r="G306" s="68"/>
      <c r="H306" s="68"/>
      <c r="I306" s="68"/>
      <c r="J306" s="63"/>
      <c r="K306" s="63"/>
      <c r="L306" s="63"/>
    </row>
    <row r="307" spans="1:28" s="56" customFormat="1" ht="18.75" customHeight="1">
      <c r="A307" s="549" t="s">
        <v>659</v>
      </c>
      <c r="B307" s="549"/>
      <c r="C307" s="549" t="s">
        <v>660</v>
      </c>
      <c r="D307" s="549"/>
      <c r="E307" s="549" t="s">
        <v>661</v>
      </c>
      <c r="F307" s="549"/>
      <c r="G307" s="549"/>
      <c r="H307" s="549"/>
      <c r="I307" s="549" t="s">
        <v>662</v>
      </c>
      <c r="J307" s="549"/>
      <c r="K307" s="549"/>
      <c r="L307" s="549"/>
      <c r="M307" s="549"/>
      <c r="N307" s="549" t="s">
        <v>663</v>
      </c>
      <c r="O307" s="549"/>
      <c r="P307" s="548" t="s">
        <v>664</v>
      </c>
      <c r="Q307" s="548"/>
      <c r="R307" s="548"/>
      <c r="S307" s="548"/>
    </row>
    <row r="308" spans="1:28" ht="14.25" customHeight="1">
      <c r="A308" s="62"/>
      <c r="B308" s="62"/>
      <c r="C308" s="62"/>
      <c r="D308" s="67"/>
      <c r="E308" s="63"/>
      <c r="F308" s="64"/>
      <c r="G308" s="66"/>
      <c r="H308" s="66"/>
      <c r="I308" s="66"/>
      <c r="J308" s="63"/>
      <c r="K308" s="63"/>
      <c r="L308" s="63"/>
    </row>
    <row r="309" spans="1:28" ht="14.25" customHeight="1">
      <c r="A309" s="550" t="s">
        <v>40</v>
      </c>
      <c r="B309" s="550"/>
      <c r="C309" s="550"/>
      <c r="D309" s="550"/>
      <c r="E309" s="550"/>
      <c r="F309" s="550"/>
      <c r="G309" s="547" t="s">
        <v>704</v>
      </c>
      <c r="H309" s="547"/>
      <c r="I309" s="194"/>
      <c r="J309" s="8" t="s">
        <v>665</v>
      </c>
      <c r="K309" s="8" t="s">
        <v>665</v>
      </c>
      <c r="L309" s="456"/>
      <c r="N309" s="58"/>
      <c r="O309" s="59" t="s">
        <v>666</v>
      </c>
      <c r="P309" s="59" t="s">
        <v>637</v>
      </c>
      <c r="Q309" s="58"/>
      <c r="R309" s="59" t="s">
        <v>667</v>
      </c>
      <c r="S309" s="59" t="s">
        <v>637</v>
      </c>
    </row>
    <row r="310" spans="1:28" s="317" customFormat="1" ht="14.25" customHeight="1">
      <c r="A310" s="312" t="s">
        <v>638</v>
      </c>
      <c r="B310" s="312" t="s">
        <v>668</v>
      </c>
      <c r="C310" s="314" t="s">
        <v>637</v>
      </c>
      <c r="D310" s="315" t="s">
        <v>669</v>
      </c>
      <c r="E310" s="315" t="s">
        <v>670</v>
      </c>
      <c r="F310" s="315" t="s">
        <v>1315</v>
      </c>
      <c r="G310" s="312" t="s">
        <v>671</v>
      </c>
      <c r="H310" s="321" t="s">
        <v>672</v>
      </c>
      <c r="I310" s="321" t="s">
        <v>673</v>
      </c>
      <c r="J310" s="321" t="s">
        <v>674</v>
      </c>
      <c r="K310" s="321" t="s">
        <v>675</v>
      </c>
      <c r="L310" s="321" t="s">
        <v>1998</v>
      </c>
      <c r="N310" s="318"/>
      <c r="O310" s="319"/>
      <c r="P310" s="319"/>
      <c r="Q310" s="318"/>
      <c r="R310" s="319"/>
      <c r="S310" s="319"/>
      <c r="W310" s="317" t="s">
        <v>669</v>
      </c>
      <c r="X310" s="317" t="s">
        <v>670</v>
      </c>
      <c r="Y310" s="317" t="s">
        <v>1315</v>
      </c>
      <c r="Z310" s="317" t="s">
        <v>1466</v>
      </c>
      <c r="AA310" s="317" t="s">
        <v>1468</v>
      </c>
      <c r="AB310" s="317" t="s">
        <v>1475</v>
      </c>
    </row>
    <row r="311" spans="1:28" s="56" customFormat="1" ht="14.25" customHeight="1">
      <c r="A311" s="239" t="str">
        <f ca="1">IF(Giocatori!J89="","C",Giocatori!J89)</f>
        <v>C</v>
      </c>
      <c r="B311" s="239" t="str">
        <f ca="1">IF(Giocatori!K89="","ZZZ" &amp; ROW(),Giocatori!K89)</f>
        <v>HAMSIK</v>
      </c>
      <c r="C311" s="239" t="str">
        <f ca="1">IF(Giocatori!L89="","NDR" &amp; ROW(),Giocatori!L89)</f>
        <v>Napoli</v>
      </c>
      <c r="D311" s="63">
        <f ca="1">IF(ISNA(VLOOKUP($B311,TabAlgTutti,6,FALSE)),0,VLOOKUP($B311,TabAlgTutti,6,FALSE))+ROW()/100000</f>
        <v>98.003110000000007</v>
      </c>
      <c r="E311" s="63">
        <f ca="1">IF(ISNA(VLOOKUP($B311,TabAlgTutti,5,FALSE)),0,VLOOKUP($B311,TabAlgTutti,5,FALSE))+ROW()/100000</f>
        <v>53.00311</v>
      </c>
      <c r="F311" s="64">
        <f ca="1">($D311*$P$8+$E311*(1+$E311*100/60/100)*$S$8)/100+ROW()/100000</f>
        <v>98.917300580600852</v>
      </c>
      <c r="G311" s="63" t="str">
        <f ca="1">IF(ISNA(VLOOKUP($B311,TabAlgTutti,7,FALSE)),"",IF(VLOOKUP($B311,TabAlgTutti,7,FALSE)=-1,"SCONSIGLIATO",IF(VLOOKUP($B311,TabAlgTutti,7,FALSE)=0,"SORPRESA",IF(VLOOKUP($B311,TabAlgTutti,7,FALSE)=1,"CONSIGLIATO",""))))</f>
        <v>CONSIGLIATO</v>
      </c>
      <c r="H311" s="65">
        <f ca="1">IF(ISNA(VLOOKUP($B311,TabAlgTutti,8,FALSE)),"",VLOOKUP($B311,TabAlgTutti,8,FALSE))</f>
        <v>90</v>
      </c>
      <c r="I311" s="323" t="str">
        <f ca="1">IF(ISNA(VLOOKUP($B311,TabAlgTutti,9,FALSE)),"",IF(VLOOKUP($B311,TabAlgTutti,9,FALSE)="","",VLOOKUP($B311,TabAlgTutti,9,FALSE)&amp;"R "))&amp;IF(ISNA(VLOOKUP($B311,TabAlgTutti,10,FALSE)),"",IF(VLOOKUP($B311,TabAlgTutti,10,FALSE)="","",VLOOKUP($B311,TabAlgTutti,10,FALSE)&amp;"P "))&amp;IF(ISNA(VLOOKUP($B311,TabAlgTutti,11,FALSE)),"",IF(VLOOKUP($B311,TabAlgTutti,11,FALSE)="","",VLOOKUP($B311,TabAlgTutti,11,FALSE)&amp;"A"))</f>
        <v/>
      </c>
      <c r="J311" s="63">
        <f ca="1">IF(ISNA(VLOOKUP($B311,TabAlgTutti,3,FALSE)),0,VLOOKUP($B311,TabAlgTutti,3,FALSE))+ROW()/100000</f>
        <v>75.003110000000007</v>
      </c>
      <c r="K311" s="63">
        <f ca="1">IF(ISNA(VLOOKUP($B311,TabAlgTutti,4,FALSE)),0,VLOOKUP($B311,TabAlgTutti,4,FALSE))+ROW()/100000</f>
        <v>72.22927893863978</v>
      </c>
      <c r="L311" s="63">
        <f ca="1">VLOOKUP(Tabella114[[#This Row],[Calciatore]],'Raccolta Aste'!$K$2:$O$33,4,FALSE)*Asta!$U$3/100</f>
        <v>58.17</v>
      </c>
      <c r="N311" s="59">
        <f t="shared" ref="N311:N322" si="116">IF(ISNUMBER($N34),$N34,"")</f>
        <v>1</v>
      </c>
      <c r="O311" s="62" t="str">
        <f ca="1">IF(ISNUMBER(N311),INDIRECT("B" &amp; 310 + MATCH(N311,INDIRECT(ADDRESS(311,22+MATCH($P$28,'I.A. + Fasce'!$W$84:$AA$84,0),1,1) &amp; ":" &amp; ADDRESS(531,22+MATCH($P$28,'I.A. + Fasce'!$W$84:$AA$84,0),1,1)),0)),"")</f>
        <v>HAMSIK</v>
      </c>
      <c r="P311" s="62" t="str">
        <f ca="1">IF(O311="","",VLOOKUP(O311,$B$311:$C$531,2,FALSE))</f>
        <v>Napoli</v>
      </c>
      <c r="Q311" s="59">
        <f t="shared" ref="Q311:Q322" si="117">IF(ISNUMBER(N311),N311+COUNTIF($N$34:$N$45,"&gt;0"),"")</f>
        <v>9</v>
      </c>
      <c r="R311" s="62" t="str">
        <f ca="1">IF(ISNUMBER(Q311),INDIRECT("B" &amp; 310 + MATCH(Q311,INDIRECT(ADDRESS(311,22+MATCH($P$28,'I.A. + Fasce'!$W$84:$AA$84,0),1,1) &amp; ":" &amp; ADDRESS(531,22+MATCH($P$28,'I.A. + Fasce'!$W$84:$AA$84,0),1,1)),0)),"")</f>
        <v>CALHANOGLU</v>
      </c>
      <c r="S311" s="62" t="str">
        <f ca="1">IF(R311="","",VLOOKUP(R311,$B$311:$C$531,2,FALSE))</f>
        <v>Milan</v>
      </c>
      <c r="W311" s="56">
        <f ca="1">_xlfn.RANK.EQ(D311,D$311:D$531,0)</f>
        <v>1</v>
      </c>
      <c r="X311" s="56">
        <f ca="1">_xlfn.RANK.EQ(E311,$E$311:$E$531,0)</f>
        <v>1</v>
      </c>
      <c r="Y311" s="56">
        <f ca="1">_xlfn.RANK.EQ(F311,$F$311:$F$531,0)</f>
        <v>1</v>
      </c>
      <c r="Z311" s="56">
        <f ca="1">_xlfn.RANK.EQ(J311,$J$311:$J$531,0)</f>
        <v>1</v>
      </c>
      <c r="AA311" s="56">
        <f ca="1">_xlfn.RANK.EQ(K311,$K$311:$K$531,0)</f>
        <v>1</v>
      </c>
      <c r="AB311" s="56">
        <f ca="1">_xlfn.CEILING.MATH(INDIRECT(ADDRESS(311,22+MATCH($P$28,'I.A. + Fasce'!$W$84:$AA$84,0),1,1) &amp; ":" &amp; ADDRESS(531,22+MATCH($P$28,'I.A. + Fasce'!$W$84:$AA$84,0),1,1))/Asta!$H$3)</f>
        <v>1</v>
      </c>
    </row>
    <row r="312" spans="1:28" ht="14.25" customHeight="1">
      <c r="A312" s="239" t="str">
        <f ca="1">IF(Giocatori!J140="","C",Giocatori!J140)</f>
        <v>C</v>
      </c>
      <c r="B312" s="239" t="str">
        <f ca="1">IF(Giocatori!K140="","ZZZ" &amp; ROW(),Giocatori!K140)</f>
        <v>PERISIC</v>
      </c>
      <c r="C312" s="239" t="str">
        <f ca="1">IF(Giocatori!L140="","NDR" &amp; ROW(),Giocatori!L140)</f>
        <v>Inter</v>
      </c>
      <c r="D312" s="63">
        <f ca="1">IF(ISNA(VLOOKUP($B312,TabAlgTutti,6,FALSE)),0,VLOOKUP($B312,TabAlgTutti,6,FALSE))+ROW()/100000</f>
        <v>96.003119999999996</v>
      </c>
      <c r="E312" s="63">
        <f ca="1">IF(ISNA(VLOOKUP($B312,TabAlgTutti,5,FALSE)),0,VLOOKUP($B312,TabAlgTutti,5,FALSE))+ROW()/100000</f>
        <v>49.003120000000003</v>
      </c>
      <c r="F312" s="64">
        <f ca="1">($D312*$P$8+$E312*(1+$E312*100/60/100)*$S$8)/100+ROW()/100000</f>
        <v>92.517121414453342</v>
      </c>
      <c r="G312" s="63" t="str">
        <f ca="1">IF(ISNA(VLOOKUP($B312,TabAlgTutti,7,FALSE)),"",IF(VLOOKUP($B312,TabAlgTutti,7,FALSE)=-1,"SCONSIGLIATO",IF(VLOOKUP($B312,TabAlgTutti,7,FALSE)=0,"SORPRESA",IF(VLOOKUP($B312,TabAlgTutti,7,FALSE)=1,"CONSIGLIATO",""))))</f>
        <v>CONSIGLIATO</v>
      </c>
      <c r="H312" s="65">
        <f ca="1">IF(ISNA(VLOOKUP($B312,TabAlgTutti,8,FALSE)),"",VLOOKUP($B312,TabAlgTutti,8,FALSE))</f>
        <v>90</v>
      </c>
      <c r="I312" s="63" t="str">
        <f ca="1">IF(ISNA(VLOOKUP($B312,TabAlgTutti,9,FALSE)),"",IF(VLOOKUP($B312,TabAlgTutti,9,FALSE)="","",VLOOKUP($B312,TabAlgTutti,9,FALSE)&amp;"R "))&amp;IF(ISNA(VLOOKUP($B312,TabAlgTutti,10,FALSE)),"",IF(VLOOKUP($B312,TabAlgTutti,10,FALSE)="","",VLOOKUP($B312,TabAlgTutti,10,FALSE)&amp;"P "))&amp;IF(ISNA(VLOOKUP($B312,TabAlgTutti,11,FALSE)),"",IF(VLOOKUP($B312,TabAlgTutti,11,FALSE)="","",VLOOKUP($B312,TabAlgTutti,11,FALSE)&amp;"A"))</f>
        <v/>
      </c>
      <c r="J312" s="63">
        <f ca="1">IF(ISNA(VLOOKUP($B312,TabAlgTutti,3,FALSE)),0,VLOOKUP($B312,TabAlgTutti,3,FALSE))+ROW()/100000</f>
        <v>47.416547316255951</v>
      </c>
      <c r="K312" s="63">
        <f ca="1">IF(ISNA(VLOOKUP($B312,TabAlgTutti,4,FALSE)),0,VLOOKUP($B312,TabAlgTutti,4,FALSE))+ROW()/100000</f>
        <v>46.147339195988572</v>
      </c>
      <c r="L312" s="63">
        <f ca="1">VLOOKUP(Tabella114[[#This Row],[Calciatore]],'Raccolta Aste'!$K$2:$O$33,4,FALSE)*Asta!$U$3/100</f>
        <v>54.424999999999997</v>
      </c>
      <c r="N312" s="59">
        <f t="shared" si="116"/>
        <v>2</v>
      </c>
      <c r="O312" s="62" t="str">
        <f ca="1">IF(ISNUMBER(N312),INDIRECT("B" &amp; 310 + MATCH(N312,INDIRECT(ADDRESS(311,22+MATCH($P$28,'I.A. + Fasce'!$W$84:$AA$84,0),1,1) &amp; ":" &amp; ADDRESS(531,22+MATCH($P$28,'I.A. + Fasce'!$W$84:$AA$84,0),1,1)),0)),"")</f>
        <v>PERISIC</v>
      </c>
      <c r="P312" s="62" t="str">
        <f t="shared" ref="P312:P322" ca="1" si="118">IF(O312="","",VLOOKUP(O312,$B$311:$C$531,2,FALSE))</f>
        <v>Inter</v>
      </c>
      <c r="Q312" s="59">
        <f t="shared" si="117"/>
        <v>10</v>
      </c>
      <c r="R312" s="62" t="str">
        <f ca="1">IF(ISNUMBER(Q312),INDIRECT("B" &amp; 310 + MATCH(Q312,INDIRECT(ADDRESS(311,22+MATCH($P$28,'I.A. + Fasce'!$W$84:$AA$84,0),1,1) &amp; ":" &amp; ADDRESS(531,22+MATCH($P$28,'I.A. + Fasce'!$W$84:$AA$84,0),1,1)),0)),"")</f>
        <v>MILINKOVIC-SAVIC</v>
      </c>
      <c r="S312" s="62" t="str">
        <f t="shared" ref="S312:S322" ca="1" si="119">IF(R312="","",VLOOKUP(R312,$B$311:$C$531,2,FALSE))</f>
        <v>Lazio</v>
      </c>
      <c r="W312" s="56">
        <f t="shared" ref="W312:W375" ca="1" si="120">_xlfn.RANK.EQ(D312,D$311:D$531,0)</f>
        <v>3</v>
      </c>
      <c r="X312" s="56">
        <f t="shared" ref="X312:X375" ca="1" si="121">_xlfn.RANK.EQ(E312,$E$311:$E$531,0)</f>
        <v>4</v>
      </c>
      <c r="Y312" s="56">
        <f t="shared" ref="Y312:Y375" ca="1" si="122">_xlfn.RANK.EQ(F312,$F$311:$F$531,0)</f>
        <v>2</v>
      </c>
      <c r="Z312" s="56">
        <f t="shared" ref="Z312:Z375" ca="1" si="123">_xlfn.RANK.EQ(J312,$J$311:$J$531,0)</f>
        <v>7</v>
      </c>
      <c r="AA312" s="56">
        <f t="shared" ref="AA312:AA375" ca="1" si="124">_xlfn.RANK.EQ(K312,$K$311:$K$531,0)</f>
        <v>7</v>
      </c>
      <c r="AB312" s="56">
        <f ca="1">_xlfn.CEILING.MATH(INDIRECT(ADDRESS(311,22+MATCH($P$28,'I.A. + Fasce'!$W$84:$AA$84,0),1,1) &amp; ":" &amp; ADDRESS(531,22+MATCH($P$28,'I.A. + Fasce'!$W$84:$AA$84,0),1,1))/Asta!$H$3)</f>
        <v>1</v>
      </c>
    </row>
    <row r="313" spans="1:28" ht="14.25" customHeight="1">
      <c r="A313" s="239" t="str">
        <f ca="1">IF(Giocatori!J133="","C",Giocatori!J133)</f>
        <v>C</v>
      </c>
      <c r="B313" s="239" t="str">
        <f ca="1">IF(Giocatori!K133="","ZZZ" &amp; ROW(),Giocatori!K133)</f>
        <v>NAINGGOLAN</v>
      </c>
      <c r="C313" s="239" t="str">
        <f ca="1">IF(Giocatori!L133="","NDR" &amp; ROW(),Giocatori!L133)</f>
        <v>Roma</v>
      </c>
      <c r="D313" s="63">
        <f ca="1">IF(ISNA(VLOOKUP($B313,TabAlgTutti,6,FALSE)),0,VLOOKUP($B313,TabAlgTutti,6,FALSE))+ROW()/100000</f>
        <v>97.003129999999999</v>
      </c>
      <c r="E313" s="63">
        <f ca="1">IF(ISNA(VLOOKUP($B313,TabAlgTutti,5,FALSE)),0,VLOOKUP($B313,TabAlgTutti,5,FALSE))+ROW()/100000</f>
        <v>48.003129999999999</v>
      </c>
      <c r="F313" s="64">
        <f ca="1">($D313*$P$8+$E313*(1+$E313*100/60/100)*$S$8)/100+ROW()/100000</f>
        <v>91.708764081640822</v>
      </c>
      <c r="G313" s="63" t="str">
        <f ca="1">IF(ISNA(VLOOKUP($B313,TabAlgTutti,7,FALSE)),"",IF(VLOOKUP($B313,TabAlgTutti,7,FALSE)=-1,"SCONSIGLIATO",IF(VLOOKUP($B313,TabAlgTutti,7,FALSE)=0,"SORPRESA",IF(VLOOKUP($B313,TabAlgTutti,7,FALSE)=1,"CONSIGLIATO",""))))</f>
        <v>CONSIGLIATO</v>
      </c>
      <c r="H313" s="65">
        <f ca="1">IF(ISNA(VLOOKUP($B313,TabAlgTutti,8,FALSE)),"",VLOOKUP($B313,TabAlgTutti,8,FALSE))</f>
        <v>90</v>
      </c>
      <c r="I313" s="63" t="str">
        <f ca="1">IF(ISNA(VLOOKUP($B313,TabAlgTutti,9,FALSE)),"",IF(VLOOKUP($B313,TabAlgTutti,9,FALSE)="","",VLOOKUP($B313,TabAlgTutti,9,FALSE)&amp;"R "))&amp;IF(ISNA(VLOOKUP($B313,TabAlgTutti,10,FALSE)),"",IF(VLOOKUP($B313,TabAlgTutti,10,FALSE)="","",VLOOKUP($B313,TabAlgTutti,10,FALSE)&amp;"P "))&amp;IF(ISNA(VLOOKUP($B313,TabAlgTutti,11,FALSE)),"",IF(VLOOKUP($B313,TabAlgTutti,11,FALSE)="","",VLOOKUP($B313,TabAlgTutti,11,FALSE)&amp;"A"))</f>
        <v/>
      </c>
      <c r="J313" s="63">
        <f ca="1">IF(ISNA(VLOOKUP($B313,TabAlgTutti,3,FALSE)),0,VLOOKUP($B313,TabAlgTutti,3,FALSE))+ROW()/100000</f>
        <v>52.116556950468755</v>
      </c>
      <c r="K313" s="63">
        <f ca="1">IF(ISNA(VLOOKUP($B313,TabAlgTutti,4,FALSE)),0,VLOOKUP($B313,TabAlgTutti,4,FALSE))+ROW()/100000</f>
        <v>50.775088155671071</v>
      </c>
      <c r="L313" s="63">
        <f ca="1">VLOOKUP(Tabella114[[#This Row],[Calciatore]],'Raccolta Aste'!$K$2:$O$33,4,FALSE)*Asta!$U$3/100</f>
        <v>54.634999999999998</v>
      </c>
      <c r="N313" s="59">
        <f t="shared" si="116"/>
        <v>3</v>
      </c>
      <c r="O313" s="62" t="str">
        <f ca="1">IF(ISNUMBER(N313),INDIRECT("B" &amp; 310 + MATCH(N313,INDIRECT(ADDRESS(311,22+MATCH($P$28,'I.A. + Fasce'!$W$84:$AA$84,0),1,1) &amp; ":" &amp; ADDRESS(531,22+MATCH($P$28,'I.A. + Fasce'!$W$84:$AA$84,0),1,1)),0)),"")</f>
        <v>NAINGGOLAN</v>
      </c>
      <c r="P313" s="62" t="str">
        <f t="shared" ca="1" si="118"/>
        <v>Roma</v>
      </c>
      <c r="Q313" s="59">
        <f t="shared" si="117"/>
        <v>11</v>
      </c>
      <c r="R313" s="62" t="str">
        <f ca="1">IF(ISNUMBER(Q313),INDIRECT("B" &amp; 310 + MATCH(Q313,INDIRECT(ADDRESS(311,22+MATCH($P$28,'I.A. + Fasce'!$W$84:$AA$84,0),1,1) &amp; ":" &amp; ADDRESS(531,22+MATCH($P$28,'I.A. + Fasce'!$W$84:$AA$84,0),1,1)),0)),"")</f>
        <v>ZIELINSKI</v>
      </c>
      <c r="S313" s="62" t="str">
        <f t="shared" ca="1" si="119"/>
        <v>Napoli</v>
      </c>
      <c r="W313" s="56">
        <f t="shared" ca="1" si="120"/>
        <v>2</v>
      </c>
      <c r="X313" s="56">
        <f t="shared" ca="1" si="121"/>
        <v>6</v>
      </c>
      <c r="Y313" s="56">
        <f t="shared" ca="1" si="122"/>
        <v>3</v>
      </c>
      <c r="Z313" s="56">
        <f t="shared" ca="1" si="123"/>
        <v>5</v>
      </c>
      <c r="AA313" s="56">
        <f t="shared" ca="1" si="124"/>
        <v>5</v>
      </c>
      <c r="AB313" s="56">
        <f ca="1">_xlfn.CEILING.MATH(INDIRECT(ADDRESS(311,22+MATCH($P$28,'I.A. + Fasce'!$W$84:$AA$84,0),1,1) &amp; ":" &amp; ADDRESS(531,22+MATCH($P$28,'I.A. + Fasce'!$W$84:$AA$84,0),1,1))/Asta!$H$3)</f>
        <v>1</v>
      </c>
    </row>
    <row r="314" spans="1:28" ht="14.25" customHeight="1">
      <c r="A314" s="239" t="str">
        <f ca="1">IF(Giocatori!J64="","C",Giocatori!J64)</f>
        <v>C</v>
      </c>
      <c r="B314" s="239" t="str">
        <f ca="1">IF(Giocatori!K64="","ZZZ" &amp; ROW(),Giocatori!K64)</f>
        <v>DOUGLAS COSTA</v>
      </c>
      <c r="C314" s="239" t="str">
        <f ca="1">IF(Giocatori!L64="","NDR" &amp; ROW(),Giocatori!L64)</f>
        <v>Juventus</v>
      </c>
      <c r="D314" s="63">
        <f ca="1">IF(ISNA(VLOOKUP($B314,TabAlgTutti,6,FALSE)),0,VLOOKUP($B314,TabAlgTutti,6,FALSE))+ROW()/100000</f>
        <v>83.003140000000002</v>
      </c>
      <c r="E314" s="63">
        <f ca="1">IF(ISNA(VLOOKUP($B314,TabAlgTutti,5,FALSE)),0,VLOOKUP($B314,TabAlgTutti,5,FALSE))+ROW()/100000</f>
        <v>51.003140000000002</v>
      </c>
      <c r="F314" s="64">
        <f ca="1">($D314*$P$8+$E314*(1+$E314*100/60/100)*$S$8)/100+ROW()/100000</f>
        <v>88.683949082163323</v>
      </c>
      <c r="G314" s="63" t="str">
        <f ca="1">IF(ISNA(VLOOKUP($B314,TabAlgTutti,7,FALSE)),"",IF(VLOOKUP($B314,TabAlgTutti,7,FALSE)=-1,"SCONSIGLIATO",IF(VLOOKUP($B314,TabAlgTutti,7,FALSE)=0,"SORPRESA",IF(VLOOKUP($B314,TabAlgTutti,7,FALSE)=1,"CONSIGLIATO",""))))</f>
        <v>CONSIGLIATO</v>
      </c>
      <c r="H314" s="65">
        <f ca="1">IF(ISNA(VLOOKUP($B314,TabAlgTutti,8,FALSE)),"",VLOOKUP($B314,TabAlgTutti,8,FALSE))</f>
        <v>90</v>
      </c>
      <c r="I314" s="63" t="str">
        <f ca="1">IF(ISNA(VLOOKUP($B314,TabAlgTutti,9,FALSE)),"",IF(VLOOKUP($B314,TabAlgTutti,9,FALSE)="","",VLOOKUP($B314,TabAlgTutti,9,FALSE)&amp;"R "))&amp;IF(ISNA(VLOOKUP($B314,TabAlgTutti,10,FALSE)),"",IF(VLOOKUP($B314,TabAlgTutti,10,FALSE)="","",VLOOKUP($B314,TabAlgTutti,10,FALSE)&amp;"P "))&amp;IF(ISNA(VLOOKUP($B314,TabAlgTutti,11,FALSE)),"",IF(VLOOKUP($B314,TabAlgTutti,11,FALSE)="","",VLOOKUP($B314,TabAlgTutti,11,FALSE)&amp;"A"))</f>
        <v xml:space="preserve">3P </v>
      </c>
      <c r="J314" s="63">
        <f ca="1">IF(ISNA(VLOOKUP($B314,TabAlgTutti,3,FALSE)),0,VLOOKUP($B314,TabAlgTutti,3,FALSE))+ROW()/100000</f>
        <v>62.848488832955972</v>
      </c>
      <c r="K314" s="63">
        <f ca="1">IF(ISNA(VLOOKUP($B314,TabAlgTutti,4,FALSE)),0,VLOOKUP($B314,TabAlgTutti,4,FALSE))+ROW()/100000</f>
        <v>60.531653343901901</v>
      </c>
      <c r="L314" s="63">
        <f ca="1">VLOOKUP(Tabella114[[#This Row],[Calciatore]],'Raccolta Aste'!$K$2:$O$33,4,FALSE)*Asta!$U$3/100</f>
        <v>47.424999999999997</v>
      </c>
      <c r="N314" s="59">
        <f t="shared" si="116"/>
        <v>4</v>
      </c>
      <c r="O314" s="62" t="str">
        <f ca="1">IF(ISNUMBER(N314),INDIRECT("B" &amp; 310 + MATCH(N314,INDIRECT(ADDRESS(311,22+MATCH($P$28,'I.A. + Fasce'!$W$84:$AA$84,0),1,1) &amp; ":" &amp; ADDRESS(531,22+MATCH($P$28,'I.A. + Fasce'!$W$84:$AA$84,0),1,1)),0)),"")</f>
        <v>DOUGLAS COSTA</v>
      </c>
      <c r="P314" s="62" t="str">
        <f t="shared" ca="1" si="118"/>
        <v>Juventus</v>
      </c>
      <c r="Q314" s="59">
        <f t="shared" si="117"/>
        <v>12</v>
      </c>
      <c r="R314" s="62" t="str">
        <f ca="1">IF(ISNUMBER(Q314),INDIRECT("B" &amp; 310 + MATCH(Q314,INDIRECT(ADDRESS(311,22+MATCH($P$28,'I.A. + Fasce'!$W$84:$AA$84,0),1,1) &amp; ":" &amp; ADDRESS(531,22+MATCH($P$28,'I.A. + Fasce'!$W$84:$AA$84,0),1,1)),0)),"")</f>
        <v>CHIESA</v>
      </c>
      <c r="S314" s="62" t="str">
        <f t="shared" ca="1" si="119"/>
        <v>Fiorentina</v>
      </c>
      <c r="W314" s="56">
        <f t="shared" ca="1" si="120"/>
        <v>18</v>
      </c>
      <c r="X314" s="56">
        <f t="shared" ca="1" si="121"/>
        <v>2</v>
      </c>
      <c r="Y314" s="56">
        <f t="shared" ca="1" si="122"/>
        <v>4</v>
      </c>
      <c r="Z314" s="56">
        <f t="shared" ca="1" si="123"/>
        <v>2</v>
      </c>
      <c r="AA314" s="56">
        <f t="shared" ca="1" si="124"/>
        <v>2</v>
      </c>
      <c r="AB314" s="56">
        <f ca="1">_xlfn.CEILING.MATH(INDIRECT(ADDRESS(311,22+MATCH($P$28,'I.A. + Fasce'!$W$84:$AA$84,0),1,1) &amp; ":" &amp; ADDRESS(531,22+MATCH($P$28,'I.A. + Fasce'!$W$84:$AA$84,0),1,1))/Asta!$H$3)</f>
        <v>1</v>
      </c>
    </row>
    <row r="315" spans="1:28" ht="14.25" customHeight="1">
      <c r="A315" s="239" t="str">
        <f ca="1">IF(Giocatori!J142="","C",Giocatori!J142)</f>
        <v>C</v>
      </c>
      <c r="B315" s="239" t="str">
        <f ca="1">IF(Giocatori!K142="","ZZZ" &amp; ROW(),Giocatori!K142)</f>
        <v>PJANIC</v>
      </c>
      <c r="C315" s="239" t="str">
        <f ca="1">IF(Giocatori!L142="","NDR" &amp; ROW(),Giocatori!L142)</f>
        <v>Juventus</v>
      </c>
      <c r="D315" s="63">
        <f ca="1">IF(ISNA(VLOOKUP($B315,TabAlgTutti,6,FALSE)),0,VLOOKUP($B315,TabAlgTutti,6,FALSE))+ROW()/100000</f>
        <v>86.003150000000005</v>
      </c>
      <c r="E315" s="63">
        <f ca="1">IF(ISNA(VLOOKUP($B315,TabAlgTutti,5,FALSE)),0,VLOOKUP($B315,TabAlgTutti,5,FALSE))+ROW()/100000</f>
        <v>49.003149999999998</v>
      </c>
      <c r="F315" s="64">
        <f ca="1">($D315*$P$8+$E315*(1+$E315*100/60/100)*$S$8)/100+ROW()/100000</f>
        <v>87.517205916020842</v>
      </c>
      <c r="G315" s="63" t="str">
        <f ca="1">IF(ISNA(VLOOKUP($B315,TabAlgTutti,7,FALSE)),"",IF(VLOOKUP($B315,TabAlgTutti,7,FALSE)=-1,"SCONSIGLIATO",IF(VLOOKUP($B315,TabAlgTutti,7,FALSE)=0,"SORPRESA",IF(VLOOKUP($B315,TabAlgTutti,7,FALSE)=1,"CONSIGLIATO",""))))</f>
        <v/>
      </c>
      <c r="H315" s="65">
        <f ca="1">IF(ISNA(VLOOKUP($B315,TabAlgTutti,8,FALSE)),"",VLOOKUP($B315,TabAlgTutti,8,FALSE))</f>
        <v>90</v>
      </c>
      <c r="I315" s="63" t="str">
        <f ca="1">IF(ISNA(VLOOKUP($B315,TabAlgTutti,9,FALSE)),"",IF(VLOOKUP($B315,TabAlgTutti,9,FALSE)="","",VLOOKUP($B315,TabAlgTutti,9,FALSE)&amp;"R "))&amp;IF(ISNA(VLOOKUP($B315,TabAlgTutti,10,FALSE)),"",IF(VLOOKUP($B315,TabAlgTutti,10,FALSE)="","",VLOOKUP($B315,TabAlgTutti,10,FALSE)&amp;"P "))&amp;IF(ISNA(VLOOKUP($B315,TabAlgTutti,11,FALSE)),"",IF(VLOOKUP($B315,TabAlgTutti,11,FALSE)="","",VLOOKUP($B315,TabAlgTutti,11,FALSE)&amp;"A"))</f>
        <v>3R 2P 2A</v>
      </c>
      <c r="J315" s="63">
        <f ca="1">IF(ISNA(VLOOKUP($B315,TabAlgTutti,3,FALSE)),0,VLOOKUP($B315,TabAlgTutti,3,FALSE))+ROW()/100000</f>
        <v>55.532937880007204</v>
      </c>
      <c r="K315" s="63">
        <f ca="1">IF(ISNA(VLOOKUP($B315,TabAlgTutti,4,FALSE)),0,VLOOKUP($B315,TabAlgTutti,4,FALSE))+ROW()/100000</f>
        <v>53.328576308010426</v>
      </c>
      <c r="L315" s="63">
        <f ca="1">VLOOKUP(Tabella114[[#This Row],[Calciatore]],'Raccolta Aste'!$K$2:$O$33,4,FALSE)*Asta!$U$3/100</f>
        <v>36.994999999999997</v>
      </c>
      <c r="N315" s="59">
        <f t="shared" si="116"/>
        <v>5</v>
      </c>
      <c r="O315" s="62" t="str">
        <f ca="1">IF(ISNUMBER(N315),INDIRECT("B" &amp; 310 + MATCH(N315,INDIRECT(ADDRESS(311,22+MATCH($P$28,'I.A. + Fasce'!$W$84:$AA$84,0),1,1) &amp; ":" &amp; ADDRESS(531,22+MATCH($P$28,'I.A. + Fasce'!$W$84:$AA$84,0),1,1)),0)),"")</f>
        <v>PJANIC</v>
      </c>
      <c r="P315" s="62" t="str">
        <f t="shared" ca="1" si="118"/>
        <v>Juventus</v>
      </c>
      <c r="Q315" s="59">
        <f t="shared" si="117"/>
        <v>13</v>
      </c>
      <c r="R315" s="62" t="str">
        <f ca="1">IF(ISNUMBER(Q315),INDIRECT("B" &amp; 310 + MATCH(Q315,INDIRECT(ADDRESS(311,22+MATCH($P$28,'I.A. + Fasce'!$W$84:$AA$84,0),1,1) &amp; ":" &amp; ADDRESS(531,22+MATCH($P$28,'I.A. + Fasce'!$W$84:$AA$84,0),1,1)),0)),"")</f>
        <v>CANDREVA</v>
      </c>
      <c r="S315" s="62" t="str">
        <f t="shared" ca="1" si="119"/>
        <v>Inter</v>
      </c>
      <c r="W315" s="56">
        <f t="shared" ca="1" si="120"/>
        <v>13</v>
      </c>
      <c r="X315" s="56">
        <f t="shared" ca="1" si="121"/>
        <v>3</v>
      </c>
      <c r="Y315" s="56">
        <f t="shared" ca="1" si="122"/>
        <v>5</v>
      </c>
      <c r="Z315" s="56">
        <f t="shared" ca="1" si="123"/>
        <v>3</v>
      </c>
      <c r="AA315" s="56">
        <f t="shared" ca="1" si="124"/>
        <v>3</v>
      </c>
      <c r="AB315" s="56">
        <f ca="1">_xlfn.CEILING.MATH(INDIRECT(ADDRESS(311,22+MATCH($P$28,'I.A. + Fasce'!$W$84:$AA$84,0),1,1) &amp; ":" &amp; ADDRESS(531,22+MATCH($P$28,'I.A. + Fasce'!$W$84:$AA$84,0),1,1))/Asta!$H$3)</f>
        <v>1</v>
      </c>
    </row>
    <row r="316" spans="1:28" ht="14.25" customHeight="1">
      <c r="A316" s="239" t="str">
        <f ca="1">IF(Giocatori!J71="","C",Giocatori!J71)</f>
        <v>C</v>
      </c>
      <c r="B316" s="239" t="str">
        <f ca="1">IF(Giocatori!K71="","ZZZ" &amp; ROW(),Giocatori!K71)</f>
        <v>FELIPE ANDERSON</v>
      </c>
      <c r="C316" s="239" t="str">
        <f ca="1">IF(Giocatori!L71="","NDR" &amp; ROW(),Giocatori!L71)</f>
        <v>Lazio</v>
      </c>
      <c r="D316" s="63">
        <f ca="1">IF(ISNA(VLOOKUP($B316,TabAlgTutti,6,FALSE)),0,VLOOKUP($B316,TabAlgTutti,6,FALSE))+ROW()/100000</f>
        <v>91.003159999999994</v>
      </c>
      <c r="E316" s="63">
        <f ca="1">IF(ISNA(VLOOKUP($B316,TabAlgTutti,5,FALSE)),0,VLOOKUP($B316,TabAlgTutti,5,FALSE))+ROW()/100000</f>
        <v>47.003160000000001</v>
      </c>
      <c r="F316" s="64">
        <f ca="1">($D316*$P$8+$E316*(1+$E316*100/60/100)*$S$8)/100+ROW()/100000</f>
        <v>87.417128749879993</v>
      </c>
      <c r="G316" s="63" t="str">
        <f ca="1">IF(ISNA(VLOOKUP($B316,TabAlgTutti,7,FALSE)),"",IF(VLOOKUP($B316,TabAlgTutti,7,FALSE)=-1,"SCONSIGLIATO",IF(VLOOKUP($B316,TabAlgTutti,7,FALSE)=0,"SORPRESA",IF(VLOOKUP($B316,TabAlgTutti,7,FALSE)=1,"CONSIGLIATO",""))))</f>
        <v>SORPRESA</v>
      </c>
      <c r="H316" s="65">
        <f ca="1">IF(ISNA(VLOOKUP($B316,TabAlgTutti,8,FALSE)),"",VLOOKUP($B316,TabAlgTutti,8,FALSE))</f>
        <v>80</v>
      </c>
      <c r="I316" s="63" t="str">
        <f ca="1">IF(ISNA(VLOOKUP($B316,TabAlgTutti,9,FALSE)),"",IF(VLOOKUP($B316,TabAlgTutti,9,FALSE)="","",VLOOKUP($B316,TabAlgTutti,9,FALSE)&amp;"R "))&amp;IF(ISNA(VLOOKUP($B316,TabAlgTutti,10,FALSE)),"",IF(VLOOKUP($B316,TabAlgTutti,10,FALSE)="","",VLOOKUP($B316,TabAlgTutti,10,FALSE)&amp;"P "))&amp;IF(ISNA(VLOOKUP($B316,TabAlgTutti,11,FALSE)),"",IF(VLOOKUP($B316,TabAlgTutti,11,FALSE)="","",VLOOKUP($B316,TabAlgTutti,11,FALSE)&amp;"A"))</f>
        <v>3R 1P 1A</v>
      </c>
      <c r="J316" s="63">
        <f ca="1">IF(ISNA(VLOOKUP($B316,TabAlgTutti,3,FALSE)),0,VLOOKUP($B316,TabAlgTutti,3,FALSE))+ROW()/100000</f>
        <v>38.890087863107823</v>
      </c>
      <c r="K316" s="63">
        <f ca="1">IF(ISNA(VLOOKUP($B316,TabAlgTutti,4,FALSE)),0,VLOOKUP($B316,TabAlgTutti,4,FALSE))+ROW()/100000</f>
        <v>38.697400179642457</v>
      </c>
      <c r="L316" s="63">
        <f ca="1">VLOOKUP(Tabella114[[#This Row],[Calciatore]],'Raccolta Aste'!$K$2:$O$33,4,FALSE)*Asta!$U$3/100</f>
        <v>32.76</v>
      </c>
      <c r="N316" s="59">
        <f t="shared" si="116"/>
        <v>6</v>
      </c>
      <c r="O316" s="62" t="str">
        <f ca="1">IF(ISNUMBER(N316),INDIRECT("B" &amp; 310 + MATCH(N316,INDIRECT(ADDRESS(311,22+MATCH($P$28,'I.A. + Fasce'!$W$84:$AA$84,0),1,1) &amp; ":" &amp; ADDRESS(531,22+MATCH($P$28,'I.A. + Fasce'!$W$84:$AA$84,0),1,1)),0)),"")</f>
        <v>FELIPE ANDERSON</v>
      </c>
      <c r="P316" s="62" t="str">
        <f t="shared" ca="1" si="118"/>
        <v>Lazio</v>
      </c>
      <c r="Q316" s="59">
        <f t="shared" si="117"/>
        <v>14</v>
      </c>
      <c r="R316" s="62" t="str">
        <f ca="1">IF(ISNUMBER(Q316),INDIRECT("B" &amp; 310 + MATCH(Q316,INDIRECT(ADDRESS(311,22+MATCH($P$28,'I.A. + Fasce'!$W$84:$AA$84,0),1,1) &amp; ":" &amp; ADDRESS(531,22+MATCH($P$28,'I.A. + Fasce'!$W$84:$AA$84,0),1,1)),0)),"")</f>
        <v>RAMIREZ</v>
      </c>
      <c r="S316" s="62" t="str">
        <f t="shared" ca="1" si="119"/>
        <v>Sampdoria</v>
      </c>
      <c r="W316" s="56">
        <f t="shared" ca="1" si="120"/>
        <v>5</v>
      </c>
      <c r="X316" s="56">
        <f t="shared" ca="1" si="121"/>
        <v>14</v>
      </c>
      <c r="Y316" s="56">
        <f t="shared" ca="1" si="122"/>
        <v>6</v>
      </c>
      <c r="Z316" s="56">
        <f t="shared" ca="1" si="123"/>
        <v>12</v>
      </c>
      <c r="AA316" s="56">
        <f t="shared" ca="1" si="124"/>
        <v>12</v>
      </c>
      <c r="AB316" s="56">
        <f ca="1">_xlfn.CEILING.MATH(INDIRECT(ADDRESS(311,22+MATCH($P$28,'I.A. + Fasce'!$W$84:$AA$84,0),1,1) &amp; ":" &amp; ADDRESS(531,22+MATCH($P$28,'I.A. + Fasce'!$W$84:$AA$84,0),1,1))/Asta!$H$3)</f>
        <v>1</v>
      </c>
    </row>
    <row r="317" spans="1:28" ht="14.25" customHeight="1">
      <c r="A317" s="239" t="str">
        <f ca="1">IF(Giocatori!J29="","C",Giocatori!J29)</f>
        <v>C</v>
      </c>
      <c r="B317" s="239" t="str">
        <f ca="1">IF(Giocatori!K29="","ZZZ" &amp; ROW(),Giocatori!K29)</f>
        <v>BIRSA</v>
      </c>
      <c r="C317" s="239" t="str">
        <f ca="1">IF(Giocatori!L29="","NDR" &amp; ROW(),Giocatori!L29)</f>
        <v>Chievo</v>
      </c>
      <c r="D317" s="63">
        <f ca="1">IF(ISNA(VLOOKUP($B317,TabAlgTutti,6,FALSE)),0,VLOOKUP($B317,TabAlgTutti,6,FALSE))+ROW()/100000</f>
        <v>90.003169999999997</v>
      </c>
      <c r="E317" s="63">
        <f ca="1">IF(ISNA(VLOOKUP($B317,TabAlgTutti,5,FALSE)),0,VLOOKUP($B317,TabAlgTutti,5,FALSE))+ROW()/100000</f>
        <v>47.003169999999997</v>
      </c>
      <c r="F317" s="64">
        <f ca="1">($D317*$P$8+$E317*(1+$E317*100/60/100)*$S$8)/100+ROW()/100000</f>
        <v>86.917156583740834</v>
      </c>
      <c r="G317" s="63" t="str">
        <f ca="1">IF(ISNA(VLOOKUP($B317,TabAlgTutti,7,FALSE)),"",IF(VLOOKUP($B317,TabAlgTutti,7,FALSE)=-1,"SCONSIGLIATO",IF(VLOOKUP($B317,TabAlgTutti,7,FALSE)=0,"SORPRESA",IF(VLOOKUP($B317,TabAlgTutti,7,FALSE)=1,"CONSIGLIATO",""))))</f>
        <v>CONSIGLIATO</v>
      </c>
      <c r="H317" s="65">
        <f ca="1">IF(ISNA(VLOOKUP($B317,TabAlgTutti,8,FALSE)),"",VLOOKUP($B317,TabAlgTutti,8,FALSE))</f>
        <v>90</v>
      </c>
      <c r="I317" s="63" t="str">
        <f ca="1">IF(ISNA(VLOOKUP($B317,TabAlgTutti,9,FALSE)),"",IF(VLOOKUP($B317,TabAlgTutti,9,FALSE)="","",VLOOKUP($B317,TabAlgTutti,9,FALSE)&amp;"R "))&amp;IF(ISNA(VLOOKUP($B317,TabAlgTutti,10,FALSE)),"",IF(VLOOKUP($B317,TabAlgTutti,10,FALSE)="","",VLOOKUP($B317,TabAlgTutti,10,FALSE)&amp;"P "))&amp;IF(ISNA(VLOOKUP($B317,TabAlgTutti,11,FALSE)),"",IF(VLOOKUP($B317,TabAlgTutti,11,FALSE)="","",VLOOKUP($B317,TabAlgTutti,11,FALSE)&amp;"A"))</f>
        <v>2R 1P 1A</v>
      </c>
      <c r="J317" s="63">
        <f ca="1">IF(ISNA(VLOOKUP($B317,TabAlgTutti,3,FALSE)),0,VLOOKUP($B317,TabAlgTutti,3,FALSE))+ROW()/100000</f>
        <v>20.12109979080633</v>
      </c>
      <c r="K317" s="63">
        <f ca="1">IF(ISNA(VLOOKUP($B317,TabAlgTutti,4,FALSE)),0,VLOOKUP($B317,TabAlgTutti,4,FALSE))+ROW()/100000</f>
        <v>21.16240699450427</v>
      </c>
      <c r="L317" s="63" t="e">
        <f ca="1">VLOOKUP(Tabella114[[#This Row],[Calciatore]],'Raccolta Aste'!$K$2:$O$33,4,FALSE)*Asta!$U$3/100</f>
        <v>#N/A</v>
      </c>
      <c r="N317" s="59">
        <f t="shared" si="116"/>
        <v>7</v>
      </c>
      <c r="O317" s="62" t="str">
        <f ca="1">IF(ISNUMBER(N317),INDIRECT("B" &amp; 310 + MATCH(N317,INDIRECT(ADDRESS(311,22+MATCH($P$28,'I.A. + Fasce'!$W$84:$AA$84,0),1,1) &amp; ":" &amp; ADDRESS(531,22+MATCH($P$28,'I.A. + Fasce'!$W$84:$AA$84,0),1,1)),0)),"")</f>
        <v>BIRSA</v>
      </c>
      <c r="P317" s="62" t="str">
        <f t="shared" ca="1" si="118"/>
        <v>Chievo</v>
      </c>
      <c r="Q317" s="59">
        <f t="shared" si="117"/>
        <v>15</v>
      </c>
      <c r="R317" s="62" t="str">
        <f ca="1">IF(ISNUMBER(Q317),INDIRECT("B" &amp; 310 + MATCH(Q317,INDIRECT(ADDRESS(311,22+MATCH($P$28,'I.A. + Fasce'!$W$84:$AA$84,0),1,1) &amp; ":" &amp; ADDRESS(531,22+MATCH($P$28,'I.A. + Fasce'!$W$84:$AA$84,0),1,1)),0)),"")</f>
        <v>KESSIE'</v>
      </c>
      <c r="S317" s="62" t="str">
        <f t="shared" ca="1" si="119"/>
        <v>Milan</v>
      </c>
      <c r="W317" s="56">
        <f t="shared" ca="1" si="120"/>
        <v>7</v>
      </c>
      <c r="X317" s="56">
        <f t="shared" ca="1" si="121"/>
        <v>13</v>
      </c>
      <c r="Y317" s="56">
        <f t="shared" ca="1" si="122"/>
        <v>7</v>
      </c>
      <c r="Z317" s="56">
        <f t="shared" ca="1" si="123"/>
        <v>39</v>
      </c>
      <c r="AA317" s="56">
        <f t="shared" ca="1" si="124"/>
        <v>37</v>
      </c>
      <c r="AB317" s="56">
        <f ca="1">_xlfn.CEILING.MATH(INDIRECT(ADDRESS(311,22+MATCH($P$28,'I.A. + Fasce'!$W$84:$AA$84,0),1,1) &amp; ":" &amp; ADDRESS(531,22+MATCH($P$28,'I.A. + Fasce'!$W$84:$AA$84,0),1,1))/Asta!$H$3)</f>
        <v>1</v>
      </c>
    </row>
    <row r="318" spans="1:28" ht="14.25" customHeight="1">
      <c r="A318" s="239" t="str">
        <f ca="1">IF(Giocatori!J98="","C",Giocatori!J98)</f>
        <v>C</v>
      </c>
      <c r="B318" s="239" t="str">
        <f ca="1">IF(Giocatori!K98="","ZZZ" &amp; ROW(),Giocatori!K98)</f>
        <v>JOAO PEDRO</v>
      </c>
      <c r="C318" s="239" t="str">
        <f ca="1">IF(Giocatori!L98="","NDR" &amp; ROW(),Giocatori!L98)</f>
        <v>Cagliari</v>
      </c>
      <c r="D318" s="63">
        <f ca="1">IF(ISNA(VLOOKUP($B318,TabAlgTutti,6,FALSE)),0,VLOOKUP($B318,TabAlgTutti,6,FALSE))+ROW()/100000</f>
        <v>89.00318</v>
      </c>
      <c r="E318" s="63">
        <f ca="1">IF(ISNA(VLOOKUP($B318,TabAlgTutti,5,FALSE)),0,VLOOKUP($B318,TabAlgTutti,5,FALSE))+ROW()/100000</f>
        <v>46.00318</v>
      </c>
      <c r="F318" s="64">
        <f ca="1">($D318*$P$8+$E318*(1+$E318*100/60/100)*$S$8)/100+ROW()/100000</f>
        <v>85.142131417603323</v>
      </c>
      <c r="G318" s="63" t="str">
        <f ca="1">IF(ISNA(VLOOKUP($B318,TabAlgTutti,7,FALSE)),"",IF(VLOOKUP($B318,TabAlgTutti,7,FALSE)=-1,"SCONSIGLIATO",IF(VLOOKUP($B318,TabAlgTutti,7,FALSE)=0,"SORPRESA",IF(VLOOKUP($B318,TabAlgTutti,7,FALSE)=1,"CONSIGLIATO",""))))</f>
        <v>CONSIGLIATO</v>
      </c>
      <c r="H318" s="65">
        <f ca="1">IF(ISNA(VLOOKUP($B318,TabAlgTutti,8,FALSE)),"",VLOOKUP($B318,TabAlgTutti,8,FALSE))</f>
        <v>90</v>
      </c>
      <c r="I318" s="63" t="str">
        <f ca="1">IF(ISNA(VLOOKUP($B318,TabAlgTutti,9,FALSE)),"",IF(VLOOKUP($B318,TabAlgTutti,9,FALSE)="","",VLOOKUP($B318,TabAlgTutti,9,FALSE)&amp;"R "))&amp;IF(ISNA(VLOOKUP($B318,TabAlgTutti,10,FALSE)),"",IF(VLOOKUP($B318,TabAlgTutti,10,FALSE)="","",VLOOKUP($B318,TabAlgTutti,10,FALSE)&amp;"P "))&amp;IF(ISNA(VLOOKUP($B318,TabAlgTutti,11,FALSE)),"",IF(VLOOKUP($B318,TabAlgTutti,11,FALSE)="","",VLOOKUP($B318,TabAlgTutti,11,FALSE)&amp;"A"))</f>
        <v xml:space="preserve">1R </v>
      </c>
      <c r="J318" s="63">
        <f ca="1">IF(ISNA(VLOOKUP($B318,TabAlgTutti,3,FALSE)),0,VLOOKUP($B318,TabAlgTutti,3,FALSE))+ROW()/100000</f>
        <v>23.640622708580977</v>
      </c>
      <c r="K318" s="63">
        <f ca="1">IF(ISNA(VLOOKUP($B318,TabAlgTutti,4,FALSE)),0,VLOOKUP($B318,TabAlgTutti,4,FALSE))+ROW()/100000</f>
        <v>24.492757505473477</v>
      </c>
      <c r="L318" s="63" t="e">
        <f ca="1">VLOOKUP(Tabella114[[#This Row],[Calciatore]],'Raccolta Aste'!$K$2:$O$33,4,FALSE)*Asta!$U$3/100</f>
        <v>#N/A</v>
      </c>
      <c r="N318" s="59">
        <f t="shared" si="116"/>
        <v>8</v>
      </c>
      <c r="O318" s="62" t="str">
        <f ca="1">IF(ISNUMBER(N318),INDIRECT("B" &amp; 310 + MATCH(N318,INDIRECT(ADDRESS(311,22+MATCH($P$28,'I.A. + Fasce'!$W$84:$AA$84,0),1,1) &amp; ":" &amp; ADDRESS(531,22+MATCH($P$28,'I.A. + Fasce'!$W$84:$AA$84,0),1,1)),0)),"")</f>
        <v>JOAO PEDRO</v>
      </c>
      <c r="P318" s="62" t="str">
        <f t="shared" ca="1" si="118"/>
        <v>Cagliari</v>
      </c>
      <c r="Q318" s="59">
        <f t="shared" si="117"/>
        <v>16</v>
      </c>
      <c r="R318" s="62" t="str">
        <f ca="1">IF(ISNUMBER(Q318),INDIRECT("B" &amp; 310 + MATCH(Q318,INDIRECT(ADDRESS(311,22+MATCH($P$28,'I.A. + Fasce'!$W$84:$AA$84,0),1,1) &amp; ":" &amp; ADDRESS(531,22+MATCH($P$28,'I.A. + Fasce'!$W$84:$AA$84,0),1,1)),0)),"")</f>
        <v>IAGO FALQUE</v>
      </c>
      <c r="S318" s="62" t="str">
        <f t="shared" ca="1" si="119"/>
        <v>Torino</v>
      </c>
      <c r="W318" s="56">
        <f t="shared" ca="1" si="120"/>
        <v>8</v>
      </c>
      <c r="X318" s="56">
        <f t="shared" ca="1" si="121"/>
        <v>18</v>
      </c>
      <c r="Y318" s="56">
        <f t="shared" ca="1" si="122"/>
        <v>8</v>
      </c>
      <c r="Z318" s="56">
        <f t="shared" ca="1" si="123"/>
        <v>33</v>
      </c>
      <c r="AA318" s="56">
        <f t="shared" ca="1" si="124"/>
        <v>32</v>
      </c>
      <c r="AB318" s="56">
        <f ca="1">_xlfn.CEILING.MATH(INDIRECT(ADDRESS(311,22+MATCH($P$28,'I.A. + Fasce'!$W$84:$AA$84,0),1,1) &amp; ":" &amp; ADDRESS(531,22+MATCH($P$28,'I.A. + Fasce'!$W$84:$AA$84,0),1,1))/Asta!$H$3)</f>
        <v>1</v>
      </c>
    </row>
    <row r="319" spans="1:28" ht="14.25" customHeight="1">
      <c r="A319" s="239" t="str">
        <f ca="1">IF(Giocatori!J150="","C",Giocatori!J150)</f>
        <v>C</v>
      </c>
      <c r="B319" s="239" t="str">
        <f ca="1">IF(Giocatori!K181="","ZZZ" &amp; ROW(),Giocatori!K181)</f>
        <v>ZIELINSKI</v>
      </c>
      <c r="C319" s="239" t="str">
        <f ca="1">IF(Giocatori!L181="","NDR" &amp; ROW(),Giocatori!L181)</f>
        <v>Napoli</v>
      </c>
      <c r="D319" s="63">
        <f ca="1">IF(ISNA(VLOOKUP($B319,TabAlgTutti,6,FALSE)),0,VLOOKUP($B319,TabAlgTutti,6,FALSE))+ROW()/100000</f>
        <v>86.003190000000004</v>
      </c>
      <c r="E319" s="63">
        <f ca="1">IF(ISNA(VLOOKUP($B319,TabAlgTutti,5,FALSE)),0,VLOOKUP($B319,TabAlgTutti,5,FALSE))+ROW()/100000</f>
        <v>47.003189999999996</v>
      </c>
      <c r="F319" s="64">
        <f ca="1">($D319*$P$8+$E319*(1+$E319*100/60/100)*$S$8)/100+ROW()/100000</f>
        <v>84.91721225146749</v>
      </c>
      <c r="G319" s="63" t="str">
        <f ca="1">IF(ISNA(VLOOKUP($B319,TabAlgTutti,7,FALSE)),"",IF(VLOOKUP($B319,TabAlgTutti,7,FALSE)=-1,"SCONSIGLIATO",IF(VLOOKUP($B319,TabAlgTutti,7,FALSE)=0,"SORPRESA",IF(VLOOKUP($B319,TabAlgTutti,7,FALSE)=1,"CONSIGLIATO",""))))</f>
        <v/>
      </c>
      <c r="H319" s="65">
        <f ca="1">IF(ISNA(VLOOKUP($B319,TabAlgTutti,8,FALSE)),"",VLOOKUP($B319,TabAlgTutti,8,FALSE))</f>
        <v>70</v>
      </c>
      <c r="I319" s="63" t="str">
        <f ca="1">IF(ISNA(VLOOKUP($B319,TabAlgTutti,9,FALSE)),"",IF(VLOOKUP($B319,TabAlgTutti,9,FALSE)="","",VLOOKUP($B319,TabAlgTutti,9,FALSE)&amp;"R "))&amp;IF(ISNA(VLOOKUP($B319,TabAlgTutti,10,FALSE)),"",IF(VLOOKUP($B319,TabAlgTutti,10,FALSE)="","",VLOOKUP($B319,TabAlgTutti,10,FALSE)&amp;"P "))&amp;IF(ISNA(VLOOKUP($B319,TabAlgTutti,11,FALSE)),"",IF(VLOOKUP($B319,TabAlgTutti,11,FALSE)="","",VLOOKUP($B319,TabAlgTutti,11,FALSE)&amp;"A"))</f>
        <v/>
      </c>
      <c r="J319" s="63">
        <f ca="1">IF(ISNA(VLOOKUP($B319,TabAlgTutti,3,FALSE)),0,VLOOKUP($B319,TabAlgTutti,3,FALSE))+ROW()/100000</f>
        <v>52.5646148142716</v>
      </c>
      <c r="K319" s="63">
        <f ca="1">IF(ISNA(VLOOKUP($B319,TabAlgTutti,4,FALSE)),0,VLOOKUP($B319,TabAlgTutti,4,FALSE))+ROW()/100000</f>
        <v>51.2162582257832</v>
      </c>
      <c r="L319" s="63">
        <f ca="1">VLOOKUP(Tabella114[[#This Row],[Calciatore]],'Raccolta Aste'!$K$2:$O$33,4,FALSE)*Asta!$U$3/100</f>
        <v>26.32</v>
      </c>
      <c r="N319" s="59" t="str">
        <f t="shared" si="116"/>
        <v/>
      </c>
      <c r="O319" s="62" t="str">
        <f ca="1">IF(ISNUMBER(N319),INDIRECT("B" &amp; 310 + MATCH(N319,INDIRECT(ADDRESS(311,22+MATCH($P$28,'I.A. + Fasce'!$W$84:$AA$84,0),1,1) &amp; ":" &amp; ADDRESS(531,22+MATCH($P$28,'I.A. + Fasce'!$W$84:$AA$84,0),1,1)),0)),"")</f>
        <v/>
      </c>
      <c r="P319" s="62" t="str">
        <f t="shared" ca="1" si="118"/>
        <v/>
      </c>
      <c r="Q319" s="59" t="str">
        <f t="shared" si="117"/>
        <v/>
      </c>
      <c r="R319" s="62" t="str">
        <f ca="1">IF(ISNUMBER(Q319),INDIRECT("B" &amp; 310 + MATCH(Q319,INDIRECT(ADDRESS(311,22+MATCH($P$28,'I.A. + Fasce'!$W$84:$AA$84,0),1,1) &amp; ":" &amp; ADDRESS(531,22+MATCH($P$28,'I.A. + Fasce'!$W$84:$AA$84,0),1,1)),0)),"")</f>
        <v/>
      </c>
      <c r="S319" s="62" t="str">
        <f t="shared" ca="1" si="119"/>
        <v/>
      </c>
      <c r="W319" s="56">
        <f t="shared" ca="1" si="120"/>
        <v>12</v>
      </c>
      <c r="X319" s="56">
        <f t="shared" ca="1" si="121"/>
        <v>12</v>
      </c>
      <c r="Y319" s="56">
        <f t="shared" ca="1" si="122"/>
        <v>11</v>
      </c>
      <c r="Z319" s="56">
        <f t="shared" ca="1" si="123"/>
        <v>4</v>
      </c>
      <c r="AA319" s="56">
        <f t="shared" ca="1" si="124"/>
        <v>4</v>
      </c>
      <c r="AB319" s="56">
        <f ca="1">_xlfn.CEILING.MATH(INDIRECT(ADDRESS(311,22+MATCH($P$28,'I.A. + Fasce'!$W$84:$AA$84,0),1,1) &amp; ":" &amp; ADDRESS(531,22+MATCH($P$28,'I.A. + Fasce'!$W$84:$AA$84,0),1,1))/Asta!$H$3)</f>
        <v>2</v>
      </c>
    </row>
    <row r="320" spans="1:28" ht="14.25" customHeight="1">
      <c r="A320" s="239" t="str">
        <f ca="1">IF(Giocatori!J127="","C",Giocatori!J127)</f>
        <v>C</v>
      </c>
      <c r="B320" s="239" t="str">
        <f ca="1">IF(Giocatori!K127="","ZZZ" &amp; ROW(),Giocatori!K127)</f>
        <v>MILINKOVIC-SAVIC</v>
      </c>
      <c r="C320" s="239" t="str">
        <f ca="1">IF(Giocatori!L127="","NDR" &amp; ROW(),Giocatori!L127)</f>
        <v>Lazio</v>
      </c>
      <c r="D320" s="63">
        <f ca="1">IF(ISNA(VLOOKUP($B320,TabAlgTutti,6,FALSE)),0,VLOOKUP($B320,TabAlgTutti,6,FALSE))+ROW()/100000</f>
        <v>86.003200000000007</v>
      </c>
      <c r="E320" s="63">
        <f ca="1">IF(ISNA(VLOOKUP($B320,TabAlgTutti,5,FALSE)),0,VLOOKUP($B320,TabAlgTutti,5,FALSE))+ROW()/100000</f>
        <v>47.0032</v>
      </c>
      <c r="F320" s="64">
        <f ca="1">($D320*$P$8+$E320*(1+$E320*100/60/100)*$S$8)/100+ROW()/100000</f>
        <v>84.917240085333333</v>
      </c>
      <c r="G320" s="63" t="str">
        <f ca="1">IF(ISNA(VLOOKUP($B320,TabAlgTutti,7,FALSE)),"",IF(VLOOKUP($B320,TabAlgTutti,7,FALSE)=-1,"SCONSIGLIATO",IF(VLOOKUP($B320,TabAlgTutti,7,FALSE)=0,"SORPRESA",IF(VLOOKUP($B320,TabAlgTutti,7,FALSE)=1,"CONSIGLIATO",""))))</f>
        <v>CONSIGLIATO</v>
      </c>
      <c r="H320" s="65">
        <f ca="1">IF(ISNA(VLOOKUP($B320,TabAlgTutti,8,FALSE)),"",VLOOKUP($B320,TabAlgTutti,8,FALSE))</f>
        <v>90</v>
      </c>
      <c r="I320" s="63" t="str">
        <f ca="1">IF(ISNA(VLOOKUP($B320,TabAlgTutti,9,FALSE)),"",IF(VLOOKUP($B320,TabAlgTutti,9,FALSE)="","",VLOOKUP($B320,TabAlgTutti,9,FALSE)&amp;"R "))&amp;IF(ISNA(VLOOKUP($B320,TabAlgTutti,10,FALSE)),"",IF(VLOOKUP($B320,TabAlgTutti,10,FALSE)="","",VLOOKUP($B320,TabAlgTutti,10,FALSE)&amp;"P "))&amp;IF(ISNA(VLOOKUP($B320,TabAlgTutti,11,FALSE)),"",IF(VLOOKUP($B320,TabAlgTutti,11,FALSE)="","",VLOOKUP($B320,TabAlgTutti,11,FALSE)&amp;"A"))</f>
        <v/>
      </c>
      <c r="J320" s="63">
        <f ca="1">IF(ISNA(VLOOKUP($B320,TabAlgTutti,3,FALSE)),0,VLOOKUP($B320,TabAlgTutti,3,FALSE))+ROW()/100000</f>
        <v>38.135691778932895</v>
      </c>
      <c r="K320" s="63">
        <f ca="1">IF(ISNA(VLOOKUP($B320,TabAlgTutti,4,FALSE)),0,VLOOKUP($B320,TabAlgTutti,4,FALSE))+ROW()/100000</f>
        <v>38.089664516597509</v>
      </c>
      <c r="L320" s="63">
        <f ca="1">VLOOKUP(Tabella114[[#This Row],[Calciatore]],'Raccolta Aste'!$K$2:$O$33,4,FALSE)*Asta!$U$3/100</f>
        <v>31.01</v>
      </c>
      <c r="N320" s="59" t="str">
        <f t="shared" si="116"/>
        <v/>
      </c>
      <c r="O320" s="62" t="str">
        <f ca="1">IF(ISNUMBER(N320),INDIRECT("B" &amp; 310 + MATCH(N320,INDIRECT(ADDRESS(311,22+MATCH($P$28,'I.A. + Fasce'!$W$84:$AA$84,0),1,1) &amp; ":" &amp; ADDRESS(531,22+MATCH($P$28,'I.A. + Fasce'!$W$84:$AA$84,0),1,1)),0)),"")</f>
        <v/>
      </c>
      <c r="P320" s="62" t="str">
        <f t="shared" ca="1" si="118"/>
        <v/>
      </c>
      <c r="Q320" s="59" t="str">
        <f t="shared" si="117"/>
        <v/>
      </c>
      <c r="R320" s="62" t="str">
        <f ca="1">IF(ISNUMBER(Q320),INDIRECT("B" &amp; 310 + MATCH(Q320,INDIRECT(ADDRESS(311,22+MATCH($P$28,'I.A. + Fasce'!$W$84:$AA$84,0),1,1) &amp; ":" &amp; ADDRESS(531,22+MATCH($P$28,'I.A. + Fasce'!$W$84:$AA$84,0),1,1)),0)),"")</f>
        <v/>
      </c>
      <c r="S320" s="62" t="str">
        <f t="shared" ca="1" si="119"/>
        <v/>
      </c>
      <c r="W320" s="56">
        <f t="shared" ca="1" si="120"/>
        <v>11</v>
      </c>
      <c r="X320" s="56">
        <f t="shared" ca="1" si="121"/>
        <v>11</v>
      </c>
      <c r="Y320" s="56">
        <f t="shared" ca="1" si="122"/>
        <v>10</v>
      </c>
      <c r="Z320" s="56">
        <f t="shared" ca="1" si="123"/>
        <v>13</v>
      </c>
      <c r="AA320" s="56">
        <f t="shared" ca="1" si="124"/>
        <v>13</v>
      </c>
      <c r="AB320" s="56">
        <f ca="1">_xlfn.CEILING.MATH(INDIRECT(ADDRESS(311,22+MATCH($P$28,'I.A. + Fasce'!$W$84:$AA$84,0),1,1) &amp; ":" &amp; ADDRESS(531,22+MATCH($P$28,'I.A. + Fasce'!$W$84:$AA$84,0),1,1))/Asta!$H$3)</f>
        <v>2</v>
      </c>
    </row>
    <row r="321" spans="1:28" ht="14.25" customHeight="1">
      <c r="A321" s="239" t="str">
        <f ca="1">IF(Giocatori!J35="","C",Giocatori!J35)</f>
        <v>C</v>
      </c>
      <c r="B321" s="239" t="str">
        <f ca="1">IF(Giocatori!K35="","ZZZ" &amp; ROW(),Giocatori!K35)</f>
        <v>CALHANOGLU</v>
      </c>
      <c r="C321" s="239" t="str">
        <f ca="1">IF(Giocatori!L35="","NDR" &amp; ROW(),Giocatori!L35)</f>
        <v>Milan</v>
      </c>
      <c r="D321" s="63">
        <f ca="1">IF(ISNA(VLOOKUP($B321,TabAlgTutti,6,FALSE)),0,VLOOKUP($B321,TabAlgTutti,6,FALSE))+ROW()/100000</f>
        <v>86.003209999999996</v>
      </c>
      <c r="E321" s="63">
        <f ca="1">IF(ISNA(VLOOKUP($B321,TabAlgTutti,5,FALSE)),0,VLOOKUP($B321,TabAlgTutti,5,FALSE))+ROW()/100000</f>
        <v>47.003210000000003</v>
      </c>
      <c r="F321" s="64">
        <f ca="1">($D321*$P$8+$E321*(1+$E321*100/60/100)*$S$8)/100+ROW()/100000</f>
        <v>84.917267919200839</v>
      </c>
      <c r="G321" s="63" t="str">
        <f ca="1">IF(ISNA(VLOOKUP($B321,TabAlgTutti,7,FALSE)),"",IF(VLOOKUP($B321,TabAlgTutti,7,FALSE)=-1,"SCONSIGLIATO",IF(VLOOKUP($B321,TabAlgTutti,7,FALSE)=0,"SORPRESA",IF(VLOOKUP($B321,TabAlgTutti,7,FALSE)=1,"CONSIGLIATO",""))))</f>
        <v>CONSIGLIATO</v>
      </c>
      <c r="H321" s="65">
        <f ca="1">IF(ISNA(VLOOKUP($B321,TabAlgTutti,8,FALSE)),"",VLOOKUP($B321,TabAlgTutti,8,FALSE))</f>
        <v>80</v>
      </c>
      <c r="I321" s="63" t="str">
        <f ca="1">IF(ISNA(VLOOKUP($B321,TabAlgTutti,9,FALSE)),"",IF(VLOOKUP($B321,TabAlgTutti,9,FALSE)="","",VLOOKUP($B321,TabAlgTutti,9,FALSE)&amp;"R "))&amp;IF(ISNA(VLOOKUP($B321,TabAlgTutti,10,FALSE)),"",IF(VLOOKUP($B321,TabAlgTutti,10,FALSE)="","",VLOOKUP($B321,TabAlgTutti,10,FALSE)&amp;"P "))&amp;IF(ISNA(VLOOKUP($B321,TabAlgTutti,11,FALSE)),"",IF(VLOOKUP($B321,TabAlgTutti,11,FALSE)="","",VLOOKUP($B321,TabAlgTutti,11,FALSE)&amp;"A"))</f>
        <v>1P 2A</v>
      </c>
      <c r="J321" s="63">
        <f ca="1">IF(ISNA(VLOOKUP($B321,TabAlgTutti,3,FALSE)),0,VLOOKUP($B321,TabAlgTutti,3,FALSE))+ROW()/100000</f>
        <v>41.365236899990165</v>
      </c>
      <c r="K321" s="63">
        <f ca="1">IF(ISNA(VLOOKUP($B321,TabAlgTutti,4,FALSE)),0,VLOOKUP($B321,TabAlgTutti,4,FALSE))+ROW()/100000</f>
        <v>40.189066718013102</v>
      </c>
      <c r="L321" s="63">
        <f ca="1">VLOOKUP(Tabella114[[#This Row],[Calciatore]],'Raccolta Aste'!$K$2:$O$33,4,FALSE)*Asta!$U$3/100</f>
        <v>30.59</v>
      </c>
      <c r="N321" s="59" t="str">
        <f t="shared" si="116"/>
        <v/>
      </c>
      <c r="O321" s="62" t="str">
        <f ca="1">IF(ISNUMBER(N321),INDIRECT("B" &amp; 310 + MATCH(N321,INDIRECT(ADDRESS(311,22+MATCH($P$28,'I.A. + Fasce'!$W$84:$AA$84,0),1,1) &amp; ":" &amp; ADDRESS(531,22+MATCH($P$28,'I.A. + Fasce'!$W$84:$AA$84,0),1,1)),0)),"")</f>
        <v/>
      </c>
      <c r="P321" s="62" t="str">
        <f t="shared" ca="1" si="118"/>
        <v/>
      </c>
      <c r="Q321" s="59" t="str">
        <f t="shared" si="117"/>
        <v/>
      </c>
      <c r="R321" s="62" t="str">
        <f ca="1">IF(ISNUMBER(Q321),INDIRECT("B" &amp; 310 + MATCH(Q321,INDIRECT(ADDRESS(311,22+MATCH($P$28,'I.A. + Fasce'!$W$84:$AA$84,0),1,1) &amp; ":" &amp; ADDRESS(531,22+MATCH($P$28,'I.A. + Fasce'!$W$84:$AA$84,0),1,1)),0)),"")</f>
        <v/>
      </c>
      <c r="S321" s="62" t="str">
        <f t="shared" ca="1" si="119"/>
        <v/>
      </c>
      <c r="W321" s="56">
        <f t="shared" ca="1" si="120"/>
        <v>10</v>
      </c>
      <c r="X321" s="56">
        <f t="shared" ca="1" si="121"/>
        <v>10</v>
      </c>
      <c r="Y321" s="56">
        <f t="shared" ca="1" si="122"/>
        <v>9</v>
      </c>
      <c r="Z321" s="56">
        <f t="shared" ca="1" si="123"/>
        <v>8</v>
      </c>
      <c r="AA321" s="56">
        <f t="shared" ca="1" si="124"/>
        <v>8</v>
      </c>
      <c r="AB321" s="56">
        <f ca="1">_xlfn.CEILING.MATH(INDIRECT(ADDRESS(311,22+MATCH($P$28,'I.A. + Fasce'!$W$84:$AA$84,0),1,1) &amp; ":" &amp; ADDRESS(531,22+MATCH($P$28,'I.A. + Fasce'!$W$84:$AA$84,0),1,1))/Asta!$H$3)</f>
        <v>2</v>
      </c>
    </row>
    <row r="322" spans="1:28" ht="14.25" customHeight="1">
      <c r="A322" s="239" t="str">
        <f ca="1">IF(Giocatori!J42="","C",Giocatori!J42)</f>
        <v>C</v>
      </c>
      <c r="B322" s="239" t="str">
        <f ca="1">IF(Giocatori!K42="","ZZZ" &amp; ROW(),Giocatori!K42)</f>
        <v>CHIESA</v>
      </c>
      <c r="C322" s="239" t="str">
        <f ca="1">IF(Giocatori!L42="","NDR" &amp; ROW(),Giocatori!L42)</f>
        <v>Fiorentina</v>
      </c>
      <c r="D322" s="63">
        <f ca="1">IF(ISNA(VLOOKUP($B322,TabAlgTutti,6,FALSE)),0,VLOOKUP($B322,TabAlgTutti,6,FALSE))+ROW()/100000</f>
        <v>83.003219999999999</v>
      </c>
      <c r="E322" s="63">
        <f ca="1">IF(ISNA(VLOOKUP($B322,TabAlgTutti,5,FALSE)),0,VLOOKUP($B322,TabAlgTutti,5,FALSE))+ROW()/100000</f>
        <v>48.003219999999999</v>
      </c>
      <c r="F322" s="64">
        <f ca="1">($D322*$P$8+$E322*(1+$E322*100/60/100)*$S$8)/100+ROW()/100000</f>
        <v>84.709016086403352</v>
      </c>
      <c r="G322" s="63" t="str">
        <f ca="1">IF(ISNA(VLOOKUP($B322,TabAlgTutti,7,FALSE)),"",IF(VLOOKUP($B322,TabAlgTutti,7,FALSE)=-1,"SCONSIGLIATO",IF(VLOOKUP($B322,TabAlgTutti,7,FALSE)=0,"SORPRESA",IF(VLOOKUP($B322,TabAlgTutti,7,FALSE)=1,"CONSIGLIATO",""))))</f>
        <v>CONSIGLIATO</v>
      </c>
      <c r="H322" s="65">
        <f ca="1">IF(ISNA(VLOOKUP($B322,TabAlgTutti,8,FALSE)),"",VLOOKUP($B322,TabAlgTutti,8,FALSE))</f>
        <v>90</v>
      </c>
      <c r="I322" s="63" t="str">
        <f ca="1">IF(ISNA(VLOOKUP($B322,TabAlgTutti,9,FALSE)),"",IF(VLOOKUP($B322,TabAlgTutti,9,FALSE)="","",VLOOKUP($B322,TabAlgTutti,9,FALSE)&amp;"R "))&amp;IF(ISNA(VLOOKUP($B322,TabAlgTutti,10,FALSE)),"",IF(VLOOKUP($B322,TabAlgTutti,10,FALSE)="","",VLOOKUP($B322,TabAlgTutti,10,FALSE)&amp;"P "))&amp;IF(ISNA(VLOOKUP($B322,TabAlgTutti,11,FALSE)),"",IF(VLOOKUP($B322,TabAlgTutti,11,FALSE)="","",VLOOKUP($B322,TabAlgTutti,11,FALSE)&amp;"A"))</f>
        <v>1A</v>
      </c>
      <c r="J322" s="63">
        <f ca="1">IF(ISNA(VLOOKUP($B322,TabAlgTutti,3,FALSE)),0,VLOOKUP($B322,TabAlgTutti,3,FALSE))+ROW()/100000</f>
        <v>31.294485367634451</v>
      </c>
      <c r="K322" s="63">
        <f ca="1">IF(ISNA(VLOOKUP($B322,TabAlgTutti,4,FALSE)),0,VLOOKUP($B322,TabAlgTutti,4,FALSE))+ROW()/100000</f>
        <v>31.353639312441437</v>
      </c>
      <c r="L322" s="63">
        <f ca="1">VLOOKUP(Tabella114[[#This Row],[Calciatore]],'Raccolta Aste'!$K$2:$O$33,4,FALSE)*Asta!$U$3/100</f>
        <v>29.330000000000005</v>
      </c>
      <c r="N322" s="59" t="str">
        <f t="shared" si="116"/>
        <v/>
      </c>
      <c r="O322" s="62" t="str">
        <f ca="1">IF(ISNUMBER(N322),INDIRECT("B" &amp; 310 + MATCH(N322,INDIRECT(ADDRESS(311,22+MATCH($P$28,'I.A. + Fasce'!$W$84:$AA$84,0),1,1) &amp; ":" &amp; ADDRESS(531,22+MATCH($P$28,'I.A. + Fasce'!$W$84:$AA$84,0),1,1)),0)),"")</f>
        <v/>
      </c>
      <c r="P322" s="62" t="str">
        <f t="shared" ca="1" si="118"/>
        <v/>
      </c>
      <c r="Q322" s="59" t="str">
        <f t="shared" si="117"/>
        <v/>
      </c>
      <c r="R322" s="62" t="str">
        <f ca="1">IF(ISNUMBER(Q322),INDIRECT("B" &amp; 310 + MATCH(Q322,INDIRECT(ADDRESS(311,22+MATCH($P$28,'I.A. + Fasce'!$W$84:$AA$84,0),1,1) &amp; ":" &amp; ADDRESS(531,22+MATCH($P$28,'I.A. + Fasce'!$W$84:$AA$84,0),1,1)),0)),"")</f>
        <v/>
      </c>
      <c r="S322" s="62" t="str">
        <f t="shared" ca="1" si="119"/>
        <v/>
      </c>
      <c r="W322" s="56">
        <f t="shared" ca="1" si="120"/>
        <v>17</v>
      </c>
      <c r="X322" s="56">
        <f t="shared" ca="1" si="121"/>
        <v>5</v>
      </c>
      <c r="Y322" s="56">
        <f t="shared" ca="1" si="122"/>
        <v>12</v>
      </c>
      <c r="Z322" s="56">
        <f t="shared" ca="1" si="123"/>
        <v>22</v>
      </c>
      <c r="AA322" s="56">
        <f t="shared" ca="1" si="124"/>
        <v>22</v>
      </c>
      <c r="AB322" s="56">
        <f ca="1">_xlfn.CEILING.MATH(INDIRECT(ADDRESS(311,22+MATCH($P$28,'I.A. + Fasce'!$W$84:$AA$84,0),1,1) &amp; ":" &amp; ADDRESS(531,22+MATCH($P$28,'I.A. + Fasce'!$W$84:$AA$84,0),1,1))/Asta!$H$3)</f>
        <v>2</v>
      </c>
    </row>
    <row r="323" spans="1:28" ht="14.25" customHeight="1">
      <c r="A323" s="239" t="str">
        <f ca="1">IF(Giocatori!J36="","C",Giocatori!J36)</f>
        <v>C</v>
      </c>
      <c r="B323" s="239" t="str">
        <f ca="1">IF(Giocatori!K36="","ZZZ" &amp; ROW(),Giocatori!K36)</f>
        <v>CANDREVA</v>
      </c>
      <c r="C323" s="239" t="str">
        <f ca="1">IF(Giocatori!L36="","NDR" &amp; ROW(),Giocatori!L36)</f>
        <v>Inter</v>
      </c>
      <c r="D323" s="63">
        <f ca="1">IF(ISNA(VLOOKUP($B323,TabAlgTutti,6,FALSE)),0,VLOOKUP($B323,TabAlgTutti,6,FALSE))+ROW()/100000</f>
        <v>88.003230000000002</v>
      </c>
      <c r="E323" s="63">
        <f ca="1">IF(ISNA(VLOOKUP($B323,TabAlgTutti,5,FALSE)),0,VLOOKUP($B323,TabAlgTutti,5,FALSE))+ROW()/100000</f>
        <v>46.003230000000002</v>
      </c>
      <c r="F323" s="64">
        <f ca="1">($D323*$P$8+$E323*(1+$E323*100/60/100)*$S$8)/100+ROW()/100000</f>
        <v>84.642269753607508</v>
      </c>
      <c r="G323" s="63" t="str">
        <f ca="1">IF(ISNA(VLOOKUP($B323,TabAlgTutti,7,FALSE)),"",IF(VLOOKUP($B323,TabAlgTutti,7,FALSE)=-1,"SCONSIGLIATO",IF(VLOOKUP($B323,TabAlgTutti,7,FALSE)=0,"SORPRESA",IF(VLOOKUP($B323,TabAlgTutti,7,FALSE)=1,"CONSIGLIATO",""))))</f>
        <v/>
      </c>
      <c r="H323" s="65">
        <f ca="1">IF(ISNA(VLOOKUP($B323,TabAlgTutti,8,FALSE)),"",VLOOKUP($B323,TabAlgTutti,8,FALSE))</f>
        <v>90</v>
      </c>
      <c r="I323" s="63" t="str">
        <f ca="1">IF(ISNA(VLOOKUP($B323,TabAlgTutti,9,FALSE)),"",IF(VLOOKUP($B323,TabAlgTutti,9,FALSE)="","",VLOOKUP($B323,TabAlgTutti,9,FALSE)&amp;"R "))&amp;IF(ISNA(VLOOKUP($B323,TabAlgTutti,10,FALSE)),"",IF(VLOOKUP($B323,TabAlgTutti,10,FALSE)="","",VLOOKUP($B323,TabAlgTutti,10,FALSE)&amp;"P "))&amp;IF(ISNA(VLOOKUP($B323,TabAlgTutti,11,FALSE)),"",IF(VLOOKUP($B323,TabAlgTutti,11,FALSE)="","",VLOOKUP($B323,TabAlgTutti,11,FALSE)&amp;"A"))</f>
        <v xml:space="preserve">2R 2P </v>
      </c>
      <c r="J323" s="63">
        <f ca="1">IF(ISNA(VLOOKUP($B323,TabAlgTutti,3,FALSE)),0,VLOOKUP($B323,TabAlgTutti,3,FALSE))+ROW()/100000</f>
        <v>35.288617167453708</v>
      </c>
      <c r="K323" s="63">
        <f ca="1">IF(ISNA(VLOOKUP($B323,TabAlgTutti,4,FALSE)),0,VLOOKUP($B323,TabAlgTutti,4,FALSE))+ROW()/100000</f>
        <v>35.286363036117429</v>
      </c>
      <c r="L323" s="63">
        <f ca="1">VLOOKUP(Tabella114[[#This Row],[Calciatore]],'Raccolta Aste'!$K$2:$O$33,4,FALSE)*Asta!$U$3/100</f>
        <v>29.085000000000001</v>
      </c>
      <c r="N323" s="58"/>
      <c r="O323" s="58"/>
      <c r="P323" s="58"/>
      <c r="Q323" s="58"/>
      <c r="R323" s="58"/>
      <c r="S323" s="58"/>
      <c r="W323" s="56">
        <f t="shared" ca="1" si="120"/>
        <v>9</v>
      </c>
      <c r="X323" s="56">
        <f t="shared" ca="1" si="121"/>
        <v>17</v>
      </c>
      <c r="Y323" s="56">
        <f t="shared" ca="1" si="122"/>
        <v>13</v>
      </c>
      <c r="Z323" s="56">
        <f t="shared" ca="1" si="123"/>
        <v>19</v>
      </c>
      <c r="AA323" s="56">
        <f t="shared" ca="1" si="124"/>
        <v>19</v>
      </c>
      <c r="AB323" s="56">
        <f ca="1">_xlfn.CEILING.MATH(INDIRECT(ADDRESS(311,22+MATCH($P$28,'I.A. + Fasce'!$W$84:$AA$84,0),1,1) &amp; ":" &amp; ADDRESS(531,22+MATCH($P$28,'I.A. + Fasce'!$W$84:$AA$84,0),1,1))/Asta!$H$3)</f>
        <v>2</v>
      </c>
    </row>
    <row r="324" spans="1:28" ht="14.25" customHeight="1">
      <c r="A324" s="239" t="str">
        <f ca="1">IF(Giocatori!J147="","C",Giocatori!J147)</f>
        <v>C</v>
      </c>
      <c r="B324" s="239" t="str">
        <f ca="1">IF(Giocatori!K147="","ZZZ" &amp; ROW(),Giocatori!K147)</f>
        <v>RAMIREZ</v>
      </c>
      <c r="C324" s="239" t="str">
        <f ca="1">IF(Giocatori!L147="","NDR" &amp; ROW(),Giocatori!L147)</f>
        <v>Sampdoria</v>
      </c>
      <c r="D324" s="63">
        <f ca="1">IF(ISNA(VLOOKUP($B324,TabAlgTutti,6,FALSE)),0,VLOOKUP($B324,TabAlgTutti,6,FALSE))+ROW()/100000</f>
        <v>90.003240000000005</v>
      </c>
      <c r="E324" s="63">
        <f ca="1">IF(ISNA(VLOOKUP($B324,TabAlgTutti,5,FALSE)),0,VLOOKUP($B324,TabAlgTutti,5,FALSE))+ROW()/100000</f>
        <v>45.003239999999998</v>
      </c>
      <c r="F324" s="64">
        <f ca="1">($D324*$P$8+$E324*(1+$E324*100/60/100)*$S$8)/100+ROW()/100000</f>
        <v>84.383910087480004</v>
      </c>
      <c r="G324" s="63" t="str">
        <f ca="1">IF(ISNA(VLOOKUP($B324,TabAlgTutti,7,FALSE)),"",IF(VLOOKUP($B324,TabAlgTutti,7,FALSE)=-1,"SCONSIGLIATO",IF(VLOOKUP($B324,TabAlgTutti,7,FALSE)=0,"SORPRESA",IF(VLOOKUP($B324,TabAlgTutti,7,FALSE)=1,"CONSIGLIATO",""))))</f>
        <v>CONSIGLIATO</v>
      </c>
      <c r="H324" s="65">
        <f ca="1">IF(ISNA(VLOOKUP($B324,TabAlgTutti,8,FALSE)),"",VLOOKUP($B324,TabAlgTutti,8,FALSE))</f>
        <v>80</v>
      </c>
      <c r="I324" s="63" t="str">
        <f ca="1">IF(ISNA(VLOOKUP($B324,TabAlgTutti,9,FALSE)),"",IF(VLOOKUP($B324,TabAlgTutti,9,FALSE)="","",VLOOKUP($B324,TabAlgTutti,9,FALSE)&amp;"R "))&amp;IF(ISNA(VLOOKUP($B324,TabAlgTutti,10,FALSE)),"",IF(VLOOKUP($B324,TabAlgTutti,10,FALSE)="","",VLOOKUP($B324,TabAlgTutti,10,FALSE)&amp;"P "))&amp;IF(ISNA(VLOOKUP($B324,TabAlgTutti,11,FALSE)),"",IF(VLOOKUP($B324,TabAlgTutti,11,FALSE)="","",VLOOKUP($B324,TabAlgTutti,11,FALSE)&amp;"A"))</f>
        <v xml:space="preserve">3R </v>
      </c>
      <c r="J324" s="63">
        <f ca="1">IF(ISNA(VLOOKUP($B324,TabAlgTutti,3,FALSE)),0,VLOOKUP($B324,TabAlgTutti,3,FALSE))+ROW()/100000</f>
        <v>21.531553757622117</v>
      </c>
      <c r="K324" s="63">
        <f ca="1">IF(ISNA(VLOOKUP($B324,TabAlgTutti,4,FALSE)),0,VLOOKUP($B324,TabAlgTutti,4,FALSE))+ROW()/100000</f>
        <v>20.660319235570707</v>
      </c>
      <c r="L324" s="63" t="e">
        <f ca="1">VLOOKUP(Tabella114[[#This Row],[Calciatore]],'Raccolta Aste'!$K$2:$O$33,4,FALSE)*Asta!$U$3/100</f>
        <v>#N/A</v>
      </c>
      <c r="N324" s="58"/>
      <c r="O324" s="59" t="s">
        <v>689</v>
      </c>
      <c r="P324" s="59" t="s">
        <v>637</v>
      </c>
      <c r="Q324" s="58"/>
      <c r="R324" s="59" t="s">
        <v>690</v>
      </c>
      <c r="S324" s="59" t="s">
        <v>637</v>
      </c>
      <c r="W324" s="56">
        <f t="shared" ca="1" si="120"/>
        <v>6</v>
      </c>
      <c r="X324" s="56">
        <f t="shared" ca="1" si="121"/>
        <v>23</v>
      </c>
      <c r="Y324" s="56">
        <f t="shared" ca="1" si="122"/>
        <v>14</v>
      </c>
      <c r="Z324" s="56">
        <f t="shared" ca="1" si="123"/>
        <v>38</v>
      </c>
      <c r="AA324" s="56">
        <f t="shared" ca="1" si="124"/>
        <v>39</v>
      </c>
      <c r="AB324" s="56">
        <f ca="1">_xlfn.CEILING.MATH(INDIRECT(ADDRESS(311,22+MATCH($P$28,'I.A. + Fasce'!$W$84:$AA$84,0),1,1) &amp; ":" &amp; ADDRESS(531,22+MATCH($P$28,'I.A. + Fasce'!$W$84:$AA$84,0),1,1))/Asta!$H$3)</f>
        <v>2</v>
      </c>
    </row>
    <row r="325" spans="1:28" ht="14.25" customHeight="1">
      <c r="A325" s="239" t="str">
        <f ca="1">IF(Giocatori!J102="","C",Giocatori!J102)</f>
        <v>C</v>
      </c>
      <c r="B325" s="239" t="str">
        <f ca="1">IF(Giocatori!K102="","ZZZ" &amp; ROW(),Giocatori!K102)</f>
        <v>KESSIE'</v>
      </c>
      <c r="C325" s="239" t="str">
        <f ca="1">IF(Giocatori!L102="","NDR" &amp; ROW(),Giocatori!L102)</f>
        <v>Milan</v>
      </c>
      <c r="D325" s="63">
        <f ca="1">IF(ISNA(VLOOKUP($B325,TabAlgTutti,6,FALSE)),0,VLOOKUP($B325,TabAlgTutti,6,FALSE))+ROW()/100000</f>
        <v>85.003249999999994</v>
      </c>
      <c r="E325" s="63">
        <f ca="1">IF(ISNA(VLOOKUP($B325,TabAlgTutti,5,FALSE)),0,VLOOKUP($B325,TabAlgTutti,5,FALSE))+ROW()/100000</f>
        <v>46.003250000000001</v>
      </c>
      <c r="F325" s="64">
        <f ca="1">($D325*$P$8+$E325*(1+$E325*100/60/100)*$S$8)/100+ROW()/100000</f>
        <v>83.142325088020826</v>
      </c>
      <c r="G325" s="63" t="str">
        <f ca="1">IF(ISNA(VLOOKUP($B325,TabAlgTutti,7,FALSE)),"",IF(VLOOKUP($B325,TabAlgTutti,7,FALSE)=-1,"SCONSIGLIATO",IF(VLOOKUP($B325,TabAlgTutti,7,FALSE)=0,"SORPRESA",IF(VLOOKUP($B325,TabAlgTutti,7,FALSE)=1,"CONSIGLIATO",""))))</f>
        <v/>
      </c>
      <c r="H325" s="65">
        <f ca="1">IF(ISNA(VLOOKUP($B325,TabAlgTutti,8,FALSE)),"",VLOOKUP($B325,TabAlgTutti,8,FALSE))</f>
        <v>80</v>
      </c>
      <c r="I325" s="63" t="str">
        <f ca="1">IF(ISNA(VLOOKUP($B325,TabAlgTutti,9,FALSE)),"",IF(VLOOKUP($B325,TabAlgTutti,9,FALSE)="","",VLOOKUP($B325,TabAlgTutti,9,FALSE)&amp;"R "))&amp;IF(ISNA(VLOOKUP($B325,TabAlgTutti,10,FALSE)),"",IF(VLOOKUP($B325,TabAlgTutti,10,FALSE)="","",VLOOKUP($B325,TabAlgTutti,10,FALSE)&amp;"P "))&amp;IF(ISNA(VLOOKUP($B325,TabAlgTutti,11,FALSE)),"",IF(VLOOKUP($B325,TabAlgTutti,11,FALSE)="","",VLOOKUP($B325,TabAlgTutti,11,FALSE)&amp;"A"))</f>
        <v xml:space="preserve">1R </v>
      </c>
      <c r="J325" s="63">
        <f ca="1">IF(ISNA(VLOOKUP($B325,TabAlgTutti,3,FALSE)),0,VLOOKUP($B325,TabAlgTutti,3,FALSE))+ROW()/100000</f>
        <v>37.284463535589275</v>
      </c>
      <c r="K325" s="63">
        <f ca="1">IF(ISNA(VLOOKUP($B325,TabAlgTutti,4,FALSE)),0,VLOOKUP($B325,TabAlgTutti,4,FALSE))+ROW()/100000</f>
        <v>36.306095537448343</v>
      </c>
      <c r="L325" s="63">
        <f ca="1">VLOOKUP(Tabella114[[#This Row],[Calciatore]],'Raccolta Aste'!$K$2:$O$33,4,FALSE)*Asta!$U$3/100</f>
        <v>33.284999999999997</v>
      </c>
      <c r="N325" s="60"/>
      <c r="O325" s="61"/>
      <c r="P325" s="61"/>
      <c r="Q325" s="60"/>
      <c r="R325" s="61"/>
      <c r="S325" s="61"/>
      <c r="W325" s="56">
        <f t="shared" ca="1" si="120"/>
        <v>14</v>
      </c>
      <c r="X325" s="56">
        <f t="shared" ca="1" si="121"/>
        <v>16</v>
      </c>
      <c r="Y325" s="56">
        <f t="shared" ca="1" si="122"/>
        <v>15</v>
      </c>
      <c r="Z325" s="56">
        <f t="shared" ca="1" si="123"/>
        <v>14</v>
      </c>
      <c r="AA325" s="56">
        <f t="shared" ca="1" si="124"/>
        <v>14</v>
      </c>
      <c r="AB325" s="56">
        <f ca="1">_xlfn.CEILING.MATH(INDIRECT(ADDRESS(311,22+MATCH($P$28,'I.A. + Fasce'!$W$84:$AA$84,0),1,1) &amp; ":" &amp; ADDRESS(531,22+MATCH($P$28,'I.A. + Fasce'!$W$84:$AA$84,0),1,1))/Asta!$H$3)</f>
        <v>2</v>
      </c>
    </row>
    <row r="326" spans="1:28" ht="14.25" customHeight="1">
      <c r="A326" s="239" t="str">
        <f ca="1">IF(Giocatori!J111="","C",Giocatori!J111)</f>
        <v>C</v>
      </c>
      <c r="B326" s="239" t="str">
        <f ca="1">IF(Giocatori!K111="","ZZZ" &amp; ROW(),Giocatori!K111)</f>
        <v>LJAJIC</v>
      </c>
      <c r="C326" s="239" t="str">
        <f ca="1">IF(Giocatori!L111="","NDR" &amp; ROW(),Giocatori!L111)</f>
        <v>Torino</v>
      </c>
      <c r="D326" s="63">
        <f ca="1">IF(ISNA(VLOOKUP($B326,TabAlgTutti,6,FALSE)),0,VLOOKUP($B326,TabAlgTutti,6,FALSE))+ROW()/100000</f>
        <v>82.003259999999997</v>
      </c>
      <c r="E326" s="63">
        <f ca="1">IF(ISNA(VLOOKUP($B326,TabAlgTutti,5,FALSE)),0,VLOOKUP($B326,TabAlgTutti,5,FALSE))+ROW()/100000</f>
        <v>47.003259999999997</v>
      </c>
      <c r="F326" s="64">
        <f ca="1">($D326*$P$8+$E326*(1+$E326*100/60/100)*$S$8)/100+ROW()/100000</f>
        <v>82.917407088563323</v>
      </c>
      <c r="G326" s="63" t="str">
        <f ca="1">IF(ISNA(VLOOKUP($B326,TabAlgTutti,7,FALSE)),"",IF(VLOOKUP($B326,TabAlgTutti,7,FALSE)=-1,"SCONSIGLIATO",IF(VLOOKUP($B326,TabAlgTutti,7,FALSE)=0,"SORPRESA",IF(VLOOKUP($B326,TabAlgTutti,7,FALSE)=1,"CONSIGLIATO",""))))</f>
        <v>CONSIGLIATO</v>
      </c>
      <c r="H326" s="65">
        <f ca="1">IF(ISNA(VLOOKUP($B326,TabAlgTutti,8,FALSE)),"",VLOOKUP($B326,TabAlgTutti,8,FALSE))</f>
        <v>90</v>
      </c>
      <c r="I326" s="63" t="str">
        <f ca="1">IF(ISNA(VLOOKUP($B326,TabAlgTutti,9,FALSE)),"",IF(VLOOKUP($B326,TabAlgTutti,9,FALSE)="","",VLOOKUP($B326,TabAlgTutti,9,FALSE)&amp;"R "))&amp;IF(ISNA(VLOOKUP($B326,TabAlgTutti,10,FALSE)),"",IF(VLOOKUP($B326,TabAlgTutti,10,FALSE)="","",VLOOKUP($B326,TabAlgTutti,10,FALSE)&amp;"P "))&amp;IF(ISNA(VLOOKUP($B326,TabAlgTutti,11,FALSE)),"",IF(VLOOKUP($B326,TabAlgTutti,11,FALSE)="","",VLOOKUP($B326,TabAlgTutti,11,FALSE)&amp;"A"))</f>
        <v>2R 4P 1A</v>
      </c>
      <c r="J326" s="63">
        <f ca="1">IF(ISNA(VLOOKUP($B326,TabAlgTutti,3,FALSE)),0,VLOOKUP($B326,TabAlgTutti,3,FALSE))+ROW()/100000</f>
        <v>35.741308817958696</v>
      </c>
      <c r="K326" s="63">
        <f ca="1">IF(ISNA(VLOOKUP($B326,TabAlgTutti,4,FALSE)),0,VLOOKUP($B326,TabAlgTutti,4,FALSE))+ROW()/100000</f>
        <v>35.597033930562624</v>
      </c>
      <c r="L326" s="63">
        <f ca="1">VLOOKUP(Tabella114[[#This Row],[Calciatore]],'Raccolta Aste'!$K$2:$O$33,4,FALSE)*Asta!$U$3/100</f>
        <v>39.409999999999997</v>
      </c>
      <c r="N326" s="59">
        <f t="shared" ref="N326:N337" si="125">IF(ISNUMBER(Q311),Q311+COUNTIF($N$34:$N$45,"&gt;0"),"")</f>
        <v>17</v>
      </c>
      <c r="O326" s="62" t="str">
        <f ca="1">IF(ISNUMBER(N326),INDIRECT("B" &amp; 310 + MATCH(N326,INDIRECT(ADDRESS(311,22+MATCH($P$28,'I.A. + Fasce'!$W$84:$AA$84,0),1,1) &amp; ":" &amp; ADDRESS(531,22+MATCH($P$28,'I.A. + Fasce'!$W$84:$AA$84,0),1,1)),0)),"")</f>
        <v>LJAJIC</v>
      </c>
      <c r="P326" s="62" t="str">
        <f ca="1">IF(O326="","",VLOOKUP(O326,$B$311:$C$531,2,FALSE))</f>
        <v>Torino</v>
      </c>
      <c r="Q326" s="59">
        <f t="shared" ref="Q326:Q337" si="126">IF(ISNUMBER(N326),N326+COUNTIF($N$34:$N$45,"&gt;0"),"")</f>
        <v>25</v>
      </c>
      <c r="R326" s="62" t="str">
        <f ca="1">IF(ISNUMBER(Q326),INDIRECT("B" &amp; 310 + MATCH(Q326,INDIRECT(ADDRESS(311,22+MATCH($P$28,'I.A. + Fasce'!$W$84:$AA$84,0),1,1) &amp; ":" &amp; ADDRESS(531,22+MATCH($P$28,'I.A. + Fasce'!$W$84:$AA$84,0),1,1)),0)),"")</f>
        <v>SAPONARA</v>
      </c>
      <c r="S326" s="62" t="str">
        <f ca="1">IF(R326="","",VLOOKUP(R326,$B$311:$C$531,2,FALSE))</f>
        <v>Fiorentina</v>
      </c>
      <c r="W326" s="56">
        <f t="shared" ca="1" si="120"/>
        <v>21</v>
      </c>
      <c r="X326" s="56">
        <f t="shared" ca="1" si="121"/>
        <v>9</v>
      </c>
      <c r="Y326" s="56">
        <f t="shared" ca="1" si="122"/>
        <v>17</v>
      </c>
      <c r="Z326" s="56">
        <f t="shared" ca="1" si="123"/>
        <v>18</v>
      </c>
      <c r="AA326" s="56">
        <f t="shared" ca="1" si="124"/>
        <v>18</v>
      </c>
      <c r="AB326" s="56">
        <f ca="1">_xlfn.CEILING.MATH(INDIRECT(ADDRESS(311,22+MATCH($P$28,'I.A. + Fasce'!$W$84:$AA$84,0),1,1) &amp; ":" &amp; ADDRESS(531,22+MATCH($P$28,'I.A. + Fasce'!$W$84:$AA$84,0),1,1))/Asta!$H$3)</f>
        <v>3</v>
      </c>
    </row>
    <row r="327" spans="1:28" ht="14.25" customHeight="1">
      <c r="A327" s="239" t="str">
        <f ca="1">IF(Giocatori!J91="","C",Giocatori!J91)</f>
        <v>C</v>
      </c>
      <c r="B327" s="239" t="str">
        <f ca="1">IF(Giocatori!K91="","ZZZ" &amp; ROW(),Giocatori!K91)</f>
        <v>IAGO FALQUE</v>
      </c>
      <c r="C327" s="239" t="str">
        <f ca="1">IF(Giocatori!L91="","NDR" &amp; ROW(),Giocatori!L91)</f>
        <v>Torino</v>
      </c>
      <c r="D327" s="63">
        <f ca="1">IF(ISNA(VLOOKUP($B327,TabAlgTutti,6,FALSE)),0,VLOOKUP($B327,TabAlgTutti,6,FALSE))+ROW()/100000</f>
        <v>82.003270000000001</v>
      </c>
      <c r="E327" s="63">
        <f ca="1">IF(ISNA(VLOOKUP($B327,TabAlgTutti,5,FALSE)),0,VLOOKUP($B327,TabAlgTutti,5,FALSE))+ROW()/100000</f>
        <v>47.003270000000001</v>
      </c>
      <c r="F327" s="64">
        <f ca="1">($D327*$P$8+$E327*(1+$E327*100/60/100)*$S$8)/100+ROW()/100000</f>
        <v>82.917434922440833</v>
      </c>
      <c r="G327" s="63" t="str">
        <f ca="1">IF(ISNA(VLOOKUP($B327,TabAlgTutti,7,FALSE)),"",IF(VLOOKUP($B327,TabAlgTutti,7,FALSE)=-1,"SCONSIGLIATO",IF(VLOOKUP($B327,TabAlgTutti,7,FALSE)=0,"SORPRESA",IF(VLOOKUP($B327,TabAlgTutti,7,FALSE)=1,"CONSIGLIATO",""))))</f>
        <v>CONSIGLIATO</v>
      </c>
      <c r="H327" s="65">
        <f ca="1">IF(ISNA(VLOOKUP($B327,TabAlgTutti,8,FALSE)),"",VLOOKUP($B327,TabAlgTutti,8,FALSE))</f>
        <v>80</v>
      </c>
      <c r="I327" s="63" t="str">
        <f ca="1">IF(ISNA(VLOOKUP($B327,TabAlgTutti,9,FALSE)),"",IF(VLOOKUP($B327,TabAlgTutti,9,FALSE)="","",VLOOKUP($B327,TabAlgTutti,9,FALSE)&amp;"R "))&amp;IF(ISNA(VLOOKUP($B327,TabAlgTutti,10,FALSE)),"",IF(VLOOKUP($B327,TabAlgTutti,10,FALSE)="","",VLOOKUP($B327,TabAlgTutti,10,FALSE)&amp;"P "))&amp;IF(ISNA(VLOOKUP($B327,TabAlgTutti,11,FALSE)),"",IF(VLOOKUP($B327,TabAlgTutti,11,FALSE)="","",VLOOKUP($B327,TabAlgTutti,11,FALSE)&amp;"A"))</f>
        <v xml:space="preserve">3R 1P </v>
      </c>
      <c r="J327" s="63">
        <f ca="1">IF(ISNA(VLOOKUP($B327,TabAlgTutti,3,FALSE)),0,VLOOKUP($B327,TabAlgTutti,3,FALSE))+ROW()/100000</f>
        <v>36.072722014207187</v>
      </c>
      <c r="K327" s="63">
        <f ca="1">IF(ISNA(VLOOKUP($B327,TabAlgTutti,4,FALSE)),0,VLOOKUP($B327,TabAlgTutti,4,FALSE))+ROW()/100000</f>
        <v>35.923351930988538</v>
      </c>
      <c r="L327" s="63">
        <f ca="1">VLOOKUP(Tabella114[[#This Row],[Calciatore]],'Raccolta Aste'!$K$2:$O$33,4,FALSE)*Asta!$U$3/100</f>
        <v>38.5</v>
      </c>
      <c r="N327" s="59">
        <f t="shared" si="125"/>
        <v>18</v>
      </c>
      <c r="O327" s="62" t="str">
        <f ca="1">IF(ISNUMBER(N327),INDIRECT("B" &amp; 310 + MATCH(N327,INDIRECT(ADDRESS(311,22+MATCH($P$28,'I.A. + Fasce'!$W$84:$AA$84,0),1,1) &amp; ":" &amp; ADDRESS(531,22+MATCH($P$28,'I.A. + Fasce'!$W$84:$AA$84,0),1,1)),0)),"")</f>
        <v>PEROTTI</v>
      </c>
      <c r="P327" s="62" t="str">
        <f t="shared" ref="P327:P337" ca="1" si="127">IF(O327="","",VLOOKUP(O327,$B$311:$C$531,2,FALSE))</f>
        <v>Roma</v>
      </c>
      <c r="Q327" s="59">
        <f t="shared" si="126"/>
        <v>26</v>
      </c>
      <c r="R327" s="62" t="str">
        <f ca="1">IF(ISNUMBER(Q327),INDIRECT("B" &amp; 310 + MATCH(Q327,INDIRECT(ADDRESS(311,22+MATCH($P$28,'I.A. + Fasce'!$W$84:$AA$84,0),1,1) &amp; ":" &amp; ADDRESS(531,22+MATCH($P$28,'I.A. + Fasce'!$W$84:$AA$84,0),1,1)),0)),"")</f>
        <v>LULIC</v>
      </c>
      <c r="S327" s="62" t="str">
        <f t="shared" ref="S327:S337" ca="1" si="128">IF(R327="","",VLOOKUP(R327,$B$311:$C$531,2,FALSE))</f>
        <v>Lazio</v>
      </c>
      <c r="W327" s="56">
        <f t="shared" ca="1" si="120"/>
        <v>20</v>
      </c>
      <c r="X327" s="56">
        <f t="shared" ca="1" si="121"/>
        <v>8</v>
      </c>
      <c r="Y327" s="56">
        <f t="shared" ca="1" si="122"/>
        <v>16</v>
      </c>
      <c r="Z327" s="56">
        <f t="shared" ca="1" si="123"/>
        <v>17</v>
      </c>
      <c r="AA327" s="56">
        <f t="shared" ca="1" si="124"/>
        <v>17</v>
      </c>
      <c r="AB327" s="56">
        <f ca="1">_xlfn.CEILING.MATH(INDIRECT(ADDRESS(311,22+MATCH($P$28,'I.A. + Fasce'!$W$84:$AA$84,0),1,1) &amp; ":" &amp; ADDRESS(531,22+MATCH($P$28,'I.A. + Fasce'!$W$84:$AA$84,0),1,1))/Asta!$H$3)</f>
        <v>2</v>
      </c>
    </row>
    <row r="328" spans="1:28" ht="14.25" customHeight="1">
      <c r="A328" s="239" t="str">
        <f ca="1">IF(Giocatori!J141="","C",Giocatori!J141)</f>
        <v>C</v>
      </c>
      <c r="B328" s="239" t="str">
        <f ca="1">IF(Giocatori!K141="","ZZZ" &amp; ROW(),Giocatori!K141)</f>
        <v>PEROTTI</v>
      </c>
      <c r="C328" s="239" t="str">
        <f ca="1">IF(Giocatori!L141="","NDR" &amp; ROW(),Giocatori!L141)</f>
        <v>Roma</v>
      </c>
      <c r="D328" s="63">
        <f ca="1">IF(ISNA(VLOOKUP($B328,TabAlgTutti,6,FALSE)),0,VLOOKUP($B328,TabAlgTutti,6,FALSE))+ROW()/100000</f>
        <v>95.003280000000004</v>
      </c>
      <c r="E328" s="63">
        <f ca="1">IF(ISNA(VLOOKUP($B328,TabAlgTutti,5,FALSE)),0,VLOOKUP($B328,TabAlgTutti,5,FALSE))+ROW()/100000</f>
        <v>41.003279999999997</v>
      </c>
      <c r="F328" s="64">
        <f ca="1">($D328*$P$8+$E328*(1+$E328*100/60/100)*$S$8)/100+ROW()/100000</f>
        <v>82.017134756320004</v>
      </c>
      <c r="G328" s="63" t="str">
        <f ca="1">IF(ISNA(VLOOKUP($B328,TabAlgTutti,7,FALSE)),"",IF(VLOOKUP($B328,TabAlgTutti,7,FALSE)=-1,"SCONSIGLIATO",IF(VLOOKUP($B328,TabAlgTutti,7,FALSE)=0,"SORPRESA",IF(VLOOKUP($B328,TabAlgTutti,7,FALSE)=1,"CONSIGLIATO",""))))</f>
        <v/>
      </c>
      <c r="H328" s="65">
        <f ca="1">IF(ISNA(VLOOKUP($B328,TabAlgTutti,8,FALSE)),"",VLOOKUP($B328,TabAlgTutti,8,FALSE))</f>
        <v>60</v>
      </c>
      <c r="I328" s="63" t="str">
        <f ca="1">IF(ISNA(VLOOKUP($B328,TabAlgTutti,9,FALSE)),"",IF(VLOOKUP($B328,TabAlgTutti,9,FALSE)="","",VLOOKUP($B328,TabAlgTutti,9,FALSE)&amp;"R "))&amp;IF(ISNA(VLOOKUP($B328,TabAlgTutti,10,FALSE)),"",IF(VLOOKUP($B328,TabAlgTutti,10,FALSE)="","",VLOOKUP($B328,TabAlgTutti,10,FALSE)&amp;"P "))&amp;IF(ISNA(VLOOKUP($B328,TabAlgTutti,11,FALSE)),"",IF(VLOOKUP($B328,TabAlgTutti,11,FALSE)="","",VLOOKUP($B328,TabAlgTutti,11,FALSE)&amp;"A"))</f>
        <v>1R 1A</v>
      </c>
      <c r="J328" s="63">
        <f ca="1">IF(ISNA(VLOOKUP($B328,TabAlgTutti,3,FALSE)),0,VLOOKUP($B328,TabAlgTutti,3,FALSE))+ROW()/100000</f>
        <v>25.620088653061824</v>
      </c>
      <c r="K328" s="63">
        <f ca="1">IF(ISNA(VLOOKUP($B328,TabAlgTutti,4,FALSE)),0,VLOOKUP($B328,TabAlgTutti,4,FALSE))+ROW()/100000</f>
        <v>26.71191398187975</v>
      </c>
      <c r="L328" s="63">
        <f ca="1">VLOOKUP(Tabella114[[#This Row],[Calciatore]],'Raccolta Aste'!$K$2:$O$33,4,FALSE)*Asta!$U$3/100</f>
        <v>44.8</v>
      </c>
      <c r="N328" s="59">
        <f t="shared" si="125"/>
        <v>19</v>
      </c>
      <c r="O328" s="62" t="str">
        <f ca="1">IF(ISNUMBER(N328),INDIRECT("B" &amp; 310 + MATCH(N328,INDIRECT(ADDRESS(311,22+MATCH($P$28,'I.A. + Fasce'!$W$84:$AA$84,0),1,1) &amp; ":" &amp; ADDRESS(531,22+MATCH($P$28,'I.A. + Fasce'!$W$84:$AA$84,0),1,1)),0)),"")</f>
        <v>BERNARDESCHI</v>
      </c>
      <c r="P328" s="62" t="str">
        <f t="shared" ca="1" si="127"/>
        <v>Juventus</v>
      </c>
      <c r="Q328" s="59">
        <f t="shared" si="126"/>
        <v>27</v>
      </c>
      <c r="R328" s="62" t="str">
        <f ca="1">IF(ISNUMBER(Q328),INDIRECT("B" &amp; 310 + MATCH(Q328,INDIRECT(ADDRESS(311,22+MATCH($P$28,'I.A. + Fasce'!$W$84:$AA$84,0),1,1) &amp; ":" &amp; ADDRESS(531,22+MATCH($P$28,'I.A. + Fasce'!$W$84:$AA$84,0),1,1)),0)),"")</f>
        <v>DE PAUL</v>
      </c>
      <c r="S328" s="62" t="str">
        <f t="shared" ca="1" si="128"/>
        <v>Udinese</v>
      </c>
      <c r="W328" s="56">
        <f t="shared" ca="1" si="120"/>
        <v>4</v>
      </c>
      <c r="X328" s="56">
        <f t="shared" ca="1" si="121"/>
        <v>73</v>
      </c>
      <c r="Y328" s="56">
        <f t="shared" ca="1" si="122"/>
        <v>18</v>
      </c>
      <c r="Z328" s="56">
        <f t="shared" ca="1" si="123"/>
        <v>29</v>
      </c>
      <c r="AA328" s="56">
        <f t="shared" ca="1" si="124"/>
        <v>28</v>
      </c>
      <c r="AB328" s="56">
        <f ca="1">_xlfn.CEILING.MATH(INDIRECT(ADDRESS(311,22+MATCH($P$28,'I.A. + Fasce'!$W$84:$AA$84,0),1,1) &amp; ":" &amp; ADDRESS(531,22+MATCH($P$28,'I.A. + Fasce'!$W$84:$AA$84,0),1,1))/Asta!$H$3)</f>
        <v>3</v>
      </c>
    </row>
    <row r="329" spans="1:28" ht="14.25" customHeight="1">
      <c r="A329" s="239" t="str">
        <f ca="1">IF(Giocatori!J24="","C",Giocatori!J24)</f>
        <v>C</v>
      </c>
      <c r="B329" s="239" t="str">
        <f ca="1">IF(Giocatori!K24="","ZZZ" &amp; ROW(),Giocatori!K24)</f>
        <v>BERNARDESCHI</v>
      </c>
      <c r="C329" s="239" t="str">
        <f ca="1">IF(Giocatori!L24="","NDR" &amp; ROW(),Giocatori!L24)</f>
        <v>Juventus</v>
      </c>
      <c r="D329" s="63">
        <f ca="1">IF(ISNA(VLOOKUP($B329,TabAlgTutti,6,FALSE)),0,VLOOKUP($B329,TabAlgTutti,6,FALSE))+ROW()/100000</f>
        <v>80.003290000000007</v>
      </c>
      <c r="E329" s="63">
        <f ca="1">IF(ISNA(VLOOKUP($B329,TabAlgTutti,5,FALSE)),0,VLOOKUP($B329,TabAlgTutti,5,FALSE))+ROW()/100000</f>
        <v>47.00329</v>
      </c>
      <c r="F329" s="64">
        <f ca="1">($D329*$P$8+$E329*(1+$E329*100/60/100)*$S$8)/100+ROW()/100000</f>
        <v>81.917490590200842</v>
      </c>
      <c r="G329" s="63" t="str">
        <f ca="1">IF(ISNA(VLOOKUP($B329,TabAlgTutti,7,FALSE)),"",IF(VLOOKUP($B329,TabAlgTutti,7,FALSE)=-1,"SCONSIGLIATO",IF(VLOOKUP($B329,TabAlgTutti,7,FALSE)=0,"SORPRESA",IF(VLOOKUP($B329,TabAlgTutti,7,FALSE)=1,"CONSIGLIATO",""))))</f>
        <v/>
      </c>
      <c r="H329" s="65">
        <f ca="1">IF(ISNA(VLOOKUP($B329,TabAlgTutti,8,FALSE)),"",VLOOKUP($B329,TabAlgTutti,8,FALSE))</f>
        <v>70</v>
      </c>
      <c r="I329" s="63" t="str">
        <f ca="1">IF(ISNA(VLOOKUP($B329,TabAlgTutti,9,FALSE)),"",IF(VLOOKUP($B329,TabAlgTutti,9,FALSE)="","",VLOOKUP($B329,TabAlgTutti,9,FALSE)&amp;"R "))&amp;IF(ISNA(VLOOKUP($B329,TabAlgTutti,10,FALSE)),"",IF(VLOOKUP($B329,TabAlgTutti,10,FALSE)="","",VLOOKUP($B329,TabAlgTutti,10,FALSE)&amp;"P "))&amp;IF(ISNA(VLOOKUP($B329,TabAlgTutti,11,FALSE)),"",IF(VLOOKUP($B329,TabAlgTutti,11,FALSE)="","",VLOOKUP($B329,TabAlgTutti,11,FALSE)&amp;"A"))</f>
        <v xml:space="preserve">4P </v>
      </c>
      <c r="J329" s="63">
        <f ca="1">IF(ISNA(VLOOKUP($B329,TabAlgTutti,3,FALSE)),0,VLOOKUP($B329,TabAlgTutti,3,FALSE))+ROW()/100000</f>
        <v>48.148657488102778</v>
      </c>
      <c r="K329" s="63">
        <f ca="1">IF(ISNA(VLOOKUP($B329,TabAlgTutti,4,FALSE)),0,VLOOKUP($B329,TabAlgTutti,4,FALSE))+ROW()/100000</f>
        <v>47.003257329555815</v>
      </c>
      <c r="L329" s="63">
        <f ca="1">VLOOKUP(Tabella114[[#This Row],[Calciatore]],'Raccolta Aste'!$K$2:$O$33,4,FALSE)*Asta!$U$3/100</f>
        <v>22.47</v>
      </c>
      <c r="N329" s="59">
        <f t="shared" si="125"/>
        <v>20</v>
      </c>
      <c r="O329" s="62" t="str">
        <f ca="1">IF(ISNUMBER(N329),INDIRECT("B" &amp; 310 + MATCH(N329,INDIRECT(ADDRESS(311,22+MATCH($P$28,'I.A. + Fasce'!$W$84:$AA$84,0),1,1) &amp; ":" &amp; ADDRESS(531,22+MATCH($P$28,'I.A. + Fasce'!$W$84:$AA$84,0),1,1)),0)),"")</f>
        <v>STROOTMAN</v>
      </c>
      <c r="P329" s="62" t="str">
        <f t="shared" ca="1" si="127"/>
        <v>Roma</v>
      </c>
      <c r="Q329" s="59">
        <f t="shared" si="126"/>
        <v>28</v>
      </c>
      <c r="R329" s="62" t="str">
        <f ca="1">IF(ISNUMBER(Q329),INDIRECT("B" &amp; 310 + MATCH(Q329,INDIRECT(ADDRESS(311,22+MATCH($P$28,'I.A. + Fasce'!$W$84:$AA$84,0),1,1) &amp; ":" &amp; ADDRESS(531,22+MATCH($P$28,'I.A. + Fasce'!$W$84:$AA$84,0),1,1)),0)),"")</f>
        <v>BORJA VALERO</v>
      </c>
      <c r="S329" s="62" t="str">
        <f t="shared" ca="1" si="128"/>
        <v>Inter</v>
      </c>
      <c r="W329" s="56">
        <f t="shared" ca="1" si="120"/>
        <v>28</v>
      </c>
      <c r="X329" s="56">
        <f t="shared" ca="1" si="121"/>
        <v>7</v>
      </c>
      <c r="Y329" s="56">
        <f t="shared" ca="1" si="122"/>
        <v>19</v>
      </c>
      <c r="Z329" s="56">
        <f t="shared" ca="1" si="123"/>
        <v>6</v>
      </c>
      <c r="AA329" s="56">
        <f t="shared" ca="1" si="124"/>
        <v>6</v>
      </c>
      <c r="AB329" s="56">
        <f ca="1">_xlfn.CEILING.MATH(INDIRECT(ADDRESS(311,22+MATCH($P$28,'I.A. + Fasce'!$W$84:$AA$84,0),1,1) &amp; ":" &amp; ADDRESS(531,22+MATCH($P$28,'I.A. + Fasce'!$W$84:$AA$84,0),1,1))/Asta!$H$3)</f>
        <v>3</v>
      </c>
    </row>
    <row r="330" spans="1:28" ht="14.25" customHeight="1">
      <c r="A330" s="239" t="str">
        <f ca="1">IF(Giocatori!J214="","C",Giocatori!J214)</f>
        <v>C</v>
      </c>
      <c r="B330" s="239" t="str">
        <f ca="1">IF(Giocatori!K163="","ZZZ" &amp; ROW(),Giocatori!K163)</f>
        <v>STROOTMAN</v>
      </c>
      <c r="C330" s="239" t="str">
        <f ca="1">IF(Giocatori!L163="","NDR" &amp; ROW(),Giocatori!L163)</f>
        <v>Roma</v>
      </c>
      <c r="D330" s="63">
        <f ca="1">IF(ISNA(VLOOKUP($B330,TabAlgTutti,6,FALSE)),0,VLOOKUP($B330,TabAlgTutti,6,FALSE))+ROW()/100000</f>
        <v>82.003299999999996</v>
      </c>
      <c r="E330" s="63">
        <f ca="1">IF(ISNA(VLOOKUP($B330,TabAlgTutti,5,FALSE)),0,VLOOKUP($B330,TabAlgTutti,5,FALSE))+ROW()/100000</f>
        <v>45.003300000000003</v>
      </c>
      <c r="F330" s="64">
        <f ca="1">($D330*$P$8+$E330*(1+$E330*100/60/100)*$S$8)/100+ROW()/100000</f>
        <v>80.384075090750002</v>
      </c>
      <c r="G330" s="63" t="str">
        <f ca="1">IF(ISNA(VLOOKUP($B330,TabAlgTutti,7,FALSE)),"",IF(VLOOKUP($B330,TabAlgTutti,7,FALSE)=-1,"SCONSIGLIATO",IF(VLOOKUP($B330,TabAlgTutti,7,FALSE)=0,"SORPRESA",IF(VLOOKUP($B330,TabAlgTutti,7,FALSE)=1,"CONSIGLIATO",""))))</f>
        <v>SORPRESA</v>
      </c>
      <c r="H330" s="65">
        <f ca="1">IF(ISNA(VLOOKUP($B330,TabAlgTutti,8,FALSE)),"",VLOOKUP($B330,TabAlgTutti,8,FALSE))</f>
        <v>90</v>
      </c>
      <c r="I330" s="63" t="str">
        <f ca="1">IF(ISNA(VLOOKUP($B330,TabAlgTutti,9,FALSE)),"",IF(VLOOKUP($B330,TabAlgTutti,9,FALSE)="","",VLOOKUP($B330,TabAlgTutti,9,FALSE)&amp;"R "))&amp;IF(ISNA(VLOOKUP($B330,TabAlgTutti,10,FALSE)),"",IF(VLOOKUP($B330,TabAlgTutti,10,FALSE)="","",VLOOKUP($B330,TabAlgTutti,10,FALSE)&amp;"P "))&amp;IF(ISNA(VLOOKUP($B330,TabAlgTutti,11,FALSE)),"",IF(VLOOKUP($B330,TabAlgTutti,11,FALSE)="","",VLOOKUP($B330,TabAlgTutti,11,FALSE)&amp;"A"))</f>
        <v xml:space="preserve">3R </v>
      </c>
      <c r="J330" s="63">
        <f ca="1">IF(ISNA(VLOOKUP($B330,TabAlgTutti,3,FALSE)),0,VLOOKUP($B330,TabAlgTutti,3,FALSE))+ROW()/100000</f>
        <v>39.98868680166656</v>
      </c>
      <c r="K330" s="63">
        <f ca="1">IF(ISNA(VLOOKUP($B330,TabAlgTutti,4,FALSE)),0,VLOOKUP($B330,TabAlgTutti,4,FALSE))+ROW()/100000</f>
        <v>39.914171995799897</v>
      </c>
      <c r="L330" s="63">
        <f ca="1">VLOOKUP(Tabella114[[#This Row],[Calciatore]],'Raccolta Aste'!$K$2:$O$33,4,FALSE)*Asta!$U$3/100</f>
        <v>26.774999999999999</v>
      </c>
      <c r="N330" s="59">
        <f t="shared" si="125"/>
        <v>21</v>
      </c>
      <c r="O330" s="62" t="str">
        <f ca="1">IF(ISNUMBER(N330),INDIRECT("B" &amp; 310 + MATCH(N330,INDIRECT(ADDRESS(311,22+MATCH($P$28,'I.A. + Fasce'!$W$84:$AA$84,0),1,1) &amp; ":" &amp; ADDRESS(531,22+MATCH($P$28,'I.A. + Fasce'!$W$84:$AA$84,0),1,1)),0)),"")</f>
        <v>BONAVENTURA</v>
      </c>
      <c r="P330" s="62" t="str">
        <f t="shared" ca="1" si="127"/>
        <v>Milan</v>
      </c>
      <c r="Q330" s="59">
        <f t="shared" si="126"/>
        <v>29</v>
      </c>
      <c r="R330" s="62" t="str">
        <f ca="1">IF(ISNUMBER(Q330),INDIRECT("B" &amp; 310 + MATCH(Q330,INDIRECT(ADDRESS(311,22+MATCH($P$28,'I.A. + Fasce'!$W$84:$AA$84,0),1,1) &amp; ":" &amp; ADDRESS(531,22+MATCH($P$28,'I.A. + Fasce'!$W$84:$AA$84,0),1,1)),0)),"")</f>
        <v>CUADRADO</v>
      </c>
      <c r="S330" s="62" t="str">
        <f t="shared" ca="1" si="128"/>
        <v>Juventus</v>
      </c>
      <c r="W330" s="56">
        <f t="shared" ca="1" si="120"/>
        <v>19</v>
      </c>
      <c r="X330" s="56">
        <f t="shared" ca="1" si="121"/>
        <v>22</v>
      </c>
      <c r="Y330" s="56">
        <f t="shared" ca="1" si="122"/>
        <v>20</v>
      </c>
      <c r="Z330" s="56">
        <f t="shared" ca="1" si="123"/>
        <v>11</v>
      </c>
      <c r="AA330" s="56">
        <f t="shared" ca="1" si="124"/>
        <v>10</v>
      </c>
      <c r="AB330" s="56">
        <f ca="1">_xlfn.CEILING.MATH(INDIRECT(ADDRESS(311,22+MATCH($P$28,'I.A. + Fasce'!$W$84:$AA$84,0),1,1) &amp; ":" &amp; ADDRESS(531,22+MATCH($P$28,'I.A. + Fasce'!$W$84:$AA$84,0),1,1))/Asta!$H$3)</f>
        <v>3</v>
      </c>
    </row>
    <row r="331" spans="1:28" ht="14.25" customHeight="1">
      <c r="A331" s="239" t="str">
        <f ca="1">IF(Giocatori!J30="","C",Giocatori!J30)</f>
        <v>C</v>
      </c>
      <c r="B331" s="239" t="str">
        <f ca="1">IF(Giocatori!K30="","ZZZ" &amp; ROW(),Giocatori!K30)</f>
        <v>BONAVENTURA</v>
      </c>
      <c r="C331" s="239" t="str">
        <f ca="1">IF(Giocatori!L30="","NDR" &amp; ROW(),Giocatori!L30)</f>
        <v>Milan</v>
      </c>
      <c r="D331" s="63">
        <f ca="1">IF(ISNA(VLOOKUP($B331,TabAlgTutti,6,FALSE)),0,VLOOKUP($B331,TabAlgTutti,6,FALSE))+ROW()/100000</f>
        <v>83.003309999999999</v>
      </c>
      <c r="E331" s="63">
        <f ca="1">IF(ISNA(VLOOKUP($B331,TabAlgTutti,5,FALSE)),0,VLOOKUP($B331,TabAlgTutti,5,FALSE))+ROW()/100000</f>
        <v>44.003309999999999</v>
      </c>
      <c r="F331" s="64">
        <f ca="1">($D331*$P$8+$E331*(1+$E331*100/60/100)*$S$8)/100+ROW()/100000</f>
        <v>79.642380757967501</v>
      </c>
      <c r="G331" s="63" t="str">
        <f ca="1">IF(ISNA(VLOOKUP($B331,TabAlgTutti,7,FALSE)),"",IF(VLOOKUP($B331,TabAlgTutti,7,FALSE)=-1,"SCONSIGLIATO",IF(VLOOKUP($B331,TabAlgTutti,7,FALSE)=0,"SORPRESA",IF(VLOOKUP($B331,TabAlgTutti,7,FALSE)=1,"CONSIGLIATO",""))))</f>
        <v/>
      </c>
      <c r="H331" s="65">
        <f ca="1">IF(ISNA(VLOOKUP($B331,TabAlgTutti,8,FALSE)),"",VLOOKUP($B331,TabAlgTutti,8,FALSE))</f>
        <v>80</v>
      </c>
      <c r="I331" s="63" t="str">
        <f ca="1">IF(ISNA(VLOOKUP($B331,TabAlgTutti,9,FALSE)),"",IF(VLOOKUP($B331,TabAlgTutti,9,FALSE)="","",VLOOKUP($B331,TabAlgTutti,9,FALSE)&amp;"R "))&amp;IF(ISNA(VLOOKUP($B331,TabAlgTutti,10,FALSE)),"",IF(VLOOKUP($B331,TabAlgTutti,10,FALSE)="","",VLOOKUP($B331,TabAlgTutti,10,FALSE)&amp;"P "))&amp;IF(ISNA(VLOOKUP($B331,TabAlgTutti,11,FALSE)),"",IF(VLOOKUP($B331,TabAlgTutti,11,FALSE)="","",VLOOKUP($B331,TabAlgTutti,11,FALSE)&amp;"A"))</f>
        <v/>
      </c>
      <c r="J331" s="63">
        <f ca="1">IF(ISNA(VLOOKUP($B331,TabAlgTutti,3,FALSE)),0,VLOOKUP($B331,TabAlgTutti,3,FALSE))+ROW()/100000</f>
        <v>29.968962582640508</v>
      </c>
      <c r="K331" s="63">
        <f ca="1">IF(ISNA(VLOOKUP($B331,TabAlgTutti,4,FALSE)),0,VLOOKUP($B331,TabAlgTutti,4,FALSE))+ROW()/100000</f>
        <v>29.103068501556905</v>
      </c>
      <c r="L331" s="63">
        <f ca="1">VLOOKUP(Tabella114[[#This Row],[Calciatore]],'Raccolta Aste'!$K$2:$O$33,4,FALSE)*Asta!$U$3/100</f>
        <v>18.444999999999997</v>
      </c>
      <c r="N331" s="59">
        <f t="shared" si="125"/>
        <v>22</v>
      </c>
      <c r="O331" s="62" t="str">
        <f ca="1">IF(ISNUMBER(N331),INDIRECT("B" &amp; 310 + MATCH(N331,INDIRECT(ADDRESS(311,22+MATCH($P$28,'I.A. + Fasce'!$W$84:$AA$84,0),1,1) &amp; ":" &amp; ADDRESS(531,22+MATCH($P$28,'I.A. + Fasce'!$W$84:$AA$84,0),1,1)),0)),"")</f>
        <v>KHEDIRA</v>
      </c>
      <c r="P331" s="62" t="str">
        <f t="shared" ca="1" si="127"/>
        <v>Juventus</v>
      </c>
      <c r="Q331" s="59">
        <f t="shared" si="126"/>
        <v>30</v>
      </c>
      <c r="R331" s="62" t="str">
        <f ca="1">IF(ISNUMBER(Q331),INDIRECT("B" &amp; 310 + MATCH(Q331,INDIRECT(ADDRESS(311,22+MATCH($P$28,'I.A. + Fasce'!$W$84:$AA$84,0),1,1) &amp; ":" &amp; ADDRESS(531,22+MATCH($P$28,'I.A. + Fasce'!$W$84:$AA$84,0),1,1)),0)),"")</f>
        <v>EYSSERIC</v>
      </c>
      <c r="S331" s="62" t="str">
        <f t="shared" ca="1" si="128"/>
        <v>Fiorentina</v>
      </c>
      <c r="W331" s="56">
        <f t="shared" ca="1" si="120"/>
        <v>16</v>
      </c>
      <c r="X331" s="56">
        <f t="shared" ca="1" si="121"/>
        <v>31</v>
      </c>
      <c r="Y331" s="56">
        <f t="shared" ca="1" si="122"/>
        <v>21</v>
      </c>
      <c r="Z331" s="56">
        <f t="shared" ca="1" si="123"/>
        <v>25</v>
      </c>
      <c r="AA331" s="56">
        <f t="shared" ca="1" si="124"/>
        <v>25</v>
      </c>
      <c r="AB331" s="56">
        <f ca="1">_xlfn.CEILING.MATH(INDIRECT(ADDRESS(311,22+MATCH($P$28,'I.A. + Fasce'!$W$84:$AA$84,0),1,1) &amp; ":" &amp; ADDRESS(531,22+MATCH($P$28,'I.A. + Fasce'!$W$84:$AA$84,0),1,1))/Asta!$H$3)</f>
        <v>3</v>
      </c>
    </row>
    <row r="332" spans="1:28" ht="14.25" customHeight="1">
      <c r="A332" s="239" t="str">
        <f ca="1">IF(Giocatori!J138="","C",Giocatori!J138)</f>
        <v>C</v>
      </c>
      <c r="B332" s="239" t="str">
        <f ca="1">IF(Giocatori!K138="","ZZZ" &amp; ROW(),Giocatori!K138)</f>
        <v>PAROLO</v>
      </c>
      <c r="C332" s="239" t="str">
        <f ca="1">IF(Giocatori!L138="","NDR" &amp; ROW(),Giocatori!L138)</f>
        <v>Lazio</v>
      </c>
      <c r="D332" s="63">
        <f ca="1">IF(ISNA(VLOOKUP($B332,TabAlgTutti,6,FALSE)),0,VLOOKUP($B332,TabAlgTutti,6,FALSE))+ROW()/100000</f>
        <v>80.003320000000002</v>
      </c>
      <c r="E332" s="63">
        <f ca="1">IF(ISNA(VLOOKUP($B332,TabAlgTutti,5,FALSE)),0,VLOOKUP($B332,TabAlgTutti,5,FALSE))+ROW()/100000</f>
        <v>45.003320000000002</v>
      </c>
      <c r="F332" s="64">
        <f ca="1">($D332*$P$8+$E332*(1+$E332*100/60/100)*$S$8)/100+ROW()/100000</f>
        <v>79.384130091853336</v>
      </c>
      <c r="G332" s="63" t="str">
        <f ca="1">IF(ISNA(VLOOKUP($B332,TabAlgTutti,7,FALSE)),"",IF(VLOOKUP($B332,TabAlgTutti,7,FALSE)=-1,"SCONSIGLIATO",IF(VLOOKUP($B332,TabAlgTutti,7,FALSE)=0,"SORPRESA",IF(VLOOKUP($B332,TabAlgTutti,7,FALSE)=1,"CONSIGLIATO",""))))</f>
        <v/>
      </c>
      <c r="H332" s="65">
        <f ca="1">IF(ISNA(VLOOKUP($B332,TabAlgTutti,8,FALSE)),"",VLOOKUP($B332,TabAlgTutti,8,FALSE))</f>
        <v>90</v>
      </c>
      <c r="I332" s="63" t="str">
        <f ca="1">IF(ISNA(VLOOKUP($B332,TabAlgTutti,9,FALSE)),"",IF(VLOOKUP($B332,TabAlgTutti,9,FALSE)="","",VLOOKUP($B332,TabAlgTutti,9,FALSE)&amp;"R "))&amp;IF(ISNA(VLOOKUP($B332,TabAlgTutti,10,FALSE)),"",IF(VLOOKUP($B332,TabAlgTutti,10,FALSE)="","",VLOOKUP($B332,TabAlgTutti,10,FALSE)&amp;"P "))&amp;IF(ISNA(VLOOKUP($B332,TabAlgTutti,11,FALSE)),"",IF(VLOOKUP($B332,TabAlgTutti,11,FALSE)="","",VLOOKUP($B332,TabAlgTutti,11,FALSE)&amp;"A"))</f>
        <v/>
      </c>
      <c r="J332" s="63">
        <f ca="1">IF(ISNA(VLOOKUP($B332,TabAlgTutti,3,FALSE)),0,VLOOKUP($B332,TabAlgTutti,3,FALSE))+ROW()/100000</f>
        <v>30.820250825984093</v>
      </c>
      <c r="K332" s="63">
        <f ca="1">IF(ISNA(VLOOKUP($B332,TabAlgTutti,4,FALSE)),0,VLOOKUP($B332,TabAlgTutti,4,FALSE))+ROW()/100000</f>
        <v>30.886697480706072</v>
      </c>
      <c r="L332" s="63">
        <f ca="1">VLOOKUP(Tabella114[[#This Row],[Calciatore]],'Raccolta Aste'!$K$2:$O$33,4,FALSE)*Asta!$U$3/100</f>
        <v>15.47</v>
      </c>
      <c r="N332" s="59">
        <f t="shared" si="125"/>
        <v>23</v>
      </c>
      <c r="O332" s="62" t="str">
        <f ca="1">IF(ISNUMBER(N332),INDIRECT("B" &amp; 310 + MATCH(N332,INDIRECT(ADDRESS(311,22+MATCH($P$28,'I.A. + Fasce'!$W$84:$AA$84,0),1,1) &amp; ":" &amp; ADDRESS(531,22+MATCH($P$28,'I.A. + Fasce'!$W$84:$AA$84,0),1,1)),0)),"")</f>
        <v>PAROLO</v>
      </c>
      <c r="P332" s="62" t="str">
        <f t="shared" ca="1" si="127"/>
        <v>Lazio</v>
      </c>
      <c r="Q332" s="59">
        <f t="shared" si="126"/>
        <v>31</v>
      </c>
      <c r="R332" s="62" t="str">
        <f ca="1">IF(ISNUMBER(Q332),INDIRECT("B" &amp; 310 + MATCH(Q332,INDIRECT(ADDRESS(311,22+MATCH($P$28,'I.A. + Fasce'!$W$84:$AA$84,0),1,1) &amp; ":" &amp; ADDRESS(531,22+MATCH($P$28,'I.A. + Fasce'!$W$84:$AA$84,0),1,1)),0)),"")</f>
        <v>JANKTO</v>
      </c>
      <c r="S332" s="62" t="str">
        <f t="shared" ca="1" si="128"/>
        <v>Udinese</v>
      </c>
      <c r="W332" s="56">
        <f t="shared" ca="1" si="120"/>
        <v>27</v>
      </c>
      <c r="X332" s="56">
        <f t="shared" ca="1" si="121"/>
        <v>21</v>
      </c>
      <c r="Y332" s="56">
        <f t="shared" ca="1" si="122"/>
        <v>23</v>
      </c>
      <c r="Z332" s="56">
        <f t="shared" ca="1" si="123"/>
        <v>24</v>
      </c>
      <c r="AA332" s="56">
        <f t="shared" ca="1" si="124"/>
        <v>24</v>
      </c>
      <c r="AB332" s="56">
        <f ca="1">_xlfn.CEILING.MATH(INDIRECT(ADDRESS(311,22+MATCH($P$28,'I.A. + Fasce'!$W$84:$AA$84,0),1,1) &amp; ":" &amp; ADDRESS(531,22+MATCH($P$28,'I.A. + Fasce'!$W$84:$AA$84,0),1,1))/Asta!$H$3)</f>
        <v>3</v>
      </c>
    </row>
    <row r="333" spans="1:28" ht="14.25" customHeight="1">
      <c r="A333" s="239" t="str">
        <f ca="1">IF(Giocatori!J103="","C",Giocatori!J103)</f>
        <v>C</v>
      </c>
      <c r="B333" s="239" t="str">
        <f ca="1">IF(Giocatori!K103="","ZZZ" &amp; ROW(),Giocatori!K103)</f>
        <v>KHEDIRA</v>
      </c>
      <c r="C333" s="239" t="str">
        <f ca="1">IF(Giocatori!L103="","NDR" &amp; ROW(),Giocatori!L103)</f>
        <v>Juventus</v>
      </c>
      <c r="D333" s="63">
        <f ca="1">IF(ISNA(VLOOKUP($B333,TabAlgTutti,6,FALSE)),0,VLOOKUP($B333,TabAlgTutti,6,FALSE))+ROW()/100000</f>
        <v>80.003330000000005</v>
      </c>
      <c r="E333" s="63">
        <f ca="1">IF(ISNA(VLOOKUP($B333,TabAlgTutti,5,FALSE)),0,VLOOKUP($B333,TabAlgTutti,5,FALSE))+ROW()/100000</f>
        <v>45.003329999999998</v>
      </c>
      <c r="F333" s="64">
        <f ca="1">($D333*$P$8+$E333*(1+$E333*100/60/100)*$S$8)/100+ROW()/100000</f>
        <v>79.384157592407504</v>
      </c>
      <c r="G333" s="63" t="str">
        <f ca="1">IF(ISNA(VLOOKUP($B333,TabAlgTutti,7,FALSE)),"",IF(VLOOKUP($B333,TabAlgTutti,7,FALSE)=-1,"SCONSIGLIATO",IF(VLOOKUP($B333,TabAlgTutti,7,FALSE)=0,"SORPRESA",IF(VLOOKUP($B333,TabAlgTutti,7,FALSE)=1,"CONSIGLIATO",""))))</f>
        <v/>
      </c>
      <c r="H333" s="65">
        <f ca="1">IF(ISNA(VLOOKUP($B333,TabAlgTutti,8,FALSE)),"",VLOOKUP($B333,TabAlgTutti,8,FALSE))</f>
        <v>80</v>
      </c>
      <c r="I333" s="63" t="str">
        <f ca="1">IF(ISNA(VLOOKUP($B333,TabAlgTutti,9,FALSE)),"",IF(VLOOKUP($B333,TabAlgTutti,9,FALSE)="","",VLOOKUP($B333,TabAlgTutti,9,FALSE)&amp;"R "))&amp;IF(ISNA(VLOOKUP($B333,TabAlgTutti,10,FALSE)),"",IF(VLOOKUP($B333,TabAlgTutti,10,FALSE)="","",VLOOKUP($B333,TabAlgTutti,10,FALSE)&amp;"P "))&amp;IF(ISNA(VLOOKUP($B333,TabAlgTutti,11,FALSE)),"",IF(VLOOKUP($B333,TabAlgTutti,11,FALSE)="","",VLOOKUP($B333,TabAlgTutti,11,FALSE)&amp;"A"))</f>
        <v/>
      </c>
      <c r="J333" s="63">
        <f ca="1">IF(ISNA(VLOOKUP($B333,TabAlgTutti,3,FALSE)),0,VLOOKUP($B333,TabAlgTutti,3,FALSE))+ROW()/100000</f>
        <v>40.501733338905474</v>
      </c>
      <c r="K333" s="63">
        <f ca="1">IF(ISNA(VLOOKUP($B333,TabAlgTutti,4,FALSE)),0,VLOOKUP($B333,TabAlgTutti,4,FALSE))+ROW()/100000</f>
        <v>39.473902293238474</v>
      </c>
      <c r="L333" s="63">
        <f ca="1">VLOOKUP(Tabella114[[#This Row],[Calciatore]],'Raccolta Aste'!$K$2:$O$33,4,FALSE)*Asta!$U$3/100</f>
        <v>18.41</v>
      </c>
      <c r="N333" s="59">
        <f t="shared" si="125"/>
        <v>24</v>
      </c>
      <c r="O333" s="62" t="str">
        <f ca="1">IF(ISNUMBER(N333),INDIRECT("B" &amp; 310 + MATCH(N333,INDIRECT(ADDRESS(311,22+MATCH($P$28,'I.A. + Fasce'!$W$84:$AA$84,0),1,1) &amp; ":" &amp; ADDRESS(531,22+MATCH($P$28,'I.A. + Fasce'!$W$84:$AA$84,0),1,1)),0)),"")</f>
        <v>FREULER</v>
      </c>
      <c r="P333" s="62" t="str">
        <f t="shared" ca="1" si="127"/>
        <v>Atalanta</v>
      </c>
      <c r="Q333" s="59">
        <f t="shared" si="126"/>
        <v>32</v>
      </c>
      <c r="R333" s="62" t="str">
        <f ca="1">IF(ISNUMBER(Q333),INDIRECT("B" &amp; 310 + MATCH(Q333,INDIRECT(ADDRESS(311,22+MATCH($P$28,'I.A. + Fasce'!$W$84:$AA$84,0),1,1) &amp; ":" &amp; ADDRESS(531,22+MATCH($P$28,'I.A. + Fasce'!$W$84:$AA$84,0),1,1)),0)),"")</f>
        <v>MATUIDI</v>
      </c>
      <c r="S333" s="62" t="str">
        <f t="shared" ca="1" si="128"/>
        <v>Juventus</v>
      </c>
      <c r="W333" s="56">
        <f t="shared" ca="1" si="120"/>
        <v>26</v>
      </c>
      <c r="X333" s="56">
        <f t="shared" ca="1" si="121"/>
        <v>20</v>
      </c>
      <c r="Y333" s="56">
        <f t="shared" ca="1" si="122"/>
        <v>22</v>
      </c>
      <c r="Z333" s="56">
        <f t="shared" ca="1" si="123"/>
        <v>10</v>
      </c>
      <c r="AA333" s="56">
        <f t="shared" ca="1" si="124"/>
        <v>11</v>
      </c>
      <c r="AB333" s="56">
        <f ca="1">_xlfn.CEILING.MATH(INDIRECT(ADDRESS(311,22+MATCH($P$28,'I.A. + Fasce'!$W$84:$AA$84,0),1,1) &amp; ":" &amp; ADDRESS(531,22+MATCH($P$28,'I.A. + Fasce'!$W$84:$AA$84,0),1,1))/Asta!$H$3)</f>
        <v>3</v>
      </c>
    </row>
    <row r="334" spans="1:28" ht="14.25" customHeight="1">
      <c r="A334" s="239" t="str">
        <f ca="1">IF(Giocatori!J75="","C",Giocatori!J75)</f>
        <v>C</v>
      </c>
      <c r="B334" s="239" t="str">
        <f ca="1">IF(Giocatori!K75="","ZZZ" &amp; ROW(),Giocatori!K75)</f>
        <v>FREULER</v>
      </c>
      <c r="C334" s="239" t="str">
        <f ca="1">IF(Giocatori!L75="","NDR" &amp; ROW(),Giocatori!L75)</f>
        <v>Atalanta</v>
      </c>
      <c r="D334" s="63">
        <f ca="1">IF(ISNA(VLOOKUP($B334,TabAlgTutti,6,FALSE)),0,VLOOKUP($B334,TabAlgTutti,6,FALSE))+ROW()/100000</f>
        <v>77.003339999999994</v>
      </c>
      <c r="E334" s="63">
        <f ca="1">IF(ISNA(VLOOKUP($B334,TabAlgTutti,5,FALSE)),0,VLOOKUP($B334,TabAlgTutti,5,FALSE))+ROW()/100000</f>
        <v>46.003340000000001</v>
      </c>
      <c r="F334" s="64">
        <f ca="1">($D334*$P$8+$E334*(1+$E334*100/60/100)*$S$8)/100+ROW()/100000</f>
        <v>79.142574092963315</v>
      </c>
      <c r="G334" s="63" t="str">
        <f ca="1">IF(ISNA(VLOOKUP($B334,TabAlgTutti,7,FALSE)),"",IF(VLOOKUP($B334,TabAlgTutti,7,FALSE)=-1,"SCONSIGLIATO",IF(VLOOKUP($B334,TabAlgTutti,7,FALSE)=0,"SORPRESA",IF(VLOOKUP($B334,TabAlgTutti,7,FALSE)=1,"CONSIGLIATO",""))))</f>
        <v>CONSIGLIATO</v>
      </c>
      <c r="H334" s="65">
        <f ca="1">IF(ISNA(VLOOKUP($B334,TabAlgTutti,8,FALSE)),"",VLOOKUP($B334,TabAlgTutti,8,FALSE))</f>
        <v>80</v>
      </c>
      <c r="I334" s="63" t="str">
        <f ca="1">IF(ISNA(VLOOKUP($B334,TabAlgTutti,9,FALSE)),"",IF(VLOOKUP($B334,TabAlgTutti,9,FALSE)="","",VLOOKUP($B334,TabAlgTutti,9,FALSE)&amp;"R "))&amp;IF(ISNA(VLOOKUP($B334,TabAlgTutti,10,FALSE)),"",IF(VLOOKUP($B334,TabAlgTutti,10,FALSE)="","",VLOOKUP($B334,TabAlgTutti,10,FALSE)&amp;"P "))&amp;IF(ISNA(VLOOKUP($B334,TabAlgTutti,11,FALSE)),"",IF(VLOOKUP($B334,TabAlgTutti,11,FALSE)="","",VLOOKUP($B334,TabAlgTutti,11,FALSE)&amp;"A"))</f>
        <v/>
      </c>
      <c r="J334" s="63">
        <f ca="1">IF(ISNA(VLOOKUP($B334,TabAlgTutti,3,FALSE)),0,VLOOKUP($B334,TabAlgTutti,3,FALSE))+ROW()/100000</f>
        <v>33.757084746381473</v>
      </c>
      <c r="K334" s="63">
        <f ca="1">IF(ISNA(VLOOKUP($B334,TabAlgTutti,4,FALSE)),0,VLOOKUP($B334,TabAlgTutti,4,FALSE))+ROW()/100000</f>
        <v>32.697888956579909</v>
      </c>
      <c r="L334" s="63">
        <f ca="1">VLOOKUP(Tabella114[[#This Row],[Calciatore]],'Raccolta Aste'!$K$2:$O$33,4,FALSE)*Asta!$U$3/100</f>
        <v>0</v>
      </c>
      <c r="N334" s="59" t="str">
        <f t="shared" si="125"/>
        <v/>
      </c>
      <c r="O334" s="62" t="str">
        <f ca="1">IF(ISNUMBER(N334),INDIRECT("B" &amp; 310 + MATCH(N334,INDIRECT(ADDRESS(311,22+MATCH($P$28,'I.A. + Fasce'!$W$84:$AA$84,0),1,1) &amp; ":" &amp; ADDRESS(531,22+MATCH($P$28,'I.A. + Fasce'!$W$84:$AA$84,0),1,1)),0)),"")</f>
        <v/>
      </c>
      <c r="P334" s="62" t="str">
        <f t="shared" ca="1" si="127"/>
        <v/>
      </c>
      <c r="Q334" s="59" t="str">
        <f t="shared" si="126"/>
        <v/>
      </c>
      <c r="R334" s="62" t="str">
        <f ca="1">IF(ISNUMBER(Q334),INDIRECT("B" &amp; 310 + MATCH(Q334,INDIRECT(ADDRESS(311,22+MATCH($P$28,'I.A. + Fasce'!$W$84:$AA$84,0),1,1) &amp; ":" &amp; ADDRESS(531,22+MATCH($P$28,'I.A. + Fasce'!$W$84:$AA$84,0),1,1)),0)),"")</f>
        <v/>
      </c>
      <c r="S334" s="62" t="str">
        <f t="shared" ca="1" si="128"/>
        <v/>
      </c>
      <c r="W334" s="56">
        <f t="shared" ca="1" si="120"/>
        <v>46</v>
      </c>
      <c r="X334" s="56">
        <f t="shared" ca="1" si="121"/>
        <v>15</v>
      </c>
      <c r="Y334" s="56">
        <f t="shared" ca="1" si="122"/>
        <v>24</v>
      </c>
      <c r="Z334" s="56">
        <f t="shared" ca="1" si="123"/>
        <v>20</v>
      </c>
      <c r="AA334" s="56">
        <f t="shared" ca="1" si="124"/>
        <v>21</v>
      </c>
      <c r="AB334" s="56">
        <f ca="1">_xlfn.CEILING.MATH(INDIRECT(ADDRESS(311,22+MATCH($P$28,'I.A. + Fasce'!$W$84:$AA$84,0),1,1) &amp; ":" &amp; ADDRESS(531,22+MATCH($P$28,'I.A. + Fasce'!$W$84:$AA$84,0),1,1))/Asta!$H$3)</f>
        <v>3</v>
      </c>
    </row>
    <row r="335" spans="1:28" ht="14.25" customHeight="1">
      <c r="A335" s="239" t="str">
        <f ca="1">IF(Giocatori!J208="","C",Giocatori!J208)</f>
        <v>C</v>
      </c>
      <c r="B335" s="239" t="str">
        <f ca="1">IF(Giocatori!K157="","ZZZ" &amp; ROW(),Giocatori!K157)</f>
        <v>SAPONARA</v>
      </c>
      <c r="C335" s="239" t="str">
        <f ca="1">IF(Giocatori!L157="","NDR" &amp; ROW(),Giocatori!L157)</f>
        <v>Fiorentina</v>
      </c>
      <c r="D335" s="63">
        <f ca="1">IF(ISNA(VLOOKUP($B335,TabAlgTutti,6,FALSE)),0,VLOOKUP($B335,TabAlgTutti,6,FALSE))+ROW()/100000</f>
        <v>84.003349999999998</v>
      </c>
      <c r="E335" s="63">
        <f ca="1">IF(ISNA(VLOOKUP($B335,TabAlgTutti,5,FALSE)),0,VLOOKUP($B335,TabAlgTutti,5,FALSE))+ROW()/100000</f>
        <v>43.003349999999998</v>
      </c>
      <c r="F335" s="64">
        <f ca="1">($D335*$P$8+$E335*(1+$E335*100/60/100)*$S$8)/100+ROW()/100000</f>
        <v>78.917434260187491</v>
      </c>
      <c r="G335" s="63" t="str">
        <f ca="1">IF(ISNA(VLOOKUP($B335,TabAlgTutti,7,FALSE)),"",IF(VLOOKUP($B335,TabAlgTutti,7,FALSE)=-1,"SCONSIGLIATO",IF(VLOOKUP($B335,TabAlgTutti,7,FALSE)=0,"SORPRESA",IF(VLOOKUP($B335,TabAlgTutti,7,FALSE)=1,"CONSIGLIATO",""))))</f>
        <v>SORPRESA</v>
      </c>
      <c r="H335" s="65">
        <f ca="1">IF(ISNA(VLOOKUP($B335,TabAlgTutti,8,FALSE)),"",VLOOKUP($B335,TabAlgTutti,8,FALSE))</f>
        <v>70</v>
      </c>
      <c r="I335" s="63" t="str">
        <f ca="1">IF(ISNA(VLOOKUP($B335,TabAlgTutti,9,FALSE)),"",IF(VLOOKUP($B335,TabAlgTutti,9,FALSE)="","",VLOOKUP($B335,TabAlgTutti,9,FALSE)&amp;"R "))&amp;IF(ISNA(VLOOKUP($B335,TabAlgTutti,10,FALSE)),"",IF(VLOOKUP($B335,TabAlgTutti,10,FALSE)="","",VLOOKUP($B335,TabAlgTutti,10,FALSE)&amp;"P "))&amp;IF(ISNA(VLOOKUP($B335,TabAlgTutti,11,FALSE)),"",IF(VLOOKUP($B335,TabAlgTutti,11,FALSE)="","",VLOOKUP($B335,TabAlgTutti,11,FALSE)&amp;"A"))</f>
        <v>2R 1P 2A</v>
      </c>
      <c r="J335" s="63">
        <f ca="1">IF(ISNA(VLOOKUP($B335,TabAlgTutti,3,FALSE)),0,VLOOKUP($B335,TabAlgTutti,3,FALSE))+ROW()/100000</f>
        <v>13.668519377759447</v>
      </c>
      <c r="K335" s="63">
        <f ca="1">IF(ISNA(VLOOKUP($B335,TabAlgTutti,4,FALSE)),0,VLOOKUP($B335,TabAlgTutti,4,FALSE))+ROW()/100000</f>
        <v>13.998667723564575</v>
      </c>
      <c r="L335" s="63" t="e">
        <f ca="1">VLOOKUP(Tabella114[[#This Row],[Calciatore]],'Raccolta Aste'!$K$2:$O$33,4,FALSE)*Asta!$U$3/100</f>
        <v>#N/A</v>
      </c>
      <c r="N335" s="59" t="str">
        <f t="shared" si="125"/>
        <v/>
      </c>
      <c r="O335" s="62" t="str">
        <f ca="1">IF(ISNUMBER(N335),INDIRECT("B" &amp; 310 + MATCH(N335,INDIRECT(ADDRESS(311,22+MATCH($P$28,'I.A. + Fasce'!$W$84:$AA$84,0),1,1) &amp; ":" &amp; ADDRESS(531,22+MATCH($P$28,'I.A. + Fasce'!$W$84:$AA$84,0),1,1)),0)),"")</f>
        <v/>
      </c>
      <c r="P335" s="62" t="str">
        <f t="shared" ca="1" si="127"/>
        <v/>
      </c>
      <c r="Q335" s="59" t="str">
        <f t="shared" si="126"/>
        <v/>
      </c>
      <c r="R335" s="62" t="str">
        <f ca="1">IF(ISNUMBER(Q335),INDIRECT("B" &amp; 310 + MATCH(Q335,INDIRECT(ADDRESS(311,22+MATCH($P$28,'I.A. + Fasce'!$W$84:$AA$84,0),1,1) &amp; ":" &amp; ADDRESS(531,22+MATCH($P$28,'I.A. + Fasce'!$W$84:$AA$84,0),1,1)),0)),"")</f>
        <v/>
      </c>
      <c r="S335" s="62" t="str">
        <f t="shared" ca="1" si="128"/>
        <v/>
      </c>
      <c r="W335" s="56">
        <f t="shared" ca="1" si="120"/>
        <v>15</v>
      </c>
      <c r="X335" s="56">
        <f t="shared" ca="1" si="121"/>
        <v>42</v>
      </c>
      <c r="Y335" s="56">
        <f t="shared" ca="1" si="122"/>
        <v>25</v>
      </c>
      <c r="Z335" s="56">
        <f t="shared" ca="1" si="123"/>
        <v>54</v>
      </c>
      <c r="AA335" s="56">
        <f t="shared" ca="1" si="124"/>
        <v>53</v>
      </c>
      <c r="AB335" s="56">
        <f ca="1">_xlfn.CEILING.MATH(INDIRECT(ADDRESS(311,22+MATCH($P$28,'I.A. + Fasce'!$W$84:$AA$84,0),1,1) &amp; ":" &amp; ADDRESS(531,22+MATCH($P$28,'I.A. + Fasce'!$W$84:$AA$84,0),1,1))/Asta!$H$3)</f>
        <v>4</v>
      </c>
    </row>
    <row r="336" spans="1:28" ht="14.25" customHeight="1">
      <c r="A336" s="239" t="str">
        <f ca="1">IF(Giocatori!J115="","C",Giocatori!J115)</f>
        <v>C</v>
      </c>
      <c r="B336" s="239" t="str">
        <f ca="1">IF(Giocatori!K115="","ZZZ" &amp; ROW(),Giocatori!K115)</f>
        <v>LULIC</v>
      </c>
      <c r="C336" s="239" t="str">
        <f ca="1">IF(Giocatori!L115="","NDR" &amp; ROW(),Giocatori!L115)</f>
        <v>Lazio</v>
      </c>
      <c r="D336" s="63">
        <f ca="1">IF(ISNA(VLOOKUP($B336,TabAlgTutti,6,FALSE)),0,VLOOKUP($B336,TabAlgTutti,6,FALSE))+ROW()/100000</f>
        <v>78.003360000000001</v>
      </c>
      <c r="E336" s="63">
        <f ca="1">IF(ISNA(VLOOKUP($B336,TabAlgTutti,5,FALSE)),0,VLOOKUP($B336,TabAlgTutti,5,FALSE))+ROW()/100000</f>
        <v>45.003360000000001</v>
      </c>
      <c r="F336" s="64">
        <f ca="1">($D336*$P$8+$E336*(1+$E336*100/60/100)*$S$8)/100+ROW()/100000</f>
        <v>78.384240094079999</v>
      </c>
      <c r="G336" s="63" t="str">
        <f ca="1">IF(ISNA(VLOOKUP($B336,TabAlgTutti,7,FALSE)),"",IF(VLOOKUP($B336,TabAlgTutti,7,FALSE)=-1,"SCONSIGLIATO",IF(VLOOKUP($B336,TabAlgTutti,7,FALSE)=0,"SORPRESA",IF(VLOOKUP($B336,TabAlgTutti,7,FALSE)=1,"CONSIGLIATO",""))))</f>
        <v/>
      </c>
      <c r="H336" s="65">
        <f ca="1">IF(ISNA(VLOOKUP($B336,TabAlgTutti,8,FALSE)),"",VLOOKUP($B336,TabAlgTutti,8,FALSE))</f>
        <v>90</v>
      </c>
      <c r="I336" s="63" t="str">
        <f ca="1">IF(ISNA(VLOOKUP($B336,TabAlgTutti,9,FALSE)),"",IF(VLOOKUP($B336,TabAlgTutti,9,FALSE)="","",VLOOKUP($B336,TabAlgTutti,9,FALSE)&amp;"R "))&amp;IF(ISNA(VLOOKUP($B336,TabAlgTutti,10,FALSE)),"",IF(VLOOKUP($B336,TabAlgTutti,10,FALSE)="","",VLOOKUP($B336,TabAlgTutti,10,FALSE)&amp;"P "))&amp;IF(ISNA(VLOOKUP($B336,TabAlgTutti,11,FALSE)),"",IF(VLOOKUP($B336,TabAlgTutti,11,FALSE)="","",VLOOKUP($B336,TabAlgTutti,11,FALSE)&amp;"A"))</f>
        <v/>
      </c>
      <c r="J336" s="63">
        <f ca="1">IF(ISNA(VLOOKUP($B336,TabAlgTutti,3,FALSE)),0,VLOOKUP($B336,TabAlgTutti,3,FALSE))+ROW()/100000</f>
        <v>30.820290825984095</v>
      </c>
      <c r="K336" s="63">
        <f ca="1">IF(ISNA(VLOOKUP($B336,TabAlgTutti,4,FALSE)),0,VLOOKUP($B336,TabAlgTutti,4,FALSE))+ROW()/100000</f>
        <v>30.886737480706074</v>
      </c>
      <c r="L336" s="63">
        <f ca="1">VLOOKUP(Tabella114[[#This Row],[Calciatore]],'Raccolta Aste'!$K$2:$O$33,4,FALSE)*Asta!$U$3/100</f>
        <v>0</v>
      </c>
      <c r="N336" s="59" t="str">
        <f t="shared" si="125"/>
        <v/>
      </c>
      <c r="O336" s="62" t="str">
        <f ca="1">IF(ISNUMBER(N336),INDIRECT("B" &amp; 310 + MATCH(N336,INDIRECT(ADDRESS(311,22+MATCH($P$28,'I.A. + Fasce'!$W$84:$AA$84,0),1,1) &amp; ":" &amp; ADDRESS(531,22+MATCH($P$28,'I.A. + Fasce'!$W$84:$AA$84,0),1,1)),0)),"")</f>
        <v/>
      </c>
      <c r="P336" s="62" t="str">
        <f t="shared" ca="1" si="127"/>
        <v/>
      </c>
      <c r="Q336" s="59" t="str">
        <f t="shared" si="126"/>
        <v/>
      </c>
      <c r="R336" s="62" t="str">
        <f ca="1">IF(ISNUMBER(Q336),INDIRECT("B" &amp; 310 + MATCH(Q336,INDIRECT(ADDRESS(311,22+MATCH($P$28,'I.A. + Fasce'!$W$84:$AA$84,0),1,1) &amp; ":" &amp; ADDRESS(531,22+MATCH($P$28,'I.A. + Fasce'!$W$84:$AA$84,0),1,1)),0)),"")</f>
        <v/>
      </c>
      <c r="S336" s="62" t="str">
        <f t="shared" ca="1" si="128"/>
        <v/>
      </c>
      <c r="W336" s="56">
        <f t="shared" ca="1" si="120"/>
        <v>37</v>
      </c>
      <c r="X336" s="56">
        <f t="shared" ca="1" si="121"/>
        <v>19</v>
      </c>
      <c r="Y336" s="56">
        <f t="shared" ca="1" si="122"/>
        <v>26</v>
      </c>
      <c r="Z336" s="56">
        <f t="shared" ca="1" si="123"/>
        <v>23</v>
      </c>
      <c r="AA336" s="56">
        <f t="shared" ca="1" si="124"/>
        <v>23</v>
      </c>
      <c r="AB336" s="56">
        <f ca="1">_xlfn.CEILING.MATH(INDIRECT(ADDRESS(311,22+MATCH($P$28,'I.A. + Fasce'!$W$84:$AA$84,0),1,1) &amp; ":" &amp; ADDRESS(531,22+MATCH($P$28,'I.A. + Fasce'!$W$84:$AA$84,0),1,1))/Asta!$H$3)</f>
        <v>4</v>
      </c>
    </row>
    <row r="337" spans="1:28" ht="14.25" customHeight="1">
      <c r="A337" s="239" t="str">
        <f ca="1">IF(Giocatori!J54="","C",Giocatori!J54)</f>
        <v>C</v>
      </c>
      <c r="B337" s="239" t="str">
        <f ca="1">IF(Giocatori!K54="","ZZZ" &amp; ROW(),Giocatori!K54)</f>
        <v>DE PAUL</v>
      </c>
      <c r="C337" s="239" t="str">
        <f ca="1">IF(Giocatori!L54="","NDR" &amp; ROW(),Giocatori!L54)</f>
        <v>Udinese</v>
      </c>
      <c r="D337" s="63">
        <f ca="1">IF(ISNA(VLOOKUP($B337,TabAlgTutti,6,FALSE)),0,VLOOKUP($B337,TabAlgTutti,6,FALSE))+ROW()/100000</f>
        <v>80.003370000000004</v>
      </c>
      <c r="E337" s="63">
        <f ca="1">IF(ISNA(VLOOKUP($B337,TabAlgTutti,5,FALSE)),0,VLOOKUP($B337,TabAlgTutti,5,FALSE))+ROW()/100000</f>
        <v>44.003369999999997</v>
      </c>
      <c r="F337" s="64">
        <f ca="1">($D337*$P$8+$E337*(1+$E337*100/60/100)*$S$8)/100+ROW()/100000</f>
        <v>78.142544761307505</v>
      </c>
      <c r="G337" s="63" t="str">
        <f ca="1">IF(ISNA(VLOOKUP($B337,TabAlgTutti,7,FALSE)),"",IF(VLOOKUP($B337,TabAlgTutti,7,FALSE)=-1,"SCONSIGLIATO",IF(VLOOKUP($B337,TabAlgTutti,7,FALSE)=0,"SORPRESA",IF(VLOOKUP($B337,TabAlgTutti,7,FALSE)=1,"CONSIGLIATO",""))))</f>
        <v>CONSIGLIATO</v>
      </c>
      <c r="H337" s="65">
        <f ca="1">IF(ISNA(VLOOKUP($B337,TabAlgTutti,8,FALSE)),"",VLOOKUP($B337,TabAlgTutti,8,FALSE))</f>
        <v>90</v>
      </c>
      <c r="I337" s="63" t="str">
        <f ca="1">IF(ISNA(VLOOKUP($B337,TabAlgTutti,9,FALSE)),"",IF(VLOOKUP($B337,TabAlgTutti,9,FALSE)="","",VLOOKUP($B337,TabAlgTutti,9,FALSE)&amp;"R "))&amp;IF(ISNA(VLOOKUP($B337,TabAlgTutti,10,FALSE)),"",IF(VLOOKUP($B337,TabAlgTutti,10,FALSE)="","",VLOOKUP($B337,TabAlgTutti,10,FALSE)&amp;"P "))&amp;IF(ISNA(VLOOKUP($B337,TabAlgTutti,11,FALSE)),"",IF(VLOOKUP($B337,TabAlgTutti,11,FALSE)="","",VLOOKUP($B337,TabAlgTutti,11,FALSE)&amp;"A"))</f>
        <v>3R 1P 1A</v>
      </c>
      <c r="J337" s="63">
        <f ca="1">IF(ISNA(VLOOKUP($B337,TabAlgTutti,3,FALSE)),0,VLOOKUP($B337,TabAlgTutti,3,FALSE))+ROW()/100000</f>
        <v>12.204933374459994</v>
      </c>
      <c r="K337" s="63">
        <f ca="1">IF(ISNA(VLOOKUP($B337,TabAlgTutti,4,FALSE)),0,VLOOKUP($B337,TabAlgTutti,4,FALSE))+ROW()/100000</f>
        <v>13.503012905036801</v>
      </c>
      <c r="L337" s="63" t="e">
        <f ca="1">VLOOKUP(Tabella114[[#This Row],[Calciatore]],'Raccolta Aste'!$K$2:$O$33,4,FALSE)*Asta!$U$3/100</f>
        <v>#N/A</v>
      </c>
      <c r="N337" s="59" t="str">
        <f t="shared" si="125"/>
        <v/>
      </c>
      <c r="O337" s="62" t="str">
        <f ca="1">IF(ISNUMBER(N337),INDIRECT("B" &amp; 310 + MATCH(N337,INDIRECT(ADDRESS(311,22+MATCH($P$28,'I.A. + Fasce'!$W$84:$AA$84,0),1,1) &amp; ":" &amp; ADDRESS(531,22+MATCH($P$28,'I.A. + Fasce'!$W$84:$AA$84,0),1,1)),0)),"")</f>
        <v/>
      </c>
      <c r="P337" s="62" t="str">
        <f t="shared" ca="1" si="127"/>
        <v/>
      </c>
      <c r="Q337" s="59" t="str">
        <f t="shared" si="126"/>
        <v/>
      </c>
      <c r="R337" s="62" t="str">
        <f ca="1">IF(ISNUMBER(Q337),INDIRECT("B" &amp; 310 + MATCH(Q337,INDIRECT(ADDRESS(311,22+MATCH($P$28,'I.A. + Fasce'!$W$84:$AA$84,0),1,1) &amp; ":" &amp; ADDRESS(531,22+MATCH($P$28,'I.A. + Fasce'!$W$84:$AA$84,0),1,1)),0)),"")</f>
        <v/>
      </c>
      <c r="S337" s="62" t="str">
        <f t="shared" ca="1" si="128"/>
        <v/>
      </c>
      <c r="W337" s="56">
        <f t="shared" ca="1" si="120"/>
        <v>25</v>
      </c>
      <c r="X337" s="56">
        <f t="shared" ca="1" si="121"/>
        <v>30</v>
      </c>
      <c r="Y337" s="56">
        <f t="shared" ca="1" si="122"/>
        <v>27</v>
      </c>
      <c r="Z337" s="56">
        <f t="shared" ca="1" si="123"/>
        <v>57</v>
      </c>
      <c r="AA337" s="56">
        <f t="shared" ca="1" si="124"/>
        <v>56</v>
      </c>
      <c r="AB337" s="56">
        <f ca="1">_xlfn.CEILING.MATH(INDIRECT(ADDRESS(311,22+MATCH($P$28,'I.A. + Fasce'!$W$84:$AA$84,0),1,1) &amp; ":" &amp; ADDRESS(531,22+MATCH($P$28,'I.A. + Fasce'!$W$84:$AA$84,0),1,1))/Asta!$H$3)</f>
        <v>4</v>
      </c>
    </row>
    <row r="338" spans="1:28" ht="14.25" customHeight="1">
      <c r="A338" s="239" t="str">
        <f ca="1">IF(Giocatori!J67="","C",Giocatori!J67)</f>
        <v>C</v>
      </c>
      <c r="B338" s="239" t="str">
        <f ca="1">IF(Giocatori!K67="","ZZZ" &amp; ROW(),Giocatori!K67)</f>
        <v>EYSSERIC</v>
      </c>
      <c r="C338" s="239" t="str">
        <f ca="1">IF(Giocatori!L67="","NDR" &amp; ROW(),Giocatori!L67)</f>
        <v>Fiorentina</v>
      </c>
      <c r="D338" s="63">
        <f ca="1">IF(ISNA(VLOOKUP($B338,TabAlgTutti,6,FALSE)),0,VLOOKUP($B338,TabAlgTutti,6,FALSE))+ROW()/100000</f>
        <v>78.003380000000007</v>
      </c>
      <c r="E338" s="63">
        <f ca="1">IF(ISNA(VLOOKUP($B338,TabAlgTutti,5,FALSE)),0,VLOOKUP($B338,TabAlgTutti,5,FALSE))+ROW()/100000</f>
        <v>44.00338</v>
      </c>
      <c r="F338" s="64">
        <f ca="1">($D338*$P$8+$E338*(1+$E338*100/60/100)*$S$8)/100+ROW()/100000</f>
        <v>77.142572095203334</v>
      </c>
      <c r="G338" s="63" t="str">
        <f ca="1">IF(ISNA(VLOOKUP($B338,TabAlgTutti,7,FALSE)),"",IF(VLOOKUP($B338,TabAlgTutti,7,FALSE)=-1,"SCONSIGLIATO",IF(VLOOKUP($B338,TabAlgTutti,7,FALSE)=0,"SORPRESA",IF(VLOOKUP($B338,TabAlgTutti,7,FALSE)=1,"CONSIGLIATO",""))))</f>
        <v>SORPRESA</v>
      </c>
      <c r="H338" s="65">
        <f ca="1">IF(ISNA(VLOOKUP($B338,TabAlgTutti,8,FALSE)),"",VLOOKUP($B338,TabAlgTutti,8,FALSE))</f>
        <v>70</v>
      </c>
      <c r="I338" s="63" t="str">
        <f ca="1">IF(ISNA(VLOOKUP($B338,TabAlgTutti,9,FALSE)),"",IF(VLOOKUP($B338,TabAlgTutti,9,FALSE)="","",VLOOKUP($B338,TabAlgTutti,9,FALSE)&amp;"R "))&amp;IF(ISNA(VLOOKUP($B338,TabAlgTutti,10,FALSE)),"",IF(VLOOKUP($B338,TabAlgTutti,10,FALSE)="","",VLOOKUP($B338,TabAlgTutti,10,FALSE)&amp;"P "))&amp;IF(ISNA(VLOOKUP($B338,TabAlgTutti,11,FALSE)),"",IF(VLOOKUP($B338,TabAlgTutti,11,FALSE)="","",VLOOKUP($B338,TabAlgTutti,11,FALSE)&amp;"A"))</f>
        <v/>
      </c>
      <c r="J338" s="63">
        <f ca="1">IF(ISNA(VLOOKUP($B338,TabAlgTutti,3,FALSE)),0,VLOOKUP($B338,TabAlgTutti,3,FALSE))+ROW()/100000</f>
        <v>17.326329854233826</v>
      </c>
      <c r="K338" s="63">
        <f ca="1">IF(ISNA(VLOOKUP($B338,TabAlgTutti,4,FALSE)),0,VLOOKUP($B338,TabAlgTutti,4,FALSE))+ROW()/100000</f>
        <v>17.600241241510325</v>
      </c>
      <c r="L338" s="63" t="e">
        <f ca="1">VLOOKUP(Tabella114[[#This Row],[Calciatore]],'Raccolta Aste'!$K$2:$O$33,4,FALSE)*Asta!$U$3/100</f>
        <v>#N/A</v>
      </c>
      <c r="N338"/>
      <c r="O338"/>
      <c r="P338"/>
      <c r="Q338"/>
      <c r="R338"/>
      <c r="S338"/>
      <c r="W338" s="56">
        <f t="shared" ca="1" si="120"/>
        <v>36</v>
      </c>
      <c r="X338" s="56">
        <f t="shared" ca="1" si="121"/>
        <v>29</v>
      </c>
      <c r="Y338" s="56">
        <f t="shared" ca="1" si="122"/>
        <v>30</v>
      </c>
      <c r="Z338" s="56">
        <f t="shared" ca="1" si="123"/>
        <v>43</v>
      </c>
      <c r="AA338" s="56">
        <f t="shared" ca="1" si="124"/>
        <v>44</v>
      </c>
      <c r="AB338" s="56">
        <f ca="1">_xlfn.CEILING.MATH(INDIRECT(ADDRESS(311,22+MATCH($P$28,'I.A. + Fasce'!$W$84:$AA$84,0),1,1) &amp; ":" &amp; ADDRESS(531,22+MATCH($P$28,'I.A. + Fasce'!$W$84:$AA$84,0),1,1))/Asta!$H$3)</f>
        <v>4</v>
      </c>
    </row>
    <row r="339" spans="1:28" ht="14.25" customHeight="1">
      <c r="A339" s="239" t="str">
        <f ca="1">IF(Giocatori!J52="","C",Giocatori!J52)</f>
        <v>C</v>
      </c>
      <c r="B339" s="239" t="str">
        <f ca="1">IF(Giocatori!K52="","ZZZ" &amp; ROW(),Giocatori!K52)</f>
        <v>CUADRADO</v>
      </c>
      <c r="C339" s="239" t="str">
        <f ca="1">IF(Giocatori!L52="","NDR" &amp; ROW(),Giocatori!L52)</f>
        <v>Juventus</v>
      </c>
      <c r="D339" s="63">
        <f ca="1">IF(ISNA(VLOOKUP($B339,TabAlgTutti,6,FALSE)),0,VLOOKUP($B339,TabAlgTutti,6,FALSE))+ROW()/100000</f>
        <v>78.003389999999996</v>
      </c>
      <c r="E339" s="63">
        <f ca="1">IF(ISNA(VLOOKUP($B339,TabAlgTutti,5,FALSE)),0,VLOOKUP($B339,TabAlgTutti,5,FALSE))+ROW()/100000</f>
        <v>44.003390000000003</v>
      </c>
      <c r="F339" s="64">
        <f ca="1">($D339*$P$8+$E339*(1+$E339*100/60/100)*$S$8)/100+ROW()/100000</f>
        <v>77.142599429100827</v>
      </c>
      <c r="G339" s="63" t="str">
        <f ca="1">IF(ISNA(VLOOKUP($B339,TabAlgTutti,7,FALSE)),"",IF(VLOOKUP($B339,TabAlgTutti,7,FALSE)=-1,"SCONSIGLIATO",IF(VLOOKUP($B339,TabAlgTutti,7,FALSE)=0,"SORPRESA",IF(VLOOKUP($B339,TabAlgTutti,7,FALSE)=1,"CONSIGLIATO",""))))</f>
        <v/>
      </c>
      <c r="H339" s="65">
        <f ca="1">IF(ISNA(VLOOKUP($B339,TabAlgTutti,8,FALSE)),"",VLOOKUP($B339,TabAlgTutti,8,FALSE))</f>
        <v>70</v>
      </c>
      <c r="I339" s="63" t="str">
        <f ca="1">IF(ISNA(VLOOKUP($B339,TabAlgTutti,9,FALSE)),"",IF(VLOOKUP($B339,TabAlgTutti,9,FALSE)="","",VLOOKUP($B339,TabAlgTutti,9,FALSE)&amp;"R "))&amp;IF(ISNA(VLOOKUP($B339,TabAlgTutti,10,FALSE)),"",IF(VLOOKUP($B339,TabAlgTutti,10,FALSE)="","",VLOOKUP($B339,TabAlgTutti,10,FALSE)&amp;"P "))&amp;IF(ISNA(VLOOKUP($B339,TabAlgTutti,11,FALSE)),"",IF(VLOOKUP($B339,TabAlgTutti,11,FALSE)="","",VLOOKUP($B339,TabAlgTutti,11,FALSE)&amp;"A"))</f>
        <v/>
      </c>
      <c r="J339" s="63">
        <f ca="1">IF(ISNA(VLOOKUP($B339,TabAlgTutti,3,FALSE)),0,VLOOKUP($B339,TabAlgTutti,3,FALSE))+ROW()/100000</f>
        <v>37.175416058679595</v>
      </c>
      <c r="K339" s="63">
        <f ca="1">IF(ISNA(VLOOKUP($B339,TabAlgTutti,4,FALSE)),0,VLOOKUP($B339,TabAlgTutti,4,FALSE))+ROW()/100000</f>
        <v>36.198726775718619</v>
      </c>
      <c r="L339" s="63">
        <f ca="1">VLOOKUP(Tabella114[[#This Row],[Calciatore]],'Raccolta Aste'!$K$2:$O$33,4,FALSE)*Asta!$U$3/100</f>
        <v>12.53</v>
      </c>
      <c r="N339" s="58"/>
      <c r="O339" s="59" t="s">
        <v>705</v>
      </c>
      <c r="P339" s="59" t="s">
        <v>637</v>
      </c>
      <c r="Q339" s="58"/>
      <c r="R339" s="59" t="s">
        <v>706</v>
      </c>
      <c r="S339" s="59" t="s">
        <v>637</v>
      </c>
      <c r="W339" s="56">
        <f t="shared" ca="1" si="120"/>
        <v>35</v>
      </c>
      <c r="X339" s="56">
        <f t="shared" ca="1" si="121"/>
        <v>28</v>
      </c>
      <c r="Y339" s="56">
        <f t="shared" ca="1" si="122"/>
        <v>29</v>
      </c>
      <c r="Z339" s="56">
        <f t="shared" ca="1" si="123"/>
        <v>16</v>
      </c>
      <c r="AA339" s="56">
        <f t="shared" ca="1" si="124"/>
        <v>16</v>
      </c>
      <c r="AB339" s="56">
        <f ca="1">_xlfn.CEILING.MATH(INDIRECT(ADDRESS(311,22+MATCH($P$28,'I.A. + Fasce'!$W$84:$AA$84,0),1,1) &amp; ":" &amp; ADDRESS(531,22+MATCH($P$28,'I.A. + Fasce'!$W$84:$AA$84,0),1,1))/Asta!$H$3)</f>
        <v>4</v>
      </c>
    </row>
    <row r="340" spans="1:28" ht="14.25" customHeight="1">
      <c r="A340" s="239" t="str">
        <f ca="1">IF(Giocatori!J31="","C",Giocatori!J31)</f>
        <v>C</v>
      </c>
      <c r="B340" s="239" t="str">
        <f ca="1">IF(Giocatori!K31="","ZZZ" &amp; ROW(),Giocatori!K31)</f>
        <v>BORJA VALERO</v>
      </c>
      <c r="C340" s="239" t="str">
        <f ca="1">IF(Giocatori!L31="","NDR" &amp; ROW(),Giocatori!L31)</f>
        <v>Inter</v>
      </c>
      <c r="D340" s="63">
        <f ca="1">IF(ISNA(VLOOKUP($B340,TabAlgTutti,6,FALSE)),0,VLOOKUP($B340,TabAlgTutti,6,FALSE))+ROW()/100000</f>
        <v>78.003399999999999</v>
      </c>
      <c r="E340" s="63">
        <f ca="1">IF(ISNA(VLOOKUP($B340,TabAlgTutti,5,FALSE)),0,VLOOKUP($B340,TabAlgTutti,5,FALSE))+ROW()/100000</f>
        <v>44.003399999999999</v>
      </c>
      <c r="F340" s="64">
        <f ca="1">($D340*$P$8+$E340*(1+$E340*100/60/100)*$S$8)/100+ROW()/100000</f>
        <v>77.142626762999996</v>
      </c>
      <c r="G340" s="63" t="str">
        <f ca="1">IF(ISNA(VLOOKUP($B340,TabAlgTutti,7,FALSE)),"",IF(VLOOKUP($B340,TabAlgTutti,7,FALSE)=-1,"SCONSIGLIATO",IF(VLOOKUP($B340,TabAlgTutti,7,FALSE)=0,"SORPRESA",IF(VLOOKUP($B340,TabAlgTutti,7,FALSE)=1,"CONSIGLIATO",""))))</f>
        <v/>
      </c>
      <c r="H340" s="65">
        <f ca="1">IF(ISNA(VLOOKUP($B340,TabAlgTutti,8,FALSE)),"",VLOOKUP($B340,TabAlgTutti,8,FALSE))</f>
        <v>90</v>
      </c>
      <c r="I340" s="63" t="str">
        <f ca="1">IF(ISNA(VLOOKUP($B340,TabAlgTutti,9,FALSE)),"",IF(VLOOKUP($B340,TabAlgTutti,9,FALSE)="","",VLOOKUP($B340,TabAlgTutti,9,FALSE)&amp;"R "))&amp;IF(ISNA(VLOOKUP($B340,TabAlgTutti,10,FALSE)),"",IF(VLOOKUP($B340,TabAlgTutti,10,FALSE)="","",VLOOKUP($B340,TabAlgTutti,10,FALSE)&amp;"P "))&amp;IF(ISNA(VLOOKUP($B340,TabAlgTutti,11,FALSE)),"",IF(VLOOKUP($B340,TabAlgTutti,11,FALSE)="","",VLOOKUP($B340,TabAlgTutti,11,FALSE)&amp;"A"))</f>
        <v>1P 2A</v>
      </c>
      <c r="J340" s="63">
        <f ca="1">IF(ISNA(VLOOKUP($B340,TabAlgTutti,3,FALSE)),0,VLOOKUP($B340,TabAlgTutti,3,FALSE))+ROW()/100000</f>
        <v>27.550193326578473</v>
      </c>
      <c r="K340" s="63">
        <f ca="1">IF(ISNA(VLOOKUP($B340,TabAlgTutti,4,FALSE)),0,VLOOKUP($B340,TabAlgTutti,4,FALSE))+ROW()/100000</f>
        <v>27.801978337606911</v>
      </c>
      <c r="L340" s="63">
        <f ca="1">VLOOKUP(Tabella114[[#This Row],[Calciatore]],'Raccolta Aste'!$K$2:$O$33,4,FALSE)*Asta!$U$3/100</f>
        <v>23.344999999999999</v>
      </c>
      <c r="N340" s="60"/>
      <c r="O340" s="61"/>
      <c r="P340" s="61"/>
      <c r="Q340" s="60"/>
      <c r="R340" s="61"/>
      <c r="S340" s="61"/>
      <c r="W340" s="56">
        <f t="shared" ca="1" si="120"/>
        <v>34</v>
      </c>
      <c r="X340" s="56">
        <f t="shared" ca="1" si="121"/>
        <v>27</v>
      </c>
      <c r="Y340" s="56">
        <f t="shared" ca="1" si="122"/>
        <v>28</v>
      </c>
      <c r="Z340" s="56">
        <f t="shared" ca="1" si="123"/>
        <v>27</v>
      </c>
      <c r="AA340" s="56">
        <f t="shared" ca="1" si="124"/>
        <v>27</v>
      </c>
      <c r="AB340" s="56">
        <f ca="1">_xlfn.CEILING.MATH(INDIRECT(ADDRESS(311,22+MATCH($P$28,'I.A. + Fasce'!$W$84:$AA$84,0),1,1) &amp; ":" &amp; ADDRESS(531,22+MATCH($P$28,'I.A. + Fasce'!$W$84:$AA$84,0),1,1))/Asta!$H$3)</f>
        <v>4</v>
      </c>
    </row>
    <row r="341" spans="1:28" ht="14.25" customHeight="1">
      <c r="A341" s="239" t="str">
        <f ca="1">IF(Giocatori!J96="","C",Giocatori!J96)</f>
        <v>C</v>
      </c>
      <c r="B341" s="239" t="str">
        <f ca="1">IF(Giocatori!K96="","ZZZ" &amp; ROW(),Giocatori!K96)</f>
        <v>JANKTO</v>
      </c>
      <c r="C341" s="239" t="str">
        <f ca="1">IF(Giocatori!L96="","NDR" &amp; ROW(),Giocatori!L96)</f>
        <v>Udinese</v>
      </c>
      <c r="D341" s="63">
        <f ca="1">IF(ISNA(VLOOKUP($B341,TabAlgTutti,6,FALSE)),0,VLOOKUP($B341,TabAlgTutti,6,FALSE))+ROW()/100000</f>
        <v>80.003410000000002</v>
      </c>
      <c r="E341" s="63">
        <f ca="1">IF(ISNA(VLOOKUP($B341,TabAlgTutti,5,FALSE)),0,VLOOKUP($B341,TabAlgTutti,5,FALSE))+ROW()/100000</f>
        <v>43.003410000000002</v>
      </c>
      <c r="F341" s="64">
        <f ca="1">($D341*$P$8+$E341*(1+$E341*100/60/100)*$S$8)/100+ROW()/100000</f>
        <v>76.917597263567515</v>
      </c>
      <c r="G341" s="63" t="str">
        <f ca="1">IF(ISNA(VLOOKUP($B341,TabAlgTutti,7,FALSE)),"",IF(VLOOKUP($B341,TabAlgTutti,7,FALSE)=-1,"SCONSIGLIATO",IF(VLOOKUP($B341,TabAlgTutti,7,FALSE)=0,"SORPRESA",IF(VLOOKUP($B341,TabAlgTutti,7,FALSE)=1,"CONSIGLIATO",""))))</f>
        <v>SORPRESA</v>
      </c>
      <c r="H341" s="65">
        <f ca="1">IF(ISNA(VLOOKUP($B341,TabAlgTutti,8,FALSE)),"",VLOOKUP($B341,TabAlgTutti,8,FALSE))</f>
        <v>90</v>
      </c>
      <c r="I341" s="63" t="str">
        <f ca="1">IF(ISNA(VLOOKUP($B341,TabAlgTutti,9,FALSE)),"",IF(VLOOKUP($B341,TabAlgTutti,9,FALSE)="","",VLOOKUP($B341,TabAlgTutti,9,FALSE)&amp;"R "))&amp;IF(ISNA(VLOOKUP($B341,TabAlgTutti,10,FALSE)),"",IF(VLOOKUP($B341,TabAlgTutti,10,FALSE)="","",VLOOKUP($B341,TabAlgTutti,10,FALSE)&amp;"P "))&amp;IF(ISNA(VLOOKUP($B341,TabAlgTutti,11,FALSE)),"",IF(VLOOKUP($B341,TabAlgTutti,11,FALSE)="","",VLOOKUP($B341,TabAlgTutti,11,FALSE)&amp;"A"))</f>
        <v>2A</v>
      </c>
      <c r="J341" s="63">
        <f ca="1">IF(ISNA(VLOOKUP($B341,TabAlgTutti,3,FALSE)),0,VLOOKUP($B341,TabAlgTutti,3,FALSE))+ROW()/100000</f>
        <v>8.5471928979856084</v>
      </c>
      <c r="K341" s="63">
        <f ca="1">IF(ISNA(VLOOKUP($B341,TabAlgTutti,4,FALSE)),0,VLOOKUP($B341,TabAlgTutti,4,FALSE))+ROW()/100000</f>
        <v>9.9015093870910871</v>
      </c>
      <c r="L341" s="63" t="e">
        <f ca="1">VLOOKUP(Tabella114[[#This Row],[Calciatore]],'Raccolta Aste'!$K$2:$O$33,4,FALSE)*Asta!$U$3/100</f>
        <v>#N/A</v>
      </c>
      <c r="N341" s="59">
        <f t="shared" ref="N341:N352" si="129">IF(ISNUMBER(Q326),Q326+COUNTIF($N$34:$N$45,"&gt;0"),"")</f>
        <v>33</v>
      </c>
      <c r="O341" s="62" t="str">
        <f ca="1">IF(ISNUMBER(N341),INDIRECT("B" &amp; 310 + MATCH(N341,INDIRECT(ADDRESS(311,22+MATCH($P$28,'I.A. + Fasce'!$W$84:$AA$84,0),1,1) &amp; ":" &amp; ADDRESS(531,22+MATCH($P$28,'I.A. + Fasce'!$W$84:$AA$84,0),1,1)),0)),"")</f>
        <v>BASELLI</v>
      </c>
      <c r="P341" s="62" t="str">
        <f ca="1">IF(O341="","",VLOOKUP(O341,$B$311:$C$531,2,FALSE))</f>
        <v>Torino</v>
      </c>
      <c r="Q341" s="59">
        <f t="shared" ref="Q341:Q352" si="130">IF(ISNUMBER(N341),N341+COUNTIF($N$34:$N$45,"&gt;0"),"")</f>
        <v>41</v>
      </c>
      <c r="R341" s="62" t="str">
        <f ca="1">IF(ISNUMBER(Q341),INDIRECT("B" &amp; 310 + MATCH(Q341,INDIRECT(ADDRESS(311,22+MATCH($P$28,'I.A. + Fasce'!$W$84:$AA$84,0),1,1) &amp; ":" &amp; ADDRESS(531,22+MATCH($P$28,'I.A. + Fasce'!$W$84:$AA$84,0),1,1)),0)),"")</f>
        <v>LAXALT</v>
      </c>
      <c r="S341" s="62" t="str">
        <f ca="1">IF(R341="","",VLOOKUP(R341,$B$311:$C$531,2,FALSE))</f>
        <v>Genoa</v>
      </c>
      <c r="W341" s="56">
        <f t="shared" ca="1" si="120"/>
        <v>24</v>
      </c>
      <c r="X341" s="56">
        <f t="shared" ca="1" si="121"/>
        <v>41</v>
      </c>
      <c r="Y341" s="56">
        <f t="shared" ca="1" si="122"/>
        <v>31</v>
      </c>
      <c r="Z341" s="56">
        <f t="shared" ca="1" si="123"/>
        <v>67</v>
      </c>
      <c r="AA341" s="56">
        <f t="shared" ca="1" si="124"/>
        <v>66</v>
      </c>
      <c r="AB341" s="56">
        <f ca="1">_xlfn.CEILING.MATH(INDIRECT(ADDRESS(311,22+MATCH($P$28,'I.A. + Fasce'!$W$84:$AA$84,0),1,1) &amp; ":" &amp; ADDRESS(531,22+MATCH($P$28,'I.A. + Fasce'!$W$84:$AA$84,0),1,1))/Asta!$H$3)</f>
        <v>4</v>
      </c>
    </row>
    <row r="342" spans="1:28" ht="14.25" customHeight="1">
      <c r="A342" s="239" t="str">
        <f ca="1">IF(Giocatori!J120="","C",Giocatori!J120)</f>
        <v>C</v>
      </c>
      <c r="B342" s="239" t="str">
        <f ca="1">IF(Giocatori!K120="","ZZZ" &amp; ROW(),Giocatori!K120)</f>
        <v>MATUIDI</v>
      </c>
      <c r="C342" s="239" t="str">
        <f ca="1">IF(Giocatori!L120="","NDR" &amp; ROW(),Giocatori!L120)</f>
        <v>Juventus</v>
      </c>
      <c r="D342" s="63">
        <f ca="1">IF(ISNA(VLOOKUP($B342,TabAlgTutti,6,FALSE)),0,VLOOKUP($B342,TabAlgTutti,6,FALSE))+ROW()/100000</f>
        <v>77.003420000000006</v>
      </c>
      <c r="E342" s="63">
        <f ca="1">IF(ISNA(VLOOKUP($B342,TabAlgTutti,5,FALSE)),0,VLOOKUP($B342,TabAlgTutti,5,FALSE))+ROW()/100000</f>
        <v>44.003419999999998</v>
      </c>
      <c r="F342" s="64">
        <f ca="1">($D342*$P$8+$E342*(1+$E342*100/60/100)*$S$8)/100+ROW()/100000</f>
        <v>76.642681430803336</v>
      </c>
      <c r="G342" s="63" t="str">
        <f ca="1">IF(ISNA(VLOOKUP($B342,TabAlgTutti,7,FALSE)),"",IF(VLOOKUP($B342,TabAlgTutti,7,FALSE)=-1,"SCONSIGLIATO",IF(VLOOKUP($B342,TabAlgTutti,7,FALSE)=0,"SORPRESA",IF(VLOOKUP($B342,TabAlgTutti,7,FALSE)=1,"CONSIGLIATO",""))))</f>
        <v/>
      </c>
      <c r="H342" s="65">
        <f ca="1">IF(ISNA(VLOOKUP($B342,TabAlgTutti,8,FALSE)),"",VLOOKUP($B342,TabAlgTutti,8,FALSE))</f>
        <v>70</v>
      </c>
      <c r="I342" s="63" t="str">
        <f ca="1">IF(ISNA(VLOOKUP($B342,TabAlgTutti,9,FALSE)),"",IF(VLOOKUP($B342,TabAlgTutti,9,FALSE)="","",VLOOKUP($B342,TabAlgTutti,9,FALSE)&amp;"R "))&amp;IF(ISNA(VLOOKUP($B342,TabAlgTutti,10,FALSE)),"",IF(VLOOKUP($B342,TabAlgTutti,10,FALSE)="","",VLOOKUP($B342,TabAlgTutti,10,FALSE)&amp;"P "))&amp;IF(ISNA(VLOOKUP($B342,TabAlgTutti,11,FALSE)),"",IF(VLOOKUP($B342,TabAlgTutti,11,FALSE)="","",VLOOKUP($B342,TabAlgTutti,11,FALSE)&amp;"A"))</f>
        <v/>
      </c>
      <c r="J342" s="63">
        <f ca="1">IF(ISNA(VLOOKUP($B342,TabAlgTutti,3,FALSE)),0,VLOOKUP($B342,TabAlgTutti,3,FALSE))+ROW()/100000</f>
        <v>37.17544605867959</v>
      </c>
      <c r="K342" s="63">
        <f ca="1">IF(ISNA(VLOOKUP($B342,TabAlgTutti,4,FALSE)),0,VLOOKUP($B342,TabAlgTutti,4,FALSE))+ROW()/100000</f>
        <v>36.198756775718614</v>
      </c>
      <c r="L342" s="63">
        <f ca="1">VLOOKUP(Tabella114[[#This Row],[Calciatore]],'Raccolta Aste'!$K$2:$O$33,4,FALSE)*Asta!$U$3/100</f>
        <v>15.12</v>
      </c>
      <c r="N342" s="59">
        <f t="shared" si="129"/>
        <v>34</v>
      </c>
      <c r="O342" s="62" t="str">
        <f ca="1">IF(ISNUMBER(N342),INDIRECT("B" &amp; 310 + MATCH(N342,INDIRECT(ADDRESS(311,22+MATCH($P$28,'I.A. + Fasce'!$W$84:$AA$84,0),1,1) &amp; ":" &amp; ADDRESS(531,22+MATCH($P$28,'I.A. + Fasce'!$W$84:$AA$84,0),1,1)),0)),"")</f>
        <v>CICIRETTI</v>
      </c>
      <c r="P342" s="62" t="str">
        <f t="shared" ref="P342:P352" ca="1" si="131">IF(O342="","",VLOOKUP(O342,$B$311:$C$531,2,FALSE))</f>
        <v>Benevento</v>
      </c>
      <c r="Q342" s="59">
        <f t="shared" si="130"/>
        <v>42</v>
      </c>
      <c r="R342" s="62" t="str">
        <f ca="1">IF(ISNUMBER(Q342),INDIRECT("B" &amp; 310 + MATCH(Q342,INDIRECT(ADDRESS(311,22+MATCH($P$28,'I.A. + Fasce'!$W$84:$AA$84,0),1,1) &amp; ":" &amp; ADDRESS(531,22+MATCH($P$28,'I.A. + Fasce'!$W$84:$AA$84,0),1,1)),0)),"")</f>
        <v>TORREIRA</v>
      </c>
      <c r="S342" s="62" t="str">
        <f t="shared" ref="S342:S352" ca="1" si="132">IF(R342="","",VLOOKUP(R342,$B$311:$C$531,2,FALSE))</f>
        <v>Sampdoria</v>
      </c>
      <c r="W342" s="56">
        <f t="shared" ca="1" si="120"/>
        <v>45</v>
      </c>
      <c r="X342" s="56">
        <f t="shared" ca="1" si="121"/>
        <v>26</v>
      </c>
      <c r="Y342" s="56">
        <f t="shared" ca="1" si="122"/>
        <v>32</v>
      </c>
      <c r="Z342" s="56">
        <f t="shared" ca="1" si="123"/>
        <v>15</v>
      </c>
      <c r="AA342" s="56">
        <f t="shared" ca="1" si="124"/>
        <v>15</v>
      </c>
      <c r="AB342" s="56">
        <f ca="1">_xlfn.CEILING.MATH(INDIRECT(ADDRESS(311,22+MATCH($P$28,'I.A. + Fasce'!$W$84:$AA$84,0),1,1) &amp; ":" &amp; ADDRESS(531,22+MATCH($P$28,'I.A. + Fasce'!$W$84:$AA$84,0),1,1))/Asta!$H$3)</f>
        <v>4</v>
      </c>
    </row>
    <row r="343" spans="1:28" ht="14.25" customHeight="1">
      <c r="A343" s="239" t="str">
        <f ca="1">IF(Giocatori!J18="","C",Giocatori!J18)</f>
        <v>C</v>
      </c>
      <c r="B343" s="239" t="str">
        <f ca="1">IF(Giocatori!K18="","ZZZ" &amp; ROW(),Giocatori!K18)</f>
        <v>BASELLI</v>
      </c>
      <c r="C343" s="239" t="str">
        <f ca="1">IF(Giocatori!L18="","NDR" &amp; ROW(),Giocatori!L18)</f>
        <v>Torino</v>
      </c>
      <c r="D343" s="63">
        <f ca="1">IF(ISNA(VLOOKUP($B343,TabAlgTutti,6,FALSE)),0,VLOOKUP($B343,TabAlgTutti,6,FALSE))+ROW()/100000</f>
        <v>76.003429999999994</v>
      </c>
      <c r="E343" s="63">
        <f ca="1">IF(ISNA(VLOOKUP($B343,TabAlgTutti,5,FALSE)),0,VLOOKUP($B343,TabAlgTutti,5,FALSE))+ROW()/100000</f>
        <v>44.003430000000002</v>
      </c>
      <c r="F343" s="64">
        <f ca="1">($D343*$P$8+$E343*(1+$E343*100/60/100)*$S$8)/100+ROW()/100000</f>
        <v>76.142708764707507</v>
      </c>
      <c r="G343" s="63" t="str">
        <f ca="1">IF(ISNA(VLOOKUP($B343,TabAlgTutti,7,FALSE)),"",IF(VLOOKUP($B343,TabAlgTutti,7,FALSE)=-1,"SCONSIGLIATO",IF(VLOOKUP($B343,TabAlgTutti,7,FALSE)=0,"SORPRESA",IF(VLOOKUP($B343,TabAlgTutti,7,FALSE)=1,"CONSIGLIATO",""))))</f>
        <v>SORPRESA</v>
      </c>
      <c r="H343" s="65">
        <f ca="1">IF(ISNA(VLOOKUP($B343,TabAlgTutti,8,FALSE)),"",VLOOKUP($B343,TabAlgTutti,8,FALSE))</f>
        <v>90</v>
      </c>
      <c r="I343" s="63" t="str">
        <f ca="1">IF(ISNA(VLOOKUP($B343,TabAlgTutti,9,FALSE)),"",IF(VLOOKUP($B343,TabAlgTutti,9,FALSE)="","",VLOOKUP($B343,TabAlgTutti,9,FALSE)&amp;"R "))&amp;IF(ISNA(VLOOKUP($B343,TabAlgTutti,10,FALSE)),"",IF(VLOOKUP($B343,TabAlgTutti,10,FALSE)="","",VLOOKUP($B343,TabAlgTutti,10,FALSE)&amp;"P "))&amp;IF(ISNA(VLOOKUP($B343,TabAlgTutti,11,FALSE)),"",IF(VLOOKUP($B343,TabAlgTutti,11,FALSE)="","",VLOOKUP($B343,TabAlgTutti,11,FALSE)&amp;"A"))</f>
        <v xml:space="preserve">3P </v>
      </c>
      <c r="J343" s="63">
        <f ca="1">IF(ISNA(VLOOKUP($B343,TabAlgTutti,3,FALSE)),0,VLOOKUP($B343,TabAlgTutti,3,FALSE))+ROW()/100000</f>
        <v>24.036471557082933</v>
      </c>
      <c r="K343" s="63">
        <f ca="1">IF(ISNA(VLOOKUP($B343,TabAlgTutti,4,FALSE)),0,VLOOKUP($B343,TabAlgTutti,4,FALSE))+ROW()/100000</f>
        <v>25.017585433310501</v>
      </c>
      <c r="L343" s="63" t="e">
        <f ca="1">VLOOKUP(Tabella114[[#This Row],[Calciatore]],'Raccolta Aste'!$K$2:$O$33,4,FALSE)*Asta!$U$3/100</f>
        <v>#N/A</v>
      </c>
      <c r="N343" s="59">
        <f t="shared" si="129"/>
        <v>35</v>
      </c>
      <c r="O343" s="62" t="str">
        <f ca="1">IF(ISNUMBER(N343),INDIRECT("B" &amp; 310 + MATCH(N343,INDIRECT(ADDRESS(311,22+MATCH($P$28,'I.A. + Fasce'!$W$84:$AA$84,0),1,1) &amp; ":" &amp; ADDRESS(531,22+MATCH($P$28,'I.A. + Fasce'!$W$84:$AA$84,0),1,1)),0)),"")</f>
        <v>FOFANA</v>
      </c>
      <c r="P343" s="62" t="str">
        <f t="shared" ca="1" si="131"/>
        <v>Udinese</v>
      </c>
      <c r="Q343" s="59">
        <f t="shared" si="130"/>
        <v>43</v>
      </c>
      <c r="R343" s="62" t="str">
        <f ca="1">IF(ISNUMBER(Q343),INDIRECT("B" &amp; 310 + MATCH(Q343,INDIRECT(ADDRESS(311,22+MATCH($P$28,'I.A. + Fasce'!$W$84:$AA$84,0),1,1) &amp; ":" &amp; ADDRESS(531,22+MATCH($P$28,'I.A. + Fasce'!$W$84:$AA$84,0),1,1)),0)),"")</f>
        <v>VECINO</v>
      </c>
      <c r="S343" s="62" t="str">
        <f t="shared" ca="1" si="132"/>
        <v>Inter</v>
      </c>
      <c r="W343" s="56">
        <f t="shared" ca="1" si="120"/>
        <v>53</v>
      </c>
      <c r="X343" s="56">
        <f t="shared" ca="1" si="121"/>
        <v>25</v>
      </c>
      <c r="Y343" s="56">
        <f t="shared" ca="1" si="122"/>
        <v>33</v>
      </c>
      <c r="Z343" s="56">
        <f t="shared" ca="1" si="123"/>
        <v>32</v>
      </c>
      <c r="AA343" s="56">
        <f t="shared" ca="1" si="124"/>
        <v>31</v>
      </c>
      <c r="AB343" s="56">
        <f ca="1">_xlfn.CEILING.MATH(INDIRECT(ADDRESS(311,22+MATCH($P$28,'I.A. + Fasce'!$W$84:$AA$84,0),1,1) &amp; ":" &amp; ADDRESS(531,22+MATCH($P$28,'I.A. + Fasce'!$W$84:$AA$84,0),1,1))/Asta!$H$3)</f>
        <v>5</v>
      </c>
    </row>
    <row r="344" spans="1:28" ht="14.25" customHeight="1">
      <c r="A344" s="239" t="str">
        <f ca="1">IF(Giocatori!J73="","C",Giocatori!J73)</f>
        <v>C</v>
      </c>
      <c r="B344" s="239" t="str">
        <f ca="1">IF(Giocatori!K73="","ZZZ" &amp; ROW(),Giocatori!K73)</f>
        <v>FOFANA</v>
      </c>
      <c r="C344" s="239" t="str">
        <f ca="1">IF(Giocatori!L73="","NDR" &amp; ROW(),Giocatori!L73)</f>
        <v>Udinese</v>
      </c>
      <c r="D344" s="63">
        <f ca="1">IF(ISNA(VLOOKUP($B344,TabAlgTutti,6,FALSE)),0,VLOOKUP($B344,TabAlgTutti,6,FALSE))+ROW()/100000</f>
        <v>77.003439999999998</v>
      </c>
      <c r="E344" s="63">
        <f ca="1">IF(ISNA(VLOOKUP($B344,TabAlgTutti,5,FALSE)),0,VLOOKUP($B344,TabAlgTutti,5,FALSE))+ROW()/100000</f>
        <v>43.003439999999998</v>
      </c>
      <c r="F344" s="64">
        <f ca="1">($D344*$P$8+$E344*(1+$E344*100/60/100)*$S$8)/100+ROW()/100000</f>
        <v>75.417678765280002</v>
      </c>
      <c r="G344" s="63" t="str">
        <f ca="1">IF(ISNA(VLOOKUP($B344,TabAlgTutti,7,FALSE)),"",IF(VLOOKUP($B344,TabAlgTutti,7,FALSE)=-1,"SCONSIGLIATO",IF(VLOOKUP($B344,TabAlgTutti,7,FALSE)=0,"SORPRESA",IF(VLOOKUP($B344,TabAlgTutti,7,FALSE)=1,"CONSIGLIATO",""))))</f>
        <v>CONSIGLIATO</v>
      </c>
      <c r="H344" s="65">
        <f ca="1">IF(ISNA(VLOOKUP($B344,TabAlgTutti,8,FALSE)),"",VLOOKUP($B344,TabAlgTutti,8,FALSE))</f>
        <v>90</v>
      </c>
      <c r="I344" s="63" t="str">
        <f ca="1">IF(ISNA(VLOOKUP($B344,TabAlgTutti,9,FALSE)),"",IF(VLOOKUP($B344,TabAlgTutti,9,FALSE)="","",VLOOKUP($B344,TabAlgTutti,9,FALSE)&amp;"R "))&amp;IF(ISNA(VLOOKUP($B344,TabAlgTutti,10,FALSE)),"",IF(VLOOKUP($B344,TabAlgTutti,10,FALSE)="","",VLOOKUP($B344,TabAlgTutti,10,FALSE)&amp;"P "))&amp;IF(ISNA(VLOOKUP($B344,TabAlgTutti,11,FALSE)),"",IF(VLOOKUP($B344,TabAlgTutti,11,FALSE)="","",VLOOKUP($B344,TabAlgTutti,11,FALSE)&amp;"A"))</f>
        <v/>
      </c>
      <c r="J344" s="63">
        <f ca="1">IF(ISNA(VLOOKUP($B344,TabAlgTutti,3,FALSE)),0,VLOOKUP($B344,TabAlgTutti,3,FALSE))+ROW()/100000</f>
        <v>8.5472228979856073</v>
      </c>
      <c r="K344" s="63">
        <f ca="1">IF(ISNA(VLOOKUP($B344,TabAlgTutti,4,FALSE)),0,VLOOKUP($B344,TabAlgTutti,4,FALSE))+ROW()/100000</f>
        <v>9.9015393870910859</v>
      </c>
      <c r="L344" s="63" t="e">
        <f ca="1">VLOOKUP(Tabella114[[#This Row],[Calciatore]],'Raccolta Aste'!$K$2:$O$33,4,FALSE)*Asta!$U$3/100</f>
        <v>#N/A</v>
      </c>
      <c r="N344" s="59">
        <f t="shared" si="129"/>
        <v>36</v>
      </c>
      <c r="O344" s="62" t="str">
        <f ca="1">IF(ISNUMBER(N344),INDIRECT("B" &amp; 310 + MATCH(N344,INDIRECT(ADDRESS(311,22+MATCH($P$28,'I.A. + Fasce'!$W$84:$AA$84,0),1,1) &amp; ":" &amp; ADDRESS(531,22+MATCH($P$28,'I.A. + Fasce'!$W$84:$AA$84,0),1,1)),0)),"")</f>
        <v>ILICIC</v>
      </c>
      <c r="P344" s="62" t="str">
        <f t="shared" ca="1" si="131"/>
        <v>Atalanta</v>
      </c>
      <c r="Q344" s="59">
        <f t="shared" si="130"/>
        <v>44</v>
      </c>
      <c r="R344" s="62" t="str">
        <f ca="1">IF(ISNUMBER(Q344),INDIRECT("B" &amp; 310 + MATCH(Q344,INDIRECT(ADDRESS(311,22+MATCH($P$28,'I.A. + Fasce'!$W$84:$AA$84,0),1,1) &amp; ":" &amp; ADDRESS(531,22+MATCH($P$28,'I.A. + Fasce'!$W$84:$AA$84,0),1,1)),0)),"")</f>
        <v>BERENGUER</v>
      </c>
      <c r="S344" s="62" t="str">
        <f t="shared" ca="1" si="132"/>
        <v>Torino</v>
      </c>
      <c r="W344" s="56">
        <f t="shared" ca="1" si="120"/>
        <v>44</v>
      </c>
      <c r="X344" s="56">
        <f t="shared" ca="1" si="121"/>
        <v>40</v>
      </c>
      <c r="Y344" s="56">
        <f t="shared" ca="1" si="122"/>
        <v>35</v>
      </c>
      <c r="Z344" s="56">
        <f t="shared" ca="1" si="123"/>
        <v>66</v>
      </c>
      <c r="AA344" s="56">
        <f t="shared" ca="1" si="124"/>
        <v>65</v>
      </c>
      <c r="AB344" s="56">
        <f ca="1">_xlfn.CEILING.MATH(INDIRECT(ADDRESS(311,22+MATCH($P$28,'I.A. + Fasce'!$W$84:$AA$84,0),1,1) &amp; ":" &amp; ADDRESS(531,22+MATCH($P$28,'I.A. + Fasce'!$W$84:$AA$84,0),1,1))/Asta!$H$3)</f>
        <v>5</v>
      </c>
    </row>
    <row r="345" spans="1:28" ht="14.25" customHeight="1">
      <c r="A345" s="239" t="str">
        <f ca="1">IF(Giocatori!J43="","C",Giocatori!J43)</f>
        <v>C</v>
      </c>
      <c r="B345" s="239" t="str">
        <f ca="1">IF(Giocatori!K43="","ZZZ" &amp; ROW(),Giocatori!K43)</f>
        <v>CICIRETTI</v>
      </c>
      <c r="C345" s="239" t="str">
        <f ca="1">IF(Giocatori!L43="","NDR" &amp; ROW(),Giocatori!L43)</f>
        <v>Benevento</v>
      </c>
      <c r="D345" s="63">
        <f ca="1">IF(ISNA(VLOOKUP($B345,TabAlgTutti,6,FALSE)),0,VLOOKUP($B345,TabAlgTutti,6,FALSE))+ROW()/100000</f>
        <v>77.003450000000001</v>
      </c>
      <c r="E345" s="63">
        <f ca="1">IF(ISNA(VLOOKUP($B345,TabAlgTutti,5,FALSE)),0,VLOOKUP($B345,TabAlgTutti,5,FALSE))+ROW()/100000</f>
        <v>43.003450000000001</v>
      </c>
      <c r="F345" s="64">
        <f ca="1">($D345*$P$8+$E345*(1+$E345*100/60/100)*$S$8)/100+ROW()/100000</f>
        <v>75.417705932520846</v>
      </c>
      <c r="G345" s="63" t="str">
        <f ca="1">IF(ISNA(VLOOKUP($B345,TabAlgTutti,7,FALSE)),"",IF(VLOOKUP($B345,TabAlgTutti,7,FALSE)=-1,"SCONSIGLIATO",IF(VLOOKUP($B345,TabAlgTutti,7,FALSE)=0,"SORPRESA",IF(VLOOKUP($B345,TabAlgTutti,7,FALSE)=1,"CONSIGLIATO",""))))</f>
        <v>CONSIGLIATO</v>
      </c>
      <c r="H345" s="65">
        <f ca="1">IF(ISNA(VLOOKUP($B345,TabAlgTutti,8,FALSE)),"",VLOOKUP($B345,TabAlgTutti,8,FALSE))</f>
        <v>90</v>
      </c>
      <c r="I345" s="63" t="str">
        <f ca="1">IF(ISNA(VLOOKUP($B345,TabAlgTutti,9,FALSE)),"",IF(VLOOKUP($B345,TabAlgTutti,9,FALSE)="","",VLOOKUP($B345,TabAlgTutti,9,FALSE)&amp;"R "))&amp;IF(ISNA(VLOOKUP($B345,TabAlgTutti,10,FALSE)),"",IF(VLOOKUP($B345,TabAlgTutti,10,FALSE)="","",VLOOKUP($B345,TabAlgTutti,10,FALSE)&amp;"P "))&amp;IF(ISNA(VLOOKUP($B345,TabAlgTutti,11,FALSE)),"",IF(VLOOKUP($B345,TabAlgTutti,11,FALSE)="","",VLOOKUP($B345,TabAlgTutti,11,FALSE)&amp;"A"))</f>
        <v>1P 2A</v>
      </c>
      <c r="J345" s="63">
        <f ca="1">IF(ISNA(VLOOKUP($B345,TabAlgTutti,3,FALSE)),0,VLOOKUP($B345,TabAlgTutti,3,FALSE))+ROW()/100000</f>
        <v>1.00345</v>
      </c>
      <c r="K345" s="63">
        <f ca="1">IF(ISNA(VLOOKUP($B345,TabAlgTutti,4,FALSE)),0,VLOOKUP($B345,TabAlgTutti,4,FALSE))+ROW()/100000</f>
        <v>1.00345</v>
      </c>
      <c r="L345" s="63" t="e">
        <f ca="1">VLOOKUP(Tabella114[[#This Row],[Calciatore]],'Raccolta Aste'!$K$2:$O$33,4,FALSE)*Asta!$U$3/100</f>
        <v>#N/A</v>
      </c>
      <c r="N345" s="59">
        <f t="shared" si="129"/>
        <v>37</v>
      </c>
      <c r="O345" s="62" t="str">
        <f ca="1">IF(ISNUMBER(N345),INDIRECT("B" &amp; 310 + MATCH(N345,INDIRECT(ADDRESS(311,22+MATCH($P$28,'I.A. + Fasce'!$W$84:$AA$84,0),1,1) &amp; ":" &amp; ADDRESS(531,22+MATCH($P$28,'I.A. + Fasce'!$W$84:$AA$84,0),1,1)),0)),"")</f>
        <v>CASTRO</v>
      </c>
      <c r="P345" s="62" t="str">
        <f t="shared" ca="1" si="131"/>
        <v>Chievo</v>
      </c>
      <c r="Q345" s="59">
        <f t="shared" si="130"/>
        <v>45</v>
      </c>
      <c r="R345" s="62" t="str">
        <f ca="1">IF(ISNUMBER(Q345),INDIRECT("B" &amp; 310 + MATCH(Q345,INDIRECT(ADDRESS(311,22+MATCH($P$28,'I.A. + Fasce'!$W$84:$AA$84,0),1,1) &amp; ":" &amp; ADDRESS(531,22+MATCH($P$28,'I.A. + Fasce'!$W$84:$AA$84,0),1,1)),0)),"")</f>
        <v>GIL DIAS</v>
      </c>
      <c r="S345" s="62" t="str">
        <f t="shared" ca="1" si="132"/>
        <v>Fiorentina</v>
      </c>
      <c r="W345" s="56">
        <f t="shared" ca="1" si="120"/>
        <v>43</v>
      </c>
      <c r="X345" s="56">
        <f t="shared" ca="1" si="121"/>
        <v>39</v>
      </c>
      <c r="Y345" s="56">
        <f t="shared" ca="1" si="122"/>
        <v>34</v>
      </c>
      <c r="Z345" s="56">
        <f t="shared" ca="1" si="123"/>
        <v>175</v>
      </c>
      <c r="AA345" s="56">
        <f t="shared" ca="1" si="124"/>
        <v>175</v>
      </c>
      <c r="AB345" s="56">
        <f ca="1">_xlfn.CEILING.MATH(INDIRECT(ADDRESS(311,22+MATCH($P$28,'I.A. + Fasce'!$W$84:$AA$84,0),1,1) &amp; ":" &amp; ADDRESS(531,22+MATCH($P$28,'I.A. + Fasce'!$W$84:$AA$84,0),1,1))/Asta!$H$3)</f>
        <v>5</v>
      </c>
    </row>
    <row r="346" spans="1:28" ht="14.25" customHeight="1">
      <c r="A346" s="239" t="str">
        <f ca="1">IF(Giocatori!J92="","C",Giocatori!J92)</f>
        <v>C</v>
      </c>
      <c r="B346" s="239" t="str">
        <f ca="1">IF(Giocatori!K92="","ZZZ" &amp; ROW(),Giocatori!K92)</f>
        <v>ILICIC</v>
      </c>
      <c r="C346" s="239" t="str">
        <f ca="1">IF(Giocatori!L92="","NDR" &amp; ROW(),Giocatori!L92)</f>
        <v>Atalanta</v>
      </c>
      <c r="D346" s="63">
        <f ca="1">IF(ISNA(VLOOKUP($B346,TabAlgTutti,6,FALSE)),0,VLOOKUP($B346,TabAlgTutti,6,FALSE))+ROW()/100000</f>
        <v>79.003460000000004</v>
      </c>
      <c r="E346" s="63">
        <f ca="1">IF(ISNA(VLOOKUP($B346,TabAlgTutti,5,FALSE)),0,VLOOKUP($B346,TabAlgTutti,5,FALSE))+ROW()/100000</f>
        <v>42.003459999999997</v>
      </c>
      <c r="F346" s="64">
        <f ca="1">($D346*$P$8+$E346*(1+$E346*100/60/100)*$S$8)/100+ROW()/100000</f>
        <v>75.209342099763333</v>
      </c>
      <c r="G346" s="63" t="str">
        <f ca="1">IF(ISNA(VLOOKUP($B346,TabAlgTutti,7,FALSE)),"",IF(VLOOKUP($B346,TabAlgTutti,7,FALSE)=-1,"SCONSIGLIATO",IF(VLOOKUP($B346,TabAlgTutti,7,FALSE)=0,"SORPRESA",IF(VLOOKUP($B346,TabAlgTutti,7,FALSE)=1,"CONSIGLIATO",""))))</f>
        <v/>
      </c>
      <c r="H346" s="65">
        <f ca="1">IF(ISNA(VLOOKUP($B346,TabAlgTutti,8,FALSE)),"",VLOOKUP($B346,TabAlgTutti,8,FALSE))</f>
        <v>60</v>
      </c>
      <c r="I346" s="63" t="str">
        <f ca="1">IF(ISNA(VLOOKUP($B346,TabAlgTutti,9,FALSE)),"",IF(VLOOKUP($B346,TabAlgTutti,9,FALSE)="","",VLOOKUP($B346,TabAlgTutti,9,FALSE)&amp;"R "))&amp;IF(ISNA(VLOOKUP($B346,TabAlgTutti,10,FALSE)),"",IF(VLOOKUP($B346,TabAlgTutti,10,FALSE)="","",VLOOKUP($B346,TabAlgTutti,10,FALSE)&amp;"P "))&amp;IF(ISNA(VLOOKUP($B346,TabAlgTutti,11,FALSE)),"",IF(VLOOKUP($B346,TabAlgTutti,11,FALSE)="","",VLOOKUP($B346,TabAlgTutti,11,FALSE)&amp;"A"))</f>
        <v xml:space="preserve">1R 1P </v>
      </c>
      <c r="J346" s="63">
        <f ca="1">IF(ISNA(VLOOKUP($B346,TabAlgTutti,3,FALSE)),0,VLOOKUP($B346,TabAlgTutti,3,FALSE))+ROW()/100000</f>
        <v>18.325557570075699</v>
      </c>
      <c r="K346" s="63">
        <f ca="1">IF(ISNA(VLOOKUP($B346,TabAlgTutti,4,FALSE)),0,VLOOKUP($B346,TabAlgTutti,4,FALSE))+ROW()/100000</f>
        <v>19.394474998818918</v>
      </c>
      <c r="L346" s="63" t="e">
        <f ca="1">VLOOKUP(Tabella114[[#This Row],[Calciatore]],'Raccolta Aste'!$K$2:$O$33,4,FALSE)*Asta!$U$3/100</f>
        <v>#N/A</v>
      </c>
      <c r="N346" s="59">
        <f t="shared" si="129"/>
        <v>38</v>
      </c>
      <c r="O346" s="62" t="str">
        <f ca="1">IF(ISNUMBER(N346),INDIRECT("B" &amp; 310 + MATCH(N346,INDIRECT(ADDRESS(311,22+MATCH($P$28,'I.A. + Fasce'!$W$84:$AA$84,0),1,1) &amp; ":" &amp; ADDRESS(531,22+MATCH($P$28,'I.A. + Fasce'!$W$84:$AA$84,0),1,1)),0)),"")</f>
        <v>ALLAN</v>
      </c>
      <c r="P346" s="62" t="str">
        <f t="shared" ca="1" si="131"/>
        <v>Napoli</v>
      </c>
      <c r="Q346" s="59">
        <f t="shared" si="130"/>
        <v>46</v>
      </c>
      <c r="R346" s="62" t="str">
        <f ca="1">IF(ISNUMBER(Q346),INDIRECT("B" &amp; 310 + MATCH(Q346,INDIRECT(ADDRESS(311,22+MATCH($P$28,'I.A. + Fasce'!$W$84:$AA$84,0),1,1) &amp; ":" &amp; ADDRESS(531,22+MATCH($P$28,'I.A. + Fasce'!$W$84:$AA$84,0),1,1)),0)),"")</f>
        <v>JORGINHO</v>
      </c>
      <c r="S346" s="62" t="str">
        <f t="shared" ca="1" si="132"/>
        <v>Napoli</v>
      </c>
      <c r="W346" s="56">
        <f t="shared" ca="1" si="120"/>
        <v>31</v>
      </c>
      <c r="X346" s="56">
        <f t="shared" ca="1" si="121"/>
        <v>56</v>
      </c>
      <c r="Y346" s="56">
        <f t="shared" ca="1" si="122"/>
        <v>36</v>
      </c>
      <c r="Z346" s="56">
        <f t="shared" ca="1" si="123"/>
        <v>41</v>
      </c>
      <c r="AA346" s="56">
        <f t="shared" ca="1" si="124"/>
        <v>41</v>
      </c>
      <c r="AB346" s="56">
        <f ca="1">_xlfn.CEILING.MATH(INDIRECT(ADDRESS(311,22+MATCH($P$28,'I.A. + Fasce'!$W$84:$AA$84,0),1,1) &amp; ":" &amp; ADDRESS(531,22+MATCH($P$28,'I.A. + Fasce'!$W$84:$AA$84,0),1,1))/Asta!$H$3)</f>
        <v>5</v>
      </c>
    </row>
    <row r="347" spans="1:28" ht="14.25" customHeight="1">
      <c r="A347" s="239" t="str">
        <f ca="1">IF(Giocatori!J39="","C",Giocatori!J39)</f>
        <v>C</v>
      </c>
      <c r="B347" s="239" t="str">
        <f ca="1">IF(Giocatori!K39="","ZZZ" &amp; ROW(),Giocatori!K39)</f>
        <v>CASTRO</v>
      </c>
      <c r="C347" s="239" t="str">
        <f ca="1">IF(Giocatori!L39="","NDR" &amp; ROW(),Giocatori!L39)</f>
        <v>Chievo</v>
      </c>
      <c r="D347" s="63">
        <f ca="1">IF(ISNA(VLOOKUP($B347,TabAlgTutti,6,FALSE)),0,VLOOKUP($B347,TabAlgTutti,6,FALSE))+ROW()/100000</f>
        <v>76.003469999999993</v>
      </c>
      <c r="E347" s="63">
        <f ca="1">IF(ISNA(VLOOKUP($B347,TabAlgTutti,5,FALSE)),0,VLOOKUP($B347,TabAlgTutti,5,FALSE))+ROW()/100000</f>
        <v>43.00347</v>
      </c>
      <c r="F347" s="64">
        <f ca="1">($D347*$P$8+$E347*(1+$E347*100/60/100)*$S$8)/100+ROW()/100000</f>
        <v>74.91776026700748</v>
      </c>
      <c r="G347" s="63" t="str">
        <f ca="1">IF(ISNA(VLOOKUP($B347,TabAlgTutti,7,FALSE)),"",IF(VLOOKUP($B347,TabAlgTutti,7,FALSE)=-1,"SCONSIGLIATO",IF(VLOOKUP($B347,TabAlgTutti,7,FALSE)=0,"SORPRESA",IF(VLOOKUP($B347,TabAlgTutti,7,FALSE)=1,"CONSIGLIATO",""))))</f>
        <v>CONSIGLIATO</v>
      </c>
      <c r="H347" s="65">
        <f ca="1">IF(ISNA(VLOOKUP($B347,TabAlgTutti,8,FALSE)),"",VLOOKUP($B347,TabAlgTutti,8,FALSE))</f>
        <v>90</v>
      </c>
      <c r="I347" s="63" t="str">
        <f ca="1">IF(ISNA(VLOOKUP($B347,TabAlgTutti,9,FALSE)),"",IF(VLOOKUP($B347,TabAlgTutti,9,FALSE)="","",VLOOKUP($B347,TabAlgTutti,9,FALSE)&amp;"R "))&amp;IF(ISNA(VLOOKUP($B347,TabAlgTutti,10,FALSE)),"",IF(VLOOKUP($B347,TabAlgTutti,10,FALSE)="","",VLOOKUP($B347,TabAlgTutti,10,FALSE)&amp;"P "))&amp;IF(ISNA(VLOOKUP($B347,TabAlgTutti,11,FALSE)),"",IF(VLOOKUP($B347,TabAlgTutti,11,FALSE)="","",VLOOKUP($B347,TabAlgTutti,11,FALSE)&amp;"A"))</f>
        <v>2A</v>
      </c>
      <c r="J347" s="63">
        <f ca="1">IF(ISNA(VLOOKUP($B347,TabAlgTutti,3,FALSE)),0,VLOOKUP($B347,TabAlgTutti,3,FALSE))+ROW()/100000</f>
        <v>5.7989108284348632</v>
      </c>
      <c r="K347" s="63">
        <f ca="1">IF(ISNA(VLOOKUP($B347,TabAlgTutti,4,FALSE)),0,VLOOKUP($B347,TabAlgTutti,4,FALSE))+ROW()/100000</f>
        <v>6.2500532035172185</v>
      </c>
      <c r="L347" s="63" t="e">
        <f ca="1">VLOOKUP(Tabella114[[#This Row],[Calciatore]],'Raccolta Aste'!$K$2:$O$33,4,FALSE)*Asta!$U$3/100</f>
        <v>#N/A</v>
      </c>
      <c r="N347" s="59">
        <f t="shared" si="129"/>
        <v>39</v>
      </c>
      <c r="O347" s="62" t="str">
        <f ca="1">IF(ISNUMBER(N347),INDIRECT("B" &amp; 310 + MATCH(N347,INDIRECT(ADDRESS(311,22+MATCH($P$28,'I.A. + Fasce'!$W$84:$AA$84,0),1,1) &amp; ":" &amp; ADDRESS(531,22+MATCH($P$28,'I.A. + Fasce'!$W$84:$AA$84,0),1,1)),0)),"")</f>
        <v>BERTOLACCI</v>
      </c>
      <c r="P347" s="62" t="str">
        <f t="shared" ca="1" si="131"/>
        <v>Genoa</v>
      </c>
      <c r="Q347" s="59">
        <f t="shared" si="130"/>
        <v>47</v>
      </c>
      <c r="R347" s="62" t="str">
        <f ca="1">IF(ISNUMBER(Q347),INDIRECT("B" &amp; 310 + MATCH(Q347,INDIRECT(ADDRESS(311,22+MATCH($P$28,'I.A. + Fasce'!$W$84:$AA$84,0),1,1) &amp; ":" &amp; ADDRESS(531,22+MATCH($P$28,'I.A. + Fasce'!$W$84:$AA$84,0),1,1)),0)),"")</f>
        <v>BIGLIA</v>
      </c>
      <c r="S347" s="62" t="str">
        <f t="shared" ca="1" si="132"/>
        <v>Milan</v>
      </c>
      <c r="W347" s="56">
        <f t="shared" ca="1" si="120"/>
        <v>52</v>
      </c>
      <c r="X347" s="56">
        <f t="shared" ca="1" si="121"/>
        <v>38</v>
      </c>
      <c r="Y347" s="56">
        <f t="shared" ca="1" si="122"/>
        <v>37</v>
      </c>
      <c r="Z347" s="56">
        <f t="shared" ca="1" si="123"/>
        <v>71</v>
      </c>
      <c r="AA347" s="56">
        <f t="shared" ca="1" si="124"/>
        <v>72</v>
      </c>
      <c r="AB347" s="56">
        <f ca="1">_xlfn.CEILING.MATH(INDIRECT(ADDRESS(311,22+MATCH($P$28,'I.A. + Fasce'!$W$84:$AA$84,0),1,1) &amp; ":" &amp; ADDRESS(531,22+MATCH($P$28,'I.A. + Fasce'!$W$84:$AA$84,0),1,1))/Asta!$H$3)</f>
        <v>5</v>
      </c>
    </row>
    <row r="348" spans="1:28" ht="14.25" customHeight="1">
      <c r="A348" s="239" t="str">
        <f ca="1">IF(Giocatori!J10="","C",Giocatori!J10)</f>
        <v>C</v>
      </c>
      <c r="B348" s="239" t="str">
        <f ca="1">IF(Giocatori!K10="","ZZZ" &amp; ROW(),Giocatori!K10)</f>
        <v>ALLAN</v>
      </c>
      <c r="C348" s="239" t="str">
        <f ca="1">IF(Giocatori!L10="","NDR" &amp; ROW(),Giocatori!L10)</f>
        <v>Napoli</v>
      </c>
      <c r="D348" s="63">
        <f ca="1">IF(ISNA(VLOOKUP($B348,TabAlgTutti,6,FALSE)),0,VLOOKUP($B348,TabAlgTutti,6,FALSE))+ROW()/100000</f>
        <v>73.003479999999996</v>
      </c>
      <c r="E348" s="63">
        <f ca="1">IF(ISNA(VLOOKUP($B348,TabAlgTutti,5,FALSE)),0,VLOOKUP($B348,TabAlgTutti,5,FALSE))+ROW()/100000</f>
        <v>44.003480000000003</v>
      </c>
      <c r="F348" s="64">
        <f ca="1">($D348*$P$8+$E348*(1+$E348*100/60/100)*$S$8)/100+ROW()/100000</f>
        <v>74.642845434253331</v>
      </c>
      <c r="G348" s="63" t="str">
        <f ca="1">IF(ISNA(VLOOKUP($B348,TabAlgTutti,7,FALSE)),"",IF(VLOOKUP($B348,TabAlgTutti,7,FALSE)=-1,"SCONSIGLIATO",IF(VLOOKUP($B348,TabAlgTutti,7,FALSE)=0,"SORPRESA",IF(VLOOKUP($B348,TabAlgTutti,7,FALSE)=1,"CONSIGLIATO",""))))</f>
        <v/>
      </c>
      <c r="H348" s="65">
        <f ca="1">IF(ISNA(VLOOKUP($B348,TabAlgTutti,8,FALSE)),"",VLOOKUP($B348,TabAlgTutti,8,FALSE))</f>
        <v>70</v>
      </c>
      <c r="I348" s="63" t="str">
        <f ca="1">IF(ISNA(VLOOKUP($B348,TabAlgTutti,9,FALSE)),"",IF(VLOOKUP($B348,TabAlgTutti,9,FALSE)="","",VLOOKUP($B348,TabAlgTutti,9,FALSE)&amp;"R "))&amp;IF(ISNA(VLOOKUP($B348,TabAlgTutti,10,FALSE)),"",IF(VLOOKUP($B348,TabAlgTutti,10,FALSE)="","",VLOOKUP($B348,TabAlgTutti,10,FALSE)&amp;"P "))&amp;IF(ISNA(VLOOKUP($B348,TabAlgTutti,11,FALSE)),"",IF(VLOOKUP($B348,TabAlgTutti,11,FALSE)="","",VLOOKUP($B348,TabAlgTutti,11,FALSE)&amp;"A"))</f>
        <v/>
      </c>
      <c r="J348" s="63">
        <f ca="1">IF(ISNA(VLOOKUP($B348,TabAlgTutti,3,FALSE)),0,VLOOKUP($B348,TabAlgTutti,3,FALSE))+ROW()/100000</f>
        <v>41.168530496921953</v>
      </c>
      <c r="K348" s="63">
        <f ca="1">IF(ISNA(VLOOKUP($B348,TabAlgTutti,4,FALSE)),0,VLOOKUP($B348,TabAlgTutti,4,FALSE))+ROW()/100000</f>
        <v>40.130450009327014</v>
      </c>
      <c r="L348" s="63">
        <f ca="1">VLOOKUP(Tabella114[[#This Row],[Calciatore]],'Raccolta Aste'!$K$2:$O$33,4,FALSE)*Asta!$U$3/100</f>
        <v>0</v>
      </c>
      <c r="N348" s="59">
        <f t="shared" si="129"/>
        <v>40</v>
      </c>
      <c r="O348" s="62" t="str">
        <f ca="1">IF(ISNUMBER(N348),INDIRECT("B" &amp; 310 + MATCH(N348,INDIRECT(ADDRESS(311,22+MATCH($P$28,'I.A. + Fasce'!$W$84:$AA$84,0),1,1) &amp; ":" &amp; ADDRESS(531,22+MATCH($P$28,'I.A. + Fasce'!$W$84:$AA$84,0),1,1)),0)),"")</f>
        <v>JOAO MARIO</v>
      </c>
      <c r="P348" s="62" t="str">
        <f t="shared" ca="1" si="131"/>
        <v>Inter</v>
      </c>
      <c r="Q348" s="59">
        <f t="shared" si="130"/>
        <v>48</v>
      </c>
      <c r="R348" s="62" t="str">
        <f ca="1">IF(ISNUMBER(Q348),INDIRECT("B" &amp; 310 + MATCH(Q348,INDIRECT(ADDRESS(311,22+MATCH($P$28,'I.A. + Fasce'!$W$84:$AA$84,0),1,1) &amp; ":" &amp; ADDRESS(531,22+MATCH($P$28,'I.A. + Fasce'!$W$84:$AA$84,0),1,1)),0)),"")</f>
        <v>KURTIC</v>
      </c>
      <c r="S348" s="62" t="str">
        <f t="shared" ca="1" si="132"/>
        <v>Atalanta</v>
      </c>
      <c r="W348" s="56">
        <f t="shared" ca="1" si="120"/>
        <v>76</v>
      </c>
      <c r="X348" s="56">
        <f t="shared" ca="1" si="121"/>
        <v>24</v>
      </c>
      <c r="Y348" s="56">
        <f t="shared" ca="1" si="122"/>
        <v>38</v>
      </c>
      <c r="Z348" s="56">
        <f t="shared" ca="1" si="123"/>
        <v>9</v>
      </c>
      <c r="AA348" s="56">
        <f t="shared" ca="1" si="124"/>
        <v>9</v>
      </c>
      <c r="AB348" s="56">
        <f ca="1">_xlfn.CEILING.MATH(INDIRECT(ADDRESS(311,22+MATCH($P$28,'I.A. + Fasce'!$W$84:$AA$84,0),1,1) &amp; ":" &amp; ADDRESS(531,22+MATCH($P$28,'I.A. + Fasce'!$W$84:$AA$84,0),1,1))/Asta!$H$3)</f>
        <v>5</v>
      </c>
    </row>
    <row r="349" spans="1:28" ht="14.25" customHeight="1">
      <c r="A349" s="239" t="str">
        <f ca="1">IF(Giocatori!J223="","C",Giocatori!J223)</f>
        <v>C</v>
      </c>
      <c r="B349" s="239" t="str">
        <f ca="1">IF(Giocatori!K172="","ZZZ" &amp; ROW(),Giocatori!K172)</f>
        <v>VECINO</v>
      </c>
      <c r="C349" s="239" t="str">
        <f ca="1">IF(Giocatori!L172="","NDR" &amp; ROW(),Giocatori!L172)</f>
        <v>Inter</v>
      </c>
      <c r="D349" s="63">
        <f ca="1">IF(ISNA(VLOOKUP($B349,TabAlgTutti,6,FALSE)),0,VLOOKUP($B349,TabAlgTutti,6,FALSE))+ROW()/100000</f>
        <v>75.003489999999999</v>
      </c>
      <c r="E349" s="63">
        <f ca="1">IF(ISNA(VLOOKUP($B349,TabAlgTutti,5,FALSE)),0,VLOOKUP($B349,TabAlgTutti,5,FALSE))+ROW()/100000</f>
        <v>43.003489999999999</v>
      </c>
      <c r="F349" s="64">
        <f ca="1">($D349*$P$8+$E349*(1+$E349*100/60/100)*$S$8)/100+ROW()/100000</f>
        <v>74.417814601500822</v>
      </c>
      <c r="G349" s="63" t="str">
        <f ca="1">IF(ISNA(VLOOKUP($B349,TabAlgTutti,7,FALSE)),"",IF(VLOOKUP($B349,TabAlgTutti,7,FALSE)=-1,"SCONSIGLIATO",IF(VLOOKUP($B349,TabAlgTutti,7,FALSE)=0,"SORPRESA",IF(VLOOKUP($B349,TabAlgTutti,7,FALSE)=1,"CONSIGLIATO",""))))</f>
        <v>SORPRESA</v>
      </c>
      <c r="H349" s="65">
        <f ca="1">IF(ISNA(VLOOKUP($B349,TabAlgTutti,8,FALSE)),"",VLOOKUP($B349,TabAlgTutti,8,FALSE))</f>
        <v>80</v>
      </c>
      <c r="I349" s="63" t="str">
        <f ca="1">IF(ISNA(VLOOKUP($B349,TabAlgTutti,9,FALSE)),"",IF(VLOOKUP($B349,TabAlgTutti,9,FALSE)="","",VLOOKUP($B349,TabAlgTutti,9,FALSE)&amp;"R "))&amp;IF(ISNA(VLOOKUP($B349,TabAlgTutti,10,FALSE)),"",IF(VLOOKUP($B349,TabAlgTutti,10,FALSE)="","",VLOOKUP($B349,TabAlgTutti,10,FALSE)&amp;"P "))&amp;IF(ISNA(VLOOKUP($B349,TabAlgTutti,11,FALSE)),"",IF(VLOOKUP($B349,TabAlgTutti,11,FALSE)="","",VLOOKUP($B349,TabAlgTutti,11,FALSE)&amp;"A"))</f>
        <v/>
      </c>
      <c r="J349" s="63">
        <f ca="1">IF(ISNA(VLOOKUP($B349,TabAlgTutti,3,FALSE)),0,VLOOKUP($B349,TabAlgTutti,3,FALSE))+ROW()/100000</f>
        <v>24.95557187780512</v>
      </c>
      <c r="K349" s="63">
        <f ca="1">IF(ISNA(VLOOKUP($B349,TabAlgTutti,4,FALSE)),0,VLOOKUP($B349,TabAlgTutti,4,FALSE))+ROW()/100000</f>
        <v>24.301820763502036</v>
      </c>
      <c r="L349" s="63">
        <f ca="1">VLOOKUP(Tabella114[[#This Row],[Calciatore]],'Raccolta Aste'!$K$2:$O$33,4,FALSE)*Asta!$U$3/100</f>
        <v>0</v>
      </c>
      <c r="N349" s="59" t="str">
        <f t="shared" si="129"/>
        <v/>
      </c>
      <c r="O349" s="62" t="str">
        <f ca="1">IF(ISNUMBER(N349),INDIRECT("B" &amp; 310 + MATCH(N349,INDIRECT(ADDRESS(311,22+MATCH($P$28,'I.A. + Fasce'!$W$84:$AA$84,0),1,1) &amp; ":" &amp; ADDRESS(531,22+MATCH($P$28,'I.A. + Fasce'!$W$84:$AA$84,0),1,1)),0)),"")</f>
        <v/>
      </c>
      <c r="P349" s="62" t="str">
        <f t="shared" ca="1" si="131"/>
        <v/>
      </c>
      <c r="Q349" s="59" t="str">
        <f t="shared" si="130"/>
        <v/>
      </c>
      <c r="R349" s="62" t="str">
        <f ca="1">IF(ISNUMBER(Q349),INDIRECT("B" &amp; 310 + MATCH(Q349,INDIRECT(ADDRESS(311,22+MATCH($P$28,'I.A. + Fasce'!$W$84:$AA$84,0),1,1) &amp; ":" &amp; ADDRESS(531,22+MATCH($P$28,'I.A. + Fasce'!$W$84:$AA$84,0),1,1)),0)),"")</f>
        <v/>
      </c>
      <c r="S349" s="62" t="str">
        <f t="shared" ca="1" si="132"/>
        <v/>
      </c>
      <c r="W349" s="56">
        <f t="shared" ca="1" si="120"/>
        <v>63</v>
      </c>
      <c r="X349" s="56">
        <f t="shared" ca="1" si="121"/>
        <v>37</v>
      </c>
      <c r="Y349" s="56">
        <f t="shared" ca="1" si="122"/>
        <v>43</v>
      </c>
      <c r="Z349" s="56">
        <f t="shared" ca="1" si="123"/>
        <v>31</v>
      </c>
      <c r="AA349" s="56">
        <f t="shared" ca="1" si="124"/>
        <v>33</v>
      </c>
      <c r="AB349" s="56">
        <f ca="1">_xlfn.CEILING.MATH(INDIRECT(ADDRESS(311,22+MATCH($P$28,'I.A. + Fasce'!$W$84:$AA$84,0),1,1) &amp; ":" &amp; ADDRESS(531,22+MATCH($P$28,'I.A. + Fasce'!$W$84:$AA$84,0),1,1))/Asta!$H$3)</f>
        <v>6</v>
      </c>
    </row>
    <row r="350" spans="1:28" ht="14.25" customHeight="1">
      <c r="A350" s="239" t="str">
        <f ca="1">IF(Giocatori!J218="","C",Giocatori!J218)</f>
        <v>C</v>
      </c>
      <c r="B350" s="239" t="str">
        <f ca="1">IF(Giocatori!K167="","ZZZ" &amp; ROW(),Giocatori!K167)</f>
        <v>TORREIRA</v>
      </c>
      <c r="C350" s="239" t="str">
        <f ca="1">IF(Giocatori!L167="","NDR" &amp; ROW(),Giocatori!L167)</f>
        <v>Sampdoria</v>
      </c>
      <c r="D350" s="63">
        <f ca="1">IF(ISNA(VLOOKUP($B350,TabAlgTutti,6,FALSE)),0,VLOOKUP($B350,TabAlgTutti,6,FALSE))+ROW()/100000</f>
        <v>75.003500000000003</v>
      </c>
      <c r="E350" s="63">
        <f ca="1">IF(ISNA(VLOOKUP($B350,TabAlgTutti,5,FALSE)),0,VLOOKUP($B350,TabAlgTutti,5,FALSE))+ROW()/100000</f>
        <v>43.003500000000003</v>
      </c>
      <c r="F350" s="64">
        <f ca="1">($D350*$P$8+$E350*(1+$E350*100/60/100)*$S$8)/100+ROW()/100000</f>
        <v>74.417841768750009</v>
      </c>
      <c r="G350" s="63" t="str">
        <f ca="1">IF(ISNA(VLOOKUP($B350,TabAlgTutti,7,FALSE)),"",IF(VLOOKUP($B350,TabAlgTutti,7,FALSE)=-1,"SCONSIGLIATO",IF(VLOOKUP($B350,TabAlgTutti,7,FALSE)=0,"SORPRESA",IF(VLOOKUP($B350,TabAlgTutti,7,FALSE)=1,"CONSIGLIATO",""))))</f>
        <v/>
      </c>
      <c r="H350" s="65">
        <f ca="1">IF(ISNA(VLOOKUP($B350,TabAlgTutti,8,FALSE)),"",VLOOKUP($B350,TabAlgTutti,8,FALSE))</f>
        <v>90</v>
      </c>
      <c r="I350" s="63" t="str">
        <f ca="1">IF(ISNA(VLOOKUP($B350,TabAlgTutti,9,FALSE)),"",IF(VLOOKUP($B350,TabAlgTutti,9,FALSE)="","",VLOOKUP($B350,TabAlgTutti,9,FALSE)&amp;"R "))&amp;IF(ISNA(VLOOKUP($B350,TabAlgTutti,10,FALSE)),"",IF(VLOOKUP($B350,TabAlgTutti,10,FALSE)="","",VLOOKUP($B350,TabAlgTutti,10,FALSE)&amp;"P "))&amp;IF(ISNA(VLOOKUP($B350,TabAlgTutti,11,FALSE)),"",IF(VLOOKUP($B350,TabAlgTutti,11,FALSE)="","",VLOOKUP($B350,TabAlgTutti,11,FALSE)&amp;"A"))</f>
        <v>3P 2A</v>
      </c>
      <c r="J350" s="63">
        <f ca="1">IF(ISNA(VLOOKUP($B350,TabAlgTutti,3,FALSE)),0,VLOOKUP($B350,TabAlgTutti,3,FALSE))+ROW()/100000</f>
        <v>12.615750944645439</v>
      </c>
      <c r="K350" s="63">
        <f ca="1">IF(ISNA(VLOOKUP($B350,TabAlgTutti,4,FALSE)),0,VLOOKUP($B350,TabAlgTutti,4,FALSE))+ROW()/100000</f>
        <v>12.286781211396244</v>
      </c>
      <c r="L350" s="63" t="e">
        <f ca="1">VLOOKUP(Tabella114[[#This Row],[Calciatore]],'Raccolta Aste'!$K$2:$O$33,4,FALSE)*Asta!$U$3/100</f>
        <v>#N/A</v>
      </c>
      <c r="N350" s="59" t="str">
        <f t="shared" si="129"/>
        <v/>
      </c>
      <c r="O350" s="62" t="str">
        <f ca="1">IF(ISNUMBER(N350),INDIRECT("B" &amp; 310 + MATCH(N350,INDIRECT(ADDRESS(311,22+MATCH($P$28,'I.A. + Fasce'!$W$84:$AA$84,0),1,1) &amp; ":" &amp; ADDRESS(531,22+MATCH($P$28,'I.A. + Fasce'!$W$84:$AA$84,0),1,1)),0)),"")</f>
        <v/>
      </c>
      <c r="P350" s="62" t="str">
        <f t="shared" ca="1" si="131"/>
        <v/>
      </c>
      <c r="Q350" s="59" t="str">
        <f t="shared" si="130"/>
        <v/>
      </c>
      <c r="R350" s="62" t="str">
        <f ca="1">IF(ISNUMBER(Q350),INDIRECT("B" &amp; 310 + MATCH(Q350,INDIRECT(ADDRESS(311,22+MATCH($P$28,'I.A. + Fasce'!$W$84:$AA$84,0),1,1) &amp; ":" &amp; ADDRESS(531,22+MATCH($P$28,'I.A. + Fasce'!$W$84:$AA$84,0),1,1)),0)),"")</f>
        <v/>
      </c>
      <c r="S350" s="62" t="str">
        <f t="shared" ca="1" si="132"/>
        <v/>
      </c>
      <c r="W350" s="56">
        <f t="shared" ca="1" si="120"/>
        <v>62</v>
      </c>
      <c r="X350" s="56">
        <f t="shared" ca="1" si="121"/>
        <v>36</v>
      </c>
      <c r="Y350" s="56">
        <f t="shared" ca="1" si="122"/>
        <v>42</v>
      </c>
      <c r="Z350" s="56">
        <f t="shared" ca="1" si="123"/>
        <v>56</v>
      </c>
      <c r="AA350" s="56">
        <f t="shared" ca="1" si="124"/>
        <v>57</v>
      </c>
      <c r="AB350" s="56">
        <f ca="1">_xlfn.CEILING.MATH(INDIRECT(ADDRESS(311,22+MATCH($P$28,'I.A. + Fasce'!$W$84:$AA$84,0),1,1) &amp; ":" &amp; ADDRESS(531,22+MATCH($P$28,'I.A. + Fasce'!$W$84:$AA$84,0),1,1))/Asta!$H$3)</f>
        <v>6</v>
      </c>
    </row>
    <row r="351" spans="1:28" ht="14.25" customHeight="1">
      <c r="A351" s="239" t="str">
        <f ca="1">IF(Giocatori!J107="","C",Giocatori!J107)</f>
        <v>C</v>
      </c>
      <c r="B351" s="239" t="str">
        <f ca="1">IF(Giocatori!K107="","ZZZ" &amp; ROW(),Giocatori!K107)</f>
        <v>LAXALT</v>
      </c>
      <c r="C351" s="239" t="str">
        <f ca="1">IF(Giocatori!L107="","NDR" &amp; ROW(),Giocatori!L107)</f>
        <v>Genoa</v>
      </c>
      <c r="D351" s="63">
        <f ca="1">IF(ISNA(VLOOKUP($B351,TabAlgTutti,6,FALSE)),0,VLOOKUP($B351,TabAlgTutti,6,FALSE))+ROW()/100000</f>
        <v>75.003510000000006</v>
      </c>
      <c r="E351" s="63">
        <f ca="1">IF(ISNA(VLOOKUP($B351,TabAlgTutti,5,FALSE)),0,VLOOKUP($B351,TabAlgTutti,5,FALSE))+ROW()/100000</f>
        <v>43.003509999999999</v>
      </c>
      <c r="F351" s="64">
        <f ca="1">($D351*$P$8+$E351*(1+$E351*100/60/100)*$S$8)/100+ROW()/100000</f>
        <v>74.417868936000829</v>
      </c>
      <c r="G351" s="63" t="str">
        <f ca="1">IF(ISNA(VLOOKUP($B351,TabAlgTutti,7,FALSE)),"",IF(VLOOKUP($B351,TabAlgTutti,7,FALSE)=-1,"SCONSIGLIATO",IF(VLOOKUP($B351,TabAlgTutti,7,FALSE)=0,"SORPRESA",IF(VLOOKUP($B351,TabAlgTutti,7,FALSE)=1,"CONSIGLIATO",""))))</f>
        <v/>
      </c>
      <c r="H351" s="65">
        <f ca="1">IF(ISNA(VLOOKUP($B351,TabAlgTutti,8,FALSE)),"",VLOOKUP($B351,TabAlgTutti,8,FALSE))</f>
        <v>90</v>
      </c>
      <c r="I351" s="63" t="str">
        <f ca="1">IF(ISNA(VLOOKUP($B351,TabAlgTutti,9,FALSE)),"",IF(VLOOKUP($B351,TabAlgTutti,9,FALSE)="","",VLOOKUP($B351,TabAlgTutti,9,FALSE)&amp;"R "))&amp;IF(ISNA(VLOOKUP($B351,TabAlgTutti,10,FALSE)),"",IF(VLOOKUP($B351,TabAlgTutti,10,FALSE)="","",VLOOKUP($B351,TabAlgTutti,10,FALSE)&amp;"P "))&amp;IF(ISNA(VLOOKUP($B351,TabAlgTutti,11,FALSE)),"",IF(VLOOKUP($B351,TabAlgTutti,11,FALSE)="","",VLOOKUP($B351,TabAlgTutti,11,FALSE)&amp;"A"))</f>
        <v/>
      </c>
      <c r="J351" s="63">
        <f ca="1">IF(ISNA(VLOOKUP($B351,TabAlgTutti,3,FALSE)),0,VLOOKUP($B351,TabAlgTutti,3,FALSE))+ROW()/100000</f>
        <v>9.5596089527512706</v>
      </c>
      <c r="K351" s="63">
        <f ca="1">IF(ISNA(VLOOKUP($B351,TabAlgTutti,4,FALSE)),0,VLOOKUP($B351,TabAlgTutti,4,FALSE))+ROW()/100000</f>
        <v>10.0879939237582</v>
      </c>
      <c r="L351" s="63" t="e">
        <f ca="1">VLOOKUP(Tabella114[[#This Row],[Calciatore]],'Raccolta Aste'!$K$2:$O$33,4,FALSE)*Asta!$U$3/100</f>
        <v>#N/A</v>
      </c>
      <c r="N351" s="59" t="str">
        <f t="shared" si="129"/>
        <v/>
      </c>
      <c r="O351" s="62" t="str">
        <f ca="1">IF(ISNUMBER(N351),INDIRECT("B" &amp; 310 + MATCH(N351,INDIRECT(ADDRESS(311,22+MATCH($P$28,'I.A. + Fasce'!$W$84:$AA$84,0),1,1) &amp; ":" &amp; ADDRESS(531,22+MATCH($P$28,'I.A. + Fasce'!$W$84:$AA$84,0),1,1)),0)),"")</f>
        <v/>
      </c>
      <c r="P351" s="62" t="str">
        <f t="shared" ca="1" si="131"/>
        <v/>
      </c>
      <c r="Q351" s="59" t="str">
        <f t="shared" si="130"/>
        <v/>
      </c>
      <c r="R351" s="62" t="str">
        <f ca="1">IF(ISNUMBER(Q351),INDIRECT("B" &amp; 310 + MATCH(Q351,INDIRECT(ADDRESS(311,22+MATCH($P$28,'I.A. + Fasce'!$W$84:$AA$84,0),1,1) &amp; ":" &amp; ADDRESS(531,22+MATCH($P$28,'I.A. + Fasce'!$W$84:$AA$84,0),1,1)),0)),"")</f>
        <v/>
      </c>
      <c r="S351" s="62" t="str">
        <f t="shared" ca="1" si="132"/>
        <v/>
      </c>
      <c r="W351" s="56">
        <f t="shared" ca="1" si="120"/>
        <v>61</v>
      </c>
      <c r="X351" s="56">
        <f t="shared" ca="1" si="121"/>
        <v>35</v>
      </c>
      <c r="Y351" s="56">
        <f t="shared" ca="1" si="122"/>
        <v>41</v>
      </c>
      <c r="Z351" s="56">
        <f t="shared" ca="1" si="123"/>
        <v>63</v>
      </c>
      <c r="AA351" s="56">
        <f t="shared" ca="1" si="124"/>
        <v>64</v>
      </c>
      <c r="AB351" s="56">
        <f ca="1">_xlfn.CEILING.MATH(INDIRECT(ADDRESS(311,22+MATCH($P$28,'I.A. + Fasce'!$W$84:$AA$84,0),1,1) &amp; ":" &amp; ADDRESS(531,22+MATCH($P$28,'I.A. + Fasce'!$W$84:$AA$84,0),1,1))/Asta!$H$3)</f>
        <v>6</v>
      </c>
    </row>
    <row r="352" spans="1:28" ht="14.25" customHeight="1">
      <c r="A352" s="239" t="str">
        <f ca="1">IF(Giocatori!J97="","C",Giocatori!J97)</f>
        <v>C</v>
      </c>
      <c r="B352" s="239" t="str">
        <f ca="1">IF(Giocatori!K97="","ZZZ" &amp; ROW(),Giocatori!K97)</f>
        <v>JOAO MARIO</v>
      </c>
      <c r="C352" s="239" t="str">
        <f ca="1">IF(Giocatori!L97="","NDR" &amp; ROW(),Giocatori!L97)</f>
        <v>Inter</v>
      </c>
      <c r="D352" s="63">
        <f ca="1">IF(ISNA(VLOOKUP($B352,TabAlgTutti,6,FALSE)),0,VLOOKUP($B352,TabAlgTutti,6,FALSE))+ROW()/100000</f>
        <v>75.003519999999995</v>
      </c>
      <c r="E352" s="63">
        <f ca="1">IF(ISNA(VLOOKUP($B352,TabAlgTutti,5,FALSE)),0,VLOOKUP($B352,TabAlgTutti,5,FALSE))+ROW()/100000</f>
        <v>43.003520000000002</v>
      </c>
      <c r="F352" s="64">
        <f ca="1">($D352*$P$8+$E352*(1+$E352*100/60/100)*$S$8)/100+ROW()/100000</f>
        <v>74.417896103253327</v>
      </c>
      <c r="G352" s="63" t="str">
        <f ca="1">IF(ISNA(VLOOKUP($B352,TabAlgTutti,7,FALSE)),"",IF(VLOOKUP($B352,TabAlgTutti,7,FALSE)=-1,"SCONSIGLIATO",IF(VLOOKUP($B352,TabAlgTutti,7,FALSE)=0,"SORPRESA",IF(VLOOKUP($B352,TabAlgTutti,7,FALSE)=1,"CONSIGLIATO",""))))</f>
        <v>SORPRESA</v>
      </c>
      <c r="H352" s="65">
        <f ca="1">IF(ISNA(VLOOKUP($B352,TabAlgTutti,8,FALSE)),"",VLOOKUP($B352,TabAlgTutti,8,FALSE))</f>
        <v>70</v>
      </c>
      <c r="I352" s="63" t="str">
        <f ca="1">IF(ISNA(VLOOKUP($B352,TabAlgTutti,9,FALSE)),"",IF(VLOOKUP($B352,TabAlgTutti,9,FALSE)="","",VLOOKUP($B352,TabAlgTutti,9,FALSE)&amp;"R "))&amp;IF(ISNA(VLOOKUP($B352,TabAlgTutti,10,FALSE)),"",IF(VLOOKUP($B352,TabAlgTutti,10,FALSE)="","",VLOOKUP($B352,TabAlgTutti,10,FALSE)&amp;"P "))&amp;IF(ISNA(VLOOKUP($B352,TabAlgTutti,11,FALSE)),"",IF(VLOOKUP($B352,TabAlgTutti,11,FALSE)="","",VLOOKUP($B352,TabAlgTutti,11,FALSE)&amp;"A"))</f>
        <v>3P 1A</v>
      </c>
      <c r="J352" s="63">
        <f ca="1">IF(ISNA(VLOOKUP($B352,TabAlgTutti,3,FALSE)),0,VLOOKUP($B352,TabAlgTutti,3,FALSE))+ROW()/100000</f>
        <v>24.978372130527518</v>
      </c>
      <c r="K352" s="63">
        <f ca="1">IF(ISNA(VLOOKUP($B352,TabAlgTutti,4,FALSE)),0,VLOOKUP($B352,TabAlgTutti,4,FALSE))+ROW()/100000</f>
        <v>25.134638483132036</v>
      </c>
      <c r="L352" s="63">
        <f ca="1">VLOOKUP(Tabella114[[#This Row],[Calciatore]],'Raccolta Aste'!$K$2:$O$33,4,FALSE)*Asta!$U$3/100</f>
        <v>15.12</v>
      </c>
      <c r="N352" s="59" t="str">
        <f t="shared" si="129"/>
        <v/>
      </c>
      <c r="O352" s="62" t="str">
        <f ca="1">IF(ISNUMBER(N352),INDIRECT("B" &amp; 310 + MATCH(N352,INDIRECT(ADDRESS(311,22+MATCH($P$28,'I.A. + Fasce'!$W$84:$AA$84,0),1,1) &amp; ":" &amp; ADDRESS(531,22+MATCH($P$28,'I.A. + Fasce'!$W$84:$AA$84,0),1,1)),0)),"")</f>
        <v/>
      </c>
      <c r="P352" s="62" t="str">
        <f t="shared" ca="1" si="131"/>
        <v/>
      </c>
      <c r="Q352" s="59" t="str">
        <f t="shared" si="130"/>
        <v/>
      </c>
      <c r="R352" s="62" t="str">
        <f ca="1">IF(ISNUMBER(Q352),INDIRECT("B" &amp; 310 + MATCH(Q352,INDIRECT(ADDRESS(311,22+MATCH($P$28,'I.A. + Fasce'!$W$84:$AA$84,0),1,1) &amp; ":" &amp; ADDRESS(531,22+MATCH($P$28,'I.A. + Fasce'!$W$84:$AA$84,0),1,1)),0)),"")</f>
        <v/>
      </c>
      <c r="S352" s="62" t="str">
        <f t="shared" ca="1" si="132"/>
        <v/>
      </c>
      <c r="W352" s="56">
        <f t="shared" ca="1" si="120"/>
        <v>60</v>
      </c>
      <c r="X352" s="56">
        <f t="shared" ca="1" si="121"/>
        <v>34</v>
      </c>
      <c r="Y352" s="56">
        <f t="shared" ca="1" si="122"/>
        <v>40</v>
      </c>
      <c r="Z352" s="56">
        <f t="shared" ca="1" si="123"/>
        <v>30</v>
      </c>
      <c r="AA352" s="56">
        <f t="shared" ca="1" si="124"/>
        <v>29</v>
      </c>
      <c r="AB352" s="56">
        <f ca="1">_xlfn.CEILING.MATH(INDIRECT(ADDRESS(311,22+MATCH($P$28,'I.A. + Fasce'!$W$84:$AA$84,0),1,1) &amp; ":" &amp; ADDRESS(531,22+MATCH($P$28,'I.A. + Fasce'!$W$84:$AA$84,0),1,1))/Asta!$H$3)</f>
        <v>5</v>
      </c>
    </row>
    <row r="353" spans="1:28" ht="14.25" customHeight="1">
      <c r="A353" s="239" t="str">
        <f ca="1">IF(Giocatori!J25="","C",Giocatori!J25)</f>
        <v>C</v>
      </c>
      <c r="B353" s="239" t="str">
        <f ca="1">IF(Giocatori!K25="","ZZZ" &amp; ROW(),Giocatori!K25)</f>
        <v>BERTOLACCI</v>
      </c>
      <c r="C353" s="239" t="str">
        <f ca="1">IF(Giocatori!L25="","NDR" &amp; ROW(),Giocatori!L25)</f>
        <v>Genoa</v>
      </c>
      <c r="D353" s="63">
        <f ca="1">IF(ISNA(VLOOKUP($B353,TabAlgTutti,6,FALSE)),0,VLOOKUP($B353,TabAlgTutti,6,FALSE))+ROW()/100000</f>
        <v>75.003529999999998</v>
      </c>
      <c r="E353" s="63">
        <f ca="1">IF(ISNA(VLOOKUP($B353,TabAlgTutti,5,FALSE)),0,VLOOKUP($B353,TabAlgTutti,5,FALSE))+ROW()/100000</f>
        <v>43.003529999999998</v>
      </c>
      <c r="F353" s="64">
        <f ca="1">($D353*$P$8+$E353*(1+$E353*100/60/100)*$S$8)/100+ROW()/100000</f>
        <v>74.417923270507501</v>
      </c>
      <c r="G353" s="63" t="str">
        <f ca="1">IF(ISNA(VLOOKUP($B353,TabAlgTutti,7,FALSE)),"",IF(VLOOKUP($B353,TabAlgTutti,7,FALSE)=-1,"SCONSIGLIATO",IF(VLOOKUP($B353,TabAlgTutti,7,FALSE)=0,"SORPRESA",IF(VLOOKUP($B353,TabAlgTutti,7,FALSE)=1,"CONSIGLIATO",""))))</f>
        <v>CONSIGLIATO</v>
      </c>
      <c r="H353" s="65">
        <f ca="1">IF(ISNA(VLOOKUP($B353,TabAlgTutti,8,FALSE)),"",VLOOKUP($B353,TabAlgTutti,8,FALSE))</f>
        <v>80</v>
      </c>
      <c r="I353" s="63" t="str">
        <f ca="1">IF(ISNA(VLOOKUP($B353,TabAlgTutti,9,FALSE)),"",IF(VLOOKUP($B353,TabAlgTutti,9,FALSE)="","",VLOOKUP($B353,TabAlgTutti,9,FALSE)&amp;"R "))&amp;IF(ISNA(VLOOKUP($B353,TabAlgTutti,10,FALSE)),"",IF(VLOOKUP($B353,TabAlgTutti,10,FALSE)="","",VLOOKUP($B353,TabAlgTutti,10,FALSE)&amp;"P "))&amp;IF(ISNA(VLOOKUP($B353,TabAlgTutti,11,FALSE)),"",IF(VLOOKUP($B353,TabAlgTutti,11,FALSE)="","",VLOOKUP($B353,TabAlgTutti,11,FALSE)&amp;"A"))</f>
        <v xml:space="preserve">4P </v>
      </c>
      <c r="J353" s="63">
        <f ca="1">IF(ISNA(VLOOKUP($B353,TabAlgTutti,3,FALSE)),0,VLOOKUP($B353,TabAlgTutti,3,FALSE))+ROW()/100000</f>
        <v>10.314065036926239</v>
      </c>
      <c r="K353" s="63">
        <f ca="1">IF(ISNA(VLOOKUP($B353,TabAlgTutti,4,FALSE)),0,VLOOKUP($B353,TabAlgTutti,4,FALSE))+ROW()/100000</f>
        <v>10.695789586803139</v>
      </c>
      <c r="L353" s="63" t="e">
        <f ca="1">VLOOKUP(Tabella114[[#This Row],[Calciatore]],'Raccolta Aste'!$K$2:$O$33,4,FALSE)*Asta!$U$3/100</f>
        <v>#N/A</v>
      </c>
      <c r="N353" s="58"/>
      <c r="O353" s="58"/>
      <c r="P353" s="58"/>
      <c r="Q353" s="58"/>
      <c r="R353" s="58"/>
      <c r="S353" s="58"/>
      <c r="W353" s="56">
        <f t="shared" ca="1" si="120"/>
        <v>59</v>
      </c>
      <c r="X353" s="56">
        <f t="shared" ca="1" si="121"/>
        <v>33</v>
      </c>
      <c r="Y353" s="56">
        <f t="shared" ca="1" si="122"/>
        <v>39</v>
      </c>
      <c r="Z353" s="56">
        <f t="shared" ca="1" si="123"/>
        <v>61</v>
      </c>
      <c r="AA353" s="56">
        <f t="shared" ca="1" si="124"/>
        <v>61</v>
      </c>
      <c r="AB353" s="56">
        <f ca="1">_xlfn.CEILING.MATH(INDIRECT(ADDRESS(311,22+MATCH($P$28,'I.A. + Fasce'!$W$84:$AA$84,0),1,1) &amp; ":" &amp; ADDRESS(531,22+MATCH($P$28,'I.A. + Fasce'!$W$84:$AA$84,0),1,1))/Asta!$H$3)</f>
        <v>5</v>
      </c>
    </row>
    <row r="354" spans="1:28" ht="14.25" customHeight="1">
      <c r="A354" s="239" t="str">
        <f ca="1">IF(Giocatori!J100="","C",Giocatori!J100)</f>
        <v>C</v>
      </c>
      <c r="B354" s="239" t="str">
        <f ca="1">IF(Giocatori!K100="","ZZZ" &amp; ROW(),Giocatori!K100)</f>
        <v>JORGINHO</v>
      </c>
      <c r="C354" s="239" t="str">
        <f ca="1">IF(Giocatori!L100="","NDR" &amp; ROW(),Giocatori!L100)</f>
        <v>Napoli</v>
      </c>
      <c r="D354" s="63">
        <f ca="1">IF(ISNA(VLOOKUP($B354,TabAlgTutti,6,FALSE)),0,VLOOKUP($B354,TabAlgTutti,6,FALSE))+ROW()/100000</f>
        <v>77.003540000000001</v>
      </c>
      <c r="E354" s="63">
        <f ca="1">IF(ISNA(VLOOKUP($B354,TabAlgTutti,5,FALSE)),0,VLOOKUP($B354,TabAlgTutti,5,FALSE))+ROW()/100000</f>
        <v>42.003540000000001</v>
      </c>
      <c r="F354" s="64">
        <f ca="1">($D354*$P$8+$E354*(1+$E354*100/60/100)*$S$8)/100+ROW()/100000</f>
        <v>74.209558104430002</v>
      </c>
      <c r="G354" s="63" t="str">
        <f ca="1">IF(ISNA(VLOOKUP($B354,TabAlgTutti,7,FALSE)),"",IF(VLOOKUP($B354,TabAlgTutti,7,FALSE)=-1,"SCONSIGLIATO",IF(VLOOKUP($B354,TabAlgTutti,7,FALSE)=0,"SORPRESA",IF(VLOOKUP($B354,TabAlgTutti,7,FALSE)=1,"CONSIGLIATO",""))))</f>
        <v/>
      </c>
      <c r="H354" s="65">
        <f ca="1">IF(ISNA(VLOOKUP($B354,TabAlgTutti,8,FALSE)),"",VLOOKUP($B354,TabAlgTutti,8,FALSE))</f>
        <v>70</v>
      </c>
      <c r="I354" s="63" t="str">
        <f ca="1">IF(ISNA(VLOOKUP($B354,TabAlgTutti,9,FALSE)),"",IF(VLOOKUP($B354,TabAlgTutti,9,FALSE)="","",VLOOKUP($B354,TabAlgTutti,9,FALSE)&amp;"R "))&amp;IF(ISNA(VLOOKUP($B354,TabAlgTutti,10,FALSE)),"",IF(VLOOKUP($B354,TabAlgTutti,10,FALSE)="","",VLOOKUP($B354,TabAlgTutti,10,FALSE)&amp;"P "))&amp;IF(ISNA(VLOOKUP($B354,TabAlgTutti,11,FALSE)),"",IF(VLOOKUP($B354,TabAlgTutti,11,FALSE)="","",VLOOKUP($B354,TabAlgTutti,11,FALSE)&amp;"A"))</f>
        <v xml:space="preserve">3R </v>
      </c>
      <c r="J354" s="63">
        <f ca="1">IF(ISNA(VLOOKUP($B354,TabAlgTutti,3,FALSE)),0,VLOOKUP($B354,TabAlgTutti,3,FALSE))+ROW()/100000</f>
        <v>32.698330824594102</v>
      </c>
      <c r="K354" s="63">
        <f ca="1">IF(ISNA(VLOOKUP($B354,TabAlgTutti,4,FALSE)),0,VLOOKUP($B354,TabAlgTutti,4,FALSE))+ROW()/100000</f>
        <v>32.87096736740159</v>
      </c>
      <c r="L354" s="63">
        <f ca="1">VLOOKUP(Tabella114[[#This Row],[Calciatore]],'Raccolta Aste'!$K$2:$O$33,4,FALSE)*Asta!$U$3/100</f>
        <v>15.785</v>
      </c>
      <c r="N354" s="58"/>
      <c r="O354" s="59" t="s">
        <v>707</v>
      </c>
      <c r="P354" s="59" t="s">
        <v>637</v>
      </c>
      <c r="Q354" s="58"/>
      <c r="R354" s="59" t="s">
        <v>708</v>
      </c>
      <c r="S354" s="59" t="s">
        <v>637</v>
      </c>
      <c r="W354" s="56">
        <f t="shared" ca="1" si="120"/>
        <v>42</v>
      </c>
      <c r="X354" s="56">
        <f t="shared" ca="1" si="121"/>
        <v>55</v>
      </c>
      <c r="Y354" s="56">
        <f t="shared" ca="1" si="122"/>
        <v>46</v>
      </c>
      <c r="Z354" s="56">
        <f t="shared" ca="1" si="123"/>
        <v>21</v>
      </c>
      <c r="AA354" s="56">
        <f t="shared" ca="1" si="124"/>
        <v>20</v>
      </c>
      <c r="AB354" s="56">
        <f ca="1">_xlfn.CEILING.MATH(INDIRECT(ADDRESS(311,22+MATCH($P$28,'I.A. + Fasce'!$W$84:$AA$84,0),1,1) &amp; ":" &amp; ADDRESS(531,22+MATCH($P$28,'I.A. + Fasce'!$W$84:$AA$84,0),1,1))/Asta!$H$3)</f>
        <v>6</v>
      </c>
    </row>
    <row r="355" spans="1:28" ht="14.25" customHeight="1">
      <c r="A355" s="239" t="str">
        <f ca="1">IF(Giocatori!J81="","C",Giocatori!J81)</f>
        <v>C</v>
      </c>
      <c r="B355" s="239" t="str">
        <f ca="1">IF(Giocatori!K81="","ZZZ" &amp; ROW(),Giocatori!K81)</f>
        <v>GIL DIAS</v>
      </c>
      <c r="C355" s="239" t="str">
        <f ca="1">IF(Giocatori!L81="","NDR" &amp; ROW(),Giocatori!L81)</f>
        <v>Fiorentina</v>
      </c>
      <c r="D355" s="63">
        <f ca="1">IF(ISNA(VLOOKUP($B355,TabAlgTutti,6,FALSE)),0,VLOOKUP($B355,TabAlgTutti,6,FALSE))+ROW()/100000</f>
        <v>77.003550000000004</v>
      </c>
      <c r="E355" s="63">
        <f ca="1">IF(ISNA(VLOOKUP($B355,TabAlgTutti,5,FALSE)),0,VLOOKUP($B355,TabAlgTutti,5,FALSE))+ROW()/100000</f>
        <v>42.003549999999997</v>
      </c>
      <c r="F355" s="64">
        <f ca="1">($D355*$P$8+$E355*(1+$E355*100/60/100)*$S$8)/100+ROW()/100000</f>
        <v>74.209585105020835</v>
      </c>
      <c r="G355" s="63" t="str">
        <f ca="1">IF(ISNA(VLOOKUP($B355,TabAlgTutti,7,FALSE)),"",IF(VLOOKUP($B355,TabAlgTutti,7,FALSE)=-1,"SCONSIGLIATO",IF(VLOOKUP($B355,TabAlgTutti,7,FALSE)=0,"SORPRESA",IF(VLOOKUP($B355,TabAlgTutti,7,FALSE)=1,"CONSIGLIATO",""))))</f>
        <v>SORPRESA</v>
      </c>
      <c r="H355" s="65">
        <f ca="1">IF(ISNA(VLOOKUP($B355,TabAlgTutti,8,FALSE)),"",VLOOKUP($B355,TabAlgTutti,8,FALSE))</f>
        <v>60</v>
      </c>
      <c r="I355" s="63" t="str">
        <f ca="1">IF(ISNA(VLOOKUP($B355,TabAlgTutti,9,FALSE)),"",IF(VLOOKUP($B355,TabAlgTutti,9,FALSE)="","",VLOOKUP($B355,TabAlgTutti,9,FALSE)&amp;"R "))&amp;IF(ISNA(VLOOKUP($B355,TabAlgTutti,10,FALSE)),"",IF(VLOOKUP($B355,TabAlgTutti,10,FALSE)="","",VLOOKUP($B355,TabAlgTutti,10,FALSE)&amp;"P "))&amp;IF(ISNA(VLOOKUP($B355,TabAlgTutti,11,FALSE)),"",IF(VLOOKUP($B355,TabAlgTutti,11,FALSE)="","",VLOOKUP($B355,TabAlgTutti,11,FALSE)&amp;"A"))</f>
        <v/>
      </c>
      <c r="J355" s="63">
        <f ca="1">IF(ISNA(VLOOKUP($B355,TabAlgTutti,3,FALSE)),0,VLOOKUP($B355,TabAlgTutti,3,FALSE))+ROW()/100000</f>
        <v>10.342342097533514</v>
      </c>
      <c r="K355" s="63">
        <f ca="1">IF(ISNA(VLOOKUP($B355,TabAlgTutti,4,FALSE)),0,VLOOKUP($B355,TabAlgTutti,4,FALSE))+ROW()/100000</f>
        <v>10.723632206044758</v>
      </c>
      <c r="L355" s="63" t="e">
        <f ca="1">VLOOKUP(Tabella114[[#This Row],[Calciatore]],'Raccolta Aste'!$K$2:$O$33,4,FALSE)*Asta!$U$3/100</f>
        <v>#N/A</v>
      </c>
      <c r="N355" s="60"/>
      <c r="O355" s="61"/>
      <c r="P355" s="61"/>
      <c r="Q355" s="60"/>
      <c r="R355" s="61"/>
      <c r="S355" s="61"/>
      <c r="W355" s="56">
        <f t="shared" ca="1" si="120"/>
        <v>41</v>
      </c>
      <c r="X355" s="56">
        <f t="shared" ca="1" si="121"/>
        <v>54</v>
      </c>
      <c r="Y355" s="56">
        <f t="shared" ca="1" si="122"/>
        <v>45</v>
      </c>
      <c r="Z355" s="56">
        <f t="shared" ca="1" si="123"/>
        <v>60</v>
      </c>
      <c r="AA355" s="56">
        <f t="shared" ca="1" si="124"/>
        <v>60</v>
      </c>
      <c r="AB355" s="56">
        <f ca="1">_xlfn.CEILING.MATH(INDIRECT(ADDRESS(311,22+MATCH($P$28,'I.A. + Fasce'!$W$84:$AA$84,0),1,1) &amp; ":" &amp; ADDRESS(531,22+MATCH($P$28,'I.A. + Fasce'!$W$84:$AA$84,0),1,1))/Asta!$H$3)</f>
        <v>6</v>
      </c>
    </row>
    <row r="356" spans="1:28" ht="14.25" customHeight="1">
      <c r="A356" s="239" t="str">
        <f ca="1">IF(Giocatori!J23="","C",Giocatori!J23)</f>
        <v>C</v>
      </c>
      <c r="B356" s="239" t="str">
        <f ca="1">IF(Giocatori!K23="","ZZZ" &amp; ROW(),Giocatori!K23)</f>
        <v>BERENGUER</v>
      </c>
      <c r="C356" s="239" t="str">
        <f ca="1">IF(Giocatori!L23="","NDR" &amp; ROW(),Giocatori!L23)</f>
        <v>Torino</v>
      </c>
      <c r="D356" s="63">
        <f ca="1">IF(ISNA(VLOOKUP($B356,TabAlgTutti,6,FALSE)),0,VLOOKUP($B356,TabAlgTutti,6,FALSE))+ROW()/100000</f>
        <v>77.003559999999993</v>
      </c>
      <c r="E356" s="63">
        <f ca="1">IF(ISNA(VLOOKUP($B356,TabAlgTutti,5,FALSE)),0,VLOOKUP($B356,TabAlgTutti,5,FALSE))+ROW()/100000</f>
        <v>42.00356</v>
      </c>
      <c r="F356" s="64">
        <f ca="1">($D356*$P$8+$E356*(1+$E356*100/60/100)*$S$8)/100+ROW()/100000</f>
        <v>74.209612105613331</v>
      </c>
      <c r="G356" s="63" t="str">
        <f ca="1">IF(ISNA(VLOOKUP($B356,TabAlgTutti,7,FALSE)),"",IF(VLOOKUP($B356,TabAlgTutti,7,FALSE)=-1,"SCONSIGLIATO",IF(VLOOKUP($B356,TabAlgTutti,7,FALSE)=0,"SORPRESA",IF(VLOOKUP($B356,TabAlgTutti,7,FALSE)=1,"CONSIGLIATO",""))))</f>
        <v>SCONSIGLIATO</v>
      </c>
      <c r="H356" s="65">
        <f ca="1">IF(ISNA(VLOOKUP($B356,TabAlgTutti,8,FALSE)),"",VLOOKUP($B356,TabAlgTutti,8,FALSE))</f>
        <v>70</v>
      </c>
      <c r="I356" s="63" t="str">
        <f ca="1">IF(ISNA(VLOOKUP($B356,TabAlgTutti,9,FALSE)),"",IF(VLOOKUP($B356,TabAlgTutti,9,FALSE)="","",VLOOKUP($B356,TabAlgTutti,9,FALSE)&amp;"R "))&amp;IF(ISNA(VLOOKUP($B356,TabAlgTutti,10,FALSE)),"",IF(VLOOKUP($B356,TabAlgTutti,10,FALSE)="","",VLOOKUP($B356,TabAlgTutti,10,FALSE)&amp;"P "))&amp;IF(ISNA(VLOOKUP($B356,TabAlgTutti,11,FALSE)),"",IF(VLOOKUP($B356,TabAlgTutti,11,FALSE)="","",VLOOKUP($B356,TabAlgTutti,11,FALSE)&amp;"A"))</f>
        <v/>
      </c>
      <c r="J356" s="63">
        <f ca="1">IF(ISNA(VLOOKUP($B356,TabAlgTutti,3,FALSE)),0,VLOOKUP($B356,TabAlgTutti,3,FALSE))+ROW()/100000</f>
        <v>16.537781220778214</v>
      </c>
      <c r="K356" s="63">
        <f ca="1">IF(ISNA(VLOOKUP($B356,TabAlgTutti,4,FALSE)),0,VLOOKUP($B356,TabAlgTutti,4,FALSE))+ROW()/100000</f>
        <v>17.904309073032778</v>
      </c>
      <c r="L356" s="63" t="e">
        <f ca="1">VLOOKUP(Tabella114[[#This Row],[Calciatore]],'Raccolta Aste'!$K$2:$O$33,4,FALSE)*Asta!$U$3/100</f>
        <v>#N/A</v>
      </c>
      <c r="N356" s="59">
        <f t="shared" ref="N356:N367" si="133">IF(ISNUMBER(Q341),Q341+COUNTIF($N$34:$N$45,"&gt;0"),"")</f>
        <v>49</v>
      </c>
      <c r="O356" s="62" t="str">
        <f ca="1">IF(ISNUMBER(N356),INDIRECT("B" &amp; 310 + MATCH(N356,INDIRECT(ADDRESS(311,22+MATCH($P$28,'I.A. + Fasce'!$W$84:$AA$84,0),1,1) &amp; ":" &amp; ADDRESS(531,22+MATCH($P$28,'I.A. + Fasce'!$W$84:$AA$84,0),1,1)),0)),"")</f>
        <v>GAGLIARDINI</v>
      </c>
      <c r="P356" s="62" t="str">
        <f ca="1">IF(O356="","",VLOOKUP(O356,$B$311:$C$531,2,FALSE))</f>
        <v>Inter</v>
      </c>
      <c r="Q356" s="59">
        <f t="shared" ref="Q356:Q367" si="134">IF(ISNUMBER(N356),N356+COUNTIF($N$34:$N$45,"&gt;0"),"")</f>
        <v>57</v>
      </c>
      <c r="R356" s="62" t="str">
        <f ca="1">IF(ISNUMBER(Q356),INDIRECT("B" &amp; 310 + MATCH(Q356,INDIRECT(ADDRESS(311,22+MATCH($P$28,'I.A. + Fasce'!$W$84:$AA$84,0),1,1) &amp; ":" &amp; ADDRESS(531,22+MATCH($P$28,'I.A. + Fasce'!$W$84:$AA$84,0),1,1)),0)),"")</f>
        <v>DE ROON</v>
      </c>
      <c r="S356" s="62" t="str">
        <f ca="1">IF(R356="","",VLOOKUP(R356,$B$311:$C$531,2,FALSE))</f>
        <v>Atalanta</v>
      </c>
      <c r="W356" s="56">
        <f t="shared" ca="1" si="120"/>
        <v>40</v>
      </c>
      <c r="X356" s="56">
        <f t="shared" ca="1" si="121"/>
        <v>53</v>
      </c>
      <c r="Y356" s="56">
        <f t="shared" ca="1" si="122"/>
        <v>44</v>
      </c>
      <c r="Z356" s="56">
        <f t="shared" ca="1" si="123"/>
        <v>45</v>
      </c>
      <c r="AA356" s="56">
        <f t="shared" ca="1" si="124"/>
        <v>43</v>
      </c>
      <c r="AB356" s="56">
        <f ca="1">_xlfn.CEILING.MATH(INDIRECT(ADDRESS(311,22+MATCH($P$28,'I.A. + Fasce'!$W$84:$AA$84,0),1,1) &amp; ":" &amp; ADDRESS(531,22+MATCH($P$28,'I.A. + Fasce'!$W$84:$AA$84,0),1,1))/Asta!$H$3)</f>
        <v>6</v>
      </c>
    </row>
    <row r="357" spans="1:28" ht="14.25" customHeight="1">
      <c r="A357" s="239" t="str">
        <f ca="1">IF(Giocatori!J106="","C",Giocatori!J106)</f>
        <v>C</v>
      </c>
      <c r="B357" s="239" t="str">
        <f ca="1">IF(Giocatori!K106="","ZZZ" &amp; ROW(),Giocatori!K106)</f>
        <v>KURTIC</v>
      </c>
      <c r="C357" s="239" t="str">
        <f ca="1">IF(Giocatori!L106="","NDR" &amp; ROW(),Giocatori!L106)</f>
        <v>Atalanta</v>
      </c>
      <c r="D357" s="63">
        <f ca="1">IF(ISNA(VLOOKUP($B357,TabAlgTutti,6,FALSE)),0,VLOOKUP($B357,TabAlgTutti,6,FALSE))+ROW()/100000</f>
        <v>79.003569999999996</v>
      </c>
      <c r="E357" s="63">
        <f ca="1">IF(ISNA(VLOOKUP($B357,TabAlgTutti,5,FALSE)),0,VLOOKUP($B357,TabAlgTutti,5,FALSE))+ROW()/100000</f>
        <v>41.003570000000003</v>
      </c>
      <c r="F357" s="64">
        <f ca="1">($D357*$P$8+$E357*(1+$E357*100/60/100)*$S$8)/100+ROW()/100000</f>
        <v>74.017912939540835</v>
      </c>
      <c r="G357" s="63" t="str">
        <f ca="1">IF(ISNA(VLOOKUP($B357,TabAlgTutti,7,FALSE)),"",IF(VLOOKUP($B357,TabAlgTutti,7,FALSE)=-1,"SCONSIGLIATO",IF(VLOOKUP($B357,TabAlgTutti,7,FALSE)=0,"SORPRESA",IF(VLOOKUP($B357,TabAlgTutti,7,FALSE)=1,"CONSIGLIATO",""))))</f>
        <v>SCONSIGLIATO</v>
      </c>
      <c r="H357" s="65">
        <f ca="1">IF(ISNA(VLOOKUP($B357,TabAlgTutti,8,FALSE)),"",VLOOKUP($B357,TabAlgTutti,8,FALSE))</f>
        <v>70</v>
      </c>
      <c r="I357" s="63" t="str">
        <f ca="1">IF(ISNA(VLOOKUP($B357,TabAlgTutti,9,FALSE)),"",IF(VLOOKUP($B357,TabAlgTutti,9,FALSE)="","",VLOOKUP($B357,TabAlgTutti,9,FALSE)&amp;"R "))&amp;IF(ISNA(VLOOKUP($B357,TabAlgTutti,10,FALSE)),"",IF(VLOOKUP($B357,TabAlgTutti,10,FALSE)="","",VLOOKUP($B357,TabAlgTutti,10,FALSE)&amp;"P "))&amp;IF(ISNA(VLOOKUP($B357,TabAlgTutti,11,FALSE)),"",IF(VLOOKUP($B357,TabAlgTutti,11,FALSE)="","",VLOOKUP($B357,TabAlgTutti,11,FALSE)&amp;"A"))</f>
        <v/>
      </c>
      <c r="J357" s="63">
        <f ca="1">IF(ISNA(VLOOKUP($B357,TabAlgTutti,3,FALSE)),0,VLOOKUP($B357,TabAlgTutti,3,FALSE))+ROW()/100000</f>
        <v>13.91345100942635</v>
      </c>
      <c r="K357" s="63">
        <f ca="1">IF(ISNA(VLOOKUP($B357,TabAlgTutti,4,FALSE)),0,VLOOKUP($B357,TabAlgTutti,4,FALSE))+ROW()/100000</f>
        <v>15.185265817828249</v>
      </c>
      <c r="L357" s="63" t="e">
        <f ca="1">VLOOKUP(Tabella114[[#This Row],[Calciatore]],'Raccolta Aste'!$K$2:$O$33,4,FALSE)*Asta!$U$3/100</f>
        <v>#N/A</v>
      </c>
      <c r="N357" s="59">
        <f t="shared" si="133"/>
        <v>50</v>
      </c>
      <c r="O357" s="62" t="str">
        <f ca="1">IF(ISNUMBER(N357),INDIRECT("B" &amp; 310 + MATCH(N357,INDIRECT(ADDRESS(311,22+MATCH($P$28,'I.A. + Fasce'!$W$84:$AA$84,0),1,1) &amp; ":" &amp; ADDRESS(531,22+MATCH($P$28,'I.A. + Fasce'!$W$84:$AA$84,0),1,1)),0)),"")</f>
        <v>KREJCI</v>
      </c>
      <c r="P357" s="62" t="str">
        <f t="shared" ref="P357:P367" ca="1" si="135">IF(O357="","",VLOOKUP(O357,$B$311:$C$531,2,FALSE))</f>
        <v>Bologna</v>
      </c>
      <c r="Q357" s="59">
        <f t="shared" si="134"/>
        <v>58</v>
      </c>
      <c r="R357" s="62" t="str">
        <f ca="1">IF(ISNUMBER(Q357),INDIRECT("B" &amp; 310 + MATCH(Q357,INDIRECT(ADDRESS(311,22+MATCH($P$28,'I.A. + Fasce'!$W$84:$AA$84,0),1,1) &amp; ":" &amp; ADDRESS(531,22+MATCH($P$28,'I.A. + Fasce'!$W$84:$AA$84,0),1,1)),0)),"")</f>
        <v>IONITA</v>
      </c>
      <c r="S357" s="62" t="str">
        <f t="shared" ref="S357:S367" ca="1" si="136">IF(R357="","",VLOOKUP(R357,$B$311:$C$531,2,FALSE))</f>
        <v>Cagliari</v>
      </c>
      <c r="W357" s="56">
        <f t="shared" ca="1" si="120"/>
        <v>30</v>
      </c>
      <c r="X357" s="56">
        <f t="shared" ca="1" si="121"/>
        <v>72</v>
      </c>
      <c r="Y357" s="56">
        <f t="shared" ca="1" si="122"/>
        <v>48</v>
      </c>
      <c r="Z357" s="56">
        <f t="shared" ca="1" si="123"/>
        <v>53</v>
      </c>
      <c r="AA357" s="56">
        <f t="shared" ca="1" si="124"/>
        <v>50</v>
      </c>
      <c r="AB357" s="56">
        <f ca="1">_xlfn.CEILING.MATH(INDIRECT(ADDRESS(311,22+MATCH($P$28,'I.A. + Fasce'!$W$84:$AA$84,0),1,1) &amp; ":" &amp; ADDRESS(531,22+MATCH($P$28,'I.A. + Fasce'!$W$84:$AA$84,0),1,1))/Asta!$H$3)</f>
        <v>6</v>
      </c>
    </row>
    <row r="358" spans="1:28" ht="14.25" customHeight="1">
      <c r="A358" s="239" t="str">
        <f ca="1">IF(Giocatori!J27="","C",Giocatori!J27)</f>
        <v>C</v>
      </c>
      <c r="B358" s="239" t="str">
        <f ca="1">IF(Giocatori!K27="","ZZZ" &amp; ROW(),Giocatori!K27)</f>
        <v>BIGLIA</v>
      </c>
      <c r="C358" s="239" t="str">
        <f ca="1">IF(Giocatori!L27="","NDR" &amp; ROW(),Giocatori!L27)</f>
        <v>Milan</v>
      </c>
      <c r="D358" s="63">
        <f ca="1">IF(ISNA(VLOOKUP($B358,TabAlgTutti,6,FALSE)),0,VLOOKUP($B358,TabAlgTutti,6,FALSE))+ROW()/100000</f>
        <v>79.003579999999999</v>
      </c>
      <c r="E358" s="63">
        <f ca="1">IF(ISNA(VLOOKUP($B358,TabAlgTutti,5,FALSE)),0,VLOOKUP($B358,TabAlgTutti,5,FALSE))+ROW()/100000</f>
        <v>41.003579999999999</v>
      </c>
      <c r="F358" s="64">
        <f ca="1">($D358*$P$8+$E358*(1+$E358*100/60/100)*$S$8)/100+ROW()/100000</f>
        <v>74.017939773470005</v>
      </c>
      <c r="G358" s="63" t="str">
        <f ca="1">IF(ISNA(VLOOKUP($B358,TabAlgTutti,7,FALSE)),"",IF(VLOOKUP($B358,TabAlgTutti,7,FALSE)=-1,"SCONSIGLIATO",IF(VLOOKUP($B358,TabAlgTutti,7,FALSE)=0,"SORPRESA",IF(VLOOKUP($B358,TabAlgTutti,7,FALSE)=1,"CONSIGLIATO",""))))</f>
        <v/>
      </c>
      <c r="H358" s="65">
        <f ca="1">IF(ISNA(VLOOKUP($B358,TabAlgTutti,8,FALSE)),"",VLOOKUP($B358,TabAlgTutti,8,FALSE))</f>
        <v>80</v>
      </c>
      <c r="I358" s="63" t="str">
        <f ca="1">IF(ISNA(VLOOKUP($B358,TabAlgTutti,9,FALSE)),"",IF(VLOOKUP($B358,TabAlgTutti,9,FALSE)="","",VLOOKUP($B358,TabAlgTutti,9,FALSE)&amp;"R "))&amp;IF(ISNA(VLOOKUP($B358,TabAlgTutti,10,FALSE)),"",IF(VLOOKUP($B358,TabAlgTutti,10,FALSE)="","",VLOOKUP($B358,TabAlgTutti,10,FALSE)&amp;"P "))&amp;IF(ISNA(VLOOKUP($B358,TabAlgTutti,11,FALSE)),"",IF(VLOOKUP($B358,TabAlgTutti,11,FALSE)="","",VLOOKUP($B358,TabAlgTutti,11,FALSE)&amp;"A"))</f>
        <v>3R 2P 1A</v>
      </c>
      <c r="J358" s="63">
        <f ca="1">IF(ISNA(VLOOKUP($B358,TabAlgTutti,3,FALSE)),0,VLOOKUP($B358,TabAlgTutti,3,FALSE))+ROW()/100000</f>
        <v>18.264225321764705</v>
      </c>
      <c r="K358" s="63">
        <f ca="1">IF(ISNA(VLOOKUP($B358,TabAlgTutti,4,FALSE)),0,VLOOKUP($B358,TabAlgTutti,4,FALSE))+ROW()/100000</f>
        <v>18.523720004304806</v>
      </c>
      <c r="L358" s="63" t="e">
        <f ca="1">VLOOKUP(Tabella114[[#This Row],[Calciatore]],'Raccolta Aste'!$K$2:$O$33,4,FALSE)*Asta!$U$3/100</f>
        <v>#N/A</v>
      </c>
      <c r="N358" s="59">
        <f t="shared" si="133"/>
        <v>51</v>
      </c>
      <c r="O358" s="62" t="str">
        <f ca="1">IF(ISNUMBER(N358),INDIRECT("B" &amp; 310 + MATCH(N358,INDIRECT(ADDRESS(311,22+MATCH($P$28,'I.A. + Fasce'!$W$84:$AA$84,0),1,1) &amp; ":" &amp; ADDRESS(531,22+MATCH($P$28,'I.A. + Fasce'!$W$84:$AA$84,0),1,1)),0)),"")</f>
        <v>BROZOVIC</v>
      </c>
      <c r="P358" s="62" t="str">
        <f t="shared" ca="1" si="135"/>
        <v>Inter</v>
      </c>
      <c r="Q358" s="59">
        <f t="shared" si="134"/>
        <v>59</v>
      </c>
      <c r="R358" s="62" t="str">
        <f ca="1">IF(ISNUMBER(Q358),INDIRECT("B" &amp; 310 + MATCH(Q358,INDIRECT(ADDRESS(311,22+MATCH($P$28,'I.A. + Fasce'!$W$84:$AA$84,0),1,1) &amp; ":" &amp; ADDRESS(531,22+MATCH($P$28,'I.A. + Fasce'!$W$84:$AA$84,0),1,1)),0)),"")</f>
        <v>PRAET</v>
      </c>
      <c r="S358" s="62" t="str">
        <f t="shared" ca="1" si="136"/>
        <v>Sampdoria</v>
      </c>
      <c r="W358" s="56">
        <f t="shared" ca="1" si="120"/>
        <v>29</v>
      </c>
      <c r="X358" s="56">
        <f t="shared" ca="1" si="121"/>
        <v>71</v>
      </c>
      <c r="Y358" s="56">
        <f t="shared" ca="1" si="122"/>
        <v>47</v>
      </c>
      <c r="Z358" s="56">
        <f t="shared" ca="1" si="123"/>
        <v>42</v>
      </c>
      <c r="AA358" s="56">
        <f t="shared" ca="1" si="124"/>
        <v>42</v>
      </c>
      <c r="AB358" s="56">
        <f ca="1">_xlfn.CEILING.MATH(INDIRECT(ADDRESS(311,22+MATCH($P$28,'I.A. + Fasce'!$W$84:$AA$84,0),1,1) &amp; ":" &amp; ADDRESS(531,22+MATCH($P$28,'I.A. + Fasce'!$W$84:$AA$84,0),1,1))/Asta!$H$3)</f>
        <v>6</v>
      </c>
    </row>
    <row r="359" spans="1:28" ht="14.25" customHeight="1">
      <c r="A359" s="239" t="str">
        <f ca="1">IF(Giocatori!J76="","C",Giocatori!J76)</f>
        <v>C</v>
      </c>
      <c r="B359" s="239" t="str">
        <f ca="1">IF(Giocatori!K76="","ZZZ" &amp; ROW(),Giocatori!K76)</f>
        <v>GAGLIARDINI</v>
      </c>
      <c r="C359" s="239" t="str">
        <f ca="1">IF(Giocatori!L76="","NDR" &amp; ROW(),Giocatori!L76)</f>
        <v>Inter</v>
      </c>
      <c r="D359" s="63">
        <f ca="1">IF(ISNA(VLOOKUP($B359,TabAlgTutti,6,FALSE)),0,VLOOKUP($B359,TabAlgTutti,6,FALSE))+ROW()/100000</f>
        <v>76.003590000000003</v>
      </c>
      <c r="E359" s="63">
        <f ca="1">IF(ISNA(VLOOKUP($B359,TabAlgTutti,5,FALSE)),0,VLOOKUP($B359,TabAlgTutti,5,FALSE))+ROW()/100000</f>
        <v>42.003590000000003</v>
      </c>
      <c r="F359" s="64">
        <f ca="1">($D359*$P$8+$E359*(1+$E359*100/60/100)*$S$8)/100+ROW()/100000</f>
        <v>73.709693107400852</v>
      </c>
      <c r="G359" s="63" t="str">
        <f ca="1">IF(ISNA(VLOOKUP($B359,TabAlgTutti,7,FALSE)),"",IF(VLOOKUP($B359,TabAlgTutti,7,FALSE)=-1,"SCONSIGLIATO",IF(VLOOKUP($B359,TabAlgTutti,7,FALSE)=0,"SORPRESA",IF(VLOOKUP($B359,TabAlgTutti,7,FALSE)=1,"CONSIGLIATO",""))))</f>
        <v/>
      </c>
      <c r="H359" s="65">
        <f ca="1">IF(ISNA(VLOOKUP($B359,TabAlgTutti,8,FALSE)),"",VLOOKUP($B359,TabAlgTutti,8,FALSE))</f>
        <v>70</v>
      </c>
      <c r="I359" s="63" t="str">
        <f ca="1">IF(ISNA(VLOOKUP($B359,TabAlgTutti,9,FALSE)),"",IF(VLOOKUP($B359,TabAlgTutti,9,FALSE)="","",VLOOKUP($B359,TabAlgTutti,9,FALSE)&amp;"R "))&amp;IF(ISNA(VLOOKUP($B359,TabAlgTutti,10,FALSE)),"",IF(VLOOKUP($B359,TabAlgTutti,10,FALSE)="","",VLOOKUP($B359,TabAlgTutti,10,FALSE)&amp;"P "))&amp;IF(ISNA(VLOOKUP($B359,TabAlgTutti,11,FALSE)),"",IF(VLOOKUP($B359,TabAlgTutti,11,FALSE)="","",VLOOKUP($B359,TabAlgTutti,11,FALSE)&amp;"A"))</f>
        <v/>
      </c>
      <c r="J359" s="63">
        <f ca="1">IF(ISNA(VLOOKUP($B359,TabAlgTutti,3,FALSE)),0,VLOOKUP($B359,TabAlgTutti,3,FALSE))+ROW()/100000</f>
        <v>21.629294597579236</v>
      </c>
      <c r="K359" s="63">
        <f ca="1">IF(ISNA(VLOOKUP($B359,TabAlgTutti,4,FALSE)),0,VLOOKUP($B359,TabAlgTutti,4,FALSE))+ROW()/100000</f>
        <v>21.026685245982176</v>
      </c>
      <c r="L359" s="63" t="e">
        <f ca="1">VLOOKUP(Tabella114[[#This Row],[Calciatore]],'Raccolta Aste'!$K$2:$O$33,4,FALSE)*Asta!$U$3/100</f>
        <v>#N/A</v>
      </c>
      <c r="N359" s="59">
        <f t="shared" si="133"/>
        <v>52</v>
      </c>
      <c r="O359" s="62" t="str">
        <f ca="1">IF(ISNUMBER(N359),INDIRECT("B" &amp; 310 + MATCH(N359,INDIRECT(ADDRESS(311,22+MATCH($P$28,'I.A. + Fasce'!$W$84:$AA$84,0),1,1) &amp; ":" &amp; ADDRESS(531,22+MATCH($P$28,'I.A. + Fasce'!$W$84:$AA$84,0),1,1)),0)),"")</f>
        <v>BESSA</v>
      </c>
      <c r="P359" s="62" t="str">
        <f t="shared" ca="1" si="135"/>
        <v>Verona</v>
      </c>
      <c r="Q359" s="59">
        <f t="shared" si="134"/>
        <v>60</v>
      </c>
      <c r="R359" s="62" t="str">
        <f ca="1">IF(ISNUMBER(Q359),INDIRECT("B" &amp; 310 + MATCH(Q359,INDIRECT(ADDRESS(311,22+MATCH($P$28,'I.A. + Fasce'!$W$84:$AA$84,0),1,1) &amp; ":" &amp; ADDRESS(531,22+MATCH($P$28,'I.A. + Fasce'!$W$84:$AA$84,0),1,1)),0)),"")</f>
        <v>BARBERIS</v>
      </c>
      <c r="S359" s="62" t="str">
        <f t="shared" ca="1" si="136"/>
        <v>Crotone</v>
      </c>
      <c r="W359" s="56">
        <f t="shared" ca="1" si="120"/>
        <v>51</v>
      </c>
      <c r="X359" s="56">
        <f t="shared" ca="1" si="121"/>
        <v>52</v>
      </c>
      <c r="Y359" s="56">
        <f t="shared" ca="1" si="122"/>
        <v>49</v>
      </c>
      <c r="Z359" s="56">
        <f t="shared" ca="1" si="123"/>
        <v>37</v>
      </c>
      <c r="AA359" s="56">
        <f t="shared" ca="1" si="124"/>
        <v>38</v>
      </c>
      <c r="AB359" s="56">
        <f ca="1">_xlfn.CEILING.MATH(INDIRECT(ADDRESS(311,22+MATCH($P$28,'I.A. + Fasce'!$W$84:$AA$84,0),1,1) &amp; ":" &amp; ADDRESS(531,22+MATCH($P$28,'I.A. + Fasce'!$W$84:$AA$84,0),1,1))/Asta!$H$3)</f>
        <v>7</v>
      </c>
    </row>
    <row r="360" spans="1:28" ht="14.25" customHeight="1">
      <c r="A360" s="239" t="str">
        <f ca="1">IF(Giocatori!J105="","C",Giocatori!J105)</f>
        <v>C</v>
      </c>
      <c r="B360" s="239" t="str">
        <f ca="1">IF(Giocatori!K105="","ZZZ" &amp; ROW(),Giocatori!K105)</f>
        <v>KREJCI</v>
      </c>
      <c r="C360" s="239" t="str">
        <f ca="1">IF(Giocatori!L105="","NDR" &amp; ROW(),Giocatori!L105)</f>
        <v>Bologna</v>
      </c>
      <c r="D360" s="63">
        <f ca="1">IF(ISNA(VLOOKUP($B360,TabAlgTutti,6,FALSE)),0,VLOOKUP($B360,TabAlgTutti,6,FALSE))+ROW()/100000</f>
        <v>78.003600000000006</v>
      </c>
      <c r="E360" s="63">
        <f ca="1">IF(ISNA(VLOOKUP($B360,TabAlgTutti,5,FALSE)),0,VLOOKUP($B360,TabAlgTutti,5,FALSE))+ROW()/100000</f>
        <v>41.003599999999999</v>
      </c>
      <c r="F360" s="64">
        <f ca="1">($D360*$P$8+$E360*(1+$E360*100/60/100)*$S$8)/100+ROW()/100000</f>
        <v>73.517993441333331</v>
      </c>
      <c r="G360" s="63" t="str">
        <f ca="1">IF(ISNA(VLOOKUP($B360,TabAlgTutti,7,FALSE)),"",IF(VLOOKUP($B360,TabAlgTutti,7,FALSE)=-1,"SCONSIGLIATO",IF(VLOOKUP($B360,TabAlgTutti,7,FALSE)=0,"SORPRESA",IF(VLOOKUP($B360,TabAlgTutti,7,FALSE)=1,"CONSIGLIATO",""))))</f>
        <v>CONSIGLIATO</v>
      </c>
      <c r="H360" s="65">
        <f ca="1">IF(ISNA(VLOOKUP($B360,TabAlgTutti,8,FALSE)),"",VLOOKUP($B360,TabAlgTutti,8,FALSE))</f>
        <v>80</v>
      </c>
      <c r="I360" s="63" t="str">
        <f ca="1">IF(ISNA(VLOOKUP($B360,TabAlgTutti,9,FALSE)),"",IF(VLOOKUP($B360,TabAlgTutti,9,FALSE)="","",VLOOKUP($B360,TabAlgTutti,9,FALSE)&amp;"R "))&amp;IF(ISNA(VLOOKUP($B360,TabAlgTutti,10,FALSE)),"",IF(VLOOKUP($B360,TabAlgTutti,10,FALSE)="","",VLOOKUP($B360,TabAlgTutti,10,FALSE)&amp;"P "))&amp;IF(ISNA(VLOOKUP($B360,TabAlgTutti,11,FALSE)),"",IF(VLOOKUP($B360,TabAlgTutti,11,FALSE)="","",VLOOKUP($B360,TabAlgTutti,11,FALSE)&amp;"A"))</f>
        <v>3R 2P 2A</v>
      </c>
      <c r="J360" s="63">
        <f ca="1">IF(ISNA(VLOOKUP($B360,TabAlgTutti,3,FALSE)),0,VLOOKUP($B360,TabAlgTutti,3,FALSE))+ROW()/100000</f>
        <v>1.0036</v>
      </c>
      <c r="K360" s="63">
        <f ca="1">IF(ISNA(VLOOKUP($B360,TabAlgTutti,4,FALSE)),0,VLOOKUP($B360,TabAlgTutti,4,FALSE))+ROW()/100000</f>
        <v>1.0036</v>
      </c>
      <c r="L360" s="63" t="e">
        <f ca="1">VLOOKUP(Tabella114[[#This Row],[Calciatore]],'Raccolta Aste'!$K$2:$O$33,4,FALSE)*Asta!$U$3/100</f>
        <v>#N/A</v>
      </c>
      <c r="N360" s="59">
        <f t="shared" si="133"/>
        <v>53</v>
      </c>
      <c r="O360" s="62" t="str">
        <f ca="1">IF(ISNUMBER(N360),INDIRECT("B" &amp; 310 + MATCH(N360,INDIRECT(ADDRESS(311,22+MATCH($P$28,'I.A. + Fasce'!$W$84:$AA$84,0),1,1) &amp; ":" &amp; ADDRESS(531,22+MATCH($P$28,'I.A. + Fasce'!$W$84:$AA$84,0),1,1)),0)),"")</f>
        <v>LINETTY</v>
      </c>
      <c r="P360" s="62" t="str">
        <f t="shared" ca="1" si="135"/>
        <v>Sampdoria</v>
      </c>
      <c r="Q360" s="59">
        <f t="shared" si="134"/>
        <v>61</v>
      </c>
      <c r="R360" s="62" t="str">
        <f ca="1">IF(ISNUMBER(Q360),INDIRECT("B" &amp; 310 + MATCH(Q360,INDIRECT(ADDRESS(311,22+MATCH($P$28,'I.A. + Fasce'!$W$84:$AA$84,0),1,1) &amp; ":" &amp; ADDRESS(531,22+MATCH($P$28,'I.A. + Fasce'!$W$84:$AA$84,0),1,1)),0)),"")</f>
        <v>CIGARINI</v>
      </c>
      <c r="S360" s="62" t="str">
        <f t="shared" ca="1" si="136"/>
        <v>Cagliari</v>
      </c>
      <c r="W360" s="56">
        <f t="shared" ca="1" si="120"/>
        <v>33</v>
      </c>
      <c r="X360" s="56">
        <f t="shared" ca="1" si="121"/>
        <v>70</v>
      </c>
      <c r="Y360" s="56">
        <f t="shared" ca="1" si="122"/>
        <v>50</v>
      </c>
      <c r="Z360" s="56">
        <f t="shared" ca="1" si="123"/>
        <v>174</v>
      </c>
      <c r="AA360" s="56">
        <f t="shared" ca="1" si="124"/>
        <v>174</v>
      </c>
      <c r="AB360" s="56">
        <f ca="1">_xlfn.CEILING.MATH(INDIRECT(ADDRESS(311,22+MATCH($P$28,'I.A. + Fasce'!$W$84:$AA$84,0),1,1) &amp; ":" &amp; ADDRESS(531,22+MATCH($P$28,'I.A. + Fasce'!$W$84:$AA$84,0),1,1))/Asta!$H$3)</f>
        <v>7</v>
      </c>
    </row>
    <row r="361" spans="1:28" ht="14.25" customHeight="1">
      <c r="A361" s="239" t="str">
        <f ca="1">IF(Giocatori!J33="","C",Giocatori!J33)</f>
        <v>C</v>
      </c>
      <c r="B361" s="239" t="str">
        <f ca="1">IF(Giocatori!K33="","ZZZ" &amp; ROW(),Giocatori!K33)</f>
        <v>BROZOVIC</v>
      </c>
      <c r="C361" s="239" t="str">
        <f ca="1">IF(Giocatori!L33="","NDR" &amp; ROW(),Giocatori!L33)</f>
        <v>Inter</v>
      </c>
      <c r="D361" s="63">
        <f ca="1">IF(ISNA(VLOOKUP($B361,TabAlgTutti,6,FALSE)),0,VLOOKUP($B361,TabAlgTutti,6,FALSE))+ROW()/100000</f>
        <v>80.003609999999995</v>
      </c>
      <c r="E361" s="63">
        <f ca="1">IF(ISNA(VLOOKUP($B361,TabAlgTutti,5,FALSE)),0,VLOOKUP($B361,TabAlgTutti,5,FALSE))+ROW()/100000</f>
        <v>40.003610000000002</v>
      </c>
      <c r="F361" s="64">
        <f ca="1">($D361*$P$8+$E361*(1+$E361*100/60/100)*$S$8)/100+ROW()/100000</f>
        <v>73.34296010860082</v>
      </c>
      <c r="G361" s="63" t="str">
        <f ca="1">IF(ISNA(VLOOKUP($B361,TabAlgTutti,7,FALSE)),"",IF(VLOOKUP($B361,TabAlgTutti,7,FALSE)=-1,"SCONSIGLIATO",IF(VLOOKUP($B361,TabAlgTutti,7,FALSE)=0,"SORPRESA",IF(VLOOKUP($B361,TabAlgTutti,7,FALSE)=1,"CONSIGLIATO",""))))</f>
        <v/>
      </c>
      <c r="H361" s="65">
        <f ca="1">IF(ISNA(VLOOKUP($B361,TabAlgTutti,8,FALSE)),"",VLOOKUP($B361,TabAlgTutti,8,FALSE))</f>
        <v>60</v>
      </c>
      <c r="I361" s="63" t="str">
        <f ca="1">IF(ISNA(VLOOKUP($B361,TabAlgTutti,9,FALSE)),"",IF(VLOOKUP($B361,TabAlgTutti,9,FALSE)="","",VLOOKUP($B361,TabAlgTutti,9,FALSE)&amp;"R "))&amp;IF(ISNA(VLOOKUP($B361,TabAlgTutti,10,FALSE)),"",IF(VLOOKUP($B361,TabAlgTutti,10,FALSE)="","",VLOOKUP($B361,TabAlgTutti,10,FALSE)&amp;"P "))&amp;IF(ISNA(VLOOKUP($B361,TabAlgTutti,11,FALSE)),"",IF(VLOOKUP($B361,TabAlgTutti,11,FALSE)="","",VLOOKUP($B361,TabAlgTutti,11,FALSE)&amp;"A"))</f>
        <v xml:space="preserve">4P </v>
      </c>
      <c r="J361" s="63">
        <f ca="1">IF(ISNA(VLOOKUP($B361,TabAlgTutti,3,FALSE)),0,VLOOKUP($B361,TabAlgTutti,3,FALSE))+ROW()/100000</f>
        <v>14.336523897352775</v>
      </c>
      <c r="K361" s="63">
        <f ca="1">IF(ISNA(VLOOKUP($B361,TabAlgTutti,4,FALSE)),0,VLOOKUP($B361,TabAlgTutti,4,FALSE))+ROW()/100000</f>
        <v>14.656405929720711</v>
      </c>
      <c r="L361" s="63" t="e">
        <f ca="1">VLOOKUP(Tabella114[[#This Row],[Calciatore]],'Raccolta Aste'!$K$2:$O$33,4,FALSE)*Asta!$U$3/100</f>
        <v>#N/A</v>
      </c>
      <c r="N361" s="59">
        <f t="shared" si="133"/>
        <v>54</v>
      </c>
      <c r="O361" s="62" t="str">
        <f ca="1">IF(ISNUMBER(N361),INDIRECT("B" &amp; 310 + MATCH(N361,INDIRECT(ADDRESS(311,22+MATCH($P$28,'I.A. + Fasce'!$W$84:$AA$84,0),1,1) &amp; ":" &amp; ADDRESS(531,22+MATCH($P$28,'I.A. + Fasce'!$W$84:$AA$84,0),1,1)),0)),"")</f>
        <v>BENASSI</v>
      </c>
      <c r="P361" s="62" t="str">
        <f t="shared" ca="1" si="135"/>
        <v>Fiorentina</v>
      </c>
      <c r="Q361" s="59">
        <f t="shared" si="134"/>
        <v>62</v>
      </c>
      <c r="R361" s="62" t="str">
        <f ca="1">IF(ISNUMBER(Q361),INDIRECT("B" &amp; 310 + MATCH(Q361,INDIRECT(ADDRESS(311,22+MATCH($P$28,'I.A. + Fasce'!$W$84:$AA$84,0),1,1) &amp; ":" &amp; ADDRESS(531,22+MATCH($P$28,'I.A. + Fasce'!$W$84:$AA$84,0),1,1)),0)),"")</f>
        <v>D'ALESSANDRO</v>
      </c>
      <c r="S361" s="62" t="str">
        <f t="shared" ca="1" si="136"/>
        <v>Benevento</v>
      </c>
      <c r="W361" s="56">
        <f t="shared" ca="1" si="120"/>
        <v>23</v>
      </c>
      <c r="X361" s="56">
        <f t="shared" ca="1" si="121"/>
        <v>81</v>
      </c>
      <c r="Y361" s="56">
        <f t="shared" ca="1" si="122"/>
        <v>51</v>
      </c>
      <c r="Z361" s="56">
        <f t="shared" ca="1" si="123"/>
        <v>50</v>
      </c>
      <c r="AA361" s="56">
        <f t="shared" ca="1" si="124"/>
        <v>52</v>
      </c>
      <c r="AB361" s="56">
        <f ca="1">_xlfn.CEILING.MATH(INDIRECT(ADDRESS(311,22+MATCH($P$28,'I.A. + Fasce'!$W$84:$AA$84,0),1,1) &amp; ":" &amp; ADDRESS(531,22+MATCH($P$28,'I.A. + Fasce'!$W$84:$AA$84,0),1,1))/Asta!$H$3)</f>
        <v>7</v>
      </c>
    </row>
    <row r="362" spans="1:28" ht="14.25" customHeight="1">
      <c r="A362" s="239" t="str">
        <f ca="1">IF(Giocatori!J26="","C",Giocatori!J26)</f>
        <v>C</v>
      </c>
      <c r="B362" s="239" t="str">
        <f ca="1">IF(Giocatori!K26="","ZZZ" &amp; ROW(),Giocatori!K26)</f>
        <v>BESSA</v>
      </c>
      <c r="C362" s="239" t="str">
        <f ca="1">IF(Giocatori!L26="","NDR" &amp; ROW(),Giocatori!L26)</f>
        <v>Verona</v>
      </c>
      <c r="D362" s="63">
        <f ca="1">IF(ISNA(VLOOKUP($B362,TabAlgTutti,6,FALSE)),0,VLOOKUP($B362,TabAlgTutti,6,FALSE))+ROW()/100000</f>
        <v>75.003619999999998</v>
      </c>
      <c r="E362" s="63">
        <f ca="1">IF(ISNA(VLOOKUP($B362,TabAlgTutti,5,FALSE)),0,VLOOKUP($B362,TabAlgTutti,5,FALSE))+ROW()/100000</f>
        <v>42.003619999999998</v>
      </c>
      <c r="F362" s="64">
        <f ca="1">($D362*$P$8+$E362*(1+$E362*100/60/100)*$S$8)/100+ROW()/100000</f>
        <v>73.209774109203337</v>
      </c>
      <c r="G362" s="63" t="str">
        <f ca="1">IF(ISNA(VLOOKUP($B362,TabAlgTutti,7,FALSE)),"",IF(VLOOKUP($B362,TabAlgTutti,7,FALSE)=-1,"SCONSIGLIATO",IF(VLOOKUP($B362,TabAlgTutti,7,FALSE)=0,"SORPRESA",IF(VLOOKUP($B362,TabAlgTutti,7,FALSE)=1,"CONSIGLIATO",""))))</f>
        <v>CONSIGLIATO</v>
      </c>
      <c r="H362" s="65">
        <f ca="1">IF(ISNA(VLOOKUP($B362,TabAlgTutti,8,FALSE)),"",VLOOKUP($B362,TabAlgTutti,8,FALSE))</f>
        <v>80</v>
      </c>
      <c r="I362" s="63" t="str">
        <f ca="1">IF(ISNA(VLOOKUP($B362,TabAlgTutti,9,FALSE)),"",IF(VLOOKUP($B362,TabAlgTutti,9,FALSE)="","",VLOOKUP($B362,TabAlgTutti,9,FALSE)&amp;"R "))&amp;IF(ISNA(VLOOKUP($B362,TabAlgTutti,10,FALSE)),"",IF(VLOOKUP($B362,TabAlgTutti,10,FALSE)="","",VLOOKUP($B362,TabAlgTutti,10,FALSE)&amp;"P "))&amp;IF(ISNA(VLOOKUP($B362,TabAlgTutti,11,FALSE)),"",IF(VLOOKUP($B362,TabAlgTutti,11,FALSE)="","",VLOOKUP($B362,TabAlgTutti,11,FALSE)&amp;"A"))</f>
        <v>3R 1P 1A</v>
      </c>
      <c r="J362" s="63">
        <f ca="1">IF(ISNA(VLOOKUP($B362,TabAlgTutti,3,FALSE)),0,VLOOKUP($B362,TabAlgTutti,3,FALSE))+ROW()/100000</f>
        <v>1.00362</v>
      </c>
      <c r="K362" s="63">
        <f ca="1">IF(ISNA(VLOOKUP($B362,TabAlgTutti,4,FALSE)),0,VLOOKUP($B362,TabAlgTutti,4,FALSE))+ROW()/100000</f>
        <v>1.00362</v>
      </c>
      <c r="L362" s="63" t="e">
        <f ca="1">VLOOKUP(Tabella114[[#This Row],[Calciatore]],'Raccolta Aste'!$K$2:$O$33,4,FALSE)*Asta!$U$3/100</f>
        <v>#N/A</v>
      </c>
      <c r="N362" s="59">
        <f t="shared" si="133"/>
        <v>55</v>
      </c>
      <c r="O362" s="62" t="str">
        <f ca="1">IF(ISNUMBER(N362),INDIRECT("B" &amp; 310 + MATCH(N362,INDIRECT(ADDRESS(311,22+MATCH($P$28,'I.A. + Fasce'!$W$84:$AA$84,0),1,1) &amp; ":" &amp; ADDRESS(531,22+MATCH($P$28,'I.A. + Fasce'!$W$84:$AA$84,0),1,1)),0)),"")</f>
        <v>UNDER</v>
      </c>
      <c r="P362" s="62" t="str">
        <f t="shared" ca="1" si="135"/>
        <v>Roma</v>
      </c>
      <c r="Q362" s="59">
        <f t="shared" si="134"/>
        <v>63</v>
      </c>
      <c r="R362" s="62" t="str">
        <f ca="1">IF(ISNUMBER(Q362),INDIRECT("B" &amp; 310 + MATCH(Q362,INDIRECT(ADDRESS(311,22+MATCH($P$28,'I.A. + Fasce'!$W$84:$AA$84,0),1,1) &amp; ":" &amp; ADDRESS(531,22+MATCH($P$28,'I.A. + Fasce'!$W$84:$AA$84,0),1,1)),0)),"")</f>
        <v>BADELJ</v>
      </c>
      <c r="S362" s="62" t="str">
        <f t="shared" ca="1" si="136"/>
        <v>Fiorentina</v>
      </c>
      <c r="W362" s="56">
        <f t="shared" ca="1" si="120"/>
        <v>58</v>
      </c>
      <c r="X362" s="56">
        <f t="shared" ca="1" si="121"/>
        <v>51</v>
      </c>
      <c r="Y362" s="56">
        <f t="shared" ca="1" si="122"/>
        <v>52</v>
      </c>
      <c r="Z362" s="56">
        <f t="shared" ca="1" si="123"/>
        <v>173</v>
      </c>
      <c r="AA362" s="56">
        <f t="shared" ca="1" si="124"/>
        <v>173</v>
      </c>
      <c r="AB362" s="56">
        <f ca="1">_xlfn.CEILING.MATH(INDIRECT(ADDRESS(311,22+MATCH($P$28,'I.A. + Fasce'!$W$84:$AA$84,0),1,1) &amp; ":" &amp; ADDRESS(531,22+MATCH($P$28,'I.A. + Fasce'!$W$84:$AA$84,0),1,1))/Asta!$H$3)</f>
        <v>7</v>
      </c>
    </row>
    <row r="363" spans="1:28" ht="14.25" customHeight="1">
      <c r="A363" s="239" t="str">
        <f ca="1">IF(Giocatori!J110="","C",Giocatori!J110)</f>
        <v>C</v>
      </c>
      <c r="B363" s="239" t="str">
        <f ca="1">IF(Giocatori!K110="","ZZZ" &amp; ROW(),Giocatori!K110)</f>
        <v>LINETTY</v>
      </c>
      <c r="C363" s="239" t="str">
        <f ca="1">IF(Giocatori!L110="","NDR" &amp; ROW(),Giocatori!L110)</f>
        <v>Sampdoria</v>
      </c>
      <c r="D363" s="63">
        <f ca="1">IF(ISNA(VLOOKUP($B363,TabAlgTutti,6,FALSE)),0,VLOOKUP($B363,TabAlgTutti,6,FALSE))+ROW()/100000</f>
        <v>72.003630000000001</v>
      </c>
      <c r="E363" s="63">
        <f ca="1">IF(ISNA(VLOOKUP($B363,TabAlgTutti,5,FALSE)),0,VLOOKUP($B363,TabAlgTutti,5,FALSE))+ROW()/100000</f>
        <v>43.003630000000001</v>
      </c>
      <c r="F363" s="64">
        <f ca="1">($D363*$P$8+$E363*(1+$E363*100/60/100)*$S$8)/100+ROW()/100000</f>
        <v>72.918194943140847</v>
      </c>
      <c r="G363" s="63" t="str">
        <f ca="1">IF(ISNA(VLOOKUP($B363,TabAlgTutti,7,FALSE)),"",IF(VLOOKUP($B363,TabAlgTutti,7,FALSE)=-1,"SCONSIGLIATO",IF(VLOOKUP($B363,TabAlgTutti,7,FALSE)=0,"SORPRESA",IF(VLOOKUP($B363,TabAlgTutti,7,FALSE)=1,"CONSIGLIATO",""))))</f>
        <v>SORPRESA</v>
      </c>
      <c r="H363" s="65">
        <f ca="1">IF(ISNA(VLOOKUP($B363,TabAlgTutti,8,FALSE)),"",VLOOKUP($B363,TabAlgTutti,8,FALSE))</f>
        <v>60</v>
      </c>
      <c r="I363" s="63" t="str">
        <f ca="1">IF(ISNA(VLOOKUP($B363,TabAlgTutti,9,FALSE)),"",IF(VLOOKUP($B363,TabAlgTutti,9,FALSE)="","",VLOOKUP($B363,TabAlgTutti,9,FALSE)&amp;"R "))&amp;IF(ISNA(VLOOKUP($B363,TabAlgTutti,10,FALSE)),"",IF(VLOOKUP($B363,TabAlgTutti,10,FALSE)="","",VLOOKUP($B363,TabAlgTutti,10,FALSE)&amp;"P "))&amp;IF(ISNA(VLOOKUP($B363,TabAlgTutti,11,FALSE)),"",IF(VLOOKUP($B363,TabAlgTutti,11,FALSE)="","",VLOOKUP($B363,TabAlgTutti,11,FALSE)&amp;"A"))</f>
        <v/>
      </c>
      <c r="J363" s="63">
        <f ca="1">IF(ISNA(VLOOKUP($B363,TabAlgTutti,3,FALSE)),0,VLOOKUP($B363,TabAlgTutti,3,FALSE))+ROW()/100000</f>
        <v>14.456156309243822</v>
      </c>
      <c r="K363" s="63">
        <f ca="1">IF(ISNA(VLOOKUP($B363,TabAlgTutti,4,FALSE)),0,VLOOKUP($B363,TabAlgTutti,4,FALSE))+ROW()/100000</f>
        <v>13.828770537911991</v>
      </c>
      <c r="L363" s="63" t="e">
        <f ca="1">VLOOKUP(Tabella114[[#This Row],[Calciatore]],'Raccolta Aste'!$K$2:$O$33,4,FALSE)*Asta!$U$3/100</f>
        <v>#N/A</v>
      </c>
      <c r="N363" s="59">
        <f t="shared" si="133"/>
        <v>56</v>
      </c>
      <c r="O363" s="62" t="str">
        <f ca="1">IF(ISNUMBER(N363),INDIRECT("B" &amp; 310 + MATCH(N363,INDIRECT(ADDRESS(311,22+MATCH($P$28,'I.A. + Fasce'!$W$84:$AA$84,0),1,1) &amp; ":" &amp; ADDRESS(531,22+MATCH($P$28,'I.A. + Fasce'!$W$84:$AA$84,0),1,1)),0)),"")</f>
        <v>CRISTANTE</v>
      </c>
      <c r="P363" s="62" t="str">
        <f t="shared" ca="1" si="135"/>
        <v>Atalanta</v>
      </c>
      <c r="Q363" s="59">
        <f t="shared" si="134"/>
        <v>64</v>
      </c>
      <c r="R363" s="62" t="str">
        <f ca="1">IF(ISNUMBER(Q363),INDIRECT("B" &amp; 310 + MATCH(Q363,INDIRECT(ADDRESS(311,22+MATCH($P$28,'I.A. + Fasce'!$W$84:$AA$84,0),1,1) &amp; ":" &amp; ADDRESS(531,22+MATCH($P$28,'I.A. + Fasce'!$W$84:$AA$84,0),1,1)),0)),"")</f>
        <v>DUNCAN</v>
      </c>
      <c r="S363" s="62" t="str">
        <f t="shared" ca="1" si="136"/>
        <v>Sassuolo</v>
      </c>
      <c r="W363" s="56">
        <f t="shared" ca="1" si="120"/>
        <v>82</v>
      </c>
      <c r="X363" s="56">
        <f t="shared" ca="1" si="121"/>
        <v>32</v>
      </c>
      <c r="Y363" s="56">
        <f t="shared" ca="1" si="122"/>
        <v>53</v>
      </c>
      <c r="Z363" s="56">
        <f t="shared" ca="1" si="123"/>
        <v>49</v>
      </c>
      <c r="AA363" s="56">
        <f t="shared" ca="1" si="124"/>
        <v>54</v>
      </c>
      <c r="AB363" s="56">
        <f ca="1">_xlfn.CEILING.MATH(INDIRECT(ADDRESS(311,22+MATCH($P$28,'I.A. + Fasce'!$W$84:$AA$84,0),1,1) &amp; ":" &amp; ADDRESS(531,22+MATCH($P$28,'I.A. + Fasce'!$W$84:$AA$84,0),1,1))/Asta!$H$3)</f>
        <v>7</v>
      </c>
    </row>
    <row r="364" spans="1:28" ht="14.25" customHeight="1">
      <c r="A364" s="239" t="str">
        <f ca="1">IF(Giocatori!J21="","C",Giocatori!J21)</f>
        <v>C</v>
      </c>
      <c r="B364" s="239" t="str">
        <f ca="1">IF(Giocatori!K21="","ZZZ" &amp; ROW(),Giocatori!K21)</f>
        <v>BENASSI</v>
      </c>
      <c r="C364" s="239" t="str">
        <f ca="1">IF(Giocatori!L21="","NDR" &amp; ROW(),Giocatori!L21)</f>
        <v>Fiorentina</v>
      </c>
      <c r="D364" s="63">
        <f ca="1">IF(ISNA(VLOOKUP($B364,TabAlgTutti,6,FALSE)),0,VLOOKUP($B364,TabAlgTutti,6,FALSE))+ROW()/100000</f>
        <v>74.003640000000004</v>
      </c>
      <c r="E364" s="63">
        <f ca="1">IF(ISNA(VLOOKUP($B364,TabAlgTutti,5,FALSE)),0,VLOOKUP($B364,TabAlgTutti,5,FALSE))+ROW()/100000</f>
        <v>42.003639999999997</v>
      </c>
      <c r="F364" s="64">
        <f ca="1">($D364*$P$8+$E364*(1+$E364*100/60/100)*$S$8)/100+ROW()/100000</f>
        <v>72.709828110413341</v>
      </c>
      <c r="G364" s="63" t="str">
        <f ca="1">IF(ISNA(VLOOKUP($B364,TabAlgTutti,7,FALSE)),"",IF(VLOOKUP($B364,TabAlgTutti,7,FALSE)=-1,"SCONSIGLIATO",IF(VLOOKUP($B364,TabAlgTutti,7,FALSE)=0,"SORPRESA",IF(VLOOKUP($B364,TabAlgTutti,7,FALSE)=1,"CONSIGLIATO",""))))</f>
        <v>CONSIGLIATO</v>
      </c>
      <c r="H364" s="65">
        <f ca="1">IF(ISNA(VLOOKUP($B364,TabAlgTutti,8,FALSE)),"",VLOOKUP($B364,TabAlgTutti,8,FALSE))</f>
        <v>80</v>
      </c>
      <c r="I364" s="63" t="str">
        <f ca="1">IF(ISNA(VLOOKUP($B364,TabAlgTutti,9,FALSE)),"",IF(VLOOKUP($B364,TabAlgTutti,9,FALSE)="","",VLOOKUP($B364,TabAlgTutti,9,FALSE)&amp;"R "))&amp;IF(ISNA(VLOOKUP($B364,TabAlgTutti,10,FALSE)),"",IF(VLOOKUP($B364,TabAlgTutti,10,FALSE)="","",VLOOKUP($B364,TabAlgTutti,10,FALSE)&amp;"P "))&amp;IF(ISNA(VLOOKUP($B364,TabAlgTutti,11,FALSE)),"",IF(VLOOKUP($B364,TabAlgTutti,11,FALSE)="","",VLOOKUP($B364,TabAlgTutti,11,FALSE)&amp;"A"))</f>
        <v/>
      </c>
      <c r="J364" s="63">
        <f ca="1">IF(ISNA(VLOOKUP($B364,TabAlgTutti,3,FALSE)),0,VLOOKUP($B364,TabAlgTutti,3,FALSE))+ROW()/100000</f>
        <v>8.947959873583951</v>
      </c>
      <c r="K364" s="63">
        <f ca="1">IF(ISNA(VLOOKUP($B364,TabAlgTutti,4,FALSE)),0,VLOOKUP($B364,TabAlgTutti,4,FALSE))+ROW()/100000</f>
        <v>10.296118261778052</v>
      </c>
      <c r="L364" s="63" t="e">
        <f ca="1">VLOOKUP(Tabella114[[#This Row],[Calciatore]],'Raccolta Aste'!$K$2:$O$33,4,FALSE)*Asta!$U$3/100</f>
        <v>#N/A</v>
      </c>
      <c r="N364" s="59" t="str">
        <f t="shared" si="133"/>
        <v/>
      </c>
      <c r="O364" s="62" t="str">
        <f ca="1">IF(ISNUMBER(N364),INDIRECT("B" &amp; 310 + MATCH(N364,INDIRECT(ADDRESS(311,22+MATCH($P$28,'I.A. + Fasce'!$W$84:$AA$84,0),1,1) &amp; ":" &amp; ADDRESS(531,22+MATCH($P$28,'I.A. + Fasce'!$W$84:$AA$84,0),1,1)),0)),"")</f>
        <v/>
      </c>
      <c r="P364" s="62" t="str">
        <f t="shared" ca="1" si="135"/>
        <v/>
      </c>
      <c r="Q364" s="59" t="str">
        <f t="shared" si="134"/>
        <v/>
      </c>
      <c r="R364" s="62" t="str">
        <f ca="1">IF(ISNUMBER(Q364),INDIRECT("B" &amp; 310 + MATCH(Q364,INDIRECT(ADDRESS(311,22+MATCH($P$28,'I.A. + Fasce'!$W$84:$AA$84,0),1,1) &amp; ":" &amp; ADDRESS(531,22+MATCH($P$28,'I.A. + Fasce'!$W$84:$AA$84,0),1,1)),0)),"")</f>
        <v/>
      </c>
      <c r="S364" s="62" t="str">
        <f t="shared" ca="1" si="136"/>
        <v/>
      </c>
      <c r="W364" s="56">
        <f t="shared" ca="1" si="120"/>
        <v>66</v>
      </c>
      <c r="X364" s="56">
        <f t="shared" ca="1" si="121"/>
        <v>50</v>
      </c>
      <c r="Y364" s="56">
        <f t="shared" ca="1" si="122"/>
        <v>54</v>
      </c>
      <c r="Z364" s="56">
        <f t="shared" ca="1" si="123"/>
        <v>64</v>
      </c>
      <c r="AA364" s="56">
        <f t="shared" ca="1" si="124"/>
        <v>63</v>
      </c>
      <c r="AB364" s="56">
        <f ca="1">_xlfn.CEILING.MATH(INDIRECT(ADDRESS(311,22+MATCH($P$28,'I.A. + Fasce'!$W$84:$AA$84,0),1,1) &amp; ":" &amp; ADDRESS(531,22+MATCH($P$28,'I.A. + Fasce'!$W$84:$AA$84,0),1,1))/Asta!$H$3)</f>
        <v>7</v>
      </c>
    </row>
    <row r="365" spans="1:28" ht="14.25" customHeight="1">
      <c r="A365" s="239" t="str">
        <f ca="1">IF(Giocatori!J219="","C",Giocatori!J219)</f>
        <v>C</v>
      </c>
      <c r="B365" s="239" t="str">
        <f ca="1">IF(Giocatori!K168="","ZZZ" &amp; ROW(),Giocatori!K168)</f>
        <v>UNDER</v>
      </c>
      <c r="C365" s="239" t="str">
        <f ca="1">IF(Giocatori!L168="","NDR" &amp; ROW(),Giocatori!L168)</f>
        <v>Roma</v>
      </c>
      <c r="D365" s="63">
        <f ca="1">IF(ISNA(VLOOKUP($B365,TabAlgTutti,6,FALSE)),0,VLOOKUP($B365,TabAlgTutti,6,FALSE))+ROW()/100000</f>
        <v>81.003649999999993</v>
      </c>
      <c r="E365" s="63">
        <f ca="1">IF(ISNA(VLOOKUP($B365,TabAlgTutti,5,FALSE)),0,VLOOKUP($B365,TabAlgTutti,5,FALSE))+ROW()/100000</f>
        <v>39.00365</v>
      </c>
      <c r="F365" s="64">
        <f ca="1">($D365*$P$8+$E365*(1+$E365*100/60/100)*$S$8)/100+ROW()/100000</f>
        <v>72.684672611020829</v>
      </c>
      <c r="G365" s="63" t="str">
        <f ca="1">IF(ISNA(VLOOKUP($B365,TabAlgTutti,7,FALSE)),"",IF(VLOOKUP($B365,TabAlgTutti,7,FALSE)=-1,"SCONSIGLIATO",IF(VLOOKUP($B365,TabAlgTutti,7,FALSE)=0,"SORPRESA",IF(VLOOKUP($B365,TabAlgTutti,7,FALSE)=1,"CONSIGLIATO",""))))</f>
        <v>SORPRESA</v>
      </c>
      <c r="H365" s="65">
        <f ca="1">IF(ISNA(VLOOKUP($B365,TabAlgTutti,8,FALSE)),"",VLOOKUP($B365,TabAlgTutti,8,FALSE))</f>
        <v>50</v>
      </c>
      <c r="I365" s="63" t="str">
        <f ca="1">IF(ISNA(VLOOKUP($B365,TabAlgTutti,9,FALSE)),"",IF(VLOOKUP($B365,TabAlgTutti,9,FALSE)="","",VLOOKUP($B365,TabAlgTutti,9,FALSE)&amp;"R "))&amp;IF(ISNA(VLOOKUP($B365,TabAlgTutti,10,FALSE)),"",IF(VLOOKUP($B365,TabAlgTutti,10,FALSE)="","",VLOOKUP($B365,TabAlgTutti,10,FALSE)&amp;"P "))&amp;IF(ISNA(VLOOKUP($B365,TabAlgTutti,11,FALSE)),"",IF(VLOOKUP($B365,TabAlgTutti,11,FALSE)="","",VLOOKUP($B365,TabAlgTutti,11,FALSE)&amp;"A"))</f>
        <v/>
      </c>
      <c r="J365" s="63">
        <f ca="1">IF(ISNA(VLOOKUP($B365,TabAlgTutti,3,FALSE)),0,VLOOKUP($B365,TabAlgTutti,3,FALSE))+ROW()/100000</f>
        <v>18.636300896361512</v>
      </c>
      <c r="K365" s="63">
        <f ca="1">IF(ISNA(VLOOKUP($B365,TabAlgTutti,4,FALSE)),0,VLOOKUP($B365,TabAlgTutti,4,FALSE))+ROW()/100000</f>
        <v>19.83550494641414</v>
      </c>
      <c r="L365" s="63" t="e">
        <f ca="1">VLOOKUP(Tabella114[[#This Row],[Calciatore]],'Raccolta Aste'!$K$2:$O$33,4,FALSE)*Asta!$U$3/100</f>
        <v>#N/A</v>
      </c>
      <c r="N365" s="59" t="str">
        <f t="shared" si="133"/>
        <v/>
      </c>
      <c r="O365" s="62" t="str">
        <f ca="1">IF(ISNUMBER(N365),INDIRECT("B" &amp; 310 + MATCH(N365,INDIRECT(ADDRESS(311,22+MATCH($P$28,'I.A. + Fasce'!$W$84:$AA$84,0),1,1) &amp; ":" &amp; ADDRESS(531,22+MATCH($P$28,'I.A. + Fasce'!$W$84:$AA$84,0),1,1)),0)),"")</f>
        <v/>
      </c>
      <c r="P365" s="62" t="str">
        <f t="shared" ca="1" si="135"/>
        <v/>
      </c>
      <c r="Q365" s="59" t="str">
        <f t="shared" si="134"/>
        <v/>
      </c>
      <c r="R365" s="62" t="str">
        <f ca="1">IF(ISNUMBER(Q365),INDIRECT("B" &amp; 310 + MATCH(Q365,INDIRECT(ADDRESS(311,22+MATCH($P$28,'I.A. + Fasce'!$W$84:$AA$84,0),1,1) &amp; ":" &amp; ADDRESS(531,22+MATCH($P$28,'I.A. + Fasce'!$W$84:$AA$84,0),1,1)),0)),"")</f>
        <v/>
      </c>
      <c r="S365" s="62" t="str">
        <f t="shared" ca="1" si="136"/>
        <v/>
      </c>
      <c r="W365" s="56">
        <f t="shared" ca="1" si="120"/>
        <v>22</v>
      </c>
      <c r="X365" s="56">
        <f t="shared" ca="1" si="121"/>
        <v>91</v>
      </c>
      <c r="Y365" s="56">
        <f t="shared" ca="1" si="122"/>
        <v>55</v>
      </c>
      <c r="Z365" s="56">
        <f t="shared" ca="1" si="123"/>
        <v>40</v>
      </c>
      <c r="AA365" s="56">
        <f t="shared" ca="1" si="124"/>
        <v>40</v>
      </c>
      <c r="AB365" s="56">
        <f ca="1">_xlfn.CEILING.MATH(INDIRECT(ADDRESS(311,22+MATCH($P$28,'I.A. + Fasce'!$W$84:$AA$84,0),1,1) &amp; ":" &amp; ADDRESS(531,22+MATCH($P$28,'I.A. + Fasce'!$W$84:$AA$84,0),1,1))/Asta!$H$3)</f>
        <v>7</v>
      </c>
    </row>
    <row r="366" spans="1:28" ht="14.25" customHeight="1">
      <c r="A366" s="239" t="str">
        <f ca="1">IF(Giocatori!J94="","C",Giocatori!J94)</f>
        <v>C</v>
      </c>
      <c r="B366" s="239" t="str">
        <f ca="1">IF(Giocatori!K94="","ZZZ" &amp; ROW(),Giocatori!K94)</f>
        <v>IONITA</v>
      </c>
      <c r="C366" s="239" t="str">
        <f ca="1">IF(Giocatori!L94="","NDR" &amp; ROW(),Giocatori!L94)</f>
        <v>Cagliari</v>
      </c>
      <c r="D366" s="63">
        <f ca="1">IF(ISNA(VLOOKUP($B366,TabAlgTutti,6,FALSE)),0,VLOOKUP($B366,TabAlgTutti,6,FALSE))+ROW()/100000</f>
        <v>76.003659999999996</v>
      </c>
      <c r="E366" s="63">
        <f ca="1">IF(ISNA(VLOOKUP($B366,TabAlgTutti,5,FALSE)),0,VLOOKUP($B366,TabAlgTutti,5,FALSE))+ROW()/100000</f>
        <v>41.003660000000004</v>
      </c>
      <c r="F366" s="64">
        <f ca="1">($D366*$P$8+$E366*(1+$E366*100/60/100)*$S$8)/100+ROW()/100000</f>
        <v>72.518154444963329</v>
      </c>
      <c r="G366" s="63" t="str">
        <f ca="1">IF(ISNA(VLOOKUP($B366,TabAlgTutti,7,FALSE)),"",IF(VLOOKUP($B366,TabAlgTutti,7,FALSE)=-1,"SCONSIGLIATO",IF(VLOOKUP($B366,TabAlgTutti,7,FALSE)=0,"SORPRESA",IF(VLOOKUP($B366,TabAlgTutti,7,FALSE)=1,"CONSIGLIATO",""))))</f>
        <v/>
      </c>
      <c r="H366" s="65">
        <f ca="1">IF(ISNA(VLOOKUP($B366,TabAlgTutti,8,FALSE)),"",VLOOKUP($B366,TabAlgTutti,8,FALSE))</f>
        <v>80</v>
      </c>
      <c r="I366" s="63" t="str">
        <f ca="1">IF(ISNA(VLOOKUP($B366,TabAlgTutti,9,FALSE)),"",IF(VLOOKUP($B366,TabAlgTutti,9,FALSE)="","",VLOOKUP($B366,TabAlgTutti,9,FALSE)&amp;"R "))&amp;IF(ISNA(VLOOKUP($B366,TabAlgTutti,10,FALSE)),"",IF(VLOOKUP($B366,TabAlgTutti,10,FALSE)="","",VLOOKUP($B366,TabAlgTutti,10,FALSE)&amp;"P "))&amp;IF(ISNA(VLOOKUP($B366,TabAlgTutti,11,FALSE)),"",IF(VLOOKUP($B366,TabAlgTutti,11,FALSE)="","",VLOOKUP($B366,TabAlgTutti,11,FALSE)&amp;"A"))</f>
        <v/>
      </c>
      <c r="J366" s="63">
        <f ca="1">IF(ISNA(VLOOKUP($B366,TabAlgTutti,3,FALSE)),0,VLOOKUP($B366,TabAlgTutti,3,FALSE))+ROW()/100000</f>
        <v>4.8375377466045855</v>
      </c>
      <c r="K366" s="63">
        <f ca="1">IF(ISNA(VLOOKUP($B366,TabAlgTutti,4,FALSE)),0,VLOOKUP($B366,TabAlgTutti,4,FALSE))+ROW()/100000</f>
        <v>6.2488925909326731</v>
      </c>
      <c r="L366" s="63" t="e">
        <f ca="1">VLOOKUP(Tabella114[[#This Row],[Calciatore]],'Raccolta Aste'!$K$2:$O$33,4,FALSE)*Asta!$U$3/100</f>
        <v>#N/A</v>
      </c>
      <c r="N366" s="59" t="str">
        <f t="shared" si="133"/>
        <v/>
      </c>
      <c r="O366" s="62" t="str">
        <f ca="1">IF(ISNUMBER(N366),INDIRECT("B" &amp; 310 + MATCH(N366,INDIRECT(ADDRESS(311,22+MATCH($P$28,'I.A. + Fasce'!$W$84:$AA$84,0),1,1) &amp; ":" &amp; ADDRESS(531,22+MATCH($P$28,'I.A. + Fasce'!$W$84:$AA$84,0),1,1)),0)),"")</f>
        <v/>
      </c>
      <c r="P366" s="62" t="str">
        <f t="shared" ca="1" si="135"/>
        <v/>
      </c>
      <c r="Q366" s="59" t="str">
        <f t="shared" si="134"/>
        <v/>
      </c>
      <c r="R366" s="62" t="str">
        <f ca="1">IF(ISNUMBER(Q366),INDIRECT("B" &amp; 310 + MATCH(Q366,INDIRECT(ADDRESS(311,22+MATCH($P$28,'I.A. + Fasce'!$W$84:$AA$84,0),1,1) &amp; ":" &amp; ADDRESS(531,22+MATCH($P$28,'I.A. + Fasce'!$W$84:$AA$84,0),1,1)),0)),"")</f>
        <v/>
      </c>
      <c r="S366" s="62" t="str">
        <f t="shared" ca="1" si="136"/>
        <v/>
      </c>
      <c r="W366" s="56">
        <f t="shared" ca="1" si="120"/>
        <v>50</v>
      </c>
      <c r="X366" s="56">
        <f t="shared" ca="1" si="121"/>
        <v>69</v>
      </c>
      <c r="Y366" s="56">
        <f t="shared" ca="1" si="122"/>
        <v>58</v>
      </c>
      <c r="Z366" s="56">
        <f t="shared" ca="1" si="123"/>
        <v>74</v>
      </c>
      <c r="AA366" s="56">
        <f t="shared" ca="1" si="124"/>
        <v>73</v>
      </c>
      <c r="AB366" s="56">
        <f ca="1">_xlfn.CEILING.MATH(INDIRECT(ADDRESS(311,22+MATCH($P$28,'I.A. + Fasce'!$W$84:$AA$84,0),1,1) &amp; ":" &amp; ADDRESS(531,22+MATCH($P$28,'I.A. + Fasce'!$W$84:$AA$84,0),1,1))/Asta!$H$3)</f>
        <v>8</v>
      </c>
    </row>
    <row r="367" spans="1:28" ht="14.25" customHeight="1">
      <c r="A367" s="239" t="str">
        <f ca="1">IF(Giocatori!J55="","C",Giocatori!J55)</f>
        <v>C</v>
      </c>
      <c r="B367" s="239" t="str">
        <f ca="1">IF(Giocatori!K55="","ZZZ" &amp; ROW(),Giocatori!K55)</f>
        <v>DE ROON</v>
      </c>
      <c r="C367" s="239" t="str">
        <f ca="1">IF(Giocatori!L55="","NDR" &amp; ROW(),Giocatori!L55)</f>
        <v>Atalanta</v>
      </c>
      <c r="D367" s="63">
        <f ca="1">IF(ISNA(VLOOKUP($B367,TabAlgTutti,6,FALSE)),0,VLOOKUP($B367,TabAlgTutti,6,FALSE))+ROW()/100000</f>
        <v>76.00367</v>
      </c>
      <c r="E367" s="63">
        <f ca="1">IF(ISNA(VLOOKUP($B367,TabAlgTutti,5,FALSE)),0,VLOOKUP($B367,TabAlgTutti,5,FALSE))+ROW()/100000</f>
        <v>41.00367</v>
      </c>
      <c r="F367" s="64">
        <f ca="1">($D367*$P$8+$E367*(1+$E367*100/60/100)*$S$8)/100+ROW()/100000</f>
        <v>72.518181278907505</v>
      </c>
      <c r="G367" s="63" t="str">
        <f ca="1">IF(ISNA(VLOOKUP($B367,TabAlgTutti,7,FALSE)),"",IF(VLOOKUP($B367,TabAlgTutti,7,FALSE)=-1,"SCONSIGLIATO",IF(VLOOKUP($B367,TabAlgTutti,7,FALSE)=0,"SORPRESA",IF(VLOOKUP($B367,TabAlgTutti,7,FALSE)=1,"CONSIGLIATO",""))))</f>
        <v/>
      </c>
      <c r="H367" s="65">
        <f ca="1">IF(ISNA(VLOOKUP($B367,TabAlgTutti,8,FALSE)),"",VLOOKUP($B367,TabAlgTutti,8,FALSE))</f>
        <v>70</v>
      </c>
      <c r="I367" s="63" t="str">
        <f ca="1">IF(ISNA(VLOOKUP($B367,TabAlgTutti,9,FALSE)),"",IF(VLOOKUP($B367,TabAlgTutti,9,FALSE)="","",VLOOKUP($B367,TabAlgTutti,9,FALSE)&amp;"R "))&amp;IF(ISNA(VLOOKUP($B367,TabAlgTutti,10,FALSE)),"",IF(VLOOKUP($B367,TabAlgTutti,10,FALSE)="","",VLOOKUP($B367,TabAlgTutti,10,FALSE)&amp;"P "))&amp;IF(ISNA(VLOOKUP($B367,TabAlgTutti,11,FALSE)),"",IF(VLOOKUP($B367,TabAlgTutti,11,FALSE)="","",VLOOKUP($B367,TabAlgTutti,11,FALSE)&amp;"A"))</f>
        <v/>
      </c>
      <c r="J367" s="63">
        <f ca="1">IF(ISNA(VLOOKUP($B367,TabAlgTutti,3,FALSE)),0,VLOOKUP($B367,TabAlgTutti,3,FALSE))+ROW()/100000</f>
        <v>14.222183952952456</v>
      </c>
      <c r="K367" s="63">
        <f ca="1">IF(ISNA(VLOOKUP($B367,TabAlgTutti,4,FALSE)),0,VLOOKUP($B367,TabAlgTutti,4,FALSE))+ROW()/100000</f>
        <v>14.678886098624154</v>
      </c>
      <c r="L367" s="63" t="e">
        <f ca="1">VLOOKUP(Tabella114[[#This Row],[Calciatore]],'Raccolta Aste'!$K$2:$O$33,4,FALSE)*Asta!$U$3/100</f>
        <v>#N/A</v>
      </c>
      <c r="N367" s="59" t="str">
        <f t="shared" si="133"/>
        <v/>
      </c>
      <c r="O367" s="62" t="str">
        <f ca="1">IF(ISNUMBER(N367),INDIRECT("B" &amp; 310 + MATCH(N367,INDIRECT(ADDRESS(311,22+MATCH($P$28,'I.A. + Fasce'!$W$84:$AA$84,0),1,1) &amp; ":" &amp; ADDRESS(531,22+MATCH($P$28,'I.A. + Fasce'!$W$84:$AA$84,0),1,1)),0)),"")</f>
        <v/>
      </c>
      <c r="P367" s="62" t="str">
        <f t="shared" ca="1" si="135"/>
        <v/>
      </c>
      <c r="Q367" s="59" t="str">
        <f t="shared" si="134"/>
        <v/>
      </c>
      <c r="R367" s="62" t="str">
        <f ca="1">IF(ISNUMBER(Q367),INDIRECT("B" &amp; 310 + MATCH(Q367,INDIRECT(ADDRESS(311,22+MATCH($P$28,'I.A. + Fasce'!$W$84:$AA$84,0),1,1) &amp; ":" &amp; ADDRESS(531,22+MATCH($P$28,'I.A. + Fasce'!$W$84:$AA$84,0),1,1)),0)),"")</f>
        <v/>
      </c>
      <c r="S367" s="62" t="str">
        <f t="shared" ca="1" si="136"/>
        <v/>
      </c>
      <c r="W367" s="56">
        <f t="shared" ca="1" si="120"/>
        <v>49</v>
      </c>
      <c r="X367" s="56">
        <f t="shared" ca="1" si="121"/>
        <v>68</v>
      </c>
      <c r="Y367" s="56">
        <f t="shared" ca="1" si="122"/>
        <v>57</v>
      </c>
      <c r="Z367" s="56">
        <f t="shared" ca="1" si="123"/>
        <v>52</v>
      </c>
      <c r="AA367" s="56">
        <f t="shared" ca="1" si="124"/>
        <v>51</v>
      </c>
      <c r="AB367" s="56">
        <f ca="1">_xlfn.CEILING.MATH(INDIRECT(ADDRESS(311,22+MATCH($P$28,'I.A. + Fasce'!$W$84:$AA$84,0),1,1) &amp; ":" &amp; ADDRESS(531,22+MATCH($P$28,'I.A. + Fasce'!$W$84:$AA$84,0),1,1))/Asta!$H$3)</f>
        <v>8</v>
      </c>
    </row>
    <row r="368" spans="1:28" ht="14.25" customHeight="1">
      <c r="A368" s="239" t="str">
        <f ca="1">IF(Giocatori!J49="","C",Giocatori!J49)</f>
        <v>C</v>
      </c>
      <c r="B368" s="239" t="str">
        <f ca="1">IF(Giocatori!K49="","ZZZ" &amp; ROW(),Giocatori!K49)</f>
        <v>CRISTANTE</v>
      </c>
      <c r="C368" s="239" t="str">
        <f ca="1">IF(Giocatori!L49="","NDR" &amp; ROW(),Giocatori!L49)</f>
        <v>Atalanta</v>
      </c>
      <c r="D368" s="63">
        <f ca="1">IF(ISNA(VLOOKUP($B368,TabAlgTutti,6,FALSE)),0,VLOOKUP($B368,TabAlgTutti,6,FALSE))+ROW()/100000</f>
        <v>76.003680000000003</v>
      </c>
      <c r="E368" s="63">
        <f ca="1">IF(ISNA(VLOOKUP($B368,TabAlgTutti,5,FALSE)),0,VLOOKUP($B368,TabAlgTutti,5,FALSE))+ROW()/100000</f>
        <v>41.003680000000003</v>
      </c>
      <c r="F368" s="64">
        <f ca="1">($D368*$P$8+$E368*(1+$E368*100/60/100)*$S$8)/100+ROW()/100000</f>
        <v>72.51820811285333</v>
      </c>
      <c r="G368" s="63" t="str">
        <f ca="1">IF(ISNA(VLOOKUP($B368,TabAlgTutti,7,FALSE)),"",IF(VLOOKUP($B368,TabAlgTutti,7,FALSE)=-1,"SCONSIGLIATO",IF(VLOOKUP($B368,TabAlgTutti,7,FALSE)=0,"SORPRESA",IF(VLOOKUP($B368,TabAlgTutti,7,FALSE)=1,"CONSIGLIATO",""))))</f>
        <v/>
      </c>
      <c r="H368" s="65">
        <f ca="1">IF(ISNA(VLOOKUP($B368,TabAlgTutti,8,FALSE)),"",VLOOKUP($B368,TabAlgTutti,8,FALSE))</f>
        <v>60</v>
      </c>
      <c r="I368" s="63" t="str">
        <f ca="1">IF(ISNA(VLOOKUP($B368,TabAlgTutti,9,FALSE)),"",IF(VLOOKUP($B368,TabAlgTutti,9,FALSE)="","",VLOOKUP($B368,TabAlgTutti,9,FALSE)&amp;"R "))&amp;IF(ISNA(VLOOKUP($B368,TabAlgTutti,10,FALSE)),"",IF(VLOOKUP($B368,TabAlgTutti,10,FALSE)="","",VLOOKUP($B368,TabAlgTutti,10,FALSE)&amp;"P "))&amp;IF(ISNA(VLOOKUP($B368,TabAlgTutti,11,FALSE)),"",IF(VLOOKUP($B368,TabAlgTutti,11,FALSE)="","",VLOOKUP($B368,TabAlgTutti,11,FALSE)&amp;"A"))</f>
        <v/>
      </c>
      <c r="J368" s="63">
        <f ca="1">IF(ISNA(VLOOKUP($B368,TabAlgTutti,3,FALSE)),0,VLOOKUP($B368,TabAlgTutti,3,FALSE))+ROW()/100000</f>
        <v>14.976630037127425</v>
      </c>
      <c r="K368" s="63">
        <f ca="1">IF(ISNA(VLOOKUP($B368,TabAlgTutti,4,FALSE)),0,VLOOKUP($B368,TabAlgTutti,4,FALSE))+ROW()/100000</f>
        <v>15.286671761669059</v>
      </c>
      <c r="L368" s="63" t="e">
        <f ca="1">VLOOKUP(Tabella114[[#This Row],[Calciatore]],'Raccolta Aste'!$K$2:$O$33,4,FALSE)*Asta!$U$3/100</f>
        <v>#N/A</v>
      </c>
      <c r="N368"/>
      <c r="O368"/>
      <c r="P368"/>
      <c r="Q368"/>
      <c r="R368"/>
      <c r="S368"/>
      <c r="W368" s="56">
        <f t="shared" ca="1" si="120"/>
        <v>48</v>
      </c>
      <c r="X368" s="56">
        <f t="shared" ca="1" si="121"/>
        <v>67</v>
      </c>
      <c r="Y368" s="56">
        <f t="shared" ca="1" si="122"/>
        <v>56</v>
      </c>
      <c r="Z368" s="56">
        <f t="shared" ca="1" si="123"/>
        <v>48</v>
      </c>
      <c r="AA368" s="56">
        <f t="shared" ca="1" si="124"/>
        <v>49</v>
      </c>
      <c r="AB368" s="56">
        <f ca="1">_xlfn.CEILING.MATH(INDIRECT(ADDRESS(311,22+MATCH($P$28,'I.A. + Fasce'!$W$84:$AA$84,0),1,1) &amp; ":" &amp; ADDRESS(531,22+MATCH($P$28,'I.A. + Fasce'!$W$84:$AA$84,0),1,1))/Asta!$H$3)</f>
        <v>7</v>
      </c>
    </row>
    <row r="369" spans="1:28" ht="14.25" customHeight="1">
      <c r="A369" s="239" t="str">
        <f ca="1">IF(Giocatori!J144="","C",Giocatori!J144)</f>
        <v>C</v>
      </c>
      <c r="B369" s="239" t="str">
        <f ca="1">IF(Giocatori!K144="","ZZZ" &amp; ROW(),Giocatori!K144)</f>
        <v>PRAET</v>
      </c>
      <c r="C369" s="239" t="str">
        <f ca="1">IF(Giocatori!L144="","NDR" &amp; ROW(),Giocatori!L144)</f>
        <v>Sampdoria</v>
      </c>
      <c r="D369" s="63">
        <f ca="1">IF(ISNA(VLOOKUP($B369,TabAlgTutti,6,FALSE)),0,VLOOKUP($B369,TabAlgTutti,6,FALSE))+ROW()/100000</f>
        <v>78.003690000000006</v>
      </c>
      <c r="E369" s="63">
        <f ca="1">IF(ISNA(VLOOKUP($B369,TabAlgTutti,5,FALSE)),0,VLOOKUP($B369,TabAlgTutti,5,FALSE))+ROW()/100000</f>
        <v>40.003689999999999</v>
      </c>
      <c r="F369" s="64">
        <f ca="1">($D369*$P$8+$E369*(1+$E369*100/60/100)*$S$8)/100+ROW()/100000</f>
        <v>72.343173446800833</v>
      </c>
      <c r="G369" s="63" t="str">
        <f ca="1">IF(ISNA(VLOOKUP($B369,TabAlgTutti,7,FALSE)),"",IF(VLOOKUP($B369,TabAlgTutti,7,FALSE)=-1,"SCONSIGLIATO",IF(VLOOKUP($B369,TabAlgTutti,7,FALSE)=0,"SORPRESA",IF(VLOOKUP($B369,TabAlgTutti,7,FALSE)=1,"CONSIGLIATO",""))))</f>
        <v>SORPRESA</v>
      </c>
      <c r="H369" s="65">
        <f ca="1">IF(ISNA(VLOOKUP($B369,TabAlgTutti,8,FALSE)),"",VLOOKUP($B369,TabAlgTutti,8,FALSE))</f>
        <v>60</v>
      </c>
      <c r="I369" s="63" t="str">
        <f ca="1">IF(ISNA(VLOOKUP($B369,TabAlgTutti,9,FALSE)),"",IF(VLOOKUP($B369,TabAlgTutti,9,FALSE)="","",VLOOKUP($B369,TabAlgTutti,9,FALSE)&amp;"R "))&amp;IF(ISNA(VLOOKUP($B369,TabAlgTutti,10,FALSE)),"",IF(VLOOKUP($B369,TabAlgTutti,10,FALSE)="","",VLOOKUP($B369,TabAlgTutti,10,FALSE)&amp;"P "))&amp;IF(ISNA(VLOOKUP($B369,TabAlgTutti,11,FALSE)),"",IF(VLOOKUP($B369,TabAlgTutti,11,FALSE)="","",VLOOKUP($B369,TabAlgTutti,11,FALSE)&amp;"A"))</f>
        <v xml:space="preserve">4P </v>
      </c>
      <c r="J369" s="63">
        <f ca="1">IF(ISNA(VLOOKUP($B369,TabAlgTutti,3,FALSE)),0,VLOOKUP($B369,TabAlgTutti,3,FALSE))+ROW()/100000</f>
        <v>2.3281761604415521</v>
      </c>
      <c r="K369" s="63">
        <f ca="1">IF(ISNA(VLOOKUP($B369,TabAlgTutti,4,FALSE)),0,VLOOKUP($B369,TabAlgTutti,4,FALSE))+ROW()/100000</f>
        <v>2.9677443780408139</v>
      </c>
      <c r="L369" s="63" t="e">
        <f ca="1">VLOOKUP(Tabella114[[#This Row],[Calciatore]],'Raccolta Aste'!$K$2:$O$33,4,FALSE)*Asta!$U$3/100</f>
        <v>#N/A</v>
      </c>
      <c r="N369" s="58"/>
      <c r="O369" s="59" t="s">
        <v>709</v>
      </c>
      <c r="P369" s="59" t="s">
        <v>637</v>
      </c>
      <c r="Q369" s="58"/>
      <c r="R369" s="59" t="s">
        <v>710</v>
      </c>
      <c r="S369" s="59" t="s">
        <v>637</v>
      </c>
      <c r="W369" s="56">
        <f t="shared" ca="1" si="120"/>
        <v>32</v>
      </c>
      <c r="X369" s="56">
        <f t="shared" ca="1" si="121"/>
        <v>80</v>
      </c>
      <c r="Y369" s="56">
        <f t="shared" ca="1" si="122"/>
        <v>59</v>
      </c>
      <c r="Z369" s="56">
        <f t="shared" ca="1" si="123"/>
        <v>78</v>
      </c>
      <c r="AA369" s="56">
        <f t="shared" ca="1" si="124"/>
        <v>79</v>
      </c>
      <c r="AB369" s="56">
        <f ca="1">_xlfn.CEILING.MATH(INDIRECT(ADDRESS(311,22+MATCH($P$28,'I.A. + Fasce'!$W$84:$AA$84,0),1,1) &amp; ":" &amp; ADDRESS(531,22+MATCH($P$28,'I.A. + Fasce'!$W$84:$AA$84,0),1,1))/Asta!$H$3)</f>
        <v>8</v>
      </c>
    </row>
    <row r="370" spans="1:28" ht="14.25" customHeight="1">
      <c r="A370" s="239" t="str">
        <f ca="1">IF(Giocatori!J53="","C",Giocatori!J53)</f>
        <v>C</v>
      </c>
      <c r="B370" s="239" t="str">
        <f ca="1">IF(Giocatori!K53="","ZZZ" &amp; ROW(),Giocatori!K53)</f>
        <v>D'ALESSANDRO</v>
      </c>
      <c r="C370" s="239" t="str">
        <f ca="1">IF(Giocatori!L53="","NDR" &amp; ROW(),Giocatori!L53)</f>
        <v>Benevento</v>
      </c>
      <c r="D370" s="63">
        <f ca="1">IF(ISNA(VLOOKUP($B370,TabAlgTutti,6,FALSE)),0,VLOOKUP($B370,TabAlgTutti,6,FALSE))+ROW()/100000</f>
        <v>73.003699999999995</v>
      </c>
      <c r="E370" s="63">
        <f ca="1">IF(ISNA(VLOOKUP($B370,TabAlgTutti,5,FALSE)),0,VLOOKUP($B370,TabAlgTutti,5,FALSE))+ROW()/100000</f>
        <v>42.003700000000002</v>
      </c>
      <c r="F370" s="64">
        <f ca="1">($D370*$P$8+$E370*(1+$E370*100/60/100)*$S$8)/100+ROW()/100000</f>
        <v>72.209990114083325</v>
      </c>
      <c r="G370" s="63" t="str">
        <f ca="1">IF(ISNA(VLOOKUP($B370,TabAlgTutti,7,FALSE)),"",IF(VLOOKUP($B370,TabAlgTutti,7,FALSE)=-1,"SCONSIGLIATO",IF(VLOOKUP($B370,TabAlgTutti,7,FALSE)=0,"SORPRESA",IF(VLOOKUP($B370,TabAlgTutti,7,FALSE)=1,"CONSIGLIATO",""))))</f>
        <v>SORPRESA</v>
      </c>
      <c r="H370" s="65">
        <f ca="1">IF(ISNA(VLOOKUP($B370,TabAlgTutti,8,FALSE)),"",VLOOKUP($B370,TabAlgTutti,8,FALSE))</f>
        <v>80</v>
      </c>
      <c r="I370" s="63" t="str">
        <f ca="1">IF(ISNA(VLOOKUP($B370,TabAlgTutti,9,FALSE)),"",IF(VLOOKUP($B370,TabAlgTutti,9,FALSE)="","",VLOOKUP($B370,TabAlgTutti,9,FALSE)&amp;"R "))&amp;IF(ISNA(VLOOKUP($B370,TabAlgTutti,10,FALSE)),"",IF(VLOOKUP($B370,TabAlgTutti,10,FALSE)="","",VLOOKUP($B370,TabAlgTutti,10,FALSE)&amp;"P "))&amp;IF(ISNA(VLOOKUP($B370,TabAlgTutti,11,FALSE)),"",IF(VLOOKUP($B370,TabAlgTutti,11,FALSE)="","",VLOOKUP($B370,TabAlgTutti,11,FALSE)&amp;"A"))</f>
        <v xml:space="preserve">2P </v>
      </c>
      <c r="J370" s="63">
        <f ca="1">IF(ISNA(VLOOKUP($B370,TabAlgTutti,3,FALSE)),0,VLOOKUP($B370,TabAlgTutti,3,FALSE))+ROW()/100000</f>
        <v>1.0037</v>
      </c>
      <c r="K370" s="63">
        <f ca="1">IF(ISNA(VLOOKUP($B370,TabAlgTutti,4,FALSE)),0,VLOOKUP($B370,TabAlgTutti,4,FALSE))+ROW()/100000</f>
        <v>1.0037</v>
      </c>
      <c r="L370" s="63" t="e">
        <f ca="1">VLOOKUP(Tabella114[[#This Row],[Calciatore]],'Raccolta Aste'!$K$2:$O$33,4,FALSE)*Asta!$U$3/100</f>
        <v>#N/A</v>
      </c>
      <c r="N370" s="60"/>
      <c r="O370" s="61"/>
      <c r="P370" s="61"/>
      <c r="Q370" s="60"/>
      <c r="R370" s="61"/>
      <c r="S370" s="61"/>
      <c r="W370" s="56">
        <f t="shared" ca="1" si="120"/>
        <v>75</v>
      </c>
      <c r="X370" s="56">
        <f t="shared" ca="1" si="121"/>
        <v>49</v>
      </c>
      <c r="Y370" s="56">
        <f t="shared" ca="1" si="122"/>
        <v>62</v>
      </c>
      <c r="Z370" s="56">
        <f t="shared" ca="1" si="123"/>
        <v>172</v>
      </c>
      <c r="AA370" s="56">
        <f t="shared" ca="1" si="124"/>
        <v>172</v>
      </c>
      <c r="AB370" s="56">
        <f ca="1">_xlfn.CEILING.MATH(INDIRECT(ADDRESS(311,22+MATCH($P$28,'I.A. + Fasce'!$W$84:$AA$84,0),1,1) &amp; ":" &amp; ADDRESS(531,22+MATCH($P$28,'I.A. + Fasce'!$W$84:$AA$84,0),1,1))/Asta!$H$3)</f>
        <v>8</v>
      </c>
    </row>
    <row r="371" spans="1:28" ht="14.25" customHeight="1">
      <c r="A371" s="239" t="str">
        <f ca="1">IF(Giocatori!J44="","C",Giocatori!J44)</f>
        <v>C</v>
      </c>
      <c r="B371" s="239" t="str">
        <f ca="1">IF(Giocatori!K44="","ZZZ" &amp; ROW(),Giocatori!K44)</f>
        <v>CIGARINI</v>
      </c>
      <c r="C371" s="239" t="str">
        <f ca="1">IF(Giocatori!L44="","NDR" &amp; ROW(),Giocatori!L44)</f>
        <v>Cagliari</v>
      </c>
      <c r="D371" s="63">
        <f ca="1">IF(ISNA(VLOOKUP($B371,TabAlgTutti,6,FALSE)),0,VLOOKUP($B371,TabAlgTutti,6,FALSE))+ROW()/100000</f>
        <v>73.003709999999998</v>
      </c>
      <c r="E371" s="63">
        <f ca="1">IF(ISNA(VLOOKUP($B371,TabAlgTutti,5,FALSE)),0,VLOOKUP($B371,TabAlgTutti,5,FALSE))+ROW()/100000</f>
        <v>42.003709999999998</v>
      </c>
      <c r="F371" s="64">
        <f ca="1">($D371*$P$8+$E371*(1+$E371*100/60/100)*$S$8)/100+ROW()/100000</f>
        <v>72.210017114700833</v>
      </c>
      <c r="G371" s="63" t="str">
        <f ca="1">IF(ISNA(VLOOKUP($B371,TabAlgTutti,7,FALSE)),"",IF(VLOOKUP($B371,TabAlgTutti,7,FALSE)=-1,"SCONSIGLIATO",IF(VLOOKUP($B371,TabAlgTutti,7,FALSE)=0,"SORPRESA",IF(VLOOKUP($B371,TabAlgTutti,7,FALSE)=1,"CONSIGLIATO",""))))</f>
        <v>SORPRESA</v>
      </c>
      <c r="H371" s="65">
        <f ca="1">IF(ISNA(VLOOKUP($B371,TabAlgTutti,8,FALSE)),"",VLOOKUP($B371,TabAlgTutti,8,FALSE))</f>
        <v>90</v>
      </c>
      <c r="I371" s="63" t="str">
        <f ca="1">IF(ISNA(VLOOKUP($B371,TabAlgTutti,9,FALSE)),"",IF(VLOOKUP($B371,TabAlgTutti,9,FALSE)="","",VLOOKUP($B371,TabAlgTutti,9,FALSE)&amp;"R "))&amp;IF(ISNA(VLOOKUP($B371,TabAlgTutti,10,FALSE)),"",IF(VLOOKUP($B371,TabAlgTutti,10,FALSE)="","",VLOOKUP($B371,TabAlgTutti,10,FALSE)&amp;"P "))&amp;IF(ISNA(VLOOKUP($B371,TabAlgTutti,11,FALSE)),"",IF(VLOOKUP($B371,TabAlgTutti,11,FALSE)="","",VLOOKUP($B371,TabAlgTutti,11,FALSE)&amp;"A"))</f>
        <v>1P 1A</v>
      </c>
      <c r="J371" s="63">
        <f ca="1">IF(ISNA(VLOOKUP($B371,TabAlgTutti,3,FALSE)),0,VLOOKUP($B371,TabAlgTutti,3,FALSE))+ROW()/100000</f>
        <v>8.1639650268305122</v>
      </c>
      <c r="K371" s="63">
        <f ca="1">IF(ISNA(VLOOKUP($B371,TabAlgTutti,4,FALSE)),0,VLOOKUP($B371,TabAlgTutti,4,FALSE))+ROW()/100000</f>
        <v>9.5241781084524906</v>
      </c>
      <c r="L371" s="63" t="e">
        <f ca="1">VLOOKUP(Tabella114[[#This Row],[Calciatore]],'Raccolta Aste'!$K$2:$O$33,4,FALSE)*Asta!$U$3/100</f>
        <v>#N/A</v>
      </c>
      <c r="N371" s="59">
        <f t="shared" ref="N371:N382" si="137">IF(ISNUMBER(Q356),Q356+COUNTIF($N$34:$N$45,"&gt;0"),"")</f>
        <v>65</v>
      </c>
      <c r="O371" s="62" t="str">
        <f ca="1">IF(ISNUMBER(N371),INDIRECT("B" &amp; 310 + MATCH(N371,INDIRECT(ADDRESS(311,22+MATCH($P$28,'I.A. + Fasce'!$W$84:$AA$84,0),1,1) &amp; ":" &amp; ADDRESS(531,22+MATCH($P$28,'I.A. + Fasce'!$W$84:$AA$84,0),1,1)),0)),"")</f>
        <v>MARCHISIO</v>
      </c>
      <c r="P371" s="62" t="str">
        <f ca="1">IF(O371="","",VLOOKUP(O371,$B$311:$C$531,2,FALSE))</f>
        <v>Juventus</v>
      </c>
      <c r="Q371" s="59">
        <f t="shared" ref="Q371:Q382" si="138">IF(ISNUMBER(N371),N371+COUNTIF($N$34:$N$45,"&gt;0"),"")</f>
        <v>73</v>
      </c>
      <c r="R371" s="62" t="str">
        <f ca="1">IF(ISNUMBER(Q371),INDIRECT("B" &amp; 310 + MATCH(Q371,INDIRECT(ADDRESS(311,22+MATCH($P$28,'I.A. + Fasce'!$W$84:$AA$84,0),1,1) &amp; ":" &amp; ADDRESS(531,22+MATCH($P$28,'I.A. + Fasce'!$W$84:$AA$84,0),1,1)),0)),"")</f>
        <v>ROHDEN</v>
      </c>
      <c r="S371" s="62" t="str">
        <f ca="1">IF(R371="","",VLOOKUP(R371,$B$311:$C$531,2,FALSE))</f>
        <v>Crotone</v>
      </c>
      <c r="W371" s="56">
        <f t="shared" ca="1" si="120"/>
        <v>74</v>
      </c>
      <c r="X371" s="56">
        <f t="shared" ca="1" si="121"/>
        <v>48</v>
      </c>
      <c r="Y371" s="56">
        <f t="shared" ca="1" si="122"/>
        <v>61</v>
      </c>
      <c r="Z371" s="56">
        <f t="shared" ca="1" si="123"/>
        <v>68</v>
      </c>
      <c r="AA371" s="56">
        <f t="shared" ca="1" si="124"/>
        <v>67</v>
      </c>
      <c r="AB371" s="56">
        <f ca="1">_xlfn.CEILING.MATH(INDIRECT(ADDRESS(311,22+MATCH($P$28,'I.A. + Fasce'!$W$84:$AA$84,0),1,1) &amp; ":" &amp; ADDRESS(531,22+MATCH($P$28,'I.A. + Fasce'!$W$84:$AA$84,0),1,1))/Asta!$H$3)</f>
        <v>8</v>
      </c>
    </row>
    <row r="372" spans="1:28" ht="14.25" customHeight="1">
      <c r="A372" s="239" t="str">
        <f ca="1">IF(Giocatori!J15="","C",Giocatori!J15)</f>
        <v>C</v>
      </c>
      <c r="B372" s="239" t="str">
        <f ca="1">IF(Giocatori!K15="","ZZZ" &amp; ROW(),Giocatori!K15)</f>
        <v>BARBERIS</v>
      </c>
      <c r="C372" s="239" t="str">
        <f ca="1">IF(Giocatori!L15="","NDR" &amp; ROW(),Giocatori!L15)</f>
        <v>Crotone</v>
      </c>
      <c r="D372" s="63">
        <f ca="1">IF(ISNA(VLOOKUP($B372,TabAlgTutti,6,FALSE)),0,VLOOKUP($B372,TabAlgTutti,6,FALSE))+ROW()/100000</f>
        <v>73.003720000000001</v>
      </c>
      <c r="E372" s="63">
        <f ca="1">IF(ISNA(VLOOKUP($B372,TabAlgTutti,5,FALSE)),0,VLOOKUP($B372,TabAlgTutti,5,FALSE))+ROW()/100000</f>
        <v>42.003720000000001</v>
      </c>
      <c r="F372" s="64">
        <f ca="1">($D372*$P$8+$E372*(1+$E372*100/60/100)*$S$8)/100+ROW()/100000</f>
        <v>72.210044115320002</v>
      </c>
      <c r="G372" s="63" t="str">
        <f ca="1">IF(ISNA(VLOOKUP($B372,TabAlgTutti,7,FALSE)),"",IF(VLOOKUP($B372,TabAlgTutti,7,FALSE)=-1,"SCONSIGLIATO",IF(VLOOKUP($B372,TabAlgTutti,7,FALSE)=0,"SORPRESA",IF(VLOOKUP($B372,TabAlgTutti,7,FALSE)=1,"CONSIGLIATO",""))))</f>
        <v/>
      </c>
      <c r="H372" s="65">
        <f ca="1">IF(ISNA(VLOOKUP($B372,TabAlgTutti,8,FALSE)),"",VLOOKUP($B372,TabAlgTutti,8,FALSE))</f>
        <v>80</v>
      </c>
      <c r="I372" s="63" t="str">
        <f ca="1">IF(ISNA(VLOOKUP($B372,TabAlgTutti,9,FALSE)),"",IF(VLOOKUP($B372,TabAlgTutti,9,FALSE)="","",VLOOKUP($B372,TabAlgTutti,9,FALSE)&amp;"R "))&amp;IF(ISNA(VLOOKUP($B372,TabAlgTutti,10,FALSE)),"",IF(VLOOKUP($B372,TabAlgTutti,10,FALSE)="","",VLOOKUP($B372,TabAlgTutti,10,FALSE)&amp;"P "))&amp;IF(ISNA(VLOOKUP($B372,TabAlgTutti,11,FALSE)),"",IF(VLOOKUP($B372,TabAlgTutti,11,FALSE)="","",VLOOKUP($B372,TabAlgTutti,11,FALSE)&amp;"A"))</f>
        <v>1P 1A</v>
      </c>
      <c r="J372" s="63">
        <f ca="1">IF(ISNA(VLOOKUP($B372,TabAlgTutti,3,FALSE)),0,VLOOKUP($B372,TabAlgTutti,3,FALSE))+ROW()/100000</f>
        <v>1.0037199999999999</v>
      </c>
      <c r="K372" s="63">
        <f ca="1">IF(ISNA(VLOOKUP($B372,TabAlgTutti,4,FALSE)),0,VLOOKUP($B372,TabAlgTutti,4,FALSE))+ROW()/100000</f>
        <v>1.0037199999999999</v>
      </c>
      <c r="L372" s="63" t="e">
        <f ca="1">VLOOKUP(Tabella114[[#This Row],[Calciatore]],'Raccolta Aste'!$K$2:$O$33,4,FALSE)*Asta!$U$3/100</f>
        <v>#N/A</v>
      </c>
      <c r="N372" s="59">
        <f t="shared" si="137"/>
        <v>66</v>
      </c>
      <c r="O372" s="62" t="str">
        <f ca="1">IF(ISNUMBER(N372),INDIRECT("B" &amp; 310 + MATCH(N372,INDIRECT(ADDRESS(311,22+MATCH($P$28,'I.A. + Fasce'!$W$84:$AA$84,0),1,1) &amp; ":" &amp; ADDRESS(531,22+MATCH($P$28,'I.A. + Fasce'!$W$84:$AA$84,0),1,1)),0)),"")</f>
        <v>RINCON</v>
      </c>
      <c r="P372" s="62" t="str">
        <f t="shared" ref="P372:P382" ca="1" si="139">IF(O372="","",VLOOKUP(O372,$B$311:$C$531,2,FALSE))</f>
        <v>Torino</v>
      </c>
      <c r="Q372" s="59">
        <f t="shared" si="138"/>
        <v>74</v>
      </c>
      <c r="R372" s="62" t="str">
        <f ca="1">IF(ISNUMBER(Q372),INDIRECT("B" &amp; 310 + MATCH(Q372,INDIRECT(ADDRESS(311,22+MATCH($P$28,'I.A. + Fasce'!$W$84:$AA$84,0),1,1) &amp; ":" &amp; ADDRESS(531,22+MATCH($P$28,'I.A. + Fasce'!$W$84:$AA$84,0),1,1)),0)),"")</f>
        <v>DE ROSSI</v>
      </c>
      <c r="S372" s="62" t="str">
        <f t="shared" ref="S372:S382" ca="1" si="140">IF(R372="","",VLOOKUP(R372,$B$311:$C$531,2,FALSE))</f>
        <v>Roma</v>
      </c>
      <c r="W372" s="56">
        <f t="shared" ca="1" si="120"/>
        <v>73</v>
      </c>
      <c r="X372" s="56">
        <f t="shared" ca="1" si="121"/>
        <v>47</v>
      </c>
      <c r="Y372" s="56">
        <f t="shared" ca="1" si="122"/>
        <v>60</v>
      </c>
      <c r="Z372" s="56">
        <f t="shared" ca="1" si="123"/>
        <v>171</v>
      </c>
      <c r="AA372" s="56">
        <f t="shared" ca="1" si="124"/>
        <v>171</v>
      </c>
      <c r="AB372" s="56">
        <f ca="1">_xlfn.CEILING.MATH(INDIRECT(ADDRESS(311,22+MATCH($P$28,'I.A. + Fasce'!$W$84:$AA$84,0),1,1) &amp; ":" &amp; ADDRESS(531,22+MATCH($P$28,'I.A. + Fasce'!$W$84:$AA$84,0),1,1))/Asta!$H$3)</f>
        <v>8</v>
      </c>
    </row>
    <row r="373" spans="1:28" ht="14.25" customHeight="1">
      <c r="A373" s="239" t="str">
        <f ca="1">IF(Giocatori!J201="","C",Giocatori!J201)</f>
        <v>C</v>
      </c>
      <c r="B373" s="239" t="str">
        <f ca="1">IF(Giocatori!K150="","ZZZ" &amp; ROW(),Giocatori!K150)</f>
        <v>RINCON</v>
      </c>
      <c r="C373" s="239" t="str">
        <f ca="1">IF(Giocatori!L150="","NDR" &amp; ROW(),Giocatori!L150)</f>
        <v>Torino</v>
      </c>
      <c r="D373" s="63">
        <f ca="1">IF(ISNA(VLOOKUP($B373,TabAlgTutti,6,FALSE)),0,VLOOKUP($B373,TabAlgTutti,6,FALSE))+ROW()/100000</f>
        <v>75.003730000000004</v>
      </c>
      <c r="E373" s="63">
        <f ca="1">IF(ISNA(VLOOKUP($B373,TabAlgTutti,5,FALSE)),0,VLOOKUP($B373,TabAlgTutti,5,FALSE))+ROW()/100000</f>
        <v>41.003729999999997</v>
      </c>
      <c r="F373" s="64">
        <f ca="1">($D373*$P$8+$E373*(1+$E373*100/60/100)*$S$8)/100+ROW()/100000</f>
        <v>72.018342282607506</v>
      </c>
      <c r="G373" s="63" t="str">
        <f ca="1">IF(ISNA(VLOOKUP($B373,TabAlgTutti,7,FALSE)),"",IF(VLOOKUP($B373,TabAlgTutti,7,FALSE)=-1,"SCONSIGLIATO",IF(VLOOKUP($B373,TabAlgTutti,7,FALSE)=0,"SORPRESA",IF(VLOOKUP($B373,TabAlgTutti,7,FALSE)=1,"CONSIGLIATO",""))))</f>
        <v/>
      </c>
      <c r="H373" s="65">
        <f ca="1">IF(ISNA(VLOOKUP($B373,TabAlgTutti,8,FALSE)),"",VLOOKUP($B373,TabAlgTutti,8,FALSE))</f>
        <v>80</v>
      </c>
      <c r="I373" s="63" t="str">
        <f ca="1">IF(ISNA(VLOOKUP($B373,TabAlgTutti,9,FALSE)),"",IF(VLOOKUP($B373,TabAlgTutti,9,FALSE)="","",VLOOKUP($B373,TabAlgTutti,9,FALSE)&amp;"R "))&amp;IF(ISNA(VLOOKUP($B373,TabAlgTutti,10,FALSE)),"",IF(VLOOKUP($B373,TabAlgTutti,10,FALSE)="","",VLOOKUP($B373,TabAlgTutti,10,FALSE)&amp;"P "))&amp;IF(ISNA(VLOOKUP($B373,TabAlgTutti,11,FALSE)),"",IF(VLOOKUP($B373,TabAlgTutti,11,FALSE)="","",VLOOKUP($B373,TabAlgTutti,11,FALSE)&amp;"A"))</f>
        <v/>
      </c>
      <c r="J373" s="63">
        <f ca="1">IF(ISNA(VLOOKUP($B373,TabAlgTutti,3,FALSE)),0,VLOOKUP($B373,TabAlgTutti,3,FALSE))+ROW()/100000</f>
        <v>13.280433379507913</v>
      </c>
      <c r="K373" s="63">
        <f ca="1">IF(ISNA(VLOOKUP($B373,TabAlgTutti,4,FALSE)),0,VLOOKUP($B373,TabAlgTutti,4,FALSE))+ROW()/100000</f>
        <v>13.751615498076065</v>
      </c>
      <c r="L373" s="63" t="e">
        <f ca="1">VLOOKUP(Tabella114[[#This Row],[Calciatore]],'Raccolta Aste'!$K$2:$O$33,4,FALSE)*Asta!$U$3/100</f>
        <v>#N/A</v>
      </c>
      <c r="N373" s="59">
        <f t="shared" si="137"/>
        <v>67</v>
      </c>
      <c r="O373" s="62" t="str">
        <f ca="1">IF(ISNUMBER(N373),INDIRECT("B" &amp; 310 + MATCH(N373,INDIRECT(ADDRESS(311,22+MATCH($P$28,'I.A. + Fasce'!$W$84:$AA$84,0),1,1) &amp; ":" &amp; ADDRESS(531,22+MATCH($P$28,'I.A. + Fasce'!$W$84:$AA$84,0),1,1)),0)),"")</f>
        <v>BARELLA</v>
      </c>
      <c r="P373" s="62" t="str">
        <f t="shared" ca="1" si="139"/>
        <v>Cagliari</v>
      </c>
      <c r="Q373" s="59">
        <f t="shared" si="138"/>
        <v>75</v>
      </c>
      <c r="R373" s="62" t="str">
        <f ca="1">IF(ISNUMBER(Q373),INDIRECT("B" &amp; 310 + MATCH(Q373,INDIRECT(ADDRESS(311,22+MATCH($P$28,'I.A. + Fasce'!$W$84:$AA$84,0),1,1) &amp; ":" &amp; ADDRESS(531,22+MATCH($P$28,'I.A. + Fasce'!$W$84:$AA$84,0),1,1)),0)),"")</f>
        <v>LUCAS LEIVA</v>
      </c>
      <c r="S373" s="62" t="str">
        <f t="shared" ca="1" si="140"/>
        <v>Lazio</v>
      </c>
      <c r="W373" s="56">
        <f t="shared" ca="1" si="120"/>
        <v>57</v>
      </c>
      <c r="X373" s="56">
        <f t="shared" ca="1" si="121"/>
        <v>66</v>
      </c>
      <c r="Y373" s="56">
        <f t="shared" ca="1" si="122"/>
        <v>66</v>
      </c>
      <c r="Z373" s="56">
        <f t="shared" ca="1" si="123"/>
        <v>55</v>
      </c>
      <c r="AA373" s="56">
        <f t="shared" ca="1" si="124"/>
        <v>55</v>
      </c>
      <c r="AB373" s="56">
        <f ca="1">_xlfn.CEILING.MATH(INDIRECT(ADDRESS(311,22+MATCH($P$28,'I.A. + Fasce'!$W$84:$AA$84,0),1,1) &amp; ":" &amp; ADDRESS(531,22+MATCH($P$28,'I.A. + Fasce'!$W$84:$AA$84,0),1,1))/Asta!$H$3)</f>
        <v>9</v>
      </c>
    </row>
    <row r="374" spans="1:28" ht="14.25" customHeight="1">
      <c r="A374" s="239" t="str">
        <f ca="1">IF(Giocatori!J119="","C",Giocatori!J119)</f>
        <v>C</v>
      </c>
      <c r="B374" s="239" t="str">
        <f ca="1">IF(Giocatori!K119="","ZZZ" &amp; ROW(),Giocatori!K119)</f>
        <v>MARCHISIO</v>
      </c>
      <c r="C374" s="239" t="str">
        <f ca="1">IF(Giocatori!L119="","NDR" &amp; ROW(),Giocatori!L119)</f>
        <v>Juventus</v>
      </c>
      <c r="D374" s="63">
        <f ca="1">IF(ISNA(VLOOKUP($B374,TabAlgTutti,6,FALSE)),0,VLOOKUP($B374,TabAlgTutti,6,FALSE))+ROW()/100000</f>
        <v>75.003739999999993</v>
      </c>
      <c r="E374" s="63">
        <f ca="1">IF(ISNA(VLOOKUP($B374,TabAlgTutti,5,FALSE)),0,VLOOKUP($B374,TabAlgTutti,5,FALSE))+ROW()/100000</f>
        <v>41.003740000000001</v>
      </c>
      <c r="F374" s="64">
        <f ca="1">($D374*$P$8+$E374*(1+$E374*100/60/100)*$S$8)/100+ROW()/100000</f>
        <v>72.018369116563335</v>
      </c>
      <c r="G374" s="63" t="str">
        <f ca="1">IF(ISNA(VLOOKUP($B374,TabAlgTutti,7,FALSE)),"",IF(VLOOKUP($B374,TabAlgTutti,7,FALSE)=-1,"SCONSIGLIATO",IF(VLOOKUP($B374,TabAlgTutti,7,FALSE)=0,"SORPRESA",IF(VLOOKUP($B374,TabAlgTutti,7,FALSE)=1,"CONSIGLIATO",""))))</f>
        <v>SORPRESA</v>
      </c>
      <c r="H374" s="65">
        <f ca="1">IF(ISNA(VLOOKUP($B374,TabAlgTutti,8,FALSE)),"",VLOOKUP($B374,TabAlgTutti,8,FALSE))</f>
        <v>70</v>
      </c>
      <c r="I374" s="63" t="str">
        <f ca="1">IF(ISNA(VLOOKUP($B374,TabAlgTutti,9,FALSE)),"",IF(VLOOKUP($B374,TabAlgTutti,9,FALSE)="","",VLOOKUP($B374,TabAlgTutti,9,FALSE)&amp;"R "))&amp;IF(ISNA(VLOOKUP($B374,TabAlgTutti,10,FALSE)),"",IF(VLOOKUP($B374,TabAlgTutti,10,FALSE)="","",VLOOKUP($B374,TabAlgTutti,10,FALSE)&amp;"P "))&amp;IF(ISNA(VLOOKUP($B374,TabAlgTutti,11,FALSE)),"",IF(VLOOKUP($B374,TabAlgTutti,11,FALSE)="","",VLOOKUP($B374,TabAlgTutti,11,FALSE)&amp;"A"))</f>
        <v xml:space="preserve">2R </v>
      </c>
      <c r="J374" s="63">
        <f ca="1">IF(ISNA(VLOOKUP($B374,TabAlgTutti,3,FALSE)),0,VLOOKUP($B374,TabAlgTutti,3,FALSE))+ROW()/100000</f>
        <v>25.779391741329938</v>
      </c>
      <c r="K374" s="63">
        <f ca="1">IF(ISNA(VLOOKUP($B374,TabAlgTutti,4,FALSE)),0,VLOOKUP($B374,TabAlgTutti,4,FALSE))+ROW()/100000</f>
        <v>25.112978559262388</v>
      </c>
      <c r="L374" s="63">
        <f ca="1">VLOOKUP(Tabella114[[#This Row],[Calciatore]],'Raccolta Aste'!$K$2:$O$33,4,FALSE)*Asta!$U$3/100</f>
        <v>0</v>
      </c>
      <c r="N374" s="59">
        <f t="shared" si="137"/>
        <v>68</v>
      </c>
      <c r="O374" s="62" t="str">
        <f ca="1">IF(ISNUMBER(N374),INDIRECT("B" &amp; 310 + MATCH(N374,INDIRECT(ADDRESS(311,22+MATCH($P$28,'I.A. + Fasce'!$W$84:$AA$84,0),1,1) &amp; ":" &amp; ADDRESS(531,22+MATCH($P$28,'I.A. + Fasce'!$W$84:$AA$84,0),1,1)),0)),"")</f>
        <v>DIAWARA</v>
      </c>
      <c r="P374" s="62" t="str">
        <f t="shared" ca="1" si="139"/>
        <v>Napoli</v>
      </c>
      <c r="Q374" s="59">
        <f t="shared" si="138"/>
        <v>76</v>
      </c>
      <c r="R374" s="62" t="str">
        <f ca="1">IF(ISNUMBER(Q374),INDIRECT("B" &amp; 310 + MATCH(Q374,INDIRECT(ADDRESS(311,22+MATCH($P$28,'I.A. + Fasce'!$W$84:$AA$84,0),1,1) &amp; ":" &amp; ADDRESS(531,22+MATCH($P$28,'I.A. + Fasce'!$W$84:$AA$84,0),1,1)),0)),"")</f>
        <v>POLI</v>
      </c>
      <c r="S374" s="62" t="str">
        <f t="shared" ca="1" si="140"/>
        <v>Bologna</v>
      </c>
      <c r="W374" s="56">
        <f t="shared" ca="1" si="120"/>
        <v>56</v>
      </c>
      <c r="X374" s="56">
        <f t="shared" ca="1" si="121"/>
        <v>65</v>
      </c>
      <c r="Y374" s="56">
        <f t="shared" ca="1" si="122"/>
        <v>65</v>
      </c>
      <c r="Z374" s="56">
        <f t="shared" ca="1" si="123"/>
        <v>28</v>
      </c>
      <c r="AA374" s="56">
        <f t="shared" ca="1" si="124"/>
        <v>30</v>
      </c>
      <c r="AB374" s="56">
        <f ca="1">_xlfn.CEILING.MATH(INDIRECT(ADDRESS(311,22+MATCH($P$28,'I.A. + Fasce'!$W$84:$AA$84,0),1,1) &amp; ":" &amp; ADDRESS(531,22+MATCH($P$28,'I.A. + Fasce'!$W$84:$AA$84,0),1,1))/Asta!$H$3)</f>
        <v>9</v>
      </c>
    </row>
    <row r="375" spans="1:28" ht="14.25" customHeight="1">
      <c r="A375" s="239" t="str">
        <f ca="1">IF(Giocatori!J65="","C",Giocatori!J65)</f>
        <v>C</v>
      </c>
      <c r="B375" s="239" t="str">
        <f ca="1">IF(Giocatori!K65="","ZZZ" &amp; ROW(),Giocatori!K65)</f>
        <v>DUNCAN</v>
      </c>
      <c r="C375" s="239" t="str">
        <f ca="1">IF(Giocatori!L65="","NDR" &amp; ROW(),Giocatori!L65)</f>
        <v>Sassuolo</v>
      </c>
      <c r="D375" s="63">
        <f ca="1">IF(ISNA(VLOOKUP($B375,TabAlgTutti,6,FALSE)),0,VLOOKUP($B375,TabAlgTutti,6,FALSE))+ROW()/100000</f>
        <v>75.003749999999997</v>
      </c>
      <c r="E375" s="63">
        <f ca="1">IF(ISNA(VLOOKUP($B375,TabAlgTutti,5,FALSE)),0,VLOOKUP($B375,TabAlgTutti,5,FALSE))+ROW()/100000</f>
        <v>41.003749999999997</v>
      </c>
      <c r="F375" s="64">
        <f ca="1">($D375*$P$8+$E375*(1+$E375*100/60/100)*$S$8)/100+ROW()/100000</f>
        <v>72.018395950520826</v>
      </c>
      <c r="G375" s="63" t="str">
        <f ca="1">IF(ISNA(VLOOKUP($B375,TabAlgTutti,7,FALSE)),"",IF(VLOOKUP($B375,TabAlgTutti,7,FALSE)=-1,"SCONSIGLIATO",IF(VLOOKUP($B375,TabAlgTutti,7,FALSE)=0,"SORPRESA",IF(VLOOKUP($B375,TabAlgTutti,7,FALSE)=1,"CONSIGLIATO",""))))</f>
        <v/>
      </c>
      <c r="H375" s="65">
        <f ca="1">IF(ISNA(VLOOKUP($B375,TabAlgTutti,8,FALSE)),"",VLOOKUP($B375,TabAlgTutti,8,FALSE))</f>
        <v>70</v>
      </c>
      <c r="I375" s="63" t="str">
        <f ca="1">IF(ISNA(VLOOKUP($B375,TabAlgTutti,9,FALSE)),"",IF(VLOOKUP($B375,TabAlgTutti,9,FALSE)="","",VLOOKUP($B375,TabAlgTutti,9,FALSE)&amp;"R "))&amp;IF(ISNA(VLOOKUP($B375,TabAlgTutti,10,FALSE)),"",IF(VLOOKUP($B375,TabAlgTutti,10,FALSE)="","",VLOOKUP($B375,TabAlgTutti,10,FALSE)&amp;"P "))&amp;IF(ISNA(VLOOKUP($B375,TabAlgTutti,11,FALSE)),"",IF(VLOOKUP($B375,TabAlgTutti,11,FALSE)="","",VLOOKUP($B375,TabAlgTutti,11,FALSE)&amp;"A"))</f>
        <v/>
      </c>
      <c r="J375" s="63">
        <f ca="1">IF(ISNA(VLOOKUP($B375,TabAlgTutti,3,FALSE)),0,VLOOKUP($B375,TabAlgTutti,3,FALSE))+ROW()/100000</f>
        <v>1.421541157460428</v>
      </c>
      <c r="K375" s="63">
        <f ca="1">IF(ISNA(VLOOKUP($B375,TabAlgTutti,4,FALSE)),0,VLOOKUP($B375,TabAlgTutti,4,FALSE))+ROW()/100000</f>
        <v>2.0750494596570839</v>
      </c>
      <c r="L375" s="63" t="e">
        <f ca="1">VLOOKUP(Tabella114[[#This Row],[Calciatore]],'Raccolta Aste'!$K$2:$O$33,4,FALSE)*Asta!$U$3/100</f>
        <v>#N/A</v>
      </c>
      <c r="N375" s="59">
        <f t="shared" si="137"/>
        <v>69</v>
      </c>
      <c r="O375" s="62" t="str">
        <f ca="1">IF(ISNUMBER(N375),INDIRECT("B" &amp; 310 + MATCH(N375,INDIRECT(ADDRESS(311,22+MATCH($P$28,'I.A. + Fasce'!$W$84:$AA$84,0),1,1) &amp; ":" &amp; ADDRESS(531,22+MATCH($P$28,'I.A. + Fasce'!$W$84:$AA$84,0),1,1)),0)),"")</f>
        <v>VERETOUT</v>
      </c>
      <c r="P375" s="62" t="str">
        <f t="shared" ca="1" si="139"/>
        <v>Fiorentina</v>
      </c>
      <c r="Q375" s="59">
        <f t="shared" si="138"/>
        <v>77</v>
      </c>
      <c r="R375" s="62" t="str">
        <f ca="1">IF(ISNUMBER(Q375),INDIRECT("B" &amp; 310 + MATCH(Q375,INDIRECT(ADDRESS(311,22+MATCH($P$28,'I.A. + Fasce'!$W$84:$AA$84,0),1,1) &amp; ":" &amp; ADDRESS(531,22+MATCH($P$28,'I.A. + Fasce'!$W$84:$AA$84,0),1,1)),0)),"")</f>
        <v>STOIAN</v>
      </c>
      <c r="S375" s="62" t="str">
        <f t="shared" ca="1" si="140"/>
        <v>Crotone</v>
      </c>
      <c r="W375" s="56">
        <f t="shared" ca="1" si="120"/>
        <v>55</v>
      </c>
      <c r="X375" s="56">
        <f t="shared" ca="1" si="121"/>
        <v>64</v>
      </c>
      <c r="Y375" s="56">
        <f t="shared" ca="1" si="122"/>
        <v>64</v>
      </c>
      <c r="Z375" s="56">
        <f t="shared" ca="1" si="123"/>
        <v>80</v>
      </c>
      <c r="AA375" s="56">
        <f t="shared" ca="1" si="124"/>
        <v>81</v>
      </c>
      <c r="AB375" s="56">
        <f ca="1">_xlfn.CEILING.MATH(INDIRECT(ADDRESS(311,22+MATCH($P$28,'I.A. + Fasce'!$W$84:$AA$84,0),1,1) &amp; ":" &amp; ADDRESS(531,22+MATCH($P$28,'I.A. + Fasce'!$W$84:$AA$84,0),1,1))/Asta!$H$3)</f>
        <v>8</v>
      </c>
    </row>
    <row r="376" spans="1:28" ht="14.25" customHeight="1">
      <c r="A376" s="239" t="str">
        <f ca="1">IF(Giocatori!J12="","C",Giocatori!J12)</f>
        <v>C</v>
      </c>
      <c r="B376" s="239" t="str">
        <f ca="1">IF(Giocatori!K12="","ZZZ" &amp; ROW(),Giocatori!K12)</f>
        <v>BADELJ</v>
      </c>
      <c r="C376" s="239" t="str">
        <f ca="1">IF(Giocatori!L12="","NDR" &amp; ROW(),Giocatori!L12)</f>
        <v>Fiorentina</v>
      </c>
      <c r="D376" s="63">
        <f ca="1">IF(ISNA(VLOOKUP($B376,TabAlgTutti,6,FALSE)),0,VLOOKUP($B376,TabAlgTutti,6,FALSE))+ROW()/100000</f>
        <v>75.00376</v>
      </c>
      <c r="E376" s="63">
        <f ca="1">IF(ISNA(VLOOKUP($B376,TabAlgTutti,5,FALSE)),0,VLOOKUP($B376,TabAlgTutti,5,FALSE))+ROW()/100000</f>
        <v>41.00376</v>
      </c>
      <c r="F376" s="64">
        <f ca="1">($D376*$P$8+$E376*(1+$E376*100/60/100)*$S$8)/100+ROW()/100000</f>
        <v>72.018422784480009</v>
      </c>
      <c r="G376" s="63" t="str">
        <f ca="1">IF(ISNA(VLOOKUP($B376,TabAlgTutti,7,FALSE)),"",IF(VLOOKUP($B376,TabAlgTutti,7,FALSE)=-1,"SCONSIGLIATO",IF(VLOOKUP($B376,TabAlgTutti,7,FALSE)=0,"SORPRESA",IF(VLOOKUP($B376,TabAlgTutti,7,FALSE)=1,"CONSIGLIATO",""))))</f>
        <v/>
      </c>
      <c r="H376" s="65">
        <f ca="1">IF(ISNA(VLOOKUP($B376,TabAlgTutti,8,FALSE)),"",VLOOKUP($B376,TabAlgTutti,8,FALSE))</f>
        <v>80</v>
      </c>
      <c r="I376" s="63" t="str">
        <f ca="1">IF(ISNA(VLOOKUP($B376,TabAlgTutti,9,FALSE)),"",IF(VLOOKUP($B376,TabAlgTutti,9,FALSE)="","",VLOOKUP($B376,TabAlgTutti,9,FALSE)&amp;"R "))&amp;IF(ISNA(VLOOKUP($B376,TabAlgTutti,10,FALSE)),"",IF(VLOOKUP($B376,TabAlgTutti,10,FALSE)="","",VLOOKUP($B376,TabAlgTutti,10,FALSE)&amp;"P "))&amp;IF(ISNA(VLOOKUP($B376,TabAlgTutti,11,FALSE)),"",IF(VLOOKUP($B376,TabAlgTutti,11,FALSE)="","",VLOOKUP($B376,TabAlgTutti,11,FALSE)&amp;"A"))</f>
        <v/>
      </c>
      <c r="J376" s="63">
        <f ca="1">IF(ISNA(VLOOKUP($B376,TabAlgTutti,3,FALSE)),0,VLOOKUP($B376,TabAlgTutti,3,FALSE))+ROW()/100000</f>
        <v>5.5989323406356846</v>
      </c>
      <c r="K376" s="63">
        <f ca="1">IF(ISNA(VLOOKUP($B376,TabAlgTutti,4,FALSE)),0,VLOOKUP($B376,TabAlgTutti,4,FALSE))+ROW()/100000</f>
        <v>6.1882150246281924</v>
      </c>
      <c r="L376" s="63" t="e">
        <f ca="1">VLOOKUP(Tabella114[[#This Row],[Calciatore]],'Raccolta Aste'!$K$2:$O$33,4,FALSE)*Asta!$U$3/100</f>
        <v>#N/A</v>
      </c>
      <c r="N376" s="59">
        <f t="shared" si="137"/>
        <v>70</v>
      </c>
      <c r="O376" s="62" t="str">
        <f ca="1">IF(ISNUMBER(N376),INDIRECT("B" &amp; 310 + MATCH(N376,INDIRECT(ADDRESS(311,22+MATCH($P$28,'I.A. + Fasce'!$W$84:$AA$84,0),1,1) &amp; ":" &amp; ADDRESS(531,22+MATCH($P$28,'I.A. + Fasce'!$W$84:$AA$84,0),1,1)),0)),"")</f>
        <v>LAZOVIC</v>
      </c>
      <c r="P376" s="62" t="str">
        <f t="shared" ca="1" si="139"/>
        <v>Genoa</v>
      </c>
      <c r="Q376" s="59">
        <f t="shared" si="138"/>
        <v>78</v>
      </c>
      <c r="R376" s="62" t="str">
        <f ca="1">IF(ISNUMBER(Q376),INDIRECT("B" &amp; 310 + MATCH(Q376,INDIRECT(ADDRESS(311,22+MATCH($P$28,'I.A. + Fasce'!$W$84:$AA$84,0),1,1) &amp; ":" &amp; ADDRESS(531,22+MATCH($P$28,'I.A. + Fasce'!$W$84:$AA$84,0),1,1)),0)),"")</f>
        <v>VIVIANI</v>
      </c>
      <c r="S376" s="62" t="str">
        <f t="shared" ca="1" si="140"/>
        <v>SPAL</v>
      </c>
      <c r="W376" s="56">
        <f t="shared" ref="W376:W439" ca="1" si="141">_xlfn.RANK.EQ(D376,D$311:D$531,0)</f>
        <v>54</v>
      </c>
      <c r="X376" s="56">
        <f t="shared" ref="X376:X439" ca="1" si="142">_xlfn.RANK.EQ(E376,$E$311:$E$531,0)</f>
        <v>63</v>
      </c>
      <c r="Y376" s="56">
        <f t="shared" ref="Y376:Y439" ca="1" si="143">_xlfn.RANK.EQ(F376,$F$311:$F$531,0)</f>
        <v>63</v>
      </c>
      <c r="Z376" s="56">
        <f t="shared" ref="Z376:Z439" ca="1" si="144">_xlfn.RANK.EQ(J376,$J$311:$J$531,0)</f>
        <v>72</v>
      </c>
      <c r="AA376" s="56">
        <f t="shared" ref="AA376:AA439" ca="1" si="145">_xlfn.RANK.EQ(K376,$K$311:$K$531,0)</f>
        <v>74</v>
      </c>
      <c r="AB376" s="56">
        <f ca="1">_xlfn.CEILING.MATH(INDIRECT(ADDRESS(311,22+MATCH($P$28,'I.A. + Fasce'!$W$84:$AA$84,0),1,1) &amp; ":" &amp; ADDRESS(531,22+MATCH($P$28,'I.A. + Fasce'!$W$84:$AA$84,0),1,1))/Asta!$H$3)</f>
        <v>8</v>
      </c>
    </row>
    <row r="377" spans="1:28" ht="14.25" customHeight="1">
      <c r="A377" s="239" t="str">
        <f ca="1">IF(Giocatori!J16="","C",Giocatori!J16)</f>
        <v>C</v>
      </c>
      <c r="B377" s="239" t="str">
        <f ca="1">IF(Giocatori!K16="","ZZZ" &amp; ROW(),Giocatori!K16)</f>
        <v>BARELLA</v>
      </c>
      <c r="C377" s="239" t="str">
        <f ca="1">IF(Giocatori!L16="","NDR" &amp; ROW(),Giocatori!L16)</f>
        <v>Cagliari</v>
      </c>
      <c r="D377" s="63">
        <f ca="1">IF(ISNA(VLOOKUP($B377,TabAlgTutti,6,FALSE)),0,VLOOKUP($B377,TabAlgTutti,6,FALSE))+ROW()/100000</f>
        <v>72.003770000000003</v>
      </c>
      <c r="E377" s="63">
        <f ca="1">IF(ISNA(VLOOKUP($B377,TabAlgTutti,5,FALSE)),0,VLOOKUP($B377,TabAlgTutti,5,FALSE))+ROW()/100000</f>
        <v>42.003770000000003</v>
      </c>
      <c r="F377" s="64">
        <f ca="1">($D377*$P$8+$E377*(1+$E377*100/60/100)*$S$8)/100+ROW()/100000</f>
        <v>71.710179118440848</v>
      </c>
      <c r="G377" s="63" t="str">
        <f ca="1">IF(ISNA(VLOOKUP($B377,TabAlgTutti,7,FALSE)),"",IF(VLOOKUP($B377,TabAlgTutti,7,FALSE)=-1,"SCONSIGLIATO",IF(VLOOKUP($B377,TabAlgTutti,7,FALSE)=0,"SORPRESA",IF(VLOOKUP($B377,TabAlgTutti,7,FALSE)=1,"CONSIGLIATO",""))))</f>
        <v>CONSIGLIATO</v>
      </c>
      <c r="H377" s="65">
        <f ca="1">IF(ISNA(VLOOKUP($B377,TabAlgTutti,8,FALSE)),"",VLOOKUP($B377,TabAlgTutti,8,FALSE))</f>
        <v>80</v>
      </c>
      <c r="I377" s="63" t="str">
        <f ca="1">IF(ISNA(VLOOKUP($B377,TabAlgTutti,9,FALSE)),"",IF(VLOOKUP($B377,TabAlgTutti,9,FALSE)="","",VLOOKUP($B377,TabAlgTutti,9,FALSE)&amp;"R "))&amp;IF(ISNA(VLOOKUP($B377,TabAlgTutti,10,FALSE)),"",IF(VLOOKUP($B377,TabAlgTutti,10,FALSE)="","",VLOOKUP($B377,TabAlgTutti,10,FALSE)&amp;"P "))&amp;IF(ISNA(VLOOKUP($B377,TabAlgTutti,11,FALSE)),"",IF(VLOOKUP($B377,TabAlgTutti,11,FALSE)="","",VLOOKUP($B377,TabAlgTutti,11,FALSE)&amp;"A"))</f>
        <v/>
      </c>
      <c r="J377" s="63">
        <f ca="1">IF(ISNA(VLOOKUP($B377,TabAlgTutti,3,FALSE)),0,VLOOKUP($B377,TabAlgTutti,3,FALSE))+ROW()/100000</f>
        <v>8.8040611666050772</v>
      </c>
      <c r="K377" s="63">
        <f ca="1">IF(ISNA(VLOOKUP($B377,TabAlgTutti,4,FALSE)),0,VLOOKUP($B377,TabAlgTutti,4,FALSE))+ROW()/100000</f>
        <v>9.3440663896742855</v>
      </c>
      <c r="L377" s="63" t="e">
        <f ca="1">VLOOKUP(Tabella114[[#This Row],[Calciatore]],'Raccolta Aste'!$K$2:$O$33,4,FALSE)*Asta!$U$3/100</f>
        <v>#N/A</v>
      </c>
      <c r="N377" s="59">
        <f t="shared" si="137"/>
        <v>71</v>
      </c>
      <c r="O377" s="62" t="str">
        <f ca="1">IF(ISNUMBER(N377),INDIRECT("B" &amp; 310 + MATCH(N377,INDIRECT(ADDRESS(311,22+MATCH($P$28,'I.A. + Fasce'!$W$84:$AA$84,0),1,1) &amp; ":" &amp; ADDRESS(531,22+MATCH($P$28,'I.A. + Fasce'!$W$84:$AA$84,0),1,1)),0)),"")</f>
        <v>BARRETO E</v>
      </c>
      <c r="P377" s="62" t="str">
        <f t="shared" ca="1" si="139"/>
        <v>Sampdoria</v>
      </c>
      <c r="Q377" s="59">
        <f t="shared" si="138"/>
        <v>79</v>
      </c>
      <c r="R377" s="62" t="str">
        <f ca="1">IF(ISNUMBER(Q377),INDIRECT("B" &amp; 310 + MATCH(Q377,INDIRECT(ADDRESS(311,22+MATCH($P$28,'I.A. + Fasce'!$W$84:$AA$84,0),1,1) &amp; ":" &amp; ADDRESS(531,22+MATCH($P$28,'I.A. + Fasce'!$W$84:$AA$84,0),1,1)),0)),"")</f>
        <v>MIGUEL VELOSO</v>
      </c>
      <c r="S377" s="62" t="str">
        <f t="shared" ca="1" si="140"/>
        <v>Genoa</v>
      </c>
      <c r="W377" s="56">
        <f t="shared" ca="1" si="141"/>
        <v>81</v>
      </c>
      <c r="X377" s="56">
        <f t="shared" ca="1" si="142"/>
        <v>46</v>
      </c>
      <c r="Y377" s="56">
        <f t="shared" ca="1" si="143"/>
        <v>67</v>
      </c>
      <c r="Z377" s="56">
        <f t="shared" ca="1" si="144"/>
        <v>65</v>
      </c>
      <c r="AA377" s="56">
        <f t="shared" ca="1" si="145"/>
        <v>68</v>
      </c>
      <c r="AB377" s="56">
        <f ca="1">_xlfn.CEILING.MATH(INDIRECT(ADDRESS(311,22+MATCH($P$28,'I.A. + Fasce'!$W$84:$AA$84,0),1,1) &amp; ":" &amp; ADDRESS(531,22+MATCH($P$28,'I.A. + Fasce'!$W$84:$AA$84,0),1,1))/Asta!$H$3)</f>
        <v>9</v>
      </c>
    </row>
    <row r="378" spans="1:28" ht="14.25" customHeight="1">
      <c r="A378" s="239" t="str">
        <f ca="1">IF(Giocatori!J224="","C",Giocatori!J224)</f>
        <v>C</v>
      </c>
      <c r="B378" s="239" t="str">
        <f ca="1">IF(Giocatori!K173="","ZZZ" &amp; ROW(),Giocatori!K173)</f>
        <v>VERETOUT</v>
      </c>
      <c r="C378" s="239" t="str">
        <f ca="1">IF(Giocatori!L173="","NDR" &amp; ROW(),Giocatori!L173)</f>
        <v>Fiorentina</v>
      </c>
      <c r="D378" s="63">
        <f ca="1">IF(ISNA(VLOOKUP($B378,TabAlgTutti,6,FALSE)),0,VLOOKUP($B378,TabAlgTutti,6,FALSE))+ROW()/100000</f>
        <v>73.003780000000006</v>
      </c>
      <c r="E378" s="63">
        <f ca="1">IF(ISNA(VLOOKUP($B378,TabAlgTutti,5,FALSE)),0,VLOOKUP($B378,TabAlgTutti,5,FALSE))+ROW()/100000</f>
        <v>41.003779999999999</v>
      </c>
      <c r="F378" s="64">
        <f ca="1">($D378*$P$8+$E378*(1+$E378*100/60/100)*$S$8)/100+ROW()/100000</f>
        <v>71.018476452403334</v>
      </c>
      <c r="G378" s="63" t="str">
        <f ca="1">IF(ISNA(VLOOKUP($B378,TabAlgTutti,7,FALSE)),"",IF(VLOOKUP($B378,TabAlgTutti,7,FALSE)=-1,"SCONSIGLIATO",IF(VLOOKUP($B378,TabAlgTutti,7,FALSE)=0,"SORPRESA",IF(VLOOKUP($B378,TabAlgTutti,7,FALSE)=1,"CONSIGLIATO",""))))</f>
        <v/>
      </c>
      <c r="H378" s="65">
        <f ca="1">IF(ISNA(VLOOKUP($B378,TabAlgTutti,8,FALSE)),"",VLOOKUP($B378,TabAlgTutti,8,FALSE))</f>
        <v>80</v>
      </c>
      <c r="I378" s="63" t="str">
        <f ca="1">IF(ISNA(VLOOKUP($B378,TabAlgTutti,9,FALSE)),"",IF(VLOOKUP($B378,TabAlgTutti,9,FALSE)="","",VLOOKUP($B378,TabAlgTutti,9,FALSE)&amp;"R "))&amp;IF(ISNA(VLOOKUP($B378,TabAlgTutti,10,FALSE)),"",IF(VLOOKUP($B378,TabAlgTutti,10,FALSE)="","",VLOOKUP($B378,TabAlgTutti,10,FALSE)&amp;"P "))&amp;IF(ISNA(VLOOKUP($B378,TabAlgTutti,11,FALSE)),"",IF(VLOOKUP($B378,TabAlgTutti,11,FALSE)="","",VLOOKUP($B378,TabAlgTutti,11,FALSE)&amp;"A"))</f>
        <v/>
      </c>
      <c r="J378" s="63">
        <f ca="1">IF(ISNA(VLOOKUP($B378,TabAlgTutti,3,FALSE)),0,VLOOKUP($B378,TabAlgTutti,3,FALSE))+ROW()/100000</f>
        <v>4.8672865091830966</v>
      </c>
      <c r="K378" s="63">
        <f ca="1">IF(ISNA(VLOOKUP($B378,TabAlgTutti,4,FALSE)),0,VLOOKUP($B378,TabAlgTutti,4,FALSE))+ROW()/100000</f>
        <v>6.4132470812132931</v>
      </c>
      <c r="L378" s="63" t="e">
        <f ca="1">VLOOKUP(Tabella114[[#This Row],[Calciatore]],'Raccolta Aste'!$K$2:$O$33,4,FALSE)*Asta!$U$3/100</f>
        <v>#N/A</v>
      </c>
      <c r="N378" s="59">
        <f t="shared" si="137"/>
        <v>72</v>
      </c>
      <c r="O378" s="62" t="str">
        <f ca="1">IF(ISNUMBER(N378),INDIRECT("B" &amp; 310 + MATCH(N378,INDIRECT(ADDRESS(311,22+MATCH($P$28,'I.A. + Fasce'!$W$84:$AA$84,0),1,1) &amp; ":" &amp; ADDRESS(531,22+MATCH($P$28,'I.A. + Fasce'!$W$84:$AA$84,0),1,1)),0)),"")</f>
        <v>TAIDER</v>
      </c>
      <c r="P378" s="62" t="str">
        <f t="shared" ca="1" si="139"/>
        <v>Bologna</v>
      </c>
      <c r="Q378" s="59">
        <f t="shared" si="138"/>
        <v>80</v>
      </c>
      <c r="R378" s="62" t="str">
        <f ca="1">IF(ISNUMBER(Q378),INDIRECT("B" &amp; 310 + MATCH(Q378,INDIRECT(ADDRESS(311,22+MATCH($P$28,'I.A. + Fasce'!$W$84:$AA$84,0),1,1) &amp; ":" &amp; ADDRESS(531,22+MATCH($P$28,'I.A. + Fasce'!$W$84:$AA$84,0),1,1)),0)),"")</f>
        <v>SPINAZZOLA</v>
      </c>
      <c r="S378" s="62" t="str">
        <f t="shared" ca="1" si="140"/>
        <v>Atalanta</v>
      </c>
      <c r="W378" s="56">
        <f t="shared" ca="1" si="141"/>
        <v>72</v>
      </c>
      <c r="X378" s="56">
        <f t="shared" ca="1" si="142"/>
        <v>62</v>
      </c>
      <c r="Y378" s="56">
        <f t="shared" ca="1" si="143"/>
        <v>69</v>
      </c>
      <c r="Z378" s="56">
        <f t="shared" ca="1" si="144"/>
        <v>73</v>
      </c>
      <c r="AA378" s="56">
        <f t="shared" ca="1" si="145"/>
        <v>71</v>
      </c>
      <c r="AB378" s="56">
        <f ca="1">_xlfn.CEILING.MATH(INDIRECT(ADDRESS(311,22+MATCH($P$28,'I.A. + Fasce'!$W$84:$AA$84,0),1,1) &amp; ":" &amp; ADDRESS(531,22+MATCH($P$28,'I.A. + Fasce'!$W$84:$AA$84,0),1,1))/Asta!$H$3)</f>
        <v>9</v>
      </c>
    </row>
    <row r="379" spans="1:28" ht="14.25" customHeight="1">
      <c r="A379" s="239" t="str">
        <f ca="1">IF(Giocatori!J61="","C",Giocatori!J61)</f>
        <v>C</v>
      </c>
      <c r="B379" s="239" t="str">
        <f ca="1">IF(Giocatori!K61="","ZZZ" &amp; ROW(),Giocatori!K61)</f>
        <v>DIAWARA</v>
      </c>
      <c r="C379" s="239" t="str">
        <f ca="1">IF(Giocatori!L61="","NDR" &amp; ROW(),Giocatori!L61)</f>
        <v>Napoli</v>
      </c>
      <c r="D379" s="63">
        <f ca="1">IF(ISNA(VLOOKUP($B379,TabAlgTutti,6,FALSE)),0,VLOOKUP($B379,TabAlgTutti,6,FALSE))+ROW()/100000</f>
        <v>73.003789999999995</v>
      </c>
      <c r="E379" s="63">
        <f ca="1">IF(ISNA(VLOOKUP($B379,TabAlgTutti,5,FALSE)),0,VLOOKUP($B379,TabAlgTutti,5,FALSE))+ROW()/100000</f>
        <v>41.003790000000002</v>
      </c>
      <c r="F379" s="64">
        <f ca="1">($D379*$P$8+$E379*(1+$E379*100/60/100)*$S$8)/100+ROW()/100000</f>
        <v>71.018503286367491</v>
      </c>
      <c r="G379" s="63" t="str">
        <f ca="1">IF(ISNA(VLOOKUP($B379,TabAlgTutti,7,FALSE)),"",IF(VLOOKUP($B379,TabAlgTutti,7,FALSE)=-1,"SCONSIGLIATO",IF(VLOOKUP($B379,TabAlgTutti,7,FALSE)=0,"SORPRESA",IF(VLOOKUP($B379,TabAlgTutti,7,FALSE)=1,"CONSIGLIATO",""))))</f>
        <v/>
      </c>
      <c r="H379" s="65">
        <f ca="1">IF(ISNA(VLOOKUP($B379,TabAlgTutti,8,FALSE)),"",VLOOKUP($B379,TabAlgTutti,8,FALSE))</f>
        <v>70</v>
      </c>
      <c r="I379" s="63" t="str">
        <f ca="1">IF(ISNA(VLOOKUP($B379,TabAlgTutti,9,FALSE)),"",IF(VLOOKUP($B379,TabAlgTutti,9,FALSE)="","",VLOOKUP($B379,TabAlgTutti,9,FALSE)&amp;"R "))&amp;IF(ISNA(VLOOKUP($B379,TabAlgTutti,10,FALSE)),"",IF(VLOOKUP($B379,TabAlgTutti,10,FALSE)="","",VLOOKUP($B379,TabAlgTutti,10,FALSE)&amp;"P "))&amp;IF(ISNA(VLOOKUP($B379,TabAlgTutti,11,FALSE)),"",IF(VLOOKUP($B379,TabAlgTutti,11,FALSE)="","",VLOOKUP($B379,TabAlgTutti,11,FALSE)&amp;"A"))</f>
        <v/>
      </c>
      <c r="J379" s="63">
        <f ca="1">IF(ISNA(VLOOKUP($B379,TabAlgTutti,3,FALSE)),0,VLOOKUP($B379,TabAlgTutti,3,FALSE))+ROW()/100000</f>
        <v>28.617767460193281</v>
      </c>
      <c r="K379" s="63">
        <f ca="1">IF(ISNA(VLOOKUP($B379,TabAlgTutti,4,FALSE)),0,VLOOKUP($B379,TabAlgTutti,4,FALSE))+ROW()/100000</f>
        <v>28.98820618683683</v>
      </c>
      <c r="L379" s="63">
        <f ca="1">VLOOKUP(Tabella114[[#This Row],[Calciatore]],'Raccolta Aste'!$K$2:$O$33,4,FALSE)*Asta!$U$3/100</f>
        <v>0</v>
      </c>
      <c r="N379" s="59" t="str">
        <f t="shared" si="137"/>
        <v/>
      </c>
      <c r="O379" s="62" t="str">
        <f ca="1">IF(ISNUMBER(N379),INDIRECT("B" &amp; 310 + MATCH(N379,INDIRECT(ADDRESS(311,22+MATCH($P$28,'I.A. + Fasce'!$W$84:$AA$84,0),1,1) &amp; ":" &amp; ADDRESS(531,22+MATCH($P$28,'I.A. + Fasce'!$W$84:$AA$84,0),1,1)),0)),"")</f>
        <v/>
      </c>
      <c r="P379" s="62" t="str">
        <f t="shared" ca="1" si="139"/>
        <v/>
      </c>
      <c r="Q379" s="59" t="str">
        <f t="shared" si="138"/>
        <v/>
      </c>
      <c r="R379" s="62" t="str">
        <f ca="1">IF(ISNUMBER(Q379),INDIRECT("B" &amp; 310 + MATCH(Q379,INDIRECT(ADDRESS(311,22+MATCH($P$28,'I.A. + Fasce'!$W$84:$AA$84,0),1,1) &amp; ":" &amp; ADDRESS(531,22+MATCH($P$28,'I.A. + Fasce'!$W$84:$AA$84,0),1,1)),0)),"")</f>
        <v/>
      </c>
      <c r="S379" s="62" t="str">
        <f t="shared" ca="1" si="140"/>
        <v/>
      </c>
      <c r="W379" s="56">
        <f t="shared" ca="1" si="141"/>
        <v>71</v>
      </c>
      <c r="X379" s="56">
        <f t="shared" ca="1" si="142"/>
        <v>61</v>
      </c>
      <c r="Y379" s="56">
        <f t="shared" ca="1" si="143"/>
        <v>68</v>
      </c>
      <c r="Z379" s="56">
        <f t="shared" ca="1" si="144"/>
        <v>26</v>
      </c>
      <c r="AA379" s="56">
        <f t="shared" ca="1" si="145"/>
        <v>26</v>
      </c>
      <c r="AB379" s="56">
        <f ca="1">_xlfn.CEILING.MATH(INDIRECT(ADDRESS(311,22+MATCH($P$28,'I.A. + Fasce'!$W$84:$AA$84,0),1,1) &amp; ":" &amp; ADDRESS(531,22+MATCH($P$28,'I.A. + Fasce'!$W$84:$AA$84,0),1,1))/Asta!$H$3)</f>
        <v>9</v>
      </c>
    </row>
    <row r="380" spans="1:28" ht="14.25" customHeight="1">
      <c r="A380" s="239" t="str">
        <f ca="1">IF(Giocatori!J108="","C",Giocatori!J108)</f>
        <v>C</v>
      </c>
      <c r="B380" s="239" t="str">
        <f ca="1">IF(Giocatori!K108="","ZZZ" &amp; ROW(),Giocatori!K108)</f>
        <v>LAZOVIC</v>
      </c>
      <c r="C380" s="239" t="str">
        <f ca="1">IF(Giocatori!L108="","NDR" &amp; ROW(),Giocatori!L108)</f>
        <v>Genoa</v>
      </c>
      <c r="D380" s="63">
        <f ca="1">IF(ISNA(VLOOKUP($B380,TabAlgTutti,6,FALSE)),0,VLOOKUP($B380,TabAlgTutti,6,FALSE))+ROW()/100000</f>
        <v>70.003799999999998</v>
      </c>
      <c r="E380" s="63">
        <f ca="1">IF(ISNA(VLOOKUP($B380,TabAlgTutti,5,FALSE)),0,VLOOKUP($B380,TabAlgTutti,5,FALSE))+ROW()/100000</f>
        <v>42.003799999999998</v>
      </c>
      <c r="F380" s="64">
        <f ca="1">($D380*$P$8+$E380*(1+$E380*100/60/100)*$S$8)/100+ROW()/100000</f>
        <v>70.710260120333345</v>
      </c>
      <c r="G380" s="63" t="str">
        <f ca="1">IF(ISNA(VLOOKUP($B380,TabAlgTutti,7,FALSE)),"",IF(VLOOKUP($B380,TabAlgTutti,7,FALSE)=-1,"SCONSIGLIATO",IF(VLOOKUP($B380,TabAlgTutti,7,FALSE)=0,"SORPRESA",IF(VLOOKUP($B380,TabAlgTutti,7,FALSE)=1,"CONSIGLIATO",""))))</f>
        <v/>
      </c>
      <c r="H380" s="65">
        <f ca="1">IF(ISNA(VLOOKUP($B380,TabAlgTutti,8,FALSE)),"",VLOOKUP($B380,TabAlgTutti,8,FALSE))</f>
        <v>80</v>
      </c>
      <c r="I380" s="63" t="str">
        <f ca="1">IF(ISNA(VLOOKUP($B380,TabAlgTutti,9,FALSE)),"",IF(VLOOKUP($B380,TabAlgTutti,9,FALSE)="","",VLOOKUP($B380,TabAlgTutti,9,FALSE)&amp;"R "))&amp;IF(ISNA(VLOOKUP($B380,TabAlgTutti,10,FALSE)),"",IF(VLOOKUP($B380,TabAlgTutti,10,FALSE)="","",VLOOKUP($B380,TabAlgTutti,10,FALSE)&amp;"P "))&amp;IF(ISNA(VLOOKUP($B380,TabAlgTutti,11,FALSE)),"",IF(VLOOKUP($B380,TabAlgTutti,11,FALSE)="","",VLOOKUP($B380,TabAlgTutti,11,FALSE)&amp;"A"))</f>
        <v>2A</v>
      </c>
      <c r="J380" s="63">
        <f ca="1">IF(ISNA(VLOOKUP($B380,TabAlgTutti,3,FALSE)),0,VLOOKUP($B380,TabAlgTutti,3,FALSE))+ROW()/100000</f>
        <v>5.9248887289992798</v>
      </c>
      <c r="K380" s="63">
        <f ca="1">IF(ISNA(VLOOKUP($B380,TabAlgTutti,4,FALSE)),0,VLOOKUP($B380,TabAlgTutti,4,FALSE))+ROW()/100000</f>
        <v>7.319528125442476</v>
      </c>
      <c r="L380" s="63" t="e">
        <f ca="1">VLOOKUP(Tabella114[[#This Row],[Calciatore]],'Raccolta Aste'!$K$2:$O$33,4,FALSE)*Asta!$U$3/100</f>
        <v>#N/A</v>
      </c>
      <c r="N380" s="59" t="str">
        <f t="shared" si="137"/>
        <v/>
      </c>
      <c r="O380" s="62" t="str">
        <f ca="1">IF(ISNUMBER(N380),INDIRECT("B" &amp; 310 + MATCH(N380,INDIRECT(ADDRESS(311,22+MATCH($P$28,'I.A. + Fasce'!$W$84:$AA$84,0),1,1) &amp; ":" &amp; ADDRESS(531,22+MATCH($P$28,'I.A. + Fasce'!$W$84:$AA$84,0),1,1)),0)),"")</f>
        <v/>
      </c>
      <c r="P380" s="62" t="str">
        <f t="shared" ca="1" si="139"/>
        <v/>
      </c>
      <c r="Q380" s="59" t="str">
        <f t="shared" si="138"/>
        <v/>
      </c>
      <c r="R380" s="62" t="str">
        <f ca="1">IF(ISNUMBER(Q380),INDIRECT("B" &amp; 310 + MATCH(Q380,INDIRECT(ADDRESS(311,22+MATCH($P$28,'I.A. + Fasce'!$W$84:$AA$84,0),1,1) &amp; ":" &amp; ADDRESS(531,22+MATCH($P$28,'I.A. + Fasce'!$W$84:$AA$84,0),1,1)),0)),"")</f>
        <v/>
      </c>
      <c r="S380" s="62" t="str">
        <f t="shared" ca="1" si="140"/>
        <v/>
      </c>
      <c r="W380" s="56">
        <f t="shared" ca="1" si="141"/>
        <v>92</v>
      </c>
      <c r="X380" s="56">
        <f t="shared" ca="1" si="142"/>
        <v>45</v>
      </c>
      <c r="Y380" s="56">
        <f t="shared" ca="1" si="143"/>
        <v>70</v>
      </c>
      <c r="Z380" s="56">
        <f t="shared" ca="1" si="144"/>
        <v>70</v>
      </c>
      <c r="AA380" s="56">
        <f t="shared" ca="1" si="145"/>
        <v>70</v>
      </c>
      <c r="AB380" s="56">
        <f ca="1">_xlfn.CEILING.MATH(INDIRECT(ADDRESS(311,22+MATCH($P$28,'I.A. + Fasce'!$W$84:$AA$84,0),1,1) &amp; ":" &amp; ADDRESS(531,22+MATCH($P$28,'I.A. + Fasce'!$W$84:$AA$84,0),1,1))/Asta!$H$3)</f>
        <v>9</v>
      </c>
    </row>
    <row r="381" spans="1:28" ht="14.25" customHeight="1">
      <c r="A381" s="239" t="str">
        <f ca="1">IF(Giocatori!J17="","C",Giocatori!J17)</f>
        <v>C</v>
      </c>
      <c r="B381" s="239" t="str">
        <f ca="1">IF(Giocatori!K17="","ZZZ" &amp; ROW(),Giocatori!K17)</f>
        <v>BARRETO E</v>
      </c>
      <c r="C381" s="239" t="str">
        <f ca="1">IF(Giocatori!L17="","NDR" &amp; ROW(),Giocatori!L17)</f>
        <v>Sampdoria</v>
      </c>
      <c r="D381" s="63">
        <f ca="1">IF(ISNA(VLOOKUP($B381,TabAlgTutti,6,FALSE)),0,VLOOKUP($B381,TabAlgTutti,6,FALSE))+ROW()/100000</f>
        <v>74.003810000000001</v>
      </c>
      <c r="E381" s="63">
        <f ca="1">IF(ISNA(VLOOKUP($B381,TabAlgTutti,5,FALSE)),0,VLOOKUP($B381,TabAlgTutti,5,FALSE))+ROW()/100000</f>
        <v>40.003810000000001</v>
      </c>
      <c r="F381" s="64">
        <f ca="1">($D381*$P$8+$E381*(1+$E381*100/60/100)*$S$8)/100+ROW()/100000</f>
        <v>70.343493454300841</v>
      </c>
      <c r="G381" s="63" t="str">
        <f ca="1">IF(ISNA(VLOOKUP($B381,TabAlgTutti,7,FALSE)),"",IF(VLOOKUP($B381,TabAlgTutti,7,FALSE)=-1,"SCONSIGLIATO",IF(VLOOKUP($B381,TabAlgTutti,7,FALSE)=0,"SORPRESA",IF(VLOOKUP($B381,TabAlgTutti,7,FALSE)=1,"CONSIGLIATO",""))))</f>
        <v/>
      </c>
      <c r="H381" s="65">
        <f ca="1">IF(ISNA(VLOOKUP($B381,TabAlgTutti,8,FALSE)),"",VLOOKUP($B381,TabAlgTutti,8,FALSE))</f>
        <v>70</v>
      </c>
      <c r="I381" s="63" t="str">
        <f ca="1">IF(ISNA(VLOOKUP($B381,TabAlgTutti,9,FALSE)),"",IF(VLOOKUP($B381,TabAlgTutti,9,FALSE)="","",VLOOKUP($B381,TabAlgTutti,9,FALSE)&amp;"R "))&amp;IF(ISNA(VLOOKUP($B381,TabAlgTutti,10,FALSE)),"",IF(VLOOKUP($B381,TabAlgTutti,10,FALSE)="","",VLOOKUP($B381,TabAlgTutti,10,FALSE)&amp;"P "))&amp;IF(ISNA(VLOOKUP($B381,TabAlgTutti,11,FALSE)),"",IF(VLOOKUP($B381,TabAlgTutti,11,FALSE)="","",VLOOKUP($B381,TabAlgTutti,11,FALSE)&amp;"A"))</f>
        <v/>
      </c>
      <c r="J381" s="63">
        <f ca="1">IF(ISNA(VLOOKUP($B381,TabAlgTutti,3,FALSE)),0,VLOOKUP($B381,TabAlgTutti,3,FALSE))+ROW()/100000</f>
        <v>1.9968929641930928</v>
      </c>
      <c r="K381" s="63">
        <f ca="1">IF(ISNA(VLOOKUP($B381,TabAlgTutti,4,FALSE)),0,VLOOKUP($B381,TabAlgTutti,4,FALSE))+ROW()/100000</f>
        <v>2.6415563776149455</v>
      </c>
      <c r="L381" s="63" t="e">
        <f ca="1">VLOOKUP(Tabella114[[#This Row],[Calciatore]],'Raccolta Aste'!$K$2:$O$33,4,FALSE)*Asta!$U$3/100</f>
        <v>#N/A</v>
      </c>
      <c r="N381" s="59" t="str">
        <f t="shared" si="137"/>
        <v/>
      </c>
      <c r="O381" s="62" t="str">
        <f ca="1">IF(ISNUMBER(N381),INDIRECT("B" &amp; 310 + MATCH(N381,INDIRECT(ADDRESS(311,22+MATCH($P$28,'I.A. + Fasce'!$W$84:$AA$84,0),1,1) &amp; ":" &amp; ADDRESS(531,22+MATCH($P$28,'I.A. + Fasce'!$W$84:$AA$84,0),1,1)),0)),"")</f>
        <v/>
      </c>
      <c r="P381" s="62" t="str">
        <f t="shared" ca="1" si="139"/>
        <v/>
      </c>
      <c r="Q381" s="59" t="str">
        <f t="shared" si="138"/>
        <v/>
      </c>
      <c r="R381" s="62" t="str">
        <f ca="1">IF(ISNUMBER(Q381),INDIRECT("B" &amp; 310 + MATCH(Q381,INDIRECT(ADDRESS(311,22+MATCH($P$28,'I.A. + Fasce'!$W$84:$AA$84,0),1,1) &amp; ":" &amp; ADDRESS(531,22+MATCH($P$28,'I.A. + Fasce'!$W$84:$AA$84,0),1,1)),0)),"")</f>
        <v/>
      </c>
      <c r="S381" s="62" t="str">
        <f t="shared" ca="1" si="140"/>
        <v/>
      </c>
      <c r="W381" s="56">
        <f t="shared" ca="1" si="141"/>
        <v>65</v>
      </c>
      <c r="X381" s="56">
        <f t="shared" ca="1" si="142"/>
        <v>79</v>
      </c>
      <c r="Y381" s="56">
        <f t="shared" ca="1" si="143"/>
        <v>71</v>
      </c>
      <c r="Z381" s="56">
        <f t="shared" ca="1" si="144"/>
        <v>79</v>
      </c>
      <c r="AA381" s="56">
        <f t="shared" ca="1" si="145"/>
        <v>80</v>
      </c>
      <c r="AB381" s="56">
        <f ca="1">_xlfn.CEILING.MATH(INDIRECT(ADDRESS(311,22+MATCH($P$28,'I.A. + Fasce'!$W$84:$AA$84,0),1,1) &amp; ":" &amp; ADDRESS(531,22+MATCH($P$28,'I.A. + Fasce'!$W$84:$AA$84,0),1,1))/Asta!$H$3)</f>
        <v>9</v>
      </c>
    </row>
    <row r="382" spans="1:28" ht="14.25" customHeight="1">
      <c r="A382" s="239" t="str">
        <f ca="1">IF(Giocatori!J217="","C",Giocatori!J217)</f>
        <v>C</v>
      </c>
      <c r="B382" s="239" t="str">
        <f ca="1">IF(Giocatori!K166="","ZZZ" &amp; ROW(),Giocatori!K166)</f>
        <v>TAIDER</v>
      </c>
      <c r="C382" s="239" t="str">
        <f ca="1">IF(Giocatori!L166="","NDR" &amp; ROW(),Giocatori!L166)</f>
        <v>Bologna</v>
      </c>
      <c r="D382" s="63">
        <f ca="1">IF(ISNA(VLOOKUP($B382,TabAlgTutti,6,FALSE)),0,VLOOKUP($B382,TabAlgTutti,6,FALSE))+ROW()/100000</f>
        <v>76.003820000000005</v>
      </c>
      <c r="E382" s="63">
        <f ca="1">IF(ISNA(VLOOKUP($B382,TabAlgTutti,5,FALSE)),0,VLOOKUP($B382,TabAlgTutti,5,FALSE))+ROW()/100000</f>
        <v>39.003819999999997</v>
      </c>
      <c r="F382" s="64">
        <f ca="1">($D382*$P$8+$E382*(1+$E382*100/60/100)*$S$8)/100+ROW()/100000</f>
        <v>70.18512312160334</v>
      </c>
      <c r="G382" s="63" t="str">
        <f ca="1">IF(ISNA(VLOOKUP($B382,TabAlgTutti,7,FALSE)),"",IF(VLOOKUP($B382,TabAlgTutti,7,FALSE)=-1,"SCONSIGLIATO",IF(VLOOKUP($B382,TabAlgTutti,7,FALSE)=0,"SORPRESA",IF(VLOOKUP($B382,TabAlgTutti,7,FALSE)=1,"CONSIGLIATO",""))))</f>
        <v/>
      </c>
      <c r="H382" s="65">
        <f ca="1">IF(ISNA(VLOOKUP($B382,TabAlgTutti,8,FALSE)),"",VLOOKUP($B382,TabAlgTutti,8,FALSE))</f>
        <v>80</v>
      </c>
      <c r="I382" s="63" t="str">
        <f ca="1">IF(ISNA(VLOOKUP($B382,TabAlgTutti,9,FALSE)),"",IF(VLOOKUP($B382,TabAlgTutti,9,FALSE)="","",VLOOKUP($B382,TabAlgTutti,9,FALSE)&amp;"R "))&amp;IF(ISNA(VLOOKUP($B382,TabAlgTutti,10,FALSE)),"",IF(VLOOKUP($B382,TabAlgTutti,10,FALSE)="","",VLOOKUP($B382,TabAlgTutti,10,FALSE)&amp;"P "))&amp;IF(ISNA(VLOOKUP($B382,TabAlgTutti,11,FALSE)),"",IF(VLOOKUP($B382,TabAlgTutti,11,FALSE)="","",VLOOKUP($B382,TabAlgTutti,11,FALSE)&amp;"A"))</f>
        <v xml:space="preserve">3P </v>
      </c>
      <c r="J382" s="63">
        <f ca="1">IF(ISNA(VLOOKUP($B382,TabAlgTutti,3,FALSE)),0,VLOOKUP($B382,TabAlgTutti,3,FALSE))+ROW()/100000</f>
        <v>1.0038199999999999</v>
      </c>
      <c r="K382" s="63">
        <f ca="1">IF(ISNA(VLOOKUP($B382,TabAlgTutti,4,FALSE)),0,VLOOKUP($B382,TabAlgTutti,4,FALSE))+ROW()/100000</f>
        <v>1.0038199999999999</v>
      </c>
      <c r="L382" s="63" t="e">
        <f ca="1">VLOOKUP(Tabella114[[#This Row],[Calciatore]],'Raccolta Aste'!$K$2:$O$33,4,FALSE)*Asta!$U$3/100</f>
        <v>#N/A</v>
      </c>
      <c r="N382" s="59" t="str">
        <f t="shared" si="137"/>
        <v/>
      </c>
      <c r="O382" s="62" t="str">
        <f ca="1">IF(ISNUMBER(N382),INDIRECT("B" &amp; 310 + MATCH(N382,INDIRECT(ADDRESS(311,22+MATCH($P$28,'I.A. + Fasce'!$W$84:$AA$84,0),1,1) &amp; ":" &amp; ADDRESS(531,22+MATCH($P$28,'I.A. + Fasce'!$W$84:$AA$84,0),1,1)),0)),"")</f>
        <v/>
      </c>
      <c r="P382" s="62" t="str">
        <f t="shared" ca="1" si="139"/>
        <v/>
      </c>
      <c r="Q382" s="59" t="str">
        <f t="shared" si="138"/>
        <v/>
      </c>
      <c r="R382" s="62" t="str">
        <f ca="1">IF(ISNUMBER(Q382),INDIRECT("B" &amp; 310 + MATCH(Q382,INDIRECT(ADDRESS(311,22+MATCH($P$28,'I.A. + Fasce'!$W$84:$AA$84,0),1,1) &amp; ":" &amp; ADDRESS(531,22+MATCH($P$28,'I.A. + Fasce'!$W$84:$AA$84,0),1,1)),0)),"")</f>
        <v/>
      </c>
      <c r="S382" s="62" t="str">
        <f t="shared" ca="1" si="140"/>
        <v/>
      </c>
      <c r="W382" s="56">
        <f t="shared" ca="1" si="141"/>
        <v>47</v>
      </c>
      <c r="X382" s="56">
        <f t="shared" ca="1" si="142"/>
        <v>90</v>
      </c>
      <c r="Y382" s="56">
        <f t="shared" ca="1" si="143"/>
        <v>72</v>
      </c>
      <c r="Z382" s="56">
        <f t="shared" ca="1" si="144"/>
        <v>170</v>
      </c>
      <c r="AA382" s="56">
        <f t="shared" ca="1" si="145"/>
        <v>170</v>
      </c>
      <c r="AB382" s="56">
        <f ca="1">_xlfn.CEILING.MATH(INDIRECT(ADDRESS(311,22+MATCH($P$28,'I.A. + Fasce'!$W$84:$AA$84,0),1,1) &amp; ":" &amp; ADDRESS(531,22+MATCH($P$28,'I.A. + Fasce'!$W$84:$AA$84,0),1,1))/Asta!$H$3)</f>
        <v>9</v>
      </c>
    </row>
    <row r="383" spans="1:28" ht="14.25" customHeight="1">
      <c r="A383" s="239" t="str">
        <f ca="1">IF(Giocatori!J205="","C",Giocatori!J205)</f>
        <v>C</v>
      </c>
      <c r="B383" s="239" t="str">
        <f ca="1">IF(Giocatori!K154="","ZZZ" &amp; ROW(),Giocatori!K154)</f>
        <v>ROHDEN</v>
      </c>
      <c r="C383" s="239" t="str">
        <f ca="1">IF(Giocatori!L154="","NDR" &amp; ROW(),Giocatori!L154)</f>
        <v>Crotone</v>
      </c>
      <c r="D383" s="63">
        <f ca="1">IF(ISNA(VLOOKUP($B383,TabAlgTutti,6,FALSE)),0,VLOOKUP($B383,TabAlgTutti,6,FALSE))+ROW()/100000</f>
        <v>68.003829999999994</v>
      </c>
      <c r="E383" s="63">
        <f ca="1">IF(ISNA(VLOOKUP($B383,TabAlgTutti,5,FALSE)),0,VLOOKUP($B383,TabAlgTutti,5,FALSE))+ROW()/100000</f>
        <v>42.003830000000001</v>
      </c>
      <c r="F383" s="64">
        <f ca="1">($D383*$P$8+$E383*(1+$E383*100/60/100)*$S$8)/100+ROW()/100000</f>
        <v>69.710341122240834</v>
      </c>
      <c r="G383" s="63" t="str">
        <f ca="1">IF(ISNA(VLOOKUP($B383,TabAlgTutti,7,FALSE)),"",IF(VLOOKUP($B383,TabAlgTutti,7,FALSE)=-1,"SCONSIGLIATO",IF(VLOOKUP($B383,TabAlgTutti,7,FALSE)=0,"SORPRESA",IF(VLOOKUP($B383,TabAlgTutti,7,FALSE)=1,"CONSIGLIATO",""))))</f>
        <v/>
      </c>
      <c r="H383" s="65">
        <f ca="1">IF(ISNA(VLOOKUP($B383,TabAlgTutti,8,FALSE)),"",VLOOKUP($B383,TabAlgTutti,8,FALSE))</f>
        <v>80</v>
      </c>
      <c r="I383" s="63" t="str">
        <f ca="1">IF(ISNA(VLOOKUP($B383,TabAlgTutti,9,FALSE)),"",IF(VLOOKUP($B383,TabAlgTutti,9,FALSE)="","",VLOOKUP($B383,TabAlgTutti,9,FALSE)&amp;"R "))&amp;IF(ISNA(VLOOKUP($B383,TabAlgTutti,10,FALSE)),"",IF(VLOOKUP($B383,TabAlgTutti,10,FALSE)="","",VLOOKUP($B383,TabAlgTutti,10,FALSE)&amp;"P "))&amp;IF(ISNA(VLOOKUP($B383,TabAlgTutti,11,FALSE)),"",IF(VLOOKUP($B383,TabAlgTutti,11,FALSE)="","",VLOOKUP($B383,TabAlgTutti,11,FALSE)&amp;"A"))</f>
        <v/>
      </c>
      <c r="J383" s="63">
        <f ca="1">IF(ISNA(VLOOKUP($B383,TabAlgTutti,3,FALSE)),0,VLOOKUP($B383,TabAlgTutti,3,FALSE))+ROW()/100000</f>
        <v>1.00383</v>
      </c>
      <c r="K383" s="63">
        <f ca="1">IF(ISNA(VLOOKUP($B383,TabAlgTutti,4,FALSE)),0,VLOOKUP($B383,TabAlgTutti,4,FALSE))+ROW()/100000</f>
        <v>1.00383</v>
      </c>
      <c r="L383" s="63" t="e">
        <f ca="1">VLOOKUP(Tabella114[[#This Row],[Calciatore]],'Raccolta Aste'!$K$2:$O$33,4,FALSE)*Asta!$U$3/100</f>
        <v>#N/A</v>
      </c>
      <c r="N383" s="58"/>
      <c r="O383" s="58"/>
      <c r="P383" s="58"/>
      <c r="Q383" s="58"/>
      <c r="R383" s="58"/>
      <c r="S383" s="58"/>
      <c r="W383" s="56">
        <f t="shared" ca="1" si="141"/>
        <v>112</v>
      </c>
      <c r="X383" s="56">
        <f t="shared" ca="1" si="142"/>
        <v>44</v>
      </c>
      <c r="Y383" s="56">
        <f t="shared" ca="1" si="143"/>
        <v>73</v>
      </c>
      <c r="Z383" s="56">
        <f t="shared" ca="1" si="144"/>
        <v>169</v>
      </c>
      <c r="AA383" s="56">
        <f t="shared" ca="1" si="145"/>
        <v>169</v>
      </c>
      <c r="AB383" s="56">
        <f ca="1">_xlfn.CEILING.MATH(INDIRECT(ADDRESS(311,22+MATCH($P$28,'I.A. + Fasce'!$W$84:$AA$84,0),1,1) &amp; ":" &amp; ADDRESS(531,22+MATCH($P$28,'I.A. + Fasce'!$W$84:$AA$84,0),1,1))/Asta!$H$3)</f>
        <v>10</v>
      </c>
    </row>
    <row r="384" spans="1:28" ht="14.25" customHeight="1">
      <c r="A384" s="239" t="str">
        <f ca="1">IF(Giocatori!J56="","C",Giocatori!J56)</f>
        <v>C</v>
      </c>
      <c r="B384" s="239" t="str">
        <f ca="1">IF(Giocatori!K56="","ZZZ" &amp; ROW(),Giocatori!K56)</f>
        <v>DE ROSSI</v>
      </c>
      <c r="C384" s="239" t="str">
        <f ca="1">IF(Giocatori!L56="","NDR" &amp; ROW(),Giocatori!L56)</f>
        <v>Roma</v>
      </c>
      <c r="D384" s="63">
        <f ca="1">IF(ISNA(VLOOKUP($B384,TabAlgTutti,6,FALSE)),0,VLOOKUP($B384,TabAlgTutti,6,FALSE))+ROW()/100000</f>
        <v>77.003839999999997</v>
      </c>
      <c r="E384" s="63">
        <f ca="1">IF(ISNA(VLOOKUP($B384,TabAlgTutti,5,FALSE)),0,VLOOKUP($B384,TabAlgTutti,5,FALSE))+ROW()/100000</f>
        <v>38.003839999999997</v>
      </c>
      <c r="F384" s="64">
        <f ca="1">($D384*$P$8+$E384*(1+$E384*100/60/100)*$S$8)/100+ROW()/100000</f>
        <v>69.543445456213334</v>
      </c>
      <c r="G384" s="63" t="str">
        <f ca="1">IF(ISNA(VLOOKUP($B384,TabAlgTutti,7,FALSE)),"",IF(VLOOKUP($B384,TabAlgTutti,7,FALSE)=-1,"SCONSIGLIATO",IF(VLOOKUP($B384,TabAlgTutti,7,FALSE)=0,"SORPRESA",IF(VLOOKUP($B384,TabAlgTutti,7,FALSE)=1,"CONSIGLIATO",""))))</f>
        <v/>
      </c>
      <c r="H384" s="65">
        <f ca="1">IF(ISNA(VLOOKUP($B384,TabAlgTutti,8,FALSE)),"",VLOOKUP($B384,TabAlgTutti,8,FALSE))</f>
        <v>60</v>
      </c>
      <c r="I384" s="63" t="str">
        <f ca="1">IF(ISNA(VLOOKUP($B384,TabAlgTutti,9,FALSE)),"",IF(VLOOKUP($B384,TabAlgTutti,9,FALSE)="","",VLOOKUP($B384,TabAlgTutti,9,FALSE)&amp;"R "))&amp;IF(ISNA(VLOOKUP($B384,TabAlgTutti,10,FALSE)),"",IF(VLOOKUP($B384,TabAlgTutti,10,FALSE)="","",VLOOKUP($B384,TabAlgTutti,10,FALSE)&amp;"P "))&amp;IF(ISNA(VLOOKUP($B384,TabAlgTutti,11,FALSE)),"",IF(VLOOKUP($B384,TabAlgTutti,11,FALSE)="","",VLOOKUP($B384,TabAlgTutti,11,FALSE)&amp;"A"))</f>
        <v xml:space="preserve">2R 2P </v>
      </c>
      <c r="J384" s="63">
        <f ca="1">IF(ISNA(VLOOKUP($B384,TabAlgTutti,3,FALSE)),0,VLOOKUP($B384,TabAlgTutti,3,FALSE))+ROW()/100000</f>
        <v>14.224274335712163</v>
      </c>
      <c r="K384" s="63">
        <f ca="1">IF(ISNA(VLOOKUP($B384,TabAlgTutti,4,FALSE)),0,VLOOKUP($B384,TabAlgTutti,4,FALSE))+ROW()/100000</f>
        <v>15.626375765423514</v>
      </c>
      <c r="L384" s="63" t="e">
        <f ca="1">VLOOKUP(Tabella114[[#This Row],[Calciatore]],'Raccolta Aste'!$K$2:$O$33,4,FALSE)*Asta!$U$3/100</f>
        <v>#N/A</v>
      </c>
      <c r="N384" s="58"/>
      <c r="O384" s="58"/>
      <c r="P384" s="58"/>
      <c r="Q384" s="58"/>
      <c r="R384" s="58"/>
      <c r="S384" s="58"/>
      <c r="W384" s="56">
        <f t="shared" ca="1" si="141"/>
        <v>39</v>
      </c>
      <c r="X384" s="56">
        <f t="shared" ca="1" si="142"/>
        <v>103</v>
      </c>
      <c r="Y384" s="56">
        <f t="shared" ca="1" si="143"/>
        <v>74</v>
      </c>
      <c r="Z384" s="56">
        <f t="shared" ca="1" si="144"/>
        <v>51</v>
      </c>
      <c r="AA384" s="56">
        <f t="shared" ca="1" si="145"/>
        <v>48</v>
      </c>
      <c r="AB384" s="56">
        <f ca="1">_xlfn.CEILING.MATH(INDIRECT(ADDRESS(311,22+MATCH($P$28,'I.A. + Fasce'!$W$84:$AA$84,0),1,1) &amp; ":" &amp; ADDRESS(531,22+MATCH($P$28,'I.A. + Fasce'!$W$84:$AA$84,0),1,1))/Asta!$H$3)</f>
        <v>10</v>
      </c>
    </row>
    <row r="385" spans="1:28" ht="14.25" customHeight="1">
      <c r="A385" s="239" t="str">
        <f ca="1">IF(Giocatori!J113="","C",Giocatori!J113)</f>
        <v>C</v>
      </c>
      <c r="B385" s="239" t="str">
        <f ca="1">IF(Giocatori!K113="","ZZZ" &amp; ROW(),Giocatori!K113)</f>
        <v>LUCAS LEIVA</v>
      </c>
      <c r="C385" s="239" t="str">
        <f ca="1">IF(Giocatori!L113="","NDR" &amp; ROW(),Giocatori!L113)</f>
        <v>Lazio</v>
      </c>
      <c r="D385" s="63">
        <f ca="1">IF(ISNA(VLOOKUP($B385,TabAlgTutti,6,FALSE)),0,VLOOKUP($B385,TabAlgTutti,6,FALSE))+ROW()/100000</f>
        <v>70.00385</v>
      </c>
      <c r="E385" s="63">
        <f ca="1">IF(ISNA(VLOOKUP($B385,TabAlgTutti,5,FALSE)),0,VLOOKUP($B385,TabAlgTutti,5,FALSE))+ROW()/100000</f>
        <v>41.00385</v>
      </c>
      <c r="F385" s="64">
        <f ca="1">($D385*$P$8+$E385*(1+$E385*100/60/100)*$S$8)/100+ROW()/100000</f>
        <v>69.518664290187502</v>
      </c>
      <c r="G385" s="63" t="str">
        <f ca="1">IF(ISNA(VLOOKUP($B385,TabAlgTutti,7,FALSE)),"",IF(VLOOKUP($B385,TabAlgTutti,7,FALSE)=-1,"SCONSIGLIATO",IF(VLOOKUP($B385,TabAlgTutti,7,FALSE)=0,"SORPRESA",IF(VLOOKUP($B385,TabAlgTutti,7,FALSE)=1,"CONSIGLIATO",""))))</f>
        <v>SCONSIGLIATO</v>
      </c>
      <c r="H385" s="65">
        <f ca="1">IF(ISNA(VLOOKUP($B385,TabAlgTutti,8,FALSE)),"",VLOOKUP($B385,TabAlgTutti,8,FALSE))</f>
        <v>80</v>
      </c>
      <c r="I385" s="63" t="str">
        <f ca="1">IF(ISNA(VLOOKUP($B385,TabAlgTutti,9,FALSE)),"",IF(VLOOKUP($B385,TabAlgTutti,9,FALSE)="","",VLOOKUP($B385,TabAlgTutti,9,FALSE)&amp;"R "))&amp;IF(ISNA(VLOOKUP($B385,TabAlgTutti,10,FALSE)),"",IF(VLOOKUP($B385,TabAlgTutti,10,FALSE)="","",VLOOKUP($B385,TabAlgTutti,10,FALSE)&amp;"P "))&amp;IF(ISNA(VLOOKUP($B385,TabAlgTutti,11,FALSE)),"",IF(VLOOKUP($B385,TabAlgTutti,11,FALSE)="","",VLOOKUP($B385,TabAlgTutti,11,FALSE)&amp;"A"))</f>
        <v/>
      </c>
      <c r="J385" s="63">
        <f ca="1">IF(ISNA(VLOOKUP($B385,TabAlgTutti,3,FALSE)),0,VLOOKUP($B385,TabAlgTutti,3,FALSE))+ROW()/100000</f>
        <v>15.674996340482082</v>
      </c>
      <c r="K385" s="63">
        <f ca="1">IF(ISNA(VLOOKUP($B385,TabAlgTutti,4,FALSE)),0,VLOOKUP($B385,TabAlgTutti,4,FALSE))+ROW()/100000</f>
        <v>16.244426084110984</v>
      </c>
      <c r="L385" s="63" t="e">
        <f ca="1">VLOOKUP(Tabella114[[#This Row],[Calciatore]],'Raccolta Aste'!$K$2:$O$33,4,FALSE)*Asta!$U$3/100</f>
        <v>#N/A</v>
      </c>
      <c r="N385" s="58"/>
      <c r="O385"/>
      <c r="P385" s="58"/>
      <c r="Q385" s="58"/>
      <c r="R385" s="58"/>
      <c r="S385" s="58"/>
      <c r="W385" s="56">
        <f t="shared" ca="1" si="141"/>
        <v>91</v>
      </c>
      <c r="X385" s="56">
        <f t="shared" ca="1" si="142"/>
        <v>60</v>
      </c>
      <c r="Y385" s="56">
        <f t="shared" ca="1" si="143"/>
        <v>75</v>
      </c>
      <c r="Z385" s="56">
        <f t="shared" ca="1" si="144"/>
        <v>47</v>
      </c>
      <c r="AA385" s="56">
        <f t="shared" ca="1" si="145"/>
        <v>47</v>
      </c>
      <c r="AB385" s="56">
        <f ca="1">_xlfn.CEILING.MATH(INDIRECT(ADDRESS(311,22+MATCH($P$28,'I.A. + Fasce'!$W$84:$AA$84,0),1,1) &amp; ":" &amp; ADDRESS(531,22+MATCH($P$28,'I.A. + Fasce'!$W$84:$AA$84,0),1,1))/Asta!$H$3)</f>
        <v>10</v>
      </c>
    </row>
    <row r="386" spans="1:28" ht="14.25" customHeight="1">
      <c r="A386" s="239" t="str">
        <f ca="1">IF(Giocatori!J143="","C",Giocatori!J143)</f>
        <v>C</v>
      </c>
      <c r="B386" s="239" t="str">
        <f ca="1">IF(Giocatori!K143="","ZZZ" &amp; ROW(),Giocatori!K143)</f>
        <v>POLI</v>
      </c>
      <c r="C386" s="239" t="str">
        <f ca="1">IF(Giocatori!L143="","NDR" &amp; ROW(),Giocatori!L143)</f>
        <v>Bologna</v>
      </c>
      <c r="D386" s="63">
        <f ca="1">IF(ISNA(VLOOKUP($B386,TabAlgTutti,6,FALSE)),0,VLOOKUP($B386,TabAlgTutti,6,FALSE))+ROW()/100000</f>
        <v>72.003860000000003</v>
      </c>
      <c r="E386" s="63">
        <f ca="1">IF(ISNA(VLOOKUP($B386,TabAlgTutti,5,FALSE)),0,VLOOKUP($B386,TabAlgTutti,5,FALSE))+ROW()/100000</f>
        <v>40.003860000000003</v>
      </c>
      <c r="F386" s="64">
        <f ca="1">($D386*$P$8+$E386*(1+$E386*100/60/100)*$S$8)/100+ROW()/100000</f>
        <v>69.343626790830001</v>
      </c>
      <c r="G386" s="63" t="str">
        <f ca="1">IF(ISNA(VLOOKUP($B386,TabAlgTutti,7,FALSE)),"",IF(VLOOKUP($B386,TabAlgTutti,7,FALSE)=-1,"SCONSIGLIATO",IF(VLOOKUP($B386,TabAlgTutti,7,FALSE)=0,"SORPRESA",IF(VLOOKUP($B386,TabAlgTutti,7,FALSE)=1,"CONSIGLIATO",""))))</f>
        <v/>
      </c>
      <c r="H386" s="65">
        <f ca="1">IF(ISNA(VLOOKUP($B386,TabAlgTutti,8,FALSE)),"",VLOOKUP($B386,TabAlgTutti,8,FALSE))</f>
        <v>80</v>
      </c>
      <c r="I386" s="63" t="str">
        <f ca="1">IF(ISNA(VLOOKUP($B386,TabAlgTutti,9,FALSE)),"",IF(VLOOKUP($B386,TabAlgTutti,9,FALSE)="","",VLOOKUP($B386,TabAlgTutti,9,FALSE)&amp;"R "))&amp;IF(ISNA(VLOOKUP($B386,TabAlgTutti,10,FALSE)),"",IF(VLOOKUP($B386,TabAlgTutti,10,FALSE)="","",VLOOKUP($B386,TabAlgTutti,10,FALSE)&amp;"P "))&amp;IF(ISNA(VLOOKUP($B386,TabAlgTutti,11,FALSE)),"",IF(VLOOKUP($B386,TabAlgTutti,11,FALSE)="","",VLOOKUP($B386,TabAlgTutti,11,FALSE)&amp;"A"))</f>
        <v/>
      </c>
      <c r="J386" s="63">
        <f ca="1">IF(ISNA(VLOOKUP($B386,TabAlgTutti,3,FALSE)),0,VLOOKUP($B386,TabAlgTutti,3,FALSE))+ROW()/100000</f>
        <v>1.00386</v>
      </c>
      <c r="K386" s="63">
        <f ca="1">IF(ISNA(VLOOKUP($B386,TabAlgTutti,4,FALSE)),0,VLOOKUP($B386,TabAlgTutti,4,FALSE))+ROW()/100000</f>
        <v>1.00386</v>
      </c>
      <c r="L386" s="63" t="e">
        <f ca="1">VLOOKUP(Tabella114[[#This Row],[Calciatore]],'Raccolta Aste'!$K$2:$O$33,4,FALSE)*Asta!$U$3/100</f>
        <v>#N/A</v>
      </c>
      <c r="N386" s="58"/>
      <c r="O386" s="58"/>
      <c r="P386" s="58"/>
      <c r="Q386" s="58"/>
      <c r="R386" s="58"/>
      <c r="S386" s="58"/>
      <c r="W386" s="56">
        <f t="shared" ca="1" si="141"/>
        <v>80</v>
      </c>
      <c r="X386" s="56">
        <f t="shared" ca="1" si="142"/>
        <v>78</v>
      </c>
      <c r="Y386" s="56">
        <f t="shared" ca="1" si="143"/>
        <v>76</v>
      </c>
      <c r="Z386" s="56">
        <f t="shared" ca="1" si="144"/>
        <v>168</v>
      </c>
      <c r="AA386" s="56">
        <f t="shared" ca="1" si="145"/>
        <v>168</v>
      </c>
      <c r="AB386" s="56">
        <f ca="1">_xlfn.CEILING.MATH(INDIRECT(ADDRESS(311,22+MATCH($P$28,'I.A. + Fasce'!$W$84:$AA$84,0),1,1) &amp; ":" &amp; ADDRESS(531,22+MATCH($P$28,'I.A. + Fasce'!$W$84:$AA$84,0),1,1))/Asta!$H$3)</f>
        <v>10</v>
      </c>
    </row>
    <row r="387" spans="1:28" ht="14.25" customHeight="1">
      <c r="A387" s="239" t="str">
        <f ca="1">IF(Giocatori!J213="","C",Giocatori!J213)</f>
        <v>C</v>
      </c>
      <c r="B387" s="239" t="str">
        <f ca="1">IF(Giocatori!K162="","ZZZ" &amp; ROW(),Giocatori!K162)</f>
        <v>STOIAN</v>
      </c>
      <c r="C387" s="239" t="str">
        <f ca="1">IF(Giocatori!L162="","NDR" &amp; ROW(),Giocatori!L162)</f>
        <v>Crotone</v>
      </c>
      <c r="D387" s="63">
        <f ca="1">IF(ISNA(VLOOKUP($B387,TabAlgTutti,6,FALSE)),0,VLOOKUP($B387,TabAlgTutti,6,FALSE))+ROW()/100000</f>
        <v>67.003870000000006</v>
      </c>
      <c r="E387" s="63">
        <f ca="1">IF(ISNA(VLOOKUP($B387,TabAlgTutti,5,FALSE)),0,VLOOKUP($B387,TabAlgTutti,5,FALSE))+ROW()/100000</f>
        <v>42.003869999999999</v>
      </c>
      <c r="F387" s="64">
        <f ca="1">($D387*$P$8+$E387*(1+$E387*100/60/100)*$S$8)/100+ROW()/100000</f>
        <v>69.210449124807511</v>
      </c>
      <c r="G387" s="63" t="str">
        <f ca="1">IF(ISNA(VLOOKUP($B387,TabAlgTutti,7,FALSE)),"",IF(VLOOKUP($B387,TabAlgTutti,7,FALSE)=-1,"SCONSIGLIATO",IF(VLOOKUP($B387,TabAlgTutti,7,FALSE)=0,"SORPRESA",IF(VLOOKUP($B387,TabAlgTutti,7,FALSE)=1,"CONSIGLIATO",""))))</f>
        <v>SORPRESA</v>
      </c>
      <c r="H387" s="65">
        <f ca="1">IF(ISNA(VLOOKUP($B387,TabAlgTutti,8,FALSE)),"",VLOOKUP($B387,TabAlgTutti,8,FALSE))</f>
        <v>70</v>
      </c>
      <c r="I387" s="63" t="str">
        <f ca="1">IF(ISNA(VLOOKUP($B387,TabAlgTutti,9,FALSE)),"",IF(VLOOKUP($B387,TabAlgTutti,9,FALSE)="","",VLOOKUP($B387,TabAlgTutti,9,FALSE)&amp;"R "))&amp;IF(ISNA(VLOOKUP($B387,TabAlgTutti,10,FALSE)),"",IF(VLOOKUP($B387,TabAlgTutti,10,FALSE)="","",VLOOKUP($B387,TabAlgTutti,10,FALSE)&amp;"P "))&amp;IF(ISNA(VLOOKUP($B387,TabAlgTutti,11,FALSE)),"",IF(VLOOKUP($B387,TabAlgTutti,11,FALSE)="","",VLOOKUP($B387,TabAlgTutti,11,FALSE)&amp;"A"))</f>
        <v>3R 3P 2A</v>
      </c>
      <c r="J387" s="63">
        <f ca="1">IF(ISNA(VLOOKUP($B387,TabAlgTutti,3,FALSE)),0,VLOOKUP($B387,TabAlgTutti,3,FALSE))+ROW()/100000</f>
        <v>1.00387</v>
      </c>
      <c r="K387" s="63">
        <f ca="1">IF(ISNA(VLOOKUP($B387,TabAlgTutti,4,FALSE)),0,VLOOKUP($B387,TabAlgTutti,4,FALSE))+ROW()/100000</f>
        <v>1.00387</v>
      </c>
      <c r="L387" s="63" t="e">
        <f ca="1">VLOOKUP(Tabella114[[#This Row],[Calciatore]],'Raccolta Aste'!$K$2:$O$33,4,FALSE)*Asta!$U$3/100</f>
        <v>#N/A</v>
      </c>
      <c r="N387" s="58"/>
      <c r="O387" s="58"/>
      <c r="P387" s="58"/>
      <c r="Q387" s="58"/>
      <c r="R387" s="58"/>
      <c r="S387" s="58"/>
      <c r="W387" s="56">
        <f t="shared" ca="1" si="141"/>
        <v>116</v>
      </c>
      <c r="X387" s="56">
        <f t="shared" ca="1" si="142"/>
        <v>43</v>
      </c>
      <c r="Y387" s="56">
        <f t="shared" ca="1" si="143"/>
        <v>77</v>
      </c>
      <c r="Z387" s="56">
        <f t="shared" ca="1" si="144"/>
        <v>167</v>
      </c>
      <c r="AA387" s="56">
        <f t="shared" ca="1" si="145"/>
        <v>167</v>
      </c>
      <c r="AB387" s="56">
        <f ca="1">_xlfn.CEILING.MATH(INDIRECT(ADDRESS(311,22+MATCH($P$28,'I.A. + Fasce'!$W$84:$AA$84,0),1,1) &amp; ":" &amp; ADDRESS(531,22+MATCH($P$28,'I.A. + Fasce'!$W$84:$AA$84,0),1,1))/Asta!$H$3)</f>
        <v>10</v>
      </c>
    </row>
    <row r="388" spans="1:28" ht="14.25" customHeight="1">
      <c r="A388" s="239" t="str">
        <f ca="1">IF(Giocatori!J228="","C",Giocatori!J228)</f>
        <v>C</v>
      </c>
      <c r="B388" s="239" t="str">
        <f ca="1">IF(Giocatori!K177="","ZZZ" &amp; ROW(),Giocatori!K177)</f>
        <v>VIVIANI</v>
      </c>
      <c r="C388" s="239" t="str">
        <f ca="1">IF(Giocatori!L177="","NDR" &amp; ROW(),Giocatori!L177)</f>
        <v>SPAL</v>
      </c>
      <c r="D388" s="63">
        <f ca="1">IF(ISNA(VLOOKUP($B388,TabAlgTutti,6,FALSE)),0,VLOOKUP($B388,TabAlgTutti,6,FALSE))+ROW()/100000</f>
        <v>74.003879999999995</v>
      </c>
      <c r="E388" s="63">
        <f ca="1">IF(ISNA(VLOOKUP($B388,TabAlgTutti,5,FALSE)),0,VLOOKUP($B388,TabAlgTutti,5,FALSE))+ROW()/100000</f>
        <v>39.003880000000002</v>
      </c>
      <c r="F388" s="64">
        <f ca="1">($D388*$P$8+$E388*(1+$E388*100/60/100)*$S$8)/100+ROW()/100000</f>
        <v>69.185282125453327</v>
      </c>
      <c r="G388" s="63" t="str">
        <f ca="1">IF(ISNA(VLOOKUP($B388,TabAlgTutti,7,FALSE)),"",IF(VLOOKUP($B388,TabAlgTutti,7,FALSE)=-1,"SCONSIGLIATO",IF(VLOOKUP($B388,TabAlgTutti,7,FALSE)=0,"SORPRESA",IF(VLOOKUP($B388,TabAlgTutti,7,FALSE)=1,"CONSIGLIATO",""))))</f>
        <v>SORPRESA</v>
      </c>
      <c r="H388" s="65">
        <f ca="1">IF(ISNA(VLOOKUP($B388,TabAlgTutti,8,FALSE)),"",VLOOKUP($B388,TabAlgTutti,8,FALSE))</f>
        <v>80</v>
      </c>
      <c r="I388" s="63" t="str">
        <f ca="1">IF(ISNA(VLOOKUP($B388,TabAlgTutti,9,FALSE)),"",IF(VLOOKUP($B388,TabAlgTutti,9,FALSE)="","",VLOOKUP($B388,TabAlgTutti,9,FALSE)&amp;"R "))&amp;IF(ISNA(VLOOKUP($B388,TabAlgTutti,10,FALSE)),"",IF(VLOOKUP($B388,TabAlgTutti,10,FALSE)="","",VLOOKUP($B388,TabAlgTutti,10,FALSE)&amp;"P "))&amp;IF(ISNA(VLOOKUP($B388,TabAlgTutti,11,FALSE)),"",IF(VLOOKUP($B388,TabAlgTutti,11,FALSE)="","",VLOOKUP($B388,TabAlgTutti,11,FALSE)&amp;"A"))</f>
        <v>3R 1P 1A</v>
      </c>
      <c r="J388" s="63">
        <f ca="1">IF(ISNA(VLOOKUP($B388,TabAlgTutti,3,FALSE)),0,VLOOKUP($B388,TabAlgTutti,3,FALSE))+ROW()/100000</f>
        <v>1.0038800000000001</v>
      </c>
      <c r="K388" s="63">
        <f ca="1">IF(ISNA(VLOOKUP($B388,TabAlgTutti,4,FALSE)),0,VLOOKUP($B388,TabAlgTutti,4,FALSE))+ROW()/100000</f>
        <v>1.0038800000000001</v>
      </c>
      <c r="L388" s="63" t="e">
        <f ca="1">VLOOKUP(Tabella114[[#This Row],[Calciatore]],'Raccolta Aste'!$K$2:$O$33,4,FALSE)*Asta!$U$3/100</f>
        <v>#N/A</v>
      </c>
      <c r="N388" s="58"/>
      <c r="O388" s="58"/>
      <c r="P388" s="58"/>
      <c r="Q388" s="58"/>
      <c r="R388" s="58"/>
      <c r="S388" s="58"/>
      <c r="W388" s="56">
        <f t="shared" ca="1" si="141"/>
        <v>64</v>
      </c>
      <c r="X388" s="56">
        <f t="shared" ca="1" si="142"/>
        <v>89</v>
      </c>
      <c r="Y388" s="56">
        <f t="shared" ca="1" si="143"/>
        <v>78</v>
      </c>
      <c r="Z388" s="56">
        <f t="shared" ca="1" si="144"/>
        <v>166</v>
      </c>
      <c r="AA388" s="56">
        <f t="shared" ca="1" si="145"/>
        <v>166</v>
      </c>
      <c r="AB388" s="56">
        <f ca="1">_xlfn.CEILING.MATH(INDIRECT(ADDRESS(311,22+MATCH($P$28,'I.A. + Fasce'!$W$84:$AA$84,0),1,1) &amp; ":" &amp; ADDRESS(531,22+MATCH($P$28,'I.A. + Fasce'!$W$84:$AA$84,0),1,1))/Asta!$H$3)</f>
        <v>10</v>
      </c>
    </row>
    <row r="389" spans="1:28" ht="14.25" customHeight="1">
      <c r="A389" s="239" t="str">
        <f ca="1">IF(Giocatori!J212="","C",Giocatori!J212)</f>
        <v>C</v>
      </c>
      <c r="B389" s="239" t="str">
        <f ca="1">IF(Giocatori!K161="","ZZZ" &amp; ROW(),Giocatori!K161)</f>
        <v>SPINAZZOLA</v>
      </c>
      <c r="C389" s="239" t="str">
        <f ca="1">IF(Giocatori!L161="","NDR" &amp; ROW(),Giocatori!L161)</f>
        <v>Atalanta</v>
      </c>
      <c r="D389" s="63">
        <f ca="1">IF(ISNA(VLOOKUP($B389,TabAlgTutti,6,FALSE)),0,VLOOKUP($B389,TabAlgTutti,6,FALSE))+ROW()/100000</f>
        <v>71.003889999999998</v>
      </c>
      <c r="E389" s="63">
        <f ca="1">IF(ISNA(VLOOKUP($B389,TabAlgTutti,5,FALSE)),0,VLOOKUP($B389,TabAlgTutti,5,FALSE))+ROW()/100000</f>
        <v>40.003889999999998</v>
      </c>
      <c r="F389" s="64">
        <f ca="1">($D389*$P$8+$E389*(1+$E389*100/60/100)*$S$8)/100+ROW()/100000</f>
        <v>68.843706792767506</v>
      </c>
      <c r="G389" s="63" t="str">
        <f ca="1">IF(ISNA(VLOOKUP($B389,TabAlgTutti,7,FALSE)),"",IF(VLOOKUP($B389,TabAlgTutti,7,FALSE)=-1,"SCONSIGLIATO",IF(VLOOKUP($B389,TabAlgTutti,7,FALSE)=0,"SORPRESA",IF(VLOOKUP($B389,TabAlgTutti,7,FALSE)=1,"CONSIGLIATO",""))))</f>
        <v/>
      </c>
      <c r="H389" s="65">
        <f ca="1">IF(ISNA(VLOOKUP($B389,TabAlgTutti,8,FALSE)),"",VLOOKUP($B389,TabAlgTutti,8,FALSE))</f>
        <v>60</v>
      </c>
      <c r="I389" s="63" t="str">
        <f ca="1">IF(ISNA(VLOOKUP($B389,TabAlgTutti,9,FALSE)),"",IF(VLOOKUP($B389,TabAlgTutti,9,FALSE)="","",VLOOKUP($B389,TabAlgTutti,9,FALSE)&amp;"R "))&amp;IF(ISNA(VLOOKUP($B389,TabAlgTutti,10,FALSE)),"",IF(VLOOKUP($B389,TabAlgTutti,10,FALSE)="","",VLOOKUP($B389,TabAlgTutti,10,FALSE)&amp;"P "))&amp;IF(ISNA(VLOOKUP($B389,TabAlgTutti,11,FALSE)),"",IF(VLOOKUP($B389,TabAlgTutti,11,FALSE)="","",VLOOKUP($B389,TabAlgTutti,11,FALSE)&amp;"A"))</f>
        <v/>
      </c>
      <c r="J389" s="63">
        <f ca="1">IF(ISNA(VLOOKUP($B389,TabAlgTutti,3,FALSE)),0,VLOOKUP($B389,TabAlgTutti,3,FALSE))+ROW()/100000</f>
        <v>11.204659616252679</v>
      </c>
      <c r="K389" s="63">
        <f ca="1">IF(ISNA(VLOOKUP($B389,TabAlgTutti,4,FALSE)),0,VLOOKUP($B389,TabAlgTutti,4,FALSE))+ROW()/100000</f>
        <v>10.897390861900201</v>
      </c>
      <c r="L389" s="63" t="e">
        <f ca="1">VLOOKUP(Tabella114[[#This Row],[Calciatore]],'Raccolta Aste'!$K$2:$O$33,4,FALSE)*Asta!$U$3/100</f>
        <v>#N/A</v>
      </c>
      <c r="N389" s="58"/>
      <c r="O389" s="58"/>
      <c r="P389" s="58"/>
      <c r="Q389" s="58"/>
      <c r="R389" s="58"/>
      <c r="S389" s="58"/>
      <c r="W389" s="56">
        <f t="shared" ca="1" si="141"/>
        <v>85</v>
      </c>
      <c r="X389" s="56">
        <f t="shared" ca="1" si="142"/>
        <v>77</v>
      </c>
      <c r="Y389" s="56">
        <f t="shared" ca="1" si="143"/>
        <v>80</v>
      </c>
      <c r="Z389" s="56">
        <f t="shared" ca="1" si="144"/>
        <v>58</v>
      </c>
      <c r="AA389" s="56">
        <f t="shared" ca="1" si="145"/>
        <v>59</v>
      </c>
      <c r="AB389" s="56">
        <f ca="1">_xlfn.CEILING.MATH(INDIRECT(ADDRESS(311,22+MATCH($P$28,'I.A. + Fasce'!$W$84:$AA$84,0),1,1) &amp; ":" &amp; ADDRESS(531,22+MATCH($P$28,'I.A. + Fasce'!$W$84:$AA$84,0),1,1))/Asta!$H$3)</f>
        <v>10</v>
      </c>
    </row>
    <row r="390" spans="1:28" ht="14.25" customHeight="1">
      <c r="A390" s="239" t="str">
        <f ca="1">IF(Giocatori!J126="","C",Giocatori!J126)</f>
        <v>C</v>
      </c>
      <c r="B390" s="239" t="str">
        <f ca="1">IF(Giocatori!K126="","ZZZ" &amp; ROW(),Giocatori!K126)</f>
        <v>MIGUEL VELOSO</v>
      </c>
      <c r="C390" s="239" t="str">
        <f ca="1">IF(Giocatori!L126="","NDR" &amp; ROW(),Giocatori!L126)</f>
        <v>Genoa</v>
      </c>
      <c r="D390" s="63">
        <f ca="1">IF(ISNA(VLOOKUP($B390,TabAlgTutti,6,FALSE)),0,VLOOKUP($B390,TabAlgTutti,6,FALSE))+ROW()/100000</f>
        <v>71.003900000000002</v>
      </c>
      <c r="E390" s="63">
        <f ca="1">IF(ISNA(VLOOKUP($B390,TabAlgTutti,5,FALSE)),0,VLOOKUP($B390,TabAlgTutti,5,FALSE))+ROW()/100000</f>
        <v>40.003900000000002</v>
      </c>
      <c r="F390" s="64">
        <f ca="1">($D390*$P$8+$E390*(1+$E390*100/60/100)*$S$8)/100+ROW()/100000</f>
        <v>68.843733460083342</v>
      </c>
      <c r="G390" s="63" t="str">
        <f ca="1">IF(ISNA(VLOOKUP($B390,TabAlgTutti,7,FALSE)),"",IF(VLOOKUP($B390,TabAlgTutti,7,FALSE)=-1,"SCONSIGLIATO",IF(VLOOKUP($B390,TabAlgTutti,7,FALSE)=0,"SORPRESA",IF(VLOOKUP($B390,TabAlgTutti,7,FALSE)=1,"CONSIGLIATO",""))))</f>
        <v/>
      </c>
      <c r="H390" s="65">
        <f ca="1">IF(ISNA(VLOOKUP($B390,TabAlgTutti,8,FALSE)),"",VLOOKUP($B390,TabAlgTutti,8,FALSE))</f>
        <v>80</v>
      </c>
      <c r="I390" s="63" t="str">
        <f ca="1">IF(ISNA(VLOOKUP($B390,TabAlgTutti,9,FALSE)),"",IF(VLOOKUP($B390,TabAlgTutti,9,FALSE)="","",VLOOKUP($B390,TabAlgTutti,9,FALSE)&amp;"R "))&amp;IF(ISNA(VLOOKUP($B390,TabAlgTutti,10,FALSE)),"",IF(VLOOKUP($B390,TabAlgTutti,10,FALSE)="","",VLOOKUP($B390,TabAlgTutti,10,FALSE)&amp;"P "))&amp;IF(ISNA(VLOOKUP($B390,TabAlgTutti,11,FALSE)),"",IF(VLOOKUP($B390,TabAlgTutti,11,FALSE)="","",VLOOKUP($B390,TabAlgTutti,11,FALSE)&amp;"A"))</f>
        <v>2R 1P 1A</v>
      </c>
      <c r="J390" s="63">
        <f ca="1">IF(ISNA(VLOOKUP($B390,TabAlgTutti,3,FALSE)),0,VLOOKUP($B390,TabAlgTutti,3,FALSE))+ROW()/100000</f>
        <v>1.0039</v>
      </c>
      <c r="K390" s="63">
        <f ca="1">IF(ISNA(VLOOKUP($B390,TabAlgTutti,4,FALSE)),0,VLOOKUP($B390,TabAlgTutti,4,FALSE))+ROW()/100000</f>
        <v>1.0039</v>
      </c>
      <c r="L390" s="63" t="e">
        <f ca="1">VLOOKUP(Tabella114[[#This Row],[Calciatore]],'Raccolta Aste'!$K$2:$O$33,4,FALSE)*Asta!$U$3/100</f>
        <v>#N/A</v>
      </c>
      <c r="N390" s="58"/>
      <c r="O390" s="58"/>
      <c r="P390" s="58"/>
      <c r="Q390" s="58"/>
      <c r="R390" s="58"/>
      <c r="S390" s="58"/>
      <c r="W390" s="56">
        <f t="shared" ca="1" si="141"/>
        <v>84</v>
      </c>
      <c r="X390" s="56">
        <f t="shared" ca="1" si="142"/>
        <v>76</v>
      </c>
      <c r="Y390" s="56">
        <f t="shared" ca="1" si="143"/>
        <v>79</v>
      </c>
      <c r="Z390" s="56">
        <f t="shared" ca="1" si="144"/>
        <v>165</v>
      </c>
      <c r="AA390" s="56">
        <f t="shared" ca="1" si="145"/>
        <v>165</v>
      </c>
      <c r="AB390" s="56">
        <f ca="1">_xlfn.CEILING.MATH(INDIRECT(ADDRESS(311,22+MATCH($P$28,'I.A. + Fasce'!$W$84:$AA$84,0),1,1) &amp; ":" &amp; ADDRESS(531,22+MATCH($P$28,'I.A. + Fasce'!$W$84:$AA$84,0),1,1))/Asta!$H$3)</f>
        <v>10</v>
      </c>
    </row>
    <row r="391" spans="1:28" ht="14.25" customHeight="1">
      <c r="A391" s="239" t="str">
        <f ca="1">IF(Giocatori!J40="","C",Giocatori!J40)</f>
        <v>C</v>
      </c>
      <c r="B391" s="239" t="str">
        <f ca="1">IF(Giocatori!K40="","ZZZ" &amp; ROW(),Giocatori!K40)</f>
        <v>CATALDI</v>
      </c>
      <c r="C391" s="239" t="str">
        <f ca="1">IF(Giocatori!L40="","NDR" &amp; ROW(),Giocatori!L40)</f>
        <v>Benevento</v>
      </c>
      <c r="D391" s="63">
        <f ca="1">IF(ISNA(VLOOKUP($B391,TabAlgTutti,6,FALSE)),0,VLOOKUP($B391,TabAlgTutti,6,FALSE))+ROW()/100000</f>
        <v>73.003910000000005</v>
      </c>
      <c r="E391" s="63">
        <f ca="1">IF(ISNA(VLOOKUP($B391,TabAlgTutti,5,FALSE)),0,VLOOKUP($B391,TabAlgTutti,5,FALSE))+ROW()/100000</f>
        <v>39.003909999999998</v>
      </c>
      <c r="F391" s="64">
        <f ca="1">($D391*$P$8+$E391*(1+$E391*100/60/100)*$S$8)/100+ROW()/100000</f>
        <v>68.685361627400837</v>
      </c>
      <c r="G391" s="63" t="str">
        <f ca="1">IF(ISNA(VLOOKUP($B391,TabAlgTutti,7,FALSE)),"",IF(VLOOKUP($B391,TabAlgTutti,7,FALSE)=-1,"SCONSIGLIATO",IF(VLOOKUP($B391,TabAlgTutti,7,FALSE)=0,"SORPRESA",IF(VLOOKUP($B391,TabAlgTutti,7,FALSE)=1,"CONSIGLIATO",""))))</f>
        <v/>
      </c>
      <c r="H391" s="65">
        <f ca="1">IF(ISNA(VLOOKUP($B391,TabAlgTutti,8,FALSE)),"",VLOOKUP($B391,TabAlgTutti,8,FALSE))</f>
        <v>80</v>
      </c>
      <c r="I391" s="63" t="str">
        <f ca="1">IF(ISNA(VLOOKUP($B391,TabAlgTutti,9,FALSE)),"",IF(VLOOKUP($B391,TabAlgTutti,9,FALSE)="","",VLOOKUP($B391,TabAlgTutti,9,FALSE)&amp;"R "))&amp;IF(ISNA(VLOOKUP($B391,TabAlgTutti,10,FALSE)),"",IF(VLOOKUP($B391,TabAlgTutti,10,FALSE)="","",VLOOKUP($B391,TabAlgTutti,10,FALSE)&amp;"P "))&amp;IF(ISNA(VLOOKUP($B391,TabAlgTutti,11,FALSE)),"",IF(VLOOKUP($B391,TabAlgTutti,11,FALSE)="","",VLOOKUP($B391,TabAlgTutti,11,FALSE)&amp;"A"))</f>
        <v/>
      </c>
      <c r="J391" s="63">
        <f ca="1">IF(ISNA(VLOOKUP($B391,TabAlgTutti,3,FALSE)),0,VLOOKUP($B391,TabAlgTutti,3,FALSE))+ROW()/100000</f>
        <v>1.0039100000000001</v>
      </c>
      <c r="K391" s="63">
        <f ca="1">IF(ISNA(VLOOKUP($B391,TabAlgTutti,4,FALSE)),0,VLOOKUP($B391,TabAlgTutti,4,FALSE))+ROW()/100000</f>
        <v>1.0039100000000001</v>
      </c>
      <c r="L391" s="63" t="e">
        <f ca="1">VLOOKUP(Tabella114[[#This Row],[Calciatore]],'Raccolta Aste'!$K$2:$O$33,4,FALSE)*Asta!$U$3/100</f>
        <v>#N/A</v>
      </c>
      <c r="N391" s="58"/>
      <c r="O391" s="58"/>
      <c r="P391" s="58"/>
      <c r="Q391" s="58"/>
      <c r="R391" s="58"/>
      <c r="S391" s="58"/>
      <c r="W391" s="56">
        <f t="shared" ca="1" si="141"/>
        <v>70</v>
      </c>
      <c r="X391" s="56">
        <f t="shared" ca="1" si="142"/>
        <v>88</v>
      </c>
      <c r="Y391" s="56">
        <f t="shared" ca="1" si="143"/>
        <v>81</v>
      </c>
      <c r="Z391" s="56">
        <f t="shared" ca="1" si="144"/>
        <v>164</v>
      </c>
      <c r="AA391" s="56">
        <f t="shared" ca="1" si="145"/>
        <v>164</v>
      </c>
      <c r="AB391" s="56">
        <f ca="1">_xlfn.CEILING.MATH(INDIRECT(ADDRESS(311,22+MATCH($P$28,'I.A. + Fasce'!$W$84:$AA$84,0),1,1) &amp; ":" &amp; ADDRESS(531,22+MATCH($P$28,'I.A. + Fasce'!$W$84:$AA$84,0),1,1))/Asta!$H$3)</f>
        <v>11</v>
      </c>
    </row>
    <row r="392" spans="1:28" ht="14.25" customHeight="1">
      <c r="A392" s="239" t="str">
        <f ca="1">IF(Giocatori!J130="","C",Giocatori!J130)</f>
        <v>C</v>
      </c>
      <c r="B392" s="239" t="str">
        <f ca="1">IF(Giocatori!K130="","ZZZ" &amp; ROW(),Giocatori!K130)</f>
        <v>MORA</v>
      </c>
      <c r="C392" s="239" t="str">
        <f ca="1">IF(Giocatori!L130="","NDR" &amp; ROW(),Giocatori!L130)</f>
        <v>SPAL</v>
      </c>
      <c r="D392" s="63">
        <f ca="1">IF(ISNA(VLOOKUP($B392,TabAlgTutti,6,FALSE)),0,VLOOKUP($B392,TabAlgTutti,6,FALSE))+ROW()/100000</f>
        <v>68.003919999999994</v>
      </c>
      <c r="E392" s="63">
        <f ca="1">IF(ISNA(VLOOKUP($B392,TabAlgTutti,5,FALSE)),0,VLOOKUP($B392,TabAlgTutti,5,FALSE))+ROW()/100000</f>
        <v>41.003920000000001</v>
      </c>
      <c r="F392" s="64">
        <f ca="1">($D392*$P$8+$E392*(1+$E392*100/60/100)*$S$8)/100+ROW()/100000</f>
        <v>68.518852128053325</v>
      </c>
      <c r="G392" s="63" t="str">
        <f ca="1">IF(ISNA(VLOOKUP($B392,TabAlgTutti,7,FALSE)),"",IF(VLOOKUP($B392,TabAlgTutti,7,FALSE)=-1,"SCONSIGLIATO",IF(VLOOKUP($B392,TabAlgTutti,7,FALSE)=0,"SORPRESA",IF(VLOOKUP($B392,TabAlgTutti,7,FALSE)=1,"CONSIGLIATO",""))))</f>
        <v>SORPRESA</v>
      </c>
      <c r="H392" s="65">
        <f ca="1">IF(ISNA(VLOOKUP($B392,TabAlgTutti,8,FALSE)),"",VLOOKUP($B392,TabAlgTutti,8,FALSE))</f>
        <v>70</v>
      </c>
      <c r="I392" s="63" t="str">
        <f ca="1">IF(ISNA(VLOOKUP($B392,TabAlgTutti,9,FALSE)),"",IF(VLOOKUP($B392,TabAlgTutti,9,FALSE)="","",VLOOKUP($B392,TabAlgTutti,9,FALSE)&amp;"R "))&amp;IF(ISNA(VLOOKUP($B392,TabAlgTutti,10,FALSE)),"",IF(VLOOKUP($B392,TabAlgTutti,10,FALSE)="","",VLOOKUP($B392,TabAlgTutti,10,FALSE)&amp;"P "))&amp;IF(ISNA(VLOOKUP($B392,TabAlgTutti,11,FALSE)),"",IF(VLOOKUP($B392,TabAlgTutti,11,FALSE)="","",VLOOKUP($B392,TabAlgTutti,11,FALSE)&amp;"A"))</f>
        <v/>
      </c>
      <c r="J392" s="63">
        <f ca="1">IF(ISNA(VLOOKUP($B392,TabAlgTutti,3,FALSE)),0,VLOOKUP($B392,TabAlgTutti,3,FALSE))+ROW()/100000</f>
        <v>1.0039199999999999</v>
      </c>
      <c r="K392" s="63">
        <f ca="1">IF(ISNA(VLOOKUP($B392,TabAlgTutti,4,FALSE)),0,VLOOKUP($B392,TabAlgTutti,4,FALSE))+ROW()/100000</f>
        <v>1.0039199999999999</v>
      </c>
      <c r="L392" s="63" t="e">
        <f ca="1">VLOOKUP(Tabella114[[#This Row],[Calciatore]],'Raccolta Aste'!$K$2:$O$33,4,FALSE)*Asta!$U$3/100</f>
        <v>#N/A</v>
      </c>
      <c r="N392" s="58"/>
      <c r="O392" s="58"/>
      <c r="P392" s="58"/>
      <c r="Q392" s="58"/>
      <c r="R392" s="58"/>
      <c r="S392" s="58"/>
      <c r="W392" s="56">
        <f t="shared" ca="1" si="141"/>
        <v>111</v>
      </c>
      <c r="X392" s="56">
        <f t="shared" ca="1" si="142"/>
        <v>59</v>
      </c>
      <c r="Y392" s="56">
        <f t="shared" ca="1" si="143"/>
        <v>83</v>
      </c>
      <c r="Z392" s="56">
        <f t="shared" ca="1" si="144"/>
        <v>163</v>
      </c>
      <c r="AA392" s="56">
        <f t="shared" ca="1" si="145"/>
        <v>163</v>
      </c>
      <c r="AB392" s="56">
        <f ca="1">_xlfn.CEILING.MATH(INDIRECT(ADDRESS(311,22+MATCH($P$28,'I.A. + Fasce'!$W$84:$AA$84,0),1,1) &amp; ":" &amp; ADDRESS(531,22+MATCH($P$28,'I.A. + Fasce'!$W$84:$AA$84,0),1,1))/Asta!$H$3)</f>
        <v>11</v>
      </c>
    </row>
    <row r="393" spans="1:28" ht="14.25" customHeight="1">
      <c r="A393" s="239" t="str">
        <f ca="1">IF(Giocatori!J114="","C",Giocatori!J114)</f>
        <v>C</v>
      </c>
      <c r="B393" s="239" t="str">
        <f ca="1">IF(Giocatori!K114="","ZZZ" &amp; ROW(),Giocatori!K114)</f>
        <v>LUIS ALBERTO</v>
      </c>
      <c r="C393" s="239" t="str">
        <f ca="1">IF(Giocatori!L114="","NDR" &amp; ROW(),Giocatori!L114)</f>
        <v>Lazio</v>
      </c>
      <c r="D393" s="63">
        <f ca="1">IF(ISNA(VLOOKUP($B393,TabAlgTutti,6,FALSE)),0,VLOOKUP($B393,TabAlgTutti,6,FALSE))+ROW()/100000</f>
        <v>68.003929999999997</v>
      </c>
      <c r="E393" s="63">
        <f ca="1">IF(ISNA(VLOOKUP($B393,TabAlgTutti,5,FALSE)),0,VLOOKUP($B393,TabAlgTutti,5,FALSE))+ROW()/100000</f>
        <v>41.003929999999997</v>
      </c>
      <c r="F393" s="64">
        <f ca="1">($D393*$P$8+$E393*(1+$E393*100/60/100)*$S$8)/100+ROW()/100000</f>
        <v>68.51887896204083</v>
      </c>
      <c r="G393" s="63" t="str">
        <f ca="1">IF(ISNA(VLOOKUP($B393,TabAlgTutti,7,FALSE)),"",IF(VLOOKUP($B393,TabAlgTutti,7,FALSE)=-1,"SCONSIGLIATO",IF(VLOOKUP($B393,TabAlgTutti,7,FALSE)=0,"SORPRESA",IF(VLOOKUP($B393,TabAlgTutti,7,FALSE)=1,"CONSIGLIATO",""))))</f>
        <v>SORPRESA</v>
      </c>
      <c r="H393" s="65">
        <f ca="1">IF(ISNA(VLOOKUP($B393,TabAlgTutti,8,FALSE)),"",VLOOKUP($B393,TabAlgTutti,8,FALSE))</f>
        <v>70</v>
      </c>
      <c r="I393" s="63" t="str">
        <f ca="1">IF(ISNA(VLOOKUP($B393,TabAlgTutti,9,FALSE)),"",IF(VLOOKUP($B393,TabAlgTutti,9,FALSE)="","",VLOOKUP($B393,TabAlgTutti,9,FALSE)&amp;"R "))&amp;IF(ISNA(VLOOKUP($B393,TabAlgTutti,10,FALSE)),"",IF(VLOOKUP($B393,TabAlgTutti,10,FALSE)="","",VLOOKUP($B393,TabAlgTutti,10,FALSE)&amp;"P "))&amp;IF(ISNA(VLOOKUP($B393,TabAlgTutti,11,FALSE)),"",IF(VLOOKUP($B393,TabAlgTutti,11,FALSE)="","",VLOOKUP($B393,TabAlgTutti,11,FALSE)&amp;"A"))</f>
        <v>2P 2A</v>
      </c>
      <c r="J393" s="63">
        <f ca="1">IF(ISNA(VLOOKUP($B393,TabAlgTutti,3,FALSE)),0,VLOOKUP($B393,TabAlgTutti,3,FALSE))+ROW()/100000</f>
        <v>16.429512424657045</v>
      </c>
      <c r="K393" s="63">
        <f ca="1">IF(ISNA(VLOOKUP($B393,TabAlgTutti,4,FALSE)),0,VLOOKUP($B393,TabAlgTutti,4,FALSE))+ROW()/100000</f>
        <v>16.852281747155889</v>
      </c>
      <c r="L393" s="63" t="e">
        <f ca="1">VLOOKUP(Tabella114[[#This Row],[Calciatore]],'Raccolta Aste'!$K$2:$O$33,4,FALSE)*Asta!$U$3/100</f>
        <v>#N/A</v>
      </c>
      <c r="N393" s="58"/>
      <c r="O393" s="58"/>
      <c r="P393" s="58"/>
      <c r="Q393" s="58"/>
      <c r="R393" s="58"/>
      <c r="S393" s="58"/>
      <c r="W393" s="56">
        <f t="shared" ca="1" si="141"/>
        <v>110</v>
      </c>
      <c r="X393" s="56">
        <f t="shared" ca="1" si="142"/>
        <v>58</v>
      </c>
      <c r="Y393" s="56">
        <f t="shared" ca="1" si="143"/>
        <v>82</v>
      </c>
      <c r="Z393" s="56">
        <f t="shared" ca="1" si="144"/>
        <v>46</v>
      </c>
      <c r="AA393" s="56">
        <f t="shared" ca="1" si="145"/>
        <v>46</v>
      </c>
      <c r="AB393" s="56">
        <f ca="1">_xlfn.CEILING.MATH(INDIRECT(ADDRESS(311,22+MATCH($P$28,'I.A. + Fasce'!$W$84:$AA$84,0),1,1) &amp; ":" &amp; ADDRESS(531,22+MATCH($P$28,'I.A. + Fasce'!$W$84:$AA$84,0),1,1))/Asta!$H$3)</f>
        <v>11</v>
      </c>
    </row>
    <row r="394" spans="1:28" ht="14.25" customHeight="1">
      <c r="A394" s="239" t="str">
        <f ca="1">IF(Giocatori!J128="","C",Giocatori!J128)</f>
        <v>C</v>
      </c>
      <c r="B394" s="239" t="str">
        <f ca="1">IF(Giocatori!K128="","ZZZ" &amp; ROW(),Giocatori!K128)</f>
        <v>MISSIROLI</v>
      </c>
      <c r="C394" s="239" t="str">
        <f ca="1">IF(Giocatori!L128="","NDR" &amp; ROW(),Giocatori!L128)</f>
        <v>Sassuolo</v>
      </c>
      <c r="D394" s="63">
        <f ca="1">IF(ISNA(VLOOKUP($B394,TabAlgTutti,6,FALSE)),0,VLOOKUP($B394,TabAlgTutti,6,FALSE))+ROW()/100000</f>
        <v>72.00394</v>
      </c>
      <c r="E394" s="63">
        <f ca="1">IF(ISNA(VLOOKUP($B394,TabAlgTutti,5,FALSE)),0,VLOOKUP($B394,TabAlgTutti,5,FALSE))+ROW()/100000</f>
        <v>39.00394</v>
      </c>
      <c r="F394" s="64">
        <f ca="1">($D394*$P$8+$E394*(1+$E394*100/60/100)*$S$8)/100+ROW()/100000</f>
        <v>68.18544112936334</v>
      </c>
      <c r="G394" s="63" t="str">
        <f ca="1">IF(ISNA(VLOOKUP($B394,TabAlgTutti,7,FALSE)),"",IF(VLOOKUP($B394,TabAlgTutti,7,FALSE)=-1,"SCONSIGLIATO",IF(VLOOKUP($B394,TabAlgTutti,7,FALSE)=0,"SORPRESA",IF(VLOOKUP($B394,TabAlgTutti,7,FALSE)=1,"CONSIGLIATO",""))))</f>
        <v>SCONSIGLIATO</v>
      </c>
      <c r="H394" s="65">
        <f ca="1">IF(ISNA(VLOOKUP($B394,TabAlgTutti,8,FALSE)),"",VLOOKUP($B394,TabAlgTutti,8,FALSE))</f>
        <v>70</v>
      </c>
      <c r="I394" s="63" t="str">
        <f ca="1">IF(ISNA(VLOOKUP($B394,TabAlgTutti,9,FALSE)),"",IF(VLOOKUP($B394,TabAlgTutti,9,FALSE)="","",VLOOKUP($B394,TabAlgTutti,9,FALSE)&amp;"R "))&amp;IF(ISNA(VLOOKUP($B394,TabAlgTutti,10,FALSE)),"",IF(VLOOKUP($B394,TabAlgTutti,10,FALSE)="","",VLOOKUP($B394,TabAlgTutti,10,FALSE)&amp;"P "))&amp;IF(ISNA(VLOOKUP($B394,TabAlgTutti,11,FALSE)),"",IF(VLOOKUP($B394,TabAlgTutti,11,FALSE)="","",VLOOKUP($B394,TabAlgTutti,11,FALSE)&amp;"A"))</f>
        <v/>
      </c>
      <c r="J394" s="63">
        <f ca="1">IF(ISNA(VLOOKUP($B394,TabAlgTutti,3,FALSE)),0,VLOOKUP($B394,TabAlgTutti,3,FALSE))+ROW()/100000</f>
        <v>1.0039400000000001</v>
      </c>
      <c r="K394" s="63">
        <f ca="1">IF(ISNA(VLOOKUP($B394,TabAlgTutti,4,FALSE)),0,VLOOKUP($B394,TabAlgTutti,4,FALSE))+ROW()/100000</f>
        <v>1.0039400000000001</v>
      </c>
      <c r="L394" s="63" t="e">
        <f ca="1">VLOOKUP(Tabella114[[#This Row],[Calciatore]],'Raccolta Aste'!$K$2:$O$33,4,FALSE)*Asta!$U$3/100</f>
        <v>#N/A</v>
      </c>
      <c r="N394" s="58"/>
      <c r="O394" s="58"/>
      <c r="P394" s="58"/>
      <c r="Q394" s="58"/>
      <c r="R394" s="58"/>
      <c r="S394" s="58"/>
      <c r="W394" s="56">
        <f t="shared" ca="1" si="141"/>
        <v>79</v>
      </c>
      <c r="X394" s="56">
        <f t="shared" ca="1" si="142"/>
        <v>87</v>
      </c>
      <c r="Y394" s="56">
        <f t="shared" ca="1" si="143"/>
        <v>84</v>
      </c>
      <c r="Z394" s="56">
        <f t="shared" ca="1" si="144"/>
        <v>162</v>
      </c>
      <c r="AA394" s="56">
        <f t="shared" ca="1" si="145"/>
        <v>162</v>
      </c>
      <c r="AB394" s="56">
        <f ca="1">_xlfn.CEILING.MATH(INDIRECT(ADDRESS(311,22+MATCH($P$28,'I.A. + Fasce'!$W$84:$AA$84,0),1,1) &amp; ":" &amp; ADDRESS(531,22+MATCH($P$28,'I.A. + Fasce'!$W$84:$AA$84,0),1,1))/Asta!$H$3)</f>
        <v>11</v>
      </c>
    </row>
    <row r="395" spans="1:28" ht="14.25" customHeight="1">
      <c r="A395" s="239" t="str">
        <f ca="1">IF(Giocatori!J137="","C",Giocatori!J137)</f>
        <v>C</v>
      </c>
      <c r="B395" s="239" t="str">
        <f ca="1">IF(Giocatori!K137="","ZZZ" &amp; ROW(),Giocatori!K137)</f>
        <v>PADOIN</v>
      </c>
      <c r="C395" s="239" t="str">
        <f ca="1">IF(Giocatori!L137="","NDR" &amp; ROW(),Giocatori!L137)</f>
        <v>Cagliari</v>
      </c>
      <c r="D395" s="63">
        <f ca="1">IF(ISNA(VLOOKUP($B395,TabAlgTutti,6,FALSE)),0,VLOOKUP($B395,TabAlgTutti,6,FALSE))+ROW()/100000</f>
        <v>77.003950000000003</v>
      </c>
      <c r="E395" s="63">
        <f ca="1">IF(ISNA(VLOOKUP($B395,TabAlgTutti,5,FALSE)),0,VLOOKUP($B395,TabAlgTutti,5,FALSE))+ROW()/100000</f>
        <v>36.003950000000003</v>
      </c>
      <c r="F395" s="64">
        <f ca="1">($D395*$P$8+$E395*(1+$E395*100/60/100)*$S$8)/100+ROW()/100000</f>
        <v>67.310270130020839</v>
      </c>
      <c r="G395" s="63" t="str">
        <f ca="1">IF(ISNA(VLOOKUP($B395,TabAlgTutti,7,FALSE)),"",IF(VLOOKUP($B395,TabAlgTutti,7,FALSE)=-1,"SCONSIGLIATO",IF(VLOOKUP($B395,TabAlgTutti,7,FALSE)=0,"SORPRESA",IF(VLOOKUP($B395,TabAlgTutti,7,FALSE)=1,"CONSIGLIATO",""))))</f>
        <v>SCONSIGLIATO</v>
      </c>
      <c r="H395" s="65">
        <f ca="1">IF(ISNA(VLOOKUP($B395,TabAlgTutti,8,FALSE)),"",VLOOKUP($B395,TabAlgTutti,8,FALSE))</f>
        <v>60</v>
      </c>
      <c r="I395" s="63" t="str">
        <f ca="1">IF(ISNA(VLOOKUP($B395,TabAlgTutti,9,FALSE)),"",IF(VLOOKUP($B395,TabAlgTutti,9,FALSE)="","",VLOOKUP($B395,TabAlgTutti,9,FALSE)&amp;"R "))&amp;IF(ISNA(VLOOKUP($B395,TabAlgTutti,10,FALSE)),"",IF(VLOOKUP($B395,TabAlgTutti,10,FALSE)="","",VLOOKUP($B395,TabAlgTutti,10,FALSE)&amp;"P "))&amp;IF(ISNA(VLOOKUP($B395,TabAlgTutti,11,FALSE)),"",IF(VLOOKUP($B395,TabAlgTutti,11,FALSE)="","",VLOOKUP($B395,TabAlgTutti,11,FALSE)&amp;"A"))</f>
        <v/>
      </c>
      <c r="J395" s="63">
        <f ca="1">IF(ISNA(VLOOKUP($B395,TabAlgTutti,3,FALSE)),0,VLOOKUP($B395,TabAlgTutti,3,FALSE))+ROW()/100000</f>
        <v>1.0039499999999999</v>
      </c>
      <c r="K395" s="63">
        <f ca="1">IF(ISNA(VLOOKUP($B395,TabAlgTutti,4,FALSE)),0,VLOOKUP($B395,TabAlgTutti,4,FALSE))+ROW()/100000</f>
        <v>1.0039499999999999</v>
      </c>
      <c r="L395" s="63" t="e">
        <f ca="1">VLOOKUP(Tabella114[[#This Row],[Calciatore]],'Raccolta Aste'!$K$2:$O$33,4,FALSE)*Asta!$U$3/100</f>
        <v>#N/A</v>
      </c>
      <c r="N395" s="58"/>
      <c r="O395" s="58"/>
      <c r="P395" s="58"/>
      <c r="Q395" s="58"/>
      <c r="R395" s="58"/>
      <c r="S395" s="58"/>
      <c r="W395" s="56">
        <f t="shared" ca="1" si="141"/>
        <v>38</v>
      </c>
      <c r="X395" s="56">
        <f t="shared" ca="1" si="142"/>
        <v>117</v>
      </c>
      <c r="Y395" s="56">
        <f t="shared" ca="1" si="143"/>
        <v>85</v>
      </c>
      <c r="Z395" s="56">
        <f t="shared" ca="1" si="144"/>
        <v>161</v>
      </c>
      <c r="AA395" s="56">
        <f t="shared" ca="1" si="145"/>
        <v>161</v>
      </c>
      <c r="AB395" s="56">
        <f ca="1">_xlfn.CEILING.MATH(INDIRECT(ADDRESS(311,22+MATCH($P$28,'I.A. + Fasce'!$W$84:$AA$84,0),1,1) &amp; ":" &amp; ADDRESS(531,22+MATCH($P$28,'I.A. + Fasce'!$W$84:$AA$84,0),1,1))/Asta!$H$3)</f>
        <v>11</v>
      </c>
    </row>
    <row r="396" spans="1:28" ht="14.25" customHeight="1">
      <c r="A396" s="239" t="str">
        <f ca="1">IF(Giocatori!J41="","C",Giocatori!J41)</f>
        <v>C</v>
      </c>
      <c r="B396" s="239" t="str">
        <f ca="1">IF(Giocatori!K41="","ZZZ" &amp; ROW(),Giocatori!K41)</f>
        <v>CHIBSAH</v>
      </c>
      <c r="C396" s="239" t="str">
        <f ca="1">IF(Giocatori!L41="","NDR" &amp; ROW(),Giocatori!L41)</f>
        <v>Benevento</v>
      </c>
      <c r="D396" s="63">
        <f ca="1">IF(ISNA(VLOOKUP($B396,TabAlgTutti,6,FALSE)),0,VLOOKUP($B396,TabAlgTutti,6,FALSE))+ROW()/100000</f>
        <v>72.003960000000006</v>
      </c>
      <c r="E396" s="63">
        <f ca="1">IF(ISNA(VLOOKUP($B396,TabAlgTutti,5,FALSE)),0,VLOOKUP($B396,TabAlgTutti,5,FALSE))+ROW()/100000</f>
        <v>38.003959999999999</v>
      </c>
      <c r="F396" s="64">
        <f ca="1">($D396*$P$8+$E396*(1+$E396*100/60/100)*$S$8)/100+ROW()/100000</f>
        <v>67.043761464013343</v>
      </c>
      <c r="G396" s="63" t="str">
        <f ca="1">IF(ISNA(VLOOKUP($B396,TabAlgTutti,7,FALSE)),"",IF(VLOOKUP($B396,TabAlgTutti,7,FALSE)=-1,"SCONSIGLIATO",IF(VLOOKUP($B396,TabAlgTutti,7,FALSE)=0,"SORPRESA",IF(VLOOKUP($B396,TabAlgTutti,7,FALSE)=1,"CONSIGLIATO",""))))</f>
        <v>SCONSIGLIATO</v>
      </c>
      <c r="H396" s="65">
        <f ca="1">IF(ISNA(VLOOKUP($B396,TabAlgTutti,8,FALSE)),"",VLOOKUP($B396,TabAlgTutti,8,FALSE))</f>
        <v>70</v>
      </c>
      <c r="I396" s="63" t="str">
        <f ca="1">IF(ISNA(VLOOKUP($B396,TabAlgTutti,9,FALSE)),"",IF(VLOOKUP($B396,TabAlgTutti,9,FALSE)="","",VLOOKUP($B396,TabAlgTutti,9,FALSE)&amp;"R "))&amp;IF(ISNA(VLOOKUP($B396,TabAlgTutti,10,FALSE)),"",IF(VLOOKUP($B396,TabAlgTutti,10,FALSE)="","",VLOOKUP($B396,TabAlgTutti,10,FALSE)&amp;"P "))&amp;IF(ISNA(VLOOKUP($B396,TabAlgTutti,11,FALSE)),"",IF(VLOOKUP($B396,TabAlgTutti,11,FALSE)="","",VLOOKUP($B396,TabAlgTutti,11,FALSE)&amp;"A"))</f>
        <v/>
      </c>
      <c r="J396" s="63">
        <f ca="1">IF(ISNA(VLOOKUP($B396,TabAlgTutti,3,FALSE)),0,VLOOKUP($B396,TabAlgTutti,3,FALSE))+ROW()/100000</f>
        <v>1.00396</v>
      </c>
      <c r="K396" s="63">
        <f ca="1">IF(ISNA(VLOOKUP($B396,TabAlgTutti,4,FALSE)),0,VLOOKUP($B396,TabAlgTutti,4,FALSE))+ROW()/100000</f>
        <v>1.00396</v>
      </c>
      <c r="L396" s="63" t="e">
        <f ca="1">VLOOKUP(Tabella114[[#This Row],[Calciatore]],'Raccolta Aste'!$K$2:$O$33,4,FALSE)*Asta!$U$3/100</f>
        <v>#N/A</v>
      </c>
      <c r="N396" s="58"/>
      <c r="O396" s="58"/>
      <c r="P396" s="58"/>
      <c r="Q396" s="58"/>
      <c r="R396" s="58"/>
      <c r="S396" s="58"/>
      <c r="W396" s="56">
        <f t="shared" ca="1" si="141"/>
        <v>78</v>
      </c>
      <c r="X396" s="56">
        <f t="shared" ca="1" si="142"/>
        <v>102</v>
      </c>
      <c r="Y396" s="56">
        <f t="shared" ca="1" si="143"/>
        <v>86</v>
      </c>
      <c r="Z396" s="56">
        <f t="shared" ca="1" si="144"/>
        <v>160</v>
      </c>
      <c r="AA396" s="56">
        <f t="shared" ca="1" si="145"/>
        <v>160</v>
      </c>
      <c r="AB396" s="56">
        <f ca="1">_xlfn.CEILING.MATH(INDIRECT(ADDRESS(311,22+MATCH($P$28,'I.A. + Fasce'!$W$84:$AA$84,0),1,1) &amp; ":" &amp; ADDRESS(531,22+MATCH($P$28,'I.A. + Fasce'!$W$84:$AA$84,0),1,1))/Asta!$H$3)</f>
        <v>11</v>
      </c>
    </row>
    <row r="397" spans="1:28" ht="14.25" customHeight="1">
      <c r="A397" s="239" t="str">
        <f ca="1">IF(Giocatori!J211="","C",Giocatori!J211)</f>
        <v>C</v>
      </c>
      <c r="B397" s="239" t="str">
        <f ca="1">IF(Giocatori!K160="","ZZZ" &amp; ROW(),Giocatori!K160)</f>
        <v>SENSI</v>
      </c>
      <c r="C397" s="239" t="str">
        <f ca="1">IF(Giocatori!L160="","NDR" &amp; ROW(),Giocatori!L160)</f>
        <v>Sassuolo</v>
      </c>
      <c r="D397" s="63">
        <f ca="1">IF(ISNA(VLOOKUP($B397,TabAlgTutti,6,FALSE)),0,VLOOKUP($B397,TabAlgTutti,6,FALSE))+ROW()/100000</f>
        <v>69.003969999999995</v>
      </c>
      <c r="E397" s="63">
        <f ca="1">IF(ISNA(VLOOKUP($B397,TabAlgTutti,5,FALSE)),0,VLOOKUP($B397,TabAlgTutti,5,FALSE))+ROW()/100000</f>
        <v>39.003970000000002</v>
      </c>
      <c r="F397" s="64">
        <f ca="1">($D397*$P$8+$E397*(1+$E397*100/60/100)*$S$8)/100+ROW()/100000</f>
        <v>66.685520631340822</v>
      </c>
      <c r="G397" s="63" t="str">
        <f ca="1">IF(ISNA(VLOOKUP($B397,TabAlgTutti,7,FALSE)),"",IF(VLOOKUP($B397,TabAlgTutti,7,FALSE)=-1,"SCONSIGLIATO",IF(VLOOKUP($B397,TabAlgTutti,7,FALSE)=0,"SORPRESA",IF(VLOOKUP($B397,TabAlgTutti,7,FALSE)=1,"CONSIGLIATO",""))))</f>
        <v>SORPRESA</v>
      </c>
      <c r="H397" s="65">
        <f ca="1">IF(ISNA(VLOOKUP($B397,TabAlgTutti,8,FALSE)),"",VLOOKUP($B397,TabAlgTutti,8,FALSE))</f>
        <v>60</v>
      </c>
      <c r="I397" s="63" t="str">
        <f ca="1">IF(ISNA(VLOOKUP($B397,TabAlgTutti,9,FALSE)),"",IF(VLOOKUP($B397,TabAlgTutti,9,FALSE)="","",VLOOKUP($B397,TabAlgTutti,9,FALSE)&amp;"R "))&amp;IF(ISNA(VLOOKUP($B397,TabAlgTutti,10,FALSE)),"",IF(VLOOKUP($B397,TabAlgTutti,10,FALSE)="","",VLOOKUP($B397,TabAlgTutti,10,FALSE)&amp;"P "))&amp;IF(ISNA(VLOOKUP($B397,TabAlgTutti,11,FALSE)),"",IF(VLOOKUP($B397,TabAlgTutti,11,FALSE)="","",VLOOKUP($B397,TabAlgTutti,11,FALSE)&amp;"A"))</f>
        <v xml:space="preserve">3P </v>
      </c>
      <c r="J397" s="63">
        <f ca="1">IF(ISNA(VLOOKUP($B397,TabAlgTutti,3,FALSE)),0,VLOOKUP($B397,TabAlgTutti,3,FALSE))+ROW()/100000</f>
        <v>1.00397</v>
      </c>
      <c r="K397" s="63">
        <f ca="1">IF(ISNA(VLOOKUP($B397,TabAlgTutti,4,FALSE)),0,VLOOKUP($B397,TabAlgTutti,4,FALSE))+ROW()/100000</f>
        <v>1.00397</v>
      </c>
      <c r="L397" s="63" t="e">
        <f ca="1">VLOOKUP(Tabella114[[#This Row],[Calciatore]],'Raccolta Aste'!$K$2:$O$33,4,FALSE)*Asta!$U$3/100</f>
        <v>#N/A</v>
      </c>
      <c r="N397" s="58"/>
      <c r="O397" s="58"/>
      <c r="P397" s="58"/>
      <c r="Q397" s="58"/>
      <c r="R397" s="58"/>
      <c r="S397" s="58"/>
      <c r="W397" s="56">
        <f t="shared" ca="1" si="141"/>
        <v>99</v>
      </c>
      <c r="X397" s="56">
        <f t="shared" ca="1" si="142"/>
        <v>86</v>
      </c>
      <c r="Y397" s="56">
        <f t="shared" ca="1" si="143"/>
        <v>88</v>
      </c>
      <c r="Z397" s="56">
        <f t="shared" ca="1" si="144"/>
        <v>159</v>
      </c>
      <c r="AA397" s="56">
        <f t="shared" ca="1" si="145"/>
        <v>159</v>
      </c>
      <c r="AB397" s="56">
        <f ca="1">_xlfn.CEILING.MATH(INDIRECT(ADDRESS(311,22+MATCH($P$28,'I.A. + Fasce'!$W$84:$AA$84,0),1,1) &amp; ":" &amp; ADDRESS(531,22+MATCH($P$28,'I.A. + Fasce'!$W$84:$AA$84,0),1,1))/Asta!$H$3)</f>
        <v>11</v>
      </c>
    </row>
    <row r="398" spans="1:28" ht="14.25" customHeight="1">
      <c r="A398" s="239" t="str">
        <f ca="1">IF(Giocatori!J204="","C",Giocatori!J204)</f>
        <v>C</v>
      </c>
      <c r="B398" s="239" t="str">
        <f ca="1">IF(Giocatori!K153="","ZZZ" &amp; ROW(),Giocatori!K153)</f>
        <v>ROG</v>
      </c>
      <c r="C398" s="239" t="str">
        <f ca="1">IF(Giocatori!L153="","NDR" &amp; ROW(),Giocatori!L153)</f>
        <v>Napoli</v>
      </c>
      <c r="D398" s="63">
        <f ca="1">IF(ISNA(VLOOKUP($B398,TabAlgTutti,6,FALSE)),0,VLOOKUP($B398,TabAlgTutti,6,FALSE))+ROW()/100000</f>
        <v>69.003979999999999</v>
      </c>
      <c r="E398" s="63">
        <f ca="1">IF(ISNA(VLOOKUP($B398,TabAlgTutti,5,FALSE)),0,VLOOKUP($B398,TabAlgTutti,5,FALSE))+ROW()/100000</f>
        <v>39.003979999999999</v>
      </c>
      <c r="F398" s="64">
        <f ca="1">($D398*$P$8+$E398*(1+$E398*100/60/100)*$S$8)/100+ROW()/100000</f>
        <v>66.685547132003322</v>
      </c>
      <c r="G398" s="63" t="str">
        <f ca="1">IF(ISNA(VLOOKUP($B398,TabAlgTutti,7,FALSE)),"",IF(VLOOKUP($B398,TabAlgTutti,7,FALSE)=-1,"SCONSIGLIATO",IF(VLOOKUP($B398,TabAlgTutti,7,FALSE)=0,"SORPRESA",IF(VLOOKUP($B398,TabAlgTutti,7,FALSE)=1,"CONSIGLIATO",""))))</f>
        <v/>
      </c>
      <c r="H398" s="65">
        <f ca="1">IF(ISNA(VLOOKUP($B398,TabAlgTutti,8,FALSE)),"",VLOOKUP($B398,TabAlgTutti,8,FALSE))</f>
        <v>60</v>
      </c>
      <c r="I398" s="63" t="str">
        <f ca="1">IF(ISNA(VLOOKUP($B398,TabAlgTutti,9,FALSE)),"",IF(VLOOKUP($B398,TabAlgTutti,9,FALSE)="","",VLOOKUP($B398,TabAlgTutti,9,FALSE)&amp;"R "))&amp;IF(ISNA(VLOOKUP($B398,TabAlgTutti,10,FALSE)),"",IF(VLOOKUP($B398,TabAlgTutti,10,FALSE)="","",VLOOKUP($B398,TabAlgTutti,10,FALSE)&amp;"P "))&amp;IF(ISNA(VLOOKUP($B398,TabAlgTutti,11,FALSE)),"",IF(VLOOKUP($B398,TabAlgTutti,11,FALSE)="","",VLOOKUP($B398,TabAlgTutti,11,FALSE)&amp;"A"))</f>
        <v/>
      </c>
      <c r="J398" s="63">
        <f ca="1">IF(ISNA(VLOOKUP($B398,TabAlgTutti,3,FALSE)),0,VLOOKUP($B398,TabAlgTutti,3,FALSE))+ROW()/100000</f>
        <v>22.056832591419408</v>
      </c>
      <c r="K398" s="63">
        <f ca="1">IF(ISNA(VLOOKUP($B398,TabAlgTutti,4,FALSE)),0,VLOOKUP($B398,TabAlgTutti,4,FALSE))+ROW()/100000</f>
        <v>22.393084813990292</v>
      </c>
      <c r="L398" s="63" t="e">
        <f ca="1">VLOOKUP(Tabella114[[#This Row],[Calciatore]],'Raccolta Aste'!$K$2:$O$33,4,FALSE)*Asta!$U$3/100</f>
        <v>#N/A</v>
      </c>
      <c r="N398" s="58"/>
      <c r="O398" s="547" t="s">
        <v>704</v>
      </c>
      <c r="P398" s="547"/>
      <c r="Q398" s="58"/>
      <c r="R398" s="58"/>
      <c r="S398" s="58"/>
      <c r="W398" s="56">
        <f t="shared" ca="1" si="141"/>
        <v>98</v>
      </c>
      <c r="X398" s="56">
        <f t="shared" ca="1" si="142"/>
        <v>85</v>
      </c>
      <c r="Y398" s="56">
        <f t="shared" ca="1" si="143"/>
        <v>87</v>
      </c>
      <c r="Z398" s="56">
        <f t="shared" ca="1" si="144"/>
        <v>36</v>
      </c>
      <c r="AA398" s="56">
        <f t="shared" ca="1" si="145"/>
        <v>36</v>
      </c>
      <c r="AB398" s="56">
        <f ca="1">_xlfn.CEILING.MATH(INDIRECT(ADDRESS(311,22+MATCH($P$28,'I.A. + Fasce'!$W$84:$AA$84,0),1,1) &amp; ":" &amp; ADDRESS(531,22+MATCH($P$28,'I.A. + Fasce'!$W$84:$AA$84,0),1,1))/Asta!$H$3)</f>
        <v>11</v>
      </c>
    </row>
    <row r="399" spans="1:28" ht="14.25" customHeight="1">
      <c r="A399" s="239" t="str">
        <f ca="1">IF(Giocatori!J116="","C",Giocatori!J116)</f>
        <v>C</v>
      </c>
      <c r="B399" s="239" t="str">
        <f ca="1">IF(Giocatori!K116="","ZZZ" &amp; ROW(),Giocatori!K116)</f>
        <v>MAGNANELLI</v>
      </c>
      <c r="C399" s="239" t="str">
        <f ca="1">IF(Giocatori!L116="","NDR" &amp; ROW(),Giocatori!L116)</f>
        <v>Sassuolo</v>
      </c>
      <c r="D399" s="63">
        <f ca="1">IF(ISNA(VLOOKUP($B399,TabAlgTutti,6,FALSE)),0,VLOOKUP($B399,TabAlgTutti,6,FALSE))+ROW()/100000</f>
        <v>71.003990000000002</v>
      </c>
      <c r="E399" s="63">
        <f ca="1">IF(ISNA(VLOOKUP($B399,TabAlgTutti,5,FALSE)),0,VLOOKUP($B399,TabAlgTutti,5,FALSE))+ROW()/100000</f>
        <v>38.003990000000002</v>
      </c>
      <c r="F399" s="64">
        <f ca="1">($D399*$P$8+$E399*(1+$E399*100/60/100)*$S$8)/100+ROW()/100000</f>
        <v>66.54384046600083</v>
      </c>
      <c r="G399" s="63" t="str">
        <f ca="1">IF(ISNA(VLOOKUP($B399,TabAlgTutti,7,FALSE)),"",IF(VLOOKUP($B399,TabAlgTutti,7,FALSE)=-1,"SCONSIGLIATO",IF(VLOOKUP($B399,TabAlgTutti,7,FALSE)=0,"SORPRESA",IF(VLOOKUP($B399,TabAlgTutti,7,FALSE)=1,"CONSIGLIATO",""))))</f>
        <v/>
      </c>
      <c r="H399" s="65">
        <f ca="1">IF(ISNA(VLOOKUP($B399,TabAlgTutti,8,FALSE)),"",VLOOKUP($B399,TabAlgTutti,8,FALSE))</f>
        <v>80</v>
      </c>
      <c r="I399" s="63" t="str">
        <f ca="1">IF(ISNA(VLOOKUP($B399,TabAlgTutti,9,FALSE)),"",IF(VLOOKUP($B399,TabAlgTutti,9,FALSE)="","",VLOOKUP($B399,TabAlgTutti,9,FALSE)&amp;"R "))&amp;IF(ISNA(VLOOKUP($B399,TabAlgTutti,10,FALSE)),"",IF(VLOOKUP($B399,TabAlgTutti,10,FALSE)="","",VLOOKUP($B399,TabAlgTutti,10,FALSE)&amp;"P "))&amp;IF(ISNA(VLOOKUP($B399,TabAlgTutti,11,FALSE)),"",IF(VLOOKUP($B399,TabAlgTutti,11,FALSE)="","",VLOOKUP($B399,TabAlgTutti,11,FALSE)&amp;"A"))</f>
        <v xml:space="preserve">4P </v>
      </c>
      <c r="J399" s="63">
        <f ca="1">IF(ISNA(VLOOKUP($B399,TabAlgTutti,3,FALSE)),0,VLOOKUP($B399,TabAlgTutti,3,FALSE))+ROW()/100000</f>
        <v>1.0039899999999999</v>
      </c>
      <c r="K399" s="63">
        <f ca="1">IF(ISNA(VLOOKUP($B399,TabAlgTutti,4,FALSE)),0,VLOOKUP($B399,TabAlgTutti,4,FALSE))+ROW()/100000</f>
        <v>1.0039899999999999</v>
      </c>
      <c r="L399" s="63" t="e">
        <f ca="1">VLOOKUP(Tabella114[[#This Row],[Calciatore]],'Raccolta Aste'!$K$2:$O$33,4,FALSE)*Asta!$U$3/100</f>
        <v>#N/A</v>
      </c>
      <c r="N399" s="58"/>
      <c r="O399" s="58"/>
      <c r="P399" s="58"/>
      <c r="Q399" s="58"/>
      <c r="R399" s="58"/>
      <c r="S399" s="58"/>
      <c r="W399" s="56">
        <f t="shared" ca="1" si="141"/>
        <v>83</v>
      </c>
      <c r="X399" s="56">
        <f t="shared" ca="1" si="142"/>
        <v>101</v>
      </c>
      <c r="Y399" s="56">
        <f t="shared" ca="1" si="143"/>
        <v>89</v>
      </c>
      <c r="Z399" s="56">
        <f t="shared" ca="1" si="144"/>
        <v>158</v>
      </c>
      <c r="AA399" s="56">
        <f t="shared" ca="1" si="145"/>
        <v>158</v>
      </c>
      <c r="AB399" s="56">
        <f ca="1">_xlfn.CEILING.MATH(INDIRECT(ADDRESS(311,22+MATCH($P$28,'I.A. + Fasce'!$W$84:$AA$84,0),1,1) &amp; ":" &amp; ADDRESS(531,22+MATCH($P$28,'I.A. + Fasce'!$W$84:$AA$84,0),1,1))/Asta!$H$3)</f>
        <v>12</v>
      </c>
    </row>
    <row r="400" spans="1:28" ht="14.25" customHeight="1">
      <c r="A400" s="239" t="str">
        <f ca="1">IF(Giocatori!J109="","C",Giocatori!J109)</f>
        <v>C</v>
      </c>
      <c r="B400" s="239" t="str">
        <f ca="1">IF(Giocatori!K109="","ZZZ" &amp; ROW(),Giocatori!K109)</f>
        <v>LAZZARI M</v>
      </c>
      <c r="C400" s="239" t="str">
        <f ca="1">IF(Giocatori!L109="","NDR" &amp; ROW(),Giocatori!L109)</f>
        <v>SPAL</v>
      </c>
      <c r="D400" s="63">
        <f ca="1">IF(ISNA(VLOOKUP($B400,TabAlgTutti,6,FALSE)),0,VLOOKUP($B400,TabAlgTutti,6,FALSE))+ROW()/100000</f>
        <v>73.004000000000005</v>
      </c>
      <c r="E400" s="63">
        <f ca="1">IF(ISNA(VLOOKUP($B400,TabAlgTutti,5,FALSE)),0,VLOOKUP($B400,TabAlgTutti,5,FALSE))+ROW()/100000</f>
        <v>37.003999999999998</v>
      </c>
      <c r="F400" s="64">
        <f ca="1">($D400*$P$8+$E400*(1+$E400*100/60/100)*$S$8)/100+ROW()/100000</f>
        <v>66.418800133333349</v>
      </c>
      <c r="G400" s="63" t="str">
        <f ca="1">IF(ISNA(VLOOKUP($B400,TabAlgTutti,7,FALSE)),"",IF(VLOOKUP($B400,TabAlgTutti,7,FALSE)=-1,"SCONSIGLIATO",IF(VLOOKUP($B400,TabAlgTutti,7,FALSE)=0,"SORPRESA",IF(VLOOKUP($B400,TabAlgTutti,7,FALSE)=1,"CONSIGLIATO",""))))</f>
        <v/>
      </c>
      <c r="H400" s="65">
        <f ca="1">IF(ISNA(VLOOKUP($B400,TabAlgTutti,8,FALSE)),"",VLOOKUP($B400,TabAlgTutti,8,FALSE))</f>
        <v>70</v>
      </c>
      <c r="I400" s="63" t="str">
        <f ca="1">IF(ISNA(VLOOKUP($B400,TabAlgTutti,9,FALSE)),"",IF(VLOOKUP($B400,TabAlgTutti,9,FALSE)="","",VLOOKUP($B400,TabAlgTutti,9,FALSE)&amp;"R "))&amp;IF(ISNA(VLOOKUP($B400,TabAlgTutti,10,FALSE)),"",IF(VLOOKUP($B400,TabAlgTutti,10,FALSE)="","",VLOOKUP($B400,TabAlgTutti,10,FALSE)&amp;"P "))&amp;IF(ISNA(VLOOKUP($B400,TabAlgTutti,11,FALSE)),"",IF(VLOOKUP($B400,TabAlgTutti,11,FALSE)="","",VLOOKUP($B400,TabAlgTutti,11,FALSE)&amp;"A"))</f>
        <v/>
      </c>
      <c r="J400" s="63">
        <f ca="1">IF(ISNA(VLOOKUP($B400,TabAlgTutti,3,FALSE)),0,VLOOKUP($B400,TabAlgTutti,3,FALSE))+ROW()/100000</f>
        <v>1.004</v>
      </c>
      <c r="K400" s="63">
        <f ca="1">IF(ISNA(VLOOKUP($B400,TabAlgTutti,4,FALSE)),0,VLOOKUP($B400,TabAlgTutti,4,FALSE))+ROW()/100000</f>
        <v>1.004</v>
      </c>
      <c r="L400" s="63" t="e">
        <f ca="1">VLOOKUP(Tabella114[[#This Row],[Calciatore]],'Raccolta Aste'!$K$2:$O$33,4,FALSE)*Asta!$U$3/100</f>
        <v>#N/A</v>
      </c>
      <c r="N400" s="58"/>
      <c r="O400" s="58"/>
      <c r="P400" s="58"/>
      <c r="Q400" s="58"/>
      <c r="R400" s="58"/>
      <c r="S400" s="58"/>
      <c r="W400" s="56">
        <f t="shared" ca="1" si="141"/>
        <v>69</v>
      </c>
      <c r="X400" s="56">
        <f t="shared" ca="1" si="142"/>
        <v>108</v>
      </c>
      <c r="Y400" s="56">
        <f t="shared" ca="1" si="143"/>
        <v>90</v>
      </c>
      <c r="Z400" s="56">
        <f t="shared" ca="1" si="144"/>
        <v>157</v>
      </c>
      <c r="AA400" s="56">
        <f t="shared" ca="1" si="145"/>
        <v>157</v>
      </c>
      <c r="AB400" s="56">
        <f ca="1">_xlfn.CEILING.MATH(INDIRECT(ADDRESS(311,22+MATCH($P$28,'I.A. + Fasce'!$W$84:$AA$84,0),1,1) &amp; ":" &amp; ADDRESS(531,22+MATCH($P$28,'I.A. + Fasce'!$W$84:$AA$84,0),1,1))/Asta!$H$3)</f>
        <v>12</v>
      </c>
    </row>
    <row r="401" spans="1:28" ht="14.25" customHeight="1">
      <c r="A401" s="239" t="str">
        <f ca="1">IF(Giocatori!J9="","C",Giocatori!J9)</f>
        <v>C</v>
      </c>
      <c r="B401" s="239" t="str">
        <f ca="1">IF(Giocatori!K9="","ZZZ" &amp; ROW(),Giocatori!K9)</f>
        <v>ACQUAH</v>
      </c>
      <c r="C401" s="239" t="str">
        <f ca="1">IF(Giocatori!L9="","NDR" &amp; ROW(),Giocatori!L9)</f>
        <v>Torino</v>
      </c>
      <c r="D401" s="63">
        <f ca="1">IF(ISNA(VLOOKUP($B401,TabAlgTutti,6,FALSE)),0,VLOOKUP($B401,TabAlgTutti,6,FALSE))+ROW()/100000</f>
        <v>68.004009999999994</v>
      </c>
      <c r="E401" s="63">
        <f ca="1">IF(ISNA(VLOOKUP($B401,TabAlgTutti,5,FALSE)),0,VLOOKUP($B401,TabAlgTutti,5,FALSE))+ROW()/100000</f>
        <v>39.004010000000001</v>
      </c>
      <c r="F401" s="64">
        <f ca="1">($D401*$P$8+$E401*(1+$E401*100/60/100)*$S$8)/100+ROW()/100000</f>
        <v>66.185626634000826</v>
      </c>
      <c r="G401" s="63" t="str">
        <f ca="1">IF(ISNA(VLOOKUP($B401,TabAlgTutti,7,FALSE)),"",IF(VLOOKUP($B401,TabAlgTutti,7,FALSE)=-1,"SCONSIGLIATO",IF(VLOOKUP($B401,TabAlgTutti,7,FALSE)=0,"SORPRESA",IF(VLOOKUP($B401,TabAlgTutti,7,FALSE)=1,"CONSIGLIATO",""))))</f>
        <v/>
      </c>
      <c r="H401" s="65">
        <f ca="1">IF(ISNA(VLOOKUP($B401,TabAlgTutti,8,FALSE)),"",VLOOKUP($B401,TabAlgTutti,8,FALSE))</f>
        <v>70</v>
      </c>
      <c r="I401" s="324" t="str">
        <f ca="1">IF(ISNA(VLOOKUP($B401,TabAlgTutti,9,FALSE)),"",IF(VLOOKUP($B401,TabAlgTutti,9,FALSE)="","",VLOOKUP($B401,TabAlgTutti,9,FALSE)&amp;"R "))&amp;IF(ISNA(VLOOKUP($B401,TabAlgTutti,10,FALSE)),"",IF(VLOOKUP($B401,TabAlgTutti,10,FALSE)="","",VLOOKUP($B401,TabAlgTutti,10,FALSE)&amp;"P "))&amp;IF(ISNA(VLOOKUP($B401,TabAlgTutti,11,FALSE)),"",IF(VLOOKUP($B401,TabAlgTutti,11,FALSE)="","",VLOOKUP($B401,TabAlgTutti,11,FALSE)&amp;"A"))</f>
        <v/>
      </c>
      <c r="J401" s="63">
        <f ca="1">IF(ISNA(VLOOKUP($B401,TabAlgTutti,3,FALSE)),0,VLOOKUP($B401,TabAlgTutti,3,FALSE))+ROW()/100000</f>
        <v>5.9879226792814597</v>
      </c>
      <c r="K401" s="63">
        <f ca="1">IF(ISNA(VLOOKUP($B401,TabAlgTutti,4,FALSE)),0,VLOOKUP($B401,TabAlgTutti,4,FALSE))+ROW()/100000</f>
        <v>7.3815961818145928</v>
      </c>
      <c r="L401" s="324" t="e">
        <f ca="1">VLOOKUP(Tabella114[[#This Row],[Calciatore]],'Raccolta Aste'!$K$2:$O$33,4,FALSE)*Asta!$U$3/100</f>
        <v>#N/A</v>
      </c>
      <c r="N401" s="58"/>
      <c r="O401" s="58"/>
      <c r="P401" s="58"/>
      <c r="Q401" s="58"/>
      <c r="R401" s="58"/>
      <c r="S401" s="58"/>
      <c r="W401" s="56">
        <f t="shared" ca="1" si="141"/>
        <v>109</v>
      </c>
      <c r="X401" s="56">
        <f t="shared" ca="1" si="142"/>
        <v>84</v>
      </c>
      <c r="Y401" s="56">
        <f t="shared" ca="1" si="143"/>
        <v>91</v>
      </c>
      <c r="Z401" s="56">
        <f t="shared" ca="1" si="144"/>
        <v>69</v>
      </c>
      <c r="AA401" s="56">
        <f t="shared" ca="1" si="145"/>
        <v>69</v>
      </c>
      <c r="AB401" s="56">
        <f ca="1">_xlfn.CEILING.MATH(INDIRECT(ADDRESS(311,22+MATCH($P$28,'I.A. + Fasce'!$W$84:$AA$84,0),1,1) &amp; ":" &amp; ADDRESS(531,22+MATCH($P$28,'I.A. + Fasce'!$W$84:$AA$84,0),1,1))/Asta!$H$3)</f>
        <v>12</v>
      </c>
    </row>
    <row r="402" spans="1:28" ht="14.25" customHeight="1">
      <c r="A402" s="239" t="str">
        <f ca="1">IF(Giocatori!J22="","C",Giocatori!J22)</f>
        <v>C</v>
      </c>
      <c r="B402" s="239" t="str">
        <f ca="1">IF(Giocatori!K22="","ZZZ" &amp; ROW(),Giocatori!K22)</f>
        <v>BENTANCUR</v>
      </c>
      <c r="C402" s="239" t="str">
        <f ca="1">IF(Giocatori!L22="","NDR" &amp; ROW(),Giocatori!L22)</f>
        <v>Juventus</v>
      </c>
      <c r="D402" s="63">
        <f ca="1">IF(ISNA(VLOOKUP($B402,TabAlgTutti,6,FALSE)),0,VLOOKUP($B402,TabAlgTutti,6,FALSE))+ROW()/100000</f>
        <v>65.004019999999997</v>
      </c>
      <c r="E402" s="63">
        <f ca="1">IF(ISNA(VLOOKUP($B402,TabAlgTutti,5,FALSE)),0,VLOOKUP($B402,TabAlgTutti,5,FALSE))+ROW()/100000</f>
        <v>40.004019999999997</v>
      </c>
      <c r="F402" s="64">
        <f ca="1">($D402*$P$8+$E402*(1+$E402*100/60/100)*$S$8)/100+ROW()/100000</f>
        <v>65.844053468003324</v>
      </c>
      <c r="G402" s="63" t="str">
        <f ca="1">IF(ISNA(VLOOKUP($B402,TabAlgTutti,7,FALSE)),"",IF(VLOOKUP($B402,TabAlgTutti,7,FALSE)=-1,"SCONSIGLIATO",IF(VLOOKUP($B402,TabAlgTutti,7,FALSE)=0,"SORPRESA",IF(VLOOKUP($B402,TabAlgTutti,7,FALSE)=1,"CONSIGLIATO",""))))</f>
        <v/>
      </c>
      <c r="H402" s="65">
        <f ca="1">IF(ISNA(VLOOKUP($B402,TabAlgTutti,8,FALSE)),"",VLOOKUP($B402,TabAlgTutti,8,FALSE))</f>
        <v>50</v>
      </c>
      <c r="I402" s="63" t="str">
        <f ca="1">IF(ISNA(VLOOKUP($B402,TabAlgTutti,9,FALSE)),"",IF(VLOOKUP($B402,TabAlgTutti,9,FALSE)="","",VLOOKUP($B402,TabAlgTutti,9,FALSE)&amp;"R "))&amp;IF(ISNA(VLOOKUP($B402,TabAlgTutti,10,FALSE)),"",IF(VLOOKUP($B402,TabAlgTutti,10,FALSE)="","",VLOOKUP($B402,TabAlgTutti,10,FALSE)&amp;"P "))&amp;IF(ISNA(VLOOKUP($B402,TabAlgTutti,11,FALSE)),"",IF(VLOOKUP($B402,TabAlgTutti,11,FALSE)="","",VLOOKUP($B402,TabAlgTutti,11,FALSE)&amp;"A"))</f>
        <v/>
      </c>
      <c r="J402" s="63">
        <f ca="1">IF(ISNA(VLOOKUP($B402,TabAlgTutti,3,FALSE)),0,VLOOKUP($B402,TabAlgTutti,3,FALSE))+ROW()/100000</f>
        <v>22.476064713826393</v>
      </c>
      <c r="K402" s="63">
        <f ca="1">IF(ISNA(VLOOKUP($B402,TabAlgTutti,4,FALSE)),0,VLOOKUP($B402,TabAlgTutti,4,FALSE))+ROW()/100000</f>
        <v>22.670810761372568</v>
      </c>
      <c r="L402" s="63" t="e">
        <f ca="1">VLOOKUP(Tabella114[[#This Row],[Calciatore]],'Raccolta Aste'!$K$2:$O$33,4,FALSE)*Asta!$U$3/100</f>
        <v>#N/A</v>
      </c>
      <c r="N402" s="58"/>
      <c r="O402" s="58"/>
      <c r="P402" s="58"/>
      <c r="Q402" s="58"/>
      <c r="R402" s="58"/>
      <c r="S402" s="58"/>
      <c r="W402" s="56">
        <f t="shared" ca="1" si="141"/>
        <v>126</v>
      </c>
      <c r="X402" s="56">
        <f t="shared" ca="1" si="142"/>
        <v>75</v>
      </c>
      <c r="Y402" s="56">
        <f t="shared" ca="1" si="143"/>
        <v>92</v>
      </c>
      <c r="Z402" s="56">
        <f t="shared" ca="1" si="144"/>
        <v>35</v>
      </c>
      <c r="AA402" s="56">
        <f t="shared" ca="1" si="145"/>
        <v>35</v>
      </c>
      <c r="AB402" s="56">
        <f ca="1">_xlfn.CEILING.MATH(INDIRECT(ADDRESS(311,22+MATCH($P$28,'I.A. + Fasce'!$W$84:$AA$84,0),1,1) &amp; ":" &amp; ADDRESS(531,22+MATCH($P$28,'I.A. + Fasce'!$W$84:$AA$84,0),1,1))/Asta!$H$3)</f>
        <v>12</v>
      </c>
    </row>
    <row r="403" spans="1:28" ht="14.25" customHeight="1">
      <c r="A403" s="239" t="str">
        <f ca="1">IF(Giocatori!J132="","C",Giocatori!J132)</f>
        <v>C</v>
      </c>
      <c r="B403" s="239" t="str">
        <f ca="1">IF(Giocatori!K132="","ZZZ" &amp; ROW(),Giocatori!K132)</f>
        <v>NAGY</v>
      </c>
      <c r="C403" s="239" t="str">
        <f ca="1">IF(Giocatori!L132="","NDR" &amp; ROW(),Giocatori!L132)</f>
        <v>Bologna</v>
      </c>
      <c r="D403" s="63">
        <f ca="1">IF(ISNA(VLOOKUP($B403,TabAlgTutti,6,FALSE)),0,VLOOKUP($B403,TabAlgTutti,6,FALSE))+ROW()/100000</f>
        <v>69.00403</v>
      </c>
      <c r="E403" s="63">
        <f ca="1">IF(ISNA(VLOOKUP($B403,TabAlgTutti,5,FALSE)),0,VLOOKUP($B403,TabAlgTutti,5,FALSE))+ROW()/100000</f>
        <v>38.00403</v>
      </c>
      <c r="F403" s="64">
        <f ca="1">($D403*$P$8+$E403*(1+$E403*100/60/100)*$S$8)/100+ROW()/100000</f>
        <v>65.543945802007499</v>
      </c>
      <c r="G403" s="63" t="str">
        <f ca="1">IF(ISNA(VLOOKUP($B403,TabAlgTutti,7,FALSE)),"",IF(VLOOKUP($B403,TabAlgTutti,7,FALSE)=-1,"SCONSIGLIATO",IF(VLOOKUP($B403,TabAlgTutti,7,FALSE)=0,"SORPRESA",IF(VLOOKUP($B403,TabAlgTutti,7,FALSE)=1,"CONSIGLIATO",""))))</f>
        <v/>
      </c>
      <c r="H403" s="65">
        <f ca="1">IF(ISNA(VLOOKUP($B403,TabAlgTutti,8,FALSE)),"",VLOOKUP($B403,TabAlgTutti,8,FALSE))</f>
        <v>70</v>
      </c>
      <c r="I403" s="63" t="str">
        <f ca="1">IF(ISNA(VLOOKUP($B403,TabAlgTutti,9,FALSE)),"",IF(VLOOKUP($B403,TabAlgTutti,9,FALSE)="","",VLOOKUP($B403,TabAlgTutti,9,FALSE)&amp;"R "))&amp;IF(ISNA(VLOOKUP($B403,TabAlgTutti,10,FALSE)),"",IF(VLOOKUP($B403,TabAlgTutti,10,FALSE)="","",VLOOKUP($B403,TabAlgTutti,10,FALSE)&amp;"P "))&amp;IF(ISNA(VLOOKUP($B403,TabAlgTutti,11,FALSE)),"",IF(VLOOKUP($B403,TabAlgTutti,11,FALSE)="","",VLOOKUP($B403,TabAlgTutti,11,FALSE)&amp;"A"))</f>
        <v/>
      </c>
      <c r="J403" s="63">
        <f ca="1">IF(ISNA(VLOOKUP($B403,TabAlgTutti,3,FALSE)),0,VLOOKUP($B403,TabAlgTutti,3,FALSE))+ROW()/100000</f>
        <v>1.00403</v>
      </c>
      <c r="K403" s="63">
        <f ca="1">IF(ISNA(VLOOKUP($B403,TabAlgTutti,4,FALSE)),0,VLOOKUP($B403,TabAlgTutti,4,FALSE))+ROW()/100000</f>
        <v>1.00403</v>
      </c>
      <c r="L403" s="63" t="e">
        <f ca="1">VLOOKUP(Tabella114[[#This Row],[Calciatore]],'Raccolta Aste'!$K$2:$O$33,4,FALSE)*Asta!$U$3/100</f>
        <v>#N/A</v>
      </c>
      <c r="N403" s="58"/>
      <c r="O403" s="58"/>
      <c r="P403" s="58"/>
      <c r="Q403" s="58"/>
      <c r="R403" s="58"/>
      <c r="S403" s="58"/>
      <c r="W403" s="56">
        <f t="shared" ca="1" si="141"/>
        <v>97</v>
      </c>
      <c r="X403" s="56">
        <f t="shared" ca="1" si="142"/>
        <v>100</v>
      </c>
      <c r="Y403" s="56">
        <f t="shared" ca="1" si="143"/>
        <v>94</v>
      </c>
      <c r="Z403" s="56">
        <f t="shared" ca="1" si="144"/>
        <v>156</v>
      </c>
      <c r="AA403" s="56">
        <f t="shared" ca="1" si="145"/>
        <v>156</v>
      </c>
      <c r="AB403" s="56">
        <f ca="1">_xlfn.CEILING.MATH(INDIRECT(ADDRESS(311,22+MATCH($P$28,'I.A. + Fasce'!$W$84:$AA$84,0),1,1) &amp; ":" &amp; ADDRESS(531,22+MATCH($P$28,'I.A. + Fasce'!$W$84:$AA$84,0),1,1))/Asta!$H$3)</f>
        <v>12</v>
      </c>
    </row>
    <row r="404" spans="1:28" ht="14.25" customHeight="1">
      <c r="A404" s="239" t="str">
        <f ca="1">IF(Giocatori!J32="","C",Giocatori!J32)</f>
        <v>C</v>
      </c>
      <c r="B404" s="239" t="str">
        <f ca="1">IF(Giocatori!K32="","ZZZ" &amp; ROW(),Giocatori!K32)</f>
        <v>BRLEK</v>
      </c>
      <c r="C404" s="239" t="str">
        <f ca="1">IF(Giocatori!L32="","NDR" &amp; ROW(),Giocatori!L32)</f>
        <v>Genoa</v>
      </c>
      <c r="D404" s="63">
        <f ca="1">IF(ISNA(VLOOKUP($B404,TabAlgTutti,6,FALSE)),0,VLOOKUP($B404,TabAlgTutti,6,FALSE))+ROW()/100000</f>
        <v>69.004040000000003</v>
      </c>
      <c r="E404" s="63">
        <f ca="1">IF(ISNA(VLOOKUP($B404,TabAlgTutti,5,FALSE)),0,VLOOKUP($B404,TabAlgTutti,5,FALSE))+ROW()/100000</f>
        <v>38.004040000000003</v>
      </c>
      <c r="F404" s="64">
        <f ca="1">($D404*$P$8+$E404*(1+$E404*100/60/100)*$S$8)/100+ROW()/100000</f>
        <v>65.543972136013338</v>
      </c>
      <c r="G404" s="63" t="str">
        <f ca="1">IF(ISNA(VLOOKUP($B404,TabAlgTutti,7,FALSE)),"",IF(VLOOKUP($B404,TabAlgTutti,7,FALSE)=-1,"SCONSIGLIATO",IF(VLOOKUP($B404,TabAlgTutti,7,FALSE)=0,"SORPRESA",IF(VLOOKUP($B404,TabAlgTutti,7,FALSE)=1,"CONSIGLIATO",""))))</f>
        <v/>
      </c>
      <c r="H404" s="65">
        <f ca="1">IF(ISNA(VLOOKUP($B404,TabAlgTutti,8,FALSE)),"",VLOOKUP($B404,TabAlgTutti,8,FALSE))</f>
        <v>60</v>
      </c>
      <c r="I404" s="63" t="str">
        <f ca="1">IF(ISNA(VLOOKUP($B404,TabAlgTutti,9,FALSE)),"",IF(VLOOKUP($B404,TabAlgTutti,9,FALSE)="","",VLOOKUP($B404,TabAlgTutti,9,FALSE)&amp;"R "))&amp;IF(ISNA(VLOOKUP($B404,TabAlgTutti,10,FALSE)),"",IF(VLOOKUP($B404,TabAlgTutti,10,FALSE)="","",VLOOKUP($B404,TabAlgTutti,10,FALSE)&amp;"P "))&amp;IF(ISNA(VLOOKUP($B404,TabAlgTutti,11,FALSE)),"",IF(VLOOKUP($B404,TabAlgTutti,11,FALSE)="","",VLOOKUP($B404,TabAlgTutti,11,FALSE)&amp;"A"))</f>
        <v/>
      </c>
      <c r="J404" s="63">
        <f ca="1">IF(ISNA(VLOOKUP($B404,TabAlgTutti,3,FALSE)),0,VLOOKUP($B404,TabAlgTutti,3,FALSE))+ROW()/100000</f>
        <v>1.00404</v>
      </c>
      <c r="K404" s="63">
        <f ca="1">IF(ISNA(VLOOKUP($B404,TabAlgTutti,4,FALSE)),0,VLOOKUP($B404,TabAlgTutti,4,FALSE))+ROW()/100000</f>
        <v>1.00404</v>
      </c>
      <c r="L404" s="63" t="e">
        <f ca="1">VLOOKUP(Tabella114[[#This Row],[Calciatore]],'Raccolta Aste'!$K$2:$O$33,4,FALSE)*Asta!$U$3/100</f>
        <v>#N/A</v>
      </c>
      <c r="N404" s="58"/>
      <c r="O404" s="58"/>
      <c r="P404" s="58"/>
      <c r="Q404" s="58"/>
      <c r="R404" s="58"/>
      <c r="S404" s="58"/>
      <c r="W404" s="56">
        <f t="shared" ca="1" si="141"/>
        <v>96</v>
      </c>
      <c r="X404" s="56">
        <f t="shared" ca="1" si="142"/>
        <v>99</v>
      </c>
      <c r="Y404" s="56">
        <f t="shared" ca="1" si="143"/>
        <v>93</v>
      </c>
      <c r="Z404" s="56">
        <f t="shared" ca="1" si="144"/>
        <v>155</v>
      </c>
      <c r="AA404" s="56">
        <f t="shared" ca="1" si="145"/>
        <v>155</v>
      </c>
      <c r="AB404" s="56">
        <f ca="1">_xlfn.CEILING.MATH(INDIRECT(ADDRESS(311,22+MATCH($P$28,'I.A. + Fasce'!$W$84:$AA$84,0),1,1) &amp; ":" &amp; ADDRESS(531,22+MATCH($P$28,'I.A. + Fasce'!$W$84:$AA$84,0),1,1))/Asta!$H$3)</f>
        <v>12</v>
      </c>
    </row>
    <row r="405" spans="1:28" ht="14.25" customHeight="1">
      <c r="A405" s="239" t="str">
        <f ca="1">IF(Giocatori!J62="","C",Giocatori!J62)</f>
        <v>C</v>
      </c>
      <c r="B405" s="239" t="str">
        <f ca="1">IF(Giocatori!K62="","ZZZ" &amp; ROW(),Giocatori!K62)</f>
        <v>DJURICIC</v>
      </c>
      <c r="C405" s="239" t="str">
        <f ca="1">IF(Giocatori!L62="","NDR" &amp; ROW(),Giocatori!L62)</f>
        <v>Sampdoria</v>
      </c>
      <c r="D405" s="63">
        <f ca="1">IF(ISNA(VLOOKUP($B405,TabAlgTutti,6,FALSE)),0,VLOOKUP($B405,TabAlgTutti,6,FALSE))+ROW()/100000</f>
        <v>68.004050000000007</v>
      </c>
      <c r="E405" s="63">
        <f ca="1">IF(ISNA(VLOOKUP($B405,TabAlgTutti,5,FALSE)),0,VLOOKUP($B405,TabAlgTutti,5,FALSE))+ROW()/100000</f>
        <v>38.004049999999999</v>
      </c>
      <c r="F405" s="64">
        <f ca="1">($D405*$P$8+$E405*(1+$E405*100/60/100)*$S$8)/100+ROW()/100000</f>
        <v>65.043998470020853</v>
      </c>
      <c r="G405" s="63" t="str">
        <f ca="1">IF(ISNA(VLOOKUP($B405,TabAlgTutti,7,FALSE)),"",IF(VLOOKUP($B405,TabAlgTutti,7,FALSE)=-1,"SCONSIGLIATO",IF(VLOOKUP($B405,TabAlgTutti,7,FALSE)=0,"SORPRESA",IF(VLOOKUP($B405,TabAlgTutti,7,FALSE)=1,"CONSIGLIATO",""))))</f>
        <v/>
      </c>
      <c r="H405" s="65">
        <f ca="1">IF(ISNA(VLOOKUP($B405,TabAlgTutti,8,FALSE)),"",VLOOKUP($B405,TabAlgTutti,8,FALSE))</f>
        <v>50</v>
      </c>
      <c r="I405" s="63" t="str">
        <f ca="1">IF(ISNA(VLOOKUP($B405,TabAlgTutti,9,FALSE)),"",IF(VLOOKUP($B405,TabAlgTutti,9,FALSE)="","",VLOOKUP($B405,TabAlgTutti,9,FALSE)&amp;"R "))&amp;IF(ISNA(VLOOKUP($B405,TabAlgTutti,10,FALSE)),"",IF(VLOOKUP($B405,TabAlgTutti,10,FALSE)="","",VLOOKUP($B405,TabAlgTutti,10,FALSE)&amp;"P "))&amp;IF(ISNA(VLOOKUP($B405,TabAlgTutti,11,FALSE)),"",IF(VLOOKUP($B405,TabAlgTutti,11,FALSE)="","",VLOOKUP($B405,TabAlgTutti,11,FALSE)&amp;"A"))</f>
        <v/>
      </c>
      <c r="J405" s="63">
        <f ca="1">IF(ISNA(VLOOKUP($B405,TabAlgTutti,3,FALSE)),0,VLOOKUP($B405,TabAlgTutti,3,FALSE))+ROW()/100000</f>
        <v>1.0040500000000001</v>
      </c>
      <c r="K405" s="63">
        <f ca="1">IF(ISNA(VLOOKUP($B405,TabAlgTutti,4,FALSE)),0,VLOOKUP($B405,TabAlgTutti,4,FALSE))+ROW()/100000</f>
        <v>1.0040500000000001</v>
      </c>
      <c r="L405" s="63" t="e">
        <f ca="1">VLOOKUP(Tabella114[[#This Row],[Calciatore]],'Raccolta Aste'!$K$2:$O$33,4,FALSE)*Asta!$U$3/100</f>
        <v>#N/A</v>
      </c>
      <c r="N405" s="58"/>
      <c r="O405" s="58"/>
      <c r="P405" s="58"/>
      <c r="Q405" s="58"/>
      <c r="R405" s="58"/>
      <c r="S405" s="58"/>
      <c r="W405" s="56">
        <f t="shared" ca="1" si="141"/>
        <v>108</v>
      </c>
      <c r="X405" s="56">
        <f t="shared" ca="1" si="142"/>
        <v>98</v>
      </c>
      <c r="Y405" s="56">
        <f t="shared" ca="1" si="143"/>
        <v>95</v>
      </c>
      <c r="Z405" s="56">
        <f t="shared" ca="1" si="144"/>
        <v>154</v>
      </c>
      <c r="AA405" s="56">
        <f t="shared" ca="1" si="145"/>
        <v>154</v>
      </c>
      <c r="AB405" s="56">
        <f ca="1">_xlfn.CEILING.MATH(INDIRECT(ADDRESS(311,22+MATCH($P$28,'I.A. + Fasce'!$W$84:$AA$84,0),1,1) &amp; ":" &amp; ADDRESS(531,22+MATCH($P$28,'I.A. + Fasce'!$W$84:$AA$84,0),1,1))/Asta!$H$3)</f>
        <v>12</v>
      </c>
    </row>
    <row r="406" spans="1:28" ht="14.25" customHeight="1">
      <c r="A406" s="239" t="str">
        <f ca="1">IF(Giocatori!J88="","C",Giocatori!J88)</f>
        <v>C</v>
      </c>
      <c r="B406" s="239" t="str">
        <f ca="1">IF(Giocatori!K88="","ZZZ" &amp; ROW(),Giocatori!K88)</f>
        <v>HALLFREDSSON</v>
      </c>
      <c r="C406" s="239" t="str">
        <f ca="1">IF(Giocatori!L88="","NDR" &amp; ROW(),Giocatori!L88)</f>
        <v>Udinese</v>
      </c>
      <c r="D406" s="63">
        <f ca="1">IF(ISNA(VLOOKUP($B406,TabAlgTutti,6,FALSE)),0,VLOOKUP($B406,TabAlgTutti,6,FALSE))+ROW()/100000</f>
        <v>70.004059999999996</v>
      </c>
      <c r="E406" s="63">
        <f ca="1">IF(ISNA(VLOOKUP($B406,TabAlgTutti,5,FALSE)),0,VLOOKUP($B406,TabAlgTutti,5,FALSE))+ROW()/100000</f>
        <v>37.004060000000003</v>
      </c>
      <c r="F406" s="64">
        <f ca="1">($D406*$P$8+$E406*(1+$E406*100/60/100)*$S$8)/100+ROW()/100000</f>
        <v>64.918957137363321</v>
      </c>
      <c r="G406" s="63" t="str">
        <f ca="1">IF(ISNA(VLOOKUP($B406,TabAlgTutti,7,FALSE)),"",IF(VLOOKUP($B406,TabAlgTutti,7,FALSE)=-1,"SCONSIGLIATO",IF(VLOOKUP($B406,TabAlgTutti,7,FALSE)=0,"SORPRESA",IF(VLOOKUP($B406,TabAlgTutti,7,FALSE)=1,"CONSIGLIATO",""))))</f>
        <v>SCONSIGLIATO</v>
      </c>
      <c r="H406" s="65">
        <f ca="1">IF(ISNA(VLOOKUP($B406,TabAlgTutti,8,FALSE)),"",VLOOKUP($B406,TabAlgTutti,8,FALSE))</f>
        <v>70</v>
      </c>
      <c r="I406" s="63" t="str">
        <f ca="1">IF(ISNA(VLOOKUP($B406,TabAlgTutti,9,FALSE)),"",IF(VLOOKUP($B406,TabAlgTutti,9,FALSE)="","",VLOOKUP($B406,TabAlgTutti,9,FALSE)&amp;"R "))&amp;IF(ISNA(VLOOKUP($B406,TabAlgTutti,10,FALSE)),"",IF(VLOOKUP($B406,TabAlgTutti,10,FALSE)="","",VLOOKUP($B406,TabAlgTutti,10,FALSE)&amp;"P "))&amp;IF(ISNA(VLOOKUP($B406,TabAlgTutti,11,FALSE)),"",IF(VLOOKUP($B406,TabAlgTutti,11,FALSE)="","",VLOOKUP($B406,TabAlgTutti,11,FALSE)&amp;"A"))</f>
        <v xml:space="preserve">2P </v>
      </c>
      <c r="J406" s="63">
        <f ca="1">IF(ISNA(VLOOKUP($B406,TabAlgTutti,3,FALSE)),0,VLOOKUP($B406,TabAlgTutti,3,FALSE))+ROW()/100000</f>
        <v>1.00406</v>
      </c>
      <c r="K406" s="63">
        <f ca="1">IF(ISNA(VLOOKUP($B406,TabAlgTutti,4,FALSE)),0,VLOOKUP($B406,TabAlgTutti,4,FALSE))+ROW()/100000</f>
        <v>1.00406</v>
      </c>
      <c r="L406" s="63" t="e">
        <f ca="1">VLOOKUP(Tabella114[[#This Row],[Calciatore]],'Raccolta Aste'!$K$2:$O$33,4,FALSE)*Asta!$U$3/100</f>
        <v>#N/A</v>
      </c>
      <c r="N406" s="58"/>
      <c r="O406" s="58"/>
      <c r="P406" s="58"/>
      <c r="Q406" s="58"/>
      <c r="R406" s="58"/>
      <c r="S406" s="58"/>
      <c r="W406" s="56">
        <f t="shared" ca="1" si="141"/>
        <v>90</v>
      </c>
      <c r="X406" s="56">
        <f t="shared" ca="1" si="142"/>
        <v>107</v>
      </c>
      <c r="Y406" s="56">
        <f t="shared" ca="1" si="143"/>
        <v>96</v>
      </c>
      <c r="Z406" s="56">
        <f t="shared" ca="1" si="144"/>
        <v>153</v>
      </c>
      <c r="AA406" s="56">
        <f t="shared" ca="1" si="145"/>
        <v>153</v>
      </c>
      <c r="AB406" s="56">
        <f ca="1">_xlfn.CEILING.MATH(INDIRECT(ADDRESS(311,22+MATCH($P$28,'I.A. + Fasce'!$W$84:$AA$84,0),1,1) &amp; ":" &amp; ADDRESS(531,22+MATCH($P$28,'I.A. + Fasce'!$W$84:$AA$84,0),1,1))/Asta!$H$3)</f>
        <v>12</v>
      </c>
    </row>
    <row r="407" spans="1:28" ht="14.25" customHeight="1">
      <c r="A407" s="239" t="str">
        <f ca="1">IF(Giocatori!J134="","C",Giocatori!J134)</f>
        <v>C</v>
      </c>
      <c r="B407" s="239" t="str">
        <f ca="1">IF(Giocatori!K134="","ZZZ" &amp; ROW(),Giocatori!K134)</f>
        <v>NALINI</v>
      </c>
      <c r="C407" s="239" t="str">
        <f ca="1">IF(Giocatori!L134="","NDR" &amp; ROW(),Giocatori!L134)</f>
        <v>Crotone</v>
      </c>
      <c r="D407" s="63">
        <f ca="1">IF(ISNA(VLOOKUP($B407,TabAlgTutti,6,FALSE)),0,VLOOKUP($B407,TabAlgTutti,6,FALSE))+ROW()/100000</f>
        <v>67.004069999999999</v>
      </c>
      <c r="E407" s="63">
        <f ca="1">IF(ISNA(VLOOKUP($B407,TabAlgTutti,5,FALSE)),0,VLOOKUP($B407,TabAlgTutti,5,FALSE))+ROW()/100000</f>
        <v>38.004069999999999</v>
      </c>
      <c r="F407" s="64">
        <f ca="1">($D407*$P$8+$E407*(1+$E407*100/60/100)*$S$8)/100+ROW()/100000</f>
        <v>64.544051138040828</v>
      </c>
      <c r="G407" s="63" t="str">
        <f ca="1">IF(ISNA(VLOOKUP($B407,TabAlgTutti,7,FALSE)),"",IF(VLOOKUP($B407,TabAlgTutti,7,FALSE)=-1,"SCONSIGLIATO",IF(VLOOKUP($B407,TabAlgTutti,7,FALSE)=0,"SORPRESA",IF(VLOOKUP($B407,TabAlgTutti,7,FALSE)=1,"CONSIGLIATO",""))))</f>
        <v/>
      </c>
      <c r="H407" s="65">
        <f ca="1">IF(ISNA(VLOOKUP($B407,TabAlgTutti,8,FALSE)),"",VLOOKUP($B407,TabAlgTutti,8,FALSE))</f>
        <v>60</v>
      </c>
      <c r="I407" s="63" t="str">
        <f ca="1">IF(ISNA(VLOOKUP($B407,TabAlgTutti,9,FALSE)),"",IF(VLOOKUP($B407,TabAlgTutti,9,FALSE)="","",VLOOKUP($B407,TabAlgTutti,9,FALSE)&amp;"R "))&amp;IF(ISNA(VLOOKUP($B407,TabAlgTutti,10,FALSE)),"",IF(VLOOKUP($B407,TabAlgTutti,10,FALSE)="","",VLOOKUP($B407,TabAlgTutti,10,FALSE)&amp;"P "))&amp;IF(ISNA(VLOOKUP($B407,TabAlgTutti,11,FALSE)),"",IF(VLOOKUP($B407,TabAlgTutti,11,FALSE)="","",VLOOKUP($B407,TabAlgTutti,11,FALSE)&amp;"A"))</f>
        <v/>
      </c>
      <c r="J407" s="63">
        <f ca="1">IF(ISNA(VLOOKUP($B407,TabAlgTutti,3,FALSE)),0,VLOOKUP($B407,TabAlgTutti,3,FALSE))+ROW()/100000</f>
        <v>1.00407</v>
      </c>
      <c r="K407" s="63">
        <f ca="1">IF(ISNA(VLOOKUP($B407,TabAlgTutti,4,FALSE)),0,VLOOKUP($B407,TabAlgTutti,4,FALSE))+ROW()/100000</f>
        <v>1.00407</v>
      </c>
      <c r="L407" s="63" t="e">
        <f ca="1">VLOOKUP(Tabella114[[#This Row],[Calciatore]],'Raccolta Aste'!$K$2:$O$33,4,FALSE)*Asta!$U$3/100</f>
        <v>#N/A</v>
      </c>
      <c r="N407" s="58"/>
      <c r="O407" s="58"/>
      <c r="P407" s="58"/>
      <c r="Q407" s="58"/>
      <c r="R407" s="58"/>
      <c r="S407" s="58"/>
      <c r="W407" s="56">
        <f t="shared" ca="1" si="141"/>
        <v>115</v>
      </c>
      <c r="X407" s="56">
        <f t="shared" ca="1" si="142"/>
        <v>97</v>
      </c>
      <c r="Y407" s="56">
        <f t="shared" ca="1" si="143"/>
        <v>97</v>
      </c>
      <c r="Z407" s="56">
        <f t="shared" ca="1" si="144"/>
        <v>152</v>
      </c>
      <c r="AA407" s="56">
        <f t="shared" ca="1" si="145"/>
        <v>152</v>
      </c>
      <c r="AB407" s="56">
        <f ca="1">_xlfn.CEILING.MATH(INDIRECT(ADDRESS(311,22+MATCH($P$28,'I.A. + Fasce'!$W$84:$AA$84,0),1,1) &amp; ":" &amp; ADDRESS(531,22+MATCH($P$28,'I.A. + Fasce'!$W$84:$AA$84,0),1,1))/Asta!$H$3)</f>
        <v>13</v>
      </c>
    </row>
    <row r="408" spans="1:28" ht="14.25" customHeight="1">
      <c r="A408" s="239" t="str">
        <f ca="1">IF(Giocatori!J125="","C",Giocatori!J125)</f>
        <v>C</v>
      </c>
      <c r="B408" s="239" t="str">
        <f ca="1">IF(Giocatori!K125="","ZZZ" &amp; ROW(),Giocatori!K125)</f>
        <v>MEMUSHAJ</v>
      </c>
      <c r="C408" s="239" t="str">
        <f ca="1">IF(Giocatori!L125="","NDR" &amp; ROW(),Giocatori!L125)</f>
        <v>Benevento</v>
      </c>
      <c r="D408" s="63">
        <f ca="1">IF(ISNA(VLOOKUP($B408,TabAlgTutti,6,FALSE)),0,VLOOKUP($B408,TabAlgTutti,6,FALSE))+ROW()/100000</f>
        <v>66.004080000000002</v>
      </c>
      <c r="E408" s="63">
        <f ca="1">IF(ISNA(VLOOKUP($B408,TabAlgTutti,5,FALSE)),0,VLOOKUP($B408,TabAlgTutti,5,FALSE))+ROW()/100000</f>
        <v>38.004080000000002</v>
      </c>
      <c r="F408" s="64">
        <f ca="1">($D408*$P$8+$E408*(1+$E408*100/60/100)*$S$8)/100+ROW()/100000</f>
        <v>64.044077472053345</v>
      </c>
      <c r="G408" s="63" t="str">
        <f ca="1">IF(ISNA(VLOOKUP($B408,TabAlgTutti,7,FALSE)),"",IF(VLOOKUP($B408,TabAlgTutti,7,FALSE)=-1,"SCONSIGLIATO",IF(VLOOKUP($B408,TabAlgTutti,7,FALSE)=0,"SORPRESA",IF(VLOOKUP($B408,TabAlgTutti,7,FALSE)=1,"CONSIGLIATO",""))))</f>
        <v/>
      </c>
      <c r="H408" s="65">
        <f ca="1">IF(ISNA(VLOOKUP($B408,TabAlgTutti,8,FALSE)),"",VLOOKUP($B408,TabAlgTutti,8,FALSE))</f>
        <v>70</v>
      </c>
      <c r="I408" s="63" t="str">
        <f ca="1">IF(ISNA(VLOOKUP($B408,TabAlgTutti,9,FALSE)),"",IF(VLOOKUP($B408,TabAlgTutti,9,FALSE)="","",VLOOKUP($B408,TabAlgTutti,9,FALSE)&amp;"R "))&amp;IF(ISNA(VLOOKUP($B408,TabAlgTutti,10,FALSE)),"",IF(VLOOKUP($B408,TabAlgTutti,10,FALSE)="","",VLOOKUP($B408,TabAlgTutti,10,FALSE)&amp;"P "))&amp;IF(ISNA(VLOOKUP($B408,TabAlgTutti,11,FALSE)),"",IF(VLOOKUP($B408,TabAlgTutti,11,FALSE)="","",VLOOKUP($B408,TabAlgTutti,11,FALSE)&amp;"A"))</f>
        <v/>
      </c>
      <c r="J408" s="63">
        <f ca="1">IF(ISNA(VLOOKUP($B408,TabAlgTutti,3,FALSE)),0,VLOOKUP($B408,TabAlgTutti,3,FALSE))+ROW()/100000</f>
        <v>1.0040800000000001</v>
      </c>
      <c r="K408" s="63">
        <f ca="1">IF(ISNA(VLOOKUP($B408,TabAlgTutti,4,FALSE)),0,VLOOKUP($B408,TabAlgTutti,4,FALSE))+ROW()/100000</f>
        <v>1.0040800000000001</v>
      </c>
      <c r="L408" s="63" t="e">
        <f ca="1">VLOOKUP(Tabella114[[#This Row],[Calciatore]],'Raccolta Aste'!$K$2:$O$33,4,FALSE)*Asta!$U$3/100</f>
        <v>#N/A</v>
      </c>
      <c r="N408" s="58"/>
      <c r="O408" s="58"/>
      <c r="P408" s="58"/>
      <c r="Q408" s="58"/>
      <c r="R408" s="58"/>
      <c r="S408" s="58"/>
      <c r="W408" s="56">
        <f t="shared" ca="1" si="141"/>
        <v>122</v>
      </c>
      <c r="X408" s="56">
        <f t="shared" ca="1" si="142"/>
        <v>96</v>
      </c>
      <c r="Y408" s="56">
        <f t="shared" ca="1" si="143"/>
        <v>98</v>
      </c>
      <c r="Z408" s="56">
        <f t="shared" ca="1" si="144"/>
        <v>151</v>
      </c>
      <c r="AA408" s="56">
        <f t="shared" ca="1" si="145"/>
        <v>151</v>
      </c>
      <c r="AB408" s="56">
        <f ca="1">_xlfn.CEILING.MATH(INDIRECT(ADDRESS(311,22+MATCH($P$28,'I.A. + Fasce'!$W$84:$AA$84,0),1,1) &amp; ":" &amp; ADDRESS(531,22+MATCH($P$28,'I.A. + Fasce'!$W$84:$AA$84,0),1,1))/Asta!$H$3)</f>
        <v>13</v>
      </c>
    </row>
    <row r="409" spans="1:28" ht="14.25" customHeight="1">
      <c r="A409" s="239" t="str">
        <f ca="1">IF(Giocatori!J131="","C",Giocatori!J131)</f>
        <v>C</v>
      </c>
      <c r="B409" s="239" t="str">
        <f ca="1">IF(Giocatori!K131="","ZZZ" &amp; ROW(),Giocatori!K131)</f>
        <v>MURGIA</v>
      </c>
      <c r="C409" s="239" t="str">
        <f ca="1">IF(Giocatori!L131="","NDR" &amp; ROW(),Giocatori!L131)</f>
        <v>Lazio</v>
      </c>
      <c r="D409" s="63">
        <f ca="1">IF(ISNA(VLOOKUP($B409,TabAlgTutti,6,FALSE)),0,VLOOKUP($B409,TabAlgTutti,6,FALSE))+ROW()/100000</f>
        <v>59.004089999999998</v>
      </c>
      <c r="E409" s="63">
        <f ca="1">IF(ISNA(VLOOKUP($B409,TabAlgTutti,5,FALSE)),0,VLOOKUP($B409,TabAlgTutti,5,FALSE))+ROW()/100000</f>
        <v>41.004089999999998</v>
      </c>
      <c r="F409" s="64">
        <f ca="1">($D409*$P$8+$E409*(1+$E409*100/60/100)*$S$8)/100+ROW()/100000</f>
        <v>64.019308306067501</v>
      </c>
      <c r="G409" s="63" t="str">
        <f ca="1">IF(ISNA(VLOOKUP($B409,TabAlgTutti,7,FALSE)),"",IF(VLOOKUP($B409,TabAlgTutti,7,FALSE)=-1,"SCONSIGLIATO",IF(VLOOKUP($B409,TabAlgTutti,7,FALSE)=0,"SORPRESA",IF(VLOOKUP($B409,TabAlgTutti,7,FALSE)=1,"CONSIGLIATO",""))))</f>
        <v/>
      </c>
      <c r="H409" s="65">
        <f ca="1">IF(ISNA(VLOOKUP($B409,TabAlgTutti,8,FALSE)),"",VLOOKUP($B409,TabAlgTutti,8,FALSE))</f>
        <v>60</v>
      </c>
      <c r="I409" s="63" t="str">
        <f ca="1">IF(ISNA(VLOOKUP($B409,TabAlgTutti,9,FALSE)),"",IF(VLOOKUP($B409,TabAlgTutti,9,FALSE)="","",VLOOKUP($B409,TabAlgTutti,9,FALSE)&amp;"R "))&amp;IF(ISNA(VLOOKUP($B409,TabAlgTutti,10,FALSE)),"",IF(VLOOKUP($B409,TabAlgTutti,10,FALSE)="","",VLOOKUP($B409,TabAlgTutti,10,FALSE)&amp;"P "))&amp;IF(ISNA(VLOOKUP($B409,TabAlgTutti,11,FALSE)),"",IF(VLOOKUP($B409,TabAlgTutti,11,FALSE)="","",VLOOKUP($B409,TabAlgTutti,11,FALSE)&amp;"A"))</f>
        <v/>
      </c>
      <c r="J409" s="63">
        <f ca="1">IF(ISNA(VLOOKUP($B409,TabAlgTutti,3,FALSE)),0,VLOOKUP($B409,TabAlgTutti,3,FALSE))+ROW()/100000</f>
        <v>17.184108508831965</v>
      </c>
      <c r="K409" s="63">
        <f ca="1">IF(ISNA(VLOOKUP($B409,TabAlgTutti,4,FALSE)),0,VLOOKUP($B409,TabAlgTutti,4,FALSE))+ROW()/100000</f>
        <v>17.460217410200794</v>
      </c>
      <c r="L409" s="63" t="e">
        <f ca="1">VLOOKUP(Tabella114[[#This Row],[Calciatore]],'Raccolta Aste'!$K$2:$O$33,4,FALSE)*Asta!$U$3/100</f>
        <v>#N/A</v>
      </c>
      <c r="N409" s="58"/>
      <c r="O409" s="58"/>
      <c r="P409" s="58"/>
      <c r="Q409" s="58"/>
      <c r="R409" s="58"/>
      <c r="S409" s="58"/>
      <c r="W409" s="56">
        <f t="shared" ca="1" si="141"/>
        <v>148</v>
      </c>
      <c r="X409" s="56">
        <f t="shared" ca="1" si="142"/>
        <v>57</v>
      </c>
      <c r="Y409" s="56">
        <f t="shared" ca="1" si="143"/>
        <v>99</v>
      </c>
      <c r="Z409" s="56">
        <f t="shared" ca="1" si="144"/>
        <v>44</v>
      </c>
      <c r="AA409" s="56">
        <f t="shared" ca="1" si="145"/>
        <v>45</v>
      </c>
      <c r="AB409" s="56">
        <f ca="1">_xlfn.CEILING.MATH(INDIRECT(ADDRESS(311,22+MATCH($P$28,'I.A. + Fasce'!$W$84:$AA$84,0),1,1) &amp; ":" &amp; ADDRESS(531,22+MATCH($P$28,'I.A. + Fasce'!$W$84:$AA$84,0),1,1))/Asta!$H$3)</f>
        <v>13</v>
      </c>
    </row>
    <row r="410" spans="1:28" ht="14.25" customHeight="1">
      <c r="A410" s="239" t="str">
        <f ca="1">IF(Giocatori!J226="","C",Giocatori!J226)</f>
        <v>C</v>
      </c>
      <c r="B410" s="239" t="str">
        <f ca="1">IF(Giocatori!K175="","ZZZ" &amp; ROW(),Giocatori!K175)</f>
        <v>VIOLA</v>
      </c>
      <c r="C410" s="239" t="str">
        <f ca="1">IF(Giocatori!L175="","NDR" &amp; ROW(),Giocatori!L175)</f>
        <v>Benevento</v>
      </c>
      <c r="D410" s="63">
        <f ca="1">IF(ISNA(VLOOKUP($B410,TabAlgTutti,6,FALSE)),0,VLOOKUP($B410,TabAlgTutti,6,FALSE))+ROW()/100000</f>
        <v>63.004100000000001</v>
      </c>
      <c r="E410" s="63">
        <f ca="1">IF(ISNA(VLOOKUP($B410,TabAlgTutti,5,FALSE)),0,VLOOKUP($B410,TabAlgTutti,5,FALSE))+ROW()/100000</f>
        <v>39.004100000000001</v>
      </c>
      <c r="F410" s="64">
        <f ca="1">($D410*$P$8+$E410*(1+$E410*100/60/100)*$S$8)/100+ROW()/100000</f>
        <v>63.685865140083337</v>
      </c>
      <c r="G410" s="63" t="str">
        <f ca="1">IF(ISNA(VLOOKUP($B410,TabAlgTutti,7,FALSE)),"",IF(VLOOKUP($B410,TabAlgTutti,7,FALSE)=-1,"SCONSIGLIATO",IF(VLOOKUP($B410,TabAlgTutti,7,FALSE)=0,"SORPRESA",IF(VLOOKUP($B410,TabAlgTutti,7,FALSE)=1,"CONSIGLIATO",""))))</f>
        <v/>
      </c>
      <c r="H410" s="65">
        <f ca="1">IF(ISNA(VLOOKUP($B410,TabAlgTutti,8,FALSE)),"",VLOOKUP($B410,TabAlgTutti,8,FALSE))</f>
        <v>70</v>
      </c>
      <c r="I410" s="63" t="str">
        <f ca="1">IF(ISNA(VLOOKUP($B410,TabAlgTutti,9,FALSE)),"",IF(VLOOKUP($B410,TabAlgTutti,9,FALSE)="","",VLOOKUP($B410,TabAlgTutti,9,FALSE)&amp;"R "))&amp;IF(ISNA(VLOOKUP($B410,TabAlgTutti,10,FALSE)),"",IF(VLOOKUP($B410,TabAlgTutti,10,FALSE)="","",VLOOKUP($B410,TabAlgTutti,10,FALSE)&amp;"P "))&amp;IF(ISNA(VLOOKUP($B410,TabAlgTutti,11,FALSE)),"",IF(VLOOKUP($B410,TabAlgTutti,11,FALSE)="","",VLOOKUP($B410,TabAlgTutti,11,FALSE)&amp;"A"))</f>
        <v>3P 1A</v>
      </c>
      <c r="J410" s="63">
        <f ca="1">IF(ISNA(VLOOKUP($B410,TabAlgTutti,3,FALSE)),0,VLOOKUP($B410,TabAlgTutti,3,FALSE))+ROW()/100000</f>
        <v>1.0041</v>
      </c>
      <c r="K410" s="63">
        <f ca="1">IF(ISNA(VLOOKUP($B410,TabAlgTutti,4,FALSE)),0,VLOOKUP($B410,TabAlgTutti,4,FALSE))+ROW()/100000</f>
        <v>1.0041</v>
      </c>
      <c r="L410" s="63" t="e">
        <f ca="1">VLOOKUP(Tabella114[[#This Row],[Calciatore]],'Raccolta Aste'!$K$2:$O$33,4,FALSE)*Asta!$U$3/100</f>
        <v>#N/A</v>
      </c>
      <c r="N410" s="58"/>
      <c r="O410" s="58"/>
      <c r="P410" s="58"/>
      <c r="Q410" s="58"/>
      <c r="R410" s="58"/>
      <c r="S410" s="58"/>
      <c r="W410" s="56">
        <f t="shared" ca="1" si="141"/>
        <v>139</v>
      </c>
      <c r="X410" s="56">
        <f t="shared" ca="1" si="142"/>
        <v>83</v>
      </c>
      <c r="Y410" s="56">
        <f t="shared" ca="1" si="143"/>
        <v>101</v>
      </c>
      <c r="Z410" s="56">
        <f t="shared" ca="1" si="144"/>
        <v>150</v>
      </c>
      <c r="AA410" s="56">
        <f t="shared" ca="1" si="145"/>
        <v>150</v>
      </c>
      <c r="AB410" s="56">
        <f ca="1">_xlfn.CEILING.MATH(INDIRECT(ADDRESS(311,22+MATCH($P$28,'I.A. + Fasce'!$W$84:$AA$84,0),1,1) &amp; ":" &amp; ADDRESS(531,22+MATCH($P$28,'I.A. + Fasce'!$W$84:$AA$84,0),1,1))/Asta!$H$3)</f>
        <v>13</v>
      </c>
    </row>
    <row r="411" spans="1:28" ht="14.25" customHeight="1">
      <c r="A411" s="239" t="str">
        <f ca="1">IF(Giocatori!J60="","C",Giocatori!J60)</f>
        <v>C</v>
      </c>
      <c r="B411" s="239" t="str">
        <f ca="1">IF(Giocatori!K60="","ZZZ" &amp; ROW(),Giocatori!K60)</f>
        <v>DI GENNARO D</v>
      </c>
      <c r="C411" s="239" t="str">
        <f ca="1">IF(Giocatori!L60="","NDR" &amp; ROW(),Giocatori!L60)</f>
        <v>Lazio</v>
      </c>
      <c r="D411" s="63">
        <f ca="1">IF(ISNA(VLOOKUP($B411,TabAlgTutti,6,FALSE)),0,VLOOKUP($B411,TabAlgTutti,6,FALSE))+ROW()/100000</f>
        <v>63.004109999999997</v>
      </c>
      <c r="E411" s="63">
        <f ca="1">IF(ISNA(VLOOKUP($B411,TabAlgTutti,5,FALSE)),0,VLOOKUP($B411,TabAlgTutti,5,FALSE))+ROW()/100000</f>
        <v>39.004109999999997</v>
      </c>
      <c r="F411" s="64">
        <f ca="1">($D411*$P$8+$E411*(1+$E411*100/60/100)*$S$8)/100+ROW()/100000</f>
        <v>63.685891640767494</v>
      </c>
      <c r="G411" s="63" t="str">
        <f ca="1">IF(ISNA(VLOOKUP($B411,TabAlgTutti,7,FALSE)),"",IF(VLOOKUP($B411,TabAlgTutti,7,FALSE)=-1,"SCONSIGLIATO",IF(VLOOKUP($B411,TabAlgTutti,7,FALSE)=0,"SORPRESA",IF(VLOOKUP($B411,TabAlgTutti,7,FALSE)=1,"CONSIGLIATO",""))))</f>
        <v/>
      </c>
      <c r="H411" s="65">
        <f ca="1">IF(ISNA(VLOOKUP($B411,TabAlgTutti,8,FALSE)),"",VLOOKUP($B411,TabAlgTutti,8,FALSE))</f>
        <v>50</v>
      </c>
      <c r="I411" s="63" t="str">
        <f ca="1">IF(ISNA(VLOOKUP($B411,TabAlgTutti,9,FALSE)),"",IF(VLOOKUP($B411,TabAlgTutti,9,FALSE)="","",VLOOKUP($B411,TabAlgTutti,9,FALSE)&amp;"R "))&amp;IF(ISNA(VLOOKUP($B411,TabAlgTutti,10,FALSE)),"",IF(VLOOKUP($B411,TabAlgTutti,10,FALSE)="","",VLOOKUP($B411,TabAlgTutti,10,FALSE)&amp;"P "))&amp;IF(ISNA(VLOOKUP($B411,TabAlgTutti,11,FALSE)),"",IF(VLOOKUP($B411,TabAlgTutti,11,FALSE)="","",VLOOKUP($B411,TabAlgTutti,11,FALSE)&amp;"A"))</f>
        <v/>
      </c>
      <c r="J411" s="63">
        <f ca="1">IF(ISNA(VLOOKUP($B411,TabAlgTutti,3,FALSE)),0,VLOOKUP($B411,TabAlgTutti,3,FALSE))+ROW()/100000</f>
        <v>9.7769378642051983</v>
      </c>
      <c r="K411" s="63">
        <f ca="1">IF(ISNA(VLOOKUP($B411,TabAlgTutti,4,FALSE)),0,VLOOKUP($B411,TabAlgTutti,4,FALSE))+ROW()/100000</f>
        <v>10.301990712116218</v>
      </c>
      <c r="L411" s="63" t="e">
        <f ca="1">VLOOKUP(Tabella114[[#This Row],[Calciatore]],'Raccolta Aste'!$K$2:$O$33,4,FALSE)*Asta!$U$3/100</f>
        <v>#N/A</v>
      </c>
      <c r="N411" s="58"/>
      <c r="O411" s="58"/>
      <c r="P411" s="58"/>
      <c r="Q411" s="58"/>
      <c r="R411" s="58"/>
      <c r="S411" s="58"/>
      <c r="W411" s="56">
        <f t="shared" ca="1" si="141"/>
        <v>138</v>
      </c>
      <c r="X411" s="56">
        <f t="shared" ca="1" si="142"/>
        <v>82</v>
      </c>
      <c r="Y411" s="56">
        <f t="shared" ca="1" si="143"/>
        <v>100</v>
      </c>
      <c r="Z411" s="56">
        <f t="shared" ca="1" si="144"/>
        <v>62</v>
      </c>
      <c r="AA411" s="56">
        <f t="shared" ca="1" si="145"/>
        <v>62</v>
      </c>
      <c r="AB411" s="56">
        <f ca="1">_xlfn.CEILING.MATH(INDIRECT(ADDRESS(311,22+MATCH($P$28,'I.A. + Fasce'!$W$84:$AA$84,0),1,1) &amp; ":" &amp; ADDRESS(531,22+MATCH($P$28,'I.A. + Fasce'!$W$84:$AA$84,0),1,1))/Asta!$H$3)</f>
        <v>13</v>
      </c>
    </row>
    <row r="412" spans="1:28" ht="14.25" customHeight="1">
      <c r="A412" s="239" t="str">
        <f ca="1">IF(Giocatori!J199="","C",Giocatori!J199)</f>
        <v>C</v>
      </c>
      <c r="B412" s="239" t="str">
        <f ca="1">IF(Giocatori!K148="","ZZZ" &amp; ROW(),Giocatori!K148)</f>
        <v>RIGONI L</v>
      </c>
      <c r="C412" s="239" t="str">
        <f ca="1">IF(Giocatori!L148="","NDR" &amp; ROW(),Giocatori!L148)</f>
        <v>Genoa</v>
      </c>
      <c r="D412" s="63">
        <f ca="1">IF(ISNA(VLOOKUP($B412,TabAlgTutti,6,FALSE)),0,VLOOKUP($B412,TabAlgTutti,6,FALSE))+ROW()/100000</f>
        <v>65.00412</v>
      </c>
      <c r="E412" s="63">
        <f ca="1">IF(ISNA(VLOOKUP($B412,TabAlgTutti,5,FALSE)),0,VLOOKUP($B412,TabAlgTutti,5,FALSE))+ROW()/100000</f>
        <v>38.00412</v>
      </c>
      <c r="F412" s="64">
        <f ca="1">($D412*$P$8+$E412*(1+$E412*100/60/100)*$S$8)/100+ROW()/100000</f>
        <v>63.544182808119999</v>
      </c>
      <c r="G412" s="63" t="str">
        <f ca="1">IF(ISNA(VLOOKUP($B412,TabAlgTutti,7,FALSE)),"",IF(VLOOKUP($B412,TabAlgTutti,7,FALSE)=-1,"SCONSIGLIATO",IF(VLOOKUP($B412,TabAlgTutti,7,FALSE)=0,"SORPRESA",IF(VLOOKUP($B412,TabAlgTutti,7,FALSE)=1,"CONSIGLIATO",""))))</f>
        <v/>
      </c>
      <c r="H412" s="65">
        <f ca="1">IF(ISNA(VLOOKUP($B412,TabAlgTutti,8,FALSE)),"",VLOOKUP($B412,TabAlgTutti,8,FALSE))</f>
        <v>60</v>
      </c>
      <c r="I412" s="63" t="str">
        <f ca="1">IF(ISNA(VLOOKUP($B412,TabAlgTutti,9,FALSE)),"",IF(VLOOKUP($B412,TabAlgTutti,9,FALSE)="","",VLOOKUP($B412,TabAlgTutti,9,FALSE)&amp;"R "))&amp;IF(ISNA(VLOOKUP($B412,TabAlgTutti,10,FALSE)),"",IF(VLOOKUP($B412,TabAlgTutti,10,FALSE)="","",VLOOKUP($B412,TabAlgTutti,10,FALSE)&amp;"P "))&amp;IF(ISNA(VLOOKUP($B412,TabAlgTutti,11,FALSE)),"",IF(VLOOKUP($B412,TabAlgTutti,11,FALSE)="","",VLOOKUP($B412,TabAlgTutti,11,FALSE)&amp;"A"))</f>
        <v/>
      </c>
      <c r="J412" s="63">
        <f ca="1">IF(ISNA(VLOOKUP($B412,TabAlgTutti,3,FALSE)),0,VLOOKUP($B412,TabAlgTutti,3,FALSE))+ROW()/100000</f>
        <v>1.0041199999999999</v>
      </c>
      <c r="K412" s="63">
        <f ca="1">IF(ISNA(VLOOKUP($B412,TabAlgTutti,4,FALSE)),0,VLOOKUP($B412,TabAlgTutti,4,FALSE))+ROW()/100000</f>
        <v>1.0041199999999999</v>
      </c>
      <c r="L412" s="63" t="e">
        <f ca="1">VLOOKUP(Tabella114[[#This Row],[Calciatore]],'Raccolta Aste'!$K$2:$O$33,4,FALSE)*Asta!$U$3/100</f>
        <v>#N/A</v>
      </c>
      <c r="N412" s="58"/>
      <c r="O412" s="58"/>
      <c r="P412" s="58"/>
      <c r="Q412" s="58"/>
      <c r="R412" s="58"/>
      <c r="S412" s="58"/>
      <c r="W412" s="56">
        <f t="shared" ca="1" si="141"/>
        <v>125</v>
      </c>
      <c r="X412" s="56">
        <f t="shared" ca="1" si="142"/>
        <v>95</v>
      </c>
      <c r="Y412" s="56">
        <f t="shared" ca="1" si="143"/>
        <v>102</v>
      </c>
      <c r="Z412" s="56">
        <f t="shared" ca="1" si="144"/>
        <v>149</v>
      </c>
      <c r="AA412" s="56">
        <f t="shared" ca="1" si="145"/>
        <v>149</v>
      </c>
      <c r="AB412" s="56">
        <f ca="1">_xlfn.CEILING.MATH(INDIRECT(ADDRESS(311,22+MATCH($P$28,'I.A. + Fasce'!$W$84:$AA$84,0),1,1) &amp; ":" &amp; ADDRESS(531,22+MATCH($P$28,'I.A. + Fasce'!$W$84:$AA$84,0),1,1))/Asta!$H$3)</f>
        <v>13</v>
      </c>
    </row>
    <row r="413" spans="1:28" ht="14.25" customHeight="1">
      <c r="A413" s="239" t="str">
        <f ca="1">IF(Giocatori!J207="","C",Giocatori!J207)</f>
        <v>C</v>
      </c>
      <c r="B413" s="239" t="str">
        <f ca="1">IF(Giocatori!K156="","ZZZ" &amp; ROW(),Giocatori!K156)</f>
        <v>SANCHEZ</v>
      </c>
      <c r="C413" s="239" t="str">
        <f ca="1">IF(Giocatori!L156="","NDR" &amp; ROW(),Giocatori!L156)</f>
        <v>Fiorentina</v>
      </c>
      <c r="D413" s="63">
        <f ca="1">IF(ISNA(VLOOKUP($B413,TabAlgTutti,6,FALSE)),0,VLOOKUP($B413,TabAlgTutti,6,FALSE))+ROW()/100000</f>
        <v>67.004130000000004</v>
      </c>
      <c r="E413" s="63">
        <f ca="1">IF(ISNA(VLOOKUP($B413,TabAlgTutti,5,FALSE)),0,VLOOKUP($B413,TabAlgTutti,5,FALSE))+ROW()/100000</f>
        <v>37.004130000000004</v>
      </c>
      <c r="F413" s="64">
        <f ca="1">($D413*$P$8+$E413*(1+$E413*100/60/100)*$S$8)/100+ROW()/100000</f>
        <v>63.419140308807506</v>
      </c>
      <c r="G413" s="63" t="str">
        <f ca="1">IF(ISNA(VLOOKUP($B413,TabAlgTutti,7,FALSE)),"",IF(VLOOKUP($B413,TabAlgTutti,7,FALSE)=-1,"SCONSIGLIATO",IF(VLOOKUP($B413,TabAlgTutti,7,FALSE)=0,"SORPRESA",IF(VLOOKUP($B413,TabAlgTutti,7,FALSE)=1,"CONSIGLIATO",""))))</f>
        <v/>
      </c>
      <c r="H413" s="65">
        <f ca="1">IF(ISNA(VLOOKUP($B413,TabAlgTutti,8,FALSE)),"",VLOOKUP($B413,TabAlgTutti,8,FALSE))</f>
        <v>50</v>
      </c>
      <c r="I413" s="63" t="str">
        <f ca="1">IF(ISNA(VLOOKUP($B413,TabAlgTutti,9,FALSE)),"",IF(VLOOKUP($B413,TabAlgTutti,9,FALSE)="","",VLOOKUP($B413,TabAlgTutti,9,FALSE)&amp;"R "))&amp;IF(ISNA(VLOOKUP($B413,TabAlgTutti,10,FALSE)),"",IF(VLOOKUP($B413,TabAlgTutti,10,FALSE)="","",VLOOKUP($B413,TabAlgTutti,10,FALSE)&amp;"P "))&amp;IF(ISNA(VLOOKUP($B413,TabAlgTutti,11,FALSE)),"",IF(VLOOKUP($B413,TabAlgTutti,11,FALSE)="","",VLOOKUP($B413,TabAlgTutti,11,FALSE)&amp;"A"))</f>
        <v/>
      </c>
      <c r="J413" s="63">
        <f ca="1">IF(ISNA(VLOOKUP($B413,TabAlgTutti,3,FALSE)),0,VLOOKUP($B413,TabAlgTutti,3,FALSE))+ROW()/100000</f>
        <v>1.00413</v>
      </c>
      <c r="K413" s="63">
        <f ca="1">IF(ISNA(VLOOKUP($B413,TabAlgTutti,4,FALSE)),0,VLOOKUP($B413,TabAlgTutti,4,FALSE))+ROW()/100000</f>
        <v>1.00413</v>
      </c>
      <c r="L413" s="63" t="e">
        <f ca="1">VLOOKUP(Tabella114[[#This Row],[Calciatore]],'Raccolta Aste'!$K$2:$O$33,4,FALSE)*Asta!$U$3/100</f>
        <v>#N/A</v>
      </c>
      <c r="N413" s="58"/>
      <c r="O413" s="58"/>
      <c r="P413" s="58"/>
      <c r="Q413" s="58"/>
      <c r="R413" s="58"/>
      <c r="S413" s="58"/>
      <c r="W413" s="56">
        <f t="shared" ca="1" si="141"/>
        <v>114</v>
      </c>
      <c r="X413" s="56">
        <f t="shared" ca="1" si="142"/>
        <v>106</v>
      </c>
      <c r="Y413" s="56">
        <f t="shared" ca="1" si="143"/>
        <v>103</v>
      </c>
      <c r="Z413" s="56">
        <f t="shared" ca="1" si="144"/>
        <v>148</v>
      </c>
      <c r="AA413" s="56">
        <f t="shared" ca="1" si="145"/>
        <v>148</v>
      </c>
      <c r="AB413" s="56">
        <f ca="1">_xlfn.CEILING.MATH(INDIRECT(ADDRESS(311,22+MATCH($P$28,'I.A. + Fasce'!$W$84:$AA$84,0),1,1) &amp; ":" &amp; ADDRESS(531,22+MATCH($P$28,'I.A. + Fasce'!$W$84:$AA$84,0),1,1))/Asta!$H$3)</f>
        <v>13</v>
      </c>
    </row>
    <row r="414" spans="1:28" ht="14.25" customHeight="1">
      <c r="A414" s="239" t="str">
        <f ca="1">IF(Giocatori!J139="","C",Giocatori!J139)</f>
        <v>C</v>
      </c>
      <c r="B414" s="239" t="str">
        <f ca="1">IF(Giocatori!K139="","ZZZ" &amp; ROW(),Giocatori!K139)</f>
        <v>PELLEGRINI</v>
      </c>
      <c r="C414" s="239" t="str">
        <f ca="1">IF(Giocatori!L139="","NDR" &amp; ROW(),Giocatori!L139)</f>
        <v>Roma</v>
      </c>
      <c r="D414" s="63">
        <f ca="1">IF(ISNA(VLOOKUP($B414,TabAlgTutti,6,FALSE)),0,VLOOKUP($B414,TabAlgTutti,6,FALSE))+ROW()/100000</f>
        <v>60.00414</v>
      </c>
      <c r="E414" s="63">
        <f ca="1">IF(ISNA(VLOOKUP($B414,TabAlgTutti,5,FALSE)),0,VLOOKUP($B414,TabAlgTutti,5,FALSE))+ROW()/100000</f>
        <v>40.00414</v>
      </c>
      <c r="F414" s="64">
        <f ca="1">($D414*$P$8+$E414*(1+$E414*100/60/100)*$S$8)/100+ROW()/100000</f>
        <v>63.344373476163327</v>
      </c>
      <c r="G414" s="63" t="str">
        <f ca="1">IF(ISNA(VLOOKUP($B414,TabAlgTutti,7,FALSE)),"",IF(VLOOKUP($B414,TabAlgTutti,7,FALSE)=-1,"SCONSIGLIATO",IF(VLOOKUP($B414,TabAlgTutti,7,FALSE)=0,"SORPRESA",IF(VLOOKUP($B414,TabAlgTutti,7,FALSE)=1,"CONSIGLIATO",""))))</f>
        <v/>
      </c>
      <c r="H414" s="65">
        <f ca="1">IF(ISNA(VLOOKUP($B414,TabAlgTutti,8,FALSE)),"",VLOOKUP($B414,TabAlgTutti,8,FALSE))</f>
        <v>60</v>
      </c>
      <c r="I414" s="63" t="str">
        <f ca="1">IF(ISNA(VLOOKUP($B414,TabAlgTutti,9,FALSE)),"",IF(VLOOKUP($B414,TabAlgTutti,9,FALSE)="","",VLOOKUP($B414,TabAlgTutti,9,FALSE)&amp;"R "))&amp;IF(ISNA(VLOOKUP($B414,TabAlgTutti,10,FALSE)),"",IF(VLOOKUP($B414,TabAlgTutti,10,FALSE)="","",VLOOKUP($B414,TabAlgTutti,10,FALSE)&amp;"P "))&amp;IF(ISNA(VLOOKUP($B414,TabAlgTutti,11,FALSE)),"",IF(VLOOKUP($B414,TabAlgTutti,11,FALSE)="","",VLOOKUP($B414,TabAlgTutti,11,FALSE)&amp;"A"))</f>
        <v/>
      </c>
      <c r="J414" s="63">
        <f ca="1">IF(ISNA(VLOOKUP($B414,TabAlgTutti,3,FALSE)),0,VLOOKUP($B414,TabAlgTutti,3,FALSE))+ROW()/100000</f>
        <v>22.694834008040011</v>
      </c>
      <c r="K414" s="63">
        <f ca="1">IF(ISNA(VLOOKUP($B414,TabAlgTutti,4,FALSE)),0,VLOOKUP($B414,TabAlgTutti,4,FALSE))+ROW()/100000</f>
        <v>22.886218407348935</v>
      </c>
      <c r="L414" s="63" t="e">
        <f ca="1">VLOOKUP(Tabella114[[#This Row],[Calciatore]],'Raccolta Aste'!$K$2:$O$33,4,FALSE)*Asta!$U$3/100</f>
        <v>#N/A</v>
      </c>
      <c r="N414" s="58"/>
      <c r="O414" s="58"/>
      <c r="P414" s="58"/>
      <c r="Q414" s="58"/>
      <c r="R414" s="58"/>
      <c r="S414" s="58"/>
      <c r="W414" s="56">
        <f t="shared" ca="1" si="141"/>
        <v>144</v>
      </c>
      <c r="X414" s="56">
        <f t="shared" ca="1" si="142"/>
        <v>74</v>
      </c>
      <c r="Y414" s="56">
        <f t="shared" ca="1" si="143"/>
        <v>104</v>
      </c>
      <c r="Z414" s="56">
        <f t="shared" ca="1" si="144"/>
        <v>34</v>
      </c>
      <c r="AA414" s="56">
        <f t="shared" ca="1" si="145"/>
        <v>34</v>
      </c>
      <c r="AB414" s="56">
        <f ca="1">_xlfn.CEILING.MATH(INDIRECT(ADDRESS(311,22+MATCH($P$28,'I.A. + Fasce'!$W$84:$AA$84,0),1,1) &amp; ":" &amp; ADDRESS(531,22+MATCH($P$28,'I.A. + Fasce'!$W$84:$AA$84,0),1,1))/Asta!$H$3)</f>
        <v>13</v>
      </c>
    </row>
    <row r="415" spans="1:28" ht="14.25" customHeight="1">
      <c r="A415" s="239" t="str">
        <f ca="1">IF(Giocatori!J146="","C",Giocatori!J146)</f>
        <v>C</v>
      </c>
      <c r="B415" s="239" t="str">
        <f ca="1">IF(Giocatori!K146="","ZZZ" &amp; ROW(),Giocatori!K146)</f>
        <v>RADOVANOVIC</v>
      </c>
      <c r="C415" s="239" t="str">
        <f ca="1">IF(Giocatori!L146="","NDR" &amp; ROW(),Giocatori!L146)</f>
        <v>Chievo</v>
      </c>
      <c r="D415" s="63">
        <f ca="1">IF(ISNA(VLOOKUP($B415,TabAlgTutti,6,FALSE)),0,VLOOKUP($B415,TabAlgTutti,6,FALSE))+ROW()/100000</f>
        <v>69.004149999999996</v>
      </c>
      <c r="E415" s="63">
        <f ca="1">IF(ISNA(VLOOKUP($B415,TabAlgTutti,5,FALSE)),0,VLOOKUP($B415,TabAlgTutti,5,FALSE))+ROW()/100000</f>
        <v>36.004150000000003</v>
      </c>
      <c r="F415" s="64">
        <f ca="1">($D415*$P$8+$E415*(1+$E415*100/60/100)*$S$8)/100+ROW()/100000</f>
        <v>63.31079014352084</v>
      </c>
      <c r="G415" s="63" t="str">
        <f ca="1">IF(ISNA(VLOOKUP($B415,TabAlgTutti,7,FALSE)),"",IF(VLOOKUP($B415,TabAlgTutti,7,FALSE)=-1,"SCONSIGLIATO",IF(VLOOKUP($B415,TabAlgTutti,7,FALSE)=0,"SORPRESA",IF(VLOOKUP($B415,TabAlgTutti,7,FALSE)=1,"CONSIGLIATO",""))))</f>
        <v/>
      </c>
      <c r="H415" s="65">
        <f ca="1">IF(ISNA(VLOOKUP($B415,TabAlgTutti,8,FALSE)),"",VLOOKUP($B415,TabAlgTutti,8,FALSE))</f>
        <v>80</v>
      </c>
      <c r="I415" s="63" t="str">
        <f ca="1">IF(ISNA(VLOOKUP($B415,TabAlgTutti,9,FALSE)),"",IF(VLOOKUP($B415,TabAlgTutti,9,FALSE)="","",VLOOKUP($B415,TabAlgTutti,9,FALSE)&amp;"R "))&amp;IF(ISNA(VLOOKUP($B415,TabAlgTutti,10,FALSE)),"",IF(VLOOKUP($B415,TabAlgTutti,10,FALSE)="","",VLOOKUP($B415,TabAlgTutti,10,FALSE)&amp;"P "))&amp;IF(ISNA(VLOOKUP($B415,TabAlgTutti,11,FALSE)),"",IF(VLOOKUP($B415,TabAlgTutti,11,FALSE)="","",VLOOKUP($B415,TabAlgTutti,11,FALSE)&amp;"A"))</f>
        <v xml:space="preserve">3P </v>
      </c>
      <c r="J415" s="63">
        <f ca="1">IF(ISNA(VLOOKUP($B415,TabAlgTutti,3,FALSE)),0,VLOOKUP($B415,TabAlgTutti,3,FALSE))+ROW()/100000</f>
        <v>1.0041500000000001</v>
      </c>
      <c r="K415" s="63">
        <f ca="1">IF(ISNA(VLOOKUP($B415,TabAlgTutti,4,FALSE)),0,VLOOKUP($B415,TabAlgTutti,4,FALSE))+ROW()/100000</f>
        <v>1.0041500000000001</v>
      </c>
      <c r="L415" s="63" t="e">
        <f ca="1">VLOOKUP(Tabella114[[#This Row],[Calciatore]],'Raccolta Aste'!$K$2:$O$33,4,FALSE)*Asta!$U$3/100</f>
        <v>#N/A</v>
      </c>
      <c r="N415" s="58"/>
      <c r="O415" s="58"/>
      <c r="P415" s="58"/>
      <c r="Q415" s="58"/>
      <c r="R415" s="58"/>
      <c r="S415" s="58"/>
      <c r="W415" s="56">
        <f t="shared" ca="1" si="141"/>
        <v>95</v>
      </c>
      <c r="X415" s="56">
        <f t="shared" ca="1" si="142"/>
        <v>116</v>
      </c>
      <c r="Y415" s="56">
        <f t="shared" ca="1" si="143"/>
        <v>105</v>
      </c>
      <c r="Z415" s="56">
        <f t="shared" ca="1" si="144"/>
        <v>147</v>
      </c>
      <c r="AA415" s="56">
        <f t="shared" ca="1" si="145"/>
        <v>147</v>
      </c>
      <c r="AB415" s="56">
        <f ca="1">_xlfn.CEILING.MATH(INDIRECT(ADDRESS(311,22+MATCH($P$28,'I.A. + Fasce'!$W$84:$AA$84,0),1,1) &amp; ":" &amp; ADDRESS(531,22+MATCH($P$28,'I.A. + Fasce'!$W$84:$AA$84,0),1,1))/Asta!$H$3)</f>
        <v>14</v>
      </c>
    </row>
    <row r="416" spans="1:28" ht="14.25" customHeight="1">
      <c r="A416" s="239" t="str">
        <f ca="1">IF(Giocatori!J104="","C",Giocatori!J104)</f>
        <v>C</v>
      </c>
      <c r="B416" s="239" t="str">
        <f ca="1">IF(Giocatori!K104="","ZZZ" &amp; ROW(),Giocatori!K104)</f>
        <v>KRAGL</v>
      </c>
      <c r="C416" s="239" t="str">
        <f ca="1">IF(Giocatori!L104="","NDR" &amp; ROW(),Giocatori!L104)</f>
        <v>Crotone</v>
      </c>
      <c r="D416" s="63">
        <f ca="1">IF(ISNA(VLOOKUP($B416,TabAlgTutti,6,FALSE)),0,VLOOKUP($B416,TabAlgTutti,6,FALSE))+ROW()/100000</f>
        <v>73.004159999999999</v>
      </c>
      <c r="E416" s="63">
        <f ca="1">IF(ISNA(VLOOKUP($B416,TabAlgTutti,5,FALSE)),0,VLOOKUP($B416,TabAlgTutti,5,FALSE))+ROW()/100000</f>
        <v>34.004159999999999</v>
      </c>
      <c r="F416" s="64">
        <f ca="1">($D416*$P$8+$E416*(1+$E416*100/60/100)*$S$8)/100+ROW()/100000</f>
        <v>63.144010810879998</v>
      </c>
      <c r="G416" s="63" t="str">
        <f ca="1">IF(ISNA(VLOOKUP($B416,TabAlgTutti,7,FALSE)),"",IF(VLOOKUP($B416,TabAlgTutti,7,FALSE)=-1,"SCONSIGLIATO",IF(VLOOKUP($B416,TabAlgTutti,7,FALSE)=0,"SORPRESA",IF(VLOOKUP($B416,TabAlgTutti,7,FALSE)=1,"CONSIGLIATO",""))))</f>
        <v>SCONSIGLIATO</v>
      </c>
      <c r="H416" s="65">
        <f ca="1">IF(ISNA(VLOOKUP($B416,TabAlgTutti,8,FALSE)),"",VLOOKUP($B416,TabAlgTutti,8,FALSE))</f>
        <v>50</v>
      </c>
      <c r="I416" s="63" t="str">
        <f ca="1">IF(ISNA(VLOOKUP($B416,TabAlgTutti,9,FALSE)),"",IF(VLOOKUP($B416,TabAlgTutti,9,FALSE)="","",VLOOKUP($B416,TabAlgTutti,9,FALSE)&amp;"R "))&amp;IF(ISNA(VLOOKUP($B416,TabAlgTutti,10,FALSE)),"",IF(VLOOKUP($B416,TabAlgTutti,10,FALSE)="","",VLOOKUP($B416,TabAlgTutti,10,FALSE)&amp;"P "))&amp;IF(ISNA(VLOOKUP($B416,TabAlgTutti,11,FALSE)),"",IF(VLOOKUP($B416,TabAlgTutti,11,FALSE)="","",VLOOKUP($B416,TabAlgTutti,11,FALSE)&amp;"A"))</f>
        <v xml:space="preserve">2P </v>
      </c>
      <c r="J416" s="63">
        <f ca="1">IF(ISNA(VLOOKUP($B416,TabAlgTutti,3,FALSE)),0,VLOOKUP($B416,TabAlgTutti,3,FALSE))+ROW()/100000</f>
        <v>1.0041599999999999</v>
      </c>
      <c r="K416" s="63">
        <f ca="1">IF(ISNA(VLOOKUP($B416,TabAlgTutti,4,FALSE)),0,VLOOKUP($B416,TabAlgTutti,4,FALSE))+ROW()/100000</f>
        <v>1.0041599999999999</v>
      </c>
      <c r="L416" s="63" t="e">
        <f ca="1">VLOOKUP(Tabella114[[#This Row],[Calciatore]],'Raccolta Aste'!$K$2:$O$33,4,FALSE)*Asta!$U$3/100</f>
        <v>#N/A</v>
      </c>
      <c r="N416" s="58"/>
      <c r="O416" s="58"/>
      <c r="P416" s="58"/>
      <c r="Q416" s="58"/>
      <c r="R416" s="58"/>
      <c r="S416" s="58"/>
      <c r="W416" s="56">
        <f t="shared" ca="1" si="141"/>
        <v>68</v>
      </c>
      <c r="X416" s="56">
        <f t="shared" ca="1" si="142"/>
        <v>148</v>
      </c>
      <c r="Y416" s="56">
        <f t="shared" ca="1" si="143"/>
        <v>107</v>
      </c>
      <c r="Z416" s="56">
        <f t="shared" ca="1" si="144"/>
        <v>146</v>
      </c>
      <c r="AA416" s="56">
        <f t="shared" ca="1" si="145"/>
        <v>146</v>
      </c>
      <c r="AB416" s="56">
        <f ca="1">_xlfn.CEILING.MATH(INDIRECT(ADDRESS(311,22+MATCH($P$28,'I.A. + Fasce'!$W$84:$AA$84,0),1,1) &amp; ":" &amp; ADDRESS(531,22+MATCH($P$28,'I.A. + Fasce'!$W$84:$AA$84,0),1,1))/Asta!$H$3)</f>
        <v>14</v>
      </c>
    </row>
    <row r="417" spans="1:28" ht="14.25" customHeight="1">
      <c r="A417" s="239" t="str">
        <f ca="1">IF(Giocatori!J11="","C",Giocatori!J11)</f>
        <v>C</v>
      </c>
      <c r="B417" s="239" t="str">
        <f ca="1">IF(Giocatori!K11="","ZZZ" &amp; ROW(),Giocatori!K11)</f>
        <v>ALVAREZ R</v>
      </c>
      <c r="C417" s="239" t="str">
        <f ca="1">IF(Giocatori!L11="","NDR" &amp; ROW(),Giocatori!L11)</f>
        <v>Sampdoria</v>
      </c>
      <c r="D417" s="63">
        <f ca="1">IF(ISNA(VLOOKUP($B417,TabAlgTutti,6,FALSE)),0,VLOOKUP($B417,TabAlgTutti,6,FALSE))+ROW()/100000</f>
        <v>73.004170000000002</v>
      </c>
      <c r="E417" s="63">
        <f ca="1">IF(ISNA(VLOOKUP($B417,TabAlgTutti,5,FALSE)),0,VLOOKUP($B417,TabAlgTutti,5,FALSE))+ROW()/100000</f>
        <v>34.004170000000002</v>
      </c>
      <c r="F417" s="64">
        <f ca="1">($D417*$P$8+$E417*(1+$E417*100/60/100)*$S$8)/100+ROW()/100000</f>
        <v>63.144036478240842</v>
      </c>
      <c r="G417" s="63" t="str">
        <f ca="1">IF(ISNA(VLOOKUP($B417,TabAlgTutti,7,FALSE)),"",IF(VLOOKUP($B417,TabAlgTutti,7,FALSE)=-1,"SCONSIGLIATO",IF(VLOOKUP($B417,TabAlgTutti,7,FALSE)=0,"SORPRESA",IF(VLOOKUP($B417,TabAlgTutti,7,FALSE)=1,"CONSIGLIATO",""))))</f>
        <v/>
      </c>
      <c r="H417" s="65">
        <f ca="1">IF(ISNA(VLOOKUP($B417,TabAlgTutti,8,FALSE)),"",VLOOKUP($B417,TabAlgTutti,8,FALSE))</f>
        <v>50</v>
      </c>
      <c r="I417" s="63" t="str">
        <f ca="1">IF(ISNA(VLOOKUP($B417,TabAlgTutti,9,FALSE)),"",IF(VLOOKUP($B417,TabAlgTutti,9,FALSE)="","",VLOOKUP($B417,TabAlgTutti,9,FALSE)&amp;"R "))&amp;IF(ISNA(VLOOKUP($B417,TabAlgTutti,10,FALSE)),"",IF(VLOOKUP($B417,TabAlgTutti,10,FALSE)="","",VLOOKUP($B417,TabAlgTutti,10,FALSE)&amp;"P "))&amp;IF(ISNA(VLOOKUP($B417,TabAlgTutti,11,FALSE)),"",IF(VLOOKUP($B417,TabAlgTutti,11,FALSE)="","",VLOOKUP($B417,TabAlgTutti,11,FALSE)&amp;"A"))</f>
        <v/>
      </c>
      <c r="J417" s="63">
        <f ca="1">IF(ISNA(VLOOKUP($B417,TabAlgTutti,3,FALSE)),0,VLOOKUP($B417,TabAlgTutti,3,FALSE))+ROW()/100000</f>
        <v>1.00417</v>
      </c>
      <c r="K417" s="63">
        <f ca="1">IF(ISNA(VLOOKUP($B417,TabAlgTutti,4,FALSE)),0,VLOOKUP($B417,TabAlgTutti,4,FALSE))+ROW()/100000</f>
        <v>1.00417</v>
      </c>
      <c r="L417" s="63" t="e">
        <f ca="1">VLOOKUP(Tabella114[[#This Row],[Calciatore]],'Raccolta Aste'!$K$2:$O$33,4,FALSE)*Asta!$U$3/100</f>
        <v>#N/A</v>
      </c>
      <c r="N417" s="58"/>
      <c r="O417" s="58"/>
      <c r="P417" s="58"/>
      <c r="Q417" s="58"/>
      <c r="R417" s="58"/>
      <c r="S417" s="58"/>
      <c r="W417" s="56">
        <f t="shared" ca="1" si="141"/>
        <v>67</v>
      </c>
      <c r="X417" s="56">
        <f t="shared" ca="1" si="142"/>
        <v>147</v>
      </c>
      <c r="Y417" s="56">
        <f t="shared" ca="1" si="143"/>
        <v>106</v>
      </c>
      <c r="Z417" s="56">
        <f t="shared" ca="1" si="144"/>
        <v>145</v>
      </c>
      <c r="AA417" s="56">
        <f t="shared" ca="1" si="145"/>
        <v>145</v>
      </c>
      <c r="AB417" s="56">
        <f ca="1">_xlfn.CEILING.MATH(INDIRECT(ADDRESS(311,22+MATCH($P$28,'I.A. + Fasce'!$W$84:$AA$84,0),1,1) &amp; ":" &amp; ADDRESS(531,22+MATCH($P$28,'I.A. + Fasce'!$W$84:$AA$84,0),1,1))/Asta!$H$3)</f>
        <v>14</v>
      </c>
    </row>
    <row r="418" spans="1:28" ht="14.25" customHeight="1">
      <c r="A418" s="239" t="str">
        <f ca="1">IF(Giocatori!J19="","C",Giocatori!J19)</f>
        <v>C</v>
      </c>
      <c r="B418" s="239" t="str">
        <f ca="1">IF(Giocatori!K19="","ZZZ" &amp; ROW(),Giocatori!K19)</f>
        <v>BASTIEN</v>
      </c>
      <c r="C418" s="239" t="str">
        <f ca="1">IF(Giocatori!L19="","NDR" &amp; ROW(),Giocatori!L19)</f>
        <v>Chievo</v>
      </c>
      <c r="D418" s="63">
        <f ca="1">IF(ISNA(VLOOKUP($B418,TabAlgTutti,6,FALSE)),0,VLOOKUP($B418,TabAlgTutti,6,FALSE))+ROW()/100000</f>
        <v>66.004180000000005</v>
      </c>
      <c r="E418" s="63">
        <f ca="1">IF(ISNA(VLOOKUP($B418,TabAlgTutti,5,FALSE)),0,VLOOKUP($B418,TabAlgTutti,5,FALSE))+ROW()/100000</f>
        <v>37.004179999999998</v>
      </c>
      <c r="F418" s="64">
        <f ca="1">($D418*$P$8+$E418*(1+$E418*100/60/100)*$S$8)/100+ROW()/100000</f>
        <v>62.919271145603325</v>
      </c>
      <c r="G418" s="63" t="str">
        <f ca="1">IF(ISNA(VLOOKUP($B418,TabAlgTutti,7,FALSE)),"",IF(VLOOKUP($B418,TabAlgTutti,7,FALSE)=-1,"SCONSIGLIATO",IF(VLOOKUP($B418,TabAlgTutti,7,FALSE)=0,"SORPRESA",IF(VLOOKUP($B418,TabAlgTutti,7,FALSE)=1,"CONSIGLIATO",""))))</f>
        <v>SORPRESA</v>
      </c>
      <c r="H418" s="65">
        <f ca="1">IF(ISNA(VLOOKUP($B418,TabAlgTutti,8,FALSE)),"",VLOOKUP($B418,TabAlgTutti,8,FALSE))</f>
        <v>50</v>
      </c>
      <c r="I418" s="63" t="str">
        <f ca="1">IF(ISNA(VLOOKUP($B418,TabAlgTutti,9,FALSE)),"",IF(VLOOKUP($B418,TabAlgTutti,9,FALSE)="","",VLOOKUP($B418,TabAlgTutti,9,FALSE)&amp;"R "))&amp;IF(ISNA(VLOOKUP($B418,TabAlgTutti,10,FALSE)),"",IF(VLOOKUP($B418,TabAlgTutti,10,FALSE)="","",VLOOKUP($B418,TabAlgTutti,10,FALSE)&amp;"P "))&amp;IF(ISNA(VLOOKUP($B418,TabAlgTutti,11,FALSE)),"",IF(VLOOKUP($B418,TabAlgTutti,11,FALSE)="","",VLOOKUP($B418,TabAlgTutti,11,FALSE)&amp;"A"))</f>
        <v/>
      </c>
      <c r="J418" s="63">
        <f ca="1">IF(ISNA(VLOOKUP($B418,TabAlgTutti,3,FALSE)),0,VLOOKUP($B418,TabAlgTutti,3,FALSE))+ROW()/100000</f>
        <v>1.0041800000000001</v>
      </c>
      <c r="K418" s="63">
        <f ca="1">IF(ISNA(VLOOKUP($B418,TabAlgTutti,4,FALSE)),0,VLOOKUP($B418,TabAlgTutti,4,FALSE))+ROW()/100000</f>
        <v>1.0041800000000001</v>
      </c>
      <c r="L418" s="63" t="e">
        <f ca="1">VLOOKUP(Tabella114[[#This Row],[Calciatore]],'Raccolta Aste'!$K$2:$O$33,4,FALSE)*Asta!$U$3/100</f>
        <v>#N/A</v>
      </c>
      <c r="N418" s="58"/>
      <c r="O418" s="58"/>
      <c r="P418" s="58"/>
      <c r="Q418" s="58"/>
      <c r="R418" s="58"/>
      <c r="S418" s="58"/>
      <c r="W418" s="56">
        <f t="shared" ca="1" si="141"/>
        <v>121</v>
      </c>
      <c r="X418" s="56">
        <f t="shared" ca="1" si="142"/>
        <v>105</v>
      </c>
      <c r="Y418" s="56">
        <f t="shared" ca="1" si="143"/>
        <v>108</v>
      </c>
      <c r="Z418" s="56">
        <f t="shared" ca="1" si="144"/>
        <v>144</v>
      </c>
      <c r="AA418" s="56">
        <f t="shared" ca="1" si="145"/>
        <v>144</v>
      </c>
      <c r="AB418" s="56">
        <f ca="1">_xlfn.CEILING.MATH(INDIRECT(ADDRESS(311,22+MATCH($P$28,'I.A. + Fasce'!$W$84:$AA$84,0),1,1) &amp; ":" &amp; ADDRESS(531,22+MATCH($P$28,'I.A. + Fasce'!$W$84:$AA$84,0),1,1))/Asta!$H$3)</f>
        <v>14</v>
      </c>
    </row>
    <row r="419" spans="1:28" ht="14.25" customHeight="1">
      <c r="A419" s="239" t="str">
        <f ca="1">IF(Giocatori!J83="","C",Giocatori!J83)</f>
        <v>C</v>
      </c>
      <c r="B419" s="239" t="str">
        <f ca="1">IF(Giocatori!K83="","ZZZ" &amp; ROW(),Giocatori!K83)</f>
        <v>GONALONS</v>
      </c>
      <c r="C419" s="239" t="str">
        <f ca="1">IF(Giocatori!L83="","NDR" &amp; ROW(),Giocatori!L83)</f>
        <v>Roma</v>
      </c>
      <c r="D419" s="63">
        <f ca="1">IF(ISNA(VLOOKUP($B419,TabAlgTutti,6,FALSE)),0,VLOOKUP($B419,TabAlgTutti,6,FALSE))+ROW()/100000</f>
        <v>70.004189999999994</v>
      </c>
      <c r="E419" s="63">
        <f ca="1">IF(ISNA(VLOOKUP($B419,TabAlgTutti,5,FALSE)),0,VLOOKUP($B419,TabAlgTutti,5,FALSE))+ROW()/100000</f>
        <v>35.004190000000001</v>
      </c>
      <c r="F419" s="64">
        <f ca="1">($D419*$P$8+$E419*(1+$E419*100/60/100)*$S$8)/100+ROW()/100000</f>
        <v>62.719157646300836</v>
      </c>
      <c r="G419" s="63" t="str">
        <f ca="1">IF(ISNA(VLOOKUP($B419,TabAlgTutti,7,FALSE)),"",IF(VLOOKUP($B419,TabAlgTutti,7,FALSE)=-1,"SCONSIGLIATO",IF(VLOOKUP($B419,TabAlgTutti,7,FALSE)=0,"SORPRESA",IF(VLOOKUP($B419,TabAlgTutti,7,FALSE)=1,"CONSIGLIATO",""))))</f>
        <v>SCONSIGLIATO</v>
      </c>
      <c r="H419" s="65">
        <f ca="1">IF(ISNA(VLOOKUP($B419,TabAlgTutti,8,FALSE)),"",VLOOKUP($B419,TabAlgTutti,8,FALSE))</f>
        <v>60</v>
      </c>
      <c r="I419" s="63" t="str">
        <f ca="1">IF(ISNA(VLOOKUP($B419,TabAlgTutti,9,FALSE)),"",IF(VLOOKUP($B419,TabAlgTutti,9,FALSE)="","",VLOOKUP($B419,TabAlgTutti,9,FALSE)&amp;"R "))&amp;IF(ISNA(VLOOKUP($B419,TabAlgTutti,10,FALSE)),"",IF(VLOOKUP($B419,TabAlgTutti,10,FALSE)="","",VLOOKUP($B419,TabAlgTutti,10,FALSE)&amp;"P "))&amp;IF(ISNA(VLOOKUP($B419,TabAlgTutti,11,FALSE)),"",IF(VLOOKUP($B419,TabAlgTutti,11,FALSE)="","",VLOOKUP($B419,TabAlgTutti,11,FALSE)&amp;"A"))</f>
        <v xml:space="preserve">4P </v>
      </c>
      <c r="J419" s="63">
        <f ca="1">IF(ISNA(VLOOKUP($B419,TabAlgTutti,3,FALSE)),0,VLOOKUP($B419,TabAlgTutti,3,FALSE))+ROW()/100000</f>
        <v>2.8282500183625019</v>
      </c>
      <c r="K419" s="63">
        <f ca="1">IF(ISNA(VLOOKUP($B419,TabAlgTutti,4,FALSE)),0,VLOOKUP($B419,TabAlgTutti,4,FALSE))+ROW()/100000</f>
        <v>4.5406275489672714</v>
      </c>
      <c r="L419" s="63" t="e">
        <f ca="1">VLOOKUP(Tabella114[[#This Row],[Calciatore]],'Raccolta Aste'!$K$2:$O$33,4,FALSE)*Asta!$U$3/100</f>
        <v>#N/A</v>
      </c>
      <c r="N419" s="58"/>
      <c r="O419" s="58"/>
      <c r="P419" s="58"/>
      <c r="Q419" s="58"/>
      <c r="R419" s="58"/>
      <c r="S419" s="58"/>
      <c r="W419" s="56">
        <f t="shared" ca="1" si="141"/>
        <v>89</v>
      </c>
      <c r="X419" s="56">
        <f t="shared" ca="1" si="142"/>
        <v>127</v>
      </c>
      <c r="Y419" s="56">
        <f t="shared" ca="1" si="143"/>
        <v>110</v>
      </c>
      <c r="Z419" s="56">
        <f t="shared" ca="1" si="144"/>
        <v>77</v>
      </c>
      <c r="AA419" s="56">
        <f t="shared" ca="1" si="145"/>
        <v>77</v>
      </c>
      <c r="AB419" s="56">
        <f ca="1">_xlfn.CEILING.MATH(INDIRECT(ADDRESS(311,22+MATCH($P$28,'I.A. + Fasce'!$W$84:$AA$84,0),1,1) &amp; ":" &amp; ADDRESS(531,22+MATCH($P$28,'I.A. + Fasce'!$W$84:$AA$84,0),1,1))/Asta!$H$3)</f>
        <v>14</v>
      </c>
    </row>
    <row r="420" spans="1:28" ht="14.25" customHeight="1">
      <c r="A420" s="239" t="str">
        <f ca="1">IF(Giocatori!J68="","C",Giocatori!J68)</f>
        <v>C</v>
      </c>
      <c r="B420" s="239" t="str">
        <f ca="1">IF(Giocatori!K68="","ZZZ" &amp; ROW(),Giocatori!K68)</f>
        <v>FALLETTI</v>
      </c>
      <c r="C420" s="239" t="str">
        <f ca="1">IF(Giocatori!L68="","NDR" &amp; ROW(),Giocatori!L68)</f>
        <v>Bologna</v>
      </c>
      <c r="D420" s="63">
        <f ca="1">IF(ISNA(VLOOKUP($B420,TabAlgTutti,6,FALSE)),0,VLOOKUP($B420,TabAlgTutti,6,FALSE))+ROW()/100000</f>
        <v>70.004199999999997</v>
      </c>
      <c r="E420" s="63">
        <f ca="1">IF(ISNA(VLOOKUP($B420,TabAlgTutti,5,FALSE)),0,VLOOKUP($B420,TabAlgTutti,5,FALSE))+ROW()/100000</f>
        <v>35.004199999999997</v>
      </c>
      <c r="F420" s="64">
        <f ca="1">($D420*$P$8+$E420*(1+$E420*100/60/100)*$S$8)/100+ROW()/100000</f>
        <v>62.719183480333328</v>
      </c>
      <c r="G420" s="63" t="str">
        <f ca="1">IF(ISNA(VLOOKUP($B420,TabAlgTutti,7,FALSE)),"",IF(VLOOKUP($B420,TabAlgTutti,7,FALSE)=-1,"SCONSIGLIATO",IF(VLOOKUP($B420,TabAlgTutti,7,FALSE)=0,"SORPRESA",IF(VLOOKUP($B420,TabAlgTutti,7,FALSE)=1,"CONSIGLIATO",""))))</f>
        <v>SORPRESA</v>
      </c>
      <c r="H420" s="65">
        <f ca="1">IF(ISNA(VLOOKUP($B420,TabAlgTutti,8,FALSE)),"",VLOOKUP($B420,TabAlgTutti,8,FALSE))</f>
        <v>50</v>
      </c>
      <c r="I420" s="63" t="str">
        <f ca="1">IF(ISNA(VLOOKUP($B420,TabAlgTutti,9,FALSE)),"",IF(VLOOKUP($B420,TabAlgTutti,9,FALSE)="","",VLOOKUP($B420,TabAlgTutti,9,FALSE)&amp;"R "))&amp;IF(ISNA(VLOOKUP($B420,TabAlgTutti,10,FALSE)),"",IF(VLOOKUP($B420,TabAlgTutti,10,FALSE)="","",VLOOKUP($B420,TabAlgTutti,10,FALSE)&amp;"P "))&amp;IF(ISNA(VLOOKUP($B420,TabAlgTutti,11,FALSE)),"",IF(VLOOKUP($B420,TabAlgTutti,11,FALSE)="","",VLOOKUP($B420,TabAlgTutti,11,FALSE)&amp;"A"))</f>
        <v/>
      </c>
      <c r="J420" s="63">
        <f ca="1">IF(ISNA(VLOOKUP($B420,TabAlgTutti,3,FALSE)),0,VLOOKUP($B420,TabAlgTutti,3,FALSE))+ROW()/100000</f>
        <v>1.0042</v>
      </c>
      <c r="K420" s="63">
        <f ca="1">IF(ISNA(VLOOKUP($B420,TabAlgTutti,4,FALSE)),0,VLOOKUP($B420,TabAlgTutti,4,FALSE))+ROW()/100000</f>
        <v>1.0042</v>
      </c>
      <c r="L420" s="63" t="e">
        <f ca="1">VLOOKUP(Tabella114[[#This Row],[Calciatore]],'Raccolta Aste'!$K$2:$O$33,4,FALSE)*Asta!$U$3/100</f>
        <v>#N/A</v>
      </c>
      <c r="N420" s="58"/>
      <c r="O420" s="58"/>
      <c r="P420" s="58"/>
      <c r="Q420" s="58"/>
      <c r="R420" s="58"/>
      <c r="S420" s="58"/>
      <c r="W420" s="56">
        <f t="shared" ca="1" si="141"/>
        <v>88</v>
      </c>
      <c r="X420" s="56">
        <f t="shared" ca="1" si="142"/>
        <v>126</v>
      </c>
      <c r="Y420" s="56">
        <f t="shared" ca="1" si="143"/>
        <v>109</v>
      </c>
      <c r="Z420" s="56">
        <f t="shared" ca="1" si="144"/>
        <v>143</v>
      </c>
      <c r="AA420" s="56">
        <f t="shared" ca="1" si="145"/>
        <v>143</v>
      </c>
      <c r="AB420" s="56">
        <f ca="1">_xlfn.CEILING.MATH(INDIRECT(ADDRESS(311,22+MATCH($P$28,'I.A. + Fasce'!$W$84:$AA$84,0),1,1) &amp; ":" &amp; ADDRESS(531,22+MATCH($P$28,'I.A. + Fasce'!$W$84:$AA$84,0),1,1))/Asta!$H$3)</f>
        <v>14</v>
      </c>
    </row>
    <row r="421" spans="1:28" ht="14.25" customHeight="1">
      <c r="A421" s="239" t="str">
        <f ca="1">IF(Giocatori!J86="","C",Giocatori!J86)</f>
        <v>C</v>
      </c>
      <c r="B421" s="239" t="str">
        <f ca="1">IF(Giocatori!K86="","ZZZ" &amp; ROW(),Giocatori!K86)</f>
        <v>HAAS</v>
      </c>
      <c r="C421" s="239" t="str">
        <f ca="1">IF(Giocatori!L86="","NDR" &amp; ROW(),Giocatori!L86)</f>
        <v>Atalanta</v>
      </c>
      <c r="D421" s="63">
        <f ca="1">IF(ISNA(VLOOKUP($B421,TabAlgTutti,6,FALSE)),0,VLOOKUP($B421,TabAlgTutti,6,FALSE))+ROW()/100000</f>
        <v>63.00421</v>
      </c>
      <c r="E421" s="63">
        <f ca="1">IF(ISNA(VLOOKUP($B421,TabAlgTutti,5,FALSE)),0,VLOOKUP($B421,TabAlgTutti,5,FALSE))+ROW()/100000</f>
        <v>38.00421</v>
      </c>
      <c r="F421" s="64">
        <f ca="1">($D421*$P$8+$E421*(1+$E421*100/60/100)*$S$8)/100+ROW()/100000</f>
        <v>62.544419814367501</v>
      </c>
      <c r="G421" s="63" t="str">
        <f ca="1">IF(ISNA(VLOOKUP($B421,TabAlgTutti,7,FALSE)),"",IF(VLOOKUP($B421,TabAlgTutti,7,FALSE)=-1,"SCONSIGLIATO",IF(VLOOKUP($B421,TabAlgTutti,7,FALSE)=0,"SORPRESA",IF(VLOOKUP($B421,TabAlgTutti,7,FALSE)=1,"CONSIGLIATO",""))))</f>
        <v/>
      </c>
      <c r="H421" s="65">
        <f ca="1">IF(ISNA(VLOOKUP($B421,TabAlgTutti,8,FALSE)),"",VLOOKUP($B421,TabAlgTutti,8,FALSE))</f>
        <v>50</v>
      </c>
      <c r="I421" s="63" t="str">
        <f ca="1">IF(ISNA(VLOOKUP($B421,TabAlgTutti,9,FALSE)),"",IF(VLOOKUP($B421,TabAlgTutti,9,FALSE)="","",VLOOKUP($B421,TabAlgTutti,9,FALSE)&amp;"R "))&amp;IF(ISNA(VLOOKUP($B421,TabAlgTutti,10,FALSE)),"",IF(VLOOKUP($B421,TabAlgTutti,10,FALSE)="","",VLOOKUP($B421,TabAlgTutti,10,FALSE)&amp;"P "))&amp;IF(ISNA(VLOOKUP($B421,TabAlgTutti,11,FALSE)),"",IF(VLOOKUP($B421,TabAlgTutti,11,FALSE)="","",VLOOKUP($B421,TabAlgTutti,11,FALSE)&amp;"A"))</f>
        <v/>
      </c>
      <c r="J421" s="63">
        <f ca="1">IF(ISNA(VLOOKUP($B421,TabAlgTutti,3,FALSE)),0,VLOOKUP($B421,TabAlgTutti,3,FALSE))+ROW()/100000</f>
        <v>3.4891560280997989</v>
      </c>
      <c r="K421" s="63">
        <f ca="1">IF(ISNA(VLOOKUP($B421,TabAlgTutti,4,FALSE)),0,VLOOKUP($B421,TabAlgTutti,4,FALSE))+ROW()/100000</f>
        <v>4.2459438830197334</v>
      </c>
      <c r="L421" s="63" t="e">
        <f ca="1">VLOOKUP(Tabella114[[#This Row],[Calciatore]],'Raccolta Aste'!$K$2:$O$33,4,FALSE)*Asta!$U$3/100</f>
        <v>#N/A</v>
      </c>
      <c r="N421" s="58"/>
      <c r="O421" s="58"/>
      <c r="P421" s="58"/>
      <c r="Q421" s="58"/>
      <c r="R421" s="58"/>
      <c r="S421" s="58"/>
      <c r="W421" s="56">
        <f t="shared" ca="1" si="141"/>
        <v>137</v>
      </c>
      <c r="X421" s="56">
        <f t="shared" ca="1" si="142"/>
        <v>94</v>
      </c>
      <c r="Y421" s="56">
        <f t="shared" ca="1" si="143"/>
        <v>111</v>
      </c>
      <c r="Z421" s="56">
        <f t="shared" ca="1" si="144"/>
        <v>75</v>
      </c>
      <c r="AA421" s="56">
        <f t="shared" ca="1" si="145"/>
        <v>78</v>
      </c>
      <c r="AB421" s="56">
        <f ca="1">_xlfn.CEILING.MATH(INDIRECT(ADDRESS(311,22+MATCH($P$28,'I.A. + Fasce'!$W$84:$AA$84,0),1,1) &amp; ":" &amp; ADDRESS(531,22+MATCH($P$28,'I.A. + Fasce'!$W$84:$AA$84,0),1,1))/Asta!$H$3)</f>
        <v>14</v>
      </c>
    </row>
    <row r="422" spans="1:28" ht="14.25" customHeight="1">
      <c r="A422" s="239" t="str">
        <f ca="1">IF(Giocatori!J95="","C",Giocatori!J95)</f>
        <v>C</v>
      </c>
      <c r="B422" s="239" t="str">
        <f ca="1">IF(Giocatori!K95="","ZZZ" &amp; ROW(),Giocatori!K95)</f>
        <v>IZCO</v>
      </c>
      <c r="C422" s="239" t="str">
        <f ca="1">IF(Giocatori!L95="","NDR" &amp; ROW(),Giocatori!L95)</f>
        <v>Crotone</v>
      </c>
      <c r="D422" s="63">
        <f ca="1">IF(ISNA(VLOOKUP($B422,TabAlgTutti,6,FALSE)),0,VLOOKUP($B422,TabAlgTutti,6,FALSE))+ROW()/100000</f>
        <v>69.004220000000004</v>
      </c>
      <c r="E422" s="63">
        <f ca="1">IF(ISNA(VLOOKUP($B422,TabAlgTutti,5,FALSE)),0,VLOOKUP($B422,TabAlgTutti,5,FALSE))+ROW()/100000</f>
        <v>35.004219999999997</v>
      </c>
      <c r="F422" s="64">
        <f ca="1">($D422*$P$8+$E422*(1+$E422*100/60/100)*$S$8)/100+ROW()/100000</f>
        <v>62.219235148403321</v>
      </c>
      <c r="G422" s="63" t="str">
        <f ca="1">IF(ISNA(VLOOKUP($B422,TabAlgTutti,7,FALSE)),"",IF(VLOOKUP($B422,TabAlgTutti,7,FALSE)=-1,"SCONSIGLIATO",IF(VLOOKUP($B422,TabAlgTutti,7,FALSE)=0,"SORPRESA",IF(VLOOKUP($B422,TabAlgTutti,7,FALSE)=1,"CONSIGLIATO",""))))</f>
        <v/>
      </c>
      <c r="H422" s="65">
        <f ca="1">IF(ISNA(VLOOKUP($B422,TabAlgTutti,8,FALSE)),"",VLOOKUP($B422,TabAlgTutti,8,FALSE))</f>
        <v>70</v>
      </c>
      <c r="I422" s="63" t="str">
        <f ca="1">IF(ISNA(VLOOKUP($B422,TabAlgTutti,9,FALSE)),"",IF(VLOOKUP($B422,TabAlgTutti,9,FALSE)="","",VLOOKUP($B422,TabAlgTutti,9,FALSE)&amp;"R "))&amp;IF(ISNA(VLOOKUP($B422,TabAlgTutti,10,FALSE)),"",IF(VLOOKUP($B422,TabAlgTutti,10,FALSE)="","",VLOOKUP($B422,TabAlgTutti,10,FALSE)&amp;"P "))&amp;IF(ISNA(VLOOKUP($B422,TabAlgTutti,11,FALSE)),"",IF(VLOOKUP($B422,TabAlgTutti,11,FALSE)="","",VLOOKUP($B422,TabAlgTutti,11,FALSE)&amp;"A"))</f>
        <v/>
      </c>
      <c r="J422" s="63">
        <f ca="1">IF(ISNA(VLOOKUP($B422,TabAlgTutti,3,FALSE)),0,VLOOKUP($B422,TabAlgTutti,3,FALSE))+ROW()/100000</f>
        <v>1.0042199999999999</v>
      </c>
      <c r="K422" s="63">
        <f ca="1">IF(ISNA(VLOOKUP($B422,TabAlgTutti,4,FALSE)),0,VLOOKUP($B422,TabAlgTutti,4,FALSE))+ROW()/100000</f>
        <v>1.0042199999999999</v>
      </c>
      <c r="L422" s="63" t="e">
        <f ca="1">VLOOKUP(Tabella114[[#This Row],[Calciatore]],'Raccolta Aste'!$K$2:$O$33,4,FALSE)*Asta!$U$3/100</f>
        <v>#N/A</v>
      </c>
      <c r="N422" s="58"/>
      <c r="P422" s="58"/>
      <c r="Q422" s="58"/>
      <c r="R422" s="58"/>
      <c r="S422" s="58"/>
      <c r="W422" s="56">
        <f t="shared" ca="1" si="141"/>
        <v>94</v>
      </c>
      <c r="X422" s="56">
        <f t="shared" ca="1" si="142"/>
        <v>125</v>
      </c>
      <c r="Y422" s="56">
        <f t="shared" ca="1" si="143"/>
        <v>112</v>
      </c>
      <c r="Z422" s="56">
        <f t="shared" ca="1" si="144"/>
        <v>142</v>
      </c>
      <c r="AA422" s="56">
        <f t="shared" ca="1" si="145"/>
        <v>142</v>
      </c>
      <c r="AB422" s="56">
        <f ca="1">_xlfn.CEILING.MATH(INDIRECT(ADDRESS(311,22+MATCH($P$28,'I.A. + Fasce'!$W$84:$AA$84,0),1,1) &amp; ":" &amp; ADDRESS(531,22+MATCH($P$28,'I.A. + Fasce'!$W$84:$AA$84,0),1,1))/Asta!$H$3)</f>
        <v>14</v>
      </c>
    </row>
    <row r="423" spans="1:28" ht="14.25" customHeight="1">
      <c r="A423" s="239" t="str">
        <f ca="1">IF(Giocatori!J112="","C",Giocatori!J112)</f>
        <v>C</v>
      </c>
      <c r="B423" s="239" t="str">
        <f ca="1">IF(Giocatori!K112="","ZZZ" &amp; ROW(),Giocatori!K112)</f>
        <v>LOCATELLI M</v>
      </c>
      <c r="C423" s="239" t="str">
        <f ca="1">IF(Giocatori!L112="","NDR" &amp; ROW(),Giocatori!L112)</f>
        <v>Milan</v>
      </c>
      <c r="D423" s="63">
        <f ca="1">IF(ISNA(VLOOKUP($B423,TabAlgTutti,6,FALSE)),0,VLOOKUP($B423,TabAlgTutti,6,FALSE))+ROW()/100000</f>
        <v>64.004230000000007</v>
      </c>
      <c r="E423" s="63">
        <f ca="1">IF(ISNA(VLOOKUP($B423,TabAlgTutti,5,FALSE)),0,VLOOKUP($B423,TabAlgTutti,5,FALSE))+ROW()/100000</f>
        <v>37.00423</v>
      </c>
      <c r="F423" s="64">
        <f ca="1">($D423*$P$8+$E423*(1+$E423*100/60/100)*$S$8)/100+ROW()/100000</f>
        <v>61.919401982440846</v>
      </c>
      <c r="G423" s="63" t="str">
        <f ca="1">IF(ISNA(VLOOKUP($B423,TabAlgTutti,7,FALSE)),"",IF(VLOOKUP($B423,TabAlgTutti,7,FALSE)=-1,"SCONSIGLIATO",IF(VLOOKUP($B423,TabAlgTutti,7,FALSE)=0,"SORPRESA",IF(VLOOKUP($B423,TabAlgTutti,7,FALSE)=1,"CONSIGLIATO",""))))</f>
        <v/>
      </c>
      <c r="H423" s="65">
        <f ca="1">IF(ISNA(VLOOKUP($B423,TabAlgTutti,8,FALSE)),"",VLOOKUP($B423,TabAlgTutti,8,FALSE))</f>
        <v>50</v>
      </c>
      <c r="I423" s="63" t="str">
        <f ca="1">IF(ISNA(VLOOKUP($B423,TabAlgTutti,9,FALSE)),"",IF(VLOOKUP($B423,TabAlgTutti,9,FALSE)="","",VLOOKUP($B423,TabAlgTutti,9,FALSE)&amp;"R "))&amp;IF(ISNA(VLOOKUP($B423,TabAlgTutti,10,FALSE)),"",IF(VLOOKUP($B423,TabAlgTutti,10,FALSE)="","",VLOOKUP($B423,TabAlgTutti,10,FALSE)&amp;"P "))&amp;IF(ISNA(VLOOKUP($B423,TabAlgTutti,11,FALSE)),"",IF(VLOOKUP($B423,TabAlgTutti,11,FALSE)="","",VLOOKUP($B423,TabAlgTutti,11,FALSE)&amp;"A"))</f>
        <v/>
      </c>
      <c r="J423" s="63">
        <f ca="1">IF(ISNA(VLOOKUP($B423,TabAlgTutti,3,FALSE)),0,VLOOKUP($B423,TabAlgTutti,3,FALSE))+ROW()/100000</f>
        <v>3.4732642852335762</v>
      </c>
      <c r="K423" s="63">
        <f ca="1">IF(ISNA(VLOOKUP($B423,TabAlgTutti,4,FALSE)),0,VLOOKUP($B423,TabAlgTutti,4,FALSE))+ROW()/100000</f>
        <v>5.040664327765576</v>
      </c>
      <c r="L423" s="63" t="e">
        <f ca="1">VLOOKUP(Tabella114[[#This Row],[Calciatore]],'Raccolta Aste'!$K$2:$O$33,4,FALSE)*Asta!$U$3/100</f>
        <v>#N/A</v>
      </c>
      <c r="N423" s="58"/>
      <c r="O423" s="58"/>
      <c r="P423" s="58"/>
      <c r="Q423" s="58"/>
      <c r="R423" s="58"/>
      <c r="S423" s="58"/>
      <c r="W423" s="56">
        <f t="shared" ca="1" si="141"/>
        <v>132</v>
      </c>
      <c r="X423" s="56">
        <f t="shared" ca="1" si="142"/>
        <v>104</v>
      </c>
      <c r="Y423" s="56">
        <f t="shared" ca="1" si="143"/>
        <v>113</v>
      </c>
      <c r="Z423" s="56">
        <f t="shared" ca="1" si="144"/>
        <v>76</v>
      </c>
      <c r="AA423" s="56">
        <f t="shared" ca="1" si="145"/>
        <v>75</v>
      </c>
      <c r="AB423" s="56">
        <f ca="1">_xlfn.CEILING.MATH(INDIRECT(ADDRESS(311,22+MATCH($P$28,'I.A. + Fasce'!$W$84:$AA$84,0),1,1) &amp; ":" &amp; ADDRESS(531,22+MATCH($P$28,'I.A. + Fasce'!$W$84:$AA$84,0),1,1))/Asta!$H$3)</f>
        <v>15</v>
      </c>
    </row>
    <row r="424" spans="1:28" ht="14.25" customHeight="1">
      <c r="A424" s="239" t="str">
        <f ca="1">IF(Giocatori!J149="","C",Giocatori!J149)</f>
        <v>C</v>
      </c>
      <c r="B424" s="239" t="str">
        <f ca="1">IF(Giocatori!K180="","ZZZ" &amp; ROW(),Giocatori!K180)</f>
        <v>ZEKHNINI</v>
      </c>
      <c r="C424" s="239" t="str">
        <f ca="1">IF(Giocatori!L180="","NDR" &amp; ROW(),Giocatori!L180)</f>
        <v>Fiorentina</v>
      </c>
      <c r="D424" s="63">
        <f ca="1">IF(ISNA(VLOOKUP($B424,TabAlgTutti,6,FALSE)),0,VLOOKUP($B424,TabAlgTutti,6,FALSE))+ROW()/100000</f>
        <v>68.004239999999996</v>
      </c>
      <c r="E424" s="63">
        <f ca="1">IF(ISNA(VLOOKUP($B424,TabAlgTutti,5,FALSE)),0,VLOOKUP($B424,TabAlgTutti,5,FALSE))+ROW()/100000</f>
        <v>35.004240000000003</v>
      </c>
      <c r="F424" s="64">
        <f ca="1">($D424*$P$8+$E424*(1+$E424*100/60/100)*$S$8)/100+ROW()/100000</f>
        <v>61.719286816480007</v>
      </c>
      <c r="G424" s="63" t="str">
        <f ca="1">IF(ISNA(VLOOKUP($B424,TabAlgTutti,7,FALSE)),"",IF(VLOOKUP($B424,TabAlgTutti,7,FALSE)=-1,"SCONSIGLIATO",IF(VLOOKUP($B424,TabAlgTutti,7,FALSE)=0,"SORPRESA",IF(VLOOKUP($B424,TabAlgTutti,7,FALSE)=1,"CONSIGLIATO",""))))</f>
        <v/>
      </c>
      <c r="H424" s="65">
        <f ca="1">IF(ISNA(VLOOKUP($B424,TabAlgTutti,8,FALSE)),"",VLOOKUP($B424,TabAlgTutti,8,FALSE))</f>
        <v>40</v>
      </c>
      <c r="I424" s="63" t="str">
        <f ca="1">IF(ISNA(VLOOKUP($B424,TabAlgTutti,9,FALSE)),"",IF(VLOOKUP($B424,TabAlgTutti,9,FALSE)="","",VLOOKUP($B424,TabAlgTutti,9,FALSE)&amp;"R "))&amp;IF(ISNA(VLOOKUP($B424,TabAlgTutti,10,FALSE)),"",IF(VLOOKUP($B424,TabAlgTutti,10,FALSE)="","",VLOOKUP($B424,TabAlgTutti,10,FALSE)&amp;"P "))&amp;IF(ISNA(VLOOKUP($B424,TabAlgTutti,11,FALSE)),"",IF(VLOOKUP($B424,TabAlgTutti,11,FALSE)="","",VLOOKUP($B424,TabAlgTutti,11,FALSE)&amp;"A"))</f>
        <v/>
      </c>
      <c r="J424" s="63">
        <f ca="1">IF(ISNA(VLOOKUP($B424,TabAlgTutti,3,FALSE)),0,VLOOKUP($B424,TabAlgTutti,3,FALSE))+ROW()/100000</f>
        <v>1.00424</v>
      </c>
      <c r="K424" s="63">
        <f ca="1">IF(ISNA(VLOOKUP($B424,TabAlgTutti,4,FALSE)),0,VLOOKUP($B424,TabAlgTutti,4,FALSE))+ROW()/100000</f>
        <v>1.00424</v>
      </c>
      <c r="L424" s="63" t="e">
        <f ca="1">VLOOKUP(Tabella114[[#This Row],[Calciatore]],'Raccolta Aste'!$K$2:$O$33,4,FALSE)*Asta!$U$3/100</f>
        <v>#N/A</v>
      </c>
      <c r="N424" s="58"/>
      <c r="O424" s="58"/>
      <c r="P424" s="58"/>
      <c r="Q424" s="58"/>
      <c r="R424" s="58"/>
      <c r="S424" s="58"/>
      <c r="W424" s="56">
        <f t="shared" ca="1" si="141"/>
        <v>107</v>
      </c>
      <c r="X424" s="56">
        <f t="shared" ca="1" si="142"/>
        <v>124</v>
      </c>
      <c r="Y424" s="56">
        <f t="shared" ca="1" si="143"/>
        <v>116</v>
      </c>
      <c r="Z424" s="56">
        <f t="shared" ca="1" si="144"/>
        <v>141</v>
      </c>
      <c r="AA424" s="56">
        <f t="shared" ca="1" si="145"/>
        <v>141</v>
      </c>
      <c r="AB424" s="56">
        <f ca="1">_xlfn.CEILING.MATH(INDIRECT(ADDRESS(311,22+MATCH($P$28,'I.A. + Fasce'!$W$84:$AA$84,0),1,1) &amp; ":" &amp; ADDRESS(531,22+MATCH($P$28,'I.A. + Fasce'!$W$84:$AA$84,0),1,1))/Asta!$H$3)</f>
        <v>15</v>
      </c>
    </row>
    <row r="425" spans="1:28" ht="14.25" customHeight="1">
      <c r="A425" s="239" t="str">
        <f ca="1">IF(Giocatori!J118="","C",Giocatori!J118)</f>
        <v>C</v>
      </c>
      <c r="B425" s="239" t="str">
        <f ca="1">IF(Giocatori!K118="","ZZZ" &amp; ROW(),Giocatori!K118)</f>
        <v>MANDRAGORA</v>
      </c>
      <c r="C425" s="239" t="str">
        <f ca="1">IF(Giocatori!L118="","NDR" &amp; ROW(),Giocatori!L118)</f>
        <v>Crotone</v>
      </c>
      <c r="D425" s="63">
        <f ca="1">IF(ISNA(VLOOKUP($B425,TabAlgTutti,6,FALSE)),0,VLOOKUP($B425,TabAlgTutti,6,FALSE))+ROW()/100000</f>
        <v>68.004249999999999</v>
      </c>
      <c r="E425" s="63">
        <f ca="1">IF(ISNA(VLOOKUP($B425,TabAlgTutti,5,FALSE)),0,VLOOKUP($B425,TabAlgTutti,5,FALSE))+ROW()/100000</f>
        <v>35.004249999999999</v>
      </c>
      <c r="F425" s="64">
        <f ca="1">($D425*$P$8+$E425*(1+$E425*100/60/100)*$S$8)/100+ROW()/100000</f>
        <v>61.719312650520827</v>
      </c>
      <c r="G425" s="63" t="str">
        <f ca="1">IF(ISNA(VLOOKUP($B425,TabAlgTutti,7,FALSE)),"",IF(VLOOKUP($B425,TabAlgTutti,7,FALSE)=-1,"SCONSIGLIATO",IF(VLOOKUP($B425,TabAlgTutti,7,FALSE)=0,"SORPRESA",IF(VLOOKUP($B425,TabAlgTutti,7,FALSE)=1,"CONSIGLIATO",""))))</f>
        <v/>
      </c>
      <c r="H425" s="65">
        <f ca="1">IF(ISNA(VLOOKUP($B425,TabAlgTutti,8,FALSE)),"",VLOOKUP($B425,TabAlgTutti,8,FALSE))</f>
        <v>60</v>
      </c>
      <c r="I425" s="63" t="str">
        <f ca="1">IF(ISNA(VLOOKUP($B425,TabAlgTutti,9,FALSE)),"",IF(VLOOKUP($B425,TabAlgTutti,9,FALSE)="","",VLOOKUP($B425,TabAlgTutti,9,FALSE)&amp;"R "))&amp;IF(ISNA(VLOOKUP($B425,TabAlgTutti,10,FALSE)),"",IF(VLOOKUP($B425,TabAlgTutti,10,FALSE)="","",VLOOKUP($B425,TabAlgTutti,10,FALSE)&amp;"P "))&amp;IF(ISNA(VLOOKUP($B425,TabAlgTutti,11,FALSE)),"",IF(VLOOKUP($B425,TabAlgTutti,11,FALSE)="","",VLOOKUP($B425,TabAlgTutti,11,FALSE)&amp;"A"))</f>
        <v/>
      </c>
      <c r="J425" s="63">
        <f ca="1">IF(ISNA(VLOOKUP($B425,TabAlgTutti,3,FALSE)),0,VLOOKUP($B425,TabAlgTutti,3,FALSE))+ROW()/100000</f>
        <v>1.0042500000000001</v>
      </c>
      <c r="K425" s="63">
        <f ca="1">IF(ISNA(VLOOKUP($B425,TabAlgTutti,4,FALSE)),0,VLOOKUP($B425,TabAlgTutti,4,FALSE))+ROW()/100000</f>
        <v>1.0042500000000001</v>
      </c>
      <c r="L425" s="63" t="e">
        <f ca="1">VLOOKUP(Tabella114[[#This Row],[Calciatore]],'Raccolta Aste'!$K$2:$O$33,4,FALSE)*Asta!$U$3/100</f>
        <v>#N/A</v>
      </c>
      <c r="N425" s="58"/>
      <c r="O425" s="58"/>
      <c r="P425" s="58"/>
      <c r="Q425" s="58"/>
      <c r="R425" s="58"/>
      <c r="S425" s="58"/>
      <c r="W425" s="56">
        <f t="shared" ca="1" si="141"/>
        <v>106</v>
      </c>
      <c r="X425" s="56">
        <f t="shared" ca="1" si="142"/>
        <v>123</v>
      </c>
      <c r="Y425" s="56">
        <f t="shared" ca="1" si="143"/>
        <v>115</v>
      </c>
      <c r="Z425" s="56">
        <f t="shared" ca="1" si="144"/>
        <v>140</v>
      </c>
      <c r="AA425" s="56">
        <f t="shared" ca="1" si="145"/>
        <v>140</v>
      </c>
      <c r="AB425" s="56">
        <f ca="1">_xlfn.CEILING.MATH(INDIRECT(ADDRESS(311,22+MATCH($P$28,'I.A. + Fasce'!$W$84:$AA$84,0),1,1) &amp; ":" &amp; ADDRESS(531,22+MATCH($P$28,'I.A. + Fasce'!$W$84:$AA$84,0),1,1))/Asta!$H$3)</f>
        <v>15</v>
      </c>
    </row>
    <row r="426" spans="1:28" ht="14.25" customHeight="1">
      <c r="A426" s="239" t="str">
        <f ca="1">IF(Giocatori!J90="","C",Giocatori!J90)</f>
        <v>C</v>
      </c>
      <c r="B426" s="239" t="str">
        <f ca="1">IF(Giocatori!K90="","ZZZ" &amp; ROW(),Giocatori!K90)</f>
        <v>HETEMAJ</v>
      </c>
      <c r="C426" s="239" t="str">
        <f ca="1">IF(Giocatori!L90="","NDR" &amp; ROW(),Giocatori!L90)</f>
        <v>Chievo</v>
      </c>
      <c r="D426" s="63">
        <f ca="1">IF(ISNA(VLOOKUP($B426,TabAlgTutti,6,FALSE)),0,VLOOKUP($B426,TabAlgTutti,6,FALSE))+ROW()/100000</f>
        <v>68.004260000000002</v>
      </c>
      <c r="E426" s="63">
        <f ca="1">IF(ISNA(VLOOKUP($B426,TabAlgTutti,5,FALSE)),0,VLOOKUP($B426,TabAlgTutti,5,FALSE))+ROW()/100000</f>
        <v>35.004260000000002</v>
      </c>
      <c r="F426" s="64">
        <f ca="1">($D426*$P$8+$E426*(1+$E426*100/60/100)*$S$8)/100+ROW()/100000</f>
        <v>61.719338484563352</v>
      </c>
      <c r="G426" s="63" t="str">
        <f ca="1">IF(ISNA(VLOOKUP($B426,TabAlgTutti,7,FALSE)),"",IF(VLOOKUP($B426,TabAlgTutti,7,FALSE)=-1,"SCONSIGLIATO",IF(VLOOKUP($B426,TabAlgTutti,7,FALSE)=0,"SORPRESA",IF(VLOOKUP($B426,TabAlgTutti,7,FALSE)=1,"CONSIGLIATO",""))))</f>
        <v>SCONSIGLIATO</v>
      </c>
      <c r="H426" s="65">
        <f ca="1">IF(ISNA(VLOOKUP($B426,TabAlgTutti,8,FALSE)),"",VLOOKUP($B426,TabAlgTutti,8,FALSE))</f>
        <v>80</v>
      </c>
      <c r="I426" s="63" t="str">
        <f ca="1">IF(ISNA(VLOOKUP($B426,TabAlgTutti,9,FALSE)),"",IF(VLOOKUP($B426,TabAlgTutti,9,FALSE)="","",VLOOKUP($B426,TabAlgTutti,9,FALSE)&amp;"R "))&amp;IF(ISNA(VLOOKUP($B426,TabAlgTutti,10,FALSE)),"",IF(VLOOKUP($B426,TabAlgTutti,10,FALSE)="","",VLOOKUP($B426,TabAlgTutti,10,FALSE)&amp;"P "))&amp;IF(ISNA(VLOOKUP($B426,TabAlgTutti,11,FALSE)),"",IF(VLOOKUP($B426,TabAlgTutti,11,FALSE)="","",VLOOKUP($B426,TabAlgTutti,11,FALSE)&amp;"A"))</f>
        <v/>
      </c>
      <c r="J426" s="63">
        <f ca="1">IF(ISNA(VLOOKUP($B426,TabAlgTutti,3,FALSE)),0,VLOOKUP($B426,TabAlgTutti,3,FALSE))+ROW()/100000</f>
        <v>1.0042599999999999</v>
      </c>
      <c r="K426" s="63">
        <f ca="1">IF(ISNA(VLOOKUP($B426,TabAlgTutti,4,FALSE)),0,VLOOKUP($B426,TabAlgTutti,4,FALSE))+ROW()/100000</f>
        <v>1.0042599999999999</v>
      </c>
      <c r="L426" s="63" t="e">
        <f ca="1">VLOOKUP(Tabella114[[#This Row],[Calciatore]],'Raccolta Aste'!$K$2:$O$33,4,FALSE)*Asta!$U$3/100</f>
        <v>#N/A</v>
      </c>
      <c r="N426" s="58"/>
      <c r="O426" s="58"/>
      <c r="P426" s="58"/>
      <c r="Q426" s="58"/>
      <c r="R426" s="58"/>
      <c r="S426" s="58"/>
      <c r="W426" s="56">
        <f t="shared" ca="1" si="141"/>
        <v>105</v>
      </c>
      <c r="X426" s="56">
        <f t="shared" ca="1" si="142"/>
        <v>122</v>
      </c>
      <c r="Y426" s="56">
        <f t="shared" ca="1" si="143"/>
        <v>114</v>
      </c>
      <c r="Z426" s="56">
        <f t="shared" ca="1" si="144"/>
        <v>139</v>
      </c>
      <c r="AA426" s="56">
        <f t="shared" ca="1" si="145"/>
        <v>139</v>
      </c>
      <c r="AB426" s="56">
        <f ca="1">_xlfn.CEILING.MATH(INDIRECT(ADDRESS(311,22+MATCH($P$28,'I.A. + Fasce'!$W$84:$AA$84,0),1,1) &amp; ":" &amp; ADDRESS(531,22+MATCH($P$28,'I.A. + Fasce'!$W$84:$AA$84,0),1,1))/Asta!$H$3)</f>
        <v>15</v>
      </c>
    </row>
    <row r="427" spans="1:28" ht="14.25" customHeight="1">
      <c r="A427" s="239" t="str">
        <f ca="1">IF(Giocatori!J135="","C",Giocatori!J135)</f>
        <v>C</v>
      </c>
      <c r="B427" s="239" t="str">
        <f ca="1">IF(Giocatori!K135="","ZZZ" &amp; ROW(),Giocatori!K135)</f>
        <v>OBI</v>
      </c>
      <c r="C427" s="239" t="str">
        <f ca="1">IF(Giocatori!L135="","NDR" &amp; ROW(),Giocatori!L135)</f>
        <v>Torino</v>
      </c>
      <c r="D427" s="63">
        <f ca="1">IF(ISNA(VLOOKUP($B427,TabAlgTutti,6,FALSE)),0,VLOOKUP($B427,TabAlgTutti,6,FALSE))+ROW()/100000</f>
        <v>70.004270000000005</v>
      </c>
      <c r="E427" s="63">
        <f ca="1">IF(ISNA(VLOOKUP($B427,TabAlgTutti,5,FALSE)),0,VLOOKUP($B427,TabAlgTutti,5,FALSE))+ROW()/100000</f>
        <v>34.004269999999998</v>
      </c>
      <c r="F427" s="64">
        <f ca="1">($D427*$P$8+$E427*(1+$E427*100/60/100)*$S$8)/100+ROW()/100000</f>
        <v>61.644293151940836</v>
      </c>
      <c r="G427" s="63" t="str">
        <f ca="1">IF(ISNA(VLOOKUP($B427,TabAlgTutti,7,FALSE)),"",IF(VLOOKUP($B427,TabAlgTutti,7,FALSE)=-1,"SCONSIGLIATO",IF(VLOOKUP($B427,TabAlgTutti,7,FALSE)=0,"SORPRESA",IF(VLOOKUP($B427,TabAlgTutti,7,FALSE)=1,"CONSIGLIATO",""))))</f>
        <v/>
      </c>
      <c r="H427" s="65">
        <f ca="1">IF(ISNA(VLOOKUP($B427,TabAlgTutti,8,FALSE)),"",VLOOKUP($B427,TabAlgTutti,8,FALSE))</f>
        <v>60</v>
      </c>
      <c r="I427" s="63" t="str">
        <f ca="1">IF(ISNA(VLOOKUP($B427,TabAlgTutti,9,FALSE)),"",IF(VLOOKUP($B427,TabAlgTutti,9,FALSE)="","",VLOOKUP($B427,TabAlgTutti,9,FALSE)&amp;"R "))&amp;IF(ISNA(VLOOKUP($B427,TabAlgTutti,10,FALSE)),"",IF(VLOOKUP($B427,TabAlgTutti,10,FALSE)="","",VLOOKUP($B427,TabAlgTutti,10,FALSE)&amp;"P "))&amp;IF(ISNA(VLOOKUP($B427,TabAlgTutti,11,FALSE)),"",IF(VLOOKUP($B427,TabAlgTutti,11,FALSE)="","",VLOOKUP($B427,TabAlgTutti,11,FALSE)&amp;"A"))</f>
        <v/>
      </c>
      <c r="J427" s="63">
        <f ca="1">IF(ISNA(VLOOKUP($B427,TabAlgTutti,3,FALSE)),0,VLOOKUP($B427,TabAlgTutti,3,FALSE))+ROW()/100000</f>
        <v>1.00427</v>
      </c>
      <c r="K427" s="63">
        <f ca="1">IF(ISNA(VLOOKUP($B427,TabAlgTutti,4,FALSE)),0,VLOOKUP($B427,TabAlgTutti,4,FALSE))+ROW()/100000</f>
        <v>1.00427</v>
      </c>
      <c r="L427" s="63" t="e">
        <f ca="1">VLOOKUP(Tabella114[[#This Row],[Calciatore]],'Raccolta Aste'!$K$2:$O$33,4,FALSE)*Asta!$U$3/100</f>
        <v>#N/A</v>
      </c>
      <c r="N427" s="58"/>
      <c r="O427" s="58"/>
      <c r="P427" s="58"/>
      <c r="Q427" s="58"/>
      <c r="R427" s="58"/>
      <c r="S427" s="58"/>
      <c r="W427" s="56">
        <f t="shared" ca="1" si="141"/>
        <v>87</v>
      </c>
      <c r="X427" s="56">
        <f t="shared" ca="1" si="142"/>
        <v>146</v>
      </c>
      <c r="Y427" s="56">
        <f t="shared" ca="1" si="143"/>
        <v>117</v>
      </c>
      <c r="Z427" s="56">
        <f t="shared" ca="1" si="144"/>
        <v>138</v>
      </c>
      <c r="AA427" s="56">
        <f t="shared" ca="1" si="145"/>
        <v>138</v>
      </c>
      <c r="AB427" s="56">
        <f ca="1">_xlfn.CEILING.MATH(INDIRECT(ADDRESS(311,22+MATCH($P$28,'I.A. + Fasce'!$W$84:$AA$84,0),1,1) &amp; ":" &amp; ADDRESS(531,22+MATCH($P$28,'I.A. + Fasce'!$W$84:$AA$84,0),1,1))/Asta!$H$3)</f>
        <v>15</v>
      </c>
    </row>
    <row r="428" spans="1:28" ht="14.25" customHeight="1">
      <c r="A428" s="239" t="str">
        <f ca="1">IF(Giocatori!J34="","C",Giocatori!J34)</f>
        <v>C</v>
      </c>
      <c r="B428" s="239" t="str">
        <f ca="1">IF(Giocatori!K34="","ZZZ" &amp; ROW(),Giocatori!K34)</f>
        <v>BUCHEL</v>
      </c>
      <c r="C428" s="239" t="str">
        <f ca="1">IF(Giocatori!L34="","NDR" &amp; ROW(),Giocatori!L34)</f>
        <v>Verona</v>
      </c>
      <c r="D428" s="63">
        <f ca="1">IF(ISNA(VLOOKUP($B428,TabAlgTutti,6,FALSE)),0,VLOOKUP($B428,TabAlgTutti,6,FALSE))+ROW()/100000</f>
        <v>72.004279999999994</v>
      </c>
      <c r="E428" s="63">
        <f ca="1">IF(ISNA(VLOOKUP($B428,TabAlgTutti,5,FALSE)),0,VLOOKUP($B428,TabAlgTutti,5,FALSE))+ROW()/100000</f>
        <v>33.004280000000001</v>
      </c>
      <c r="F428" s="64">
        <f ca="1">($D428*$P$8+$E428*(1+$E428*100/60/100)*$S$8)/100+ROW()/100000</f>
        <v>61.585914152653331</v>
      </c>
      <c r="G428" s="63" t="str">
        <f ca="1">IF(ISNA(VLOOKUP($B428,TabAlgTutti,7,FALSE)),"",IF(VLOOKUP($B428,TabAlgTutti,7,FALSE)=-1,"SCONSIGLIATO",IF(VLOOKUP($B428,TabAlgTutti,7,FALSE)=0,"SORPRESA",IF(VLOOKUP($B428,TabAlgTutti,7,FALSE)=1,"CONSIGLIATO",""))))</f>
        <v/>
      </c>
      <c r="H428" s="65">
        <f ca="1">IF(ISNA(VLOOKUP($B428,TabAlgTutti,8,FALSE)),"",VLOOKUP($B428,TabAlgTutti,8,FALSE))</f>
        <v>60</v>
      </c>
      <c r="I428" s="63" t="str">
        <f ca="1">IF(ISNA(VLOOKUP($B428,TabAlgTutti,9,FALSE)),"",IF(VLOOKUP($B428,TabAlgTutti,9,FALSE)="","",VLOOKUP($B428,TabAlgTutti,9,FALSE)&amp;"R "))&amp;IF(ISNA(VLOOKUP($B428,TabAlgTutti,10,FALSE)),"",IF(VLOOKUP($B428,TabAlgTutti,10,FALSE)="","",VLOOKUP($B428,TabAlgTutti,10,FALSE)&amp;"P "))&amp;IF(ISNA(VLOOKUP($B428,TabAlgTutti,11,FALSE)),"",IF(VLOOKUP($B428,TabAlgTutti,11,FALSE)="","",VLOOKUP($B428,TabAlgTutti,11,FALSE)&amp;"A"))</f>
        <v/>
      </c>
      <c r="J428" s="63">
        <f ca="1">IF(ISNA(VLOOKUP($B428,TabAlgTutti,3,FALSE)),0,VLOOKUP($B428,TabAlgTutti,3,FALSE))+ROW()/100000</f>
        <v>1.0042800000000001</v>
      </c>
      <c r="K428" s="63">
        <f ca="1">IF(ISNA(VLOOKUP($B428,TabAlgTutti,4,FALSE)),0,VLOOKUP($B428,TabAlgTutti,4,FALSE))+ROW()/100000</f>
        <v>1.0042800000000001</v>
      </c>
      <c r="L428" s="63" t="e">
        <f ca="1">VLOOKUP(Tabella114[[#This Row],[Calciatore]],'Raccolta Aste'!$K$2:$O$33,4,FALSE)*Asta!$U$3/100</f>
        <v>#N/A</v>
      </c>
      <c r="N428" s="58"/>
      <c r="O428" s="58"/>
      <c r="P428" s="58"/>
      <c r="Q428" s="58"/>
      <c r="R428" s="58"/>
      <c r="S428" s="58"/>
      <c r="W428" s="56">
        <f t="shared" ca="1" si="141"/>
        <v>77</v>
      </c>
      <c r="X428" s="56">
        <f t="shared" ca="1" si="142"/>
        <v>156</v>
      </c>
      <c r="Y428" s="56">
        <f t="shared" ca="1" si="143"/>
        <v>118</v>
      </c>
      <c r="Z428" s="56">
        <f t="shared" ca="1" si="144"/>
        <v>137</v>
      </c>
      <c r="AA428" s="56">
        <f t="shared" ca="1" si="145"/>
        <v>137</v>
      </c>
      <c r="AB428" s="56">
        <f ca="1">_xlfn.CEILING.MATH(INDIRECT(ADDRESS(311,22+MATCH($P$28,'I.A. + Fasce'!$W$84:$AA$84,0),1,1) &amp; ":" &amp; ADDRESS(531,22+MATCH($P$28,'I.A. + Fasce'!$W$84:$AA$84,0),1,1))/Asta!$H$3)</f>
        <v>15</v>
      </c>
    </row>
    <row r="429" spans="1:28" ht="14.25" customHeight="1">
      <c r="A429" s="239" t="str">
        <f ca="1">IF(Giocatori!J151="","C",Giocatori!J151)</f>
        <v>C</v>
      </c>
      <c r="B429" s="239" t="str">
        <f ca="1">IF(Giocatori!K182="","ZZZ" &amp; ROW(),Giocatori!K182)</f>
        <v>ZUCULINI B</v>
      </c>
      <c r="C429" s="239" t="str">
        <f ca="1">IF(Giocatori!L182="","NDR" &amp; ROW(),Giocatori!L182)</f>
        <v>Verona</v>
      </c>
      <c r="D429" s="63">
        <f ca="1">IF(ISNA(VLOOKUP($B429,TabAlgTutti,6,FALSE)),0,VLOOKUP($B429,TabAlgTutti,6,FALSE))+ROW()/100000</f>
        <v>65.004289999999997</v>
      </c>
      <c r="E429" s="63">
        <f ca="1">IF(ISNA(VLOOKUP($B429,TabAlgTutti,5,FALSE)),0,VLOOKUP($B429,TabAlgTutti,5,FALSE))+ROW()/100000</f>
        <v>36.004289999999997</v>
      </c>
      <c r="F429" s="64">
        <f ca="1">($D429*$P$8+$E429*(1+$E429*100/60/100)*$S$8)/100+ROW()/100000</f>
        <v>61.311154153367497</v>
      </c>
      <c r="G429" s="63" t="str">
        <f ca="1">IF(ISNA(VLOOKUP($B429,TabAlgTutti,7,FALSE)),"",IF(VLOOKUP($B429,TabAlgTutti,7,FALSE)=-1,"SCONSIGLIATO",IF(VLOOKUP($B429,TabAlgTutti,7,FALSE)=0,"SORPRESA",IF(VLOOKUP($B429,TabAlgTutti,7,FALSE)=1,"CONSIGLIATO",""))))</f>
        <v/>
      </c>
      <c r="H429" s="65">
        <f ca="1">IF(ISNA(VLOOKUP($B429,TabAlgTutti,8,FALSE)),"",VLOOKUP($B429,TabAlgTutti,8,FALSE))</f>
        <v>70</v>
      </c>
      <c r="I429" s="63" t="str">
        <f ca="1">IF(ISNA(VLOOKUP($B429,TabAlgTutti,9,FALSE)),"",IF(VLOOKUP($B429,TabAlgTutti,9,FALSE)="","",VLOOKUP($B429,TabAlgTutti,9,FALSE)&amp;"R "))&amp;IF(ISNA(VLOOKUP($B429,TabAlgTutti,10,FALSE)),"",IF(VLOOKUP($B429,TabAlgTutti,10,FALSE)="","",VLOOKUP($B429,TabAlgTutti,10,FALSE)&amp;"P "))&amp;IF(ISNA(VLOOKUP($B429,TabAlgTutti,11,FALSE)),"",IF(VLOOKUP($B429,TabAlgTutti,11,FALSE)="","",VLOOKUP($B429,TabAlgTutti,11,FALSE)&amp;"A"))</f>
        <v/>
      </c>
      <c r="J429" s="63">
        <f ca="1">IF(ISNA(VLOOKUP($B429,TabAlgTutti,3,FALSE)),0,VLOOKUP($B429,TabAlgTutti,3,FALSE))+ROW()/100000</f>
        <v>1.0042899999999999</v>
      </c>
      <c r="K429" s="63">
        <f ca="1">IF(ISNA(VLOOKUP($B429,TabAlgTutti,4,FALSE)),0,VLOOKUP($B429,TabAlgTutti,4,FALSE))+ROW()/100000</f>
        <v>1.0042899999999999</v>
      </c>
      <c r="L429" s="63" t="e">
        <f ca="1">VLOOKUP(Tabella114[[#This Row],[Calciatore]],'Raccolta Aste'!$K$2:$O$33,4,FALSE)*Asta!$U$3/100</f>
        <v>#N/A</v>
      </c>
      <c r="N429" s="58"/>
      <c r="O429" s="58"/>
      <c r="P429" s="58"/>
      <c r="Q429" s="58"/>
      <c r="R429" s="58"/>
      <c r="S429" s="58"/>
      <c r="W429" s="56">
        <f t="shared" ca="1" si="141"/>
        <v>124</v>
      </c>
      <c r="X429" s="56">
        <f t="shared" ca="1" si="142"/>
        <v>115</v>
      </c>
      <c r="Y429" s="56">
        <f t="shared" ca="1" si="143"/>
        <v>119</v>
      </c>
      <c r="Z429" s="56">
        <f t="shared" ca="1" si="144"/>
        <v>136</v>
      </c>
      <c r="AA429" s="56">
        <f t="shared" ca="1" si="145"/>
        <v>136</v>
      </c>
      <c r="AB429" s="56">
        <f ca="1">_xlfn.CEILING.MATH(INDIRECT(ADDRESS(311,22+MATCH($P$28,'I.A. + Fasce'!$W$84:$AA$84,0),1,1) &amp; ":" &amp; ADDRESS(531,22+MATCH($P$28,'I.A. + Fasce'!$W$84:$AA$84,0),1,1))/Asta!$H$3)</f>
        <v>15</v>
      </c>
    </row>
    <row r="430" spans="1:28" ht="14.25" customHeight="1">
      <c r="A430" s="239" t="str">
        <f ca="1">IF(Giocatori!J20="","C",Giocatori!J20)</f>
        <v>C</v>
      </c>
      <c r="B430" s="239" t="str">
        <f ca="1">IF(Giocatori!K20="","ZZZ" &amp; ROW(),Giocatori!K20)</f>
        <v>BEHRAMI</v>
      </c>
      <c r="C430" s="239" t="str">
        <f ca="1">IF(Giocatori!L20="","NDR" &amp; ROW(),Giocatori!L20)</f>
        <v>Udinese</v>
      </c>
      <c r="D430" s="63">
        <f ca="1">IF(ISNA(VLOOKUP($B430,TabAlgTutti,6,FALSE)),0,VLOOKUP($B430,TabAlgTutti,6,FALSE))+ROW()/100000</f>
        <v>67.004300000000001</v>
      </c>
      <c r="E430" s="63">
        <f ca="1">IF(ISNA(VLOOKUP($B430,TabAlgTutti,5,FALSE)),0,VLOOKUP($B430,TabAlgTutti,5,FALSE))+ROW()/100000</f>
        <v>35.004300000000001</v>
      </c>
      <c r="F430" s="64">
        <f ca="1">($D430*$P$8+$E430*(1+$E430*100/60/100)*$S$8)/100+ROW()/100000</f>
        <v>61.219441820749999</v>
      </c>
      <c r="G430" s="63" t="str">
        <f ca="1">IF(ISNA(VLOOKUP($B430,TabAlgTutti,7,FALSE)),"",IF(VLOOKUP($B430,TabAlgTutti,7,FALSE)=-1,"SCONSIGLIATO",IF(VLOOKUP($B430,TabAlgTutti,7,FALSE)=0,"SORPRESA",IF(VLOOKUP($B430,TabAlgTutti,7,FALSE)=1,"CONSIGLIATO",""))))</f>
        <v/>
      </c>
      <c r="H430" s="65">
        <f ca="1">IF(ISNA(VLOOKUP($B430,TabAlgTutti,8,FALSE)),"",VLOOKUP($B430,TabAlgTutti,8,FALSE))</f>
        <v>60</v>
      </c>
      <c r="I430" s="63" t="str">
        <f ca="1">IF(ISNA(VLOOKUP($B430,TabAlgTutti,9,FALSE)),"",IF(VLOOKUP($B430,TabAlgTutti,9,FALSE)="","",VLOOKUP($B430,TabAlgTutti,9,FALSE)&amp;"R "))&amp;IF(ISNA(VLOOKUP($B430,TabAlgTutti,10,FALSE)),"",IF(VLOOKUP($B430,TabAlgTutti,10,FALSE)="","",VLOOKUP($B430,TabAlgTutti,10,FALSE)&amp;"P "))&amp;IF(ISNA(VLOOKUP($B430,TabAlgTutti,11,FALSE)),"",IF(VLOOKUP($B430,TabAlgTutti,11,FALSE)="","",VLOOKUP($B430,TabAlgTutti,11,FALSE)&amp;"A"))</f>
        <v/>
      </c>
      <c r="J430" s="63">
        <f ca="1">IF(ISNA(VLOOKUP($B430,TabAlgTutti,3,FALSE)),0,VLOOKUP($B430,TabAlgTutti,3,FALSE))+ROW()/100000</f>
        <v>1.0043</v>
      </c>
      <c r="K430" s="63">
        <f ca="1">IF(ISNA(VLOOKUP($B430,TabAlgTutti,4,FALSE)),0,VLOOKUP($B430,TabAlgTutti,4,FALSE))+ROW()/100000</f>
        <v>1.0043</v>
      </c>
      <c r="L430" s="63" t="e">
        <f ca="1">VLOOKUP(Tabella114[[#This Row],[Calciatore]],'Raccolta Aste'!$K$2:$O$33,4,FALSE)*Asta!$U$3/100</f>
        <v>#N/A</v>
      </c>
      <c r="N430" s="58"/>
      <c r="O430" s="58"/>
      <c r="P430" s="58"/>
      <c r="Q430" s="58"/>
      <c r="R430" s="58"/>
      <c r="S430" s="58"/>
      <c r="W430" s="56">
        <f t="shared" ca="1" si="141"/>
        <v>113</v>
      </c>
      <c r="X430" s="56">
        <f t="shared" ca="1" si="142"/>
        <v>121</v>
      </c>
      <c r="Y430" s="56">
        <f t="shared" ca="1" si="143"/>
        <v>120</v>
      </c>
      <c r="Z430" s="56">
        <f t="shared" ca="1" si="144"/>
        <v>135</v>
      </c>
      <c r="AA430" s="56">
        <f t="shared" ca="1" si="145"/>
        <v>135</v>
      </c>
      <c r="AB430" s="56">
        <f ca="1">_xlfn.CEILING.MATH(INDIRECT(ADDRESS(311,22+MATCH($P$28,'I.A. + Fasce'!$W$84:$AA$84,0),1,1) &amp; ":" &amp; ADDRESS(531,22+MATCH($P$28,'I.A. + Fasce'!$W$84:$AA$84,0),1,1))/Asta!$H$3)</f>
        <v>15</v>
      </c>
    </row>
    <row r="431" spans="1:28" ht="14.25" customHeight="1">
      <c r="A431" s="239" t="str">
        <f ca="1">IF(Giocatori!J122="","C",Giocatori!J122)</f>
        <v>C</v>
      </c>
      <c r="B431" s="239" t="str">
        <f ca="1">IF(Giocatori!K122="","ZZZ" &amp; ROW(),Giocatori!K122)</f>
        <v>MAZZITELLI</v>
      </c>
      <c r="C431" s="239" t="str">
        <f ca="1">IF(Giocatori!L122="","NDR" &amp; ROW(),Giocatori!L122)</f>
        <v>Sassuolo</v>
      </c>
      <c r="D431" s="63">
        <f ca="1">IF(ISNA(VLOOKUP($B431,TabAlgTutti,6,FALSE)),0,VLOOKUP($B431,TabAlgTutti,6,FALSE))+ROW()/100000</f>
        <v>69.004310000000004</v>
      </c>
      <c r="E431" s="63">
        <f ca="1">IF(ISNA(VLOOKUP($B431,TabAlgTutti,5,FALSE)),0,VLOOKUP($B431,TabAlgTutti,5,FALSE))+ROW()/100000</f>
        <v>34.004309999999997</v>
      </c>
      <c r="F431" s="64">
        <f ca="1">($D431*$P$8+$E431*(1+$E431*100/60/100)*$S$8)/100+ROW()/100000</f>
        <v>61.144395821467498</v>
      </c>
      <c r="G431" s="63" t="str">
        <f ca="1">IF(ISNA(VLOOKUP($B431,TabAlgTutti,7,FALSE)),"",IF(VLOOKUP($B431,TabAlgTutti,7,FALSE)=-1,"SCONSIGLIATO",IF(VLOOKUP($B431,TabAlgTutti,7,FALSE)=0,"SORPRESA",IF(VLOOKUP($B431,TabAlgTutti,7,FALSE)=1,"CONSIGLIATO",""))))</f>
        <v/>
      </c>
      <c r="H431" s="65">
        <f ca="1">IF(ISNA(VLOOKUP($B431,TabAlgTutti,8,FALSE)),"",VLOOKUP($B431,TabAlgTutti,8,FALSE))</f>
        <v>50</v>
      </c>
      <c r="I431" s="63" t="str">
        <f ca="1">IF(ISNA(VLOOKUP($B431,TabAlgTutti,9,FALSE)),"",IF(VLOOKUP($B431,TabAlgTutti,9,FALSE)="","",VLOOKUP($B431,TabAlgTutti,9,FALSE)&amp;"R "))&amp;IF(ISNA(VLOOKUP($B431,TabAlgTutti,10,FALSE)),"",IF(VLOOKUP($B431,TabAlgTutti,10,FALSE)="","",VLOOKUP($B431,TabAlgTutti,10,FALSE)&amp;"P "))&amp;IF(ISNA(VLOOKUP($B431,TabAlgTutti,11,FALSE)),"",IF(VLOOKUP($B431,TabAlgTutti,11,FALSE)="","",VLOOKUP($B431,TabAlgTutti,11,FALSE)&amp;"A"))</f>
        <v/>
      </c>
      <c r="J431" s="63">
        <f ca="1">IF(ISNA(VLOOKUP($B431,TabAlgTutti,3,FALSE)),0,VLOOKUP($B431,TabAlgTutti,3,FALSE))+ROW()/100000</f>
        <v>1.00431</v>
      </c>
      <c r="K431" s="63">
        <f ca="1">IF(ISNA(VLOOKUP($B431,TabAlgTutti,4,FALSE)),0,VLOOKUP($B431,TabAlgTutti,4,FALSE))+ROW()/100000</f>
        <v>1.00431</v>
      </c>
      <c r="L431" s="63" t="e">
        <f ca="1">VLOOKUP(Tabella114[[#This Row],[Calciatore]],'Raccolta Aste'!$K$2:$O$33,4,FALSE)*Asta!$U$3/100</f>
        <v>#N/A</v>
      </c>
      <c r="N431" s="58"/>
      <c r="O431" s="58"/>
      <c r="P431" s="58"/>
      <c r="Q431" s="58"/>
      <c r="R431" s="58"/>
      <c r="S431" s="58"/>
      <c r="W431" s="56">
        <f t="shared" ca="1" si="141"/>
        <v>93</v>
      </c>
      <c r="X431" s="56">
        <f t="shared" ca="1" si="142"/>
        <v>145</v>
      </c>
      <c r="Y431" s="56">
        <f t="shared" ca="1" si="143"/>
        <v>121</v>
      </c>
      <c r="Z431" s="56">
        <f t="shared" ca="1" si="144"/>
        <v>134</v>
      </c>
      <c r="AA431" s="56">
        <f t="shared" ca="1" si="145"/>
        <v>134</v>
      </c>
      <c r="AB431" s="56">
        <f ca="1">_xlfn.CEILING.MATH(INDIRECT(ADDRESS(311,22+MATCH($P$28,'I.A. + Fasce'!$W$84:$AA$84,0),1,1) &amp; ":" &amp; ADDRESS(531,22+MATCH($P$28,'I.A. + Fasce'!$W$84:$AA$84,0),1,1))/Asta!$H$3)</f>
        <v>16</v>
      </c>
    </row>
    <row r="432" spans="1:28" ht="14.25" customHeight="1">
      <c r="A432" s="239" t="str">
        <f ca="1">IF(Giocatori!J50="","C",Giocatori!J50)</f>
        <v>C</v>
      </c>
      <c r="B432" s="239" t="str">
        <f ca="1">IF(Giocatori!K50="","ZZZ" &amp; ROW(),Giocatori!K50)</f>
        <v>CRISTOFORO</v>
      </c>
      <c r="C432" s="239" t="str">
        <f ca="1">IF(Giocatori!L50="","NDR" &amp; ROW(),Giocatori!L50)</f>
        <v>Fiorentina</v>
      </c>
      <c r="D432" s="63">
        <f ca="1">IF(ISNA(VLOOKUP($B432,TabAlgTutti,6,FALSE)),0,VLOOKUP($B432,TabAlgTutti,6,FALSE))+ROW()/100000</f>
        <v>64.004320000000007</v>
      </c>
      <c r="E432" s="63">
        <f ca="1">IF(ISNA(VLOOKUP($B432,TabAlgTutti,5,FALSE)),0,VLOOKUP($B432,TabAlgTutti,5,FALSE))+ROW()/100000</f>
        <v>36.00432</v>
      </c>
      <c r="F432" s="64">
        <f ca="1">($D432*$P$8+$E432*(1+$E432*100/60/100)*$S$8)/100+ROW()/100000</f>
        <v>60.811232155520003</v>
      </c>
      <c r="G432" s="63" t="str">
        <f ca="1">IF(ISNA(VLOOKUP($B432,TabAlgTutti,7,FALSE)),"",IF(VLOOKUP($B432,TabAlgTutti,7,FALSE)=-1,"SCONSIGLIATO",IF(VLOOKUP($B432,TabAlgTutti,7,FALSE)=0,"SORPRESA",IF(VLOOKUP($B432,TabAlgTutti,7,FALSE)=1,"CONSIGLIATO",""))))</f>
        <v/>
      </c>
      <c r="H432" s="65">
        <f ca="1">IF(ISNA(VLOOKUP($B432,TabAlgTutti,8,FALSE)),"",VLOOKUP($B432,TabAlgTutti,8,FALSE))</f>
        <v>50</v>
      </c>
      <c r="I432" s="63" t="str">
        <f ca="1">IF(ISNA(VLOOKUP($B432,TabAlgTutti,9,FALSE)),"",IF(VLOOKUP($B432,TabAlgTutti,9,FALSE)="","",VLOOKUP($B432,TabAlgTutti,9,FALSE)&amp;"R "))&amp;IF(ISNA(VLOOKUP($B432,TabAlgTutti,10,FALSE)),"",IF(VLOOKUP($B432,TabAlgTutti,10,FALSE)="","",VLOOKUP($B432,TabAlgTutti,10,FALSE)&amp;"P "))&amp;IF(ISNA(VLOOKUP($B432,TabAlgTutti,11,FALSE)),"",IF(VLOOKUP($B432,TabAlgTutti,11,FALSE)="","",VLOOKUP($B432,TabAlgTutti,11,FALSE)&amp;"A"))</f>
        <v/>
      </c>
      <c r="J432" s="63">
        <f ca="1">IF(ISNA(VLOOKUP($B432,TabAlgTutti,3,FALSE)),0,VLOOKUP($B432,TabAlgTutti,3,FALSE))+ROW()/100000</f>
        <v>1.0043200000000001</v>
      </c>
      <c r="K432" s="63">
        <f ca="1">IF(ISNA(VLOOKUP($B432,TabAlgTutti,4,FALSE)),0,VLOOKUP($B432,TabAlgTutti,4,FALSE))+ROW()/100000</f>
        <v>1.0043200000000001</v>
      </c>
      <c r="L432" s="63" t="e">
        <f ca="1">VLOOKUP(Tabella114[[#This Row],[Calciatore]],'Raccolta Aste'!$K$2:$O$33,4,FALSE)*Asta!$U$3/100</f>
        <v>#N/A</v>
      </c>
      <c r="N432" s="58"/>
      <c r="O432" s="547" t="s">
        <v>704</v>
      </c>
      <c r="P432" s="547"/>
      <c r="Q432" s="58"/>
      <c r="R432" s="58"/>
      <c r="S432" s="58"/>
      <c r="W432" s="56">
        <f t="shared" ca="1" si="141"/>
        <v>131</v>
      </c>
      <c r="X432" s="56">
        <f t="shared" ca="1" si="142"/>
        <v>114</v>
      </c>
      <c r="Y432" s="56">
        <f t="shared" ca="1" si="143"/>
        <v>122</v>
      </c>
      <c r="Z432" s="56">
        <f t="shared" ca="1" si="144"/>
        <v>133</v>
      </c>
      <c r="AA432" s="56">
        <f t="shared" ca="1" si="145"/>
        <v>133</v>
      </c>
      <c r="AB432" s="56">
        <f ca="1">_xlfn.CEILING.MATH(INDIRECT(ADDRESS(311,22+MATCH($P$28,'I.A. + Fasce'!$W$84:$AA$84,0),1,1) &amp; ":" &amp; ADDRESS(531,22+MATCH($P$28,'I.A. + Fasce'!$W$84:$AA$84,0),1,1))/Asta!$H$3)</f>
        <v>16</v>
      </c>
    </row>
    <row r="433" spans="1:28" ht="14.25" customHeight="1">
      <c r="A433" s="239" t="str">
        <f ca="1">IF(Giocatori!J225="","C",Giocatori!J225)</f>
        <v>C</v>
      </c>
      <c r="B433" s="239" t="str">
        <f ca="1">IF(Giocatori!K174="","ZZZ" &amp; ROW(),Giocatori!K174)</f>
        <v>VERRE</v>
      </c>
      <c r="C433" s="239" t="str">
        <f ca="1">IF(Giocatori!L174="","NDR" &amp; ROW(),Giocatori!L174)</f>
        <v>Sampdoria</v>
      </c>
      <c r="D433" s="63">
        <f ca="1">IF(ISNA(VLOOKUP($B433,TabAlgTutti,6,FALSE)),0,VLOOKUP($B433,TabAlgTutti,6,FALSE))+ROW()/100000</f>
        <v>68.004329999999996</v>
      </c>
      <c r="E433" s="63">
        <f ca="1">IF(ISNA(VLOOKUP($B433,TabAlgTutti,5,FALSE)),0,VLOOKUP($B433,TabAlgTutti,5,FALSE))+ROW()/100000</f>
        <v>34.004330000000003</v>
      </c>
      <c r="F433" s="64">
        <f ca="1">($D433*$P$8+$E433*(1+$E433*100/60/100)*$S$8)/100+ROW()/100000</f>
        <v>60.644447156240837</v>
      </c>
      <c r="G433" s="63" t="str">
        <f ca="1">IF(ISNA(VLOOKUP($B433,TabAlgTutti,7,FALSE)),"",IF(VLOOKUP($B433,TabAlgTutti,7,FALSE)=-1,"SCONSIGLIATO",IF(VLOOKUP($B433,TabAlgTutti,7,FALSE)=0,"SORPRESA",IF(VLOOKUP($B433,TabAlgTutti,7,FALSE)=1,"CONSIGLIATO",""))))</f>
        <v/>
      </c>
      <c r="H433" s="65">
        <f ca="1">IF(ISNA(VLOOKUP($B433,TabAlgTutti,8,FALSE)),"",VLOOKUP($B433,TabAlgTutti,8,FALSE))</f>
        <v>50</v>
      </c>
      <c r="I433" s="63" t="str">
        <f ca="1">IF(ISNA(VLOOKUP($B433,TabAlgTutti,9,FALSE)),"",IF(VLOOKUP($B433,TabAlgTutti,9,FALSE)="","",VLOOKUP($B433,TabAlgTutti,9,FALSE)&amp;"R "))&amp;IF(ISNA(VLOOKUP($B433,TabAlgTutti,10,FALSE)),"",IF(VLOOKUP($B433,TabAlgTutti,10,FALSE)="","",VLOOKUP($B433,TabAlgTutti,10,FALSE)&amp;"P "))&amp;IF(ISNA(VLOOKUP($B433,TabAlgTutti,11,FALSE)),"",IF(VLOOKUP($B433,TabAlgTutti,11,FALSE)="","",VLOOKUP($B433,TabAlgTutti,11,FALSE)&amp;"A"))</f>
        <v/>
      </c>
      <c r="J433" s="63">
        <f ca="1">IF(ISNA(VLOOKUP($B433,TabAlgTutti,3,FALSE)),0,VLOOKUP($B433,TabAlgTutti,3,FALSE))+ROW()/100000</f>
        <v>1.0043299999999999</v>
      </c>
      <c r="K433" s="63">
        <f ca="1">IF(ISNA(VLOOKUP($B433,TabAlgTutti,4,FALSE)),0,VLOOKUP($B433,TabAlgTutti,4,FALSE))+ROW()/100000</f>
        <v>1.0043299999999999</v>
      </c>
      <c r="L433" s="63" t="e">
        <f ca="1">VLOOKUP(Tabella114[[#This Row],[Calciatore]],'Raccolta Aste'!$K$2:$O$33,4,FALSE)*Asta!$U$3/100</f>
        <v>#N/A</v>
      </c>
      <c r="N433" s="58"/>
      <c r="O433" s="58"/>
      <c r="P433" s="58"/>
      <c r="Q433" s="58"/>
      <c r="R433" s="58"/>
      <c r="S433" s="58"/>
      <c r="W433" s="56">
        <f t="shared" ca="1" si="141"/>
        <v>104</v>
      </c>
      <c r="X433" s="56">
        <f t="shared" ca="1" si="142"/>
        <v>144</v>
      </c>
      <c r="Y433" s="56">
        <f t="shared" ca="1" si="143"/>
        <v>124</v>
      </c>
      <c r="Z433" s="56">
        <f t="shared" ca="1" si="144"/>
        <v>132</v>
      </c>
      <c r="AA433" s="56">
        <f t="shared" ca="1" si="145"/>
        <v>132</v>
      </c>
      <c r="AB433" s="56">
        <f ca="1">_xlfn.CEILING.MATH(INDIRECT(ADDRESS(311,22+MATCH($P$28,'I.A. + Fasce'!$W$84:$AA$84,0),1,1) &amp; ":" &amp; ADDRESS(531,22+MATCH($P$28,'I.A. + Fasce'!$W$84:$AA$84,0),1,1))/Asta!$H$3)</f>
        <v>16</v>
      </c>
    </row>
    <row r="434" spans="1:28" ht="14.25" customHeight="1">
      <c r="A434" s="239" t="str">
        <f ca="1">IF(Giocatori!J220="","C",Giocatori!J220)</f>
        <v>C</v>
      </c>
      <c r="B434" s="239" t="str">
        <f ca="1">IF(Giocatori!K169="","ZZZ" &amp; ROW(),Giocatori!K169)</f>
        <v>VALDIFIORI</v>
      </c>
      <c r="C434" s="239" t="str">
        <f ca="1">IF(Giocatori!L169="","NDR" &amp; ROW(),Giocatori!L169)</f>
        <v>Torino</v>
      </c>
      <c r="D434" s="63">
        <f ca="1">IF(ISNA(VLOOKUP($B434,TabAlgTutti,6,FALSE)),0,VLOOKUP($B434,TabAlgTutti,6,FALSE))+ROW()/100000</f>
        <v>68.004339999999999</v>
      </c>
      <c r="E434" s="63">
        <f ca="1">IF(ISNA(VLOOKUP($B434,TabAlgTutti,5,FALSE)),0,VLOOKUP($B434,TabAlgTutti,5,FALSE))+ROW()/100000</f>
        <v>34.004339999999999</v>
      </c>
      <c r="F434" s="64">
        <f ca="1">($D434*$P$8+$E434*(1+$E434*100/60/100)*$S$8)/100+ROW()/100000</f>
        <v>60.644472823630004</v>
      </c>
      <c r="G434" s="63" t="str">
        <f ca="1">IF(ISNA(VLOOKUP($B434,TabAlgTutti,7,FALSE)),"",IF(VLOOKUP($B434,TabAlgTutti,7,FALSE)=-1,"SCONSIGLIATO",IF(VLOOKUP($B434,TabAlgTutti,7,FALSE)=0,"SORPRESA",IF(VLOOKUP($B434,TabAlgTutti,7,FALSE)=1,"CONSIGLIATO",""))))</f>
        <v/>
      </c>
      <c r="H434" s="65">
        <f ca="1">IF(ISNA(VLOOKUP($B434,TabAlgTutti,8,FALSE)),"",VLOOKUP($B434,TabAlgTutti,8,FALSE))</f>
        <v>50</v>
      </c>
      <c r="I434" s="63" t="str">
        <f ca="1">IF(ISNA(VLOOKUP($B434,TabAlgTutti,9,FALSE)),"",IF(VLOOKUP($B434,TabAlgTutti,9,FALSE)="","",VLOOKUP($B434,TabAlgTutti,9,FALSE)&amp;"R "))&amp;IF(ISNA(VLOOKUP($B434,TabAlgTutti,10,FALSE)),"",IF(VLOOKUP($B434,TabAlgTutti,10,FALSE)="","",VLOOKUP($B434,TabAlgTutti,10,FALSE)&amp;"P "))&amp;IF(ISNA(VLOOKUP($B434,TabAlgTutti,11,FALSE)),"",IF(VLOOKUP($B434,TabAlgTutti,11,FALSE)="","",VLOOKUP($B434,TabAlgTutti,11,FALSE)&amp;"A"))</f>
        <v>2P 2A</v>
      </c>
      <c r="J434" s="63">
        <f ca="1">IF(ISNA(VLOOKUP($B434,TabAlgTutti,3,FALSE)),0,VLOOKUP($B434,TabAlgTutti,3,FALSE))+ROW()/100000</f>
        <v>1.00434</v>
      </c>
      <c r="K434" s="63">
        <f ca="1">IF(ISNA(VLOOKUP($B434,TabAlgTutti,4,FALSE)),0,VLOOKUP($B434,TabAlgTutti,4,FALSE))+ROW()/100000</f>
        <v>1.00434</v>
      </c>
      <c r="L434" s="63" t="e">
        <f ca="1">VLOOKUP(Tabella114[[#This Row],[Calciatore]],'Raccolta Aste'!$K$2:$O$33,4,FALSE)*Asta!$U$3/100</f>
        <v>#N/A</v>
      </c>
      <c r="N434" s="58"/>
      <c r="O434" s="58"/>
      <c r="P434" s="58"/>
      <c r="Q434" s="58"/>
      <c r="R434" s="58"/>
      <c r="S434" s="58"/>
      <c r="W434" s="56">
        <f t="shared" ca="1" si="141"/>
        <v>103</v>
      </c>
      <c r="X434" s="56">
        <f t="shared" ca="1" si="142"/>
        <v>143</v>
      </c>
      <c r="Y434" s="56">
        <f t="shared" ca="1" si="143"/>
        <v>123</v>
      </c>
      <c r="Z434" s="56">
        <f t="shared" ca="1" si="144"/>
        <v>131</v>
      </c>
      <c r="AA434" s="56">
        <f t="shared" ca="1" si="145"/>
        <v>131</v>
      </c>
      <c r="AB434" s="56">
        <f ca="1">_xlfn.CEILING.MATH(INDIRECT(ADDRESS(311,22+MATCH($P$28,'I.A. + Fasce'!$W$84:$AA$84,0),1,1) &amp; ":" &amp; ADDRESS(531,22+MATCH($P$28,'I.A. + Fasce'!$W$84:$AA$84,0),1,1))/Asta!$H$3)</f>
        <v>16</v>
      </c>
    </row>
    <row r="435" spans="1:28" ht="14.25" customHeight="1">
      <c r="A435" s="239" t="str">
        <f ca="1">IF(Giocatori!J77="","C",Giocatori!J77)</f>
        <v>C</v>
      </c>
      <c r="B435" s="239" t="str">
        <f ca="1">IF(Giocatori!K77="","ZZZ" &amp; ROW(),Giocatori!K77)</f>
        <v>GARRITANO</v>
      </c>
      <c r="C435" s="239" t="str">
        <f ca="1">IF(Giocatori!L77="","NDR" &amp; ROW(),Giocatori!L77)</f>
        <v>Chievo</v>
      </c>
      <c r="D435" s="63">
        <f ca="1">IF(ISNA(VLOOKUP($B435,TabAlgTutti,6,FALSE)),0,VLOOKUP($B435,TabAlgTutti,6,FALSE))+ROW()/100000</f>
        <v>63.004350000000002</v>
      </c>
      <c r="E435" s="63">
        <f ca="1">IF(ISNA(VLOOKUP($B435,TabAlgTutti,5,FALSE)),0,VLOOKUP($B435,TabAlgTutti,5,FALSE))+ROW()/100000</f>
        <v>36.004350000000002</v>
      </c>
      <c r="F435" s="64">
        <f ca="1">($D435*$P$8+$E435*(1+$E435*100/60/100)*$S$8)/100+ROW()/100000</f>
        <v>60.311310157687501</v>
      </c>
      <c r="G435" s="63" t="str">
        <f ca="1">IF(ISNA(VLOOKUP($B435,TabAlgTutti,7,FALSE)),"",IF(VLOOKUP($B435,TabAlgTutti,7,FALSE)=-1,"SCONSIGLIATO",IF(VLOOKUP($B435,TabAlgTutti,7,FALSE)=0,"SORPRESA",IF(VLOOKUP($B435,TabAlgTutti,7,FALSE)=1,"CONSIGLIATO",""))))</f>
        <v>SORPRESA</v>
      </c>
      <c r="H435" s="65">
        <f ca="1">IF(ISNA(VLOOKUP($B435,TabAlgTutti,8,FALSE)),"",VLOOKUP($B435,TabAlgTutti,8,FALSE))</f>
        <v>50</v>
      </c>
      <c r="I435" s="63" t="str">
        <f ca="1">IF(ISNA(VLOOKUP($B435,TabAlgTutti,9,FALSE)),"",IF(VLOOKUP($B435,TabAlgTutti,9,FALSE)="","",VLOOKUP($B435,TabAlgTutti,9,FALSE)&amp;"R "))&amp;IF(ISNA(VLOOKUP($B435,TabAlgTutti,10,FALSE)),"",IF(VLOOKUP($B435,TabAlgTutti,10,FALSE)="","",VLOOKUP($B435,TabAlgTutti,10,FALSE)&amp;"P "))&amp;IF(ISNA(VLOOKUP($B435,TabAlgTutti,11,FALSE)),"",IF(VLOOKUP($B435,TabAlgTutti,11,FALSE)="","",VLOOKUP($B435,TabAlgTutti,11,FALSE)&amp;"A"))</f>
        <v/>
      </c>
      <c r="J435" s="63">
        <f ca="1">IF(ISNA(VLOOKUP($B435,TabAlgTutti,3,FALSE)),0,VLOOKUP($B435,TabAlgTutti,3,FALSE))+ROW()/100000</f>
        <v>1.0043500000000001</v>
      </c>
      <c r="K435" s="63">
        <f ca="1">IF(ISNA(VLOOKUP($B435,TabAlgTutti,4,FALSE)),0,VLOOKUP($B435,TabAlgTutti,4,FALSE))+ROW()/100000</f>
        <v>1.0043500000000001</v>
      </c>
      <c r="L435" s="63" t="e">
        <f ca="1">VLOOKUP(Tabella114[[#This Row],[Calciatore]],'Raccolta Aste'!$K$2:$O$33,4,FALSE)*Asta!$U$3/100</f>
        <v>#N/A</v>
      </c>
      <c r="N435" s="58"/>
      <c r="O435" s="58"/>
      <c r="P435" s="58"/>
      <c r="Q435" s="58"/>
      <c r="R435" s="58"/>
      <c r="S435" s="58"/>
      <c r="W435" s="56">
        <f t="shared" ca="1" si="141"/>
        <v>136</v>
      </c>
      <c r="X435" s="56">
        <f t="shared" ca="1" si="142"/>
        <v>113</v>
      </c>
      <c r="Y435" s="56">
        <f t="shared" ca="1" si="143"/>
        <v>125</v>
      </c>
      <c r="Z435" s="56">
        <f t="shared" ca="1" si="144"/>
        <v>130</v>
      </c>
      <c r="AA435" s="56">
        <f t="shared" ca="1" si="145"/>
        <v>130</v>
      </c>
      <c r="AB435" s="56">
        <f ca="1">_xlfn.CEILING.MATH(INDIRECT(ADDRESS(311,22+MATCH($P$28,'I.A. + Fasce'!$W$84:$AA$84,0),1,1) &amp; ":" &amp; ADDRESS(531,22+MATCH($P$28,'I.A. + Fasce'!$W$84:$AA$84,0),1,1))/Asta!$H$3)</f>
        <v>16</v>
      </c>
    </row>
    <row r="436" spans="1:28" ht="14.25" customHeight="1">
      <c r="A436" s="239" t="str">
        <f ca="1">IF(Giocatori!J63="","C",Giocatori!J63)</f>
        <v>C</v>
      </c>
      <c r="B436" s="239" t="str">
        <f ca="1">IF(Giocatori!K63="","ZZZ" &amp; ROW(),Giocatori!K63)</f>
        <v>DONSAH</v>
      </c>
      <c r="C436" s="239" t="str">
        <f ca="1">IF(Giocatori!L63="","NDR" &amp; ROW(),Giocatori!L63)</f>
        <v>Bologna</v>
      </c>
      <c r="D436" s="63">
        <f ca="1">IF(ISNA(VLOOKUP($B436,TabAlgTutti,6,FALSE)),0,VLOOKUP($B436,TabAlgTutti,6,FALSE))+ROW()/100000</f>
        <v>65.004360000000005</v>
      </c>
      <c r="E436" s="63">
        <f ca="1">IF(ISNA(VLOOKUP($B436,TabAlgTutti,5,FALSE)),0,VLOOKUP($B436,TabAlgTutti,5,FALSE))+ROW()/100000</f>
        <v>35.004359999999998</v>
      </c>
      <c r="F436" s="64">
        <f ca="1">($D436*$P$8+$E436*(1+$E436*100/60/100)*$S$8)/100+ROW()/100000</f>
        <v>60.219596825079996</v>
      </c>
      <c r="G436" s="63" t="str">
        <f ca="1">IF(ISNA(VLOOKUP($B436,TabAlgTutti,7,FALSE)),"",IF(VLOOKUP($B436,TabAlgTutti,7,FALSE)=-1,"SCONSIGLIATO",IF(VLOOKUP($B436,TabAlgTutti,7,FALSE)=0,"SORPRESA",IF(VLOOKUP($B436,TabAlgTutti,7,FALSE)=1,"CONSIGLIATO",""))))</f>
        <v/>
      </c>
      <c r="H436" s="65">
        <f ca="1">IF(ISNA(VLOOKUP($B436,TabAlgTutti,8,FALSE)),"",VLOOKUP($B436,TabAlgTutti,8,FALSE))</f>
        <v>50</v>
      </c>
      <c r="I436" s="63" t="str">
        <f ca="1">IF(ISNA(VLOOKUP($B436,TabAlgTutti,9,FALSE)),"",IF(VLOOKUP($B436,TabAlgTutti,9,FALSE)="","",VLOOKUP($B436,TabAlgTutti,9,FALSE)&amp;"R "))&amp;IF(ISNA(VLOOKUP($B436,TabAlgTutti,10,FALSE)),"",IF(VLOOKUP($B436,TabAlgTutti,10,FALSE)="","",VLOOKUP($B436,TabAlgTutti,10,FALSE)&amp;"P "))&amp;IF(ISNA(VLOOKUP($B436,TabAlgTutti,11,FALSE)),"",IF(VLOOKUP($B436,TabAlgTutti,11,FALSE)="","",VLOOKUP($B436,TabAlgTutti,11,FALSE)&amp;"A"))</f>
        <v/>
      </c>
      <c r="J436" s="63">
        <f ca="1">IF(ISNA(VLOOKUP($B436,TabAlgTutti,3,FALSE)),0,VLOOKUP($B436,TabAlgTutti,3,FALSE))+ROW()/100000</f>
        <v>1.0043599999999999</v>
      </c>
      <c r="K436" s="63">
        <f ca="1">IF(ISNA(VLOOKUP($B436,TabAlgTutti,4,FALSE)),0,VLOOKUP($B436,TabAlgTutti,4,FALSE))+ROW()/100000</f>
        <v>1.0043599999999999</v>
      </c>
      <c r="L436" s="63" t="e">
        <f ca="1">VLOOKUP(Tabella114[[#This Row],[Calciatore]],'Raccolta Aste'!$K$2:$O$33,4,FALSE)*Asta!$U$3/100</f>
        <v>#N/A</v>
      </c>
      <c r="N436" s="58"/>
      <c r="O436" s="58"/>
      <c r="P436" s="58"/>
      <c r="Q436" s="58"/>
      <c r="R436" s="58"/>
      <c r="S436" s="58"/>
      <c r="W436" s="56">
        <f t="shared" ca="1" si="141"/>
        <v>123</v>
      </c>
      <c r="X436" s="56">
        <f t="shared" ca="1" si="142"/>
        <v>120</v>
      </c>
      <c r="Y436" s="56">
        <f t="shared" ca="1" si="143"/>
        <v>126</v>
      </c>
      <c r="Z436" s="56">
        <f t="shared" ca="1" si="144"/>
        <v>129</v>
      </c>
      <c r="AA436" s="56">
        <f t="shared" ca="1" si="145"/>
        <v>129</v>
      </c>
      <c r="AB436" s="56">
        <f ca="1">_xlfn.CEILING.MATH(INDIRECT(ADDRESS(311,22+MATCH($P$28,'I.A. + Fasce'!$W$84:$AA$84,0),1,1) &amp; ":" &amp; ADDRESS(531,22+MATCH($P$28,'I.A. + Fasce'!$W$84:$AA$84,0),1,1))/Asta!$H$3)</f>
        <v>16</v>
      </c>
    </row>
    <row r="437" spans="1:28" ht="14.25" customHeight="1">
      <c r="A437" s="239" t="str">
        <f ca="1">IF(Giocatori!J209="","C",Giocatori!J209)</f>
        <v>C</v>
      </c>
      <c r="B437" s="239" t="str">
        <f ca="1">IF(Giocatori!K158="","ZZZ" &amp; ROW(),Giocatori!K158)</f>
        <v>SCHIATTARELLA</v>
      </c>
      <c r="C437" s="239" t="str">
        <f ca="1">IF(Giocatori!L158="","NDR" &amp; ROW(),Giocatori!L158)</f>
        <v>SPAL</v>
      </c>
      <c r="D437" s="63">
        <f ca="1">IF(ISNA(VLOOKUP($B437,TabAlgTutti,6,FALSE)),0,VLOOKUP($B437,TabAlgTutti,6,FALSE))+ROW()/100000</f>
        <v>58.004370000000002</v>
      </c>
      <c r="E437" s="63">
        <f ca="1">IF(ISNA(VLOOKUP($B437,TabAlgTutti,5,FALSE)),0,VLOOKUP($B437,TabAlgTutti,5,FALSE))+ROW()/100000</f>
        <v>38.004370000000002</v>
      </c>
      <c r="F437" s="64">
        <f ca="1">($D437*$P$8+$E437*(1+$E437*100/60/100)*$S$8)/100+ROW()/100000</f>
        <v>60.044841159140837</v>
      </c>
      <c r="G437" s="63" t="str">
        <f ca="1">IF(ISNA(VLOOKUP($B437,TabAlgTutti,7,FALSE)),"",IF(VLOOKUP($B437,TabAlgTutti,7,FALSE)=-1,"SCONSIGLIATO",IF(VLOOKUP($B437,TabAlgTutti,7,FALSE)=0,"SORPRESA",IF(VLOOKUP($B437,TabAlgTutti,7,FALSE)=1,"CONSIGLIATO",""))))</f>
        <v/>
      </c>
      <c r="H437" s="65">
        <f ca="1">IF(ISNA(VLOOKUP($B437,TabAlgTutti,8,FALSE)),"",VLOOKUP($B437,TabAlgTutti,8,FALSE))</f>
        <v>70</v>
      </c>
      <c r="I437" s="63" t="str">
        <f ca="1">IF(ISNA(VLOOKUP($B437,TabAlgTutti,9,FALSE)),"",IF(VLOOKUP($B437,TabAlgTutti,9,FALSE)="","",VLOOKUP($B437,TabAlgTutti,9,FALSE)&amp;"R "))&amp;IF(ISNA(VLOOKUP($B437,TabAlgTutti,10,FALSE)),"",IF(VLOOKUP($B437,TabAlgTutti,10,FALSE)="","",VLOOKUP($B437,TabAlgTutti,10,FALSE)&amp;"P "))&amp;IF(ISNA(VLOOKUP($B437,TabAlgTutti,11,FALSE)),"",IF(VLOOKUP($B437,TabAlgTutti,11,FALSE)="","",VLOOKUP($B437,TabAlgTutti,11,FALSE)&amp;"A"))</f>
        <v>2A</v>
      </c>
      <c r="J437" s="63">
        <f ca="1">IF(ISNA(VLOOKUP($B437,TabAlgTutti,3,FALSE)),0,VLOOKUP($B437,TabAlgTutti,3,FALSE))+ROW()/100000</f>
        <v>1.00437</v>
      </c>
      <c r="K437" s="63">
        <f ca="1">IF(ISNA(VLOOKUP($B437,TabAlgTutti,4,FALSE)),0,VLOOKUP($B437,TabAlgTutti,4,FALSE))+ROW()/100000</f>
        <v>1.00437</v>
      </c>
      <c r="L437" s="63" t="e">
        <f ca="1">VLOOKUP(Tabella114[[#This Row],[Calciatore]],'Raccolta Aste'!$K$2:$O$33,4,FALSE)*Asta!$U$3/100</f>
        <v>#N/A</v>
      </c>
      <c r="N437" s="58"/>
      <c r="O437" s="58"/>
      <c r="P437" s="58"/>
      <c r="Q437" s="58"/>
      <c r="R437" s="58"/>
      <c r="S437" s="58"/>
      <c r="W437" s="56">
        <f t="shared" ca="1" si="141"/>
        <v>150</v>
      </c>
      <c r="X437" s="56">
        <f t="shared" ca="1" si="142"/>
        <v>93</v>
      </c>
      <c r="Y437" s="56">
        <f t="shared" ca="1" si="143"/>
        <v>127</v>
      </c>
      <c r="Z437" s="56">
        <f t="shared" ca="1" si="144"/>
        <v>128</v>
      </c>
      <c r="AA437" s="56">
        <f t="shared" ca="1" si="145"/>
        <v>128</v>
      </c>
      <c r="AB437" s="56">
        <f ca="1">_xlfn.CEILING.MATH(INDIRECT(ADDRESS(311,22+MATCH($P$28,'I.A. + Fasce'!$W$84:$AA$84,0),1,1) &amp; ":" &amp; ADDRESS(531,22+MATCH($P$28,'I.A. + Fasce'!$W$84:$AA$84,0),1,1))/Asta!$H$3)</f>
        <v>16</v>
      </c>
    </row>
    <row r="438" spans="1:28" ht="14.25" customHeight="1">
      <c r="A438" s="239" t="str">
        <f ca="1">IF(Giocatori!J129="","C",Giocatori!J129)</f>
        <v>C</v>
      </c>
      <c r="B438" s="239" t="str">
        <f ca="1">IF(Giocatori!K129="","ZZZ" &amp; ROW(),Giocatori!K129)</f>
        <v>MONTOLIVO</v>
      </c>
      <c r="C438" s="239" t="str">
        <f ca="1">IF(Giocatori!L129="","NDR" &amp; ROW(),Giocatori!L129)</f>
        <v>Milan</v>
      </c>
      <c r="D438" s="63">
        <f ca="1">IF(ISNA(VLOOKUP($B438,TabAlgTutti,6,FALSE)),0,VLOOKUP($B438,TabAlgTutti,6,FALSE))+ROW()/100000</f>
        <v>66.004379999999998</v>
      </c>
      <c r="E438" s="63">
        <f ca="1">IF(ISNA(VLOOKUP($B438,TabAlgTutti,5,FALSE)),0,VLOOKUP($B438,TabAlgTutti,5,FALSE))+ROW()/100000</f>
        <v>34.004379999999998</v>
      </c>
      <c r="F438" s="64">
        <f ca="1">($D438*$P$8+$E438*(1+$E438*100/60/100)*$S$8)/100+ROW()/100000</f>
        <v>59.644575493203327</v>
      </c>
      <c r="G438" s="63" t="str">
        <f ca="1">IF(ISNA(VLOOKUP($B438,TabAlgTutti,7,FALSE)),"",IF(VLOOKUP($B438,TabAlgTutti,7,FALSE)=-1,"SCONSIGLIATO",IF(VLOOKUP($B438,TabAlgTutti,7,FALSE)=0,"SORPRESA",IF(VLOOKUP($B438,TabAlgTutti,7,FALSE)=1,"CONSIGLIATO",""))))</f>
        <v>SCONSIGLIATO</v>
      </c>
      <c r="H438" s="65">
        <f ca="1">IF(ISNA(VLOOKUP($B438,TabAlgTutti,8,FALSE)),"",VLOOKUP($B438,TabAlgTutti,8,FALSE))</f>
        <v>60</v>
      </c>
      <c r="I438" s="63" t="str">
        <f ca="1">IF(ISNA(VLOOKUP($B438,TabAlgTutti,9,FALSE)),"",IF(VLOOKUP($B438,TabAlgTutti,9,FALSE)="","",VLOOKUP($B438,TabAlgTutti,9,FALSE)&amp;"R "))&amp;IF(ISNA(VLOOKUP($B438,TabAlgTutti,10,FALSE)),"",IF(VLOOKUP($B438,TabAlgTutti,10,FALSE)="","",VLOOKUP($B438,TabAlgTutti,10,FALSE)&amp;"P "))&amp;IF(ISNA(VLOOKUP($B438,TabAlgTutti,11,FALSE)),"",IF(VLOOKUP($B438,TabAlgTutti,11,FALSE)="","",VLOOKUP($B438,TabAlgTutti,11,FALSE)&amp;"A"))</f>
        <v/>
      </c>
      <c r="J438" s="63">
        <f ca="1">IF(ISNA(VLOOKUP($B438,TabAlgTutti,3,FALSE)),0,VLOOKUP($B438,TabAlgTutti,3,FALSE))+ROW()/100000</f>
        <v>1.0043800000000001</v>
      </c>
      <c r="K438" s="63">
        <f ca="1">IF(ISNA(VLOOKUP($B438,TabAlgTutti,4,FALSE)),0,VLOOKUP($B438,TabAlgTutti,4,FALSE))+ROW()/100000</f>
        <v>1.0043800000000001</v>
      </c>
      <c r="L438" s="63" t="e">
        <f ca="1">VLOOKUP(Tabella114[[#This Row],[Calciatore]],'Raccolta Aste'!$K$2:$O$33,4,FALSE)*Asta!$U$3/100</f>
        <v>#N/A</v>
      </c>
      <c r="N438" s="58"/>
      <c r="O438" s="58"/>
      <c r="P438" s="58"/>
      <c r="Q438" s="58"/>
      <c r="R438" s="58"/>
      <c r="S438" s="58"/>
      <c r="W438" s="56">
        <f t="shared" ca="1" si="141"/>
        <v>120</v>
      </c>
      <c r="X438" s="56">
        <f t="shared" ca="1" si="142"/>
        <v>142</v>
      </c>
      <c r="Y438" s="56">
        <f t="shared" ca="1" si="143"/>
        <v>130</v>
      </c>
      <c r="Z438" s="56">
        <f t="shared" ca="1" si="144"/>
        <v>127</v>
      </c>
      <c r="AA438" s="56">
        <f t="shared" ca="1" si="145"/>
        <v>127</v>
      </c>
      <c r="AB438" s="56">
        <f ca="1">_xlfn.CEILING.MATH(INDIRECT(ADDRESS(311,22+MATCH($P$28,'I.A. + Fasce'!$W$84:$AA$84,0),1,1) &amp; ":" &amp; ADDRESS(531,22+MATCH($P$28,'I.A. + Fasce'!$W$84:$AA$84,0),1,1))/Asta!$H$3)</f>
        <v>17</v>
      </c>
    </row>
    <row r="439" spans="1:28" ht="14.25" customHeight="1">
      <c r="A439" s="239" t="str">
        <f ca="1">IF(Giocatori!J99="","C",Giocatori!J99)</f>
        <v>C</v>
      </c>
      <c r="B439" s="239" t="str">
        <f ca="1">IF(Giocatori!K99="","ZZZ" &amp; ROW(),Giocatori!K99)</f>
        <v>JOAO SCHMIDT</v>
      </c>
      <c r="C439" s="239" t="str">
        <f ca="1">IF(Giocatori!L99="","NDR" &amp; ROW(),Giocatori!L99)</f>
        <v>Atalanta</v>
      </c>
      <c r="D439" s="63">
        <f ca="1">IF(ISNA(VLOOKUP($B439,TabAlgTutti,6,FALSE)),0,VLOOKUP($B439,TabAlgTutti,6,FALSE))+ROW()/100000</f>
        <v>66.004390000000001</v>
      </c>
      <c r="E439" s="63">
        <f ca="1">IF(ISNA(VLOOKUP($B439,TabAlgTutti,5,FALSE)),0,VLOOKUP($B439,TabAlgTutti,5,FALSE))+ROW()/100000</f>
        <v>34.004390000000001</v>
      </c>
      <c r="F439" s="64">
        <f ca="1">($D439*$P$8+$E439*(1+$E439*100/60/100)*$S$8)/100+ROW()/100000</f>
        <v>59.644601160600843</v>
      </c>
      <c r="G439" s="63" t="str">
        <f ca="1">IF(ISNA(VLOOKUP($B439,TabAlgTutti,7,FALSE)),"",IF(VLOOKUP($B439,TabAlgTutti,7,FALSE)=-1,"SCONSIGLIATO",IF(VLOOKUP($B439,TabAlgTutti,7,FALSE)=0,"SORPRESA",IF(VLOOKUP($B439,TabAlgTutti,7,FALSE)=1,"CONSIGLIATO",""))))</f>
        <v/>
      </c>
      <c r="H439" s="65">
        <f ca="1">IF(ISNA(VLOOKUP($B439,TabAlgTutti,8,FALSE)),"",VLOOKUP($B439,TabAlgTutti,8,FALSE))</f>
        <v>40</v>
      </c>
      <c r="I439" s="63" t="str">
        <f ca="1">IF(ISNA(VLOOKUP($B439,TabAlgTutti,9,FALSE)),"",IF(VLOOKUP($B439,TabAlgTutti,9,FALSE)="","",VLOOKUP($B439,TabAlgTutti,9,FALSE)&amp;"R "))&amp;IF(ISNA(VLOOKUP($B439,TabAlgTutti,10,FALSE)),"",IF(VLOOKUP($B439,TabAlgTutti,10,FALSE)="","",VLOOKUP($B439,TabAlgTutti,10,FALSE)&amp;"P "))&amp;IF(ISNA(VLOOKUP($B439,TabAlgTutti,11,FALSE)),"",IF(VLOOKUP($B439,TabAlgTutti,11,FALSE)="","",VLOOKUP($B439,TabAlgTutti,11,FALSE)&amp;"A"))</f>
        <v/>
      </c>
      <c r="J439" s="63">
        <f ca="1">IF(ISNA(VLOOKUP($B439,TabAlgTutti,3,FALSE)),0,VLOOKUP($B439,TabAlgTutti,3,FALSE))+ROW()/100000</f>
        <v>1.0043899999999999</v>
      </c>
      <c r="K439" s="63">
        <f ca="1">IF(ISNA(VLOOKUP($B439,TabAlgTutti,4,FALSE)),0,VLOOKUP($B439,TabAlgTutti,4,FALSE))+ROW()/100000</f>
        <v>1.0043899999999999</v>
      </c>
      <c r="L439" s="63" t="e">
        <f ca="1">VLOOKUP(Tabella114[[#This Row],[Calciatore]],'Raccolta Aste'!$K$2:$O$33,4,FALSE)*Asta!$U$3/100</f>
        <v>#N/A</v>
      </c>
      <c r="N439" s="58"/>
      <c r="O439" s="58"/>
      <c r="P439" s="58"/>
      <c r="Q439" s="58"/>
      <c r="R439" s="58"/>
      <c r="S439" s="58"/>
      <c r="W439" s="56">
        <f t="shared" ca="1" si="141"/>
        <v>119</v>
      </c>
      <c r="X439" s="56">
        <f t="shared" ca="1" si="142"/>
        <v>141</v>
      </c>
      <c r="Y439" s="56">
        <f t="shared" ca="1" si="143"/>
        <v>129</v>
      </c>
      <c r="Z439" s="56">
        <f t="shared" ca="1" si="144"/>
        <v>126</v>
      </c>
      <c r="AA439" s="56">
        <f t="shared" ca="1" si="145"/>
        <v>126</v>
      </c>
      <c r="AB439" s="56">
        <f ca="1">_xlfn.CEILING.MATH(INDIRECT(ADDRESS(311,22+MATCH($P$28,'I.A. + Fasce'!$W$84:$AA$84,0),1,1) &amp; ":" &amp; ADDRESS(531,22+MATCH($P$28,'I.A. + Fasce'!$W$84:$AA$84,0),1,1))/Asta!$H$3)</f>
        <v>17</v>
      </c>
    </row>
    <row r="440" spans="1:28" ht="14.25" customHeight="1">
      <c r="A440" s="239" t="str">
        <f ca="1">IF(Giocatori!J74="","C",Giocatori!J74)</f>
        <v>C</v>
      </c>
      <c r="B440" s="239" t="str">
        <f ca="1">IF(Giocatori!K74="","ZZZ" &amp; ROW(),Giocatori!K74)</f>
        <v>FOSSATI</v>
      </c>
      <c r="C440" s="239" t="str">
        <f ca="1">IF(Giocatori!L74="","NDR" &amp; ROW(),Giocatori!L74)</f>
        <v>Verona</v>
      </c>
      <c r="D440" s="63">
        <f ca="1">IF(ISNA(VLOOKUP($B440,TabAlgTutti,6,FALSE)),0,VLOOKUP($B440,TabAlgTutti,6,FALSE))+ROW()/100000</f>
        <v>66.004400000000004</v>
      </c>
      <c r="E440" s="63">
        <f ca="1">IF(ISNA(VLOOKUP($B440,TabAlgTutti,5,FALSE)),0,VLOOKUP($B440,TabAlgTutti,5,FALSE))+ROW()/100000</f>
        <v>34.004399999999997</v>
      </c>
      <c r="F440" s="64">
        <f ca="1">($D440*$P$8+$E440*(1+$E440*100/60/100)*$S$8)/100+ROW()/100000</f>
        <v>59.644626827999993</v>
      </c>
      <c r="G440" s="63" t="str">
        <f ca="1">IF(ISNA(VLOOKUP($B440,TabAlgTutti,7,FALSE)),"",IF(VLOOKUP($B440,TabAlgTutti,7,FALSE)=-1,"SCONSIGLIATO",IF(VLOOKUP($B440,TabAlgTutti,7,FALSE)=0,"SORPRESA",IF(VLOOKUP($B440,TabAlgTutti,7,FALSE)=1,"CONSIGLIATO",""))))</f>
        <v/>
      </c>
      <c r="H440" s="65">
        <f ca="1">IF(ISNA(VLOOKUP($B440,TabAlgTutti,8,FALSE)),"",VLOOKUP($B440,TabAlgTutti,8,FALSE))</f>
        <v>60</v>
      </c>
      <c r="I440" s="63" t="str">
        <f ca="1">IF(ISNA(VLOOKUP($B440,TabAlgTutti,9,FALSE)),"",IF(VLOOKUP($B440,TabAlgTutti,9,FALSE)="","",VLOOKUP($B440,TabAlgTutti,9,FALSE)&amp;"R "))&amp;IF(ISNA(VLOOKUP($B440,TabAlgTutti,10,FALSE)),"",IF(VLOOKUP($B440,TabAlgTutti,10,FALSE)="","",VLOOKUP($B440,TabAlgTutti,10,FALSE)&amp;"P "))&amp;IF(ISNA(VLOOKUP($B440,TabAlgTutti,11,FALSE)),"",IF(VLOOKUP($B440,TabAlgTutti,11,FALSE)="","",VLOOKUP($B440,TabAlgTutti,11,FALSE)&amp;"A"))</f>
        <v/>
      </c>
      <c r="J440" s="63">
        <f ca="1">IF(ISNA(VLOOKUP($B440,TabAlgTutti,3,FALSE)),0,VLOOKUP($B440,TabAlgTutti,3,FALSE))+ROW()/100000</f>
        <v>1.0044</v>
      </c>
      <c r="K440" s="63">
        <f ca="1">IF(ISNA(VLOOKUP($B440,TabAlgTutti,4,FALSE)),0,VLOOKUP($B440,TabAlgTutti,4,FALSE))+ROW()/100000</f>
        <v>1.0044</v>
      </c>
      <c r="L440" s="63" t="e">
        <f ca="1">VLOOKUP(Tabella114[[#This Row],[Calciatore]],'Raccolta Aste'!$K$2:$O$33,4,FALSE)*Asta!$U$3/100</f>
        <v>#N/A</v>
      </c>
      <c r="N440" s="58"/>
      <c r="O440" s="58"/>
      <c r="P440" s="58"/>
      <c r="Q440" s="58"/>
      <c r="R440" s="58"/>
      <c r="S440" s="58"/>
      <c r="W440" s="56">
        <f t="shared" ref="W440:W503" ca="1" si="146">_xlfn.RANK.EQ(D440,D$311:D$531,0)</f>
        <v>118</v>
      </c>
      <c r="X440" s="56">
        <f t="shared" ref="X440:X503" ca="1" si="147">_xlfn.RANK.EQ(E440,$E$311:$E$531,0)</f>
        <v>140</v>
      </c>
      <c r="Y440" s="56">
        <f t="shared" ref="Y440:Y503" ca="1" si="148">_xlfn.RANK.EQ(F440,$F$311:$F$531,0)</f>
        <v>128</v>
      </c>
      <c r="Z440" s="56">
        <f t="shared" ref="Z440:Z503" ca="1" si="149">_xlfn.RANK.EQ(J440,$J$311:$J$531,0)</f>
        <v>125</v>
      </c>
      <c r="AA440" s="56">
        <f t="shared" ref="AA440:AA503" ca="1" si="150">_xlfn.RANK.EQ(K440,$K$311:$K$531,0)</f>
        <v>125</v>
      </c>
      <c r="AB440" s="56">
        <f ca="1">_xlfn.CEILING.MATH(INDIRECT(ADDRESS(311,22+MATCH($P$28,'I.A. + Fasce'!$W$84:$AA$84,0),1,1) &amp; ":" &amp; ADDRESS(531,22+MATCH($P$28,'I.A. + Fasce'!$W$84:$AA$84,0),1,1))/Asta!$H$3)</f>
        <v>16</v>
      </c>
    </row>
    <row r="441" spans="1:28" ht="14.25" customHeight="1">
      <c r="A441" s="239" t="str">
        <f ca="1">IF(Giocatori!J59="","C",Giocatori!J59)</f>
        <v>C</v>
      </c>
      <c r="B441" s="239" t="str">
        <f ca="1">IF(Giocatori!K59="","ZZZ" &amp; ROW(),Giocatori!K59)</f>
        <v>DESSENA</v>
      </c>
      <c r="C441" s="239" t="str">
        <f ca="1">IF(Giocatori!L59="","NDR" &amp; ROW(),Giocatori!L59)</f>
        <v>Cagliari</v>
      </c>
      <c r="D441" s="63">
        <f ca="1">IF(ISNA(VLOOKUP($B441,TabAlgTutti,6,FALSE)),0,VLOOKUP($B441,TabAlgTutti,6,FALSE))+ROW()/100000</f>
        <v>68.004409999999993</v>
      </c>
      <c r="E441" s="63">
        <f ca="1">IF(ISNA(VLOOKUP($B441,TabAlgTutti,5,FALSE)),0,VLOOKUP($B441,TabAlgTutti,5,FALSE))+ROW()/100000</f>
        <v>33.00441</v>
      </c>
      <c r="F441" s="64">
        <f ca="1">($D441*$P$8+$E441*(1+$E441*100/60/100)*$S$8)/100+ROW()/100000</f>
        <v>59.586245662067498</v>
      </c>
      <c r="G441" s="63" t="str">
        <f ca="1">IF(ISNA(VLOOKUP($B441,TabAlgTutti,7,FALSE)),"",IF(VLOOKUP($B441,TabAlgTutti,7,FALSE)=-1,"SCONSIGLIATO",IF(VLOOKUP($B441,TabAlgTutti,7,FALSE)=0,"SORPRESA",IF(VLOOKUP($B441,TabAlgTutti,7,FALSE)=1,"CONSIGLIATO",""))))</f>
        <v>SCONSIGLIATO</v>
      </c>
      <c r="H441" s="65">
        <f ca="1">IF(ISNA(VLOOKUP($B441,TabAlgTutti,8,FALSE)),"",VLOOKUP($B441,TabAlgTutti,8,FALSE))</f>
        <v>60</v>
      </c>
      <c r="I441" s="63" t="str">
        <f ca="1">IF(ISNA(VLOOKUP($B441,TabAlgTutti,9,FALSE)),"",IF(VLOOKUP($B441,TabAlgTutti,9,FALSE)="","",VLOOKUP($B441,TabAlgTutti,9,FALSE)&amp;"R "))&amp;IF(ISNA(VLOOKUP($B441,TabAlgTutti,10,FALSE)),"",IF(VLOOKUP($B441,TabAlgTutti,10,FALSE)="","",VLOOKUP($B441,TabAlgTutti,10,FALSE)&amp;"P "))&amp;IF(ISNA(VLOOKUP($B441,TabAlgTutti,11,FALSE)),"",IF(VLOOKUP($B441,TabAlgTutti,11,FALSE)="","",VLOOKUP($B441,TabAlgTutti,11,FALSE)&amp;"A"))</f>
        <v/>
      </c>
      <c r="J441" s="63">
        <f ca="1">IF(ISNA(VLOOKUP($B441,TabAlgTutti,3,FALSE)),0,VLOOKUP($B441,TabAlgTutti,3,FALSE))+ROW()/100000</f>
        <v>1.00441</v>
      </c>
      <c r="K441" s="63">
        <f ca="1">IF(ISNA(VLOOKUP($B441,TabAlgTutti,4,FALSE)),0,VLOOKUP($B441,TabAlgTutti,4,FALSE))+ROW()/100000</f>
        <v>1.00441</v>
      </c>
      <c r="L441" s="63" t="e">
        <f ca="1">VLOOKUP(Tabella114[[#This Row],[Calciatore]],'Raccolta Aste'!$K$2:$O$33,4,FALSE)*Asta!$U$3/100</f>
        <v>#N/A</v>
      </c>
      <c r="N441" s="58"/>
      <c r="O441" s="58"/>
      <c r="P441" s="58"/>
      <c r="Q441" s="58"/>
      <c r="R441" s="58"/>
      <c r="S441" s="58"/>
      <c r="W441" s="56">
        <f t="shared" ca="1" si="146"/>
        <v>102</v>
      </c>
      <c r="X441" s="56">
        <f t="shared" ca="1" si="147"/>
        <v>155</v>
      </c>
      <c r="Y441" s="56">
        <f t="shared" ca="1" si="148"/>
        <v>131</v>
      </c>
      <c r="Z441" s="56">
        <f t="shared" ca="1" si="149"/>
        <v>124</v>
      </c>
      <c r="AA441" s="56">
        <f t="shared" ca="1" si="150"/>
        <v>124</v>
      </c>
      <c r="AB441" s="56">
        <f ca="1">_xlfn.CEILING.MATH(INDIRECT(ADDRESS(311,22+MATCH($P$28,'I.A. + Fasce'!$W$84:$AA$84,0),1,1) &amp; ":" &amp; ADDRESS(531,22+MATCH($P$28,'I.A. + Fasce'!$W$84:$AA$84,0),1,1))/Asta!$H$3)</f>
        <v>17</v>
      </c>
    </row>
    <row r="442" spans="1:28" ht="14.25" customHeight="1">
      <c r="A442" s="239" t="str">
        <f ca="1">IF(Giocatori!J206="","C",Giocatori!J206)</f>
        <v>C</v>
      </c>
      <c r="B442" s="239" t="str">
        <f ca="1">IF(Giocatori!K155="","ZZZ" &amp; ROW(),Giocatori!K155)</f>
        <v>ROMERO</v>
      </c>
      <c r="C442" s="239" t="str">
        <f ca="1">IF(Giocatori!L155="","NDR" &amp; ROW(),Giocatori!L155)</f>
        <v>Crotone</v>
      </c>
      <c r="D442" s="63">
        <f ca="1">IF(ISNA(VLOOKUP($B442,TabAlgTutti,6,FALSE)),0,VLOOKUP($B442,TabAlgTutti,6,FALSE))+ROW()/100000</f>
        <v>60.004420000000003</v>
      </c>
      <c r="E442" s="63">
        <f ca="1">IF(ISNA(VLOOKUP($B442,TabAlgTutti,5,FALSE)),0,VLOOKUP($B442,TabAlgTutti,5,FALSE))+ROW()/100000</f>
        <v>36.004420000000003</v>
      </c>
      <c r="F442" s="64">
        <f ca="1">($D442*$P$8+$E442*(1+$E442*100/60/100)*$S$8)/100+ROW()/100000</f>
        <v>58.811492162803347</v>
      </c>
      <c r="G442" s="63" t="str">
        <f ca="1">IF(ISNA(VLOOKUP($B442,TabAlgTutti,7,FALSE)),"",IF(VLOOKUP($B442,TabAlgTutti,7,FALSE)=-1,"SCONSIGLIATO",IF(VLOOKUP($B442,TabAlgTutti,7,FALSE)=0,"SORPRESA",IF(VLOOKUP($B442,TabAlgTutti,7,FALSE)=1,"CONSIGLIATO",""))))</f>
        <v/>
      </c>
      <c r="H442" s="65">
        <f ca="1">IF(ISNA(VLOOKUP($B442,TabAlgTutti,8,FALSE)),"",VLOOKUP($B442,TabAlgTutti,8,FALSE))</f>
        <v>50</v>
      </c>
      <c r="I442" s="63" t="str">
        <f ca="1">IF(ISNA(VLOOKUP($B442,TabAlgTutti,9,FALSE)),"",IF(VLOOKUP($B442,TabAlgTutti,9,FALSE)="","",VLOOKUP($B442,TabAlgTutti,9,FALSE)&amp;"R "))&amp;IF(ISNA(VLOOKUP($B442,TabAlgTutti,10,FALSE)),"",IF(VLOOKUP($B442,TabAlgTutti,10,FALSE)="","",VLOOKUP($B442,TabAlgTutti,10,FALSE)&amp;"P "))&amp;IF(ISNA(VLOOKUP($B442,TabAlgTutti,11,FALSE)),"",IF(VLOOKUP($B442,TabAlgTutti,11,FALSE)="","",VLOOKUP($B442,TabAlgTutti,11,FALSE)&amp;"A"))</f>
        <v/>
      </c>
      <c r="J442" s="63">
        <f ca="1">IF(ISNA(VLOOKUP($B442,TabAlgTutti,3,FALSE)),0,VLOOKUP($B442,TabAlgTutti,3,FALSE))+ROW()/100000</f>
        <v>1.0044200000000001</v>
      </c>
      <c r="K442" s="63">
        <f ca="1">IF(ISNA(VLOOKUP($B442,TabAlgTutti,4,FALSE)),0,VLOOKUP($B442,TabAlgTutti,4,FALSE))+ROW()/100000</f>
        <v>1.0044200000000001</v>
      </c>
      <c r="L442" s="63" t="e">
        <f ca="1">VLOOKUP(Tabella114[[#This Row],[Calciatore]],'Raccolta Aste'!$K$2:$O$33,4,FALSE)*Asta!$U$3/100</f>
        <v>#N/A</v>
      </c>
      <c r="N442" s="58"/>
      <c r="O442" s="58"/>
      <c r="P442" s="58"/>
      <c r="Q442" s="58"/>
      <c r="R442" s="58"/>
      <c r="S442" s="58"/>
      <c r="W442" s="56">
        <f t="shared" ca="1" si="146"/>
        <v>143</v>
      </c>
      <c r="X442" s="56">
        <f t="shared" ca="1" si="147"/>
        <v>112</v>
      </c>
      <c r="Y442" s="56">
        <f t="shared" ca="1" si="148"/>
        <v>132</v>
      </c>
      <c r="Z442" s="56">
        <f t="shared" ca="1" si="149"/>
        <v>123</v>
      </c>
      <c r="AA442" s="56">
        <f t="shared" ca="1" si="150"/>
        <v>123</v>
      </c>
      <c r="AB442" s="56">
        <f ca="1">_xlfn.CEILING.MATH(INDIRECT(ADDRESS(311,22+MATCH($P$28,'I.A. + Fasce'!$W$84:$AA$84,0),1,1) &amp; ":" &amp; ADDRESS(531,22+MATCH($P$28,'I.A. + Fasce'!$W$84:$AA$84,0),1,1))/Asta!$H$3)</f>
        <v>17</v>
      </c>
    </row>
    <row r="443" spans="1:28" ht="14.25" customHeight="1">
      <c r="A443" s="239" t="str">
        <f ca="1">IF(Giocatori!J222="","C",Giocatori!J222)</f>
        <v>C</v>
      </c>
      <c r="B443" s="239" t="str">
        <f ca="1">IF(Giocatori!K171="","ZZZ" &amp; ROW(),Giocatori!K171)</f>
        <v>VALOTI</v>
      </c>
      <c r="C443" s="239" t="str">
        <f ca="1">IF(Giocatori!L171="","NDR" &amp; ROW(),Giocatori!L171)</f>
        <v>Verona</v>
      </c>
      <c r="D443" s="63">
        <f ca="1">IF(ISNA(VLOOKUP($B443,TabAlgTutti,6,FALSE)),0,VLOOKUP($B443,TabAlgTutti,6,FALSE))+ROW()/100000</f>
        <v>64.004429999999999</v>
      </c>
      <c r="E443" s="63">
        <f ca="1">IF(ISNA(VLOOKUP($B443,TabAlgTutti,5,FALSE)),0,VLOOKUP($B443,TabAlgTutti,5,FALSE))+ROW()/100000</f>
        <v>34.004429999999999</v>
      </c>
      <c r="F443" s="64">
        <f ca="1">($D443*$P$8+$E443*(1+$E443*100/60/100)*$S$8)/100+ROW()/100000</f>
        <v>58.644703830207497</v>
      </c>
      <c r="G443" s="63" t="str">
        <f ca="1">IF(ISNA(VLOOKUP($B443,TabAlgTutti,7,FALSE)),"",IF(VLOOKUP($B443,TabAlgTutti,7,FALSE)=-1,"SCONSIGLIATO",IF(VLOOKUP($B443,TabAlgTutti,7,FALSE)=0,"SORPRESA",IF(VLOOKUP($B443,TabAlgTutti,7,FALSE)=1,"CONSIGLIATO",""))))</f>
        <v/>
      </c>
      <c r="H443" s="65">
        <f ca="1">IF(ISNA(VLOOKUP($B443,TabAlgTutti,8,FALSE)),"",VLOOKUP($B443,TabAlgTutti,8,FALSE))</f>
        <v>50</v>
      </c>
      <c r="I443" s="63" t="str">
        <f ca="1">IF(ISNA(VLOOKUP($B443,TabAlgTutti,9,FALSE)),"",IF(VLOOKUP($B443,TabAlgTutti,9,FALSE)="","",VLOOKUP($B443,TabAlgTutti,9,FALSE)&amp;"R "))&amp;IF(ISNA(VLOOKUP($B443,TabAlgTutti,10,FALSE)),"",IF(VLOOKUP($B443,TabAlgTutti,10,FALSE)="","",VLOOKUP($B443,TabAlgTutti,10,FALSE)&amp;"P "))&amp;IF(ISNA(VLOOKUP($B443,TabAlgTutti,11,FALSE)),"",IF(VLOOKUP($B443,TabAlgTutti,11,FALSE)="","",VLOOKUP($B443,TabAlgTutti,11,FALSE)&amp;"A"))</f>
        <v/>
      </c>
      <c r="J443" s="63">
        <f ca="1">IF(ISNA(VLOOKUP($B443,TabAlgTutti,3,FALSE)),0,VLOOKUP($B443,TabAlgTutti,3,FALSE))+ROW()/100000</f>
        <v>1.0044299999999999</v>
      </c>
      <c r="K443" s="63">
        <f ca="1">IF(ISNA(VLOOKUP($B443,TabAlgTutti,4,FALSE)),0,VLOOKUP($B443,TabAlgTutti,4,FALSE))+ROW()/100000</f>
        <v>1.0044299999999999</v>
      </c>
      <c r="L443" s="63" t="e">
        <f ca="1">VLOOKUP(Tabella114[[#This Row],[Calciatore]],'Raccolta Aste'!$K$2:$O$33,4,FALSE)*Asta!$U$3/100</f>
        <v>#N/A</v>
      </c>
      <c r="N443" s="58"/>
      <c r="O443" s="58"/>
      <c r="P443" s="58"/>
      <c r="Q443" s="58"/>
      <c r="R443" s="58"/>
      <c r="S443" s="58"/>
      <c r="W443" s="56">
        <f t="shared" ca="1" si="146"/>
        <v>130</v>
      </c>
      <c r="X443" s="56">
        <f t="shared" ca="1" si="147"/>
        <v>139</v>
      </c>
      <c r="Y443" s="56">
        <f t="shared" ca="1" si="148"/>
        <v>134</v>
      </c>
      <c r="Z443" s="56">
        <f t="shared" ca="1" si="149"/>
        <v>122</v>
      </c>
      <c r="AA443" s="56">
        <f t="shared" ca="1" si="150"/>
        <v>122</v>
      </c>
      <c r="AB443" s="56">
        <f ca="1">_xlfn.CEILING.MATH(INDIRECT(ADDRESS(311,22+MATCH($P$28,'I.A. + Fasce'!$W$84:$AA$84,0),1,1) &amp; ":" &amp; ADDRESS(531,22+MATCH($P$28,'I.A. + Fasce'!$W$84:$AA$84,0),1,1))/Asta!$H$3)</f>
        <v>17</v>
      </c>
    </row>
    <row r="444" spans="1:28" ht="14.25" customHeight="1">
      <c r="A444" s="239" t="str">
        <f ca="1">IF(Giocatori!J51="","C",Giocatori!J51)</f>
        <v>C</v>
      </c>
      <c r="B444" s="239" t="str">
        <f ca="1">IF(Giocatori!K51="","ZZZ" &amp; ROW(),Giocatori!K51)</f>
        <v>CROCIATA</v>
      </c>
      <c r="C444" s="239" t="str">
        <f ca="1">IF(Giocatori!L51="","NDR" &amp; ROW(),Giocatori!L51)</f>
        <v>Crotone</v>
      </c>
      <c r="D444" s="63">
        <f ca="1">IF(ISNA(VLOOKUP($B444,TabAlgTutti,6,FALSE)),0,VLOOKUP($B444,TabAlgTutti,6,FALSE))+ROW()/100000</f>
        <v>64.004440000000002</v>
      </c>
      <c r="E444" s="63">
        <f ca="1">IF(ISNA(VLOOKUP($B444,TabAlgTutti,5,FALSE)),0,VLOOKUP($B444,TabAlgTutti,5,FALSE))+ROW()/100000</f>
        <v>34.004440000000002</v>
      </c>
      <c r="F444" s="64">
        <f ca="1">($D444*$P$8+$E444*(1+$E444*100/60/100)*$S$8)/100+ROW()/100000</f>
        <v>58.644729497613341</v>
      </c>
      <c r="G444" s="63" t="str">
        <f ca="1">IF(ISNA(VLOOKUP($B444,TabAlgTutti,7,FALSE)),"",IF(VLOOKUP($B444,TabAlgTutti,7,FALSE)=-1,"SCONSIGLIATO",IF(VLOOKUP($B444,TabAlgTutti,7,FALSE)=0,"SORPRESA",IF(VLOOKUP($B444,TabAlgTutti,7,FALSE)=1,"CONSIGLIATO",""))))</f>
        <v/>
      </c>
      <c r="H444" s="65">
        <f ca="1">IF(ISNA(VLOOKUP($B444,TabAlgTutti,8,FALSE)),"",VLOOKUP($B444,TabAlgTutti,8,FALSE))</f>
        <v>50</v>
      </c>
      <c r="I444" s="63" t="str">
        <f ca="1">IF(ISNA(VLOOKUP($B444,TabAlgTutti,9,FALSE)),"",IF(VLOOKUP($B444,TabAlgTutti,9,FALSE)="","",VLOOKUP($B444,TabAlgTutti,9,FALSE)&amp;"R "))&amp;IF(ISNA(VLOOKUP($B444,TabAlgTutti,10,FALSE)),"",IF(VLOOKUP($B444,TabAlgTutti,10,FALSE)="","",VLOOKUP($B444,TabAlgTutti,10,FALSE)&amp;"P "))&amp;IF(ISNA(VLOOKUP($B444,TabAlgTutti,11,FALSE)),"",IF(VLOOKUP($B444,TabAlgTutti,11,FALSE)="","",VLOOKUP($B444,TabAlgTutti,11,FALSE)&amp;"A"))</f>
        <v/>
      </c>
      <c r="J444" s="63">
        <f ca="1">IF(ISNA(VLOOKUP($B444,TabAlgTutti,3,FALSE)),0,VLOOKUP($B444,TabAlgTutti,3,FALSE))+ROW()/100000</f>
        <v>1.00444</v>
      </c>
      <c r="K444" s="63">
        <f ca="1">IF(ISNA(VLOOKUP($B444,TabAlgTutti,4,FALSE)),0,VLOOKUP($B444,TabAlgTutti,4,FALSE))+ROW()/100000</f>
        <v>1.00444</v>
      </c>
      <c r="L444" s="63" t="e">
        <f ca="1">VLOOKUP(Tabella114[[#This Row],[Calciatore]],'Raccolta Aste'!$K$2:$O$33,4,FALSE)*Asta!$U$3/100</f>
        <v>#N/A</v>
      </c>
      <c r="N444" s="58"/>
      <c r="O444" s="58"/>
      <c r="P444" s="58"/>
      <c r="Q444" s="58"/>
      <c r="R444" s="58"/>
      <c r="S444" s="58"/>
      <c r="W444" s="56">
        <f t="shared" ca="1" si="146"/>
        <v>129</v>
      </c>
      <c r="X444" s="56">
        <f t="shared" ca="1" si="147"/>
        <v>138</v>
      </c>
      <c r="Y444" s="56">
        <f t="shared" ca="1" si="148"/>
        <v>133</v>
      </c>
      <c r="Z444" s="56">
        <f t="shared" ca="1" si="149"/>
        <v>121</v>
      </c>
      <c r="AA444" s="56">
        <f t="shared" ca="1" si="150"/>
        <v>121</v>
      </c>
      <c r="AB444" s="56">
        <f ca="1">_xlfn.CEILING.MATH(INDIRECT(ADDRESS(311,22+MATCH($P$28,'I.A. + Fasce'!$W$84:$AA$84,0),1,1) &amp; ":" &amp; ADDRESS(531,22+MATCH($P$28,'I.A. + Fasce'!$W$84:$AA$84,0),1,1))/Asta!$H$3)</f>
        <v>17</v>
      </c>
    </row>
    <row r="445" spans="1:28" ht="14.25" customHeight="1">
      <c r="A445" s="239" t="str">
        <f ca="1">IF(Giocatori!J78="","C",Giocatori!J78)</f>
        <v>C</v>
      </c>
      <c r="B445" s="239" t="str">
        <f ca="1">IF(Giocatori!K78="","ZZZ" &amp; ROW(),Giocatori!K78)</f>
        <v>GAUDINO</v>
      </c>
      <c r="C445" s="239" t="str">
        <f ca="1">IF(Giocatori!L78="","NDR" &amp; ROW(),Giocatori!L78)</f>
        <v>Chievo</v>
      </c>
      <c r="D445" s="63">
        <f ca="1">IF(ISNA(VLOOKUP($B445,TabAlgTutti,6,FALSE)),0,VLOOKUP($B445,TabAlgTutti,6,FALSE))+ROW()/100000</f>
        <v>66.004450000000006</v>
      </c>
      <c r="E445" s="63">
        <f ca="1">IF(ISNA(VLOOKUP($B445,TabAlgTutti,5,FALSE)),0,VLOOKUP($B445,TabAlgTutti,5,FALSE))+ROW()/100000</f>
        <v>33.004449999999999</v>
      </c>
      <c r="F445" s="64">
        <f ca="1">($D445*$P$8+$E445*(1+$E445*100/60/100)*$S$8)/100+ROW()/100000</f>
        <v>58.586347665020838</v>
      </c>
      <c r="G445" s="63" t="str">
        <f ca="1">IF(ISNA(VLOOKUP($B445,TabAlgTutti,7,FALSE)),"",IF(VLOOKUP($B445,TabAlgTutti,7,FALSE)=-1,"SCONSIGLIATO",IF(VLOOKUP($B445,TabAlgTutti,7,FALSE)=0,"SORPRESA",IF(VLOOKUP($B445,TabAlgTutti,7,FALSE)=1,"CONSIGLIATO",""))))</f>
        <v/>
      </c>
      <c r="H445" s="65">
        <f ca="1">IF(ISNA(VLOOKUP($B445,TabAlgTutti,8,FALSE)),"",VLOOKUP($B445,TabAlgTutti,8,FALSE))</f>
        <v>50</v>
      </c>
      <c r="I445" s="63" t="str">
        <f ca="1">IF(ISNA(VLOOKUP($B445,TabAlgTutti,9,FALSE)),"",IF(VLOOKUP($B445,TabAlgTutti,9,FALSE)="","",VLOOKUP($B445,TabAlgTutti,9,FALSE)&amp;"R "))&amp;IF(ISNA(VLOOKUP($B445,TabAlgTutti,10,FALSE)),"",IF(VLOOKUP($B445,TabAlgTutti,10,FALSE)="","",VLOOKUP($B445,TabAlgTutti,10,FALSE)&amp;"P "))&amp;IF(ISNA(VLOOKUP($B445,TabAlgTutti,11,FALSE)),"",IF(VLOOKUP($B445,TabAlgTutti,11,FALSE)="","",VLOOKUP($B445,TabAlgTutti,11,FALSE)&amp;"A"))</f>
        <v xml:space="preserve">3R 2P </v>
      </c>
      <c r="J445" s="63">
        <f ca="1">IF(ISNA(VLOOKUP($B445,TabAlgTutti,3,FALSE)),0,VLOOKUP($B445,TabAlgTutti,3,FALSE))+ROW()/100000</f>
        <v>1.0044500000000001</v>
      </c>
      <c r="K445" s="63">
        <f ca="1">IF(ISNA(VLOOKUP($B445,TabAlgTutti,4,FALSE)),0,VLOOKUP($B445,TabAlgTutti,4,FALSE))+ROW()/100000</f>
        <v>1.0044500000000001</v>
      </c>
      <c r="L445" s="63" t="e">
        <f ca="1">VLOOKUP(Tabella114[[#This Row],[Calciatore]],'Raccolta Aste'!$K$2:$O$33,4,FALSE)*Asta!$U$3/100</f>
        <v>#N/A</v>
      </c>
      <c r="N445" s="58"/>
      <c r="O445" s="58"/>
      <c r="P445" s="58"/>
      <c r="Q445" s="58"/>
      <c r="R445" s="58"/>
      <c r="S445" s="58"/>
      <c r="W445" s="56">
        <f t="shared" ca="1" si="146"/>
        <v>117</v>
      </c>
      <c r="X445" s="56">
        <f t="shared" ca="1" si="147"/>
        <v>154</v>
      </c>
      <c r="Y445" s="56">
        <f t="shared" ca="1" si="148"/>
        <v>135</v>
      </c>
      <c r="Z445" s="56">
        <f t="shared" ca="1" si="149"/>
        <v>120</v>
      </c>
      <c r="AA445" s="56">
        <f t="shared" ca="1" si="150"/>
        <v>120</v>
      </c>
      <c r="AB445" s="56">
        <f ca="1">_xlfn.CEILING.MATH(INDIRECT(ADDRESS(311,22+MATCH($P$28,'I.A. + Fasce'!$W$84:$AA$84,0),1,1) &amp; ":" &amp; ADDRESS(531,22+MATCH($P$28,'I.A. + Fasce'!$W$84:$AA$84,0),1,1))/Asta!$H$3)</f>
        <v>17</v>
      </c>
    </row>
    <row r="446" spans="1:28" ht="14.25" customHeight="1">
      <c r="A446" s="239" t="str">
        <f ca="1">IF(Giocatori!J136="","C",Giocatori!J136)</f>
        <v>C</v>
      </c>
      <c r="B446" s="239" t="str">
        <f ca="1">IF(Giocatori!K136="","ZZZ" &amp; ROW(),Giocatori!K136)</f>
        <v>OMEONGA</v>
      </c>
      <c r="C446" s="239" t="str">
        <f ca="1">IF(Giocatori!L136="","NDR" &amp; ROW(),Giocatori!L136)</f>
        <v>Genoa</v>
      </c>
      <c r="D446" s="63">
        <f ca="1">IF(ISNA(VLOOKUP($B446,TabAlgTutti,6,FALSE)),0,VLOOKUP($B446,TabAlgTutti,6,FALSE))+ROW()/100000</f>
        <v>55.004460000000002</v>
      </c>
      <c r="E446" s="63">
        <f ca="1">IF(ISNA(VLOOKUP($B446,TabAlgTutti,5,FALSE)),0,VLOOKUP($B446,TabAlgTutti,5,FALSE))+ROW()/100000</f>
        <v>38.004460000000002</v>
      </c>
      <c r="F446" s="64">
        <f ca="1">($D446*$P$8+$E446*(1+$E446*100/60/100)*$S$8)/100+ROW()/100000</f>
        <v>58.545078165763336</v>
      </c>
      <c r="G446" s="63" t="str">
        <f ca="1">IF(ISNA(VLOOKUP($B446,TabAlgTutti,7,FALSE)),"",IF(VLOOKUP($B446,TabAlgTutti,7,FALSE)=-1,"SCONSIGLIATO",IF(VLOOKUP($B446,TabAlgTutti,7,FALSE)=0,"SORPRESA",IF(VLOOKUP($B446,TabAlgTutti,7,FALSE)=1,"CONSIGLIATO",""))))</f>
        <v/>
      </c>
      <c r="H446" s="65">
        <f ca="1">IF(ISNA(VLOOKUP($B446,TabAlgTutti,8,FALSE)),"",VLOOKUP($B446,TabAlgTutti,8,FALSE))</f>
        <v>60</v>
      </c>
      <c r="I446" s="63" t="str">
        <f ca="1">IF(ISNA(VLOOKUP($B446,TabAlgTutti,9,FALSE)),"",IF(VLOOKUP($B446,TabAlgTutti,9,FALSE)="","",VLOOKUP($B446,TabAlgTutti,9,FALSE)&amp;"R "))&amp;IF(ISNA(VLOOKUP($B446,TabAlgTutti,10,FALSE)),"",IF(VLOOKUP($B446,TabAlgTutti,10,FALSE)="","",VLOOKUP($B446,TabAlgTutti,10,FALSE)&amp;"P "))&amp;IF(ISNA(VLOOKUP($B446,TabAlgTutti,11,FALSE)),"",IF(VLOOKUP($B446,TabAlgTutti,11,FALSE)="","",VLOOKUP($B446,TabAlgTutti,11,FALSE)&amp;"A"))</f>
        <v/>
      </c>
      <c r="J446" s="63">
        <f ca="1">IF(ISNA(VLOOKUP($B446,TabAlgTutti,3,FALSE)),0,VLOOKUP($B446,TabAlgTutti,3,FALSE))+ROW()/100000</f>
        <v>1.0044599999999999</v>
      </c>
      <c r="K446" s="63">
        <f ca="1">IF(ISNA(VLOOKUP($B446,TabAlgTutti,4,FALSE)),0,VLOOKUP($B446,TabAlgTutti,4,FALSE))+ROW()/100000</f>
        <v>1.0044599999999999</v>
      </c>
      <c r="L446" s="63" t="e">
        <f ca="1">VLOOKUP(Tabella114[[#This Row],[Calciatore]],'Raccolta Aste'!$K$2:$O$33,4,FALSE)*Asta!$U$3/100</f>
        <v>#N/A</v>
      </c>
      <c r="N446" s="58"/>
      <c r="O446" s="58"/>
      <c r="P446" s="58"/>
      <c r="Q446" s="58"/>
      <c r="R446" s="58"/>
      <c r="S446" s="58"/>
      <c r="W446" s="56">
        <f t="shared" ca="1" si="146"/>
        <v>156</v>
      </c>
      <c r="X446" s="56">
        <f t="shared" ca="1" si="147"/>
        <v>92</v>
      </c>
      <c r="Y446" s="56">
        <f t="shared" ca="1" si="148"/>
        <v>136</v>
      </c>
      <c r="Z446" s="56">
        <f t="shared" ca="1" si="149"/>
        <v>119</v>
      </c>
      <c r="AA446" s="56">
        <f t="shared" ca="1" si="150"/>
        <v>119</v>
      </c>
      <c r="AB446" s="56">
        <f ca="1">_xlfn.CEILING.MATH(INDIRECT(ADDRESS(311,22+MATCH($P$28,'I.A. + Fasce'!$W$84:$AA$84,0),1,1) &amp; ":" &amp; ADDRESS(531,22+MATCH($P$28,'I.A. + Fasce'!$W$84:$AA$84,0),1,1))/Asta!$H$3)</f>
        <v>17</v>
      </c>
    </row>
    <row r="447" spans="1:28" ht="14.25" customHeight="1">
      <c r="A447" s="239" t="str">
        <f ca="1">IF(Giocatori!J57="","C",Giocatori!J57)</f>
        <v>C</v>
      </c>
      <c r="B447" s="239" t="str">
        <f ca="1">IF(Giocatori!K57="","ZZZ" &amp; ROW(),Giocatori!K57)</f>
        <v>DEIOLA</v>
      </c>
      <c r="C447" s="239" t="str">
        <f ca="1">IF(Giocatori!L57="","NDR" &amp; ROW(),Giocatori!L57)</f>
        <v>Cagliari</v>
      </c>
      <c r="D447" s="63">
        <f ca="1">IF(ISNA(VLOOKUP($B447,TabAlgTutti,6,FALSE)),0,VLOOKUP($B447,TabAlgTutti,6,FALSE))+ROW()/100000</f>
        <v>68.004469999999998</v>
      </c>
      <c r="E447" s="63">
        <f ca="1">IF(ISNA(VLOOKUP($B447,TabAlgTutti,5,FALSE)),0,VLOOKUP($B447,TabAlgTutti,5,FALSE))+ROW()/100000</f>
        <v>32.004469999999998</v>
      </c>
      <c r="F447" s="64">
        <f ca="1">($D447*$P$8+$E447*(1+$E447*100/60/100)*$S$8)/100+ROW()/100000</f>
        <v>58.544657499840831</v>
      </c>
      <c r="G447" s="63" t="str">
        <f ca="1">IF(ISNA(VLOOKUP($B447,TabAlgTutti,7,FALSE)),"",IF(VLOOKUP($B447,TabAlgTutti,7,FALSE)=-1,"SCONSIGLIATO",IF(VLOOKUP($B447,TabAlgTutti,7,FALSE)=0,"SORPRESA",IF(VLOOKUP($B447,TabAlgTutti,7,FALSE)=1,"CONSIGLIATO",""))))</f>
        <v/>
      </c>
      <c r="H447" s="65">
        <f ca="1">IF(ISNA(VLOOKUP($B447,TabAlgTutti,8,FALSE)),"",VLOOKUP($B447,TabAlgTutti,8,FALSE))</f>
        <v>50</v>
      </c>
      <c r="I447" s="63" t="str">
        <f ca="1">IF(ISNA(VLOOKUP($B447,TabAlgTutti,9,FALSE)),"",IF(VLOOKUP($B447,TabAlgTutti,9,FALSE)="","",VLOOKUP($B447,TabAlgTutti,9,FALSE)&amp;"R "))&amp;IF(ISNA(VLOOKUP($B447,TabAlgTutti,10,FALSE)),"",IF(VLOOKUP($B447,TabAlgTutti,10,FALSE)="","",VLOOKUP($B447,TabAlgTutti,10,FALSE)&amp;"P "))&amp;IF(ISNA(VLOOKUP($B447,TabAlgTutti,11,FALSE)),"",IF(VLOOKUP($B447,TabAlgTutti,11,FALSE)="","",VLOOKUP($B447,TabAlgTutti,11,FALSE)&amp;"A"))</f>
        <v/>
      </c>
      <c r="J447" s="63">
        <f ca="1">IF(ISNA(VLOOKUP($B447,TabAlgTutti,3,FALSE)),0,VLOOKUP($B447,TabAlgTutti,3,FALSE))+ROW()/100000</f>
        <v>1.00447</v>
      </c>
      <c r="K447" s="63">
        <f ca="1">IF(ISNA(VLOOKUP($B447,TabAlgTutti,4,FALSE)),0,VLOOKUP($B447,TabAlgTutti,4,FALSE))+ROW()/100000</f>
        <v>1.00447</v>
      </c>
      <c r="L447" s="63" t="e">
        <f ca="1">VLOOKUP(Tabella114[[#This Row],[Calciatore]],'Raccolta Aste'!$K$2:$O$33,4,FALSE)*Asta!$U$3/100</f>
        <v>#N/A</v>
      </c>
      <c r="N447" s="58"/>
      <c r="O447" s="58"/>
      <c r="P447" s="58"/>
      <c r="Q447" s="58"/>
      <c r="R447" s="58"/>
      <c r="S447" s="58"/>
      <c r="W447" s="56">
        <f t="shared" ca="1" si="146"/>
        <v>101</v>
      </c>
      <c r="X447" s="56">
        <f t="shared" ca="1" si="147"/>
        <v>159</v>
      </c>
      <c r="Y447" s="56">
        <f t="shared" ca="1" si="148"/>
        <v>137</v>
      </c>
      <c r="Z447" s="56">
        <f t="shared" ca="1" si="149"/>
        <v>118</v>
      </c>
      <c r="AA447" s="56">
        <f t="shared" ca="1" si="150"/>
        <v>118</v>
      </c>
      <c r="AB447" s="56">
        <f ca="1">_xlfn.CEILING.MATH(INDIRECT(ADDRESS(311,22+MATCH($P$28,'I.A. + Fasce'!$W$84:$AA$84,0),1,1) &amp; ":" &amp; ADDRESS(531,22+MATCH($P$28,'I.A. + Fasce'!$W$84:$AA$84,0),1,1))/Asta!$H$3)</f>
        <v>18</v>
      </c>
    </row>
    <row r="448" spans="1:28" ht="14.25" customHeight="1">
      <c r="A448" s="239" t="str">
        <f ca="1">IF(Giocatori!J203="","C",Giocatori!J203)</f>
        <v>C</v>
      </c>
      <c r="B448" s="239" t="str">
        <f ca="1">IF(Giocatori!K152="","ZZZ" &amp; ROW(),Giocatori!K152)</f>
        <v>RODRIGUEZ T</v>
      </c>
      <c r="C448" s="239" t="str">
        <f ca="1">IF(Giocatori!L152="","NDR" &amp; ROW(),Giocatori!L152)</f>
        <v>Genoa</v>
      </c>
      <c r="D448" s="63">
        <f ca="1">IF(ISNA(VLOOKUP($B448,TabAlgTutti,6,FALSE)),0,VLOOKUP($B448,TabAlgTutti,6,FALSE))+ROW()/100000</f>
        <v>63.004480000000001</v>
      </c>
      <c r="E448" s="63">
        <f ca="1">IF(ISNA(VLOOKUP($B448,TabAlgTutti,5,FALSE)),0,VLOOKUP($B448,TabAlgTutti,5,FALSE))+ROW()/100000</f>
        <v>34.004480000000001</v>
      </c>
      <c r="F448" s="64">
        <f ca="1">($D448*$P$8+$E448*(1+$E448*100/60/100)*$S$8)/100+ROW()/100000</f>
        <v>58.144832167253334</v>
      </c>
      <c r="G448" s="63" t="str">
        <f ca="1">IF(ISNA(VLOOKUP($B448,TabAlgTutti,7,FALSE)),"",IF(VLOOKUP($B448,TabAlgTutti,7,FALSE)=-1,"SCONSIGLIATO",IF(VLOOKUP($B448,TabAlgTutti,7,FALSE)=0,"SORPRESA",IF(VLOOKUP($B448,TabAlgTutti,7,FALSE)=1,"CONSIGLIATO",""))))</f>
        <v/>
      </c>
      <c r="H448" s="65">
        <f ca="1">IF(ISNA(VLOOKUP($B448,TabAlgTutti,8,FALSE)),"",VLOOKUP($B448,TabAlgTutti,8,FALSE))</f>
        <v>40</v>
      </c>
      <c r="I448" s="63" t="str">
        <f ca="1">IF(ISNA(VLOOKUP($B448,TabAlgTutti,9,FALSE)),"",IF(VLOOKUP($B448,TabAlgTutti,9,FALSE)="","",VLOOKUP($B448,TabAlgTutti,9,FALSE)&amp;"R "))&amp;IF(ISNA(VLOOKUP($B448,TabAlgTutti,10,FALSE)),"",IF(VLOOKUP($B448,TabAlgTutti,10,FALSE)="","",VLOOKUP($B448,TabAlgTutti,10,FALSE)&amp;"P "))&amp;IF(ISNA(VLOOKUP($B448,TabAlgTutti,11,FALSE)),"",IF(VLOOKUP($B448,TabAlgTutti,11,FALSE)="","",VLOOKUP($B448,TabAlgTutti,11,FALSE)&amp;"A"))</f>
        <v/>
      </c>
      <c r="J448" s="63">
        <f ca="1">IF(ISNA(VLOOKUP($B448,TabAlgTutti,3,FALSE)),0,VLOOKUP($B448,TabAlgTutti,3,FALSE))+ROW()/100000</f>
        <v>1.00448</v>
      </c>
      <c r="K448" s="63">
        <f ca="1">IF(ISNA(VLOOKUP($B448,TabAlgTutti,4,FALSE)),0,VLOOKUP($B448,TabAlgTutti,4,FALSE))+ROW()/100000</f>
        <v>1.00448</v>
      </c>
      <c r="L448" s="63" t="e">
        <f ca="1">VLOOKUP(Tabella114[[#This Row],[Calciatore]],'Raccolta Aste'!$K$2:$O$33,4,FALSE)*Asta!$U$3/100</f>
        <v>#N/A</v>
      </c>
      <c r="N448" s="58"/>
      <c r="O448" s="58"/>
      <c r="P448" s="58"/>
      <c r="Q448" s="58"/>
      <c r="R448" s="58"/>
      <c r="S448" s="58"/>
      <c r="W448" s="56">
        <f t="shared" ca="1" si="146"/>
        <v>135</v>
      </c>
      <c r="X448" s="56">
        <f t="shared" ca="1" si="147"/>
        <v>137</v>
      </c>
      <c r="Y448" s="56">
        <f t="shared" ca="1" si="148"/>
        <v>139</v>
      </c>
      <c r="Z448" s="56">
        <f t="shared" ca="1" si="149"/>
        <v>117</v>
      </c>
      <c r="AA448" s="56">
        <f t="shared" ca="1" si="150"/>
        <v>117</v>
      </c>
      <c r="AB448" s="56">
        <f ca="1">_xlfn.CEILING.MATH(INDIRECT(ADDRESS(311,22+MATCH($P$28,'I.A. + Fasce'!$W$84:$AA$84,0),1,1) &amp; ":" &amp; ADDRESS(531,22+MATCH($P$28,'I.A. + Fasce'!$W$84:$AA$84,0),1,1))/Asta!$H$3)</f>
        <v>18</v>
      </c>
    </row>
    <row r="449" spans="1:28" ht="14.25" customHeight="1">
      <c r="A449" s="239" t="str">
        <f ca="1">IF(Giocatori!J37="","C",Giocatori!J37)</f>
        <v>C</v>
      </c>
      <c r="B449" s="239" t="str">
        <f ca="1">IF(Giocatori!K37="","ZZZ" &amp; ROW(),Giocatori!K37)</f>
        <v>CAPEZZI</v>
      </c>
      <c r="C449" s="239" t="str">
        <f ca="1">IF(Giocatori!L37="","NDR" &amp; ROW(),Giocatori!L37)</f>
        <v>Sampdoria</v>
      </c>
      <c r="D449" s="63">
        <f ca="1">IF(ISNA(VLOOKUP($B449,TabAlgTutti,6,FALSE)),0,VLOOKUP($B449,TabAlgTutti,6,FALSE))+ROW()/100000</f>
        <v>63.004489999999997</v>
      </c>
      <c r="E449" s="63">
        <f ca="1">IF(ISNA(VLOOKUP($B449,TabAlgTutti,5,FALSE)),0,VLOOKUP($B449,TabAlgTutti,5,FALSE))+ROW()/100000</f>
        <v>34.004489999999997</v>
      </c>
      <c r="F449" s="64">
        <f ca="1">($D449*$P$8+$E449*(1+$E449*100/60/100)*$S$8)/100+ROW()/100000</f>
        <v>58.144857834667491</v>
      </c>
      <c r="G449" s="63" t="str">
        <f ca="1">IF(ISNA(VLOOKUP($B449,TabAlgTutti,7,FALSE)),"",IF(VLOOKUP($B449,TabAlgTutti,7,FALSE)=-1,"SCONSIGLIATO",IF(VLOOKUP($B449,TabAlgTutti,7,FALSE)=0,"SORPRESA",IF(VLOOKUP($B449,TabAlgTutti,7,FALSE)=1,"CONSIGLIATO",""))))</f>
        <v/>
      </c>
      <c r="H449" s="65">
        <f ca="1">IF(ISNA(VLOOKUP($B449,TabAlgTutti,8,FALSE)),"",VLOOKUP($B449,TabAlgTutti,8,FALSE))</f>
        <v>50</v>
      </c>
      <c r="I449" s="63" t="str">
        <f ca="1">IF(ISNA(VLOOKUP($B449,TabAlgTutti,9,FALSE)),"",IF(VLOOKUP($B449,TabAlgTutti,9,FALSE)="","",VLOOKUP($B449,TabAlgTutti,9,FALSE)&amp;"R "))&amp;IF(ISNA(VLOOKUP($B449,TabAlgTutti,10,FALSE)),"",IF(VLOOKUP($B449,TabAlgTutti,10,FALSE)="","",VLOOKUP($B449,TabAlgTutti,10,FALSE)&amp;"P "))&amp;IF(ISNA(VLOOKUP($B449,TabAlgTutti,11,FALSE)),"",IF(VLOOKUP($B449,TabAlgTutti,11,FALSE)="","",VLOOKUP($B449,TabAlgTutti,11,FALSE)&amp;"A"))</f>
        <v/>
      </c>
      <c r="J449" s="63">
        <f ca="1">IF(ISNA(VLOOKUP($B449,TabAlgTutti,3,FALSE)),0,VLOOKUP($B449,TabAlgTutti,3,FALSE))+ROW()/100000</f>
        <v>1.0044900000000001</v>
      </c>
      <c r="K449" s="63">
        <f ca="1">IF(ISNA(VLOOKUP($B449,TabAlgTutti,4,FALSE)),0,VLOOKUP($B449,TabAlgTutti,4,FALSE))+ROW()/100000</f>
        <v>1.0044900000000001</v>
      </c>
      <c r="L449" s="63" t="e">
        <f ca="1">VLOOKUP(Tabella114[[#This Row],[Calciatore]],'Raccolta Aste'!$K$2:$O$33,4,FALSE)*Asta!$U$3/100</f>
        <v>#N/A</v>
      </c>
      <c r="N449" s="58"/>
      <c r="O449" s="58"/>
      <c r="P449" s="58"/>
      <c r="Q449" s="58"/>
      <c r="R449" s="58"/>
      <c r="S449" s="58"/>
      <c r="W449" s="56">
        <f t="shared" ca="1" si="146"/>
        <v>134</v>
      </c>
      <c r="X449" s="56">
        <f t="shared" ca="1" si="147"/>
        <v>136</v>
      </c>
      <c r="Y449" s="56">
        <f t="shared" ca="1" si="148"/>
        <v>138</v>
      </c>
      <c r="Z449" s="56">
        <f t="shared" ca="1" si="149"/>
        <v>116</v>
      </c>
      <c r="AA449" s="56">
        <f t="shared" ca="1" si="150"/>
        <v>116</v>
      </c>
      <c r="AB449" s="56">
        <f ca="1">_xlfn.CEILING.MATH(INDIRECT(ADDRESS(311,22+MATCH($P$28,'I.A. + Fasce'!$W$84:$AA$84,0),1,1) &amp; ":" &amp; ADDRESS(531,22+MATCH($P$28,'I.A. + Fasce'!$W$84:$AA$84,0),1,1))/Asta!$H$3)</f>
        <v>18</v>
      </c>
    </row>
    <row r="450" spans="1:28" ht="14.25" customHeight="1">
      <c r="A450" s="239" t="str">
        <f ca="1">IF(Giocatori!J72="","C",Giocatori!J72)</f>
        <v>C</v>
      </c>
      <c r="B450" s="239" t="str">
        <f ca="1">IF(Giocatori!K72="","ZZZ" &amp; ROW(),Giocatori!K72)</f>
        <v>FERNANDEZ M</v>
      </c>
      <c r="C450" s="239" t="str">
        <f ca="1">IF(Giocatori!L72="","NDR" &amp; ROW(),Giocatori!L72)</f>
        <v>Fiorentina</v>
      </c>
      <c r="D450" s="63">
        <f ca="1">IF(ISNA(VLOOKUP($B450,TabAlgTutti,6,FALSE)),0,VLOOKUP($B450,TabAlgTutti,6,FALSE))+ROW()/100000</f>
        <v>60.0045</v>
      </c>
      <c r="E450" s="63">
        <f ca="1">IF(ISNA(VLOOKUP($B450,TabAlgTutti,5,FALSE)),0,VLOOKUP($B450,TabAlgTutti,5,FALSE))+ROW()/100000</f>
        <v>35.0045</v>
      </c>
      <c r="F450" s="64">
        <f ca="1">($D450*$P$8+$E450*(1+$E450*100/60/100)*$S$8)/100+ROW()/100000</f>
        <v>57.71995850208333</v>
      </c>
      <c r="G450" s="63" t="str">
        <f ca="1">IF(ISNA(VLOOKUP($B450,TabAlgTutti,7,FALSE)),"",IF(VLOOKUP($B450,TabAlgTutti,7,FALSE)=-1,"SCONSIGLIATO",IF(VLOOKUP($B450,TabAlgTutti,7,FALSE)=0,"SORPRESA",IF(VLOOKUP($B450,TabAlgTutti,7,FALSE)=1,"CONSIGLIATO",""))))</f>
        <v/>
      </c>
      <c r="H450" s="65">
        <f ca="1">IF(ISNA(VLOOKUP($B450,TabAlgTutti,8,FALSE)),"",VLOOKUP($B450,TabAlgTutti,8,FALSE))</f>
        <v>40</v>
      </c>
      <c r="I450" s="63" t="str">
        <f ca="1">IF(ISNA(VLOOKUP($B450,TabAlgTutti,9,FALSE)),"",IF(VLOOKUP($B450,TabAlgTutti,9,FALSE)="","",VLOOKUP($B450,TabAlgTutti,9,FALSE)&amp;"R "))&amp;IF(ISNA(VLOOKUP($B450,TabAlgTutti,10,FALSE)),"",IF(VLOOKUP($B450,TabAlgTutti,10,FALSE)="","",VLOOKUP($B450,TabAlgTutti,10,FALSE)&amp;"P "))&amp;IF(ISNA(VLOOKUP($B450,TabAlgTutti,11,FALSE)),"",IF(VLOOKUP($B450,TabAlgTutti,11,FALSE)="","",VLOOKUP($B450,TabAlgTutti,11,FALSE)&amp;"A"))</f>
        <v/>
      </c>
      <c r="J450" s="63">
        <f ca="1">IF(ISNA(VLOOKUP($B450,TabAlgTutti,3,FALSE)),0,VLOOKUP($B450,TabAlgTutti,3,FALSE))+ROW()/100000</f>
        <v>1.0044999999999999</v>
      </c>
      <c r="K450" s="63">
        <f ca="1">IF(ISNA(VLOOKUP($B450,TabAlgTutti,4,FALSE)),0,VLOOKUP($B450,TabAlgTutti,4,FALSE))+ROW()/100000</f>
        <v>1.0044999999999999</v>
      </c>
      <c r="L450" s="63" t="e">
        <f ca="1">VLOOKUP(Tabella114[[#This Row],[Calciatore]],'Raccolta Aste'!$K$2:$O$33,4,FALSE)*Asta!$U$3/100</f>
        <v>#N/A</v>
      </c>
      <c r="N450" s="58"/>
      <c r="O450" s="58"/>
      <c r="P450" s="58"/>
      <c r="Q450" s="58"/>
      <c r="R450" s="58"/>
      <c r="S450" s="58"/>
      <c r="W450" s="56">
        <f t="shared" ca="1" si="146"/>
        <v>142</v>
      </c>
      <c r="X450" s="56">
        <f t="shared" ca="1" si="147"/>
        <v>119</v>
      </c>
      <c r="Y450" s="56">
        <f t="shared" ca="1" si="148"/>
        <v>140</v>
      </c>
      <c r="Z450" s="56">
        <f t="shared" ca="1" si="149"/>
        <v>115</v>
      </c>
      <c r="AA450" s="56">
        <f t="shared" ca="1" si="150"/>
        <v>115</v>
      </c>
      <c r="AB450" s="56">
        <f ca="1">_xlfn.CEILING.MATH(INDIRECT(ADDRESS(311,22+MATCH($P$28,'I.A. + Fasce'!$W$84:$AA$84,0),1,1) &amp; ":" &amp; ADDRESS(531,22+MATCH($P$28,'I.A. + Fasce'!$W$84:$AA$84,0),1,1))/Asta!$H$3)</f>
        <v>18</v>
      </c>
    </row>
    <row r="451" spans="1:28" ht="14.25" customHeight="1">
      <c r="A451" s="239" t="str">
        <f ca="1">IF(Giocatori!J145="","C",Giocatori!J145)</f>
        <v>C</v>
      </c>
      <c r="B451" s="239" t="str">
        <f ca="1">IF(Giocatori!K145="","ZZZ" &amp; ROW(),Giocatori!K145)</f>
        <v>PULGAR</v>
      </c>
      <c r="C451" s="239" t="str">
        <f ca="1">IF(Giocatori!L145="","NDR" &amp; ROW(),Giocatori!L145)</f>
        <v>Bologna</v>
      </c>
      <c r="D451" s="63">
        <f ca="1">IF(ISNA(VLOOKUP($B451,TabAlgTutti,6,FALSE)),0,VLOOKUP($B451,TabAlgTutti,6,FALSE))+ROW()/100000</f>
        <v>64.004509999999996</v>
      </c>
      <c r="E451" s="63">
        <f ca="1">IF(ISNA(VLOOKUP($B451,TabAlgTutti,5,FALSE)),0,VLOOKUP($B451,TabAlgTutti,5,FALSE))+ROW()/100000</f>
        <v>33.004510000000003</v>
      </c>
      <c r="F451" s="64">
        <f ca="1">($D451*$P$8+$E451*(1+$E451*100/60/100)*$S$8)/100+ROW()/100000</f>
        <v>57.586500669500843</v>
      </c>
      <c r="G451" s="63" t="str">
        <f ca="1">IF(ISNA(VLOOKUP($B451,TabAlgTutti,7,FALSE)),"",IF(VLOOKUP($B451,TabAlgTutti,7,FALSE)=-1,"SCONSIGLIATO",IF(VLOOKUP($B451,TabAlgTutti,7,FALSE)=0,"SORPRESA",IF(VLOOKUP($B451,TabAlgTutti,7,FALSE)=1,"CONSIGLIATO",""))))</f>
        <v>SCONSIGLIATO</v>
      </c>
      <c r="H451" s="65">
        <f ca="1">IF(ISNA(VLOOKUP($B451,TabAlgTutti,8,FALSE)),"",VLOOKUP($B451,TabAlgTutti,8,FALSE))</f>
        <v>60</v>
      </c>
      <c r="I451" s="63" t="str">
        <f ca="1">IF(ISNA(VLOOKUP($B451,TabAlgTutti,9,FALSE)),"",IF(VLOOKUP($B451,TabAlgTutti,9,FALSE)="","",VLOOKUP($B451,TabAlgTutti,9,FALSE)&amp;"R "))&amp;IF(ISNA(VLOOKUP($B451,TabAlgTutti,10,FALSE)),"",IF(VLOOKUP($B451,TabAlgTutti,10,FALSE)="","",VLOOKUP($B451,TabAlgTutti,10,FALSE)&amp;"P "))&amp;IF(ISNA(VLOOKUP($B451,TabAlgTutti,11,FALSE)),"",IF(VLOOKUP($B451,TabAlgTutti,11,FALSE)="","",VLOOKUP($B451,TabAlgTutti,11,FALSE)&amp;"A"))</f>
        <v/>
      </c>
      <c r="J451" s="63">
        <f ca="1">IF(ISNA(VLOOKUP($B451,TabAlgTutti,3,FALSE)),0,VLOOKUP($B451,TabAlgTutti,3,FALSE))+ROW()/100000</f>
        <v>1.00451</v>
      </c>
      <c r="K451" s="63">
        <f ca="1">IF(ISNA(VLOOKUP($B451,TabAlgTutti,4,FALSE)),0,VLOOKUP($B451,TabAlgTutti,4,FALSE))+ROW()/100000</f>
        <v>1.00451</v>
      </c>
      <c r="L451" s="63" t="e">
        <f ca="1">VLOOKUP(Tabella114[[#This Row],[Calciatore]],'Raccolta Aste'!$K$2:$O$33,4,FALSE)*Asta!$U$3/100</f>
        <v>#N/A</v>
      </c>
      <c r="N451" s="58"/>
      <c r="O451" s="58"/>
      <c r="P451" s="58"/>
      <c r="Q451" s="58"/>
      <c r="R451" s="58"/>
      <c r="S451" s="58"/>
      <c r="W451" s="56">
        <f t="shared" ca="1" si="146"/>
        <v>128</v>
      </c>
      <c r="X451" s="56">
        <f t="shared" ca="1" si="147"/>
        <v>153</v>
      </c>
      <c r="Y451" s="56">
        <f t="shared" ca="1" si="148"/>
        <v>141</v>
      </c>
      <c r="Z451" s="56">
        <f t="shared" ca="1" si="149"/>
        <v>114</v>
      </c>
      <c r="AA451" s="56">
        <f t="shared" ca="1" si="150"/>
        <v>114</v>
      </c>
      <c r="AB451" s="56">
        <f ca="1">_xlfn.CEILING.MATH(INDIRECT(ADDRESS(311,22+MATCH($P$28,'I.A. + Fasce'!$W$84:$AA$84,0),1,1) &amp; ":" &amp; ADDRESS(531,22+MATCH($P$28,'I.A. + Fasce'!$W$84:$AA$84,0),1,1))/Asta!$H$3)</f>
        <v>18</v>
      </c>
    </row>
    <row r="452" spans="1:28" ht="14.25" customHeight="1">
      <c r="A452" s="239" t="str">
        <f ca="1">IF(Giocatori!J87="","C",Giocatori!J87)</f>
        <v>C</v>
      </c>
      <c r="B452" s="239" t="str">
        <f ca="1">IF(Giocatori!K87="","ZZZ" &amp; ROW(),Giocatori!K87)</f>
        <v>HAGI</v>
      </c>
      <c r="C452" s="239" t="str">
        <f ca="1">IF(Giocatori!L87="","NDR" &amp; ROW(),Giocatori!L87)</f>
        <v>Fiorentina</v>
      </c>
      <c r="D452" s="63">
        <f ca="1">IF(ISNA(VLOOKUP($B452,TabAlgTutti,6,FALSE)),0,VLOOKUP($B452,TabAlgTutti,6,FALSE))+ROW()/100000</f>
        <v>59.004519999999999</v>
      </c>
      <c r="E452" s="63">
        <f ca="1">IF(ISNA(VLOOKUP($B452,TabAlgTutti,5,FALSE)),0,VLOOKUP($B452,TabAlgTutti,5,FALSE))+ROW()/100000</f>
        <v>35.004519999999999</v>
      </c>
      <c r="F452" s="64">
        <f ca="1">($D452*$P$8+$E452*(1+$E452*100/60/100)*$S$8)/100+ROW()/100000</f>
        <v>57.220010170253332</v>
      </c>
      <c r="G452" s="63" t="str">
        <f ca="1">IF(ISNA(VLOOKUP($B452,TabAlgTutti,7,FALSE)),"",IF(VLOOKUP($B452,TabAlgTutti,7,FALSE)=-1,"SCONSIGLIATO",IF(VLOOKUP($B452,TabAlgTutti,7,FALSE)=0,"SORPRESA",IF(VLOOKUP($B452,TabAlgTutti,7,FALSE)=1,"CONSIGLIATO",""))))</f>
        <v/>
      </c>
      <c r="H452" s="65">
        <f ca="1">IF(ISNA(VLOOKUP($B452,TabAlgTutti,8,FALSE)),"",VLOOKUP($B452,TabAlgTutti,8,FALSE))</f>
        <v>40</v>
      </c>
      <c r="I452" s="63" t="str">
        <f ca="1">IF(ISNA(VLOOKUP($B452,TabAlgTutti,9,FALSE)),"",IF(VLOOKUP($B452,TabAlgTutti,9,FALSE)="","",VLOOKUP($B452,TabAlgTutti,9,FALSE)&amp;"R "))&amp;IF(ISNA(VLOOKUP($B452,TabAlgTutti,10,FALSE)),"",IF(VLOOKUP($B452,TabAlgTutti,10,FALSE)="","",VLOOKUP($B452,TabAlgTutti,10,FALSE)&amp;"P "))&amp;IF(ISNA(VLOOKUP($B452,TabAlgTutti,11,FALSE)),"",IF(VLOOKUP($B452,TabAlgTutti,11,FALSE)="","",VLOOKUP($B452,TabAlgTutti,11,FALSE)&amp;"A"))</f>
        <v/>
      </c>
      <c r="J452" s="63">
        <f ca="1">IF(ISNA(VLOOKUP($B452,TabAlgTutti,3,FALSE)),0,VLOOKUP($B452,TabAlgTutti,3,FALSE))+ROW()/100000</f>
        <v>1.0045200000000001</v>
      </c>
      <c r="K452" s="63">
        <f ca="1">IF(ISNA(VLOOKUP($B452,TabAlgTutti,4,FALSE)),0,VLOOKUP($B452,TabAlgTutti,4,FALSE))+ROW()/100000</f>
        <v>1.0045200000000001</v>
      </c>
      <c r="L452" s="63" t="e">
        <f ca="1">VLOOKUP(Tabella114[[#This Row],[Calciatore]],'Raccolta Aste'!$K$2:$O$33,4,FALSE)*Asta!$U$3/100</f>
        <v>#N/A</v>
      </c>
      <c r="N452" s="58"/>
      <c r="O452" s="58"/>
      <c r="P452" s="58"/>
      <c r="Q452" s="58"/>
      <c r="R452" s="58"/>
      <c r="S452" s="58"/>
      <c r="W452" s="56">
        <f t="shared" ca="1" si="146"/>
        <v>147</v>
      </c>
      <c r="X452" s="56">
        <f t="shared" ca="1" si="147"/>
        <v>118</v>
      </c>
      <c r="Y452" s="56">
        <f t="shared" ca="1" si="148"/>
        <v>142</v>
      </c>
      <c r="Z452" s="56">
        <f t="shared" ca="1" si="149"/>
        <v>113</v>
      </c>
      <c r="AA452" s="56">
        <f t="shared" ca="1" si="150"/>
        <v>113</v>
      </c>
      <c r="AB452" s="56">
        <f ca="1">_xlfn.CEILING.MATH(INDIRECT(ADDRESS(311,22+MATCH($P$28,'I.A. + Fasce'!$W$84:$AA$84,0),1,1) &amp; ":" &amp; ADDRESS(531,22+MATCH($P$28,'I.A. + Fasce'!$W$84:$AA$84,0),1,1))/Asta!$H$3)</f>
        <v>18</v>
      </c>
    </row>
    <row r="453" spans="1:28" ht="14.25" customHeight="1">
      <c r="A453" s="239" t="str">
        <f ca="1">IF(Giocatori!J46="","C",Giocatori!J46)</f>
        <v>C</v>
      </c>
      <c r="B453" s="239" t="str">
        <f ca="1">IF(Giocatori!K46="","ZZZ" &amp; ROW(),Giocatori!K46)</f>
        <v>COSSU</v>
      </c>
      <c r="C453" s="239" t="str">
        <f ca="1">IF(Giocatori!L46="","NDR" &amp; ROW(),Giocatori!L46)</f>
        <v>Cagliari</v>
      </c>
      <c r="D453" s="63">
        <f ca="1">IF(ISNA(VLOOKUP($B453,TabAlgTutti,6,FALSE)),0,VLOOKUP($B453,TabAlgTutti,6,FALSE))+ROW()/100000</f>
        <v>63.004530000000003</v>
      </c>
      <c r="E453" s="63">
        <f ca="1">IF(ISNA(VLOOKUP($B453,TabAlgTutti,5,FALSE)),0,VLOOKUP($B453,TabAlgTutti,5,FALSE))+ROW()/100000</f>
        <v>33.004530000000003</v>
      </c>
      <c r="F453" s="64">
        <f ca="1">($D453*$P$8+$E453*(1+$E453*100/60/100)*$S$8)/100+ROW()/100000</f>
        <v>57.086551671007506</v>
      </c>
      <c r="G453" s="63" t="str">
        <f ca="1">IF(ISNA(VLOOKUP($B453,TabAlgTutti,7,FALSE)),"",IF(VLOOKUP($B453,TabAlgTutti,7,FALSE)=-1,"SCONSIGLIATO",IF(VLOOKUP($B453,TabAlgTutti,7,FALSE)=0,"SORPRESA",IF(VLOOKUP($B453,TabAlgTutti,7,FALSE)=1,"CONSIGLIATO",""))))</f>
        <v/>
      </c>
      <c r="H453" s="65">
        <f ca="1">IF(ISNA(VLOOKUP($B453,TabAlgTutti,8,FALSE)),"",VLOOKUP($B453,TabAlgTutti,8,FALSE))</f>
        <v>50</v>
      </c>
      <c r="I453" s="63" t="str">
        <f ca="1">IF(ISNA(VLOOKUP($B453,TabAlgTutti,9,FALSE)),"",IF(VLOOKUP($B453,TabAlgTutti,9,FALSE)="","",VLOOKUP($B453,TabAlgTutti,9,FALSE)&amp;"R "))&amp;IF(ISNA(VLOOKUP($B453,TabAlgTutti,10,FALSE)),"",IF(VLOOKUP($B453,TabAlgTutti,10,FALSE)="","",VLOOKUP($B453,TabAlgTutti,10,FALSE)&amp;"P "))&amp;IF(ISNA(VLOOKUP($B453,TabAlgTutti,11,FALSE)),"",IF(VLOOKUP($B453,TabAlgTutti,11,FALSE)="","",VLOOKUP($B453,TabAlgTutti,11,FALSE)&amp;"A"))</f>
        <v>3P 2A</v>
      </c>
      <c r="J453" s="63">
        <f ca="1">IF(ISNA(VLOOKUP($B453,TabAlgTutti,3,FALSE)),0,VLOOKUP($B453,TabAlgTutti,3,FALSE))+ROW()/100000</f>
        <v>1.0045299999999999</v>
      </c>
      <c r="K453" s="63">
        <f ca="1">IF(ISNA(VLOOKUP($B453,TabAlgTutti,4,FALSE)),0,VLOOKUP($B453,TabAlgTutti,4,FALSE))+ROW()/100000</f>
        <v>1.0045299999999999</v>
      </c>
      <c r="L453" s="63" t="e">
        <f ca="1">VLOOKUP(Tabella114[[#This Row],[Calciatore]],'Raccolta Aste'!$K$2:$O$33,4,FALSE)*Asta!$U$3/100</f>
        <v>#N/A</v>
      </c>
      <c r="N453" s="58"/>
      <c r="O453" s="58"/>
      <c r="P453" s="58"/>
      <c r="Q453" s="58"/>
      <c r="R453" s="58"/>
      <c r="S453" s="58"/>
      <c r="W453" s="56">
        <f t="shared" ca="1" si="146"/>
        <v>133</v>
      </c>
      <c r="X453" s="56">
        <f t="shared" ca="1" si="147"/>
        <v>152</v>
      </c>
      <c r="Y453" s="56">
        <f t="shared" ca="1" si="148"/>
        <v>143</v>
      </c>
      <c r="Z453" s="56">
        <f t="shared" ca="1" si="149"/>
        <v>112</v>
      </c>
      <c r="AA453" s="56">
        <f t="shared" ca="1" si="150"/>
        <v>112</v>
      </c>
      <c r="AB453" s="56">
        <f ca="1">_xlfn.CEILING.MATH(INDIRECT(ADDRESS(311,22+MATCH($P$28,'I.A. + Fasce'!$W$84:$AA$84,0),1,1) &amp; ":" &amp; ADDRESS(531,22+MATCH($P$28,'I.A. + Fasce'!$W$84:$AA$84,0),1,1))/Asta!$H$3)</f>
        <v>18</v>
      </c>
    </row>
    <row r="454" spans="1:28" ht="14.25" customHeight="1">
      <c r="A454" s="239" t="str">
        <f ca="1">IF(Giocatori!J215="","C",Giocatori!J215)</f>
        <v>C</v>
      </c>
      <c r="B454" s="239" t="str">
        <f ca="1">IF(Giocatori!K164="","ZZZ" &amp; ROW(),Giocatori!K164)</f>
        <v>STURARO</v>
      </c>
      <c r="C454" s="239" t="str">
        <f ca="1">IF(Giocatori!L164="","NDR" &amp; ROW(),Giocatori!L164)</f>
        <v>Juventus</v>
      </c>
      <c r="D454" s="63">
        <f ca="1">IF(ISNA(VLOOKUP($B454,TabAlgTutti,6,FALSE)),0,VLOOKUP($B454,TabAlgTutti,6,FALSE))+ROW()/100000</f>
        <v>60.004539999999999</v>
      </c>
      <c r="E454" s="63">
        <f ca="1">IF(ISNA(VLOOKUP($B454,TabAlgTutti,5,FALSE)),0,VLOOKUP($B454,TabAlgTutti,5,FALSE))+ROW()/100000</f>
        <v>34.004539999999999</v>
      </c>
      <c r="F454" s="64">
        <f ca="1">($D454*$P$8+$E454*(1+$E454*100/60/100)*$S$8)/100+ROW()/100000</f>
        <v>56.644986171763321</v>
      </c>
      <c r="G454" s="63" t="str">
        <f ca="1">IF(ISNA(VLOOKUP($B454,TabAlgTutti,7,FALSE)),"",IF(VLOOKUP($B454,TabAlgTutti,7,FALSE)=-1,"SCONSIGLIATO",IF(VLOOKUP($B454,TabAlgTutti,7,FALSE)=0,"SORPRESA",IF(VLOOKUP($B454,TabAlgTutti,7,FALSE)=1,"CONSIGLIATO",""))))</f>
        <v/>
      </c>
      <c r="H454" s="65">
        <f ca="1">IF(ISNA(VLOOKUP($B454,TabAlgTutti,8,FALSE)),"",VLOOKUP($B454,TabAlgTutti,8,FALSE))</f>
        <v>50</v>
      </c>
      <c r="I454" s="63" t="str">
        <f ca="1">IF(ISNA(VLOOKUP($B454,TabAlgTutti,9,FALSE)),"",IF(VLOOKUP($B454,TabAlgTutti,9,FALSE)="","",VLOOKUP($B454,TabAlgTutti,9,FALSE)&amp;"R "))&amp;IF(ISNA(VLOOKUP($B454,TabAlgTutti,10,FALSE)),"",IF(VLOOKUP($B454,TabAlgTutti,10,FALSE)="","",VLOOKUP($B454,TabAlgTutti,10,FALSE)&amp;"P "))&amp;IF(ISNA(VLOOKUP($B454,TabAlgTutti,11,FALSE)),"",IF(VLOOKUP($B454,TabAlgTutti,11,FALSE)="","",VLOOKUP($B454,TabAlgTutti,11,FALSE)&amp;"A"))</f>
        <v/>
      </c>
      <c r="J454" s="63">
        <f ca="1">IF(ISNA(VLOOKUP($B454,TabAlgTutti,3,FALSE)),0,VLOOKUP($B454,TabAlgTutti,3,FALSE))+ROW()/100000</f>
        <v>1.00454</v>
      </c>
      <c r="K454" s="63">
        <f ca="1">IF(ISNA(VLOOKUP($B454,TabAlgTutti,4,FALSE)),0,VLOOKUP($B454,TabAlgTutti,4,FALSE))+ROW()/100000</f>
        <v>1.00454</v>
      </c>
      <c r="L454" s="63" t="e">
        <f ca="1">VLOOKUP(Tabella114[[#This Row],[Calciatore]],'Raccolta Aste'!$K$2:$O$33,4,FALSE)*Asta!$U$3/100</f>
        <v>#N/A</v>
      </c>
      <c r="N454" s="58"/>
      <c r="O454" s="58"/>
      <c r="P454" s="58"/>
      <c r="Q454" s="58"/>
      <c r="R454" s="58"/>
      <c r="S454" s="58"/>
      <c r="W454" s="56">
        <f t="shared" ca="1" si="146"/>
        <v>141</v>
      </c>
      <c r="X454" s="56">
        <f t="shared" ca="1" si="147"/>
        <v>135</v>
      </c>
      <c r="Y454" s="56">
        <f t="shared" ca="1" si="148"/>
        <v>144</v>
      </c>
      <c r="Z454" s="56">
        <f t="shared" ca="1" si="149"/>
        <v>111</v>
      </c>
      <c r="AA454" s="56">
        <f t="shared" ca="1" si="150"/>
        <v>111</v>
      </c>
      <c r="AB454" s="56">
        <f ca="1">_xlfn.CEILING.MATH(INDIRECT(ADDRESS(311,22+MATCH($P$28,'I.A. + Fasce'!$W$84:$AA$84,0),1,1) &amp; ":" &amp; ADDRESS(531,22+MATCH($P$28,'I.A. + Fasce'!$W$84:$AA$84,0),1,1))/Asta!$H$3)</f>
        <v>18</v>
      </c>
    </row>
    <row r="455" spans="1:28" ht="14.25" customHeight="1">
      <c r="A455" s="239" t="str">
        <f ca="1">IF(Giocatori!J93="","C",Giocatori!J93)</f>
        <v>C</v>
      </c>
      <c r="B455" s="239" t="str">
        <f ca="1">IF(Giocatori!K93="","ZZZ" &amp; ROW(),Giocatori!K93)</f>
        <v>INGELSSON</v>
      </c>
      <c r="C455" s="239" t="str">
        <f ca="1">IF(Giocatori!L93="","NDR" &amp; ROW(),Giocatori!L93)</f>
        <v>Udinese</v>
      </c>
      <c r="D455" s="63">
        <f ca="1">IF(ISNA(VLOOKUP($B455,TabAlgTutti,6,FALSE)),0,VLOOKUP($B455,TabAlgTutti,6,FALSE))+ROW()/100000</f>
        <v>59.004550000000002</v>
      </c>
      <c r="E455" s="63">
        <f ca="1">IF(ISNA(VLOOKUP($B455,TabAlgTutti,5,FALSE)),0,VLOOKUP($B455,TabAlgTutti,5,FALSE))+ROW()/100000</f>
        <v>34.004550000000002</v>
      </c>
      <c r="F455" s="64">
        <f ca="1">($D455*$P$8+$E455*(1+$E455*100/60/100)*$S$8)/100+ROW()/100000</f>
        <v>56.145011839187504</v>
      </c>
      <c r="G455" s="63" t="str">
        <f ca="1">IF(ISNA(VLOOKUP($B455,TabAlgTutti,7,FALSE)),"",IF(VLOOKUP($B455,TabAlgTutti,7,FALSE)=-1,"SCONSIGLIATO",IF(VLOOKUP($B455,TabAlgTutti,7,FALSE)=0,"SORPRESA",IF(VLOOKUP($B455,TabAlgTutti,7,FALSE)=1,"CONSIGLIATO",""))))</f>
        <v/>
      </c>
      <c r="H455" s="65">
        <f ca="1">IF(ISNA(VLOOKUP($B455,TabAlgTutti,8,FALSE)),"",VLOOKUP($B455,TabAlgTutti,8,FALSE))</f>
        <v>40</v>
      </c>
      <c r="I455" s="63" t="str">
        <f ca="1">IF(ISNA(VLOOKUP($B455,TabAlgTutti,9,FALSE)),"",IF(VLOOKUP($B455,TabAlgTutti,9,FALSE)="","",VLOOKUP($B455,TabAlgTutti,9,FALSE)&amp;"R "))&amp;IF(ISNA(VLOOKUP($B455,TabAlgTutti,10,FALSE)),"",IF(VLOOKUP($B455,TabAlgTutti,10,FALSE)="","",VLOOKUP($B455,TabAlgTutti,10,FALSE)&amp;"P "))&amp;IF(ISNA(VLOOKUP($B455,TabAlgTutti,11,FALSE)),"",IF(VLOOKUP($B455,TabAlgTutti,11,FALSE)="","",VLOOKUP($B455,TabAlgTutti,11,FALSE)&amp;"A"))</f>
        <v/>
      </c>
      <c r="J455" s="63">
        <f ca="1">IF(ISNA(VLOOKUP($B455,TabAlgTutti,3,FALSE)),0,VLOOKUP($B455,TabAlgTutti,3,FALSE))+ROW()/100000</f>
        <v>1.0045500000000001</v>
      </c>
      <c r="K455" s="63">
        <f ca="1">IF(ISNA(VLOOKUP($B455,TabAlgTutti,4,FALSE)),0,VLOOKUP($B455,TabAlgTutti,4,FALSE))+ROW()/100000</f>
        <v>1.0045500000000001</v>
      </c>
      <c r="L455" s="63" t="e">
        <f ca="1">VLOOKUP(Tabella114[[#This Row],[Calciatore]],'Raccolta Aste'!$K$2:$O$33,4,FALSE)*Asta!$U$3/100</f>
        <v>#N/A</v>
      </c>
      <c r="N455" s="58"/>
      <c r="O455" s="58"/>
      <c r="P455" s="58"/>
      <c r="Q455" s="58"/>
      <c r="R455" s="58"/>
      <c r="S455" s="58"/>
      <c r="W455" s="56">
        <f t="shared" ca="1" si="146"/>
        <v>146</v>
      </c>
      <c r="X455" s="56">
        <f t="shared" ca="1" si="147"/>
        <v>134</v>
      </c>
      <c r="Y455" s="56">
        <f t="shared" ca="1" si="148"/>
        <v>146</v>
      </c>
      <c r="Z455" s="56">
        <f t="shared" ca="1" si="149"/>
        <v>110</v>
      </c>
      <c r="AA455" s="56">
        <f t="shared" ca="1" si="150"/>
        <v>110</v>
      </c>
      <c r="AB455" s="56">
        <f ca="1">_xlfn.CEILING.MATH(INDIRECT(ADDRESS(311,22+MATCH($P$28,'I.A. + Fasce'!$W$84:$AA$84,0),1,1) &amp; ":" &amp; ADDRESS(531,22+MATCH($P$28,'I.A. + Fasce'!$W$84:$AA$84,0),1,1))/Asta!$H$3)</f>
        <v>19</v>
      </c>
    </row>
    <row r="456" spans="1:28" ht="14.25" customHeight="1">
      <c r="A456" s="239" t="str">
        <f ca="1">IF(Giocatori!J45="","C",Giocatori!J45)</f>
        <v>C</v>
      </c>
      <c r="B456" s="239" t="str">
        <f ca="1">IF(Giocatori!K45="","ZZZ" &amp; ROW(),Giocatori!K45)</f>
        <v>COFIE</v>
      </c>
      <c r="C456" s="239" t="str">
        <f ca="1">IF(Giocatori!L45="","NDR" &amp; ROW(),Giocatori!L45)</f>
        <v>Genoa</v>
      </c>
      <c r="D456" s="63">
        <f ca="1">IF(ISNA(VLOOKUP($B456,TabAlgTutti,6,FALSE)),0,VLOOKUP($B456,TabAlgTutti,6,FALSE))+ROW()/100000</f>
        <v>59.004559999999998</v>
      </c>
      <c r="E456" s="63">
        <f ca="1">IF(ISNA(VLOOKUP($B456,TabAlgTutti,5,FALSE)),0,VLOOKUP($B456,TabAlgTutti,5,FALSE))+ROW()/100000</f>
        <v>34.004559999999998</v>
      </c>
      <c r="F456" s="64">
        <f ca="1">($D456*$P$8+$E456*(1+$E456*100/60/100)*$S$8)/100+ROW()/100000</f>
        <v>56.145037506613335</v>
      </c>
      <c r="G456" s="63" t="str">
        <f ca="1">IF(ISNA(VLOOKUP($B456,TabAlgTutti,7,FALSE)),"",IF(VLOOKUP($B456,TabAlgTutti,7,FALSE)=-1,"SCONSIGLIATO",IF(VLOOKUP($B456,TabAlgTutti,7,FALSE)=0,"SORPRESA",IF(VLOOKUP($B456,TabAlgTutti,7,FALSE)=1,"CONSIGLIATO",""))))</f>
        <v/>
      </c>
      <c r="H456" s="65">
        <f ca="1">IF(ISNA(VLOOKUP($B456,TabAlgTutti,8,FALSE)),"",VLOOKUP($B456,TabAlgTutti,8,FALSE))</f>
        <v>50</v>
      </c>
      <c r="I456" s="63" t="str">
        <f ca="1">IF(ISNA(VLOOKUP($B456,TabAlgTutti,9,FALSE)),"",IF(VLOOKUP($B456,TabAlgTutti,9,FALSE)="","",VLOOKUP($B456,TabAlgTutti,9,FALSE)&amp;"R "))&amp;IF(ISNA(VLOOKUP($B456,TabAlgTutti,10,FALSE)),"",IF(VLOOKUP($B456,TabAlgTutti,10,FALSE)="","",VLOOKUP($B456,TabAlgTutti,10,FALSE)&amp;"P "))&amp;IF(ISNA(VLOOKUP($B456,TabAlgTutti,11,FALSE)),"",IF(VLOOKUP($B456,TabAlgTutti,11,FALSE)="","",VLOOKUP($B456,TabAlgTutti,11,FALSE)&amp;"A"))</f>
        <v/>
      </c>
      <c r="J456" s="63">
        <f ca="1">IF(ISNA(VLOOKUP($B456,TabAlgTutti,3,FALSE)),0,VLOOKUP($B456,TabAlgTutti,3,FALSE))+ROW()/100000</f>
        <v>1.0045599999999999</v>
      </c>
      <c r="K456" s="63">
        <f ca="1">IF(ISNA(VLOOKUP($B456,TabAlgTutti,4,FALSE)),0,VLOOKUP($B456,TabAlgTutti,4,FALSE))+ROW()/100000</f>
        <v>1.0045599999999999</v>
      </c>
      <c r="L456" s="63" t="e">
        <f ca="1">VLOOKUP(Tabella114[[#This Row],[Calciatore]],'Raccolta Aste'!$K$2:$O$33,4,FALSE)*Asta!$U$3/100</f>
        <v>#N/A</v>
      </c>
      <c r="N456" s="58"/>
      <c r="O456" s="58"/>
      <c r="P456" s="58"/>
      <c r="Q456" s="58"/>
      <c r="R456" s="58"/>
      <c r="S456" s="58"/>
      <c r="W456" s="56">
        <f t="shared" ca="1" si="146"/>
        <v>145</v>
      </c>
      <c r="X456" s="56">
        <f t="shared" ca="1" si="147"/>
        <v>133</v>
      </c>
      <c r="Y456" s="56">
        <f t="shared" ca="1" si="148"/>
        <v>145</v>
      </c>
      <c r="Z456" s="56">
        <f t="shared" ca="1" si="149"/>
        <v>109</v>
      </c>
      <c r="AA456" s="56">
        <f t="shared" ca="1" si="150"/>
        <v>109</v>
      </c>
      <c r="AB456" s="56">
        <f ca="1">_xlfn.CEILING.MATH(INDIRECT(ADDRESS(311,22+MATCH($P$28,'I.A. + Fasce'!$W$84:$AA$84,0),1,1) &amp; ":" &amp; ADDRESS(531,22+MATCH($P$28,'I.A. + Fasce'!$W$84:$AA$84,0),1,1))/Asta!$H$3)</f>
        <v>19</v>
      </c>
    </row>
    <row r="457" spans="1:28" ht="14.25" customHeight="1">
      <c r="A457" s="239" t="str">
        <f>IF(Giocatori!J229="","C",Giocatori!J229)</f>
        <v>C</v>
      </c>
      <c r="B457" s="239" t="str">
        <f ca="1">IF(Giocatori!K178="","ZZZ" &amp; ROW(),Giocatori!K178)</f>
        <v>ZACCAGNI</v>
      </c>
      <c r="C457" s="239" t="str">
        <f ca="1">IF(Giocatori!L178="","NDR" &amp; ROW(),Giocatori!L178)</f>
        <v>Verona</v>
      </c>
      <c r="D457" s="63">
        <f ca="1">IF(ISNA(VLOOKUP($B457,TabAlgTutti,6,FALSE)),0,VLOOKUP($B457,TabAlgTutti,6,FALSE))+ROW()/100000</f>
        <v>58.004570000000001</v>
      </c>
      <c r="E457" s="63">
        <f ca="1">IF(ISNA(VLOOKUP($B457,TabAlgTutti,5,FALSE)),0,VLOOKUP($B457,TabAlgTutti,5,FALSE))+ROW()/100000</f>
        <v>34.004570000000001</v>
      </c>
      <c r="F457" s="64">
        <f ca="1">($D457*$P$8+$E457*(1+$E457*100/60/100)*$S$8)/100+ROW()/100000</f>
        <v>55.645063174040843</v>
      </c>
      <c r="G457" s="63" t="str">
        <f ca="1">IF(ISNA(VLOOKUP($B457,TabAlgTutti,7,FALSE)),"",IF(VLOOKUP($B457,TabAlgTutti,7,FALSE)=-1,"SCONSIGLIATO",IF(VLOOKUP($B457,TabAlgTutti,7,FALSE)=0,"SORPRESA",IF(VLOOKUP($B457,TabAlgTutti,7,FALSE)=1,"CONSIGLIATO",""))))</f>
        <v/>
      </c>
      <c r="H457" s="65">
        <f ca="1">IF(ISNA(VLOOKUP($B457,TabAlgTutti,8,FALSE)),"",VLOOKUP($B457,TabAlgTutti,8,FALSE))</f>
        <v>50</v>
      </c>
      <c r="I457" s="63" t="str">
        <f ca="1">IF(ISNA(VLOOKUP($B457,TabAlgTutti,9,FALSE)),"",IF(VLOOKUP($B457,TabAlgTutti,9,FALSE)="","",VLOOKUP($B457,TabAlgTutti,9,FALSE)&amp;"R "))&amp;IF(ISNA(VLOOKUP($B457,TabAlgTutti,10,FALSE)),"",IF(VLOOKUP($B457,TabAlgTutti,10,FALSE)="","",VLOOKUP($B457,TabAlgTutti,10,FALSE)&amp;"P "))&amp;IF(ISNA(VLOOKUP($B457,TabAlgTutti,11,FALSE)),"",IF(VLOOKUP($B457,TabAlgTutti,11,FALSE)="","",VLOOKUP($B457,TabAlgTutti,11,FALSE)&amp;"A"))</f>
        <v/>
      </c>
      <c r="J457" s="63">
        <f ca="1">IF(ISNA(VLOOKUP($B457,TabAlgTutti,3,FALSE)),0,VLOOKUP($B457,TabAlgTutti,3,FALSE))+ROW()/100000</f>
        <v>1.00457</v>
      </c>
      <c r="K457" s="63">
        <f ca="1">IF(ISNA(VLOOKUP($B457,TabAlgTutti,4,FALSE)),0,VLOOKUP($B457,TabAlgTutti,4,FALSE))+ROW()/100000</f>
        <v>1.00457</v>
      </c>
      <c r="L457" s="63" t="e">
        <f ca="1">VLOOKUP(Tabella114[[#This Row],[Calciatore]],'Raccolta Aste'!$K$2:$O$33,4,FALSE)*Asta!$U$3/100</f>
        <v>#N/A</v>
      </c>
      <c r="N457" s="58"/>
      <c r="O457" s="58"/>
      <c r="P457" s="58"/>
      <c r="Q457" s="58"/>
      <c r="R457" s="58"/>
      <c r="S457" s="58"/>
      <c r="W457" s="56">
        <f t="shared" ca="1" si="146"/>
        <v>149</v>
      </c>
      <c r="X457" s="56">
        <f t="shared" ca="1" si="147"/>
        <v>132</v>
      </c>
      <c r="Y457" s="56">
        <f t="shared" ca="1" si="148"/>
        <v>147</v>
      </c>
      <c r="Z457" s="56">
        <f t="shared" ca="1" si="149"/>
        <v>108</v>
      </c>
      <c r="AA457" s="56">
        <f t="shared" ca="1" si="150"/>
        <v>108</v>
      </c>
      <c r="AB457" s="56">
        <f ca="1">_xlfn.CEILING.MATH(INDIRECT(ADDRESS(311,22+MATCH($P$28,'I.A. + Fasce'!$W$84:$AA$84,0),1,1) &amp; ":" &amp; ADDRESS(531,22+MATCH($P$28,'I.A. + Fasce'!$W$84:$AA$84,0),1,1))/Asta!$H$3)</f>
        <v>19</v>
      </c>
    </row>
    <row r="458" spans="1:28" ht="14.25" customHeight="1">
      <c r="A458" s="239" t="str">
        <f ca="1">IF(Giocatori!J48="","C",Giocatori!J48)</f>
        <v>C</v>
      </c>
      <c r="B458" s="239" t="str">
        <f ca="1">IF(Giocatori!K48="","ZZZ" &amp; ROW(),Giocatori!K48)</f>
        <v>CRISETIG</v>
      </c>
      <c r="C458" s="239" t="str">
        <f ca="1">IF(Giocatori!L48="","NDR" &amp; ROW(),Giocatori!L48)</f>
        <v>Bologna</v>
      </c>
      <c r="D458" s="63">
        <f ca="1">IF(ISNA(VLOOKUP($B458,TabAlgTutti,6,FALSE)),0,VLOOKUP($B458,TabAlgTutti,6,FALSE))+ROW()/100000</f>
        <v>60.004579999999997</v>
      </c>
      <c r="E458" s="63">
        <f ca="1">IF(ISNA(VLOOKUP($B458,TabAlgTutti,5,FALSE)),0,VLOOKUP($B458,TabAlgTutti,5,FALSE))+ROW()/100000</f>
        <v>33.004579999999997</v>
      </c>
      <c r="F458" s="64">
        <f ca="1">($D458*$P$8+$E458*(1+$E458*100/60/100)*$S$8)/100+ROW()/100000</f>
        <v>55.586679174803329</v>
      </c>
      <c r="G458" s="63" t="str">
        <f ca="1">IF(ISNA(VLOOKUP($B458,TabAlgTutti,7,FALSE)),"",IF(VLOOKUP($B458,TabAlgTutti,7,FALSE)=-1,"SCONSIGLIATO",IF(VLOOKUP($B458,TabAlgTutti,7,FALSE)=0,"SORPRESA",IF(VLOOKUP($B458,TabAlgTutti,7,FALSE)=1,"CONSIGLIATO",""))))</f>
        <v/>
      </c>
      <c r="H458" s="65">
        <f ca="1">IF(ISNA(VLOOKUP($B458,TabAlgTutti,8,FALSE)),"",VLOOKUP($B458,TabAlgTutti,8,FALSE))</f>
        <v>50</v>
      </c>
      <c r="I458" s="63" t="str">
        <f ca="1">IF(ISNA(VLOOKUP($B458,TabAlgTutti,9,FALSE)),"",IF(VLOOKUP($B458,TabAlgTutti,9,FALSE)="","",VLOOKUP($B458,TabAlgTutti,9,FALSE)&amp;"R "))&amp;IF(ISNA(VLOOKUP($B458,TabAlgTutti,10,FALSE)),"",IF(VLOOKUP($B458,TabAlgTutti,10,FALSE)="","",VLOOKUP($B458,TabAlgTutti,10,FALSE)&amp;"P "))&amp;IF(ISNA(VLOOKUP($B458,TabAlgTutti,11,FALSE)),"",IF(VLOOKUP($B458,TabAlgTutti,11,FALSE)="","",VLOOKUP($B458,TabAlgTutti,11,FALSE)&amp;"A"))</f>
        <v/>
      </c>
      <c r="J458" s="63">
        <f ca="1">IF(ISNA(VLOOKUP($B458,TabAlgTutti,3,FALSE)),0,VLOOKUP($B458,TabAlgTutti,3,FALSE))+ROW()/100000</f>
        <v>1.00458</v>
      </c>
      <c r="K458" s="63">
        <f ca="1">IF(ISNA(VLOOKUP($B458,TabAlgTutti,4,FALSE)),0,VLOOKUP($B458,TabAlgTutti,4,FALSE))+ROW()/100000</f>
        <v>1.00458</v>
      </c>
      <c r="L458" s="63" t="e">
        <f ca="1">VLOOKUP(Tabella114[[#This Row],[Calciatore]],'Raccolta Aste'!$K$2:$O$33,4,FALSE)*Asta!$U$3/100</f>
        <v>#N/A</v>
      </c>
      <c r="N458" s="58"/>
      <c r="O458" s="58"/>
      <c r="P458" s="58"/>
      <c r="Q458" s="58"/>
      <c r="R458" s="58"/>
      <c r="S458" s="58"/>
      <c r="W458" s="56">
        <f t="shared" ca="1" si="146"/>
        <v>140</v>
      </c>
      <c r="X458" s="56">
        <f t="shared" ca="1" si="147"/>
        <v>151</v>
      </c>
      <c r="Y458" s="56">
        <f t="shared" ca="1" si="148"/>
        <v>148</v>
      </c>
      <c r="Z458" s="56">
        <f t="shared" ca="1" si="149"/>
        <v>107</v>
      </c>
      <c r="AA458" s="56">
        <f t="shared" ca="1" si="150"/>
        <v>107</v>
      </c>
      <c r="AB458" s="56">
        <f ca="1">_xlfn.CEILING.MATH(INDIRECT(ADDRESS(311,22+MATCH($P$28,'I.A. + Fasce'!$W$84:$AA$84,0),1,1) &amp; ":" &amp; ADDRESS(531,22+MATCH($P$28,'I.A. + Fasce'!$W$84:$AA$84,0),1,1))/Asta!$H$3)</f>
        <v>19</v>
      </c>
    </row>
    <row r="459" spans="1:28" ht="14.25" customHeight="1">
      <c r="A459" s="239" t="str">
        <f ca="1">IF(Giocatori!J28="","C",Giocatori!J28)</f>
        <v>C</v>
      </c>
      <c r="B459" s="239" t="str">
        <f ca="1">IF(Giocatori!K28="","ZZZ" &amp; ROW(),Giocatori!K28)</f>
        <v>BIONDINI</v>
      </c>
      <c r="C459" s="239" t="str">
        <f ca="1">IF(Giocatori!L28="","NDR" &amp; ROW(),Giocatori!L28)</f>
        <v>Sassuolo</v>
      </c>
      <c r="D459" s="63">
        <f ca="1">IF(ISNA(VLOOKUP($B459,TabAlgTutti,6,FALSE)),0,VLOOKUP($B459,TabAlgTutti,6,FALSE))+ROW()/100000</f>
        <v>64.004589999999993</v>
      </c>
      <c r="E459" s="63">
        <f ca="1">IF(ISNA(VLOOKUP($B459,TabAlgTutti,5,FALSE)),0,VLOOKUP($B459,TabAlgTutti,5,FALSE))+ROW()/100000</f>
        <v>31.00459</v>
      </c>
      <c r="F459" s="64">
        <f ca="1">($D459*$P$8+$E459*(1+$E459*100/60/100)*$S$8)/100+ROW()/100000</f>
        <v>55.519885008900829</v>
      </c>
      <c r="G459" s="63" t="str">
        <f ca="1">IF(ISNA(VLOOKUP($B459,TabAlgTutti,7,FALSE)),"",IF(VLOOKUP($B459,TabAlgTutti,7,FALSE)=-1,"SCONSIGLIATO",IF(VLOOKUP($B459,TabAlgTutti,7,FALSE)=0,"SORPRESA",IF(VLOOKUP($B459,TabAlgTutti,7,FALSE)=1,"CONSIGLIATO",""))))</f>
        <v/>
      </c>
      <c r="H459" s="65">
        <f ca="1">IF(ISNA(VLOOKUP($B459,TabAlgTutti,8,FALSE)),"",VLOOKUP($B459,TabAlgTutti,8,FALSE))</f>
        <v>50</v>
      </c>
      <c r="I459" s="63" t="str">
        <f ca="1">IF(ISNA(VLOOKUP($B459,TabAlgTutti,9,FALSE)),"",IF(VLOOKUP($B459,TabAlgTutti,9,FALSE)="","",VLOOKUP($B459,TabAlgTutti,9,FALSE)&amp;"R "))&amp;IF(ISNA(VLOOKUP($B459,TabAlgTutti,10,FALSE)),"",IF(VLOOKUP($B459,TabAlgTutti,10,FALSE)="","",VLOOKUP($B459,TabAlgTutti,10,FALSE)&amp;"P "))&amp;IF(ISNA(VLOOKUP($B459,TabAlgTutti,11,FALSE)),"",IF(VLOOKUP($B459,TabAlgTutti,11,FALSE)="","",VLOOKUP($B459,TabAlgTutti,11,FALSE)&amp;"A"))</f>
        <v/>
      </c>
      <c r="J459" s="63">
        <f ca="1">IF(ISNA(VLOOKUP($B459,TabAlgTutti,3,FALSE)),0,VLOOKUP($B459,TabAlgTutti,3,FALSE))+ROW()/100000</f>
        <v>1.0045900000000001</v>
      </c>
      <c r="K459" s="63">
        <f ca="1">IF(ISNA(VLOOKUP($B459,TabAlgTutti,4,FALSE)),0,VLOOKUP($B459,TabAlgTutti,4,FALSE))+ROW()/100000</f>
        <v>1.0045900000000001</v>
      </c>
      <c r="L459" s="63" t="e">
        <f ca="1">VLOOKUP(Tabella114[[#This Row],[Calciatore]],'Raccolta Aste'!$K$2:$O$33,4,FALSE)*Asta!$U$3/100</f>
        <v>#N/A</v>
      </c>
      <c r="N459" s="58"/>
      <c r="O459" s="58"/>
      <c r="P459" s="58"/>
      <c r="Q459" s="58"/>
      <c r="R459" s="58"/>
      <c r="S459" s="58"/>
      <c r="W459" s="56">
        <f t="shared" ca="1" si="146"/>
        <v>127</v>
      </c>
      <c r="X459" s="56">
        <f t="shared" ca="1" si="147"/>
        <v>164</v>
      </c>
      <c r="Y459" s="56">
        <f t="shared" ca="1" si="148"/>
        <v>149</v>
      </c>
      <c r="Z459" s="56">
        <f t="shared" ca="1" si="149"/>
        <v>106</v>
      </c>
      <c r="AA459" s="56">
        <f t="shared" ca="1" si="150"/>
        <v>106</v>
      </c>
      <c r="AB459" s="56">
        <f ca="1">_xlfn.CEILING.MATH(INDIRECT(ADDRESS(311,22+MATCH($P$28,'I.A. + Fasce'!$W$84:$AA$84,0),1,1) &amp; ":" &amp; ADDRESS(531,22+MATCH($P$28,'I.A. + Fasce'!$W$84:$AA$84,0),1,1))/Asta!$H$3)</f>
        <v>19</v>
      </c>
    </row>
    <row r="460" spans="1:28" ht="14.25" customHeight="1">
      <c r="A460" s="239" t="str">
        <f ca="1">IF(Giocatori!J200="","C",Giocatori!J200)</f>
        <v>C</v>
      </c>
      <c r="B460" s="239" t="str">
        <f ca="1">IF(Giocatori!K149="","ZZZ" &amp; ROW(),Giocatori!K149)</f>
        <v>RIGONI N</v>
      </c>
      <c r="C460" s="239" t="str">
        <f ca="1">IF(Giocatori!L149="","NDR" &amp; ROW(),Giocatori!L149)</f>
        <v>Chievo</v>
      </c>
      <c r="D460" s="63">
        <f ca="1">IF(ISNA(VLOOKUP($B460,TabAlgTutti,6,FALSE)),0,VLOOKUP($B460,TabAlgTutti,6,FALSE))+ROW()/100000</f>
        <v>56.004600000000003</v>
      </c>
      <c r="E460" s="63">
        <f ca="1">IF(ISNA(VLOOKUP($B460,TabAlgTutti,5,FALSE)),0,VLOOKUP($B460,TabAlgTutti,5,FALSE))+ROW()/100000</f>
        <v>34.004600000000003</v>
      </c>
      <c r="F460" s="64">
        <f ca="1">($D460*$P$8+$E460*(1+$E460*100/60/100)*$S$8)/100+ROW()/100000</f>
        <v>54.645140176333349</v>
      </c>
      <c r="G460" s="63" t="str">
        <f ca="1">IF(ISNA(VLOOKUP($B460,TabAlgTutti,7,FALSE)),"",IF(VLOOKUP($B460,TabAlgTutti,7,FALSE)=-1,"SCONSIGLIATO",IF(VLOOKUP($B460,TabAlgTutti,7,FALSE)=0,"SORPRESA",IF(VLOOKUP($B460,TabAlgTutti,7,FALSE)=1,"CONSIGLIATO",""))))</f>
        <v/>
      </c>
      <c r="H460" s="65">
        <f ca="1">IF(ISNA(VLOOKUP($B460,TabAlgTutti,8,FALSE)),"",VLOOKUP($B460,TabAlgTutti,8,FALSE))</f>
        <v>60</v>
      </c>
      <c r="I460" s="63" t="str">
        <f ca="1">IF(ISNA(VLOOKUP($B460,TabAlgTutti,9,FALSE)),"",IF(VLOOKUP($B460,TabAlgTutti,9,FALSE)="","",VLOOKUP($B460,TabAlgTutti,9,FALSE)&amp;"R "))&amp;IF(ISNA(VLOOKUP($B460,TabAlgTutti,10,FALSE)),"",IF(VLOOKUP($B460,TabAlgTutti,10,FALSE)="","",VLOOKUP($B460,TabAlgTutti,10,FALSE)&amp;"P "))&amp;IF(ISNA(VLOOKUP($B460,TabAlgTutti,11,FALSE)),"",IF(VLOOKUP($B460,TabAlgTutti,11,FALSE)="","",VLOOKUP($B460,TabAlgTutti,11,FALSE)&amp;"A"))</f>
        <v/>
      </c>
      <c r="J460" s="63">
        <f ca="1">IF(ISNA(VLOOKUP($B460,TabAlgTutti,3,FALSE)),0,VLOOKUP($B460,TabAlgTutti,3,FALSE))+ROW()/100000</f>
        <v>1.0045999999999999</v>
      </c>
      <c r="K460" s="63">
        <f ca="1">IF(ISNA(VLOOKUP($B460,TabAlgTutti,4,FALSE)),0,VLOOKUP($B460,TabAlgTutti,4,FALSE))+ROW()/100000</f>
        <v>1.0045999999999999</v>
      </c>
      <c r="L460" s="63" t="e">
        <f ca="1">VLOOKUP(Tabella114[[#This Row],[Calciatore]],'Raccolta Aste'!$K$2:$O$33,4,FALSE)*Asta!$U$3/100</f>
        <v>#N/A</v>
      </c>
      <c r="N460" s="58"/>
      <c r="O460" s="58"/>
      <c r="P460" s="58"/>
      <c r="Q460" s="58"/>
      <c r="R460" s="58"/>
      <c r="S460" s="58"/>
      <c r="W460" s="56">
        <f t="shared" ca="1" si="146"/>
        <v>153</v>
      </c>
      <c r="X460" s="56">
        <f t="shared" ca="1" si="147"/>
        <v>131</v>
      </c>
      <c r="Y460" s="56">
        <f t="shared" ca="1" si="148"/>
        <v>150</v>
      </c>
      <c r="Z460" s="56">
        <f t="shared" ca="1" si="149"/>
        <v>105</v>
      </c>
      <c r="AA460" s="56">
        <f t="shared" ca="1" si="150"/>
        <v>105</v>
      </c>
      <c r="AB460" s="56">
        <f ca="1">_xlfn.CEILING.MATH(INDIRECT(ADDRESS(311,22+MATCH($P$28,'I.A. + Fasce'!$W$84:$AA$84,0),1,1) &amp; ":" &amp; ADDRESS(531,22+MATCH($P$28,'I.A. + Fasce'!$W$84:$AA$84,0),1,1))/Asta!$H$3)</f>
        <v>19</v>
      </c>
    </row>
    <row r="461" spans="1:28" ht="14.25" customHeight="1">
      <c r="A461" s="239" t="str">
        <f ca="1">IF(Giocatori!J84="","C",Giocatori!J84)</f>
        <v>C</v>
      </c>
      <c r="B461" s="239" t="str">
        <f ca="1">IF(Giocatori!K84="","ZZZ" &amp; ROW(),Giocatori!K84)</f>
        <v>GRASSI</v>
      </c>
      <c r="C461" s="239" t="str">
        <f ca="1">IF(Giocatori!L84="","NDR" &amp; ROW(),Giocatori!L84)</f>
        <v>SPAL</v>
      </c>
      <c r="D461" s="63">
        <f ca="1">IF(ISNA(VLOOKUP($B461,TabAlgTutti,6,FALSE)),0,VLOOKUP($B461,TabAlgTutti,6,FALSE))+ROW()/100000</f>
        <v>70.00461</v>
      </c>
      <c r="E461" s="63">
        <f ca="1">IF(ISNA(VLOOKUP($B461,TabAlgTutti,5,FALSE)),0,VLOOKUP($B461,TabAlgTutti,5,FALSE))+ROW()/100000</f>
        <v>27.00461</v>
      </c>
      <c r="F461" s="64">
        <f ca="1">($D461*$P$8+$E461*(1+$E461*100/60/100)*$S$8)/100+ROW()/100000</f>
        <v>54.586294677100838</v>
      </c>
      <c r="G461" s="63" t="str">
        <f ca="1">IF(ISNA(VLOOKUP($B461,TabAlgTutti,7,FALSE)),"",IF(VLOOKUP($B461,TabAlgTutti,7,FALSE)=-1,"SCONSIGLIATO",IF(VLOOKUP($B461,TabAlgTutti,7,FALSE)=0,"SORPRESA",IF(VLOOKUP($B461,TabAlgTutti,7,FALSE)=1,"CONSIGLIATO",""))))</f>
        <v/>
      </c>
      <c r="H461" s="65">
        <f ca="1">IF(ISNA(VLOOKUP($B461,TabAlgTutti,8,FALSE)),"",VLOOKUP($B461,TabAlgTutti,8,FALSE))</f>
        <v>50</v>
      </c>
      <c r="I461" s="63" t="str">
        <f ca="1">IF(ISNA(VLOOKUP($B461,TabAlgTutti,9,FALSE)),"",IF(VLOOKUP($B461,TabAlgTutti,9,FALSE)="","",VLOOKUP($B461,TabAlgTutti,9,FALSE)&amp;"R "))&amp;IF(ISNA(VLOOKUP($B461,TabAlgTutti,10,FALSE)),"",IF(VLOOKUP($B461,TabAlgTutti,10,FALSE)="","",VLOOKUP($B461,TabAlgTutti,10,FALSE)&amp;"P "))&amp;IF(ISNA(VLOOKUP($B461,TabAlgTutti,11,FALSE)),"",IF(VLOOKUP($B461,TabAlgTutti,11,FALSE)="","",VLOOKUP($B461,TabAlgTutti,11,FALSE)&amp;"A"))</f>
        <v/>
      </c>
      <c r="J461" s="63">
        <f ca="1">IF(ISNA(VLOOKUP($B461,TabAlgTutti,3,FALSE)),0,VLOOKUP($B461,TabAlgTutti,3,FALSE))+ROW()/100000</f>
        <v>1.00461</v>
      </c>
      <c r="K461" s="63">
        <f ca="1">IF(ISNA(VLOOKUP($B461,TabAlgTutti,4,FALSE)),0,VLOOKUP($B461,TabAlgTutti,4,FALSE))+ROW()/100000</f>
        <v>1.00461</v>
      </c>
      <c r="L461" s="63" t="e">
        <f ca="1">VLOOKUP(Tabella114[[#This Row],[Calciatore]],'Raccolta Aste'!$K$2:$O$33,4,FALSE)*Asta!$U$3/100</f>
        <v>#N/A</v>
      </c>
      <c r="N461" s="58"/>
      <c r="O461" s="58"/>
      <c r="P461" s="58"/>
      <c r="Q461" s="58"/>
      <c r="R461" s="58"/>
      <c r="S461" s="58"/>
      <c r="W461" s="56">
        <f t="shared" ca="1" si="146"/>
        <v>86</v>
      </c>
      <c r="X461" s="56">
        <f t="shared" ca="1" si="147"/>
        <v>171</v>
      </c>
      <c r="Y461" s="56">
        <f t="shared" ca="1" si="148"/>
        <v>151</v>
      </c>
      <c r="Z461" s="56">
        <f t="shared" ca="1" si="149"/>
        <v>104</v>
      </c>
      <c r="AA461" s="56">
        <f t="shared" ca="1" si="150"/>
        <v>104</v>
      </c>
      <c r="AB461" s="56">
        <f ca="1">_xlfn.CEILING.MATH(INDIRECT(ADDRESS(311,22+MATCH($P$28,'I.A. + Fasce'!$W$84:$AA$84,0),1,1) &amp; ":" &amp; ADDRESS(531,22+MATCH($P$28,'I.A. + Fasce'!$W$84:$AA$84,0),1,1))/Asta!$H$3)</f>
        <v>19</v>
      </c>
    </row>
    <row r="462" spans="1:28" ht="14.25" customHeight="1">
      <c r="A462" s="239" t="str">
        <f ca="1">IF(Giocatori!J202="","C",Giocatori!J202)</f>
        <v>C</v>
      </c>
      <c r="B462" s="239" t="str">
        <f ca="1">IF(Giocatori!K151="","ZZZ" &amp; ROW(),Giocatori!K151)</f>
        <v>RIZZO</v>
      </c>
      <c r="C462" s="239" t="str">
        <f ca="1">IF(Giocatori!L151="","NDR" &amp; ROW(),Giocatori!L151)</f>
        <v>SPAL</v>
      </c>
      <c r="D462" s="63">
        <f ca="1">IF(ISNA(VLOOKUP($B462,TabAlgTutti,6,FALSE)),0,VLOOKUP($B462,TabAlgTutti,6,FALSE))+ROW()/100000</f>
        <v>68.004620000000003</v>
      </c>
      <c r="E462" s="63">
        <f ca="1">IF(ISNA(VLOOKUP($B462,TabAlgTutti,5,FALSE)),0,VLOOKUP($B462,TabAlgTutti,5,FALSE))+ROW()/100000</f>
        <v>28.004619999999999</v>
      </c>
      <c r="F462" s="64">
        <f ca="1">($D462*$P$8+$E462*(1+$E462*100/60/100)*$S$8)/100+ROW()/100000</f>
        <v>54.544729511203336</v>
      </c>
      <c r="G462" s="63" t="str">
        <f ca="1">IF(ISNA(VLOOKUP($B462,TabAlgTutti,7,FALSE)),"",IF(VLOOKUP($B462,TabAlgTutti,7,FALSE)=-1,"SCONSIGLIATO",IF(VLOOKUP($B462,TabAlgTutti,7,FALSE)=0,"SORPRESA",IF(VLOOKUP($B462,TabAlgTutti,7,FALSE)=1,"CONSIGLIATO",""))))</f>
        <v>SCONSIGLIATO</v>
      </c>
      <c r="H462" s="65">
        <f ca="1">IF(ISNA(VLOOKUP($B462,TabAlgTutti,8,FALSE)),"",VLOOKUP($B462,TabAlgTutti,8,FALSE))</f>
        <v>60</v>
      </c>
      <c r="I462" s="63" t="str">
        <f ca="1">IF(ISNA(VLOOKUP($B462,TabAlgTutti,9,FALSE)),"",IF(VLOOKUP($B462,TabAlgTutti,9,FALSE)="","",VLOOKUP($B462,TabAlgTutti,9,FALSE)&amp;"R "))&amp;IF(ISNA(VLOOKUP($B462,TabAlgTutti,10,FALSE)),"",IF(VLOOKUP($B462,TabAlgTutti,10,FALSE)="","",VLOOKUP($B462,TabAlgTutti,10,FALSE)&amp;"P "))&amp;IF(ISNA(VLOOKUP($B462,TabAlgTutti,11,FALSE)),"",IF(VLOOKUP($B462,TabAlgTutti,11,FALSE)="","",VLOOKUP($B462,TabAlgTutti,11,FALSE)&amp;"A"))</f>
        <v/>
      </c>
      <c r="J462" s="63">
        <f ca="1">IF(ISNA(VLOOKUP($B462,TabAlgTutti,3,FALSE)),0,VLOOKUP($B462,TabAlgTutti,3,FALSE))+ROW()/100000</f>
        <v>1.0046200000000001</v>
      </c>
      <c r="K462" s="63">
        <f ca="1">IF(ISNA(VLOOKUP($B462,TabAlgTutti,4,FALSE)),0,VLOOKUP($B462,TabAlgTutti,4,FALSE))+ROW()/100000</f>
        <v>1.0046200000000001</v>
      </c>
      <c r="L462" s="63" t="e">
        <f ca="1">VLOOKUP(Tabella114[[#This Row],[Calciatore]],'Raccolta Aste'!$K$2:$O$33,4,FALSE)*Asta!$U$3/100</f>
        <v>#N/A</v>
      </c>
      <c r="N462" s="58"/>
      <c r="O462" s="58"/>
      <c r="P462" s="58"/>
      <c r="Q462" s="58"/>
      <c r="R462" s="58"/>
      <c r="S462" s="58"/>
      <c r="W462" s="56">
        <f t="shared" ca="1" si="146"/>
        <v>100</v>
      </c>
      <c r="X462" s="56">
        <f t="shared" ca="1" si="147"/>
        <v>170</v>
      </c>
      <c r="Y462" s="56">
        <f t="shared" ca="1" si="148"/>
        <v>152</v>
      </c>
      <c r="Z462" s="56">
        <f t="shared" ca="1" si="149"/>
        <v>103</v>
      </c>
      <c r="AA462" s="56">
        <f t="shared" ca="1" si="150"/>
        <v>103</v>
      </c>
      <c r="AB462" s="56">
        <f ca="1">_xlfn.CEILING.MATH(INDIRECT(ADDRESS(311,22+MATCH($P$28,'I.A. + Fasce'!$W$84:$AA$84,0),1,1) &amp; ":" &amp; ADDRESS(531,22+MATCH($P$28,'I.A. + Fasce'!$W$84:$AA$84,0),1,1))/Asta!$H$3)</f>
        <v>19</v>
      </c>
    </row>
    <row r="463" spans="1:28" ht="14.25" customHeight="1">
      <c r="A463" s="239" t="str">
        <f ca="1">IF(Giocatori!J69="","C",Giocatori!J69)</f>
        <v>C</v>
      </c>
      <c r="B463" s="239" t="str">
        <f ca="1">IF(Giocatori!K69="","ZZZ" &amp; ROW(),Giocatori!K69)</f>
        <v>FARAGO'</v>
      </c>
      <c r="C463" s="239" t="str">
        <f ca="1">IF(Giocatori!L69="","NDR" &amp; ROW(),Giocatori!L69)</f>
        <v>Cagliari</v>
      </c>
      <c r="D463" s="63">
        <f ca="1">IF(ISNA(VLOOKUP($B463,TabAlgTutti,6,FALSE)),0,VLOOKUP($B463,TabAlgTutti,6,FALSE))+ROW()/100000</f>
        <v>57.004629999999999</v>
      </c>
      <c r="E463" s="63">
        <f ca="1">IF(ISNA(VLOOKUP($B463,TabAlgTutti,5,FALSE)),0,VLOOKUP($B463,TabAlgTutti,5,FALSE))+ROW()/100000</f>
        <v>33.004629999999999</v>
      </c>
      <c r="F463" s="64">
        <f ca="1">($D463*$P$8+$E463*(1+$E463*100/60/100)*$S$8)/100+ROW()/100000</f>
        <v>54.086806678640826</v>
      </c>
      <c r="G463" s="63" t="str">
        <f ca="1">IF(ISNA(VLOOKUP($B463,TabAlgTutti,7,FALSE)),"",IF(VLOOKUP($B463,TabAlgTutti,7,FALSE)=-1,"SCONSIGLIATO",IF(VLOOKUP($B463,TabAlgTutti,7,FALSE)=0,"SORPRESA",IF(VLOOKUP($B463,TabAlgTutti,7,FALSE)=1,"CONSIGLIATO",""))))</f>
        <v/>
      </c>
      <c r="H463" s="65">
        <f ca="1">IF(ISNA(VLOOKUP($B463,TabAlgTutti,8,FALSE)),"",VLOOKUP($B463,TabAlgTutti,8,FALSE))</f>
        <v>50</v>
      </c>
      <c r="I463" s="63" t="str">
        <f ca="1">IF(ISNA(VLOOKUP($B463,TabAlgTutti,9,FALSE)),"",IF(VLOOKUP($B463,TabAlgTutti,9,FALSE)="","",VLOOKUP($B463,TabAlgTutti,9,FALSE)&amp;"R "))&amp;IF(ISNA(VLOOKUP($B463,TabAlgTutti,10,FALSE)),"",IF(VLOOKUP($B463,TabAlgTutti,10,FALSE)="","",VLOOKUP($B463,TabAlgTutti,10,FALSE)&amp;"P "))&amp;IF(ISNA(VLOOKUP($B463,TabAlgTutti,11,FALSE)),"",IF(VLOOKUP($B463,TabAlgTutti,11,FALSE)="","",VLOOKUP($B463,TabAlgTutti,11,FALSE)&amp;"A"))</f>
        <v/>
      </c>
      <c r="J463" s="63">
        <f ca="1">IF(ISNA(VLOOKUP($B463,TabAlgTutti,3,FALSE)),0,VLOOKUP($B463,TabAlgTutti,3,FALSE))+ROW()/100000</f>
        <v>1.0046299999999999</v>
      </c>
      <c r="K463" s="63">
        <f ca="1">IF(ISNA(VLOOKUP($B463,TabAlgTutti,4,FALSE)),0,VLOOKUP($B463,TabAlgTutti,4,FALSE))+ROW()/100000</f>
        <v>1.0046299999999999</v>
      </c>
      <c r="L463" s="63" t="e">
        <f ca="1">VLOOKUP(Tabella114[[#This Row],[Calciatore]],'Raccolta Aste'!$K$2:$O$33,4,FALSE)*Asta!$U$3/100</f>
        <v>#N/A</v>
      </c>
      <c r="N463" s="58"/>
      <c r="O463" s="58"/>
      <c r="P463" s="58"/>
      <c r="Q463" s="58"/>
      <c r="R463" s="58"/>
      <c r="S463" s="58"/>
      <c r="W463" s="56">
        <f t="shared" ca="1" si="146"/>
        <v>152</v>
      </c>
      <c r="X463" s="56">
        <f t="shared" ca="1" si="147"/>
        <v>150</v>
      </c>
      <c r="Y463" s="56">
        <f t="shared" ca="1" si="148"/>
        <v>153</v>
      </c>
      <c r="Z463" s="56">
        <f t="shared" ca="1" si="149"/>
        <v>102</v>
      </c>
      <c r="AA463" s="56">
        <f t="shared" ca="1" si="150"/>
        <v>102</v>
      </c>
      <c r="AB463" s="56">
        <f ca="1">_xlfn.CEILING.MATH(INDIRECT(ADDRESS(311,22+MATCH($P$28,'I.A. + Fasce'!$W$84:$AA$84,0),1,1) &amp; ":" &amp; ADDRESS(531,22+MATCH($P$28,'I.A. + Fasce'!$W$84:$AA$84,0),1,1))/Asta!$H$3)</f>
        <v>20</v>
      </c>
    </row>
    <row r="464" spans="1:28" ht="14.25" customHeight="1">
      <c r="A464" s="239" t="str">
        <f ca="1">IF(Giocatori!J80="","C",Giocatori!J80)</f>
        <v>C</v>
      </c>
      <c r="B464" s="239" t="str">
        <f ca="1">IF(Giocatori!K80="","ZZZ" &amp; ROW(),Giocatori!K80)</f>
        <v>GIACCHERINI</v>
      </c>
      <c r="C464" s="239" t="str">
        <f ca="1">IF(Giocatori!L80="","NDR" &amp; ROW(),Giocatori!L80)</f>
        <v>Napoli</v>
      </c>
      <c r="D464" s="63">
        <f ca="1">IF(ISNA(VLOOKUP($B464,TabAlgTutti,6,FALSE)),0,VLOOKUP($B464,TabAlgTutti,6,FALSE))+ROW()/100000</f>
        <v>50.004640000000002</v>
      </c>
      <c r="E464" s="63">
        <f ca="1">IF(ISNA(VLOOKUP($B464,TabAlgTutti,5,FALSE)),0,VLOOKUP($B464,TabAlgTutti,5,FALSE))+ROW()/100000</f>
        <v>36.004640000000002</v>
      </c>
      <c r="F464" s="64">
        <f ca="1">($D464*$P$8+$E464*(1+$E464*100/60/100)*$S$8)/100+ROW()/100000</f>
        <v>53.812064179413341</v>
      </c>
      <c r="G464" s="63" t="str">
        <f ca="1">IF(ISNA(VLOOKUP($B464,TabAlgTutti,7,FALSE)),"",IF(VLOOKUP($B464,TabAlgTutti,7,FALSE)=-1,"SCONSIGLIATO",IF(VLOOKUP($B464,TabAlgTutti,7,FALSE)=0,"SORPRESA",IF(VLOOKUP($B464,TabAlgTutti,7,FALSE)=1,"CONSIGLIATO",""))))</f>
        <v>SCONSIGLIATO</v>
      </c>
      <c r="H464" s="65">
        <f ca="1">IF(ISNA(VLOOKUP($B464,TabAlgTutti,8,FALSE)),"",VLOOKUP($B464,TabAlgTutti,8,FALSE))</f>
        <v>50</v>
      </c>
      <c r="I464" s="63" t="str">
        <f ca="1">IF(ISNA(VLOOKUP($B464,TabAlgTutti,9,FALSE)),"",IF(VLOOKUP($B464,TabAlgTutti,9,FALSE)="","",VLOOKUP($B464,TabAlgTutti,9,FALSE)&amp;"R "))&amp;IF(ISNA(VLOOKUP($B464,TabAlgTutti,10,FALSE)),"",IF(VLOOKUP($B464,TabAlgTutti,10,FALSE)="","",VLOOKUP($B464,TabAlgTutti,10,FALSE)&amp;"P "))&amp;IF(ISNA(VLOOKUP($B464,TabAlgTutti,11,FALSE)),"",IF(VLOOKUP($B464,TabAlgTutti,11,FALSE)="","",VLOOKUP($B464,TabAlgTutti,11,FALSE)&amp;"A"))</f>
        <v/>
      </c>
      <c r="J464" s="63">
        <f ca="1">IF(ISNA(VLOOKUP($B464,TabAlgTutti,3,FALSE)),0,VLOOKUP($B464,TabAlgTutti,3,FALSE))+ROW()/100000</f>
        <v>10.683888526792108</v>
      </c>
      <c r="K464" s="63">
        <f ca="1">IF(ISNA(VLOOKUP($B464,TabAlgTutti,4,FALSE)),0,VLOOKUP($B464,TabAlgTutti,4,FALSE))+ROW()/100000</f>
        <v>12.140434317164027</v>
      </c>
      <c r="L464" s="63" t="e">
        <f ca="1">VLOOKUP(Tabella114[[#This Row],[Calciatore]],'Raccolta Aste'!$K$2:$O$33,4,FALSE)*Asta!$U$3/100</f>
        <v>#N/A</v>
      </c>
      <c r="N464" s="58"/>
      <c r="O464" s="58"/>
      <c r="P464" s="58"/>
      <c r="Q464" s="58"/>
      <c r="R464" s="58"/>
      <c r="S464" s="58"/>
      <c r="W464" s="56">
        <f t="shared" ca="1" si="146"/>
        <v>160</v>
      </c>
      <c r="X464" s="56">
        <f t="shared" ca="1" si="147"/>
        <v>111</v>
      </c>
      <c r="Y464" s="56">
        <f t="shared" ca="1" si="148"/>
        <v>154</v>
      </c>
      <c r="Z464" s="56">
        <f t="shared" ca="1" si="149"/>
        <v>59</v>
      </c>
      <c r="AA464" s="56">
        <f t="shared" ca="1" si="150"/>
        <v>58</v>
      </c>
      <c r="AB464" s="56">
        <f ca="1">_xlfn.CEILING.MATH(INDIRECT(ADDRESS(311,22+MATCH($P$28,'I.A. + Fasce'!$W$84:$AA$84,0),1,1) &amp; ":" &amp; ADDRESS(531,22+MATCH($P$28,'I.A. + Fasce'!$W$84:$AA$84,0),1,1))/Asta!$H$3)</f>
        <v>20</v>
      </c>
    </row>
    <row r="465" spans="1:28" ht="14.25" customHeight="1">
      <c r="A465" s="239" t="str">
        <f ca="1">IF(Giocatori!J14="","C",Giocatori!J14)</f>
        <v>C</v>
      </c>
      <c r="B465" s="239" t="str">
        <f ca="1">IF(Giocatori!K14="","ZZZ" &amp; ROW(),Giocatori!K14)</f>
        <v>BARAK</v>
      </c>
      <c r="C465" s="239" t="str">
        <f ca="1">IF(Giocatori!L14="","NDR" &amp; ROW(),Giocatori!L14)</f>
        <v>Udinese</v>
      </c>
      <c r="D465" s="63">
        <f ca="1">IF(ISNA(VLOOKUP($B465,TabAlgTutti,6,FALSE)),0,VLOOKUP($B465,TabAlgTutti,6,FALSE))+ROW()/100000</f>
        <v>45.004649999999998</v>
      </c>
      <c r="E465" s="63">
        <f ca="1">IF(ISNA(VLOOKUP($B465,TabAlgTutti,5,FALSE)),0,VLOOKUP($B465,TabAlgTutti,5,FALSE))+ROW()/100000</f>
        <v>36.004649999999998</v>
      </c>
      <c r="F465" s="64">
        <f ca="1">($D465*$P$8+$E465*(1+$E465*100/60/100)*$S$8)/100+ROW()/100000</f>
        <v>51.312090180187496</v>
      </c>
      <c r="G465" s="63" t="str">
        <f ca="1">IF(ISNA(VLOOKUP($B465,TabAlgTutti,7,FALSE)),"",IF(VLOOKUP($B465,TabAlgTutti,7,FALSE)=-1,"SCONSIGLIATO",IF(VLOOKUP($B465,TabAlgTutti,7,FALSE)=0,"SORPRESA",IF(VLOOKUP($B465,TabAlgTutti,7,FALSE)=1,"CONSIGLIATO",""))))</f>
        <v/>
      </c>
      <c r="H465" s="65">
        <f ca="1">IF(ISNA(VLOOKUP($B465,TabAlgTutti,8,FALSE)),"",VLOOKUP($B465,TabAlgTutti,8,FALSE))</f>
        <v>60</v>
      </c>
      <c r="I465" s="63" t="str">
        <f ca="1">IF(ISNA(VLOOKUP($B465,TabAlgTutti,9,FALSE)),"",IF(VLOOKUP($B465,TabAlgTutti,9,FALSE)="","",VLOOKUP($B465,TabAlgTutti,9,FALSE)&amp;"R "))&amp;IF(ISNA(VLOOKUP($B465,TabAlgTutti,10,FALSE)),"",IF(VLOOKUP($B465,TabAlgTutti,10,FALSE)="","",VLOOKUP($B465,TabAlgTutti,10,FALSE)&amp;"P "))&amp;IF(ISNA(VLOOKUP($B465,TabAlgTutti,11,FALSE)),"",IF(VLOOKUP($B465,TabAlgTutti,11,FALSE)="","",VLOOKUP($B465,TabAlgTutti,11,FALSE)&amp;"A"))</f>
        <v/>
      </c>
      <c r="J465" s="63">
        <f ca="1">IF(ISNA(VLOOKUP($B465,TabAlgTutti,3,FALSE)),0,VLOOKUP($B465,TabAlgTutti,3,FALSE))+ROW()/100000</f>
        <v>1.00465</v>
      </c>
      <c r="K465" s="63">
        <f ca="1">IF(ISNA(VLOOKUP($B465,TabAlgTutti,4,FALSE)),0,VLOOKUP($B465,TabAlgTutti,4,FALSE))+ROW()/100000</f>
        <v>1.00465</v>
      </c>
      <c r="L465" s="63" t="e">
        <f ca="1">VLOOKUP(Tabella114[[#This Row],[Calciatore]],'Raccolta Aste'!$K$2:$O$33,4,FALSE)*Asta!$U$3/100</f>
        <v>#N/A</v>
      </c>
      <c r="N465" s="58"/>
      <c r="O465" s="58"/>
      <c r="P465" s="58"/>
      <c r="Q465" s="58"/>
      <c r="R465" s="58"/>
      <c r="S465" s="58"/>
      <c r="W465" s="56">
        <f t="shared" ca="1" si="146"/>
        <v>168</v>
      </c>
      <c r="X465" s="56">
        <f t="shared" ca="1" si="147"/>
        <v>110</v>
      </c>
      <c r="Y465" s="56">
        <f t="shared" ca="1" si="148"/>
        <v>155</v>
      </c>
      <c r="Z465" s="56">
        <f t="shared" ca="1" si="149"/>
        <v>101</v>
      </c>
      <c r="AA465" s="56">
        <f t="shared" ca="1" si="150"/>
        <v>101</v>
      </c>
      <c r="AB465" s="56">
        <f ca="1">_xlfn.CEILING.MATH(INDIRECT(ADDRESS(311,22+MATCH($P$28,'I.A. + Fasce'!$W$84:$AA$84,0),1,1) &amp; ":" &amp; ADDRESS(531,22+MATCH($P$28,'I.A. + Fasce'!$W$84:$AA$84,0),1,1))/Asta!$H$3)</f>
        <v>20</v>
      </c>
    </row>
    <row r="466" spans="1:28" ht="14.25" customHeight="1">
      <c r="A466" s="239" t="str">
        <f ca="1">IF(Giocatori!J38="","C",Giocatori!J38)</f>
        <v>C</v>
      </c>
      <c r="B466" s="239" t="str">
        <f ca="1">IF(Giocatori!K38="","ZZZ" &amp; ROW(),Giocatori!K38)</f>
        <v>CASSATA</v>
      </c>
      <c r="C466" s="239" t="str">
        <f ca="1">IF(Giocatori!L38="","NDR" &amp; ROW(),Giocatori!L38)</f>
        <v>Sassuolo</v>
      </c>
      <c r="D466" s="63">
        <f ca="1">IF(ISNA(VLOOKUP($B466,TabAlgTutti,6,FALSE)),0,VLOOKUP($B466,TabAlgTutti,6,FALSE))+ROW()/100000</f>
        <v>57.004660000000001</v>
      </c>
      <c r="E466" s="63">
        <f ca="1">IF(ISNA(VLOOKUP($B466,TabAlgTutti,5,FALSE)),0,VLOOKUP($B466,TabAlgTutti,5,FALSE))+ROW()/100000</f>
        <v>29.004660000000001</v>
      </c>
      <c r="F466" s="64">
        <f ca="1">($D466*$P$8+$E466*(1+$E466*100/60/100)*$S$8)/100+ROW()/100000</f>
        <v>50.019905847630007</v>
      </c>
      <c r="G466" s="63" t="str">
        <f ca="1">IF(ISNA(VLOOKUP($B466,TabAlgTutti,7,FALSE)),"",IF(VLOOKUP($B466,TabAlgTutti,7,FALSE)=-1,"SCONSIGLIATO",IF(VLOOKUP($B466,TabAlgTutti,7,FALSE)=0,"SORPRESA",IF(VLOOKUP($B466,TabAlgTutti,7,FALSE)=1,"CONSIGLIATO",""))))</f>
        <v/>
      </c>
      <c r="H466" s="65">
        <f ca="1">IF(ISNA(VLOOKUP($B466,TabAlgTutti,8,FALSE)),"",VLOOKUP($B466,TabAlgTutti,8,FALSE))</f>
        <v>40</v>
      </c>
      <c r="I466" s="63" t="str">
        <f ca="1">IF(ISNA(VLOOKUP($B466,TabAlgTutti,9,FALSE)),"",IF(VLOOKUP($B466,TabAlgTutti,9,FALSE)="","",VLOOKUP($B466,TabAlgTutti,9,FALSE)&amp;"R "))&amp;IF(ISNA(VLOOKUP($B466,TabAlgTutti,10,FALSE)),"",IF(VLOOKUP($B466,TabAlgTutti,10,FALSE)="","",VLOOKUP($B466,TabAlgTutti,10,FALSE)&amp;"P "))&amp;IF(ISNA(VLOOKUP($B466,TabAlgTutti,11,FALSE)),"",IF(VLOOKUP($B466,TabAlgTutti,11,FALSE)="","",VLOOKUP($B466,TabAlgTutti,11,FALSE)&amp;"A"))</f>
        <v/>
      </c>
      <c r="J466" s="63">
        <f ca="1">IF(ISNA(VLOOKUP($B466,TabAlgTutti,3,FALSE)),0,VLOOKUP($B466,TabAlgTutti,3,FALSE))+ROW()/100000</f>
        <v>1.0046600000000001</v>
      </c>
      <c r="K466" s="63">
        <f ca="1">IF(ISNA(VLOOKUP($B466,TabAlgTutti,4,FALSE)),0,VLOOKUP($B466,TabAlgTutti,4,FALSE))+ROW()/100000</f>
        <v>1.0046600000000001</v>
      </c>
      <c r="L466" s="63" t="e">
        <f ca="1">VLOOKUP(Tabella114[[#This Row],[Calciatore]],'Raccolta Aste'!$K$2:$O$33,4,FALSE)*Asta!$U$3/100</f>
        <v>#N/A</v>
      </c>
      <c r="N466" s="58"/>
      <c r="O466" s="58"/>
      <c r="P466" s="58"/>
      <c r="Q466" s="58"/>
      <c r="R466" s="58"/>
      <c r="S466" s="58"/>
      <c r="W466" s="56">
        <f t="shared" ca="1" si="146"/>
        <v>151</v>
      </c>
      <c r="X466" s="56">
        <f t="shared" ca="1" si="147"/>
        <v>168</v>
      </c>
      <c r="Y466" s="56">
        <f t="shared" ca="1" si="148"/>
        <v>156</v>
      </c>
      <c r="Z466" s="56">
        <f t="shared" ca="1" si="149"/>
        <v>100</v>
      </c>
      <c r="AA466" s="56">
        <f t="shared" ca="1" si="150"/>
        <v>100</v>
      </c>
      <c r="AB466" s="56">
        <f ca="1">_xlfn.CEILING.MATH(INDIRECT(ADDRESS(311,22+MATCH($P$28,'I.A. + Fasce'!$W$84:$AA$84,0),1,1) &amp; ":" &amp; ADDRESS(531,22+MATCH($P$28,'I.A. + Fasce'!$W$84:$AA$84,0),1,1))/Asta!$H$3)</f>
        <v>20</v>
      </c>
    </row>
    <row r="467" spans="1:28" ht="14.25" customHeight="1">
      <c r="A467" s="239" t="str">
        <f ca="1">IF(Giocatori!J148="","C",Giocatori!J148)</f>
        <v>C</v>
      </c>
      <c r="B467" s="239" t="str">
        <f ca="1">IF(Giocatori!K179="","ZZZ" &amp; ROW(),Giocatori!K179)</f>
        <v>ZANELLATO</v>
      </c>
      <c r="C467" s="239" t="str">
        <f ca="1">IF(Giocatori!L179="","NDR" &amp; ROW(),Giocatori!L179)</f>
        <v>Milan</v>
      </c>
      <c r="D467" s="63">
        <f ca="1">IF(ISNA(VLOOKUP($B467,TabAlgTutti,6,FALSE)),0,VLOOKUP($B467,TabAlgTutti,6,FALSE))+ROW()/100000</f>
        <v>50.004669999999997</v>
      </c>
      <c r="E467" s="63">
        <f ca="1">IF(ISNA(VLOOKUP($B467,TabAlgTutti,5,FALSE)),0,VLOOKUP($B467,TabAlgTutti,5,FALSE))+ROW()/100000</f>
        <v>32.004669999999997</v>
      </c>
      <c r="F467" s="64">
        <f ca="1">($D467*$P$8+$E467*(1+$E467*100/60/100)*$S$8)/100+ROW()/100000</f>
        <v>49.54516418174083</v>
      </c>
      <c r="G467" s="63" t="str">
        <f ca="1">IF(ISNA(VLOOKUP($B467,TabAlgTutti,7,FALSE)),"",IF(VLOOKUP($B467,TabAlgTutti,7,FALSE)=-1,"SCONSIGLIATO",IF(VLOOKUP($B467,TabAlgTutti,7,FALSE)=0,"SORPRESA",IF(VLOOKUP($B467,TabAlgTutti,7,FALSE)=1,"CONSIGLIATO",""))))</f>
        <v/>
      </c>
      <c r="H467" s="65">
        <f ca="1">IF(ISNA(VLOOKUP($B467,TabAlgTutti,8,FALSE)),"",VLOOKUP($B467,TabAlgTutti,8,FALSE))</f>
        <v>30</v>
      </c>
      <c r="I467" s="63" t="str">
        <f ca="1">IF(ISNA(VLOOKUP($B467,TabAlgTutti,9,FALSE)),"",IF(VLOOKUP($B467,TabAlgTutti,9,FALSE)="","",VLOOKUP($B467,TabAlgTutti,9,FALSE)&amp;"R "))&amp;IF(ISNA(VLOOKUP($B467,TabAlgTutti,10,FALSE)),"",IF(VLOOKUP($B467,TabAlgTutti,10,FALSE)="","",VLOOKUP($B467,TabAlgTutti,10,FALSE)&amp;"P "))&amp;IF(ISNA(VLOOKUP($B467,TabAlgTutti,11,FALSE)),"",IF(VLOOKUP($B467,TabAlgTutti,11,FALSE)="","",VLOOKUP($B467,TabAlgTutti,11,FALSE)&amp;"A"))</f>
        <v/>
      </c>
      <c r="J467" s="63">
        <f ca="1">IF(ISNA(VLOOKUP($B467,TabAlgTutti,3,FALSE)),0,VLOOKUP($B467,TabAlgTutti,3,FALSE))+ROW()/100000</f>
        <v>1.00467</v>
      </c>
      <c r="K467" s="63">
        <f ca="1">IF(ISNA(VLOOKUP($B467,TabAlgTutti,4,FALSE)),0,VLOOKUP($B467,TabAlgTutti,4,FALSE))+ROW()/100000</f>
        <v>1.00467</v>
      </c>
      <c r="L467" s="63" t="e">
        <f ca="1">VLOOKUP(Tabella114[[#This Row],[Calciatore]],'Raccolta Aste'!$K$2:$O$33,4,FALSE)*Asta!$U$3/100</f>
        <v>#N/A</v>
      </c>
      <c r="N467" s="58"/>
      <c r="P467" s="58"/>
      <c r="Q467" s="58"/>
      <c r="R467" s="58"/>
      <c r="S467" s="58"/>
      <c r="W467" s="56">
        <f t="shared" ca="1" si="146"/>
        <v>159</v>
      </c>
      <c r="X467" s="56">
        <f t="shared" ca="1" si="147"/>
        <v>158</v>
      </c>
      <c r="Y467" s="56">
        <f t="shared" ca="1" si="148"/>
        <v>157</v>
      </c>
      <c r="Z467" s="56">
        <f t="shared" ca="1" si="149"/>
        <v>99</v>
      </c>
      <c r="AA467" s="56">
        <f t="shared" ca="1" si="150"/>
        <v>99</v>
      </c>
      <c r="AB467" s="56">
        <f ca="1">_xlfn.CEILING.MATH(INDIRECT(ADDRESS(311,22+MATCH($P$28,'I.A. + Fasce'!$W$84:$AA$84,0),1,1) &amp; ":" &amp; ADDRESS(531,22+MATCH($P$28,'I.A. + Fasce'!$W$84:$AA$84,0),1,1))/Asta!$H$3)</f>
        <v>20</v>
      </c>
    </row>
    <row r="468" spans="1:28" ht="14.25" customHeight="1">
      <c r="A468" s="239" t="str">
        <f ca="1">IF(Giocatori!J124="","C",Giocatori!J124)</f>
        <v>C</v>
      </c>
      <c r="B468" s="239" t="str">
        <f ca="1">IF(Giocatori!K124="","ZZZ" &amp; ROW(),Giocatori!K124)</f>
        <v>MELEGONI</v>
      </c>
      <c r="C468" s="239" t="str">
        <f ca="1">IF(Giocatori!L124="","NDR" &amp; ROW(),Giocatori!L124)</f>
        <v>Atalanta</v>
      </c>
      <c r="D468" s="63">
        <f ca="1">IF(ISNA(VLOOKUP($B468,TabAlgTutti,6,FALSE)),0,VLOOKUP($B468,TabAlgTutti,6,FALSE))+ROW()/100000</f>
        <v>45.00468</v>
      </c>
      <c r="E468" s="63">
        <f ca="1">IF(ISNA(VLOOKUP($B468,TabAlgTutti,5,FALSE)),0,VLOOKUP($B468,TabAlgTutti,5,FALSE))+ROW()/100000</f>
        <v>34.00468</v>
      </c>
      <c r="F468" s="64">
        <f ca="1">($D468*$P$8+$E468*(1+$E468*100/60/100)*$S$8)/100+ROW()/100000</f>
        <v>49.145345515853336</v>
      </c>
      <c r="G468" s="63" t="str">
        <f ca="1">IF(ISNA(VLOOKUP($B468,TabAlgTutti,7,FALSE)),"",IF(VLOOKUP($B468,TabAlgTutti,7,FALSE)=-1,"SCONSIGLIATO",IF(VLOOKUP($B468,TabAlgTutti,7,FALSE)=0,"SORPRESA",IF(VLOOKUP($B468,TabAlgTutti,7,FALSE)=1,"CONSIGLIATO",""))))</f>
        <v/>
      </c>
      <c r="H468" s="65">
        <f ca="1">IF(ISNA(VLOOKUP($B468,TabAlgTutti,8,FALSE)),"",VLOOKUP($B468,TabAlgTutti,8,FALSE))</f>
        <v>30</v>
      </c>
      <c r="I468" s="63" t="str">
        <f ca="1">IF(ISNA(VLOOKUP($B468,TabAlgTutti,9,FALSE)),"",IF(VLOOKUP($B468,TabAlgTutti,9,FALSE)="","",VLOOKUP($B468,TabAlgTutti,9,FALSE)&amp;"R "))&amp;IF(ISNA(VLOOKUP($B468,TabAlgTutti,10,FALSE)),"",IF(VLOOKUP($B468,TabAlgTutti,10,FALSE)="","",VLOOKUP($B468,TabAlgTutti,10,FALSE)&amp;"P "))&amp;IF(ISNA(VLOOKUP($B468,TabAlgTutti,11,FALSE)),"",IF(VLOOKUP($B468,TabAlgTutti,11,FALSE)="","",VLOOKUP($B468,TabAlgTutti,11,FALSE)&amp;"A"))</f>
        <v/>
      </c>
      <c r="J468" s="63">
        <f ca="1">IF(ISNA(VLOOKUP($B468,TabAlgTutti,3,FALSE)),0,VLOOKUP($B468,TabAlgTutti,3,FALSE))+ROW()/100000</f>
        <v>1.00468</v>
      </c>
      <c r="K468" s="63">
        <f ca="1">IF(ISNA(VLOOKUP($B468,TabAlgTutti,4,FALSE)),0,VLOOKUP($B468,TabAlgTutti,4,FALSE))+ROW()/100000</f>
        <v>1.00468</v>
      </c>
      <c r="L468" s="63" t="e">
        <f ca="1">VLOOKUP(Tabella114[[#This Row],[Calciatore]],'Raccolta Aste'!$K$2:$O$33,4,FALSE)*Asta!$U$3/100</f>
        <v>#N/A</v>
      </c>
      <c r="N468" s="58"/>
      <c r="O468" s="58"/>
      <c r="P468" s="58"/>
      <c r="Q468" s="58"/>
      <c r="R468" s="58"/>
      <c r="S468" s="58"/>
      <c r="W468" s="56">
        <f t="shared" ca="1" si="146"/>
        <v>167</v>
      </c>
      <c r="X468" s="56">
        <f t="shared" ca="1" si="147"/>
        <v>130</v>
      </c>
      <c r="Y468" s="56">
        <f t="shared" ca="1" si="148"/>
        <v>159</v>
      </c>
      <c r="Z468" s="56">
        <f t="shared" ca="1" si="149"/>
        <v>98</v>
      </c>
      <c r="AA468" s="56">
        <f t="shared" ca="1" si="150"/>
        <v>98</v>
      </c>
      <c r="AB468" s="56">
        <f ca="1">_xlfn.CEILING.MATH(INDIRECT(ADDRESS(311,22+MATCH($P$28,'I.A. + Fasce'!$W$84:$AA$84,0),1,1) &amp; ":" &amp; ADDRESS(531,22+MATCH($P$28,'I.A. + Fasce'!$W$84:$AA$84,0),1,1))/Asta!$H$3)</f>
        <v>20</v>
      </c>
    </row>
    <row r="469" spans="1:28" ht="14.25" customHeight="1">
      <c r="A469" s="239" t="str">
        <f ca="1">IF(Giocatori!J66="","C",Giocatori!J66)</f>
        <v>C</v>
      </c>
      <c r="B469" s="239" t="str">
        <f ca="1">IF(Giocatori!K66="","ZZZ" &amp; ROW(),Giocatori!K66)</f>
        <v>EWANDRO</v>
      </c>
      <c r="C469" s="239" t="str">
        <f ca="1">IF(Giocatori!L66="","NDR" &amp; ROW(),Giocatori!L66)</f>
        <v>Udinese</v>
      </c>
      <c r="D469" s="63">
        <f ca="1">IF(ISNA(VLOOKUP($B469,TabAlgTutti,6,FALSE)),0,VLOOKUP($B469,TabAlgTutti,6,FALSE))+ROW()/100000</f>
        <v>45.004689999999997</v>
      </c>
      <c r="E469" s="63">
        <f ca="1">IF(ISNA(VLOOKUP($B469,TabAlgTutti,5,FALSE)),0,VLOOKUP($B469,TabAlgTutti,5,FALSE))+ROW()/100000</f>
        <v>34.004689999999997</v>
      </c>
      <c r="F469" s="64">
        <f ca="1">($D469*$P$8+$E469*(1+$E469*100/60/100)*$S$8)/100+ROW()/100000</f>
        <v>49.145371183300824</v>
      </c>
      <c r="G469" s="63" t="str">
        <f ca="1">IF(ISNA(VLOOKUP($B469,TabAlgTutti,7,FALSE)),"",IF(VLOOKUP($B469,TabAlgTutti,7,FALSE)=-1,"SCONSIGLIATO",IF(VLOOKUP($B469,TabAlgTutti,7,FALSE)=0,"SORPRESA",IF(VLOOKUP($B469,TabAlgTutti,7,FALSE)=1,"CONSIGLIATO",""))))</f>
        <v/>
      </c>
      <c r="H469" s="65">
        <f ca="1">IF(ISNA(VLOOKUP($B469,TabAlgTutti,8,FALSE)),"",VLOOKUP($B469,TabAlgTutti,8,FALSE))</f>
        <v>40</v>
      </c>
      <c r="I469" s="63" t="str">
        <f ca="1">IF(ISNA(VLOOKUP($B469,TabAlgTutti,9,FALSE)),"",IF(VLOOKUP($B469,TabAlgTutti,9,FALSE)="","",VLOOKUP($B469,TabAlgTutti,9,FALSE)&amp;"R "))&amp;IF(ISNA(VLOOKUP($B469,TabAlgTutti,10,FALSE)),"",IF(VLOOKUP($B469,TabAlgTutti,10,FALSE)="","",VLOOKUP($B469,TabAlgTutti,10,FALSE)&amp;"P "))&amp;IF(ISNA(VLOOKUP($B469,TabAlgTutti,11,FALSE)),"",IF(VLOOKUP($B469,TabAlgTutti,11,FALSE)="","",VLOOKUP($B469,TabAlgTutti,11,FALSE)&amp;"A"))</f>
        <v/>
      </c>
      <c r="J469" s="63">
        <f ca="1">IF(ISNA(VLOOKUP($B469,TabAlgTutti,3,FALSE)),0,VLOOKUP($B469,TabAlgTutti,3,FALSE))+ROW()/100000</f>
        <v>1.0046900000000001</v>
      </c>
      <c r="K469" s="63">
        <f ca="1">IF(ISNA(VLOOKUP($B469,TabAlgTutti,4,FALSE)),0,VLOOKUP($B469,TabAlgTutti,4,FALSE))+ROW()/100000</f>
        <v>1.0046900000000001</v>
      </c>
      <c r="L469" s="63" t="e">
        <f ca="1">VLOOKUP(Tabella114[[#This Row],[Calciatore]],'Raccolta Aste'!$K$2:$O$33,4,FALSE)*Asta!$U$3/100</f>
        <v>#N/A</v>
      </c>
      <c r="N469" s="58"/>
      <c r="O469" s="58"/>
      <c r="P469" s="58"/>
      <c r="Q469" s="58"/>
      <c r="R469" s="58"/>
      <c r="S469" s="58"/>
      <c r="W469" s="56">
        <f t="shared" ca="1" si="146"/>
        <v>166</v>
      </c>
      <c r="X469" s="56">
        <f t="shared" ca="1" si="147"/>
        <v>129</v>
      </c>
      <c r="Y469" s="56">
        <f t="shared" ca="1" si="148"/>
        <v>158</v>
      </c>
      <c r="Z469" s="56">
        <f t="shared" ca="1" si="149"/>
        <v>97</v>
      </c>
      <c r="AA469" s="56">
        <f t="shared" ca="1" si="150"/>
        <v>97</v>
      </c>
      <c r="AB469" s="56">
        <f ca="1">_xlfn.CEILING.MATH(INDIRECT(ADDRESS(311,22+MATCH($P$28,'I.A. + Fasce'!$W$84:$AA$84,0),1,1) &amp; ":" &amp; ADDRESS(531,22+MATCH($P$28,'I.A. + Fasce'!$W$84:$AA$84,0),1,1))/Asta!$H$3)</f>
        <v>20</v>
      </c>
    </row>
    <row r="470" spans="1:28" ht="14.25" customHeight="1">
      <c r="A470" s="239" t="str">
        <f ca="1">IF(Giocatori!J13="","C",Giocatori!J13)</f>
        <v>C</v>
      </c>
      <c r="B470" s="239" t="str">
        <f ca="1">IF(Giocatori!K13="","ZZZ" &amp; ROW(),Giocatori!K13)</f>
        <v>BALIC</v>
      </c>
      <c r="C470" s="239" t="str">
        <f ca="1">IF(Giocatori!L13="","NDR" &amp; ROW(),Giocatori!L13)</f>
        <v>Udinese</v>
      </c>
      <c r="D470" s="63">
        <f ca="1">IF(ISNA(VLOOKUP($B470,TabAlgTutti,6,FALSE)),0,VLOOKUP($B470,TabAlgTutti,6,FALSE))+ROW()/100000</f>
        <v>40.0047</v>
      </c>
      <c r="E470" s="63">
        <f ca="1">IF(ISNA(VLOOKUP($B470,TabAlgTutti,5,FALSE)),0,VLOOKUP($B470,TabAlgTutti,5,FALSE))+ROW()/100000</f>
        <v>36.0047</v>
      </c>
      <c r="F470" s="64">
        <f ca="1">($D470*$P$8+$E470*(1+$E470*100/60/100)*$S$8)/100+ROW()/100000</f>
        <v>48.81222018408333</v>
      </c>
      <c r="G470" s="63" t="str">
        <f ca="1">IF(ISNA(VLOOKUP($B470,TabAlgTutti,7,FALSE)),"",IF(VLOOKUP($B470,TabAlgTutti,7,FALSE)=-1,"SCONSIGLIATO",IF(VLOOKUP($B470,TabAlgTutti,7,FALSE)=0,"SORPRESA",IF(VLOOKUP($B470,TabAlgTutti,7,FALSE)=1,"CONSIGLIATO",""))))</f>
        <v/>
      </c>
      <c r="H470" s="65">
        <f ca="1">IF(ISNA(VLOOKUP($B470,TabAlgTutti,8,FALSE)),"",VLOOKUP($B470,TabAlgTutti,8,FALSE))</f>
        <v>50</v>
      </c>
      <c r="I470" s="63" t="str">
        <f ca="1">IF(ISNA(VLOOKUP($B470,TabAlgTutti,9,FALSE)),"",IF(VLOOKUP($B470,TabAlgTutti,9,FALSE)="","",VLOOKUP($B470,TabAlgTutti,9,FALSE)&amp;"R "))&amp;IF(ISNA(VLOOKUP($B470,TabAlgTutti,10,FALSE)),"",IF(VLOOKUP($B470,TabAlgTutti,10,FALSE)="","",VLOOKUP($B470,TabAlgTutti,10,FALSE)&amp;"P "))&amp;IF(ISNA(VLOOKUP($B470,TabAlgTutti,11,FALSE)),"",IF(VLOOKUP($B470,TabAlgTutti,11,FALSE)="","",VLOOKUP($B470,TabAlgTutti,11,FALSE)&amp;"A"))</f>
        <v xml:space="preserve">3P </v>
      </c>
      <c r="J470" s="63">
        <f ca="1">IF(ISNA(VLOOKUP($B470,TabAlgTutti,3,FALSE)),0,VLOOKUP($B470,TabAlgTutti,3,FALSE))+ROW()/100000</f>
        <v>1.0046999999999999</v>
      </c>
      <c r="K470" s="63">
        <f ca="1">IF(ISNA(VLOOKUP($B470,TabAlgTutti,4,FALSE)),0,VLOOKUP($B470,TabAlgTutti,4,FALSE))+ROW()/100000</f>
        <v>1.0046999999999999</v>
      </c>
      <c r="L470" s="63" t="e">
        <f ca="1">VLOOKUP(Tabella114[[#This Row],[Calciatore]],'Raccolta Aste'!$K$2:$O$33,4,FALSE)*Asta!$U$3/100</f>
        <v>#N/A</v>
      </c>
      <c r="N470" s="58"/>
      <c r="O470" s="58"/>
      <c r="P470" s="58"/>
      <c r="Q470" s="58"/>
      <c r="R470" s="58"/>
      <c r="S470" s="58"/>
      <c r="W470" s="56">
        <f t="shared" ca="1" si="146"/>
        <v>173</v>
      </c>
      <c r="X470" s="56">
        <f t="shared" ca="1" si="147"/>
        <v>109</v>
      </c>
      <c r="Y470" s="56">
        <f t="shared" ca="1" si="148"/>
        <v>160</v>
      </c>
      <c r="Z470" s="56">
        <f t="shared" ca="1" si="149"/>
        <v>96</v>
      </c>
      <c r="AA470" s="56">
        <f t="shared" ca="1" si="150"/>
        <v>96</v>
      </c>
      <c r="AB470" s="56">
        <f ca="1">_xlfn.CEILING.MATH(INDIRECT(ADDRESS(311,22+MATCH($P$28,'I.A. + Fasce'!$W$84:$AA$84,0),1,1) &amp; ":" &amp; ADDRESS(531,22+MATCH($P$28,'I.A. + Fasce'!$W$84:$AA$84,0),1,1))/Asta!$H$3)</f>
        <v>20</v>
      </c>
    </row>
    <row r="471" spans="1:28" ht="14.25" customHeight="1">
      <c r="A471" s="239" t="str">
        <f ca="1">IF(Giocatori!J221="","C",Giocatori!J221)</f>
        <v>C</v>
      </c>
      <c r="B471" s="239" t="str">
        <f ca="1">IF(Giocatori!K170="","ZZZ" &amp; ROW(),Giocatori!K170)</f>
        <v>VALENCIA</v>
      </c>
      <c r="C471" s="239" t="str">
        <f ca="1">IF(Giocatori!L170="","NDR" &amp; ROW(),Giocatori!L170)</f>
        <v>Bologna</v>
      </c>
      <c r="D471" s="63">
        <f ca="1">IF(ISNA(VLOOKUP($B471,TabAlgTutti,6,FALSE)),0,VLOOKUP($B471,TabAlgTutti,6,FALSE))+ROW()/100000</f>
        <v>50.004710000000003</v>
      </c>
      <c r="E471" s="63">
        <f ca="1">IF(ISNA(VLOOKUP($B471,TabAlgTutti,5,FALSE)),0,VLOOKUP($B471,TabAlgTutti,5,FALSE))+ROW()/100000</f>
        <v>31.004709999999999</v>
      </c>
      <c r="F471" s="64">
        <f ca="1">($D471*$P$8+$E471*(1+$E471*100/60/100)*$S$8)/100+ROW()/100000</f>
        <v>48.520187018200836</v>
      </c>
      <c r="G471" s="63" t="str">
        <f ca="1">IF(ISNA(VLOOKUP($B471,TabAlgTutti,7,FALSE)),"",IF(VLOOKUP($B471,TabAlgTutti,7,FALSE)=-1,"SCONSIGLIATO",IF(VLOOKUP($B471,TabAlgTutti,7,FALSE)=0,"SORPRESA",IF(VLOOKUP($B471,TabAlgTutti,7,FALSE)=1,"CONSIGLIATO",""))))</f>
        <v/>
      </c>
      <c r="H471" s="65">
        <f ca="1">IF(ISNA(VLOOKUP($B471,TabAlgTutti,8,FALSE)),"",VLOOKUP($B471,TabAlgTutti,8,FALSE))</f>
        <v>40</v>
      </c>
      <c r="I471" s="63" t="str">
        <f ca="1">IF(ISNA(VLOOKUP($B471,TabAlgTutti,9,FALSE)),"",IF(VLOOKUP($B471,TabAlgTutti,9,FALSE)="","",VLOOKUP($B471,TabAlgTutti,9,FALSE)&amp;"R "))&amp;IF(ISNA(VLOOKUP($B471,TabAlgTutti,10,FALSE)),"",IF(VLOOKUP($B471,TabAlgTutti,10,FALSE)="","",VLOOKUP($B471,TabAlgTutti,10,FALSE)&amp;"P "))&amp;IF(ISNA(VLOOKUP($B471,TabAlgTutti,11,FALSE)),"",IF(VLOOKUP($B471,TabAlgTutti,11,FALSE)="","",VLOOKUP($B471,TabAlgTutti,11,FALSE)&amp;"A"))</f>
        <v/>
      </c>
      <c r="J471" s="63">
        <f ca="1">IF(ISNA(VLOOKUP($B471,TabAlgTutti,3,FALSE)),0,VLOOKUP($B471,TabAlgTutti,3,FALSE))+ROW()/100000</f>
        <v>1.00471</v>
      </c>
      <c r="K471" s="63">
        <f ca="1">IF(ISNA(VLOOKUP($B471,TabAlgTutti,4,FALSE)),0,VLOOKUP($B471,TabAlgTutti,4,FALSE))+ROW()/100000</f>
        <v>1.00471</v>
      </c>
      <c r="L471" s="63" t="e">
        <f ca="1">VLOOKUP(Tabella114[[#This Row],[Calciatore]],'Raccolta Aste'!$K$2:$O$33,4,FALSE)*Asta!$U$3/100</f>
        <v>#N/A</v>
      </c>
      <c r="N471" s="58"/>
      <c r="O471" s="58"/>
      <c r="P471" s="58"/>
      <c r="Q471" s="58"/>
      <c r="R471" s="58"/>
      <c r="S471" s="58"/>
      <c r="W471" s="56">
        <f t="shared" ca="1" si="146"/>
        <v>158</v>
      </c>
      <c r="X471" s="56">
        <f t="shared" ca="1" si="147"/>
        <v>163</v>
      </c>
      <c r="Y471" s="56">
        <f t="shared" ca="1" si="148"/>
        <v>161</v>
      </c>
      <c r="Z471" s="56">
        <f t="shared" ca="1" si="149"/>
        <v>95</v>
      </c>
      <c r="AA471" s="56">
        <f t="shared" ca="1" si="150"/>
        <v>95</v>
      </c>
      <c r="AB471" s="56">
        <f ca="1">_xlfn.CEILING.MATH(INDIRECT(ADDRESS(311,22+MATCH($P$28,'I.A. + Fasce'!$W$84:$AA$84,0),1,1) &amp; ":" &amp; ADDRESS(531,22+MATCH($P$28,'I.A. + Fasce'!$W$84:$AA$84,0),1,1))/Asta!$H$3)</f>
        <v>21</v>
      </c>
    </row>
    <row r="472" spans="1:28" ht="14.25" customHeight="1">
      <c r="A472" s="239" t="str">
        <f ca="1">IF(Giocatori!J101="","C",Giocatori!J101)</f>
        <v>C</v>
      </c>
      <c r="B472" s="239" t="str">
        <f ca="1">IF(Giocatori!K101="","ZZZ" &amp; ROW(),Giocatori!K101)</f>
        <v>JOSE' SOSA</v>
      </c>
      <c r="C472" s="239" t="str">
        <f ca="1">IF(Giocatori!L101="","NDR" &amp; ROW(),Giocatori!L101)</f>
        <v>Milan</v>
      </c>
      <c r="D472" s="63">
        <f ca="1">IF(ISNA(VLOOKUP($B472,TabAlgTutti,6,FALSE)),0,VLOOKUP($B472,TabAlgTutti,6,FALSE))+ROW()/100000</f>
        <v>45.004719999999999</v>
      </c>
      <c r="E472" s="63">
        <f ca="1">IF(ISNA(VLOOKUP($B472,TabAlgTutti,5,FALSE)),0,VLOOKUP($B472,TabAlgTutti,5,FALSE))+ROW()/100000</f>
        <v>33.004719999999999</v>
      </c>
      <c r="F472" s="64">
        <f ca="1">($D472*$P$8+$E472*(1+$E472*100/60/100)*$S$8)/100+ROW()/100000</f>
        <v>48.087036185653325</v>
      </c>
      <c r="G472" s="63" t="str">
        <f ca="1">IF(ISNA(VLOOKUP($B472,TabAlgTutti,7,FALSE)),"",IF(VLOOKUP($B472,TabAlgTutti,7,FALSE)=-1,"SCONSIGLIATO",IF(VLOOKUP($B472,TabAlgTutti,7,FALSE)=0,"SORPRESA",IF(VLOOKUP($B472,TabAlgTutti,7,FALSE)=1,"CONSIGLIATO",""))))</f>
        <v/>
      </c>
      <c r="H472" s="65">
        <f ca="1">IF(ISNA(VLOOKUP($B472,TabAlgTutti,8,FALSE)),"",VLOOKUP($B472,TabAlgTutti,8,FALSE))</f>
        <v>50</v>
      </c>
      <c r="I472" s="63" t="str">
        <f ca="1">IF(ISNA(VLOOKUP($B472,TabAlgTutti,9,FALSE)),"",IF(VLOOKUP($B472,TabAlgTutti,9,FALSE)="","",VLOOKUP($B472,TabAlgTutti,9,FALSE)&amp;"R "))&amp;IF(ISNA(VLOOKUP($B472,TabAlgTutti,10,FALSE)),"",IF(VLOOKUP($B472,TabAlgTutti,10,FALSE)="","",VLOOKUP($B472,TabAlgTutti,10,FALSE)&amp;"P "))&amp;IF(ISNA(VLOOKUP($B472,TabAlgTutti,11,FALSE)),"",IF(VLOOKUP($B472,TabAlgTutti,11,FALSE)="","",VLOOKUP($B472,TabAlgTutti,11,FALSE)&amp;"A"))</f>
        <v/>
      </c>
      <c r="J472" s="63">
        <f ca="1">IF(ISNA(VLOOKUP($B472,TabAlgTutti,3,FALSE)),0,VLOOKUP($B472,TabAlgTutti,3,FALSE))+ROW()/100000</f>
        <v>1.0047200000000001</v>
      </c>
      <c r="K472" s="63">
        <f ca="1">IF(ISNA(VLOOKUP($B472,TabAlgTutti,4,FALSE)),0,VLOOKUP($B472,TabAlgTutti,4,FALSE))+ROW()/100000</f>
        <v>1.0047200000000001</v>
      </c>
      <c r="L472" s="63" t="e">
        <f ca="1">VLOOKUP(Tabella114[[#This Row],[Calciatore]],'Raccolta Aste'!$K$2:$O$33,4,FALSE)*Asta!$U$3/100</f>
        <v>#N/A</v>
      </c>
      <c r="N472" s="58"/>
      <c r="O472" s="58"/>
      <c r="P472" s="58"/>
      <c r="Q472" s="58"/>
      <c r="R472" s="58"/>
      <c r="S472" s="58"/>
      <c r="W472" s="56">
        <f t="shared" ca="1" si="146"/>
        <v>165</v>
      </c>
      <c r="X472" s="56">
        <f t="shared" ca="1" si="147"/>
        <v>149</v>
      </c>
      <c r="Y472" s="56">
        <f t="shared" ca="1" si="148"/>
        <v>162</v>
      </c>
      <c r="Z472" s="56">
        <f t="shared" ca="1" si="149"/>
        <v>94</v>
      </c>
      <c r="AA472" s="56">
        <f t="shared" ca="1" si="150"/>
        <v>94</v>
      </c>
      <c r="AB472" s="56">
        <f ca="1">_xlfn.CEILING.MATH(INDIRECT(ADDRESS(311,22+MATCH($P$28,'I.A. + Fasce'!$W$84:$AA$84,0),1,1) &amp; ":" &amp; ADDRESS(531,22+MATCH($P$28,'I.A. + Fasce'!$W$84:$AA$84,0),1,1))/Asta!$H$3)</f>
        <v>21</v>
      </c>
    </row>
    <row r="473" spans="1:28" ht="14.25" customHeight="1">
      <c r="A473" s="239" t="str">
        <f ca="1">IF(Giocatori!J85="","C",Giocatori!J85)</f>
        <v>C</v>
      </c>
      <c r="B473" s="239" t="str">
        <f ca="1">IF(Giocatori!K85="","ZZZ" &amp; ROW(),Giocatori!K85)</f>
        <v>GUSTAFSON</v>
      </c>
      <c r="C473" s="239" t="str">
        <f ca="1">IF(Giocatori!L85="","NDR" &amp; ROW(),Giocatori!L85)</f>
        <v>Torino</v>
      </c>
      <c r="D473" s="63">
        <f ca="1">IF(ISNA(VLOOKUP($B473,TabAlgTutti,6,FALSE)),0,VLOOKUP($B473,TabAlgTutti,6,FALSE))+ROW()/100000</f>
        <v>47.004730000000002</v>
      </c>
      <c r="E473" s="63">
        <f ca="1">IF(ISNA(VLOOKUP($B473,TabAlgTutti,5,FALSE)),0,VLOOKUP($B473,TabAlgTutti,5,FALSE))+ROW()/100000</f>
        <v>31.004729999999999</v>
      </c>
      <c r="F473" s="64">
        <f ca="1">($D473*$P$8+$E473*(1+$E473*100/60/100)*$S$8)/100+ROW()/100000</f>
        <v>47.020237353107497</v>
      </c>
      <c r="G473" s="63" t="str">
        <f ca="1">IF(ISNA(VLOOKUP($B473,TabAlgTutti,7,FALSE)),"",IF(VLOOKUP($B473,TabAlgTutti,7,FALSE)=-1,"SCONSIGLIATO",IF(VLOOKUP($B473,TabAlgTutti,7,FALSE)=0,"SORPRESA",IF(VLOOKUP($B473,TabAlgTutti,7,FALSE)=1,"CONSIGLIATO",""))))</f>
        <v/>
      </c>
      <c r="H473" s="65">
        <f ca="1">IF(ISNA(VLOOKUP($B473,TabAlgTutti,8,FALSE)),"",VLOOKUP($B473,TabAlgTutti,8,FALSE))</f>
        <v>40</v>
      </c>
      <c r="I473" s="63" t="str">
        <f ca="1">IF(ISNA(VLOOKUP($B473,TabAlgTutti,9,FALSE)),"",IF(VLOOKUP($B473,TabAlgTutti,9,FALSE)="","",VLOOKUP($B473,TabAlgTutti,9,FALSE)&amp;"R "))&amp;IF(ISNA(VLOOKUP($B473,TabAlgTutti,10,FALSE)),"",IF(VLOOKUP($B473,TabAlgTutti,10,FALSE)="","",VLOOKUP($B473,TabAlgTutti,10,FALSE)&amp;"P "))&amp;IF(ISNA(VLOOKUP($B473,TabAlgTutti,11,FALSE)),"",IF(VLOOKUP($B473,TabAlgTutti,11,FALSE)="","",VLOOKUP($B473,TabAlgTutti,11,FALSE)&amp;"A"))</f>
        <v/>
      </c>
      <c r="J473" s="63">
        <f ca="1">IF(ISNA(VLOOKUP($B473,TabAlgTutti,3,FALSE)),0,VLOOKUP($B473,TabAlgTutti,3,FALSE))+ROW()/100000</f>
        <v>1.0047299999999999</v>
      </c>
      <c r="K473" s="63">
        <f ca="1">IF(ISNA(VLOOKUP($B473,TabAlgTutti,4,FALSE)),0,VLOOKUP($B473,TabAlgTutti,4,FALSE))+ROW()/100000</f>
        <v>1.0047299999999999</v>
      </c>
      <c r="L473" s="63" t="e">
        <f ca="1">VLOOKUP(Tabella114[[#This Row],[Calciatore]],'Raccolta Aste'!$K$2:$O$33,4,FALSE)*Asta!$U$3/100</f>
        <v>#N/A</v>
      </c>
      <c r="N473" s="58"/>
      <c r="O473" s="58"/>
      <c r="P473" s="58"/>
      <c r="Q473" s="58"/>
      <c r="R473" s="58"/>
      <c r="S473" s="58"/>
      <c r="W473" s="56">
        <f t="shared" ca="1" si="146"/>
        <v>162</v>
      </c>
      <c r="X473" s="56">
        <f t="shared" ca="1" si="147"/>
        <v>162</v>
      </c>
      <c r="Y473" s="56">
        <f t="shared" ca="1" si="148"/>
        <v>163</v>
      </c>
      <c r="Z473" s="56">
        <f t="shared" ca="1" si="149"/>
        <v>93</v>
      </c>
      <c r="AA473" s="56">
        <f t="shared" ca="1" si="150"/>
        <v>93</v>
      </c>
      <c r="AB473" s="56">
        <f ca="1">_xlfn.CEILING.MATH(INDIRECT(ADDRESS(311,22+MATCH($P$28,'I.A. + Fasce'!$W$84:$AA$84,0),1,1) &amp; ":" &amp; ADDRESS(531,22+MATCH($P$28,'I.A. + Fasce'!$W$84:$AA$84,0),1,1))/Asta!$H$3)</f>
        <v>21</v>
      </c>
    </row>
    <row r="474" spans="1:28" ht="14.25" customHeight="1">
      <c r="A474" s="239" t="str">
        <f ca="1">IF(Giocatori!J117="","C",Giocatori!J117)</f>
        <v>C</v>
      </c>
      <c r="B474" s="239" t="str">
        <f ca="1">IF(Giocatori!K117="","ZZZ" &amp; ROW(),Giocatori!K117)</f>
        <v>MALLE'</v>
      </c>
      <c r="C474" s="239" t="str">
        <f ca="1">IF(Giocatori!L117="","NDR" &amp; ROW(),Giocatori!L117)</f>
        <v>Udinese</v>
      </c>
      <c r="D474" s="63">
        <f ca="1">IF(ISNA(VLOOKUP($B474,TabAlgTutti,6,FALSE)),0,VLOOKUP($B474,TabAlgTutti,6,FALSE))+ROW()/100000</f>
        <v>40.004739999999998</v>
      </c>
      <c r="E474" s="63">
        <f ca="1">IF(ISNA(VLOOKUP($B474,TabAlgTutti,5,FALSE)),0,VLOOKUP($B474,TabAlgTutti,5,FALSE))+ROW()/100000</f>
        <v>34.004739999999998</v>
      </c>
      <c r="F474" s="64">
        <f ca="1">($D474*$P$8+$E474*(1+$E474*100/60/100)*$S$8)/100+ROW()/100000</f>
        <v>46.64549952056332</v>
      </c>
      <c r="G474" s="63" t="str">
        <f ca="1">IF(ISNA(VLOOKUP($B474,TabAlgTutti,7,FALSE)),"",IF(VLOOKUP($B474,TabAlgTutti,7,FALSE)=-1,"SCONSIGLIATO",IF(VLOOKUP($B474,TabAlgTutti,7,FALSE)=0,"SORPRESA",IF(VLOOKUP($B474,TabAlgTutti,7,FALSE)=1,"CONSIGLIATO",""))))</f>
        <v/>
      </c>
      <c r="H474" s="65">
        <f ca="1">IF(ISNA(VLOOKUP($B474,TabAlgTutti,8,FALSE)),"",VLOOKUP($B474,TabAlgTutti,8,FALSE))</f>
        <v>40</v>
      </c>
      <c r="I474" s="63" t="str">
        <f ca="1">IF(ISNA(VLOOKUP($B474,TabAlgTutti,9,FALSE)),"",IF(VLOOKUP($B474,TabAlgTutti,9,FALSE)="","",VLOOKUP($B474,TabAlgTutti,9,FALSE)&amp;"R "))&amp;IF(ISNA(VLOOKUP($B474,TabAlgTutti,10,FALSE)),"",IF(VLOOKUP($B474,TabAlgTutti,10,FALSE)="","",VLOOKUP($B474,TabAlgTutti,10,FALSE)&amp;"P "))&amp;IF(ISNA(VLOOKUP($B474,TabAlgTutti,11,FALSE)),"",IF(VLOOKUP($B474,TabAlgTutti,11,FALSE)="","",VLOOKUP($B474,TabAlgTutti,11,FALSE)&amp;"A"))</f>
        <v/>
      </c>
      <c r="J474" s="63">
        <f ca="1">IF(ISNA(VLOOKUP($B474,TabAlgTutti,3,FALSE)),0,VLOOKUP($B474,TabAlgTutti,3,FALSE))+ROW()/100000</f>
        <v>1.00474</v>
      </c>
      <c r="K474" s="63">
        <f ca="1">IF(ISNA(VLOOKUP($B474,TabAlgTutti,4,FALSE)),0,VLOOKUP($B474,TabAlgTutti,4,FALSE))+ROW()/100000</f>
        <v>1.00474</v>
      </c>
      <c r="L474" s="63" t="e">
        <f ca="1">VLOOKUP(Tabella114[[#This Row],[Calciatore]],'Raccolta Aste'!$K$2:$O$33,4,FALSE)*Asta!$U$3/100</f>
        <v>#N/A</v>
      </c>
      <c r="N474" s="58"/>
      <c r="O474" s="58"/>
      <c r="P474" s="58"/>
      <c r="Q474" s="58"/>
      <c r="R474" s="58"/>
      <c r="S474" s="58"/>
      <c r="W474" s="56">
        <f t="shared" ca="1" si="146"/>
        <v>172</v>
      </c>
      <c r="X474" s="56">
        <f t="shared" ca="1" si="147"/>
        <v>128</v>
      </c>
      <c r="Y474" s="56">
        <f t="shared" ca="1" si="148"/>
        <v>164</v>
      </c>
      <c r="Z474" s="56">
        <f t="shared" ca="1" si="149"/>
        <v>92</v>
      </c>
      <c r="AA474" s="56">
        <f t="shared" ca="1" si="150"/>
        <v>92</v>
      </c>
      <c r="AB474" s="56">
        <f ca="1">_xlfn.CEILING.MATH(INDIRECT(ADDRESS(311,22+MATCH($P$28,'I.A. + Fasce'!$W$84:$AA$84,0),1,1) &amp; ":" &amp; ADDRESS(531,22+MATCH($P$28,'I.A. + Fasce'!$W$84:$AA$84,0),1,1))/Asta!$H$3)</f>
        <v>21</v>
      </c>
    </row>
    <row r="475" spans="1:28" ht="14.25" customHeight="1">
      <c r="A475" s="239" t="str">
        <f ca="1">IF(Giocatori!J123="","C",Giocatori!J123)</f>
        <v>C</v>
      </c>
      <c r="B475" s="239" t="str">
        <f ca="1">IF(Giocatori!K123="","ZZZ" &amp; ROW(),Giocatori!K123)</f>
        <v>MELARA</v>
      </c>
      <c r="C475" s="239" t="str">
        <f ca="1">IF(Giocatori!L123="","NDR" &amp; ROW(),Giocatori!L123)</f>
        <v>Benevento</v>
      </c>
      <c r="D475" s="63">
        <f ca="1">IF(ISNA(VLOOKUP($B475,TabAlgTutti,6,FALSE)),0,VLOOKUP($B475,TabAlgTutti,6,FALSE))+ROW()/100000</f>
        <v>45.004750000000001</v>
      </c>
      <c r="E475" s="63">
        <f ca="1">IF(ISNA(VLOOKUP($B475,TabAlgTutti,5,FALSE)),0,VLOOKUP($B475,TabAlgTutti,5,FALSE))+ROW()/100000</f>
        <v>31.004750000000001</v>
      </c>
      <c r="F475" s="64">
        <f ca="1">($D475*$P$8+$E475*(1+$E475*100/60/100)*$S$8)/100+ROW()/100000</f>
        <v>46.020287688020829</v>
      </c>
      <c r="G475" s="63" t="str">
        <f ca="1">IF(ISNA(VLOOKUP($B475,TabAlgTutti,7,FALSE)),"",IF(VLOOKUP($B475,TabAlgTutti,7,FALSE)=-1,"SCONSIGLIATO",IF(VLOOKUP($B475,TabAlgTutti,7,FALSE)=0,"SORPRESA",IF(VLOOKUP($B475,TabAlgTutti,7,FALSE)=1,"CONSIGLIATO",""))))</f>
        <v/>
      </c>
      <c r="H475" s="65">
        <f ca="1">IF(ISNA(VLOOKUP($B475,TabAlgTutti,8,FALSE)),"",VLOOKUP($B475,TabAlgTutti,8,FALSE))</f>
        <v>40</v>
      </c>
      <c r="I475" s="63" t="str">
        <f ca="1">IF(ISNA(VLOOKUP($B475,TabAlgTutti,9,FALSE)),"",IF(VLOOKUP($B475,TabAlgTutti,9,FALSE)="","",VLOOKUP($B475,TabAlgTutti,9,FALSE)&amp;"R "))&amp;IF(ISNA(VLOOKUP($B475,TabAlgTutti,10,FALSE)),"",IF(VLOOKUP($B475,TabAlgTutti,10,FALSE)="","",VLOOKUP($B475,TabAlgTutti,10,FALSE)&amp;"P "))&amp;IF(ISNA(VLOOKUP($B475,TabAlgTutti,11,FALSE)),"",IF(VLOOKUP($B475,TabAlgTutti,11,FALSE)="","",VLOOKUP($B475,TabAlgTutti,11,FALSE)&amp;"A"))</f>
        <v/>
      </c>
      <c r="J475" s="63">
        <f ca="1">IF(ISNA(VLOOKUP($B475,TabAlgTutti,3,FALSE)),0,VLOOKUP($B475,TabAlgTutti,3,FALSE))+ROW()/100000</f>
        <v>1.00475</v>
      </c>
      <c r="K475" s="63">
        <f ca="1">IF(ISNA(VLOOKUP($B475,TabAlgTutti,4,FALSE)),0,VLOOKUP($B475,TabAlgTutti,4,FALSE))+ROW()/100000</f>
        <v>1.00475</v>
      </c>
      <c r="L475" s="63" t="e">
        <f ca="1">VLOOKUP(Tabella114[[#This Row],[Calciatore]],'Raccolta Aste'!$K$2:$O$33,4,FALSE)*Asta!$U$3/100</f>
        <v>#N/A</v>
      </c>
      <c r="N475" s="58"/>
      <c r="O475" s="58"/>
      <c r="P475" s="58"/>
      <c r="Q475" s="58"/>
      <c r="R475" s="58"/>
      <c r="S475" s="58"/>
      <c r="W475" s="56">
        <f t="shared" ca="1" si="146"/>
        <v>164</v>
      </c>
      <c r="X475" s="56">
        <f t="shared" ca="1" si="147"/>
        <v>161</v>
      </c>
      <c r="Y475" s="56">
        <f t="shared" ca="1" si="148"/>
        <v>165</v>
      </c>
      <c r="Z475" s="56">
        <f t="shared" ca="1" si="149"/>
        <v>91</v>
      </c>
      <c r="AA475" s="56">
        <f t="shared" ca="1" si="150"/>
        <v>91</v>
      </c>
      <c r="AB475" s="56">
        <f ca="1">_xlfn.CEILING.MATH(INDIRECT(ADDRESS(311,22+MATCH($P$28,'I.A. + Fasce'!$W$84:$AA$84,0),1,1) &amp; ":" &amp; ADDRESS(531,22+MATCH($P$28,'I.A. + Fasce'!$W$84:$AA$84,0),1,1))/Asta!$H$3)</f>
        <v>21</v>
      </c>
    </row>
    <row r="476" spans="1:28" ht="14.25" customHeight="1">
      <c r="A476" s="239" t="str">
        <f ca="1">IF(Giocatori!J47="","C",Giocatori!J47)</f>
        <v>C</v>
      </c>
      <c r="B476" s="239" t="str">
        <f ca="1">IF(Giocatori!K47="","ZZZ" &amp; ROW(),Giocatori!K47)</f>
        <v>CRECCO</v>
      </c>
      <c r="C476" s="239" t="str">
        <f ca="1">IF(Giocatori!L47="","NDR" &amp; ROW(),Giocatori!L47)</f>
        <v>Lazio</v>
      </c>
      <c r="D476" s="63">
        <f ca="1">IF(ISNA(VLOOKUP($B476,TabAlgTutti,6,FALSE)),0,VLOOKUP($B476,TabAlgTutti,6,FALSE))+ROW()/100000</f>
        <v>49.004759999999997</v>
      </c>
      <c r="E476" s="63">
        <f ca="1">IF(ISNA(VLOOKUP($B476,TabAlgTutti,5,FALSE)),0,VLOOKUP($B476,TabAlgTutti,5,FALSE))+ROW()/100000</f>
        <v>28.004760000000001</v>
      </c>
      <c r="F476" s="64">
        <f ca="1">($D476*$P$8+$E476*(1+$E476*100/60/100)*$S$8)/100+ROW()/100000</f>
        <v>45.045074855479996</v>
      </c>
      <c r="G476" s="63" t="str">
        <f ca="1">IF(ISNA(VLOOKUP($B476,TabAlgTutti,7,FALSE)),"",IF(VLOOKUP($B476,TabAlgTutti,7,FALSE)=-1,"SCONSIGLIATO",IF(VLOOKUP($B476,TabAlgTutti,7,FALSE)=0,"SORPRESA",IF(VLOOKUP($B476,TabAlgTutti,7,FALSE)=1,"CONSIGLIATO",""))))</f>
        <v/>
      </c>
      <c r="H476" s="65">
        <f ca="1">IF(ISNA(VLOOKUP($B476,TabAlgTutti,8,FALSE)),"",VLOOKUP($B476,TabAlgTutti,8,FALSE))</f>
        <v>30</v>
      </c>
      <c r="I476" s="63" t="str">
        <f ca="1">IF(ISNA(VLOOKUP($B476,TabAlgTutti,9,FALSE)),"",IF(VLOOKUP($B476,TabAlgTutti,9,FALSE)="","",VLOOKUP($B476,TabAlgTutti,9,FALSE)&amp;"R "))&amp;IF(ISNA(VLOOKUP($B476,TabAlgTutti,10,FALSE)),"",IF(VLOOKUP($B476,TabAlgTutti,10,FALSE)="","",VLOOKUP($B476,TabAlgTutti,10,FALSE)&amp;"P "))&amp;IF(ISNA(VLOOKUP($B476,TabAlgTutti,11,FALSE)),"",IF(VLOOKUP($B476,TabAlgTutti,11,FALSE)="","",VLOOKUP($B476,TabAlgTutti,11,FALSE)&amp;"A"))</f>
        <v/>
      </c>
      <c r="J476" s="63">
        <f ca="1">IF(ISNA(VLOOKUP($B476,TabAlgTutti,3,FALSE)),0,VLOOKUP($B476,TabAlgTutti,3,FALSE))+ROW()/100000</f>
        <v>1.0047600000000001</v>
      </c>
      <c r="K476" s="63">
        <f ca="1">IF(ISNA(VLOOKUP($B476,TabAlgTutti,4,FALSE)),0,VLOOKUP($B476,TabAlgTutti,4,FALSE))+ROW()/100000</f>
        <v>1.0047600000000001</v>
      </c>
      <c r="L476" s="63" t="e">
        <f ca="1">VLOOKUP(Tabella114[[#This Row],[Calciatore]],'Raccolta Aste'!$K$2:$O$33,4,FALSE)*Asta!$U$3/100</f>
        <v>#N/A</v>
      </c>
      <c r="N476" s="58"/>
      <c r="O476" s="58"/>
      <c r="P476" s="58"/>
      <c r="Q476" s="58"/>
      <c r="R476" s="58"/>
      <c r="S476" s="58"/>
      <c r="W476" s="56">
        <f t="shared" ca="1" si="146"/>
        <v>161</v>
      </c>
      <c r="X476" s="56">
        <f t="shared" ca="1" si="147"/>
        <v>169</v>
      </c>
      <c r="Y476" s="56">
        <f t="shared" ca="1" si="148"/>
        <v>166</v>
      </c>
      <c r="Z476" s="56">
        <f t="shared" ca="1" si="149"/>
        <v>90</v>
      </c>
      <c r="AA476" s="56">
        <f t="shared" ca="1" si="150"/>
        <v>90</v>
      </c>
      <c r="AB476" s="56">
        <f ca="1">_xlfn.CEILING.MATH(INDIRECT(ADDRESS(311,22+MATCH($P$28,'I.A. + Fasce'!$W$84:$AA$84,0),1,1) &amp; ":" &amp; ADDRESS(531,22+MATCH($P$28,'I.A. + Fasce'!$W$84:$AA$84,0),1,1))/Asta!$H$3)</f>
        <v>21</v>
      </c>
    </row>
    <row r="477" spans="1:28" ht="14.25" customHeight="1">
      <c r="A477" s="239" t="str">
        <f ca="1">IF(Giocatori!J210="","C",Giocatori!J210)</f>
        <v>C</v>
      </c>
      <c r="B477" s="239" t="str">
        <f ca="1">IF(Giocatori!K159="","ZZZ" &amp; ROW(),Giocatori!K159)</f>
        <v>SCHIAVON</v>
      </c>
      <c r="C477" s="239" t="str">
        <f ca="1">IF(Giocatori!L159="","NDR" &amp; ROW(),Giocatori!L159)</f>
        <v>SPAL</v>
      </c>
      <c r="D477" s="63">
        <f ca="1">IF(ISNA(VLOOKUP($B477,TabAlgTutti,6,FALSE)),0,VLOOKUP($B477,TabAlgTutti,6,FALSE))+ROW()/100000</f>
        <v>55.004770000000001</v>
      </c>
      <c r="E477" s="63">
        <f ca="1">IF(ISNA(VLOOKUP($B477,TabAlgTutti,5,FALSE)),0,VLOOKUP($B477,TabAlgTutti,5,FALSE))+ROW()/100000</f>
        <v>24.004770000000001</v>
      </c>
      <c r="F477" s="64">
        <f ca="1">($D477*$P$8+$E477*(1+$E477*100/60/100)*$S$8)/100+ROW()/100000</f>
        <v>44.311448189607503</v>
      </c>
      <c r="G477" s="63" t="str">
        <f ca="1">IF(ISNA(VLOOKUP($B477,TabAlgTutti,7,FALSE)),"",IF(VLOOKUP($B477,TabAlgTutti,7,FALSE)=-1,"SCONSIGLIATO",IF(VLOOKUP($B477,TabAlgTutti,7,FALSE)=0,"SORPRESA",IF(VLOOKUP($B477,TabAlgTutti,7,FALSE)=1,"CONSIGLIATO",""))))</f>
        <v/>
      </c>
      <c r="H477" s="65">
        <f ca="1">IF(ISNA(VLOOKUP($B477,TabAlgTutti,8,FALSE)),"",VLOOKUP($B477,TabAlgTutti,8,FALSE))</f>
        <v>30</v>
      </c>
      <c r="I477" s="63" t="str">
        <f ca="1">IF(ISNA(VLOOKUP($B477,TabAlgTutti,9,FALSE)),"",IF(VLOOKUP($B477,TabAlgTutti,9,FALSE)="","",VLOOKUP($B477,TabAlgTutti,9,FALSE)&amp;"R "))&amp;IF(ISNA(VLOOKUP($B477,TabAlgTutti,10,FALSE)),"",IF(VLOOKUP($B477,TabAlgTutti,10,FALSE)="","",VLOOKUP($B477,TabAlgTutti,10,FALSE)&amp;"P "))&amp;IF(ISNA(VLOOKUP($B477,TabAlgTutti,11,FALSE)),"",IF(VLOOKUP($B477,TabAlgTutti,11,FALSE)="","",VLOOKUP($B477,TabAlgTutti,11,FALSE)&amp;"A"))</f>
        <v/>
      </c>
      <c r="J477" s="63">
        <f ca="1">IF(ISNA(VLOOKUP($B477,TabAlgTutti,3,FALSE)),0,VLOOKUP($B477,TabAlgTutti,3,FALSE))+ROW()/100000</f>
        <v>1.0047699999999999</v>
      </c>
      <c r="K477" s="63">
        <f ca="1">IF(ISNA(VLOOKUP($B477,TabAlgTutti,4,FALSE)),0,VLOOKUP($B477,TabAlgTutti,4,FALSE))+ROW()/100000</f>
        <v>1.0047699999999999</v>
      </c>
      <c r="L477" s="63" t="e">
        <f ca="1">VLOOKUP(Tabella114[[#This Row],[Calciatore]],'Raccolta Aste'!$K$2:$O$33,4,FALSE)*Asta!$U$3/100</f>
        <v>#N/A</v>
      </c>
      <c r="N477" s="58"/>
      <c r="O477" s="58"/>
      <c r="P477" s="58"/>
      <c r="Q477" s="58"/>
      <c r="R477" s="58"/>
      <c r="S477" s="58"/>
      <c r="W477" s="56">
        <f t="shared" ca="1" si="146"/>
        <v>155</v>
      </c>
      <c r="X477" s="56">
        <f t="shared" ca="1" si="147"/>
        <v>173</v>
      </c>
      <c r="Y477" s="56">
        <f t="shared" ca="1" si="148"/>
        <v>167</v>
      </c>
      <c r="Z477" s="56">
        <f t="shared" ca="1" si="149"/>
        <v>89</v>
      </c>
      <c r="AA477" s="56">
        <f t="shared" ca="1" si="150"/>
        <v>89</v>
      </c>
      <c r="AB477" s="56">
        <f ca="1">_xlfn.CEILING.MATH(INDIRECT(ADDRESS(311,22+MATCH($P$28,'I.A. + Fasce'!$W$84:$AA$84,0),1,1) &amp; ":" &amp; ADDRESS(531,22+MATCH($P$28,'I.A. + Fasce'!$W$84:$AA$84,0),1,1))/Asta!$H$3)</f>
        <v>21</v>
      </c>
    </row>
    <row r="478" spans="1:28" ht="14.25" customHeight="1">
      <c r="A478" s="239" t="str">
        <f ca="1">IF(Giocatori!J70="","C",Giocatori!J70)</f>
        <v>C</v>
      </c>
      <c r="B478" s="239" t="str">
        <f ca="1">IF(Giocatori!K70="","ZZZ" &amp; ROW(),Giocatori!K70)</f>
        <v>FARES</v>
      </c>
      <c r="C478" s="239" t="str">
        <f ca="1">IF(Giocatori!L70="","NDR" &amp; ROW(),Giocatori!L70)</f>
        <v>Verona</v>
      </c>
      <c r="D478" s="63">
        <f ca="1">IF(ISNA(VLOOKUP($B478,TabAlgTutti,6,FALSE)),0,VLOOKUP($B478,TabAlgTutti,6,FALSE))+ROW()/100000</f>
        <v>53.004779999999997</v>
      </c>
      <c r="E478" s="63">
        <f ca="1">IF(ISNA(VLOOKUP($B478,TabAlgTutti,5,FALSE)),0,VLOOKUP($B478,TabAlgTutti,5,FALSE))+ROW()/100000</f>
        <v>25.00478</v>
      </c>
      <c r="F478" s="64">
        <f ca="1">($D478*$P$8+$E478*(1+$E478*100/60/100)*$S$8)/100+ROW()/100000</f>
        <v>44.219885190403332</v>
      </c>
      <c r="G478" s="63" t="str">
        <f ca="1">IF(ISNA(VLOOKUP($B478,TabAlgTutti,7,FALSE)),"",IF(VLOOKUP($B478,TabAlgTutti,7,FALSE)=-1,"SCONSIGLIATO",IF(VLOOKUP($B478,TabAlgTutti,7,FALSE)=0,"SORPRESA",IF(VLOOKUP($B478,TabAlgTutti,7,FALSE)=1,"CONSIGLIATO",""))))</f>
        <v/>
      </c>
      <c r="H478" s="65">
        <f ca="1">IF(ISNA(VLOOKUP($B478,TabAlgTutti,8,FALSE)),"",VLOOKUP($B478,TabAlgTutti,8,FALSE))</f>
        <v>40</v>
      </c>
      <c r="I478" s="63" t="str">
        <f ca="1">IF(ISNA(VLOOKUP($B478,TabAlgTutti,9,FALSE)),"",IF(VLOOKUP($B478,TabAlgTutti,9,FALSE)="","",VLOOKUP($B478,TabAlgTutti,9,FALSE)&amp;"R "))&amp;IF(ISNA(VLOOKUP($B478,TabAlgTutti,10,FALSE)),"",IF(VLOOKUP($B478,TabAlgTutti,10,FALSE)="","",VLOOKUP($B478,TabAlgTutti,10,FALSE)&amp;"P "))&amp;IF(ISNA(VLOOKUP($B478,TabAlgTutti,11,FALSE)),"",IF(VLOOKUP($B478,TabAlgTutti,11,FALSE)="","",VLOOKUP($B478,TabAlgTutti,11,FALSE)&amp;"A"))</f>
        <v/>
      </c>
      <c r="J478" s="63">
        <f ca="1">IF(ISNA(VLOOKUP($B478,TabAlgTutti,3,FALSE)),0,VLOOKUP($B478,TabAlgTutti,3,FALSE))+ROW()/100000</f>
        <v>1.00478</v>
      </c>
      <c r="K478" s="63">
        <f ca="1">IF(ISNA(VLOOKUP($B478,TabAlgTutti,4,FALSE)),0,VLOOKUP($B478,TabAlgTutti,4,FALSE))+ROW()/100000</f>
        <v>5.0047800000000002</v>
      </c>
      <c r="L478" s="63" t="e">
        <f ca="1">VLOOKUP(Tabella114[[#This Row],[Calciatore]],'Raccolta Aste'!$K$2:$O$33,4,FALSE)*Asta!$U$3/100</f>
        <v>#N/A</v>
      </c>
      <c r="N478" s="58"/>
      <c r="O478" s="58"/>
      <c r="P478" s="58"/>
      <c r="Q478" s="58"/>
      <c r="R478" s="58"/>
      <c r="S478" s="58"/>
      <c r="W478" s="56">
        <f t="shared" ca="1" si="146"/>
        <v>157</v>
      </c>
      <c r="X478" s="56">
        <f t="shared" ca="1" si="147"/>
        <v>172</v>
      </c>
      <c r="Y478" s="56">
        <f t="shared" ca="1" si="148"/>
        <v>168</v>
      </c>
      <c r="Z478" s="56">
        <f t="shared" ca="1" si="149"/>
        <v>88</v>
      </c>
      <c r="AA478" s="56">
        <f t="shared" ca="1" si="150"/>
        <v>76</v>
      </c>
      <c r="AB478" s="56">
        <f ca="1">_xlfn.CEILING.MATH(INDIRECT(ADDRESS(311,22+MATCH($P$28,'I.A. + Fasce'!$W$84:$AA$84,0),1,1) &amp; ":" &amp; ADDRESS(531,22+MATCH($P$28,'I.A. + Fasce'!$W$84:$AA$84,0),1,1))/Asta!$H$3)</f>
        <v>21</v>
      </c>
    </row>
    <row r="479" spans="1:28" ht="14.25" customHeight="1">
      <c r="A479" s="239" t="str">
        <f ca="1">IF(Giocatori!J216="","C",Giocatori!J216)</f>
        <v>C</v>
      </c>
      <c r="B479" s="239" t="str">
        <f ca="1">IF(Giocatori!K165="","ZZZ" &amp; ROW(),Giocatori!K165)</f>
        <v>SULJIC</v>
      </c>
      <c r="C479" s="239" t="str">
        <f ca="1">IF(Giocatori!L165="","NDR" &amp; ROW(),Giocatori!L165)</f>
        <v>Crotone</v>
      </c>
      <c r="D479" s="63">
        <f ca="1">IF(ISNA(VLOOKUP($B479,TabAlgTutti,6,FALSE)),0,VLOOKUP($B479,TabAlgTutti,6,FALSE))+ROW()/100000</f>
        <v>40.00479</v>
      </c>
      <c r="E479" s="63">
        <f ca="1">IF(ISNA(VLOOKUP($B479,TabAlgTutti,5,FALSE)),0,VLOOKUP($B479,TabAlgTutti,5,FALSE))+ROW()/100000</f>
        <v>31.00479</v>
      </c>
      <c r="F479" s="64">
        <f ca="1">($D479*$P$8+$E479*(1+$E479*100/60/100)*$S$8)/100+ROW()/100000</f>
        <v>43.520388357867503</v>
      </c>
      <c r="G479" s="63" t="str">
        <f ca="1">IF(ISNA(VLOOKUP($B479,TabAlgTutti,7,FALSE)),"",IF(VLOOKUP($B479,TabAlgTutti,7,FALSE)=-1,"SCONSIGLIATO",IF(VLOOKUP($B479,TabAlgTutti,7,FALSE)=0,"SORPRESA",IF(VLOOKUP($B479,TabAlgTutti,7,FALSE)=1,"CONSIGLIATO",""))))</f>
        <v/>
      </c>
      <c r="H479" s="65">
        <f ca="1">IF(ISNA(VLOOKUP($B479,TabAlgTutti,8,FALSE)),"",VLOOKUP($B479,TabAlgTutti,8,FALSE))</f>
        <v>40</v>
      </c>
      <c r="I479" s="63" t="str">
        <f ca="1">IF(ISNA(VLOOKUP($B479,TabAlgTutti,9,FALSE)),"",IF(VLOOKUP($B479,TabAlgTutti,9,FALSE)="","",VLOOKUP($B479,TabAlgTutti,9,FALSE)&amp;"R "))&amp;IF(ISNA(VLOOKUP($B479,TabAlgTutti,10,FALSE)),"",IF(VLOOKUP($B479,TabAlgTutti,10,FALSE)="","",VLOOKUP($B479,TabAlgTutti,10,FALSE)&amp;"P "))&amp;IF(ISNA(VLOOKUP($B479,TabAlgTutti,11,FALSE)),"",IF(VLOOKUP($B479,TabAlgTutti,11,FALSE)="","",VLOOKUP($B479,TabAlgTutti,11,FALSE)&amp;"A"))</f>
        <v/>
      </c>
      <c r="J479" s="63">
        <f ca="1">IF(ISNA(VLOOKUP($B479,TabAlgTutti,3,FALSE)),0,VLOOKUP($B479,TabAlgTutti,3,FALSE))+ROW()/100000</f>
        <v>1.0047900000000001</v>
      </c>
      <c r="K479" s="63">
        <f ca="1">IF(ISNA(VLOOKUP($B479,TabAlgTutti,4,FALSE)),0,VLOOKUP($B479,TabAlgTutti,4,FALSE))+ROW()/100000</f>
        <v>1.0047900000000001</v>
      </c>
      <c r="L479" s="63" t="e">
        <f ca="1">VLOOKUP(Tabella114[[#This Row],[Calciatore]],'Raccolta Aste'!$K$2:$O$33,4,FALSE)*Asta!$U$3/100</f>
        <v>#N/A</v>
      </c>
      <c r="N479" s="58"/>
      <c r="O479" s="58"/>
      <c r="P479" s="58"/>
      <c r="Q479" s="58"/>
      <c r="R479" s="58"/>
      <c r="S479" s="58"/>
      <c r="W479" s="56">
        <f t="shared" ca="1" si="146"/>
        <v>171</v>
      </c>
      <c r="X479" s="56">
        <f t="shared" ca="1" si="147"/>
        <v>160</v>
      </c>
      <c r="Y479" s="56">
        <f t="shared" ca="1" si="148"/>
        <v>169</v>
      </c>
      <c r="Z479" s="56">
        <f t="shared" ca="1" si="149"/>
        <v>87</v>
      </c>
      <c r="AA479" s="56">
        <f t="shared" ca="1" si="150"/>
        <v>88</v>
      </c>
      <c r="AB479" s="56">
        <f ca="1">_xlfn.CEILING.MATH(INDIRECT(ADDRESS(311,22+MATCH($P$28,'I.A. + Fasce'!$W$84:$AA$84,0),1,1) &amp; ":" &amp; ADDRESS(531,22+MATCH($P$28,'I.A. + Fasce'!$W$84:$AA$84,0),1,1))/Asta!$H$3)</f>
        <v>22</v>
      </c>
    </row>
    <row r="480" spans="1:28" ht="14.25" customHeight="1">
      <c r="A480" s="239" t="str">
        <f ca="1">IF(Giocatori!J227="","C",Giocatori!J227)</f>
        <v>C</v>
      </c>
      <c r="B480" s="239" t="str">
        <f ca="1">IF(Giocatori!K176="","ZZZ" &amp; ROW(),Giocatori!K176)</f>
        <v>VITALE</v>
      </c>
      <c r="C480" s="239" t="str">
        <f ca="1">IF(Giocatori!L176="","NDR" &amp; ROW(),Giocatori!L176)</f>
        <v>SPAL</v>
      </c>
      <c r="D480" s="63">
        <f ca="1">IF(ISNA(VLOOKUP($B480,TabAlgTutti,6,FALSE)),0,VLOOKUP($B480,TabAlgTutti,6,FALSE))+ROW()/100000</f>
        <v>55.004800000000003</v>
      </c>
      <c r="E480" s="63">
        <f ca="1">IF(ISNA(VLOOKUP($B480,TabAlgTutti,5,FALSE)),0,VLOOKUP($B480,TabAlgTutti,5,FALSE))+ROW()/100000</f>
        <v>23.004799999999999</v>
      </c>
      <c r="F480" s="64">
        <f ca="1">($D480*$P$8+$E480*(1+$E480*100/60/100)*$S$8)/100+ROW()/100000</f>
        <v>43.419773525333341</v>
      </c>
      <c r="G480" s="63" t="str">
        <f ca="1">IF(ISNA(VLOOKUP($B480,TabAlgTutti,7,FALSE)),"",IF(VLOOKUP($B480,TabAlgTutti,7,FALSE)=-1,"SCONSIGLIATO",IF(VLOOKUP($B480,TabAlgTutti,7,FALSE)=0,"SORPRESA",IF(VLOOKUP($B480,TabAlgTutti,7,FALSE)=1,"CONSIGLIATO",""))))</f>
        <v/>
      </c>
      <c r="H480" s="65">
        <f ca="1">IF(ISNA(VLOOKUP($B480,TabAlgTutti,8,FALSE)),"",VLOOKUP($B480,TabAlgTutti,8,FALSE))</f>
        <v>40</v>
      </c>
      <c r="I480" s="63" t="str">
        <f ca="1">IF(ISNA(VLOOKUP($B480,TabAlgTutti,9,FALSE)),"",IF(VLOOKUP($B480,TabAlgTutti,9,FALSE)="","",VLOOKUP($B480,TabAlgTutti,9,FALSE)&amp;"R "))&amp;IF(ISNA(VLOOKUP($B480,TabAlgTutti,10,FALSE)),"",IF(VLOOKUP($B480,TabAlgTutti,10,FALSE)="","",VLOOKUP($B480,TabAlgTutti,10,FALSE)&amp;"P "))&amp;IF(ISNA(VLOOKUP($B480,TabAlgTutti,11,FALSE)),"",IF(VLOOKUP($B480,TabAlgTutti,11,FALSE)="","",VLOOKUP($B480,TabAlgTutti,11,FALSE)&amp;"A"))</f>
        <v/>
      </c>
      <c r="J480" s="63">
        <f ca="1">IF(ISNA(VLOOKUP($B480,TabAlgTutti,3,FALSE)),0,VLOOKUP($B480,TabAlgTutti,3,FALSE))+ROW()/100000</f>
        <v>1.0047999999999999</v>
      </c>
      <c r="K480" s="63">
        <f ca="1">IF(ISNA(VLOOKUP($B480,TabAlgTutti,4,FALSE)),0,VLOOKUP($B480,TabAlgTutti,4,FALSE))+ROW()/100000</f>
        <v>1.0047999999999999</v>
      </c>
      <c r="L480" s="63" t="e">
        <f ca="1">VLOOKUP(Tabella114[[#This Row],[Calciatore]],'Raccolta Aste'!$K$2:$O$33,4,FALSE)*Asta!$U$3/100</f>
        <v>#N/A</v>
      </c>
      <c r="N480" s="58"/>
      <c r="O480" s="58"/>
      <c r="P480" s="58"/>
      <c r="Q480" s="58"/>
      <c r="R480" s="58"/>
      <c r="S480" s="58"/>
      <c r="W480" s="56">
        <f t="shared" ca="1" si="146"/>
        <v>154</v>
      </c>
      <c r="X480" s="56">
        <f t="shared" ca="1" si="147"/>
        <v>174</v>
      </c>
      <c r="Y480" s="56">
        <f t="shared" ca="1" si="148"/>
        <v>170</v>
      </c>
      <c r="Z480" s="56">
        <f t="shared" ca="1" si="149"/>
        <v>86</v>
      </c>
      <c r="AA480" s="56">
        <f t="shared" ca="1" si="150"/>
        <v>87</v>
      </c>
      <c r="AB480" s="56">
        <f ca="1">_xlfn.CEILING.MATH(INDIRECT(ADDRESS(311,22+MATCH($P$28,'I.A. + Fasce'!$W$84:$AA$84,0),1,1) &amp; ":" &amp; ADDRESS(531,22+MATCH($P$28,'I.A. + Fasce'!$W$84:$AA$84,0),1,1))/Asta!$H$3)</f>
        <v>22</v>
      </c>
    </row>
    <row r="481" spans="1:28" ht="14.25" customHeight="1">
      <c r="A481" s="239" t="str">
        <f ca="1">IF(Giocatori!J79="","C",Giocatori!J79)</f>
        <v>C</v>
      </c>
      <c r="B481" s="239" t="str">
        <f ca="1">IF(Giocatori!K79="","ZZZ" &amp; ROW(),Giocatori!K79)</f>
        <v>GERSON</v>
      </c>
      <c r="C481" s="239" t="str">
        <f ca="1">IF(Giocatori!L79="","NDR" &amp; ROW(),Giocatori!L79)</f>
        <v>Roma</v>
      </c>
      <c r="D481" s="63">
        <f ca="1">IF(ISNA(VLOOKUP($B481,TabAlgTutti,6,FALSE)),0,VLOOKUP($B481,TabAlgTutti,6,FALSE))+ROW()/100000</f>
        <v>40.004809999999999</v>
      </c>
      <c r="E481" s="63">
        <f ca="1">IF(ISNA(VLOOKUP($B481,TabAlgTutti,5,FALSE)),0,VLOOKUP($B481,TabAlgTutti,5,FALSE))+ROW()/100000</f>
        <v>30.004809999999999</v>
      </c>
      <c r="F481" s="64">
        <f ca="1">($D481*$P$8+$E481*(1+$E481*100/60/100)*$S$8)/100+ROW()/100000</f>
        <v>42.512025192800827</v>
      </c>
      <c r="G481" s="63" t="str">
        <f ca="1">IF(ISNA(VLOOKUP($B481,TabAlgTutti,7,FALSE)),"",IF(VLOOKUP($B481,TabAlgTutti,7,FALSE)=-1,"SCONSIGLIATO",IF(VLOOKUP($B481,TabAlgTutti,7,FALSE)=0,"SORPRESA",IF(VLOOKUP($B481,TabAlgTutti,7,FALSE)=1,"CONSIGLIATO",""))))</f>
        <v>SCONSIGLIATO</v>
      </c>
      <c r="H481" s="65">
        <f ca="1">IF(ISNA(VLOOKUP($B481,TabAlgTutti,8,FALSE)),"",VLOOKUP($B481,TabAlgTutti,8,FALSE))</f>
        <v>40</v>
      </c>
      <c r="I481" s="63" t="str">
        <f ca="1">IF(ISNA(VLOOKUP($B481,TabAlgTutti,9,FALSE)),"",IF(VLOOKUP($B481,TabAlgTutti,9,FALSE)="","",VLOOKUP($B481,TabAlgTutti,9,FALSE)&amp;"R "))&amp;IF(ISNA(VLOOKUP($B481,TabAlgTutti,10,FALSE)),"",IF(VLOOKUP($B481,TabAlgTutti,10,FALSE)="","",VLOOKUP($B481,TabAlgTutti,10,FALSE)&amp;"P "))&amp;IF(ISNA(VLOOKUP($B481,TabAlgTutti,11,FALSE)),"",IF(VLOOKUP($B481,TabAlgTutti,11,FALSE)="","",VLOOKUP($B481,TabAlgTutti,11,FALSE)&amp;"A"))</f>
        <v/>
      </c>
      <c r="J481" s="63">
        <f ca="1">IF(ISNA(VLOOKUP($B481,TabAlgTutti,3,FALSE)),0,VLOOKUP($B481,TabAlgTutti,3,FALSE))+ROW()/100000</f>
        <v>1.00481</v>
      </c>
      <c r="K481" s="63">
        <f ca="1">IF(ISNA(VLOOKUP($B481,TabAlgTutti,4,FALSE)),0,VLOOKUP($B481,TabAlgTutti,4,FALSE))+ROW()/100000</f>
        <v>1.00481</v>
      </c>
      <c r="L481" s="63" t="e">
        <f ca="1">VLOOKUP(Tabella114[[#This Row],[Calciatore]],'Raccolta Aste'!$K$2:$O$33,4,FALSE)*Asta!$U$3/100</f>
        <v>#N/A</v>
      </c>
      <c r="N481" s="58"/>
      <c r="O481" s="58"/>
      <c r="P481" s="58"/>
      <c r="Q481" s="58"/>
      <c r="R481" s="58"/>
      <c r="S481" s="58"/>
      <c r="W481" s="56">
        <f t="shared" ca="1" si="146"/>
        <v>170</v>
      </c>
      <c r="X481" s="56">
        <f t="shared" ca="1" si="147"/>
        <v>167</v>
      </c>
      <c r="Y481" s="56">
        <f t="shared" ca="1" si="148"/>
        <v>172</v>
      </c>
      <c r="Z481" s="56">
        <f t="shared" ca="1" si="149"/>
        <v>85</v>
      </c>
      <c r="AA481" s="56">
        <f t="shared" ca="1" si="150"/>
        <v>86</v>
      </c>
      <c r="AB481" s="56">
        <f ca="1">_xlfn.CEILING.MATH(INDIRECT(ADDRESS(311,22+MATCH($P$28,'I.A. + Fasce'!$W$84:$AA$84,0),1,1) &amp; ":" &amp; ADDRESS(531,22+MATCH($P$28,'I.A. + Fasce'!$W$84:$AA$84,0),1,1))/Asta!$H$3)</f>
        <v>22</v>
      </c>
    </row>
    <row r="482" spans="1:28" ht="14.25" customHeight="1">
      <c r="A482" s="239" t="str">
        <f ca="1">IF(Giocatori!J58="","C",Giocatori!J58)</f>
        <v>C</v>
      </c>
      <c r="B482" s="239" t="str">
        <f ca="1">IF(Giocatori!K58="","ZZZ" &amp; ROW(),Giocatori!K58)</f>
        <v>DEL PINTO</v>
      </c>
      <c r="C482" s="239" t="str">
        <f ca="1">IF(Giocatori!L58="","NDR" &amp; ROW(),Giocatori!L58)</f>
        <v>Benevento</v>
      </c>
      <c r="D482" s="63">
        <f ca="1">IF(ISNA(VLOOKUP($B482,TabAlgTutti,6,FALSE)),0,VLOOKUP($B482,TabAlgTutti,6,FALSE))+ROW()/100000</f>
        <v>40.004820000000002</v>
      </c>
      <c r="E482" s="63">
        <f ca="1">IF(ISNA(VLOOKUP($B482,TabAlgTutti,5,FALSE)),0,VLOOKUP($B482,TabAlgTutti,5,FALSE))+ROW()/100000</f>
        <v>30.004819999999999</v>
      </c>
      <c r="F482" s="64">
        <f ca="1">($D482*$P$8+$E482*(1+$E482*100/60/100)*$S$8)/100+ROW()/100000</f>
        <v>42.512050193603336</v>
      </c>
      <c r="G482" s="63" t="str">
        <f ca="1">IF(ISNA(VLOOKUP($B482,TabAlgTutti,7,FALSE)),"",IF(VLOOKUP($B482,TabAlgTutti,7,FALSE)=-1,"SCONSIGLIATO",IF(VLOOKUP($B482,TabAlgTutti,7,FALSE)=0,"SORPRESA",IF(VLOOKUP($B482,TabAlgTutti,7,FALSE)=1,"CONSIGLIATO",""))))</f>
        <v/>
      </c>
      <c r="H482" s="65">
        <f ca="1">IF(ISNA(VLOOKUP($B482,TabAlgTutti,8,FALSE)),"",VLOOKUP($B482,TabAlgTutti,8,FALSE))</f>
        <v>40</v>
      </c>
      <c r="I482" s="63" t="str">
        <f ca="1">IF(ISNA(VLOOKUP($B482,TabAlgTutti,9,FALSE)),"",IF(VLOOKUP($B482,TabAlgTutti,9,FALSE)="","",VLOOKUP($B482,TabAlgTutti,9,FALSE)&amp;"R "))&amp;IF(ISNA(VLOOKUP($B482,TabAlgTutti,10,FALSE)),"",IF(VLOOKUP($B482,TabAlgTutti,10,FALSE)="","",VLOOKUP($B482,TabAlgTutti,10,FALSE)&amp;"P "))&amp;IF(ISNA(VLOOKUP($B482,TabAlgTutti,11,FALSE)),"",IF(VLOOKUP($B482,TabAlgTutti,11,FALSE)="","",VLOOKUP($B482,TabAlgTutti,11,FALSE)&amp;"A"))</f>
        <v/>
      </c>
      <c r="J482" s="63">
        <f ca="1">IF(ISNA(VLOOKUP($B482,TabAlgTutti,3,FALSE)),0,VLOOKUP($B482,TabAlgTutti,3,FALSE))+ROW()/100000</f>
        <v>1.00482</v>
      </c>
      <c r="K482" s="63">
        <f ca="1">IF(ISNA(VLOOKUP($B482,TabAlgTutti,4,FALSE)),0,VLOOKUP($B482,TabAlgTutti,4,FALSE))+ROW()/100000</f>
        <v>1.00482</v>
      </c>
      <c r="L482" s="63" t="e">
        <f ca="1">VLOOKUP(Tabella114[[#This Row],[Calciatore]],'Raccolta Aste'!$K$2:$O$33,4,FALSE)*Asta!$U$3/100</f>
        <v>#N/A</v>
      </c>
      <c r="N482" s="58"/>
      <c r="O482" s="58"/>
      <c r="P482" s="58"/>
      <c r="Q482" s="58"/>
      <c r="R482" s="58"/>
      <c r="S482" s="58"/>
      <c r="W482" s="56">
        <f t="shared" ca="1" si="146"/>
        <v>169</v>
      </c>
      <c r="X482" s="56">
        <f t="shared" ca="1" si="147"/>
        <v>166</v>
      </c>
      <c r="Y482" s="56">
        <f t="shared" ca="1" si="148"/>
        <v>171</v>
      </c>
      <c r="Z482" s="56">
        <f t="shared" ca="1" si="149"/>
        <v>84</v>
      </c>
      <c r="AA482" s="56">
        <f t="shared" ca="1" si="150"/>
        <v>85</v>
      </c>
      <c r="AB482" s="56">
        <f ca="1">_xlfn.CEILING.MATH(INDIRECT(ADDRESS(311,22+MATCH($P$28,'I.A. + Fasce'!$W$84:$AA$84,0),1,1) &amp; ":" &amp; ADDRESS(531,22+MATCH($P$28,'I.A. + Fasce'!$W$84:$AA$84,0),1,1))/Asta!$H$3)</f>
        <v>22</v>
      </c>
    </row>
    <row r="483" spans="1:28" ht="14.25" customHeight="1">
      <c r="A483" s="239" t="str">
        <f ca="1">IF(Giocatori!J121="","C",Giocatori!J121)</f>
        <v>C</v>
      </c>
      <c r="B483" s="239" t="str">
        <f ca="1">IF(Giocatori!K121="","ZZZ" &amp; ROW(),Giocatori!K121)</f>
        <v>MAURI J</v>
      </c>
      <c r="C483" s="239" t="str">
        <f ca="1">IF(Giocatori!L121="","NDR" &amp; ROW(),Giocatori!L121)</f>
        <v>Milan</v>
      </c>
      <c r="D483" s="63">
        <f ca="1">IF(ISNA(VLOOKUP($B483,TabAlgTutti,6,FALSE)),0,VLOOKUP($B483,TabAlgTutti,6,FALSE))+ROW()/100000</f>
        <v>35.004829999999998</v>
      </c>
      <c r="E483" s="63">
        <f ca="1">IF(ISNA(VLOOKUP($B483,TabAlgTutti,5,FALSE)),0,VLOOKUP($B483,TabAlgTutti,5,FALSE))+ROW()/100000</f>
        <v>32.004829999999998</v>
      </c>
      <c r="F483" s="64">
        <f ca="1">($D483*$P$8+$E483*(1+$E483*100/60/100)*$S$8)/100+ROW()/100000</f>
        <v>42.045569527740831</v>
      </c>
      <c r="G483" s="63" t="str">
        <f ca="1">IF(ISNA(VLOOKUP($B483,TabAlgTutti,7,FALSE)),"",IF(VLOOKUP($B483,TabAlgTutti,7,FALSE)=-1,"SCONSIGLIATO",IF(VLOOKUP($B483,TabAlgTutti,7,FALSE)=0,"SORPRESA",IF(VLOOKUP($B483,TabAlgTutti,7,FALSE)=1,"CONSIGLIATO",""))))</f>
        <v/>
      </c>
      <c r="H483" s="65">
        <f ca="1">IF(ISNA(VLOOKUP($B483,TabAlgTutti,8,FALSE)),"",VLOOKUP($B483,TabAlgTutti,8,FALSE))</f>
        <v>40</v>
      </c>
      <c r="I483" s="63" t="str">
        <f ca="1">IF(ISNA(VLOOKUP($B483,TabAlgTutti,9,FALSE)),"",IF(VLOOKUP($B483,TabAlgTutti,9,FALSE)="","",VLOOKUP($B483,TabAlgTutti,9,FALSE)&amp;"R "))&amp;IF(ISNA(VLOOKUP($B483,TabAlgTutti,10,FALSE)),"",IF(VLOOKUP($B483,TabAlgTutti,10,FALSE)="","",VLOOKUP($B483,TabAlgTutti,10,FALSE)&amp;"P "))&amp;IF(ISNA(VLOOKUP($B483,TabAlgTutti,11,FALSE)),"",IF(VLOOKUP($B483,TabAlgTutti,11,FALSE)="","",VLOOKUP($B483,TabAlgTutti,11,FALSE)&amp;"A"))</f>
        <v/>
      </c>
      <c r="J483" s="63">
        <f ca="1">IF(ISNA(VLOOKUP($B483,TabAlgTutti,3,FALSE)),0,VLOOKUP($B483,TabAlgTutti,3,FALSE))+ROW()/100000</f>
        <v>1.0048299999999999</v>
      </c>
      <c r="K483" s="63">
        <f ca="1">IF(ISNA(VLOOKUP($B483,TabAlgTutti,4,FALSE)),0,VLOOKUP($B483,TabAlgTutti,4,FALSE))+ROW()/100000</f>
        <v>1.0048299999999999</v>
      </c>
      <c r="L483" s="63" t="e">
        <f ca="1">VLOOKUP(Tabella114[[#This Row],[Calciatore]],'Raccolta Aste'!$K$2:$O$33,4,FALSE)*Asta!$U$3/100</f>
        <v>#N/A</v>
      </c>
      <c r="N483" s="58"/>
      <c r="O483" s="58"/>
      <c r="P483" s="58"/>
      <c r="Q483" s="58"/>
      <c r="R483" s="58"/>
      <c r="S483" s="58"/>
      <c r="W483" s="56">
        <f t="shared" ca="1" si="146"/>
        <v>174</v>
      </c>
      <c r="X483" s="56">
        <f t="shared" ca="1" si="147"/>
        <v>157</v>
      </c>
      <c r="Y483" s="56">
        <f t="shared" ca="1" si="148"/>
        <v>173</v>
      </c>
      <c r="Z483" s="56">
        <f t="shared" ca="1" si="149"/>
        <v>83</v>
      </c>
      <c r="AA483" s="56">
        <f t="shared" ca="1" si="150"/>
        <v>84</v>
      </c>
      <c r="AB483" s="56">
        <f ca="1">_xlfn.CEILING.MATH(INDIRECT(ADDRESS(311,22+MATCH($P$28,'I.A. + Fasce'!$W$84:$AA$84,0),1,1) &amp; ":" &amp; ADDRESS(531,22+MATCH($P$28,'I.A. + Fasce'!$W$84:$AA$84,0),1,1))/Asta!$H$3)</f>
        <v>22</v>
      </c>
    </row>
    <row r="484" spans="1:28" ht="14.25" customHeight="1">
      <c r="A484" s="239" t="str">
        <f ca="1">IF(Giocatori!J152="","C",Giocatori!J152)</f>
        <v>C</v>
      </c>
      <c r="B484" s="239" t="str">
        <f ca="1">IF(Giocatori!K183="","ZZZ" &amp; ROW(),Giocatori!K183)</f>
        <v>ZUCULINI F</v>
      </c>
      <c r="C484" s="239" t="str">
        <f ca="1">IF(Giocatori!L183="","NDR" &amp; ROW(),Giocatori!L183)</f>
        <v>Verona</v>
      </c>
      <c r="D484" s="63">
        <f ca="1">IF(ISNA(VLOOKUP($B484,TabAlgTutti,6,FALSE)),0,VLOOKUP($B484,TabAlgTutti,6,FALSE))+ROW()/100000</f>
        <v>30.004840000000002</v>
      </c>
      <c r="E484" s="63">
        <f ca="1">IF(ISNA(VLOOKUP($B484,TabAlgTutti,5,FALSE)),0,VLOOKUP($B484,TabAlgTutti,5,FALSE))+ROW()/100000</f>
        <v>30.004840000000002</v>
      </c>
      <c r="F484" s="64">
        <f ca="1">($D484*$P$8+$E484*(1+$E484*100/60/100)*$S$8)/100+ROW()/100000</f>
        <v>37.512100195213343</v>
      </c>
      <c r="G484" s="63" t="str">
        <f ca="1">IF(ISNA(VLOOKUP($B484,TabAlgTutti,7,FALSE)),"",IF(VLOOKUP($B484,TabAlgTutti,7,FALSE)=-1,"SCONSIGLIATO",IF(VLOOKUP($B484,TabAlgTutti,7,FALSE)=0,"SORPRESA",IF(VLOOKUP($B484,TabAlgTutti,7,FALSE)=1,"CONSIGLIATO",""))))</f>
        <v/>
      </c>
      <c r="H484" s="65">
        <f ca="1">IF(ISNA(VLOOKUP($B484,TabAlgTutti,8,FALSE)),"",VLOOKUP($B484,TabAlgTutti,8,FALSE))</f>
        <v>60</v>
      </c>
      <c r="I484" s="63" t="str">
        <f ca="1">IF(ISNA(VLOOKUP($B484,TabAlgTutti,9,FALSE)),"",IF(VLOOKUP($B484,TabAlgTutti,9,FALSE)="","",VLOOKUP($B484,TabAlgTutti,9,FALSE)&amp;"R "))&amp;IF(ISNA(VLOOKUP($B484,TabAlgTutti,10,FALSE)),"",IF(VLOOKUP($B484,TabAlgTutti,10,FALSE)="","",VLOOKUP($B484,TabAlgTutti,10,FALSE)&amp;"P "))&amp;IF(ISNA(VLOOKUP($B484,TabAlgTutti,11,FALSE)),"",IF(VLOOKUP($B484,TabAlgTutti,11,FALSE)="","",VLOOKUP($B484,TabAlgTutti,11,FALSE)&amp;"A"))</f>
        <v/>
      </c>
      <c r="J484" s="63">
        <f ca="1">IF(ISNA(VLOOKUP($B484,TabAlgTutti,3,FALSE)),0,VLOOKUP($B484,TabAlgTutti,3,FALSE))+ROW()/100000</f>
        <v>1.00484</v>
      </c>
      <c r="K484" s="63">
        <f ca="1">IF(ISNA(VLOOKUP($B484,TabAlgTutti,4,FALSE)),0,VLOOKUP($B484,TabAlgTutti,4,FALSE))+ROW()/100000</f>
        <v>1.00484</v>
      </c>
      <c r="L484" s="63" t="e">
        <f ca="1">VLOOKUP(Tabella114[[#This Row],[Calciatore]],'Raccolta Aste'!$K$2:$O$33,4,FALSE)*Asta!$U$3/100</f>
        <v>#N/A</v>
      </c>
      <c r="N484" s="58"/>
      <c r="O484" s="58"/>
      <c r="P484" s="58"/>
      <c r="Q484" s="58"/>
      <c r="R484" s="58"/>
      <c r="S484" s="58"/>
      <c r="W484" s="56">
        <f t="shared" ca="1" si="146"/>
        <v>175</v>
      </c>
      <c r="X484" s="56">
        <f t="shared" ca="1" si="147"/>
        <v>165</v>
      </c>
      <c r="Y484" s="56">
        <f t="shared" ca="1" si="148"/>
        <v>174</v>
      </c>
      <c r="Z484" s="56">
        <f t="shared" ca="1" si="149"/>
        <v>82</v>
      </c>
      <c r="AA484" s="56">
        <f t="shared" ca="1" si="150"/>
        <v>83</v>
      </c>
      <c r="AB484" s="56">
        <f ca="1">_xlfn.CEILING.MATH(INDIRECT(ADDRESS(311,22+MATCH($P$28,'I.A. + Fasce'!$W$84:$AA$84,0),1,1) &amp; ":" &amp; ADDRESS(531,22+MATCH($P$28,'I.A. + Fasce'!$W$84:$AA$84,0),1,1))/Asta!$H$3)</f>
        <v>22</v>
      </c>
    </row>
    <row r="485" spans="1:28" ht="14.25" customHeight="1">
      <c r="A485" s="239" t="str">
        <f ca="1">IF(Giocatori!J82="","C",Giocatori!J82)</f>
        <v>C</v>
      </c>
      <c r="B485" s="239" t="str">
        <f ca="1">IF(Giocatori!K82="","ZZZ" &amp; ROW(),Giocatori!K82)</f>
        <v>GNOUKOURI</v>
      </c>
      <c r="C485" s="239" t="str">
        <f ca="1">IF(Giocatori!L82="","NDR" &amp; ROW(),Giocatori!L82)</f>
        <v>Inter</v>
      </c>
      <c r="D485" s="63">
        <f ca="1">IF(ISNA(VLOOKUP($B485,TabAlgTutti,6,FALSE)),0,VLOOKUP($B485,TabAlgTutti,6,FALSE))+ROW()/100000</f>
        <v>45.004849999999998</v>
      </c>
      <c r="E485" s="63">
        <f ca="1">IF(ISNA(VLOOKUP($B485,TabAlgTutti,5,FALSE)),0,VLOOKUP($B485,TabAlgTutti,5,FALSE))+ROW()/100000</f>
        <v>4.8500000000000001E-3</v>
      </c>
      <c r="F485" s="64">
        <f ca="1">($D485*$P$8+$E485*(1+$E485*100/60/100)*$S$8)/100+ROW()/100000</f>
        <v>22.50970019602083</v>
      </c>
      <c r="G485" s="63" t="str">
        <f ca="1">IF(ISNA(VLOOKUP($B485,TabAlgTutti,7,FALSE)),"",IF(VLOOKUP($B485,TabAlgTutti,7,FALSE)=-1,"SCONSIGLIATO",IF(VLOOKUP($B485,TabAlgTutti,7,FALSE)=0,"SORPRESA",IF(VLOOKUP($B485,TabAlgTutti,7,FALSE)=1,"CONSIGLIATO",""))))</f>
        <v/>
      </c>
      <c r="H485" s="65">
        <f ca="1">IF(ISNA(VLOOKUP($B485,TabAlgTutti,8,FALSE)),"",VLOOKUP($B485,TabAlgTutti,8,FALSE))</f>
        <v>0</v>
      </c>
      <c r="I485" s="63" t="str">
        <f ca="1">IF(ISNA(VLOOKUP($B485,TabAlgTutti,9,FALSE)),"",IF(VLOOKUP($B485,TabAlgTutti,9,FALSE)="","",VLOOKUP($B485,TabAlgTutti,9,FALSE)&amp;"R "))&amp;IF(ISNA(VLOOKUP($B485,TabAlgTutti,10,FALSE)),"",IF(VLOOKUP($B485,TabAlgTutti,10,FALSE)="","",VLOOKUP($B485,TabAlgTutti,10,FALSE)&amp;"P "))&amp;IF(ISNA(VLOOKUP($B485,TabAlgTutti,11,FALSE)),"",IF(VLOOKUP($B485,TabAlgTutti,11,FALSE)="","",VLOOKUP($B485,TabAlgTutti,11,FALSE)&amp;"A"))</f>
        <v/>
      </c>
      <c r="J485" s="63">
        <f ca="1">IF(ISNA(VLOOKUP($B485,TabAlgTutti,3,FALSE)),0,VLOOKUP($B485,TabAlgTutti,3,FALSE))+ROW()/100000</f>
        <v>1.00485</v>
      </c>
      <c r="K485" s="63">
        <f ca="1">IF(ISNA(VLOOKUP($B485,TabAlgTutti,4,FALSE)),0,VLOOKUP($B485,TabAlgTutti,4,FALSE))+ROW()/100000</f>
        <v>1.00485</v>
      </c>
      <c r="L485" s="63" t="e">
        <f ca="1">VLOOKUP(Tabella114[[#This Row],[Calciatore]],'Raccolta Aste'!$K$2:$O$33,4,FALSE)*Asta!$U$3/100</f>
        <v>#N/A</v>
      </c>
      <c r="N485" s="58"/>
      <c r="O485" s="58"/>
      <c r="P485" s="58"/>
      <c r="Q485" s="58"/>
      <c r="R485" s="58"/>
      <c r="S485" s="58"/>
      <c r="W485" s="56">
        <f t="shared" ca="1" si="146"/>
        <v>163</v>
      </c>
      <c r="X485" s="56">
        <f t="shared" ca="1" si="147"/>
        <v>221</v>
      </c>
      <c r="Y485" s="56">
        <f t="shared" ca="1" si="148"/>
        <v>175</v>
      </c>
      <c r="Z485" s="56">
        <f t="shared" ca="1" si="149"/>
        <v>81</v>
      </c>
      <c r="AA485" s="56">
        <f t="shared" ca="1" si="150"/>
        <v>82</v>
      </c>
      <c r="AB485" s="56">
        <f ca="1">_xlfn.CEILING.MATH(INDIRECT(ADDRESS(311,22+MATCH($P$28,'I.A. + Fasce'!$W$84:$AA$84,0),1,1) &amp; ":" &amp; ADDRESS(531,22+MATCH($P$28,'I.A. + Fasce'!$W$84:$AA$84,0),1,1))/Asta!$H$3)</f>
        <v>22</v>
      </c>
    </row>
    <row r="486" spans="1:28" ht="14.25" customHeight="1">
      <c r="A486" s="239" t="str">
        <f ca="1">IF(Giocatori!J153="","C",Giocatori!J153)</f>
        <v>C</v>
      </c>
      <c r="B486" s="239" t="str">
        <f ca="1">IF(Giocatori!K184="","ZZZ" &amp; ROW(),Giocatori!K184)</f>
        <v>ZZZ486</v>
      </c>
      <c r="C486" s="239" t="str">
        <f ca="1">IF(Giocatori!L184="","NDR" &amp; ROW(),Giocatori!L184)</f>
        <v>NDR486</v>
      </c>
      <c r="D486" s="63">
        <f ca="1">IF(ISNA(VLOOKUP($B486,TabAlgTutti,6,FALSE)),0,VLOOKUP($B486,TabAlgTutti,6,FALSE))+ROW()/100000</f>
        <v>4.8599999999999997E-3</v>
      </c>
      <c r="E486" s="63">
        <f ca="1">IF(ISNA(VLOOKUP($B486,TabAlgTutti,5,FALSE)),0,VLOOKUP($B486,TabAlgTutti,5,FALSE))+ROW()/100000</f>
        <v>4.8599999999999997E-3</v>
      </c>
      <c r="F486" s="64">
        <f ca="1">($D486*$P$8+$E486*(1+$E486*100/60/100)*$S$8)/100+ROW()/100000</f>
        <v>9.7201968299999997E-3</v>
      </c>
      <c r="G486" s="63" t="str">
        <f ca="1">IF(ISNA(VLOOKUP($B486,TabAlgTutti,7,FALSE)),"",IF(VLOOKUP($B486,TabAlgTutti,7,FALSE)=-1,"SCONSIGLIATO",IF(VLOOKUP($B486,TabAlgTutti,7,FALSE)=0,"SORPRESA",IF(VLOOKUP($B486,TabAlgTutti,7,FALSE)=1,"CONSIGLIATO",""))))</f>
        <v/>
      </c>
      <c r="H486" s="65" t="str">
        <f ca="1">IF(ISNA(VLOOKUP($B486,TabAlgTutti,8,FALSE)),"",VLOOKUP($B486,TabAlgTutti,8,FALSE))</f>
        <v/>
      </c>
      <c r="I486" s="63" t="str">
        <f ca="1">IF(ISNA(VLOOKUP($B486,TabAlgTutti,9,FALSE)),"",IF(VLOOKUP($B486,TabAlgTutti,9,FALSE)="","",VLOOKUP($B486,TabAlgTutti,9,FALSE)&amp;"R "))&amp;IF(ISNA(VLOOKUP($B486,TabAlgTutti,10,FALSE)),"",IF(VLOOKUP($B486,TabAlgTutti,10,FALSE)="","",VLOOKUP($B486,TabAlgTutti,10,FALSE)&amp;"P "))&amp;IF(ISNA(VLOOKUP($B486,TabAlgTutti,11,FALSE)),"",IF(VLOOKUP($B486,TabAlgTutti,11,FALSE)="","",VLOOKUP($B486,TabAlgTutti,11,FALSE)&amp;"A"))</f>
        <v/>
      </c>
      <c r="J486" s="63">
        <f ca="1">IF(ISNA(VLOOKUP($B486,TabAlgTutti,3,FALSE)),0,VLOOKUP($B486,TabAlgTutti,3,FALSE))+ROW()/100000</f>
        <v>4.8599999999999997E-3</v>
      </c>
      <c r="K486" s="63">
        <f ca="1">IF(ISNA(VLOOKUP($B486,TabAlgTutti,4,FALSE)),0,VLOOKUP($B486,TabAlgTutti,4,FALSE))+ROW()/100000</f>
        <v>4.8599999999999997E-3</v>
      </c>
      <c r="L486" s="63" t="e">
        <f ca="1">VLOOKUP(Tabella114[[#This Row],[Calciatore]],'Raccolta Aste'!$K$2:$O$33,4,FALSE)*Asta!$U$3/100</f>
        <v>#N/A</v>
      </c>
      <c r="N486" s="58"/>
      <c r="O486" s="58"/>
      <c r="P486" s="58"/>
      <c r="Q486" s="58"/>
      <c r="R486" s="58"/>
      <c r="S486" s="58"/>
      <c r="W486" s="56">
        <f t="shared" ca="1" si="146"/>
        <v>221</v>
      </c>
      <c r="X486" s="56">
        <f t="shared" ca="1" si="147"/>
        <v>220</v>
      </c>
      <c r="Y486" s="56">
        <f t="shared" ca="1" si="148"/>
        <v>221</v>
      </c>
      <c r="Z486" s="56">
        <f t="shared" ca="1" si="149"/>
        <v>221</v>
      </c>
      <c r="AA486" s="56">
        <f t="shared" ca="1" si="150"/>
        <v>221</v>
      </c>
      <c r="AB486" s="56">
        <f ca="1">_xlfn.CEILING.MATH(INDIRECT(ADDRESS(311,22+MATCH($P$28,'I.A. + Fasce'!$W$84:$AA$84,0),1,1) &amp; ":" &amp; ADDRESS(531,22+MATCH($P$28,'I.A. + Fasce'!$W$84:$AA$84,0),1,1))/Asta!$H$3)</f>
        <v>28</v>
      </c>
    </row>
    <row r="487" spans="1:28" ht="14.25" customHeight="1">
      <c r="A487" s="239" t="str">
        <f ca="1">IF(Giocatori!J154="","C",Giocatori!J154)</f>
        <v>C</v>
      </c>
      <c r="B487" s="239" t="str">
        <f ca="1">IF(Giocatori!K185="","ZZZ" &amp; ROW(),Giocatori!K185)</f>
        <v>ZZZ487</v>
      </c>
      <c r="C487" s="239" t="str">
        <f ca="1">IF(Giocatori!L185="","NDR" &amp; ROW(),Giocatori!L185)</f>
        <v>NDR487</v>
      </c>
      <c r="D487" s="63">
        <f ca="1">IF(ISNA(VLOOKUP($B487,TabAlgTutti,6,FALSE)),0,VLOOKUP($B487,TabAlgTutti,6,FALSE))+ROW()/100000</f>
        <v>4.8700000000000002E-3</v>
      </c>
      <c r="E487" s="63">
        <f ca="1">IF(ISNA(VLOOKUP($B487,TabAlgTutti,5,FALSE)),0,VLOOKUP($B487,TabAlgTutti,5,FALSE))+ROW()/100000</f>
        <v>4.8700000000000002E-3</v>
      </c>
      <c r="F487" s="64">
        <f ca="1">($D487*$P$8+$E487*(1+$E487*100/60/100)*$S$8)/100+ROW()/100000</f>
        <v>9.7401976408333334E-3</v>
      </c>
      <c r="G487" s="63" t="str">
        <f ca="1">IF(ISNA(VLOOKUP($B487,TabAlgTutti,7,FALSE)),"",IF(VLOOKUP($B487,TabAlgTutti,7,FALSE)=-1,"SCONSIGLIATO",IF(VLOOKUP($B487,TabAlgTutti,7,FALSE)=0,"SORPRESA",IF(VLOOKUP($B487,TabAlgTutti,7,FALSE)=1,"CONSIGLIATO",""))))</f>
        <v/>
      </c>
      <c r="H487" s="65" t="str">
        <f ca="1">IF(ISNA(VLOOKUP($B487,TabAlgTutti,8,FALSE)),"",VLOOKUP($B487,TabAlgTutti,8,FALSE))</f>
        <v/>
      </c>
      <c r="I487" s="63" t="str">
        <f ca="1">IF(ISNA(VLOOKUP($B487,TabAlgTutti,9,FALSE)),"",IF(VLOOKUP($B487,TabAlgTutti,9,FALSE)="","",VLOOKUP($B487,TabAlgTutti,9,FALSE)&amp;"R "))&amp;IF(ISNA(VLOOKUP($B487,TabAlgTutti,10,FALSE)),"",IF(VLOOKUP($B487,TabAlgTutti,10,FALSE)="","",VLOOKUP($B487,TabAlgTutti,10,FALSE)&amp;"P "))&amp;IF(ISNA(VLOOKUP($B487,TabAlgTutti,11,FALSE)),"",IF(VLOOKUP($B487,TabAlgTutti,11,FALSE)="","",VLOOKUP($B487,TabAlgTutti,11,FALSE)&amp;"A"))</f>
        <v/>
      </c>
      <c r="J487" s="63">
        <f ca="1">IF(ISNA(VLOOKUP($B487,TabAlgTutti,3,FALSE)),0,VLOOKUP($B487,TabAlgTutti,3,FALSE))+ROW()/100000</f>
        <v>4.8700000000000002E-3</v>
      </c>
      <c r="K487" s="63">
        <f ca="1">IF(ISNA(VLOOKUP($B487,TabAlgTutti,4,FALSE)),0,VLOOKUP($B487,TabAlgTutti,4,FALSE))+ROW()/100000</f>
        <v>4.8700000000000002E-3</v>
      </c>
      <c r="L487" s="63" t="e">
        <f ca="1">VLOOKUP(Tabella114[[#This Row],[Calciatore]],'Raccolta Aste'!$K$2:$O$33,4,FALSE)*Asta!$U$3/100</f>
        <v>#N/A</v>
      </c>
      <c r="N487" s="58"/>
      <c r="O487" s="58"/>
      <c r="P487" s="58"/>
      <c r="Q487" s="58"/>
      <c r="R487" s="58"/>
      <c r="S487" s="58"/>
      <c r="W487" s="56">
        <f t="shared" ca="1" si="146"/>
        <v>220</v>
      </c>
      <c r="X487" s="56">
        <f t="shared" ca="1" si="147"/>
        <v>219</v>
      </c>
      <c r="Y487" s="56">
        <f t="shared" ca="1" si="148"/>
        <v>220</v>
      </c>
      <c r="Z487" s="56">
        <f t="shared" ca="1" si="149"/>
        <v>220</v>
      </c>
      <c r="AA487" s="56">
        <f t="shared" ca="1" si="150"/>
        <v>220</v>
      </c>
      <c r="AB487" s="56">
        <f ca="1">_xlfn.CEILING.MATH(INDIRECT(ADDRESS(311,22+MATCH($P$28,'I.A. + Fasce'!$W$84:$AA$84,0),1,1) &amp; ":" &amp; ADDRESS(531,22+MATCH($P$28,'I.A. + Fasce'!$W$84:$AA$84,0),1,1))/Asta!$H$3)</f>
        <v>28</v>
      </c>
    </row>
    <row r="488" spans="1:28" ht="14.25" customHeight="1">
      <c r="A488" s="239" t="str">
        <f ca="1">IF(Giocatori!J155="","C",Giocatori!J155)</f>
        <v>C</v>
      </c>
      <c r="B488" s="239" t="str">
        <f ca="1">IF(Giocatori!K186="","ZZZ" &amp; ROW(),Giocatori!K186)</f>
        <v>ZZZ488</v>
      </c>
      <c r="C488" s="239" t="str">
        <f ca="1">IF(Giocatori!L186="","NDR" &amp; ROW(),Giocatori!L186)</f>
        <v>NDR488</v>
      </c>
      <c r="D488" s="63">
        <f ca="1">IF(ISNA(VLOOKUP($B488,TabAlgTutti,6,FALSE)),0,VLOOKUP($B488,TabAlgTutti,6,FALSE))+ROW()/100000</f>
        <v>4.8799999999999998E-3</v>
      </c>
      <c r="E488" s="63">
        <f ca="1">IF(ISNA(VLOOKUP($B488,TabAlgTutti,5,FALSE)),0,VLOOKUP($B488,TabAlgTutti,5,FALSE))+ROW()/100000</f>
        <v>4.8799999999999998E-3</v>
      </c>
      <c r="F488" s="64">
        <f ca="1">($D488*$P$8+$E488*(1+$E488*100/60/100)*$S$8)/100+ROW()/100000</f>
        <v>9.7601984533333339E-3</v>
      </c>
      <c r="G488" s="63" t="str">
        <f ca="1">IF(ISNA(VLOOKUP($B488,TabAlgTutti,7,FALSE)),"",IF(VLOOKUP($B488,TabAlgTutti,7,FALSE)=-1,"SCONSIGLIATO",IF(VLOOKUP($B488,TabAlgTutti,7,FALSE)=0,"SORPRESA",IF(VLOOKUP($B488,TabAlgTutti,7,FALSE)=1,"CONSIGLIATO",""))))</f>
        <v/>
      </c>
      <c r="H488" s="65" t="str">
        <f ca="1">IF(ISNA(VLOOKUP($B488,TabAlgTutti,8,FALSE)),"",VLOOKUP($B488,TabAlgTutti,8,FALSE))</f>
        <v/>
      </c>
      <c r="I488" s="63" t="str">
        <f ca="1">IF(ISNA(VLOOKUP($B488,TabAlgTutti,9,FALSE)),"",IF(VLOOKUP($B488,TabAlgTutti,9,FALSE)="","",VLOOKUP($B488,TabAlgTutti,9,FALSE)&amp;"R "))&amp;IF(ISNA(VLOOKUP($B488,TabAlgTutti,10,FALSE)),"",IF(VLOOKUP($B488,TabAlgTutti,10,FALSE)="","",VLOOKUP($B488,TabAlgTutti,10,FALSE)&amp;"P "))&amp;IF(ISNA(VLOOKUP($B488,TabAlgTutti,11,FALSE)),"",IF(VLOOKUP($B488,TabAlgTutti,11,FALSE)="","",VLOOKUP($B488,TabAlgTutti,11,FALSE)&amp;"A"))</f>
        <v/>
      </c>
      <c r="J488" s="63">
        <f ca="1">IF(ISNA(VLOOKUP($B488,TabAlgTutti,3,FALSE)),0,VLOOKUP($B488,TabAlgTutti,3,FALSE))+ROW()/100000</f>
        <v>4.8799999999999998E-3</v>
      </c>
      <c r="K488" s="63">
        <f ca="1">IF(ISNA(VLOOKUP($B488,TabAlgTutti,4,FALSE)),0,VLOOKUP($B488,TabAlgTutti,4,FALSE))+ROW()/100000</f>
        <v>4.8799999999999998E-3</v>
      </c>
      <c r="L488" s="63" t="e">
        <f ca="1">VLOOKUP(Tabella114[[#This Row],[Calciatore]],'Raccolta Aste'!$K$2:$O$33,4,FALSE)*Asta!$U$3/100</f>
        <v>#N/A</v>
      </c>
      <c r="N488" s="58"/>
      <c r="O488" s="58"/>
      <c r="P488" s="58"/>
      <c r="Q488" s="58"/>
      <c r="R488" s="58"/>
      <c r="S488" s="58"/>
      <c r="W488" s="56">
        <f t="shared" ca="1" si="146"/>
        <v>219</v>
      </c>
      <c r="X488" s="56">
        <f t="shared" ca="1" si="147"/>
        <v>218</v>
      </c>
      <c r="Y488" s="56">
        <f t="shared" ca="1" si="148"/>
        <v>219</v>
      </c>
      <c r="Z488" s="56">
        <f t="shared" ca="1" si="149"/>
        <v>219</v>
      </c>
      <c r="AA488" s="56">
        <f t="shared" ca="1" si="150"/>
        <v>219</v>
      </c>
      <c r="AB488" s="56">
        <f ca="1">_xlfn.CEILING.MATH(INDIRECT(ADDRESS(311,22+MATCH($P$28,'I.A. + Fasce'!$W$84:$AA$84,0),1,1) &amp; ":" &amp; ADDRESS(531,22+MATCH($P$28,'I.A. + Fasce'!$W$84:$AA$84,0),1,1))/Asta!$H$3)</f>
        <v>28</v>
      </c>
    </row>
    <row r="489" spans="1:28" ht="14.25" customHeight="1">
      <c r="A489" s="239" t="str">
        <f ca="1">IF(Giocatori!J156="","C",Giocatori!J156)</f>
        <v>C</v>
      </c>
      <c r="B489" s="239" t="str">
        <f ca="1">IF(Giocatori!K187="","ZZZ" &amp; ROW(),Giocatori!K187)</f>
        <v>ZZZ489</v>
      </c>
      <c r="C489" s="239" t="str">
        <f ca="1">IF(Giocatori!L187="","NDR" &amp; ROW(),Giocatori!L187)</f>
        <v>NDR489</v>
      </c>
      <c r="D489" s="63">
        <f ca="1">IF(ISNA(VLOOKUP($B489,TabAlgTutti,6,FALSE)),0,VLOOKUP($B489,TabAlgTutti,6,FALSE))+ROW()/100000</f>
        <v>4.8900000000000002E-3</v>
      </c>
      <c r="E489" s="63">
        <f ca="1">IF(ISNA(VLOOKUP($B489,TabAlgTutti,5,FALSE)),0,VLOOKUP($B489,TabAlgTutti,5,FALSE))+ROW()/100000</f>
        <v>4.8900000000000002E-3</v>
      </c>
      <c r="F489" s="64">
        <f ca="1">($D489*$P$8+$E489*(1+$E489*100/60/100)*$S$8)/100+ROW()/100000</f>
        <v>9.7801992675000012E-3</v>
      </c>
      <c r="G489" s="63" t="str">
        <f ca="1">IF(ISNA(VLOOKUP($B489,TabAlgTutti,7,FALSE)),"",IF(VLOOKUP($B489,TabAlgTutti,7,FALSE)=-1,"SCONSIGLIATO",IF(VLOOKUP($B489,TabAlgTutti,7,FALSE)=0,"SORPRESA",IF(VLOOKUP($B489,TabAlgTutti,7,FALSE)=1,"CONSIGLIATO",""))))</f>
        <v/>
      </c>
      <c r="H489" s="65" t="str">
        <f ca="1">IF(ISNA(VLOOKUP($B489,TabAlgTutti,8,FALSE)),"",VLOOKUP($B489,TabAlgTutti,8,FALSE))</f>
        <v/>
      </c>
      <c r="I489" s="63" t="str">
        <f ca="1">IF(ISNA(VLOOKUP($B489,TabAlgTutti,9,FALSE)),"",IF(VLOOKUP($B489,TabAlgTutti,9,FALSE)="","",VLOOKUP($B489,TabAlgTutti,9,FALSE)&amp;"R "))&amp;IF(ISNA(VLOOKUP($B489,TabAlgTutti,10,FALSE)),"",IF(VLOOKUP($B489,TabAlgTutti,10,FALSE)="","",VLOOKUP($B489,TabAlgTutti,10,FALSE)&amp;"P "))&amp;IF(ISNA(VLOOKUP($B489,TabAlgTutti,11,FALSE)),"",IF(VLOOKUP($B489,TabAlgTutti,11,FALSE)="","",VLOOKUP($B489,TabAlgTutti,11,FALSE)&amp;"A"))</f>
        <v/>
      </c>
      <c r="J489" s="63">
        <f ca="1">IF(ISNA(VLOOKUP($B489,TabAlgTutti,3,FALSE)),0,VLOOKUP($B489,TabAlgTutti,3,FALSE))+ROW()/100000</f>
        <v>4.8900000000000002E-3</v>
      </c>
      <c r="K489" s="63">
        <f ca="1">IF(ISNA(VLOOKUP($B489,TabAlgTutti,4,FALSE)),0,VLOOKUP($B489,TabAlgTutti,4,FALSE))+ROW()/100000</f>
        <v>4.8900000000000002E-3</v>
      </c>
      <c r="L489" s="63" t="e">
        <f ca="1">VLOOKUP(Tabella114[[#This Row],[Calciatore]],'Raccolta Aste'!$K$2:$O$33,4,FALSE)*Asta!$U$3/100</f>
        <v>#N/A</v>
      </c>
      <c r="N489" s="58"/>
      <c r="O489" s="58"/>
      <c r="P489" s="58"/>
      <c r="Q489" s="58"/>
      <c r="R489" s="58"/>
      <c r="S489" s="58"/>
      <c r="W489" s="56">
        <f t="shared" ca="1" si="146"/>
        <v>218</v>
      </c>
      <c r="X489" s="56">
        <f t="shared" ca="1" si="147"/>
        <v>217</v>
      </c>
      <c r="Y489" s="56">
        <f t="shared" ca="1" si="148"/>
        <v>218</v>
      </c>
      <c r="Z489" s="56">
        <f t="shared" ca="1" si="149"/>
        <v>218</v>
      </c>
      <c r="AA489" s="56">
        <f t="shared" ca="1" si="150"/>
        <v>218</v>
      </c>
      <c r="AB489" s="56">
        <f ca="1">_xlfn.CEILING.MATH(INDIRECT(ADDRESS(311,22+MATCH($P$28,'I.A. + Fasce'!$W$84:$AA$84,0),1,1) &amp; ":" &amp; ADDRESS(531,22+MATCH($P$28,'I.A. + Fasce'!$W$84:$AA$84,0),1,1))/Asta!$H$3)</f>
        <v>28</v>
      </c>
    </row>
    <row r="490" spans="1:28" ht="14.25" customHeight="1">
      <c r="A490" s="239" t="str">
        <f ca="1">IF(Giocatori!J157="","C",Giocatori!J157)</f>
        <v>C</v>
      </c>
      <c r="B490" s="239" t="str">
        <f ca="1">IF(Giocatori!K188="","ZZZ" &amp; ROW(),Giocatori!K188)</f>
        <v>ZZZ490</v>
      </c>
      <c r="C490" s="239" t="str">
        <f ca="1">IF(Giocatori!L188="","NDR" &amp; ROW(),Giocatori!L188)</f>
        <v>NDR490</v>
      </c>
      <c r="D490" s="63">
        <f ca="1">IF(ISNA(VLOOKUP($B490,TabAlgTutti,6,FALSE)),0,VLOOKUP($B490,TabAlgTutti,6,FALSE))+ROW()/100000</f>
        <v>4.8999999999999998E-3</v>
      </c>
      <c r="E490" s="63">
        <f ca="1">IF(ISNA(VLOOKUP($B490,TabAlgTutti,5,FALSE)),0,VLOOKUP($B490,TabAlgTutti,5,FALSE))+ROW()/100000</f>
        <v>4.8999999999999998E-3</v>
      </c>
      <c r="F490" s="64">
        <f ca="1">($D490*$P$8+$E490*(1+$E490*100/60/100)*$S$8)/100+ROW()/100000</f>
        <v>9.8002000833333335E-3</v>
      </c>
      <c r="G490" s="63" t="str">
        <f ca="1">IF(ISNA(VLOOKUP($B490,TabAlgTutti,7,FALSE)),"",IF(VLOOKUP($B490,TabAlgTutti,7,FALSE)=-1,"SCONSIGLIATO",IF(VLOOKUP($B490,TabAlgTutti,7,FALSE)=0,"SORPRESA",IF(VLOOKUP($B490,TabAlgTutti,7,FALSE)=1,"CONSIGLIATO",""))))</f>
        <v/>
      </c>
      <c r="H490" s="65" t="str">
        <f ca="1">IF(ISNA(VLOOKUP($B490,TabAlgTutti,8,FALSE)),"",VLOOKUP($B490,TabAlgTutti,8,FALSE))</f>
        <v/>
      </c>
      <c r="I490" s="63" t="str">
        <f ca="1">IF(ISNA(VLOOKUP($B490,TabAlgTutti,9,FALSE)),"",IF(VLOOKUP($B490,TabAlgTutti,9,FALSE)="","",VLOOKUP($B490,TabAlgTutti,9,FALSE)&amp;"R "))&amp;IF(ISNA(VLOOKUP($B490,TabAlgTutti,10,FALSE)),"",IF(VLOOKUP($B490,TabAlgTutti,10,FALSE)="","",VLOOKUP($B490,TabAlgTutti,10,FALSE)&amp;"P "))&amp;IF(ISNA(VLOOKUP($B490,TabAlgTutti,11,FALSE)),"",IF(VLOOKUP($B490,TabAlgTutti,11,FALSE)="","",VLOOKUP($B490,TabAlgTutti,11,FALSE)&amp;"A"))</f>
        <v/>
      </c>
      <c r="J490" s="63">
        <f ca="1">IF(ISNA(VLOOKUP($B490,TabAlgTutti,3,FALSE)),0,VLOOKUP($B490,TabAlgTutti,3,FALSE))+ROW()/100000</f>
        <v>4.8999999999999998E-3</v>
      </c>
      <c r="K490" s="63">
        <f ca="1">IF(ISNA(VLOOKUP($B490,TabAlgTutti,4,FALSE)),0,VLOOKUP($B490,TabAlgTutti,4,FALSE))+ROW()/100000</f>
        <v>4.8999999999999998E-3</v>
      </c>
      <c r="L490" s="63" t="e">
        <f ca="1">VLOOKUP(Tabella114[[#This Row],[Calciatore]],'Raccolta Aste'!$K$2:$O$33,4,FALSE)*Asta!$U$3/100</f>
        <v>#N/A</v>
      </c>
      <c r="N490" s="58"/>
      <c r="O490" s="58"/>
      <c r="P490" s="58"/>
      <c r="Q490" s="58"/>
      <c r="R490" s="58"/>
      <c r="S490" s="58"/>
      <c r="W490" s="56">
        <f t="shared" ca="1" si="146"/>
        <v>217</v>
      </c>
      <c r="X490" s="56">
        <f t="shared" ca="1" si="147"/>
        <v>216</v>
      </c>
      <c r="Y490" s="56">
        <f t="shared" ca="1" si="148"/>
        <v>217</v>
      </c>
      <c r="Z490" s="56">
        <f t="shared" ca="1" si="149"/>
        <v>217</v>
      </c>
      <c r="AA490" s="56">
        <f t="shared" ca="1" si="150"/>
        <v>217</v>
      </c>
      <c r="AB490" s="56">
        <f ca="1">_xlfn.CEILING.MATH(INDIRECT(ADDRESS(311,22+MATCH($P$28,'I.A. + Fasce'!$W$84:$AA$84,0),1,1) &amp; ":" &amp; ADDRESS(531,22+MATCH($P$28,'I.A. + Fasce'!$W$84:$AA$84,0),1,1))/Asta!$H$3)</f>
        <v>28</v>
      </c>
    </row>
    <row r="491" spans="1:28" ht="14.25" customHeight="1">
      <c r="A491" s="239" t="str">
        <f ca="1">IF(Giocatori!J158="","C",Giocatori!J158)</f>
        <v>C</v>
      </c>
      <c r="B491" s="239" t="str">
        <f ca="1">IF(Giocatori!K189="","ZZZ" &amp; ROW(),Giocatori!K189)</f>
        <v>ZZZ491</v>
      </c>
      <c r="C491" s="239" t="str">
        <f ca="1">IF(Giocatori!L189="","NDR" &amp; ROW(),Giocatori!L189)</f>
        <v>NDR491</v>
      </c>
      <c r="D491" s="63">
        <f ca="1">IF(ISNA(VLOOKUP($B491,TabAlgTutti,6,FALSE)),0,VLOOKUP($B491,TabAlgTutti,6,FALSE))+ROW()/100000</f>
        <v>4.9100000000000003E-3</v>
      </c>
      <c r="E491" s="63">
        <f ca="1">IF(ISNA(VLOOKUP($B491,TabAlgTutti,5,FALSE)),0,VLOOKUP($B491,TabAlgTutti,5,FALSE))+ROW()/100000</f>
        <v>4.9100000000000003E-3</v>
      </c>
      <c r="F491" s="64">
        <f ca="1">($D491*$P$8+$E491*(1+$E491*100/60/100)*$S$8)/100+ROW()/100000</f>
        <v>9.8202009008333327E-3</v>
      </c>
      <c r="G491" s="63" t="str">
        <f ca="1">IF(ISNA(VLOOKUP($B491,TabAlgTutti,7,FALSE)),"",IF(VLOOKUP($B491,TabAlgTutti,7,FALSE)=-1,"SCONSIGLIATO",IF(VLOOKUP($B491,TabAlgTutti,7,FALSE)=0,"SORPRESA",IF(VLOOKUP($B491,TabAlgTutti,7,FALSE)=1,"CONSIGLIATO",""))))</f>
        <v/>
      </c>
      <c r="H491" s="65" t="str">
        <f ca="1">IF(ISNA(VLOOKUP($B491,TabAlgTutti,8,FALSE)),"",VLOOKUP($B491,TabAlgTutti,8,FALSE))</f>
        <v/>
      </c>
      <c r="I491" s="63" t="str">
        <f ca="1">IF(ISNA(VLOOKUP($B491,TabAlgTutti,9,FALSE)),"",IF(VLOOKUP($B491,TabAlgTutti,9,FALSE)="","",VLOOKUP($B491,TabAlgTutti,9,FALSE)&amp;"R "))&amp;IF(ISNA(VLOOKUP($B491,TabAlgTutti,10,FALSE)),"",IF(VLOOKUP($B491,TabAlgTutti,10,FALSE)="","",VLOOKUP($B491,TabAlgTutti,10,FALSE)&amp;"P "))&amp;IF(ISNA(VLOOKUP($B491,TabAlgTutti,11,FALSE)),"",IF(VLOOKUP($B491,TabAlgTutti,11,FALSE)="","",VLOOKUP($B491,TabAlgTutti,11,FALSE)&amp;"A"))</f>
        <v/>
      </c>
      <c r="J491" s="63">
        <f ca="1">IF(ISNA(VLOOKUP($B491,TabAlgTutti,3,FALSE)),0,VLOOKUP($B491,TabAlgTutti,3,FALSE))+ROW()/100000</f>
        <v>4.9100000000000003E-3</v>
      </c>
      <c r="K491" s="63">
        <f ca="1">IF(ISNA(VLOOKUP($B491,TabAlgTutti,4,FALSE)),0,VLOOKUP($B491,TabAlgTutti,4,FALSE))+ROW()/100000</f>
        <v>4.9100000000000003E-3</v>
      </c>
      <c r="L491" s="63" t="e">
        <f ca="1">VLOOKUP(Tabella114[[#This Row],[Calciatore]],'Raccolta Aste'!$K$2:$O$33,4,FALSE)*Asta!$U$3/100</f>
        <v>#N/A</v>
      </c>
      <c r="N491" s="58"/>
      <c r="O491" s="58"/>
      <c r="P491" s="58"/>
      <c r="Q491" s="58"/>
      <c r="R491" s="58"/>
      <c r="S491" s="58"/>
      <c r="W491" s="56">
        <f t="shared" ca="1" si="146"/>
        <v>216</v>
      </c>
      <c r="X491" s="56">
        <f t="shared" ca="1" si="147"/>
        <v>215</v>
      </c>
      <c r="Y491" s="56">
        <f t="shared" ca="1" si="148"/>
        <v>216</v>
      </c>
      <c r="Z491" s="56">
        <f t="shared" ca="1" si="149"/>
        <v>216</v>
      </c>
      <c r="AA491" s="56">
        <f t="shared" ca="1" si="150"/>
        <v>216</v>
      </c>
      <c r="AB491" s="56">
        <f ca="1">_xlfn.CEILING.MATH(INDIRECT(ADDRESS(311,22+MATCH($P$28,'I.A. + Fasce'!$W$84:$AA$84,0),1,1) &amp; ":" &amp; ADDRESS(531,22+MATCH($P$28,'I.A. + Fasce'!$W$84:$AA$84,0),1,1))/Asta!$H$3)</f>
        <v>27</v>
      </c>
    </row>
    <row r="492" spans="1:28" ht="14.25" customHeight="1">
      <c r="A492" s="239" t="str">
        <f ca="1">IF(Giocatori!J159="","C",Giocatori!J159)</f>
        <v>C</v>
      </c>
      <c r="B492" s="239" t="str">
        <f ca="1">IF(Giocatori!K190="","ZZZ" &amp; ROW(),Giocatori!K190)</f>
        <v>ZZZ492</v>
      </c>
      <c r="C492" s="239" t="str">
        <f ca="1">IF(Giocatori!L190="","NDR" &amp; ROW(),Giocatori!L190)</f>
        <v>NDR492</v>
      </c>
      <c r="D492" s="63">
        <f ca="1">IF(ISNA(VLOOKUP($B492,TabAlgTutti,6,FALSE)),0,VLOOKUP($B492,TabAlgTutti,6,FALSE))+ROW()/100000</f>
        <v>4.9199999999999999E-3</v>
      </c>
      <c r="E492" s="63">
        <f ca="1">IF(ISNA(VLOOKUP($B492,TabAlgTutti,5,FALSE)),0,VLOOKUP($B492,TabAlgTutti,5,FALSE))+ROW()/100000</f>
        <v>4.9199999999999999E-3</v>
      </c>
      <c r="F492" s="64">
        <f ca="1">($D492*$P$8+$E492*(1+$E492*100/60/100)*$S$8)/100+ROW()/100000</f>
        <v>9.8402017200000004E-3</v>
      </c>
      <c r="G492" s="63" t="str">
        <f ca="1">IF(ISNA(VLOOKUP($B492,TabAlgTutti,7,FALSE)),"",IF(VLOOKUP($B492,TabAlgTutti,7,FALSE)=-1,"SCONSIGLIATO",IF(VLOOKUP($B492,TabAlgTutti,7,FALSE)=0,"SORPRESA",IF(VLOOKUP($B492,TabAlgTutti,7,FALSE)=1,"CONSIGLIATO",""))))</f>
        <v/>
      </c>
      <c r="H492" s="65" t="str">
        <f ca="1">IF(ISNA(VLOOKUP($B492,TabAlgTutti,8,FALSE)),"",VLOOKUP($B492,TabAlgTutti,8,FALSE))</f>
        <v/>
      </c>
      <c r="I492" s="63" t="str">
        <f ca="1">IF(ISNA(VLOOKUP($B492,TabAlgTutti,9,FALSE)),"",IF(VLOOKUP($B492,TabAlgTutti,9,FALSE)="","",VLOOKUP($B492,TabAlgTutti,9,FALSE)&amp;"R "))&amp;IF(ISNA(VLOOKUP($B492,TabAlgTutti,10,FALSE)),"",IF(VLOOKUP($B492,TabAlgTutti,10,FALSE)="","",VLOOKUP($B492,TabAlgTutti,10,FALSE)&amp;"P "))&amp;IF(ISNA(VLOOKUP($B492,TabAlgTutti,11,FALSE)),"",IF(VLOOKUP($B492,TabAlgTutti,11,FALSE)="","",VLOOKUP($B492,TabAlgTutti,11,FALSE)&amp;"A"))</f>
        <v/>
      </c>
      <c r="J492" s="63">
        <f ca="1">IF(ISNA(VLOOKUP($B492,TabAlgTutti,3,FALSE)),0,VLOOKUP($B492,TabAlgTutti,3,FALSE))+ROW()/100000</f>
        <v>4.9199999999999999E-3</v>
      </c>
      <c r="K492" s="63">
        <f ca="1">IF(ISNA(VLOOKUP($B492,TabAlgTutti,4,FALSE)),0,VLOOKUP($B492,TabAlgTutti,4,FALSE))+ROW()/100000</f>
        <v>4.9199999999999999E-3</v>
      </c>
      <c r="L492" s="63" t="e">
        <f ca="1">VLOOKUP(Tabella114[[#This Row],[Calciatore]],'Raccolta Aste'!$K$2:$O$33,4,FALSE)*Asta!$U$3/100</f>
        <v>#N/A</v>
      </c>
      <c r="N492" s="58"/>
      <c r="O492" s="58"/>
      <c r="P492" s="58"/>
      <c r="Q492" s="58"/>
      <c r="R492" s="58"/>
      <c r="S492" s="58"/>
      <c r="W492" s="56">
        <f t="shared" ca="1" si="146"/>
        <v>215</v>
      </c>
      <c r="X492" s="56">
        <f t="shared" ca="1" si="147"/>
        <v>214</v>
      </c>
      <c r="Y492" s="56">
        <f t="shared" ca="1" si="148"/>
        <v>215</v>
      </c>
      <c r="Z492" s="56">
        <f t="shared" ca="1" si="149"/>
        <v>215</v>
      </c>
      <c r="AA492" s="56">
        <f t="shared" ca="1" si="150"/>
        <v>215</v>
      </c>
      <c r="AB492" s="56">
        <f ca="1">_xlfn.CEILING.MATH(INDIRECT(ADDRESS(311,22+MATCH($P$28,'I.A. + Fasce'!$W$84:$AA$84,0),1,1) &amp; ":" &amp; ADDRESS(531,22+MATCH($P$28,'I.A. + Fasce'!$W$84:$AA$84,0),1,1))/Asta!$H$3)</f>
        <v>27</v>
      </c>
    </row>
    <row r="493" spans="1:28" ht="14.25" customHeight="1">
      <c r="A493" s="239" t="str">
        <f ca="1">IF(Giocatori!J160="","C",Giocatori!J160)</f>
        <v>C</v>
      </c>
      <c r="B493" s="239" t="str">
        <f ca="1">IF(Giocatori!K191="","ZZZ" &amp; ROW(),Giocatori!K191)</f>
        <v>ZZZ493</v>
      </c>
      <c r="C493" s="239" t="str">
        <f ca="1">IF(Giocatori!L191="","NDR" &amp; ROW(),Giocatori!L191)</f>
        <v>NDR493</v>
      </c>
      <c r="D493" s="63">
        <f ca="1">IF(ISNA(VLOOKUP($B493,TabAlgTutti,6,FALSE)),0,VLOOKUP($B493,TabAlgTutti,6,FALSE))+ROW()/100000</f>
        <v>4.9300000000000004E-3</v>
      </c>
      <c r="E493" s="63">
        <f ca="1">IF(ISNA(VLOOKUP($B493,TabAlgTutti,5,FALSE)),0,VLOOKUP($B493,TabAlgTutti,5,FALSE))+ROW()/100000</f>
        <v>4.9300000000000004E-3</v>
      </c>
      <c r="F493" s="64">
        <f ca="1">($D493*$P$8+$E493*(1+$E493*100/60/100)*$S$8)/100+ROW()/100000</f>
        <v>9.8602025408333349E-3</v>
      </c>
      <c r="G493" s="63" t="str">
        <f ca="1">IF(ISNA(VLOOKUP($B493,TabAlgTutti,7,FALSE)),"",IF(VLOOKUP($B493,TabAlgTutti,7,FALSE)=-1,"SCONSIGLIATO",IF(VLOOKUP($B493,TabAlgTutti,7,FALSE)=0,"SORPRESA",IF(VLOOKUP($B493,TabAlgTutti,7,FALSE)=1,"CONSIGLIATO",""))))</f>
        <v/>
      </c>
      <c r="H493" s="65" t="str">
        <f ca="1">IF(ISNA(VLOOKUP($B493,TabAlgTutti,8,FALSE)),"",VLOOKUP($B493,TabAlgTutti,8,FALSE))</f>
        <v/>
      </c>
      <c r="I493" s="325" t="str">
        <f ca="1">IF(ISNA(VLOOKUP($B493,TabAlgTutti,9,FALSE)),"",IF(VLOOKUP($B493,TabAlgTutti,9,FALSE)="","",VLOOKUP($B493,TabAlgTutti,9,FALSE)&amp;"R "))&amp;IF(ISNA(VLOOKUP($B493,TabAlgTutti,10,FALSE)),"",IF(VLOOKUP($B493,TabAlgTutti,10,FALSE)="","",VLOOKUP($B493,TabAlgTutti,10,FALSE)&amp;"P "))&amp;IF(ISNA(VLOOKUP($B493,TabAlgTutti,11,FALSE)),"",IF(VLOOKUP($B493,TabAlgTutti,11,FALSE)="","",VLOOKUP($B493,TabAlgTutti,11,FALSE)&amp;"A"))</f>
        <v/>
      </c>
      <c r="J493" s="63">
        <f ca="1">IF(ISNA(VLOOKUP($B493,TabAlgTutti,3,FALSE)),0,VLOOKUP($B493,TabAlgTutti,3,FALSE))+ROW()/100000</f>
        <v>4.9300000000000004E-3</v>
      </c>
      <c r="K493" s="63">
        <f ca="1">IF(ISNA(VLOOKUP($B493,TabAlgTutti,4,FALSE)),0,VLOOKUP($B493,TabAlgTutti,4,FALSE))+ROW()/100000</f>
        <v>4.9300000000000004E-3</v>
      </c>
      <c r="L493" s="63" t="e">
        <f ca="1">VLOOKUP(Tabella114[[#This Row],[Calciatore]],'Raccolta Aste'!$K$2:$O$33,4,FALSE)*Asta!$U$3/100</f>
        <v>#N/A</v>
      </c>
      <c r="N493" s="58"/>
      <c r="O493" s="58"/>
      <c r="P493" s="58"/>
      <c r="Q493" s="58"/>
      <c r="R493" s="58"/>
      <c r="S493" s="58"/>
      <c r="W493" s="56">
        <f t="shared" ca="1" si="146"/>
        <v>214</v>
      </c>
      <c r="X493" s="56">
        <f t="shared" ca="1" si="147"/>
        <v>213</v>
      </c>
      <c r="Y493" s="56">
        <f t="shared" ca="1" si="148"/>
        <v>214</v>
      </c>
      <c r="Z493" s="56">
        <f t="shared" ca="1" si="149"/>
        <v>214</v>
      </c>
      <c r="AA493" s="56">
        <f t="shared" ca="1" si="150"/>
        <v>214</v>
      </c>
      <c r="AB493" s="56">
        <f ca="1">_xlfn.CEILING.MATH(INDIRECT(ADDRESS(311,22+MATCH($P$28,'I.A. + Fasce'!$W$84:$AA$84,0),1,1) &amp; ":" &amp; ADDRESS(531,22+MATCH($P$28,'I.A. + Fasce'!$W$84:$AA$84,0),1,1))/Asta!$H$3)</f>
        <v>27</v>
      </c>
    </row>
    <row r="494" spans="1:28" ht="14.25" customHeight="1">
      <c r="A494" s="239" t="str">
        <f ca="1">IF(Giocatori!J161="","C",Giocatori!J161)</f>
        <v>C</v>
      </c>
      <c r="B494" s="239" t="str">
        <f ca="1">IF(Giocatori!K192="","ZZZ" &amp; ROW(),Giocatori!K192)</f>
        <v>ZZZ494</v>
      </c>
      <c r="C494" s="239" t="str">
        <f ca="1">IF(Giocatori!L192="","NDR" &amp; ROW(),Giocatori!L192)</f>
        <v>NDR494</v>
      </c>
      <c r="D494" s="63">
        <f ca="1">IF(ISNA(VLOOKUP($B494,TabAlgTutti,6,FALSE)),0,VLOOKUP($B494,TabAlgTutti,6,FALSE))+ROW()/100000</f>
        <v>4.9399999999999999E-3</v>
      </c>
      <c r="E494" s="63">
        <f ca="1">IF(ISNA(VLOOKUP($B494,TabAlgTutti,5,FALSE)),0,VLOOKUP($B494,TabAlgTutti,5,FALSE))+ROW()/100000</f>
        <v>4.9399999999999999E-3</v>
      </c>
      <c r="F494" s="64">
        <f ca="1">($D494*$P$8+$E494*(1+$E494*100/60/100)*$S$8)/100+ROW()/100000</f>
        <v>9.8802033633333328E-3</v>
      </c>
      <c r="G494" s="63" t="str">
        <f ca="1">IF(ISNA(VLOOKUP($B494,TabAlgTutti,7,FALSE)),"",IF(VLOOKUP($B494,TabAlgTutti,7,FALSE)=-1,"SCONSIGLIATO",IF(VLOOKUP($B494,TabAlgTutti,7,FALSE)=0,"SORPRESA",IF(VLOOKUP($B494,TabAlgTutti,7,FALSE)=1,"CONSIGLIATO",""))))</f>
        <v/>
      </c>
      <c r="H494" s="65" t="str">
        <f ca="1">IF(ISNA(VLOOKUP($B494,TabAlgTutti,8,FALSE)),"",VLOOKUP($B494,TabAlgTutti,8,FALSE))</f>
        <v/>
      </c>
      <c r="I494" s="325" t="str">
        <f ca="1">IF(ISNA(VLOOKUP($B494,TabAlgTutti,9,FALSE)),"",IF(VLOOKUP($B494,TabAlgTutti,9,FALSE)="","",VLOOKUP($B494,TabAlgTutti,9,FALSE)&amp;"R "))&amp;IF(ISNA(VLOOKUP($B494,TabAlgTutti,10,FALSE)),"",IF(VLOOKUP($B494,TabAlgTutti,10,FALSE)="","",VLOOKUP($B494,TabAlgTutti,10,FALSE)&amp;"P "))&amp;IF(ISNA(VLOOKUP($B494,TabAlgTutti,11,FALSE)),"",IF(VLOOKUP($B494,TabAlgTutti,11,FALSE)="","",VLOOKUP($B494,TabAlgTutti,11,FALSE)&amp;"A"))</f>
        <v/>
      </c>
      <c r="J494" s="63">
        <f ca="1">IF(ISNA(VLOOKUP($B494,TabAlgTutti,3,FALSE)),0,VLOOKUP($B494,TabAlgTutti,3,FALSE))+ROW()/100000</f>
        <v>4.9399999999999999E-3</v>
      </c>
      <c r="K494" s="63">
        <f ca="1">IF(ISNA(VLOOKUP($B494,TabAlgTutti,4,FALSE)),0,VLOOKUP($B494,TabAlgTutti,4,FALSE))+ROW()/100000</f>
        <v>4.9399999999999999E-3</v>
      </c>
      <c r="L494" s="63" t="e">
        <f ca="1">VLOOKUP(Tabella114[[#This Row],[Calciatore]],'Raccolta Aste'!$K$2:$O$33,4,FALSE)*Asta!$U$3/100</f>
        <v>#N/A</v>
      </c>
      <c r="N494" s="58"/>
      <c r="O494" s="58"/>
      <c r="P494" s="58"/>
      <c r="Q494" s="58"/>
      <c r="R494" s="58"/>
      <c r="S494" s="58"/>
      <c r="W494" s="56">
        <f t="shared" ca="1" si="146"/>
        <v>213</v>
      </c>
      <c r="X494" s="56">
        <f t="shared" ca="1" si="147"/>
        <v>212</v>
      </c>
      <c r="Y494" s="56">
        <f t="shared" ca="1" si="148"/>
        <v>213</v>
      </c>
      <c r="Z494" s="56">
        <f t="shared" ca="1" si="149"/>
        <v>213</v>
      </c>
      <c r="AA494" s="56">
        <f t="shared" ca="1" si="150"/>
        <v>213</v>
      </c>
      <c r="AB494" s="56">
        <f ca="1">_xlfn.CEILING.MATH(INDIRECT(ADDRESS(311,22+MATCH($P$28,'I.A. + Fasce'!$W$84:$AA$84,0),1,1) &amp; ":" &amp; ADDRESS(531,22+MATCH($P$28,'I.A. + Fasce'!$W$84:$AA$84,0),1,1))/Asta!$H$3)</f>
        <v>27</v>
      </c>
    </row>
    <row r="495" spans="1:28" ht="14.25" customHeight="1">
      <c r="A495" s="239" t="str">
        <f ca="1">IF(Giocatori!J162="","C",Giocatori!J162)</f>
        <v>C</v>
      </c>
      <c r="B495" s="239" t="str">
        <f ca="1">IF(Giocatori!K193="","ZZZ" &amp; ROW(),Giocatori!K193)</f>
        <v>ZZZ495</v>
      </c>
      <c r="C495" s="239" t="str">
        <f ca="1">IF(Giocatori!L193="","NDR" &amp; ROW(),Giocatori!L193)</f>
        <v>NDR495</v>
      </c>
      <c r="D495" s="63">
        <f ca="1">IF(ISNA(VLOOKUP($B495,TabAlgTutti,6,FALSE)),0,VLOOKUP($B495,TabAlgTutti,6,FALSE))+ROW()/100000</f>
        <v>4.9500000000000004E-3</v>
      </c>
      <c r="E495" s="63">
        <f ca="1">IF(ISNA(VLOOKUP($B495,TabAlgTutti,5,FALSE)),0,VLOOKUP($B495,TabAlgTutti,5,FALSE))+ROW()/100000</f>
        <v>4.9500000000000004E-3</v>
      </c>
      <c r="F495" s="64">
        <f ca="1">($D495*$P$8+$E495*(1+$E495*100/60/100)*$S$8)/100+ROW()/100000</f>
        <v>9.9002041875000009E-3</v>
      </c>
      <c r="G495" s="63" t="str">
        <f ca="1">IF(ISNA(VLOOKUP($B495,TabAlgTutti,7,FALSE)),"",IF(VLOOKUP($B495,TabAlgTutti,7,FALSE)=-1,"SCONSIGLIATO",IF(VLOOKUP($B495,TabAlgTutti,7,FALSE)=0,"SORPRESA",IF(VLOOKUP($B495,TabAlgTutti,7,FALSE)=1,"CONSIGLIATO",""))))</f>
        <v/>
      </c>
      <c r="H495" s="65" t="str">
        <f ca="1">IF(ISNA(VLOOKUP($B495,TabAlgTutti,8,FALSE)),"",VLOOKUP($B495,TabAlgTutti,8,FALSE))</f>
        <v/>
      </c>
      <c r="I495" s="63" t="str">
        <f ca="1">IF(ISNA(VLOOKUP($B495,TabAlgTutti,9,FALSE)),"",IF(VLOOKUP($B495,TabAlgTutti,9,FALSE)="","",VLOOKUP($B495,TabAlgTutti,9,FALSE)&amp;"R "))&amp;IF(ISNA(VLOOKUP($B495,TabAlgTutti,10,FALSE)),"",IF(VLOOKUP($B495,TabAlgTutti,10,FALSE)="","",VLOOKUP($B495,TabAlgTutti,10,FALSE)&amp;"P "))&amp;IF(ISNA(VLOOKUP($B495,TabAlgTutti,11,FALSE)),"",IF(VLOOKUP($B495,TabAlgTutti,11,FALSE)="","",VLOOKUP($B495,TabAlgTutti,11,FALSE)&amp;"A"))</f>
        <v/>
      </c>
      <c r="J495" s="63">
        <f ca="1">IF(ISNA(VLOOKUP($B495,TabAlgTutti,3,FALSE)),0,VLOOKUP($B495,TabAlgTutti,3,FALSE))+ROW()/100000</f>
        <v>4.9500000000000004E-3</v>
      </c>
      <c r="K495" s="63">
        <f ca="1">IF(ISNA(VLOOKUP($B495,TabAlgTutti,4,FALSE)),0,VLOOKUP($B495,TabAlgTutti,4,FALSE))+ROW()/100000</f>
        <v>4.9500000000000004E-3</v>
      </c>
      <c r="L495" s="63" t="e">
        <f ca="1">VLOOKUP(Tabella114[[#This Row],[Calciatore]],'Raccolta Aste'!$K$2:$O$33,4,FALSE)*Asta!$U$3/100</f>
        <v>#N/A</v>
      </c>
      <c r="N495" s="58"/>
      <c r="O495" s="58"/>
      <c r="P495" s="58"/>
      <c r="Q495" s="58"/>
      <c r="R495" s="58"/>
      <c r="S495" s="58"/>
      <c r="W495" s="56">
        <f t="shared" ca="1" si="146"/>
        <v>212</v>
      </c>
      <c r="X495" s="56">
        <f t="shared" ca="1" si="147"/>
        <v>211</v>
      </c>
      <c r="Y495" s="56">
        <f t="shared" ca="1" si="148"/>
        <v>212</v>
      </c>
      <c r="Z495" s="56">
        <f t="shared" ca="1" si="149"/>
        <v>212</v>
      </c>
      <c r="AA495" s="56">
        <f t="shared" ca="1" si="150"/>
        <v>212</v>
      </c>
      <c r="AB495" s="56">
        <f ca="1">_xlfn.CEILING.MATH(INDIRECT(ADDRESS(311,22+MATCH($P$28,'I.A. + Fasce'!$W$84:$AA$84,0),1,1) &amp; ":" &amp; ADDRESS(531,22+MATCH($P$28,'I.A. + Fasce'!$W$84:$AA$84,0),1,1))/Asta!$H$3)</f>
        <v>27</v>
      </c>
    </row>
    <row r="496" spans="1:28" ht="14.25" customHeight="1">
      <c r="A496" s="239" t="str">
        <f ca="1">IF(Giocatori!J163="","C",Giocatori!J163)</f>
        <v>C</v>
      </c>
      <c r="B496" s="239" t="str">
        <f ca="1">IF(Giocatori!K194="","ZZZ" &amp; ROW(),Giocatori!K194)</f>
        <v>ZZZ496</v>
      </c>
      <c r="C496" s="239" t="str">
        <f ca="1">IF(Giocatori!L194="","NDR" &amp; ROW(),Giocatori!L194)</f>
        <v>NDR496</v>
      </c>
      <c r="D496" s="63">
        <f ca="1">IF(ISNA(VLOOKUP($B496,TabAlgTutti,6,FALSE)),0,VLOOKUP($B496,TabAlgTutti,6,FALSE))+ROW()/100000</f>
        <v>4.96E-3</v>
      </c>
      <c r="E496" s="63">
        <f ca="1">IF(ISNA(VLOOKUP($B496,TabAlgTutti,5,FALSE)),0,VLOOKUP($B496,TabAlgTutti,5,FALSE))+ROW()/100000</f>
        <v>4.96E-3</v>
      </c>
      <c r="F496" s="64">
        <f ca="1">($D496*$P$8+$E496*(1+$E496*100/60/100)*$S$8)/100+ROW()/100000</f>
        <v>9.9202050133333324E-3</v>
      </c>
      <c r="G496" s="63" t="str">
        <f ca="1">IF(ISNA(VLOOKUP($B496,TabAlgTutti,7,FALSE)),"",IF(VLOOKUP($B496,TabAlgTutti,7,FALSE)=-1,"SCONSIGLIATO",IF(VLOOKUP($B496,TabAlgTutti,7,FALSE)=0,"SORPRESA",IF(VLOOKUP($B496,TabAlgTutti,7,FALSE)=1,"CONSIGLIATO",""))))</f>
        <v/>
      </c>
      <c r="H496" s="65" t="str">
        <f ca="1">IF(ISNA(VLOOKUP($B496,TabAlgTutti,8,FALSE)),"",VLOOKUP($B496,TabAlgTutti,8,FALSE))</f>
        <v/>
      </c>
      <c r="I496" s="63" t="str">
        <f ca="1">IF(ISNA(VLOOKUP($B496,TabAlgTutti,9,FALSE)),"",IF(VLOOKUP($B496,TabAlgTutti,9,FALSE)="","",VLOOKUP($B496,TabAlgTutti,9,FALSE)&amp;"R "))&amp;IF(ISNA(VLOOKUP($B496,TabAlgTutti,10,FALSE)),"",IF(VLOOKUP($B496,TabAlgTutti,10,FALSE)="","",VLOOKUP($B496,TabAlgTutti,10,FALSE)&amp;"P "))&amp;IF(ISNA(VLOOKUP($B496,TabAlgTutti,11,FALSE)),"",IF(VLOOKUP($B496,TabAlgTutti,11,FALSE)="","",VLOOKUP($B496,TabAlgTutti,11,FALSE)&amp;"A"))</f>
        <v/>
      </c>
      <c r="J496" s="63">
        <f ca="1">IF(ISNA(VLOOKUP($B496,TabAlgTutti,3,FALSE)),0,VLOOKUP($B496,TabAlgTutti,3,FALSE))+ROW()/100000</f>
        <v>4.96E-3</v>
      </c>
      <c r="K496" s="63">
        <f ca="1">IF(ISNA(VLOOKUP($B496,TabAlgTutti,4,FALSE)),0,VLOOKUP($B496,TabAlgTutti,4,FALSE))+ROW()/100000</f>
        <v>4.96E-3</v>
      </c>
      <c r="L496" s="63" t="e">
        <f ca="1">VLOOKUP(Tabella114[[#This Row],[Calciatore]],'Raccolta Aste'!$K$2:$O$33,4,FALSE)*Asta!$U$3/100</f>
        <v>#N/A</v>
      </c>
      <c r="N496" s="58"/>
      <c r="O496" s="58"/>
      <c r="P496" s="58"/>
      <c r="Q496" s="58"/>
      <c r="R496" s="58"/>
      <c r="S496" s="58"/>
      <c r="W496" s="56">
        <f t="shared" ca="1" si="146"/>
        <v>211</v>
      </c>
      <c r="X496" s="56">
        <f t="shared" ca="1" si="147"/>
        <v>210</v>
      </c>
      <c r="Y496" s="56">
        <f t="shared" ca="1" si="148"/>
        <v>211</v>
      </c>
      <c r="Z496" s="56">
        <f t="shared" ca="1" si="149"/>
        <v>211</v>
      </c>
      <c r="AA496" s="56">
        <f t="shared" ca="1" si="150"/>
        <v>211</v>
      </c>
      <c r="AB496" s="56">
        <f ca="1">_xlfn.CEILING.MATH(INDIRECT(ADDRESS(311,22+MATCH($P$28,'I.A. + Fasce'!$W$84:$AA$84,0),1,1) &amp; ":" &amp; ADDRESS(531,22+MATCH($P$28,'I.A. + Fasce'!$W$84:$AA$84,0),1,1))/Asta!$H$3)</f>
        <v>27</v>
      </c>
    </row>
    <row r="497" spans="1:28" ht="14.25" customHeight="1">
      <c r="A497" s="239" t="str">
        <f ca="1">IF(Giocatori!J164="","C",Giocatori!J164)</f>
        <v>C</v>
      </c>
      <c r="B497" s="239" t="str">
        <f ca="1">IF(Giocatori!K195="","ZZZ" &amp; ROW(),Giocatori!K195)</f>
        <v>ZZZ497</v>
      </c>
      <c r="C497" s="239" t="str">
        <f ca="1">IF(Giocatori!L195="","NDR" &amp; ROW(),Giocatori!L195)</f>
        <v>NDR497</v>
      </c>
      <c r="D497" s="63">
        <f ca="1">IF(ISNA(VLOOKUP($B497,TabAlgTutti,6,FALSE)),0,VLOOKUP($B497,TabAlgTutti,6,FALSE))+ROW()/100000</f>
        <v>4.9699999999999996E-3</v>
      </c>
      <c r="E497" s="63">
        <f ca="1">IF(ISNA(VLOOKUP($B497,TabAlgTutti,5,FALSE)),0,VLOOKUP($B497,TabAlgTutti,5,FALSE))+ROW()/100000</f>
        <v>4.9699999999999996E-3</v>
      </c>
      <c r="F497" s="64">
        <f ca="1">($D497*$P$8+$E497*(1+$E497*100/60/100)*$S$8)/100+ROW()/100000</f>
        <v>9.9402058408333323E-3</v>
      </c>
      <c r="G497" s="63" t="str">
        <f ca="1">IF(ISNA(VLOOKUP($B497,TabAlgTutti,7,FALSE)),"",IF(VLOOKUP($B497,TabAlgTutti,7,FALSE)=-1,"SCONSIGLIATO",IF(VLOOKUP($B497,TabAlgTutti,7,FALSE)=0,"SORPRESA",IF(VLOOKUP($B497,TabAlgTutti,7,FALSE)=1,"CONSIGLIATO",""))))</f>
        <v/>
      </c>
      <c r="H497" s="65" t="str">
        <f ca="1">IF(ISNA(VLOOKUP($B497,TabAlgTutti,8,FALSE)),"",VLOOKUP($B497,TabAlgTutti,8,FALSE))</f>
        <v/>
      </c>
      <c r="I497" s="63" t="str">
        <f ca="1">IF(ISNA(VLOOKUP($B497,TabAlgTutti,9,FALSE)),"",IF(VLOOKUP($B497,TabAlgTutti,9,FALSE)="","",VLOOKUP($B497,TabAlgTutti,9,FALSE)&amp;"R "))&amp;IF(ISNA(VLOOKUP($B497,TabAlgTutti,10,FALSE)),"",IF(VLOOKUP($B497,TabAlgTutti,10,FALSE)="","",VLOOKUP($B497,TabAlgTutti,10,FALSE)&amp;"P "))&amp;IF(ISNA(VLOOKUP($B497,TabAlgTutti,11,FALSE)),"",IF(VLOOKUP($B497,TabAlgTutti,11,FALSE)="","",VLOOKUP($B497,TabAlgTutti,11,FALSE)&amp;"A"))</f>
        <v/>
      </c>
      <c r="J497" s="63">
        <f ca="1">IF(ISNA(VLOOKUP($B497,TabAlgTutti,3,FALSE)),0,VLOOKUP($B497,TabAlgTutti,3,FALSE))+ROW()/100000</f>
        <v>4.9699999999999996E-3</v>
      </c>
      <c r="K497" s="63">
        <f ca="1">IF(ISNA(VLOOKUP($B497,TabAlgTutti,4,FALSE)),0,VLOOKUP($B497,TabAlgTutti,4,FALSE))+ROW()/100000</f>
        <v>4.9699999999999996E-3</v>
      </c>
      <c r="L497" s="63" t="e">
        <f ca="1">VLOOKUP(Tabella114[[#This Row],[Calciatore]],'Raccolta Aste'!$K$2:$O$33,4,FALSE)*Asta!$U$3/100</f>
        <v>#N/A</v>
      </c>
      <c r="N497" s="58"/>
      <c r="O497" s="58"/>
      <c r="P497" s="58"/>
      <c r="Q497" s="58"/>
      <c r="R497" s="58"/>
      <c r="S497" s="58"/>
      <c r="W497" s="56">
        <f t="shared" ca="1" si="146"/>
        <v>210</v>
      </c>
      <c r="X497" s="56">
        <f t="shared" ca="1" si="147"/>
        <v>209</v>
      </c>
      <c r="Y497" s="56">
        <f t="shared" ca="1" si="148"/>
        <v>210</v>
      </c>
      <c r="Z497" s="56">
        <f t="shared" ca="1" si="149"/>
        <v>210</v>
      </c>
      <c r="AA497" s="56">
        <f t="shared" ca="1" si="150"/>
        <v>210</v>
      </c>
      <c r="AB497" s="56">
        <f ca="1">_xlfn.CEILING.MATH(INDIRECT(ADDRESS(311,22+MATCH($P$28,'I.A. + Fasce'!$W$84:$AA$84,0),1,1) &amp; ":" &amp; ADDRESS(531,22+MATCH($P$28,'I.A. + Fasce'!$W$84:$AA$84,0),1,1))/Asta!$H$3)</f>
        <v>27</v>
      </c>
    </row>
    <row r="498" spans="1:28" ht="14.25" customHeight="1">
      <c r="A498" s="239" t="str">
        <f ca="1">IF(Giocatori!J165="","C",Giocatori!J165)</f>
        <v>C</v>
      </c>
      <c r="B498" s="239" t="str">
        <f ca="1">IF(Giocatori!K196="","ZZZ" &amp; ROW(),Giocatori!K196)</f>
        <v>ZZZ498</v>
      </c>
      <c r="C498" s="239" t="str">
        <f ca="1">IF(Giocatori!L196="","NDR" &amp; ROW(),Giocatori!L196)</f>
        <v>NDR498</v>
      </c>
      <c r="D498" s="63">
        <f ca="1">IF(ISNA(VLOOKUP($B498,TabAlgTutti,6,FALSE)),0,VLOOKUP($B498,TabAlgTutti,6,FALSE))+ROW()/100000</f>
        <v>4.9800000000000001E-3</v>
      </c>
      <c r="E498" s="63">
        <f ca="1">IF(ISNA(VLOOKUP($B498,TabAlgTutti,5,FALSE)),0,VLOOKUP($B498,TabAlgTutti,5,FALSE))+ROW()/100000</f>
        <v>4.9800000000000001E-3</v>
      </c>
      <c r="F498" s="64">
        <f ca="1">($D498*$P$8+$E498*(1+$E498*100/60/100)*$S$8)/100+ROW()/100000</f>
        <v>9.9602066699999992E-3</v>
      </c>
      <c r="G498" s="63" t="str">
        <f ca="1">IF(ISNA(VLOOKUP($B498,TabAlgTutti,7,FALSE)),"",IF(VLOOKUP($B498,TabAlgTutti,7,FALSE)=-1,"SCONSIGLIATO",IF(VLOOKUP($B498,TabAlgTutti,7,FALSE)=0,"SORPRESA",IF(VLOOKUP($B498,TabAlgTutti,7,FALSE)=1,"CONSIGLIATO",""))))</f>
        <v/>
      </c>
      <c r="H498" s="65" t="str">
        <f ca="1">IF(ISNA(VLOOKUP($B498,TabAlgTutti,8,FALSE)),"",VLOOKUP($B498,TabAlgTutti,8,FALSE))</f>
        <v/>
      </c>
      <c r="I498" s="63" t="str">
        <f ca="1">IF(ISNA(VLOOKUP($B498,TabAlgTutti,9,FALSE)),"",IF(VLOOKUP($B498,TabAlgTutti,9,FALSE)="","",VLOOKUP($B498,TabAlgTutti,9,FALSE)&amp;"R "))&amp;IF(ISNA(VLOOKUP($B498,TabAlgTutti,10,FALSE)),"",IF(VLOOKUP($B498,TabAlgTutti,10,FALSE)="","",VLOOKUP($B498,TabAlgTutti,10,FALSE)&amp;"P "))&amp;IF(ISNA(VLOOKUP($B498,TabAlgTutti,11,FALSE)),"",IF(VLOOKUP($B498,TabAlgTutti,11,FALSE)="","",VLOOKUP($B498,TabAlgTutti,11,FALSE)&amp;"A"))</f>
        <v/>
      </c>
      <c r="J498" s="63">
        <f ca="1">IF(ISNA(VLOOKUP($B498,TabAlgTutti,3,FALSE)),0,VLOOKUP($B498,TabAlgTutti,3,FALSE))+ROW()/100000</f>
        <v>4.9800000000000001E-3</v>
      </c>
      <c r="K498" s="63">
        <f ca="1">IF(ISNA(VLOOKUP($B498,TabAlgTutti,4,FALSE)),0,VLOOKUP($B498,TabAlgTutti,4,FALSE))+ROW()/100000</f>
        <v>4.9800000000000001E-3</v>
      </c>
      <c r="L498" s="63" t="e">
        <f ca="1">VLOOKUP(Tabella114[[#This Row],[Calciatore]],'Raccolta Aste'!$K$2:$O$33,4,FALSE)*Asta!$U$3/100</f>
        <v>#N/A</v>
      </c>
      <c r="N498" s="58"/>
      <c r="O498" s="58"/>
      <c r="P498" s="58"/>
      <c r="Q498" s="58"/>
      <c r="R498" s="58"/>
      <c r="S498" s="58"/>
      <c r="W498" s="56">
        <f t="shared" ca="1" si="146"/>
        <v>209</v>
      </c>
      <c r="X498" s="56">
        <f t="shared" ca="1" si="147"/>
        <v>208</v>
      </c>
      <c r="Y498" s="56">
        <f t="shared" ca="1" si="148"/>
        <v>209</v>
      </c>
      <c r="Z498" s="56">
        <f t="shared" ca="1" si="149"/>
        <v>209</v>
      </c>
      <c r="AA498" s="56">
        <f t="shared" ca="1" si="150"/>
        <v>209</v>
      </c>
      <c r="AB498" s="56">
        <f ca="1">_xlfn.CEILING.MATH(INDIRECT(ADDRESS(311,22+MATCH($P$28,'I.A. + Fasce'!$W$84:$AA$84,0),1,1) &amp; ":" &amp; ADDRESS(531,22+MATCH($P$28,'I.A. + Fasce'!$W$84:$AA$84,0),1,1))/Asta!$H$3)</f>
        <v>27</v>
      </c>
    </row>
    <row r="499" spans="1:28" ht="14.25" customHeight="1">
      <c r="A499" s="239" t="str">
        <f ca="1">IF(Giocatori!J166="","C",Giocatori!J166)</f>
        <v>C</v>
      </c>
      <c r="B499" s="239" t="str">
        <f ca="1">IF(Giocatori!K197="","ZZZ" &amp; ROW(),Giocatori!K197)</f>
        <v>ZZZ499</v>
      </c>
      <c r="C499" s="239" t="str">
        <f ca="1">IF(Giocatori!L197="","NDR" &amp; ROW(),Giocatori!L197)</f>
        <v>NDR499</v>
      </c>
      <c r="D499" s="63">
        <f ca="1">IF(ISNA(VLOOKUP($B499,TabAlgTutti,6,FALSE)),0,VLOOKUP($B499,TabAlgTutti,6,FALSE))+ROW()/100000</f>
        <v>4.9899999999999996E-3</v>
      </c>
      <c r="E499" s="63">
        <f ca="1">IF(ISNA(VLOOKUP($B499,TabAlgTutti,5,FALSE)),0,VLOOKUP($B499,TabAlgTutti,5,FALSE))+ROW()/100000</f>
        <v>4.9899999999999996E-3</v>
      </c>
      <c r="F499" s="64">
        <f ca="1">($D499*$P$8+$E499*(1+$E499*100/60/100)*$S$8)/100+ROW()/100000</f>
        <v>9.9802075008333328E-3</v>
      </c>
      <c r="G499" s="63" t="str">
        <f ca="1">IF(ISNA(VLOOKUP($B499,TabAlgTutti,7,FALSE)),"",IF(VLOOKUP($B499,TabAlgTutti,7,FALSE)=-1,"SCONSIGLIATO",IF(VLOOKUP($B499,TabAlgTutti,7,FALSE)=0,"SORPRESA",IF(VLOOKUP($B499,TabAlgTutti,7,FALSE)=1,"CONSIGLIATO",""))))</f>
        <v/>
      </c>
      <c r="H499" s="65" t="str">
        <f ca="1">IF(ISNA(VLOOKUP($B499,TabAlgTutti,8,FALSE)),"",VLOOKUP($B499,TabAlgTutti,8,FALSE))</f>
        <v/>
      </c>
      <c r="I499" s="63" t="str">
        <f ca="1">IF(ISNA(VLOOKUP($B499,TabAlgTutti,9,FALSE)),"",IF(VLOOKUP($B499,TabAlgTutti,9,FALSE)="","",VLOOKUP($B499,TabAlgTutti,9,FALSE)&amp;"R "))&amp;IF(ISNA(VLOOKUP($B499,TabAlgTutti,10,FALSE)),"",IF(VLOOKUP($B499,TabAlgTutti,10,FALSE)="","",VLOOKUP($B499,TabAlgTutti,10,FALSE)&amp;"P "))&amp;IF(ISNA(VLOOKUP($B499,TabAlgTutti,11,FALSE)),"",IF(VLOOKUP($B499,TabAlgTutti,11,FALSE)="","",VLOOKUP($B499,TabAlgTutti,11,FALSE)&amp;"A"))</f>
        <v/>
      </c>
      <c r="J499" s="63">
        <f ca="1">IF(ISNA(VLOOKUP($B499,TabAlgTutti,3,FALSE)),0,VLOOKUP($B499,TabAlgTutti,3,FALSE))+ROW()/100000</f>
        <v>4.9899999999999996E-3</v>
      </c>
      <c r="K499" s="63">
        <f ca="1">IF(ISNA(VLOOKUP($B499,TabAlgTutti,4,FALSE)),0,VLOOKUP($B499,TabAlgTutti,4,FALSE))+ROW()/100000</f>
        <v>4.9899999999999996E-3</v>
      </c>
      <c r="L499" s="63" t="e">
        <f ca="1">VLOOKUP(Tabella114[[#This Row],[Calciatore]],'Raccolta Aste'!$K$2:$O$33,4,FALSE)*Asta!$U$3/100</f>
        <v>#N/A</v>
      </c>
      <c r="N499" s="58"/>
      <c r="O499" s="58"/>
      <c r="P499" s="58"/>
      <c r="Q499" s="58"/>
      <c r="R499" s="58"/>
      <c r="S499" s="58"/>
      <c r="W499" s="56">
        <f t="shared" ca="1" si="146"/>
        <v>208</v>
      </c>
      <c r="X499" s="56">
        <f t="shared" ca="1" si="147"/>
        <v>207</v>
      </c>
      <c r="Y499" s="56">
        <f t="shared" ca="1" si="148"/>
        <v>208</v>
      </c>
      <c r="Z499" s="56">
        <f t="shared" ca="1" si="149"/>
        <v>208</v>
      </c>
      <c r="AA499" s="56">
        <f t="shared" ca="1" si="150"/>
        <v>208</v>
      </c>
      <c r="AB499" s="56">
        <f ca="1">_xlfn.CEILING.MATH(INDIRECT(ADDRESS(311,22+MATCH($P$28,'I.A. + Fasce'!$W$84:$AA$84,0),1,1) &amp; ":" &amp; ADDRESS(531,22+MATCH($P$28,'I.A. + Fasce'!$W$84:$AA$84,0),1,1))/Asta!$H$3)</f>
        <v>26</v>
      </c>
    </row>
    <row r="500" spans="1:28" ht="14.25" customHeight="1">
      <c r="A500" s="239" t="str">
        <f ca="1">IF(Giocatori!J167="","C",Giocatori!J167)</f>
        <v>C</v>
      </c>
      <c r="B500" s="239" t="str">
        <f ca="1">IF(Giocatori!K198="","ZZZ" &amp; ROW(),Giocatori!K198)</f>
        <v>ZZZ500</v>
      </c>
      <c r="C500" s="239" t="str">
        <f ca="1">IF(Giocatori!L198="","NDR" &amp; ROW(),Giocatori!L198)</f>
        <v>NDR500</v>
      </c>
      <c r="D500" s="63">
        <f ca="1">IF(ISNA(VLOOKUP($B500,TabAlgTutti,6,FALSE)),0,VLOOKUP($B500,TabAlgTutti,6,FALSE))+ROW()/100000</f>
        <v>5.0000000000000001E-3</v>
      </c>
      <c r="E500" s="63">
        <f ca="1">IF(ISNA(VLOOKUP($B500,TabAlgTutti,5,FALSE)),0,VLOOKUP($B500,TabAlgTutti,5,FALSE))+ROW()/100000</f>
        <v>5.0000000000000001E-3</v>
      </c>
      <c r="F500" s="64">
        <f ca="1">($D500*$P$8+$E500*(1+$E500*100/60/100)*$S$8)/100+ROW()/100000</f>
        <v>1.0000208333333333E-2</v>
      </c>
      <c r="G500" s="63" t="str">
        <f ca="1">IF(ISNA(VLOOKUP($B500,TabAlgTutti,7,FALSE)),"",IF(VLOOKUP($B500,TabAlgTutti,7,FALSE)=-1,"SCONSIGLIATO",IF(VLOOKUP($B500,TabAlgTutti,7,FALSE)=0,"SORPRESA",IF(VLOOKUP($B500,TabAlgTutti,7,FALSE)=1,"CONSIGLIATO",""))))</f>
        <v/>
      </c>
      <c r="H500" s="65" t="str">
        <f ca="1">IF(ISNA(VLOOKUP($B500,TabAlgTutti,8,FALSE)),"",VLOOKUP($B500,TabAlgTutti,8,FALSE))</f>
        <v/>
      </c>
      <c r="I500" s="63" t="str">
        <f ca="1">IF(ISNA(VLOOKUP($B500,TabAlgTutti,9,FALSE)),"",IF(VLOOKUP($B500,TabAlgTutti,9,FALSE)="","",VLOOKUP($B500,TabAlgTutti,9,FALSE)&amp;"R "))&amp;IF(ISNA(VLOOKUP($B500,TabAlgTutti,10,FALSE)),"",IF(VLOOKUP($B500,TabAlgTutti,10,FALSE)="","",VLOOKUP($B500,TabAlgTutti,10,FALSE)&amp;"P "))&amp;IF(ISNA(VLOOKUP($B500,TabAlgTutti,11,FALSE)),"",IF(VLOOKUP($B500,TabAlgTutti,11,FALSE)="","",VLOOKUP($B500,TabAlgTutti,11,FALSE)&amp;"A"))</f>
        <v/>
      </c>
      <c r="J500" s="63">
        <f ca="1">IF(ISNA(VLOOKUP($B500,TabAlgTutti,3,FALSE)),0,VLOOKUP($B500,TabAlgTutti,3,FALSE))+ROW()/100000</f>
        <v>5.0000000000000001E-3</v>
      </c>
      <c r="K500" s="63">
        <f ca="1">IF(ISNA(VLOOKUP($B500,TabAlgTutti,4,FALSE)),0,VLOOKUP($B500,TabAlgTutti,4,FALSE))+ROW()/100000</f>
        <v>5.0000000000000001E-3</v>
      </c>
      <c r="L500" s="63" t="e">
        <f ca="1">VLOOKUP(Tabella114[[#This Row],[Calciatore]],'Raccolta Aste'!$K$2:$O$33,4,FALSE)*Asta!$U$3/100</f>
        <v>#N/A</v>
      </c>
      <c r="N500" s="58"/>
      <c r="O500" s="58"/>
      <c r="P500" s="58"/>
      <c r="Q500" s="58"/>
      <c r="R500" s="58"/>
      <c r="S500" s="58"/>
      <c r="W500" s="56">
        <f t="shared" ca="1" si="146"/>
        <v>207</v>
      </c>
      <c r="X500" s="56">
        <f t="shared" ca="1" si="147"/>
        <v>206</v>
      </c>
      <c r="Y500" s="56">
        <f t="shared" ca="1" si="148"/>
        <v>207</v>
      </c>
      <c r="Z500" s="56">
        <f t="shared" ca="1" si="149"/>
        <v>207</v>
      </c>
      <c r="AA500" s="56">
        <f t="shared" ca="1" si="150"/>
        <v>207</v>
      </c>
      <c r="AB500" s="56">
        <f ca="1">_xlfn.CEILING.MATH(INDIRECT(ADDRESS(311,22+MATCH($P$28,'I.A. + Fasce'!$W$84:$AA$84,0),1,1) &amp; ":" &amp; ADDRESS(531,22+MATCH($P$28,'I.A. + Fasce'!$W$84:$AA$84,0),1,1))/Asta!$H$3)</f>
        <v>26</v>
      </c>
    </row>
    <row r="501" spans="1:28" ht="14.25" customHeight="1">
      <c r="A501" s="239" t="str">
        <f ca="1">IF(Giocatori!J168="","C",Giocatori!J168)</f>
        <v>C</v>
      </c>
      <c r="B501" s="239" t="str">
        <f ca="1">IF(Giocatori!K199="","ZZZ" &amp; ROW(),Giocatori!K199)</f>
        <v>ZZZ501</v>
      </c>
      <c r="C501" s="239" t="str">
        <f ca="1">IF(Giocatori!L199="","NDR" &amp; ROW(),Giocatori!L199)</f>
        <v>NDR501</v>
      </c>
      <c r="D501" s="63">
        <f ca="1">IF(ISNA(VLOOKUP($B501,TabAlgTutti,6,FALSE)),0,VLOOKUP($B501,TabAlgTutti,6,FALSE))+ROW()/100000</f>
        <v>5.0099999999999997E-3</v>
      </c>
      <c r="E501" s="63">
        <f ca="1">IF(ISNA(VLOOKUP($B501,TabAlgTutti,5,FALSE)),0,VLOOKUP($B501,TabAlgTutti,5,FALSE))+ROW()/100000</f>
        <v>5.0099999999999997E-3</v>
      </c>
      <c r="F501" s="64">
        <f ca="1">($D501*$P$8+$E501*(1+$E501*100/60/100)*$S$8)/100+ROW()/100000</f>
        <v>1.0020209167499999E-2</v>
      </c>
      <c r="G501" s="63" t="str">
        <f ca="1">IF(ISNA(VLOOKUP($B501,TabAlgTutti,7,FALSE)),"",IF(VLOOKUP($B501,TabAlgTutti,7,FALSE)=-1,"SCONSIGLIATO",IF(VLOOKUP($B501,TabAlgTutti,7,FALSE)=0,"SORPRESA",IF(VLOOKUP($B501,TabAlgTutti,7,FALSE)=1,"CONSIGLIATO",""))))</f>
        <v/>
      </c>
      <c r="H501" s="65" t="str">
        <f ca="1">IF(ISNA(VLOOKUP($B501,TabAlgTutti,8,FALSE)),"",VLOOKUP($B501,TabAlgTutti,8,FALSE))</f>
        <v/>
      </c>
      <c r="I501" s="63" t="str">
        <f ca="1">IF(ISNA(VLOOKUP($B501,TabAlgTutti,9,FALSE)),"",IF(VLOOKUP($B501,TabAlgTutti,9,FALSE)="","",VLOOKUP($B501,TabAlgTutti,9,FALSE)&amp;"R "))&amp;IF(ISNA(VLOOKUP($B501,TabAlgTutti,10,FALSE)),"",IF(VLOOKUP($B501,TabAlgTutti,10,FALSE)="","",VLOOKUP($B501,TabAlgTutti,10,FALSE)&amp;"P "))&amp;IF(ISNA(VLOOKUP($B501,TabAlgTutti,11,FALSE)),"",IF(VLOOKUP($B501,TabAlgTutti,11,FALSE)="","",VLOOKUP($B501,TabAlgTutti,11,FALSE)&amp;"A"))</f>
        <v/>
      </c>
      <c r="J501" s="63">
        <f ca="1">IF(ISNA(VLOOKUP($B501,TabAlgTutti,3,FALSE)),0,VLOOKUP($B501,TabAlgTutti,3,FALSE))+ROW()/100000</f>
        <v>5.0099999999999997E-3</v>
      </c>
      <c r="K501" s="63">
        <f ca="1">IF(ISNA(VLOOKUP($B501,TabAlgTutti,4,FALSE)),0,VLOOKUP($B501,TabAlgTutti,4,FALSE))+ROW()/100000</f>
        <v>5.0099999999999997E-3</v>
      </c>
      <c r="L501" s="63" t="e">
        <f ca="1">VLOOKUP(Tabella114[[#This Row],[Calciatore]],'Raccolta Aste'!$K$2:$O$33,4,FALSE)*Asta!$U$3/100</f>
        <v>#N/A</v>
      </c>
      <c r="N501" s="58"/>
      <c r="O501" s="547" t="s">
        <v>704</v>
      </c>
      <c r="P501" s="547"/>
      <c r="Q501" s="58"/>
      <c r="R501" s="58"/>
      <c r="S501" s="58"/>
      <c r="W501" s="56">
        <f t="shared" ca="1" si="146"/>
        <v>206</v>
      </c>
      <c r="X501" s="56">
        <f t="shared" ca="1" si="147"/>
        <v>205</v>
      </c>
      <c r="Y501" s="56">
        <f t="shared" ca="1" si="148"/>
        <v>206</v>
      </c>
      <c r="Z501" s="56">
        <f t="shared" ca="1" si="149"/>
        <v>206</v>
      </c>
      <c r="AA501" s="56">
        <f t="shared" ca="1" si="150"/>
        <v>206</v>
      </c>
      <c r="AB501" s="56">
        <f ca="1">_xlfn.CEILING.MATH(INDIRECT(ADDRESS(311,22+MATCH($P$28,'I.A. + Fasce'!$W$84:$AA$84,0),1,1) &amp; ":" &amp; ADDRESS(531,22+MATCH($P$28,'I.A. + Fasce'!$W$84:$AA$84,0),1,1))/Asta!$H$3)</f>
        <v>26</v>
      </c>
    </row>
    <row r="502" spans="1:28" ht="14.25" customHeight="1">
      <c r="A502" s="239" t="str">
        <f ca="1">IF(Giocatori!J169="","C",Giocatori!J169)</f>
        <v>C</v>
      </c>
      <c r="B502" s="239" t="str">
        <f ca="1">IF(Giocatori!K200="","ZZZ" &amp; ROW(),Giocatori!K200)</f>
        <v>ZZZ502</v>
      </c>
      <c r="C502" s="239" t="str">
        <f ca="1">IF(Giocatori!L200="","NDR" &amp; ROW(),Giocatori!L200)</f>
        <v>NDR502</v>
      </c>
      <c r="D502" s="63">
        <f ca="1">IF(ISNA(VLOOKUP($B502,TabAlgTutti,6,FALSE)),0,VLOOKUP($B502,TabAlgTutti,6,FALSE))+ROW()/100000</f>
        <v>5.0200000000000002E-3</v>
      </c>
      <c r="E502" s="63">
        <f ca="1">IF(ISNA(VLOOKUP($B502,TabAlgTutti,5,FALSE)),0,VLOOKUP($B502,TabAlgTutti,5,FALSE))+ROW()/100000</f>
        <v>5.0200000000000002E-3</v>
      </c>
      <c r="F502" s="64">
        <f ca="1">($D502*$P$8+$E502*(1+$E502*100/60/100)*$S$8)/100+ROW()/100000</f>
        <v>1.0040210003333334E-2</v>
      </c>
      <c r="G502" s="63" t="str">
        <f ca="1">IF(ISNA(VLOOKUP($B502,TabAlgTutti,7,FALSE)),"",IF(VLOOKUP($B502,TabAlgTutti,7,FALSE)=-1,"SCONSIGLIATO",IF(VLOOKUP($B502,TabAlgTutti,7,FALSE)=0,"SORPRESA",IF(VLOOKUP($B502,TabAlgTutti,7,FALSE)=1,"CONSIGLIATO",""))))</f>
        <v/>
      </c>
      <c r="H502" s="65" t="str">
        <f ca="1">IF(ISNA(VLOOKUP($B502,TabAlgTutti,8,FALSE)),"",VLOOKUP($B502,TabAlgTutti,8,FALSE))</f>
        <v/>
      </c>
      <c r="I502" s="63" t="str">
        <f ca="1">IF(ISNA(VLOOKUP($B502,TabAlgTutti,9,FALSE)),"",IF(VLOOKUP($B502,TabAlgTutti,9,FALSE)="","",VLOOKUP($B502,TabAlgTutti,9,FALSE)&amp;"R "))&amp;IF(ISNA(VLOOKUP($B502,TabAlgTutti,10,FALSE)),"",IF(VLOOKUP($B502,TabAlgTutti,10,FALSE)="","",VLOOKUP($B502,TabAlgTutti,10,FALSE)&amp;"P "))&amp;IF(ISNA(VLOOKUP($B502,TabAlgTutti,11,FALSE)),"",IF(VLOOKUP($B502,TabAlgTutti,11,FALSE)="","",VLOOKUP($B502,TabAlgTutti,11,FALSE)&amp;"A"))</f>
        <v/>
      </c>
      <c r="J502" s="63">
        <f ca="1">IF(ISNA(VLOOKUP($B502,TabAlgTutti,3,FALSE)),0,VLOOKUP($B502,TabAlgTutti,3,FALSE))+ROW()/100000</f>
        <v>5.0200000000000002E-3</v>
      </c>
      <c r="K502" s="63">
        <f ca="1">IF(ISNA(VLOOKUP($B502,TabAlgTutti,4,FALSE)),0,VLOOKUP($B502,TabAlgTutti,4,FALSE))+ROW()/100000</f>
        <v>5.0200000000000002E-3</v>
      </c>
      <c r="L502" s="63" t="e">
        <f ca="1">VLOOKUP(Tabella114[[#This Row],[Calciatore]],'Raccolta Aste'!$K$2:$O$33,4,FALSE)*Asta!$U$3/100</f>
        <v>#N/A</v>
      </c>
      <c r="N502" s="58"/>
      <c r="O502" s="58"/>
      <c r="P502" s="58"/>
      <c r="Q502" s="58"/>
      <c r="R502" s="58"/>
      <c r="S502" s="58"/>
      <c r="W502" s="56">
        <f t="shared" ca="1" si="146"/>
        <v>205</v>
      </c>
      <c r="X502" s="56">
        <f t="shared" ca="1" si="147"/>
        <v>204</v>
      </c>
      <c r="Y502" s="56">
        <f t="shared" ca="1" si="148"/>
        <v>205</v>
      </c>
      <c r="Z502" s="56">
        <f t="shared" ca="1" si="149"/>
        <v>205</v>
      </c>
      <c r="AA502" s="56">
        <f t="shared" ca="1" si="150"/>
        <v>205</v>
      </c>
      <c r="AB502" s="56">
        <f ca="1">_xlfn.CEILING.MATH(INDIRECT(ADDRESS(311,22+MATCH($P$28,'I.A. + Fasce'!$W$84:$AA$84,0),1,1) &amp; ":" &amp; ADDRESS(531,22+MATCH($P$28,'I.A. + Fasce'!$W$84:$AA$84,0),1,1))/Asta!$H$3)</f>
        <v>26</v>
      </c>
    </row>
    <row r="503" spans="1:28" ht="14.25" customHeight="1">
      <c r="A503" s="239" t="str">
        <f ca="1">IF(Giocatori!J170="","C",Giocatori!J170)</f>
        <v>c</v>
      </c>
      <c r="B503" s="239" t="str">
        <f ca="1">IF(Giocatori!K201="","ZZZ" &amp; ROW(),Giocatori!K201)</f>
        <v>ZZZ503</v>
      </c>
      <c r="C503" s="239" t="str">
        <f ca="1">IF(Giocatori!L201="","NDR" &amp; ROW(),Giocatori!L201)</f>
        <v>NDR503</v>
      </c>
      <c r="D503" s="63">
        <f ca="1">IF(ISNA(VLOOKUP($B503,TabAlgTutti,6,FALSE)),0,VLOOKUP($B503,TabAlgTutti,6,FALSE))+ROW()/100000</f>
        <v>5.0299999999999997E-3</v>
      </c>
      <c r="E503" s="63">
        <f ca="1">IF(ISNA(VLOOKUP($B503,TabAlgTutti,5,FALSE)),0,VLOOKUP($B503,TabAlgTutti,5,FALSE))+ROW()/100000</f>
        <v>5.0299999999999997E-3</v>
      </c>
      <c r="F503" s="64">
        <f ca="1">($D503*$P$8+$E503*(1+$E503*100/60/100)*$S$8)/100+ROW()/100000</f>
        <v>1.0060210840833334E-2</v>
      </c>
      <c r="G503" s="63" t="str">
        <f ca="1">IF(ISNA(VLOOKUP($B503,TabAlgTutti,7,FALSE)),"",IF(VLOOKUP($B503,TabAlgTutti,7,FALSE)=-1,"SCONSIGLIATO",IF(VLOOKUP($B503,TabAlgTutti,7,FALSE)=0,"SORPRESA",IF(VLOOKUP($B503,TabAlgTutti,7,FALSE)=1,"CONSIGLIATO",""))))</f>
        <v/>
      </c>
      <c r="H503" s="65" t="str">
        <f ca="1">IF(ISNA(VLOOKUP($B503,TabAlgTutti,8,FALSE)),"",VLOOKUP($B503,TabAlgTutti,8,FALSE))</f>
        <v/>
      </c>
      <c r="I503" s="63" t="str">
        <f ca="1">IF(ISNA(VLOOKUP($B503,TabAlgTutti,9,FALSE)),"",IF(VLOOKUP($B503,TabAlgTutti,9,FALSE)="","",VLOOKUP($B503,TabAlgTutti,9,FALSE)&amp;"R "))&amp;IF(ISNA(VLOOKUP($B503,TabAlgTutti,10,FALSE)),"",IF(VLOOKUP($B503,TabAlgTutti,10,FALSE)="","",VLOOKUP($B503,TabAlgTutti,10,FALSE)&amp;"P "))&amp;IF(ISNA(VLOOKUP($B503,TabAlgTutti,11,FALSE)),"",IF(VLOOKUP($B503,TabAlgTutti,11,FALSE)="","",VLOOKUP($B503,TabAlgTutti,11,FALSE)&amp;"A"))</f>
        <v/>
      </c>
      <c r="J503" s="63">
        <f ca="1">IF(ISNA(VLOOKUP($B503,TabAlgTutti,3,FALSE)),0,VLOOKUP($B503,TabAlgTutti,3,FALSE))+ROW()/100000</f>
        <v>5.0299999999999997E-3</v>
      </c>
      <c r="K503" s="63">
        <f ca="1">IF(ISNA(VLOOKUP($B503,TabAlgTutti,4,FALSE)),0,VLOOKUP($B503,TabAlgTutti,4,FALSE))+ROW()/100000</f>
        <v>5.0299999999999997E-3</v>
      </c>
      <c r="L503" s="63" t="e">
        <f ca="1">VLOOKUP(Tabella114[[#This Row],[Calciatore]],'Raccolta Aste'!$K$2:$O$33,4,FALSE)*Asta!$U$3/100</f>
        <v>#N/A</v>
      </c>
      <c r="N503" s="58"/>
      <c r="O503" s="58"/>
      <c r="P503" s="58"/>
      <c r="Q503" s="58"/>
      <c r="R503" s="58"/>
      <c r="S503" s="58"/>
      <c r="W503" s="56">
        <f t="shared" ca="1" si="146"/>
        <v>204</v>
      </c>
      <c r="X503" s="56">
        <f t="shared" ca="1" si="147"/>
        <v>203</v>
      </c>
      <c r="Y503" s="56">
        <f t="shared" ca="1" si="148"/>
        <v>204</v>
      </c>
      <c r="Z503" s="56">
        <f t="shared" ca="1" si="149"/>
        <v>204</v>
      </c>
      <c r="AA503" s="56">
        <f t="shared" ca="1" si="150"/>
        <v>204</v>
      </c>
      <c r="AB503" s="56">
        <f ca="1">_xlfn.CEILING.MATH(INDIRECT(ADDRESS(311,22+MATCH($P$28,'I.A. + Fasce'!$W$84:$AA$84,0),1,1) &amp; ":" &amp; ADDRESS(531,22+MATCH($P$28,'I.A. + Fasce'!$W$84:$AA$84,0),1,1))/Asta!$H$3)</f>
        <v>26</v>
      </c>
    </row>
    <row r="504" spans="1:28" ht="14.25" customHeight="1">
      <c r="A504" s="239" t="str">
        <f ca="1">IF(Giocatori!J171="","C",Giocatori!J171)</f>
        <v>C</v>
      </c>
      <c r="B504" s="239" t="str">
        <f ca="1">IF(Giocatori!K202="","ZZZ" &amp; ROW(),Giocatori!K202)</f>
        <v>ZZZ504</v>
      </c>
      <c r="C504" s="239" t="str">
        <f ca="1">IF(Giocatori!L202="","NDR" &amp; ROW(),Giocatori!L202)</f>
        <v>NDR504</v>
      </c>
      <c r="D504" s="63">
        <f ca="1">IF(ISNA(VLOOKUP($B504,TabAlgTutti,6,FALSE)),0,VLOOKUP($B504,TabAlgTutti,6,FALSE))+ROW()/100000</f>
        <v>5.0400000000000002E-3</v>
      </c>
      <c r="E504" s="63">
        <f ca="1">IF(ISNA(VLOOKUP($B504,TabAlgTutti,5,FALSE)),0,VLOOKUP($B504,TabAlgTutti,5,FALSE))+ROW()/100000</f>
        <v>5.0400000000000002E-3</v>
      </c>
      <c r="F504" s="64">
        <f ca="1">($D504*$P$8+$E504*(1+$E504*100/60/100)*$S$8)/100+ROW()/100000</f>
        <v>1.0080211679999999E-2</v>
      </c>
      <c r="G504" s="63" t="str">
        <f ca="1">IF(ISNA(VLOOKUP($B504,TabAlgTutti,7,FALSE)),"",IF(VLOOKUP($B504,TabAlgTutti,7,FALSE)=-1,"SCONSIGLIATO",IF(VLOOKUP($B504,TabAlgTutti,7,FALSE)=0,"SORPRESA",IF(VLOOKUP($B504,TabAlgTutti,7,FALSE)=1,"CONSIGLIATO",""))))</f>
        <v/>
      </c>
      <c r="H504" s="65" t="str">
        <f ca="1">IF(ISNA(VLOOKUP($B504,TabAlgTutti,8,FALSE)),"",VLOOKUP($B504,TabAlgTutti,8,FALSE))</f>
        <v/>
      </c>
      <c r="I504" s="63" t="str">
        <f ca="1">IF(ISNA(VLOOKUP($B504,TabAlgTutti,9,FALSE)),"",IF(VLOOKUP($B504,TabAlgTutti,9,FALSE)="","",VLOOKUP($B504,TabAlgTutti,9,FALSE)&amp;"R "))&amp;IF(ISNA(VLOOKUP($B504,TabAlgTutti,10,FALSE)),"",IF(VLOOKUP($B504,TabAlgTutti,10,FALSE)="","",VLOOKUP($B504,TabAlgTutti,10,FALSE)&amp;"P "))&amp;IF(ISNA(VLOOKUP($B504,TabAlgTutti,11,FALSE)),"",IF(VLOOKUP($B504,TabAlgTutti,11,FALSE)="","",VLOOKUP($B504,TabAlgTutti,11,FALSE)&amp;"A"))</f>
        <v/>
      </c>
      <c r="J504" s="63">
        <f ca="1">IF(ISNA(VLOOKUP($B504,TabAlgTutti,3,FALSE)),0,VLOOKUP($B504,TabAlgTutti,3,FALSE))+ROW()/100000</f>
        <v>5.0400000000000002E-3</v>
      </c>
      <c r="K504" s="63">
        <f ca="1">IF(ISNA(VLOOKUP($B504,TabAlgTutti,4,FALSE)),0,VLOOKUP($B504,TabAlgTutti,4,FALSE))+ROW()/100000</f>
        <v>5.0400000000000002E-3</v>
      </c>
      <c r="L504" s="63" t="e">
        <f ca="1">VLOOKUP(Tabella114[[#This Row],[Calciatore]],'Raccolta Aste'!$K$2:$O$33,4,FALSE)*Asta!$U$3/100</f>
        <v>#N/A</v>
      </c>
      <c r="N504" s="58"/>
      <c r="O504" s="58"/>
      <c r="P504" s="58"/>
      <c r="Q504" s="58"/>
      <c r="R504" s="58"/>
      <c r="S504" s="58"/>
      <c r="W504" s="56">
        <f t="shared" ref="W504:W531" ca="1" si="151">_xlfn.RANK.EQ(D504,D$311:D$531,0)</f>
        <v>203</v>
      </c>
      <c r="X504" s="56">
        <f t="shared" ref="X504:X531" ca="1" si="152">_xlfn.RANK.EQ(E504,$E$311:$E$531,0)</f>
        <v>202</v>
      </c>
      <c r="Y504" s="56">
        <f t="shared" ref="Y504:Y531" ca="1" si="153">_xlfn.RANK.EQ(F504,$F$311:$F$531,0)</f>
        <v>203</v>
      </c>
      <c r="Z504" s="56">
        <f t="shared" ref="Z504:Z531" ca="1" si="154">_xlfn.RANK.EQ(J504,$J$311:$J$531,0)</f>
        <v>203</v>
      </c>
      <c r="AA504" s="56">
        <f t="shared" ref="AA504:AA531" ca="1" si="155">_xlfn.RANK.EQ(K504,$K$311:$K$531,0)</f>
        <v>203</v>
      </c>
      <c r="AB504" s="56">
        <f ca="1">_xlfn.CEILING.MATH(INDIRECT(ADDRESS(311,22+MATCH($P$28,'I.A. + Fasce'!$W$84:$AA$84,0),1,1) &amp; ":" &amp; ADDRESS(531,22+MATCH($P$28,'I.A. + Fasce'!$W$84:$AA$84,0),1,1))/Asta!$H$3)</f>
        <v>26</v>
      </c>
    </row>
    <row r="505" spans="1:28" ht="14.25" customHeight="1">
      <c r="A505" s="239" t="str">
        <f ca="1">IF(Giocatori!J172="","C",Giocatori!J172)</f>
        <v>C</v>
      </c>
      <c r="B505" s="239" t="str">
        <f ca="1">IF(Giocatori!K203="","ZZZ" &amp; ROW(),Giocatori!K203)</f>
        <v>ZZZ505</v>
      </c>
      <c r="C505" s="239" t="str">
        <f ca="1">IF(Giocatori!L203="","NDR" &amp; ROW(),Giocatori!L203)</f>
        <v>NDR505</v>
      </c>
      <c r="D505" s="63">
        <f ca="1">IF(ISNA(VLOOKUP($B505,TabAlgTutti,6,FALSE)),0,VLOOKUP($B505,TabAlgTutti,6,FALSE))+ROW()/100000</f>
        <v>5.0499999999999998E-3</v>
      </c>
      <c r="E505" s="63">
        <f ca="1">IF(ISNA(VLOOKUP($B505,TabAlgTutti,5,FALSE)),0,VLOOKUP($B505,TabAlgTutti,5,FALSE))+ROW()/100000</f>
        <v>5.0499999999999998E-3</v>
      </c>
      <c r="F505" s="64">
        <f ca="1">($D505*$P$8+$E505*(1+$E505*100/60/100)*$S$8)/100+ROW()/100000</f>
        <v>1.0100212520833332E-2</v>
      </c>
      <c r="G505" s="63" t="str">
        <f ca="1">IF(ISNA(VLOOKUP($B505,TabAlgTutti,7,FALSE)),"",IF(VLOOKUP($B505,TabAlgTutti,7,FALSE)=-1,"SCONSIGLIATO",IF(VLOOKUP($B505,TabAlgTutti,7,FALSE)=0,"SORPRESA",IF(VLOOKUP($B505,TabAlgTutti,7,FALSE)=1,"CONSIGLIATO",""))))</f>
        <v/>
      </c>
      <c r="H505" s="65" t="str">
        <f ca="1">IF(ISNA(VLOOKUP($B505,TabAlgTutti,8,FALSE)),"",VLOOKUP($B505,TabAlgTutti,8,FALSE))</f>
        <v/>
      </c>
      <c r="I505" s="63" t="str">
        <f ca="1">IF(ISNA(VLOOKUP($B505,TabAlgTutti,9,FALSE)),"",IF(VLOOKUP($B505,TabAlgTutti,9,FALSE)="","",VLOOKUP($B505,TabAlgTutti,9,FALSE)&amp;"R "))&amp;IF(ISNA(VLOOKUP($B505,TabAlgTutti,10,FALSE)),"",IF(VLOOKUP($B505,TabAlgTutti,10,FALSE)="","",VLOOKUP($B505,TabAlgTutti,10,FALSE)&amp;"P "))&amp;IF(ISNA(VLOOKUP($B505,TabAlgTutti,11,FALSE)),"",IF(VLOOKUP($B505,TabAlgTutti,11,FALSE)="","",VLOOKUP($B505,TabAlgTutti,11,FALSE)&amp;"A"))</f>
        <v/>
      </c>
      <c r="J505" s="63">
        <f ca="1">IF(ISNA(VLOOKUP($B505,TabAlgTutti,3,FALSE)),0,VLOOKUP($B505,TabAlgTutti,3,FALSE))+ROW()/100000</f>
        <v>5.0499999999999998E-3</v>
      </c>
      <c r="K505" s="63">
        <f ca="1">IF(ISNA(VLOOKUP($B505,TabAlgTutti,4,FALSE)),0,VLOOKUP($B505,TabAlgTutti,4,FALSE))+ROW()/100000</f>
        <v>5.0499999999999998E-3</v>
      </c>
      <c r="L505" s="63" t="e">
        <f ca="1">VLOOKUP(Tabella114[[#This Row],[Calciatore]],'Raccolta Aste'!$K$2:$O$33,4,FALSE)*Asta!$U$3/100</f>
        <v>#N/A</v>
      </c>
      <c r="N505" s="58"/>
      <c r="O505" s="58"/>
      <c r="P505" s="58"/>
      <c r="Q505" s="58"/>
      <c r="R505" s="58"/>
      <c r="S505" s="58"/>
      <c r="W505" s="56">
        <f t="shared" ca="1" si="151"/>
        <v>202</v>
      </c>
      <c r="X505" s="56">
        <f t="shared" ca="1" si="152"/>
        <v>201</v>
      </c>
      <c r="Y505" s="56">
        <f t="shared" ca="1" si="153"/>
        <v>202</v>
      </c>
      <c r="Z505" s="56">
        <f t="shared" ca="1" si="154"/>
        <v>202</v>
      </c>
      <c r="AA505" s="56">
        <f t="shared" ca="1" si="155"/>
        <v>202</v>
      </c>
      <c r="AB505" s="56">
        <f ca="1">_xlfn.CEILING.MATH(INDIRECT(ADDRESS(311,22+MATCH($P$28,'I.A. + Fasce'!$W$84:$AA$84,0),1,1) &amp; ":" &amp; ADDRESS(531,22+MATCH($P$28,'I.A. + Fasce'!$W$84:$AA$84,0),1,1))/Asta!$H$3)</f>
        <v>26</v>
      </c>
    </row>
    <row r="506" spans="1:28" ht="14.25" customHeight="1">
      <c r="A506" s="239" t="str">
        <f ca="1">IF(Giocatori!J173="","C",Giocatori!J173)</f>
        <v>C</v>
      </c>
      <c r="B506" s="239" t="str">
        <f ca="1">IF(Giocatori!K204="","ZZZ" &amp; ROW(),Giocatori!K204)</f>
        <v>ZZZ506</v>
      </c>
      <c r="C506" s="239" t="str">
        <f ca="1">IF(Giocatori!L204="","NDR" &amp; ROW(),Giocatori!L204)</f>
        <v>NDR506</v>
      </c>
      <c r="D506" s="63">
        <f ca="1">IF(ISNA(VLOOKUP($B506,TabAlgTutti,6,FALSE)),0,VLOOKUP($B506,TabAlgTutti,6,FALSE))+ROW()/100000</f>
        <v>5.0600000000000003E-3</v>
      </c>
      <c r="E506" s="63">
        <f ca="1">IF(ISNA(VLOOKUP($B506,TabAlgTutti,5,FALSE)),0,VLOOKUP($B506,TabAlgTutti,5,FALSE))+ROW()/100000</f>
        <v>5.0600000000000003E-3</v>
      </c>
      <c r="F506" s="64">
        <f ca="1">($D506*$P$8+$E506*(1+$E506*100/60/100)*$S$8)/100+ROW()/100000</f>
        <v>1.0120213363333333E-2</v>
      </c>
      <c r="G506" s="63" t="str">
        <f ca="1">IF(ISNA(VLOOKUP($B506,TabAlgTutti,7,FALSE)),"",IF(VLOOKUP($B506,TabAlgTutti,7,FALSE)=-1,"SCONSIGLIATO",IF(VLOOKUP($B506,TabAlgTutti,7,FALSE)=0,"SORPRESA",IF(VLOOKUP($B506,TabAlgTutti,7,FALSE)=1,"CONSIGLIATO",""))))</f>
        <v/>
      </c>
      <c r="H506" s="65" t="str">
        <f ca="1">IF(ISNA(VLOOKUP($B506,TabAlgTutti,8,FALSE)),"",VLOOKUP($B506,TabAlgTutti,8,FALSE))</f>
        <v/>
      </c>
      <c r="I506" s="63" t="str">
        <f ca="1">IF(ISNA(VLOOKUP($B506,TabAlgTutti,9,FALSE)),"",IF(VLOOKUP($B506,TabAlgTutti,9,FALSE)="","",VLOOKUP($B506,TabAlgTutti,9,FALSE)&amp;"R "))&amp;IF(ISNA(VLOOKUP($B506,TabAlgTutti,10,FALSE)),"",IF(VLOOKUP($B506,TabAlgTutti,10,FALSE)="","",VLOOKUP($B506,TabAlgTutti,10,FALSE)&amp;"P "))&amp;IF(ISNA(VLOOKUP($B506,TabAlgTutti,11,FALSE)),"",IF(VLOOKUP($B506,TabAlgTutti,11,FALSE)="","",VLOOKUP($B506,TabAlgTutti,11,FALSE)&amp;"A"))</f>
        <v/>
      </c>
      <c r="J506" s="63">
        <f ca="1">IF(ISNA(VLOOKUP($B506,TabAlgTutti,3,FALSE)),0,VLOOKUP($B506,TabAlgTutti,3,FALSE))+ROW()/100000</f>
        <v>5.0600000000000003E-3</v>
      </c>
      <c r="K506" s="63">
        <f ca="1">IF(ISNA(VLOOKUP($B506,TabAlgTutti,4,FALSE)),0,VLOOKUP($B506,TabAlgTutti,4,FALSE))+ROW()/100000</f>
        <v>5.0600000000000003E-3</v>
      </c>
      <c r="L506" s="63" t="e">
        <f ca="1">VLOOKUP(Tabella114[[#This Row],[Calciatore]],'Raccolta Aste'!$K$2:$O$33,4,FALSE)*Asta!$U$3/100</f>
        <v>#N/A</v>
      </c>
      <c r="N506" s="58"/>
      <c r="O506" s="58"/>
      <c r="P506" s="58"/>
      <c r="Q506" s="58"/>
      <c r="R506" s="58"/>
      <c r="S506" s="58"/>
      <c r="W506" s="56">
        <f t="shared" ca="1" si="151"/>
        <v>201</v>
      </c>
      <c r="X506" s="56">
        <f t="shared" ca="1" si="152"/>
        <v>200</v>
      </c>
      <c r="Y506" s="56">
        <f t="shared" ca="1" si="153"/>
        <v>201</v>
      </c>
      <c r="Z506" s="56">
        <f t="shared" ca="1" si="154"/>
        <v>201</v>
      </c>
      <c r="AA506" s="56">
        <f t="shared" ca="1" si="155"/>
        <v>201</v>
      </c>
      <c r="AB506" s="56">
        <f ca="1">_xlfn.CEILING.MATH(INDIRECT(ADDRESS(311,22+MATCH($P$28,'I.A. + Fasce'!$W$84:$AA$84,0),1,1) &amp; ":" &amp; ADDRESS(531,22+MATCH($P$28,'I.A. + Fasce'!$W$84:$AA$84,0),1,1))/Asta!$H$3)</f>
        <v>26</v>
      </c>
    </row>
    <row r="507" spans="1:28" ht="14.25" customHeight="1">
      <c r="A507" s="239" t="str">
        <f ca="1">IF(Giocatori!J174="","C",Giocatori!J174)</f>
        <v>C</v>
      </c>
      <c r="B507" s="239" t="str">
        <f ca="1">IF(Giocatori!K205="","ZZZ" &amp; ROW(),Giocatori!K205)</f>
        <v>ZZZ507</v>
      </c>
      <c r="C507" s="239" t="str">
        <f ca="1">IF(Giocatori!L205="","NDR" &amp; ROW(),Giocatori!L205)</f>
        <v>NDR507</v>
      </c>
      <c r="D507" s="63">
        <f ca="1">IF(ISNA(VLOOKUP($B507,TabAlgTutti,6,FALSE)),0,VLOOKUP($B507,TabAlgTutti,6,FALSE))+ROW()/100000</f>
        <v>5.0699999999999999E-3</v>
      </c>
      <c r="E507" s="63">
        <f ca="1">IF(ISNA(VLOOKUP($B507,TabAlgTutti,5,FALSE)),0,VLOOKUP($B507,TabAlgTutti,5,FALSE))+ROW()/100000</f>
        <v>5.0699999999999999E-3</v>
      </c>
      <c r="F507" s="64">
        <f ca="1">($D507*$P$8+$E507*(1+$E507*100/60/100)*$S$8)/100+ROW()/100000</f>
        <v>1.01402142075E-2</v>
      </c>
      <c r="G507" s="63" t="str">
        <f ca="1">IF(ISNA(VLOOKUP($B507,TabAlgTutti,7,FALSE)),"",IF(VLOOKUP($B507,TabAlgTutti,7,FALSE)=-1,"SCONSIGLIATO",IF(VLOOKUP($B507,TabAlgTutti,7,FALSE)=0,"SORPRESA",IF(VLOOKUP($B507,TabAlgTutti,7,FALSE)=1,"CONSIGLIATO",""))))</f>
        <v/>
      </c>
      <c r="H507" s="65" t="str">
        <f ca="1">IF(ISNA(VLOOKUP($B507,TabAlgTutti,8,FALSE)),"",VLOOKUP($B507,TabAlgTutti,8,FALSE))</f>
        <v/>
      </c>
      <c r="I507" s="63" t="str">
        <f ca="1">IF(ISNA(VLOOKUP($B507,TabAlgTutti,9,FALSE)),"",IF(VLOOKUP($B507,TabAlgTutti,9,FALSE)="","",VLOOKUP($B507,TabAlgTutti,9,FALSE)&amp;"R "))&amp;IF(ISNA(VLOOKUP($B507,TabAlgTutti,10,FALSE)),"",IF(VLOOKUP($B507,TabAlgTutti,10,FALSE)="","",VLOOKUP($B507,TabAlgTutti,10,FALSE)&amp;"P "))&amp;IF(ISNA(VLOOKUP($B507,TabAlgTutti,11,FALSE)),"",IF(VLOOKUP($B507,TabAlgTutti,11,FALSE)="","",VLOOKUP($B507,TabAlgTutti,11,FALSE)&amp;"A"))</f>
        <v/>
      </c>
      <c r="J507" s="63">
        <f ca="1">IF(ISNA(VLOOKUP($B507,TabAlgTutti,3,FALSE)),0,VLOOKUP($B507,TabAlgTutti,3,FALSE))+ROW()/100000</f>
        <v>5.0699999999999999E-3</v>
      </c>
      <c r="K507" s="63">
        <f ca="1">IF(ISNA(VLOOKUP($B507,TabAlgTutti,4,FALSE)),0,VLOOKUP($B507,TabAlgTutti,4,FALSE))+ROW()/100000</f>
        <v>5.0699999999999999E-3</v>
      </c>
      <c r="L507" s="63" t="e">
        <f ca="1">VLOOKUP(Tabella114[[#This Row],[Calciatore]],'Raccolta Aste'!$K$2:$O$33,4,FALSE)*Asta!$U$3/100</f>
        <v>#N/A</v>
      </c>
      <c r="N507" s="58"/>
      <c r="O507" s="58"/>
      <c r="P507" s="58"/>
      <c r="Q507" s="58"/>
      <c r="R507" s="58"/>
      <c r="S507" s="58"/>
      <c r="W507" s="56">
        <f t="shared" ca="1" si="151"/>
        <v>200</v>
      </c>
      <c r="X507" s="56">
        <f t="shared" ca="1" si="152"/>
        <v>199</v>
      </c>
      <c r="Y507" s="56">
        <f t="shared" ca="1" si="153"/>
        <v>200</v>
      </c>
      <c r="Z507" s="56">
        <f t="shared" ca="1" si="154"/>
        <v>200</v>
      </c>
      <c r="AA507" s="56">
        <f t="shared" ca="1" si="155"/>
        <v>200</v>
      </c>
      <c r="AB507" s="56">
        <f ca="1">_xlfn.CEILING.MATH(INDIRECT(ADDRESS(311,22+MATCH($P$28,'I.A. + Fasce'!$W$84:$AA$84,0),1,1) &amp; ":" &amp; ADDRESS(531,22+MATCH($P$28,'I.A. + Fasce'!$W$84:$AA$84,0),1,1))/Asta!$H$3)</f>
        <v>25</v>
      </c>
    </row>
    <row r="508" spans="1:28" ht="14.25" customHeight="1">
      <c r="A508" s="239" t="str">
        <f ca="1">IF(Giocatori!J175="","C",Giocatori!J175)</f>
        <v>C</v>
      </c>
      <c r="B508" s="239" t="str">
        <f ca="1">IF(Giocatori!K206="","ZZZ" &amp; ROW(),Giocatori!K206)</f>
        <v>ZZZ508</v>
      </c>
      <c r="C508" s="239" t="str">
        <f ca="1">IF(Giocatori!L206="","NDR" &amp; ROW(),Giocatori!L206)</f>
        <v>NDR508</v>
      </c>
      <c r="D508" s="63">
        <f ca="1">IF(ISNA(VLOOKUP($B508,TabAlgTutti,6,FALSE)),0,VLOOKUP($B508,TabAlgTutti,6,FALSE))+ROW()/100000</f>
        <v>5.0800000000000003E-3</v>
      </c>
      <c r="E508" s="63">
        <f ca="1">IF(ISNA(VLOOKUP($B508,TabAlgTutti,5,FALSE)),0,VLOOKUP($B508,TabAlgTutti,5,FALSE))+ROW()/100000</f>
        <v>5.0800000000000003E-3</v>
      </c>
      <c r="F508" s="64">
        <f ca="1">($D508*$P$8+$E508*(1+$E508*100/60/100)*$S$8)/100+ROW()/100000</f>
        <v>1.0160215053333334E-2</v>
      </c>
      <c r="G508" s="63" t="str">
        <f ca="1">IF(ISNA(VLOOKUP($B508,TabAlgTutti,7,FALSE)),"",IF(VLOOKUP($B508,TabAlgTutti,7,FALSE)=-1,"SCONSIGLIATO",IF(VLOOKUP($B508,TabAlgTutti,7,FALSE)=0,"SORPRESA",IF(VLOOKUP($B508,TabAlgTutti,7,FALSE)=1,"CONSIGLIATO",""))))</f>
        <v/>
      </c>
      <c r="H508" s="65" t="str">
        <f ca="1">IF(ISNA(VLOOKUP($B508,TabAlgTutti,8,FALSE)),"",VLOOKUP($B508,TabAlgTutti,8,FALSE))</f>
        <v/>
      </c>
      <c r="I508" s="63" t="str">
        <f ca="1">IF(ISNA(VLOOKUP($B508,TabAlgTutti,9,FALSE)),"",IF(VLOOKUP($B508,TabAlgTutti,9,FALSE)="","",VLOOKUP($B508,TabAlgTutti,9,FALSE)&amp;"R "))&amp;IF(ISNA(VLOOKUP($B508,TabAlgTutti,10,FALSE)),"",IF(VLOOKUP($B508,TabAlgTutti,10,FALSE)="","",VLOOKUP($B508,TabAlgTutti,10,FALSE)&amp;"P "))&amp;IF(ISNA(VLOOKUP($B508,TabAlgTutti,11,FALSE)),"",IF(VLOOKUP($B508,TabAlgTutti,11,FALSE)="","",VLOOKUP($B508,TabAlgTutti,11,FALSE)&amp;"A"))</f>
        <v/>
      </c>
      <c r="J508" s="63">
        <f ca="1">IF(ISNA(VLOOKUP($B508,TabAlgTutti,3,FALSE)),0,VLOOKUP($B508,TabAlgTutti,3,FALSE))+ROW()/100000</f>
        <v>5.0800000000000003E-3</v>
      </c>
      <c r="K508" s="63">
        <f ca="1">IF(ISNA(VLOOKUP($B508,TabAlgTutti,4,FALSE)),0,VLOOKUP($B508,TabAlgTutti,4,FALSE))+ROW()/100000</f>
        <v>5.0800000000000003E-3</v>
      </c>
      <c r="L508" s="63" t="e">
        <f ca="1">VLOOKUP(Tabella114[[#This Row],[Calciatore]],'Raccolta Aste'!$K$2:$O$33,4,FALSE)*Asta!$U$3/100</f>
        <v>#N/A</v>
      </c>
      <c r="N508" s="58"/>
      <c r="O508" s="58"/>
      <c r="P508" s="58"/>
      <c r="Q508" s="58"/>
      <c r="R508" s="58"/>
      <c r="S508" s="58"/>
      <c r="W508" s="56">
        <f t="shared" ca="1" si="151"/>
        <v>199</v>
      </c>
      <c r="X508" s="56">
        <f t="shared" ca="1" si="152"/>
        <v>198</v>
      </c>
      <c r="Y508" s="56">
        <f t="shared" ca="1" si="153"/>
        <v>199</v>
      </c>
      <c r="Z508" s="56">
        <f t="shared" ca="1" si="154"/>
        <v>199</v>
      </c>
      <c r="AA508" s="56">
        <f t="shared" ca="1" si="155"/>
        <v>199</v>
      </c>
      <c r="AB508" s="56">
        <f ca="1">_xlfn.CEILING.MATH(INDIRECT(ADDRESS(311,22+MATCH($P$28,'I.A. + Fasce'!$W$84:$AA$84,0),1,1) &amp; ":" &amp; ADDRESS(531,22+MATCH($P$28,'I.A. + Fasce'!$W$84:$AA$84,0),1,1))/Asta!$H$3)</f>
        <v>25</v>
      </c>
    </row>
    <row r="509" spans="1:28" ht="14.25" customHeight="1">
      <c r="A509" s="239" t="str">
        <f ca="1">IF(Giocatori!J176="","C",Giocatori!J176)</f>
        <v>C</v>
      </c>
      <c r="B509" s="239" t="str">
        <f ca="1">IF(Giocatori!K207="","ZZZ" &amp; ROW(),Giocatori!K207)</f>
        <v>ZZZ509</v>
      </c>
      <c r="C509" s="239" t="str">
        <f ca="1">IF(Giocatori!L207="","NDR" &amp; ROW(),Giocatori!L207)</f>
        <v>NDR509</v>
      </c>
      <c r="D509" s="63">
        <f ca="1">IF(ISNA(VLOOKUP($B509,TabAlgTutti,6,FALSE)),0,VLOOKUP($B509,TabAlgTutti,6,FALSE))+ROW()/100000</f>
        <v>5.0899999999999999E-3</v>
      </c>
      <c r="E509" s="63">
        <f ca="1">IF(ISNA(VLOOKUP($B509,TabAlgTutti,5,FALSE)),0,VLOOKUP($B509,TabAlgTutti,5,FALSE))+ROW()/100000</f>
        <v>5.0899999999999999E-3</v>
      </c>
      <c r="F509" s="64">
        <f ca="1">($D509*$P$8+$E509*(1+$E509*100/60/100)*$S$8)/100+ROW()/100000</f>
        <v>1.0180215900833334E-2</v>
      </c>
      <c r="G509" s="63" t="str">
        <f ca="1">IF(ISNA(VLOOKUP($B509,TabAlgTutti,7,FALSE)),"",IF(VLOOKUP($B509,TabAlgTutti,7,FALSE)=-1,"SCONSIGLIATO",IF(VLOOKUP($B509,TabAlgTutti,7,FALSE)=0,"SORPRESA",IF(VLOOKUP($B509,TabAlgTutti,7,FALSE)=1,"CONSIGLIATO",""))))</f>
        <v/>
      </c>
      <c r="H509" s="65" t="str">
        <f ca="1">IF(ISNA(VLOOKUP($B509,TabAlgTutti,8,FALSE)),"",VLOOKUP($B509,TabAlgTutti,8,FALSE))</f>
        <v/>
      </c>
      <c r="I509" s="63" t="str">
        <f ca="1">IF(ISNA(VLOOKUP($B509,TabAlgTutti,9,FALSE)),"",IF(VLOOKUP($B509,TabAlgTutti,9,FALSE)="","",VLOOKUP($B509,TabAlgTutti,9,FALSE)&amp;"R "))&amp;IF(ISNA(VLOOKUP($B509,TabAlgTutti,10,FALSE)),"",IF(VLOOKUP($B509,TabAlgTutti,10,FALSE)="","",VLOOKUP($B509,TabAlgTutti,10,FALSE)&amp;"P "))&amp;IF(ISNA(VLOOKUP($B509,TabAlgTutti,11,FALSE)),"",IF(VLOOKUP($B509,TabAlgTutti,11,FALSE)="","",VLOOKUP($B509,TabAlgTutti,11,FALSE)&amp;"A"))</f>
        <v/>
      </c>
      <c r="J509" s="63">
        <f ca="1">IF(ISNA(VLOOKUP($B509,TabAlgTutti,3,FALSE)),0,VLOOKUP($B509,TabAlgTutti,3,FALSE))+ROW()/100000</f>
        <v>5.0899999999999999E-3</v>
      </c>
      <c r="K509" s="63">
        <f ca="1">IF(ISNA(VLOOKUP($B509,TabAlgTutti,4,FALSE)),0,VLOOKUP($B509,TabAlgTutti,4,FALSE))+ROW()/100000</f>
        <v>5.0899999999999999E-3</v>
      </c>
      <c r="L509" s="63" t="e">
        <f ca="1">VLOOKUP(Tabella114[[#This Row],[Calciatore]],'Raccolta Aste'!$K$2:$O$33,4,FALSE)*Asta!$U$3/100</f>
        <v>#N/A</v>
      </c>
      <c r="N509" s="58"/>
      <c r="O509" s="58"/>
      <c r="P509" s="58"/>
      <c r="Q509" s="58"/>
      <c r="R509" s="58"/>
      <c r="S509" s="58"/>
      <c r="W509" s="56">
        <f t="shared" ca="1" si="151"/>
        <v>198</v>
      </c>
      <c r="X509" s="56">
        <f t="shared" ca="1" si="152"/>
        <v>197</v>
      </c>
      <c r="Y509" s="56">
        <f t="shared" ca="1" si="153"/>
        <v>198</v>
      </c>
      <c r="Z509" s="56">
        <f t="shared" ca="1" si="154"/>
        <v>198</v>
      </c>
      <c r="AA509" s="56">
        <f t="shared" ca="1" si="155"/>
        <v>198</v>
      </c>
      <c r="AB509" s="56">
        <f ca="1">_xlfn.CEILING.MATH(INDIRECT(ADDRESS(311,22+MATCH($P$28,'I.A. + Fasce'!$W$84:$AA$84,0),1,1) &amp; ":" &amp; ADDRESS(531,22+MATCH($P$28,'I.A. + Fasce'!$W$84:$AA$84,0),1,1))/Asta!$H$3)</f>
        <v>25</v>
      </c>
    </row>
    <row r="510" spans="1:28" ht="14.25" customHeight="1">
      <c r="A510" s="239" t="str">
        <f ca="1">IF(Giocatori!J177="","C",Giocatori!J177)</f>
        <v>C</v>
      </c>
      <c r="B510" s="239" t="str">
        <f ca="1">IF(Giocatori!K208="","ZZZ" &amp; ROW(),Giocatori!K208)</f>
        <v>ZZZ510</v>
      </c>
      <c r="C510" s="239" t="str">
        <f ca="1">IF(Giocatori!L208="","NDR" &amp; ROW(),Giocatori!L208)</f>
        <v>NDR510</v>
      </c>
      <c r="D510" s="63">
        <f ca="1">IF(ISNA(VLOOKUP($B510,TabAlgTutti,6,FALSE)),0,VLOOKUP($B510,TabAlgTutti,6,FALSE))+ROW()/100000</f>
        <v>5.1000000000000004E-3</v>
      </c>
      <c r="E510" s="63">
        <f ca="1">IF(ISNA(VLOOKUP($B510,TabAlgTutti,5,FALSE)),0,VLOOKUP($B510,TabAlgTutti,5,FALSE))+ROW()/100000</f>
        <v>5.1000000000000004E-3</v>
      </c>
      <c r="F510" s="64">
        <f ca="1">($D510*$P$8+$E510*(1+$E510*100/60/100)*$S$8)/100+ROW()/100000</f>
        <v>1.0200216750000001E-2</v>
      </c>
      <c r="G510" s="63" t="str">
        <f ca="1">IF(ISNA(VLOOKUP($B510,TabAlgTutti,7,FALSE)),"",IF(VLOOKUP($B510,TabAlgTutti,7,FALSE)=-1,"SCONSIGLIATO",IF(VLOOKUP($B510,TabAlgTutti,7,FALSE)=0,"SORPRESA",IF(VLOOKUP($B510,TabAlgTutti,7,FALSE)=1,"CONSIGLIATO",""))))</f>
        <v/>
      </c>
      <c r="H510" s="65" t="str">
        <f ca="1">IF(ISNA(VLOOKUP($B510,TabAlgTutti,8,FALSE)),"",VLOOKUP($B510,TabAlgTutti,8,FALSE))</f>
        <v/>
      </c>
      <c r="I510" s="63" t="str">
        <f ca="1">IF(ISNA(VLOOKUP($B510,TabAlgTutti,9,FALSE)),"",IF(VLOOKUP($B510,TabAlgTutti,9,FALSE)="","",VLOOKUP($B510,TabAlgTutti,9,FALSE)&amp;"R "))&amp;IF(ISNA(VLOOKUP($B510,TabAlgTutti,10,FALSE)),"",IF(VLOOKUP($B510,TabAlgTutti,10,FALSE)="","",VLOOKUP($B510,TabAlgTutti,10,FALSE)&amp;"P "))&amp;IF(ISNA(VLOOKUP($B510,TabAlgTutti,11,FALSE)),"",IF(VLOOKUP($B510,TabAlgTutti,11,FALSE)="","",VLOOKUP($B510,TabAlgTutti,11,FALSE)&amp;"A"))</f>
        <v/>
      </c>
      <c r="J510" s="63">
        <f ca="1">IF(ISNA(VLOOKUP($B510,TabAlgTutti,3,FALSE)),0,VLOOKUP($B510,TabAlgTutti,3,FALSE))+ROW()/100000</f>
        <v>5.1000000000000004E-3</v>
      </c>
      <c r="K510" s="63">
        <f ca="1">IF(ISNA(VLOOKUP($B510,TabAlgTutti,4,FALSE)),0,VLOOKUP($B510,TabAlgTutti,4,FALSE))+ROW()/100000</f>
        <v>5.1000000000000004E-3</v>
      </c>
      <c r="L510" s="63" t="e">
        <f ca="1">VLOOKUP(Tabella114[[#This Row],[Calciatore]],'Raccolta Aste'!$K$2:$O$33,4,FALSE)*Asta!$U$3/100</f>
        <v>#N/A</v>
      </c>
      <c r="N510" s="58"/>
      <c r="O510" s="58"/>
      <c r="P510" s="58"/>
      <c r="Q510" s="58"/>
      <c r="R510" s="58"/>
      <c r="S510" s="58"/>
      <c r="W510" s="56">
        <f t="shared" ca="1" si="151"/>
        <v>197</v>
      </c>
      <c r="X510" s="56">
        <f t="shared" ca="1" si="152"/>
        <v>196</v>
      </c>
      <c r="Y510" s="56">
        <f t="shared" ca="1" si="153"/>
        <v>197</v>
      </c>
      <c r="Z510" s="56">
        <f t="shared" ca="1" si="154"/>
        <v>197</v>
      </c>
      <c r="AA510" s="56">
        <f t="shared" ca="1" si="155"/>
        <v>197</v>
      </c>
      <c r="AB510" s="56">
        <f ca="1">_xlfn.CEILING.MATH(INDIRECT(ADDRESS(311,22+MATCH($P$28,'I.A. + Fasce'!$W$84:$AA$84,0),1,1) &amp; ":" &amp; ADDRESS(531,22+MATCH($P$28,'I.A. + Fasce'!$W$84:$AA$84,0),1,1))/Asta!$H$3)</f>
        <v>25</v>
      </c>
    </row>
    <row r="511" spans="1:28" ht="14.25" customHeight="1">
      <c r="A511" s="239" t="str">
        <f ca="1">IF(Giocatori!J178="","C",Giocatori!J178)</f>
        <v>C</v>
      </c>
      <c r="B511" s="239" t="str">
        <f ca="1">IF(Giocatori!K209="","ZZZ" &amp; ROW(),Giocatori!K209)</f>
        <v>ZZZ511</v>
      </c>
      <c r="C511" s="239" t="str">
        <f ca="1">IF(Giocatori!L209="","NDR" &amp; ROW(),Giocatori!L209)</f>
        <v>NDR511</v>
      </c>
      <c r="D511" s="63">
        <f ca="1">IF(ISNA(VLOOKUP($B511,TabAlgTutti,6,FALSE)),0,VLOOKUP($B511,TabAlgTutti,6,FALSE))+ROW()/100000</f>
        <v>5.11E-3</v>
      </c>
      <c r="E511" s="63">
        <f ca="1">IF(ISNA(VLOOKUP($B511,TabAlgTutti,5,FALSE)),0,VLOOKUP($B511,TabAlgTutti,5,FALSE))+ROW()/100000</f>
        <v>5.11E-3</v>
      </c>
      <c r="F511" s="64">
        <f ca="1">($D511*$P$8+$E511*(1+$E511*100/60/100)*$S$8)/100+ROW()/100000</f>
        <v>1.0220217600833333E-2</v>
      </c>
      <c r="G511" s="63" t="str">
        <f ca="1">IF(ISNA(VLOOKUP($B511,TabAlgTutti,7,FALSE)),"",IF(VLOOKUP($B511,TabAlgTutti,7,FALSE)=-1,"SCONSIGLIATO",IF(VLOOKUP($B511,TabAlgTutti,7,FALSE)=0,"SORPRESA",IF(VLOOKUP($B511,TabAlgTutti,7,FALSE)=1,"CONSIGLIATO",""))))</f>
        <v/>
      </c>
      <c r="H511" s="65" t="str">
        <f ca="1">IF(ISNA(VLOOKUP($B511,TabAlgTutti,8,FALSE)),"",VLOOKUP($B511,TabAlgTutti,8,FALSE))</f>
        <v/>
      </c>
      <c r="I511" s="63" t="str">
        <f ca="1">IF(ISNA(VLOOKUP($B511,TabAlgTutti,9,FALSE)),"",IF(VLOOKUP($B511,TabAlgTutti,9,FALSE)="","",VLOOKUP($B511,TabAlgTutti,9,FALSE)&amp;"R "))&amp;IF(ISNA(VLOOKUP($B511,TabAlgTutti,10,FALSE)),"",IF(VLOOKUP($B511,TabAlgTutti,10,FALSE)="","",VLOOKUP($B511,TabAlgTutti,10,FALSE)&amp;"P "))&amp;IF(ISNA(VLOOKUP($B511,TabAlgTutti,11,FALSE)),"",IF(VLOOKUP($B511,TabAlgTutti,11,FALSE)="","",VLOOKUP($B511,TabAlgTutti,11,FALSE)&amp;"A"))</f>
        <v/>
      </c>
      <c r="J511" s="63">
        <f ca="1">IF(ISNA(VLOOKUP($B511,TabAlgTutti,3,FALSE)),0,VLOOKUP($B511,TabAlgTutti,3,FALSE))+ROW()/100000</f>
        <v>5.11E-3</v>
      </c>
      <c r="K511" s="63">
        <f ca="1">IF(ISNA(VLOOKUP($B511,TabAlgTutti,4,FALSE)),0,VLOOKUP($B511,TabAlgTutti,4,FALSE))+ROW()/100000</f>
        <v>5.11E-3</v>
      </c>
      <c r="L511" s="63" t="e">
        <f ca="1">VLOOKUP(Tabella114[[#This Row],[Calciatore]],'Raccolta Aste'!$K$2:$O$33,4,FALSE)*Asta!$U$3/100</f>
        <v>#N/A</v>
      </c>
      <c r="N511" s="58"/>
      <c r="O511" s="58"/>
      <c r="P511" s="58"/>
      <c r="Q511" s="58"/>
      <c r="R511" s="58"/>
      <c r="S511" s="58"/>
      <c r="W511" s="56">
        <f t="shared" ca="1" si="151"/>
        <v>196</v>
      </c>
      <c r="X511" s="56">
        <f t="shared" ca="1" si="152"/>
        <v>195</v>
      </c>
      <c r="Y511" s="56">
        <f t="shared" ca="1" si="153"/>
        <v>196</v>
      </c>
      <c r="Z511" s="56">
        <f t="shared" ca="1" si="154"/>
        <v>196</v>
      </c>
      <c r="AA511" s="56">
        <f t="shared" ca="1" si="155"/>
        <v>196</v>
      </c>
      <c r="AB511" s="56">
        <f ca="1">_xlfn.CEILING.MATH(INDIRECT(ADDRESS(311,22+MATCH($P$28,'I.A. + Fasce'!$W$84:$AA$84,0),1,1) &amp; ":" &amp; ADDRESS(531,22+MATCH($P$28,'I.A. + Fasce'!$W$84:$AA$84,0),1,1))/Asta!$H$3)</f>
        <v>25</v>
      </c>
    </row>
    <row r="512" spans="1:28" ht="14.25" customHeight="1">
      <c r="A512" s="239" t="str">
        <f ca="1">IF(Giocatori!J179="","C",Giocatori!J179)</f>
        <v>C</v>
      </c>
      <c r="B512" s="239" t="str">
        <f ca="1">IF(Giocatori!K210="","ZZZ" &amp; ROW(),Giocatori!K210)</f>
        <v>ZZZ512</v>
      </c>
      <c r="C512" s="239" t="str">
        <f ca="1">IF(Giocatori!L210="","NDR" &amp; ROW(),Giocatori!L210)</f>
        <v>NDR512</v>
      </c>
      <c r="D512" s="63">
        <f ca="1">IF(ISNA(VLOOKUP($B512,TabAlgTutti,6,FALSE)),0,VLOOKUP($B512,TabAlgTutti,6,FALSE))+ROW()/100000</f>
        <v>5.1200000000000004E-3</v>
      </c>
      <c r="E512" s="63">
        <f ca="1">IF(ISNA(VLOOKUP($B512,TabAlgTutti,5,FALSE)),0,VLOOKUP($B512,TabAlgTutti,5,FALSE))+ROW()/100000</f>
        <v>5.1200000000000004E-3</v>
      </c>
      <c r="F512" s="64">
        <f ca="1">($D512*$P$8+$E512*(1+$E512*100/60/100)*$S$8)/100+ROW()/100000</f>
        <v>1.0240218453333335E-2</v>
      </c>
      <c r="G512" s="63" t="str">
        <f ca="1">IF(ISNA(VLOOKUP($B512,TabAlgTutti,7,FALSE)),"",IF(VLOOKUP($B512,TabAlgTutti,7,FALSE)=-1,"SCONSIGLIATO",IF(VLOOKUP($B512,TabAlgTutti,7,FALSE)=0,"SORPRESA",IF(VLOOKUP($B512,TabAlgTutti,7,FALSE)=1,"CONSIGLIATO",""))))</f>
        <v/>
      </c>
      <c r="H512" s="65" t="str">
        <f ca="1">IF(ISNA(VLOOKUP($B512,TabAlgTutti,8,FALSE)),"",VLOOKUP($B512,TabAlgTutti,8,FALSE))</f>
        <v/>
      </c>
      <c r="I512" s="63" t="str">
        <f ca="1">IF(ISNA(VLOOKUP($B512,TabAlgTutti,9,FALSE)),"",IF(VLOOKUP($B512,TabAlgTutti,9,FALSE)="","",VLOOKUP($B512,TabAlgTutti,9,FALSE)&amp;"R "))&amp;IF(ISNA(VLOOKUP($B512,TabAlgTutti,10,FALSE)),"",IF(VLOOKUP($B512,TabAlgTutti,10,FALSE)="","",VLOOKUP($B512,TabAlgTutti,10,FALSE)&amp;"P "))&amp;IF(ISNA(VLOOKUP($B512,TabAlgTutti,11,FALSE)),"",IF(VLOOKUP($B512,TabAlgTutti,11,FALSE)="","",VLOOKUP($B512,TabAlgTutti,11,FALSE)&amp;"A"))</f>
        <v/>
      </c>
      <c r="J512" s="63">
        <f ca="1">IF(ISNA(VLOOKUP($B512,TabAlgTutti,3,FALSE)),0,VLOOKUP($B512,TabAlgTutti,3,FALSE))+ROW()/100000</f>
        <v>5.1200000000000004E-3</v>
      </c>
      <c r="K512" s="63">
        <f ca="1">IF(ISNA(VLOOKUP($B512,TabAlgTutti,4,FALSE)),0,VLOOKUP($B512,TabAlgTutti,4,FALSE))+ROW()/100000</f>
        <v>5.1200000000000004E-3</v>
      </c>
      <c r="L512" s="63" t="e">
        <f ca="1">VLOOKUP(Tabella114[[#This Row],[Calciatore]],'Raccolta Aste'!$K$2:$O$33,4,FALSE)*Asta!$U$3/100</f>
        <v>#N/A</v>
      </c>
      <c r="N512" s="58"/>
      <c r="O512" s="58"/>
      <c r="P512" s="58"/>
      <c r="Q512" s="58"/>
      <c r="R512" s="58"/>
      <c r="S512" s="58"/>
      <c r="W512" s="56">
        <f t="shared" ca="1" si="151"/>
        <v>195</v>
      </c>
      <c r="X512" s="56">
        <f t="shared" ca="1" si="152"/>
        <v>194</v>
      </c>
      <c r="Y512" s="56">
        <f t="shared" ca="1" si="153"/>
        <v>195</v>
      </c>
      <c r="Z512" s="56">
        <f t="shared" ca="1" si="154"/>
        <v>195</v>
      </c>
      <c r="AA512" s="56">
        <f t="shared" ca="1" si="155"/>
        <v>195</v>
      </c>
      <c r="AB512" s="56">
        <f ca="1">_xlfn.CEILING.MATH(INDIRECT(ADDRESS(311,22+MATCH($P$28,'I.A. + Fasce'!$W$84:$AA$84,0),1,1) &amp; ":" &amp; ADDRESS(531,22+MATCH($P$28,'I.A. + Fasce'!$W$84:$AA$84,0),1,1))/Asta!$H$3)</f>
        <v>25</v>
      </c>
    </row>
    <row r="513" spans="1:28" ht="14.25" customHeight="1">
      <c r="A513" s="239" t="str">
        <f ca="1">IF(Giocatori!J180="","C",Giocatori!J180)</f>
        <v>C</v>
      </c>
      <c r="B513" s="239" t="str">
        <f ca="1">IF(Giocatori!K211="","ZZZ" &amp; ROW(),Giocatori!K211)</f>
        <v>ZZZ513</v>
      </c>
      <c r="C513" s="239" t="str">
        <f ca="1">IF(Giocatori!L211="","NDR" &amp; ROW(),Giocatori!L211)</f>
        <v>NDR513</v>
      </c>
      <c r="D513" s="63">
        <f ca="1">IF(ISNA(VLOOKUP($B513,TabAlgTutti,6,FALSE)),0,VLOOKUP($B513,TabAlgTutti,6,FALSE))+ROW()/100000</f>
        <v>5.13E-3</v>
      </c>
      <c r="E513" s="63">
        <f ca="1">IF(ISNA(VLOOKUP($B513,TabAlgTutti,5,FALSE)),0,VLOOKUP($B513,TabAlgTutti,5,FALSE))+ROW()/100000</f>
        <v>5.13E-3</v>
      </c>
      <c r="F513" s="64">
        <f ca="1">($D513*$P$8+$E513*(1+$E513*100/60/100)*$S$8)/100+ROW()/100000</f>
        <v>1.02602193075E-2</v>
      </c>
      <c r="G513" s="63" t="str">
        <f ca="1">IF(ISNA(VLOOKUP($B513,TabAlgTutti,7,FALSE)),"",IF(VLOOKUP($B513,TabAlgTutti,7,FALSE)=-1,"SCONSIGLIATO",IF(VLOOKUP($B513,TabAlgTutti,7,FALSE)=0,"SORPRESA",IF(VLOOKUP($B513,TabAlgTutti,7,FALSE)=1,"CONSIGLIATO",""))))</f>
        <v/>
      </c>
      <c r="H513" s="65" t="str">
        <f ca="1">IF(ISNA(VLOOKUP($B513,TabAlgTutti,8,FALSE)),"",VLOOKUP($B513,TabAlgTutti,8,FALSE))</f>
        <v/>
      </c>
      <c r="I513" s="63" t="str">
        <f ca="1">IF(ISNA(VLOOKUP($B513,TabAlgTutti,9,FALSE)),"",IF(VLOOKUP($B513,TabAlgTutti,9,FALSE)="","",VLOOKUP($B513,TabAlgTutti,9,FALSE)&amp;"R "))&amp;IF(ISNA(VLOOKUP($B513,TabAlgTutti,10,FALSE)),"",IF(VLOOKUP($B513,TabAlgTutti,10,FALSE)="","",VLOOKUP($B513,TabAlgTutti,10,FALSE)&amp;"P "))&amp;IF(ISNA(VLOOKUP($B513,TabAlgTutti,11,FALSE)),"",IF(VLOOKUP($B513,TabAlgTutti,11,FALSE)="","",VLOOKUP($B513,TabAlgTutti,11,FALSE)&amp;"A"))</f>
        <v/>
      </c>
      <c r="J513" s="63">
        <f ca="1">IF(ISNA(VLOOKUP($B513,TabAlgTutti,3,FALSE)),0,VLOOKUP($B513,TabAlgTutti,3,FALSE))+ROW()/100000</f>
        <v>5.13E-3</v>
      </c>
      <c r="K513" s="63">
        <f ca="1">IF(ISNA(VLOOKUP($B513,TabAlgTutti,4,FALSE)),0,VLOOKUP($B513,TabAlgTutti,4,FALSE))+ROW()/100000</f>
        <v>5.13E-3</v>
      </c>
      <c r="L513" s="63" t="e">
        <f ca="1">VLOOKUP(Tabella114[[#This Row],[Calciatore]],'Raccolta Aste'!$K$2:$O$33,4,FALSE)*Asta!$U$3/100</f>
        <v>#N/A</v>
      </c>
      <c r="N513" s="58"/>
      <c r="O513" s="58"/>
      <c r="P513" s="58"/>
      <c r="Q513" s="58"/>
      <c r="R513" s="58"/>
      <c r="S513" s="58"/>
      <c r="W513" s="56">
        <f t="shared" ca="1" si="151"/>
        <v>194</v>
      </c>
      <c r="X513" s="56">
        <f t="shared" ca="1" si="152"/>
        <v>193</v>
      </c>
      <c r="Y513" s="56">
        <f t="shared" ca="1" si="153"/>
        <v>194</v>
      </c>
      <c r="Z513" s="56">
        <f t="shared" ca="1" si="154"/>
        <v>194</v>
      </c>
      <c r="AA513" s="56">
        <f t="shared" ca="1" si="155"/>
        <v>194</v>
      </c>
      <c r="AB513" s="56">
        <f ca="1">_xlfn.CEILING.MATH(INDIRECT(ADDRESS(311,22+MATCH($P$28,'I.A. + Fasce'!$W$84:$AA$84,0),1,1) &amp; ":" &amp; ADDRESS(531,22+MATCH($P$28,'I.A. + Fasce'!$W$84:$AA$84,0),1,1))/Asta!$H$3)</f>
        <v>25</v>
      </c>
    </row>
    <row r="514" spans="1:28" ht="14.25" customHeight="1">
      <c r="A514" s="239" t="str">
        <f ca="1">IF(Giocatori!J181="","C",Giocatori!J181)</f>
        <v>C</v>
      </c>
      <c r="B514" s="239" t="str">
        <f ca="1">IF(Giocatori!K212="","ZZZ" &amp; ROW(),Giocatori!K212)</f>
        <v>ZZZ514</v>
      </c>
      <c r="C514" s="239" t="str">
        <f ca="1">IF(Giocatori!L212="","NDR" &amp; ROW(),Giocatori!L212)</f>
        <v>NDR514</v>
      </c>
      <c r="D514" s="63">
        <f ca="1">IF(ISNA(VLOOKUP($B514,TabAlgTutti,6,FALSE)),0,VLOOKUP($B514,TabAlgTutti,6,FALSE))+ROW()/100000</f>
        <v>5.1399999999999996E-3</v>
      </c>
      <c r="E514" s="63">
        <f ca="1">IF(ISNA(VLOOKUP($B514,TabAlgTutti,5,FALSE)),0,VLOOKUP($B514,TabAlgTutti,5,FALSE))+ROW()/100000</f>
        <v>5.1399999999999996E-3</v>
      </c>
      <c r="F514" s="64">
        <f ca="1">($D514*$P$8+$E514*(1+$E514*100/60/100)*$S$8)/100+ROW()/100000</f>
        <v>1.0280220163333333E-2</v>
      </c>
      <c r="G514" s="63" t="str">
        <f ca="1">IF(ISNA(VLOOKUP($B514,TabAlgTutti,7,FALSE)),"",IF(VLOOKUP($B514,TabAlgTutti,7,FALSE)=-1,"SCONSIGLIATO",IF(VLOOKUP($B514,TabAlgTutti,7,FALSE)=0,"SORPRESA",IF(VLOOKUP($B514,TabAlgTutti,7,FALSE)=1,"CONSIGLIATO",""))))</f>
        <v/>
      </c>
      <c r="H514" s="65" t="str">
        <f ca="1">IF(ISNA(VLOOKUP($B514,TabAlgTutti,8,FALSE)),"",VLOOKUP($B514,TabAlgTutti,8,FALSE))</f>
        <v/>
      </c>
      <c r="I514" s="63" t="str">
        <f ca="1">IF(ISNA(VLOOKUP($B514,TabAlgTutti,9,FALSE)),"",IF(VLOOKUP($B514,TabAlgTutti,9,FALSE)="","",VLOOKUP($B514,TabAlgTutti,9,FALSE)&amp;"R "))&amp;IF(ISNA(VLOOKUP($B514,TabAlgTutti,10,FALSE)),"",IF(VLOOKUP($B514,TabAlgTutti,10,FALSE)="","",VLOOKUP($B514,TabAlgTutti,10,FALSE)&amp;"P "))&amp;IF(ISNA(VLOOKUP($B514,TabAlgTutti,11,FALSE)),"",IF(VLOOKUP($B514,TabAlgTutti,11,FALSE)="","",VLOOKUP($B514,TabAlgTutti,11,FALSE)&amp;"A"))</f>
        <v/>
      </c>
      <c r="J514" s="63">
        <f ca="1">IF(ISNA(VLOOKUP($B514,TabAlgTutti,3,FALSE)),0,VLOOKUP($B514,TabAlgTutti,3,FALSE))+ROW()/100000</f>
        <v>5.1399999999999996E-3</v>
      </c>
      <c r="K514" s="63">
        <f ca="1">IF(ISNA(VLOOKUP($B514,TabAlgTutti,4,FALSE)),0,VLOOKUP($B514,TabAlgTutti,4,FALSE))+ROW()/100000</f>
        <v>5.1399999999999996E-3</v>
      </c>
      <c r="L514" s="63" t="e">
        <f ca="1">VLOOKUP(Tabella114[[#This Row],[Calciatore]],'Raccolta Aste'!$K$2:$O$33,4,FALSE)*Asta!$U$3/100</f>
        <v>#N/A</v>
      </c>
      <c r="N514" s="58"/>
      <c r="O514" s="58"/>
      <c r="P514" s="58"/>
      <c r="Q514" s="58"/>
      <c r="R514" s="58"/>
      <c r="S514" s="58"/>
      <c r="W514" s="56">
        <f t="shared" ca="1" si="151"/>
        <v>193</v>
      </c>
      <c r="X514" s="56">
        <f t="shared" ca="1" si="152"/>
        <v>192</v>
      </c>
      <c r="Y514" s="56">
        <f t="shared" ca="1" si="153"/>
        <v>193</v>
      </c>
      <c r="Z514" s="56">
        <f t="shared" ca="1" si="154"/>
        <v>193</v>
      </c>
      <c r="AA514" s="56">
        <f t="shared" ca="1" si="155"/>
        <v>193</v>
      </c>
      <c r="AB514" s="56">
        <f ca="1">_xlfn.CEILING.MATH(INDIRECT(ADDRESS(311,22+MATCH($P$28,'I.A. + Fasce'!$W$84:$AA$84,0),1,1) &amp; ":" &amp; ADDRESS(531,22+MATCH($P$28,'I.A. + Fasce'!$W$84:$AA$84,0),1,1))/Asta!$H$3)</f>
        <v>25</v>
      </c>
    </row>
    <row r="515" spans="1:28" ht="14.25" customHeight="1">
      <c r="A515" s="239" t="str">
        <f ca="1">IF(Giocatori!J182="","C",Giocatori!J182)</f>
        <v>C</v>
      </c>
      <c r="B515" s="239" t="str">
        <f ca="1">IF(Giocatori!K213="","ZZZ" &amp; ROW(),Giocatori!K213)</f>
        <v>ZZZ515</v>
      </c>
      <c r="C515" s="239" t="str">
        <f ca="1">IF(Giocatori!L213="","NDR" &amp; ROW(),Giocatori!L213)</f>
        <v>NDR515</v>
      </c>
      <c r="D515" s="63">
        <f ca="1">IF(ISNA(VLOOKUP($B515,TabAlgTutti,6,FALSE)),0,VLOOKUP($B515,TabAlgTutti,6,FALSE))+ROW()/100000</f>
        <v>5.1500000000000001E-3</v>
      </c>
      <c r="E515" s="63">
        <f ca="1">IF(ISNA(VLOOKUP($B515,TabAlgTutti,5,FALSE)),0,VLOOKUP($B515,TabAlgTutti,5,FALSE))+ROW()/100000</f>
        <v>5.1500000000000001E-3</v>
      </c>
      <c r="F515" s="64">
        <f ca="1">($D515*$P$8+$E515*(1+$E515*100/60/100)*$S$8)/100+ROW()/100000</f>
        <v>1.0300221020833333E-2</v>
      </c>
      <c r="G515" s="63" t="str">
        <f ca="1">IF(ISNA(VLOOKUP($B515,TabAlgTutti,7,FALSE)),"",IF(VLOOKUP($B515,TabAlgTutti,7,FALSE)=-1,"SCONSIGLIATO",IF(VLOOKUP($B515,TabAlgTutti,7,FALSE)=0,"SORPRESA",IF(VLOOKUP($B515,TabAlgTutti,7,FALSE)=1,"CONSIGLIATO",""))))</f>
        <v/>
      </c>
      <c r="H515" s="65" t="str">
        <f ca="1">IF(ISNA(VLOOKUP($B515,TabAlgTutti,8,FALSE)),"",VLOOKUP($B515,TabAlgTutti,8,FALSE))</f>
        <v/>
      </c>
      <c r="I515" s="63" t="str">
        <f ca="1">IF(ISNA(VLOOKUP($B515,TabAlgTutti,9,FALSE)),"",IF(VLOOKUP($B515,TabAlgTutti,9,FALSE)="","",VLOOKUP($B515,TabAlgTutti,9,FALSE)&amp;"R "))&amp;IF(ISNA(VLOOKUP($B515,TabAlgTutti,10,FALSE)),"",IF(VLOOKUP($B515,TabAlgTutti,10,FALSE)="","",VLOOKUP($B515,TabAlgTutti,10,FALSE)&amp;"P "))&amp;IF(ISNA(VLOOKUP($B515,TabAlgTutti,11,FALSE)),"",IF(VLOOKUP($B515,TabAlgTutti,11,FALSE)="","",VLOOKUP($B515,TabAlgTutti,11,FALSE)&amp;"A"))</f>
        <v/>
      </c>
      <c r="J515" s="63">
        <f ca="1">IF(ISNA(VLOOKUP($B515,TabAlgTutti,3,FALSE)),0,VLOOKUP($B515,TabAlgTutti,3,FALSE))+ROW()/100000</f>
        <v>5.1500000000000001E-3</v>
      </c>
      <c r="K515" s="63">
        <f ca="1">IF(ISNA(VLOOKUP($B515,TabAlgTutti,4,FALSE)),0,VLOOKUP($B515,TabAlgTutti,4,FALSE))+ROW()/100000</f>
        <v>5.1500000000000001E-3</v>
      </c>
      <c r="L515" s="63" t="e">
        <f ca="1">VLOOKUP(Tabella114[[#This Row],[Calciatore]],'Raccolta Aste'!$K$2:$O$33,4,FALSE)*Asta!$U$3/100</f>
        <v>#N/A</v>
      </c>
      <c r="N515" s="58"/>
      <c r="O515" s="58"/>
      <c r="P515" s="58"/>
      <c r="Q515" s="58"/>
      <c r="R515" s="58"/>
      <c r="S515" s="58"/>
      <c r="W515" s="56">
        <f t="shared" ca="1" si="151"/>
        <v>192</v>
      </c>
      <c r="X515" s="56">
        <f t="shared" ca="1" si="152"/>
        <v>191</v>
      </c>
      <c r="Y515" s="56">
        <f t="shared" ca="1" si="153"/>
        <v>192</v>
      </c>
      <c r="Z515" s="56">
        <f t="shared" ca="1" si="154"/>
        <v>192</v>
      </c>
      <c r="AA515" s="56">
        <f t="shared" ca="1" si="155"/>
        <v>192</v>
      </c>
      <c r="AB515" s="56">
        <f ca="1">_xlfn.CEILING.MATH(INDIRECT(ADDRESS(311,22+MATCH($P$28,'I.A. + Fasce'!$W$84:$AA$84,0),1,1) &amp; ":" &amp; ADDRESS(531,22+MATCH($P$28,'I.A. + Fasce'!$W$84:$AA$84,0),1,1))/Asta!$H$3)</f>
        <v>24</v>
      </c>
    </row>
    <row r="516" spans="1:28" ht="14.25" customHeight="1">
      <c r="A516" s="239" t="str">
        <f ca="1">IF(Giocatori!J183="","C",Giocatori!J183)</f>
        <v>C</v>
      </c>
      <c r="B516" s="239" t="str">
        <f ca="1">IF(Giocatori!K214="","ZZZ" &amp; ROW(),Giocatori!K214)</f>
        <v>ZZZ516</v>
      </c>
      <c r="C516" s="239" t="str">
        <f ca="1">IF(Giocatori!L214="","NDR" &amp; ROW(),Giocatori!L214)</f>
        <v>NDR516</v>
      </c>
      <c r="D516" s="63">
        <f ca="1">IF(ISNA(VLOOKUP($B516,TabAlgTutti,6,FALSE)),0,VLOOKUP($B516,TabAlgTutti,6,FALSE))+ROW()/100000</f>
        <v>5.1599999999999997E-3</v>
      </c>
      <c r="E516" s="63">
        <f ca="1">IF(ISNA(VLOOKUP($B516,TabAlgTutti,5,FALSE)),0,VLOOKUP($B516,TabAlgTutti,5,FALSE))+ROW()/100000</f>
        <v>5.1599999999999997E-3</v>
      </c>
      <c r="F516" s="64">
        <f ca="1">($D516*$P$8+$E516*(1+$E516*100/60/100)*$S$8)/100+ROW()/100000</f>
        <v>1.0320221879999999E-2</v>
      </c>
      <c r="G516" s="63" t="str">
        <f ca="1">IF(ISNA(VLOOKUP($B516,TabAlgTutti,7,FALSE)),"",IF(VLOOKUP($B516,TabAlgTutti,7,FALSE)=-1,"SCONSIGLIATO",IF(VLOOKUP($B516,TabAlgTutti,7,FALSE)=0,"SORPRESA",IF(VLOOKUP($B516,TabAlgTutti,7,FALSE)=1,"CONSIGLIATO",""))))</f>
        <v/>
      </c>
      <c r="H516" s="65" t="str">
        <f ca="1">IF(ISNA(VLOOKUP($B516,TabAlgTutti,8,FALSE)),"",VLOOKUP($B516,TabAlgTutti,8,FALSE))</f>
        <v/>
      </c>
      <c r="I516" s="63" t="str">
        <f ca="1">IF(ISNA(VLOOKUP($B516,TabAlgTutti,9,FALSE)),"",IF(VLOOKUP($B516,TabAlgTutti,9,FALSE)="","",VLOOKUP($B516,TabAlgTutti,9,FALSE)&amp;"R "))&amp;IF(ISNA(VLOOKUP($B516,TabAlgTutti,10,FALSE)),"",IF(VLOOKUP($B516,TabAlgTutti,10,FALSE)="","",VLOOKUP($B516,TabAlgTutti,10,FALSE)&amp;"P "))&amp;IF(ISNA(VLOOKUP($B516,TabAlgTutti,11,FALSE)),"",IF(VLOOKUP($B516,TabAlgTutti,11,FALSE)="","",VLOOKUP($B516,TabAlgTutti,11,FALSE)&amp;"A"))</f>
        <v/>
      </c>
      <c r="J516" s="63">
        <f ca="1">IF(ISNA(VLOOKUP($B516,TabAlgTutti,3,FALSE)),0,VLOOKUP($B516,TabAlgTutti,3,FALSE))+ROW()/100000</f>
        <v>5.1599999999999997E-3</v>
      </c>
      <c r="K516" s="63">
        <f ca="1">IF(ISNA(VLOOKUP($B516,TabAlgTutti,4,FALSE)),0,VLOOKUP($B516,TabAlgTutti,4,FALSE))+ROW()/100000</f>
        <v>5.1599999999999997E-3</v>
      </c>
      <c r="L516" s="63" t="e">
        <f ca="1">VLOOKUP(Tabella114[[#This Row],[Calciatore]],'Raccolta Aste'!$K$2:$O$33,4,FALSE)*Asta!$U$3/100</f>
        <v>#N/A</v>
      </c>
      <c r="N516" s="58"/>
      <c r="O516" s="58"/>
      <c r="P516" s="58"/>
      <c r="Q516" s="58"/>
      <c r="R516" s="58"/>
      <c r="S516" s="58"/>
      <c r="W516" s="56">
        <f t="shared" ca="1" si="151"/>
        <v>191</v>
      </c>
      <c r="X516" s="56">
        <f t="shared" ca="1" si="152"/>
        <v>190</v>
      </c>
      <c r="Y516" s="56">
        <f t="shared" ca="1" si="153"/>
        <v>191</v>
      </c>
      <c r="Z516" s="56">
        <f t="shared" ca="1" si="154"/>
        <v>191</v>
      </c>
      <c r="AA516" s="56">
        <f t="shared" ca="1" si="155"/>
        <v>191</v>
      </c>
      <c r="AB516" s="56">
        <f ca="1">_xlfn.CEILING.MATH(INDIRECT(ADDRESS(311,22+MATCH($P$28,'I.A. + Fasce'!$W$84:$AA$84,0),1,1) &amp; ":" &amp; ADDRESS(531,22+MATCH($P$28,'I.A. + Fasce'!$W$84:$AA$84,0),1,1))/Asta!$H$3)</f>
        <v>24</v>
      </c>
    </row>
    <row r="517" spans="1:28" ht="14.25" customHeight="1">
      <c r="A517" s="239" t="str">
        <f ca="1">IF(Giocatori!J184="","C",Giocatori!J184)</f>
        <v>C</v>
      </c>
      <c r="B517" s="239" t="str">
        <f ca="1">IF(Giocatori!K215="","ZZZ" &amp; ROW(),Giocatori!K215)</f>
        <v>ZZZ517</v>
      </c>
      <c r="C517" s="239" t="str">
        <f ca="1">IF(Giocatori!L215="","NDR" &amp; ROW(),Giocatori!L215)</f>
        <v>NDR517</v>
      </c>
      <c r="D517" s="63">
        <f ca="1">IF(ISNA(VLOOKUP($B517,TabAlgTutti,6,FALSE)),0,VLOOKUP($B517,TabAlgTutti,6,FALSE))+ROW()/100000</f>
        <v>5.1700000000000001E-3</v>
      </c>
      <c r="E517" s="63">
        <f ca="1">IF(ISNA(VLOOKUP($B517,TabAlgTutti,5,FALSE)),0,VLOOKUP($B517,TabAlgTutti,5,FALSE))+ROW()/100000</f>
        <v>5.1700000000000001E-3</v>
      </c>
      <c r="F517" s="64">
        <f ca="1">($D517*$P$8+$E517*(1+$E517*100/60/100)*$S$8)/100+ROW()/100000</f>
        <v>1.0340222740833334E-2</v>
      </c>
      <c r="G517" s="63" t="str">
        <f ca="1">IF(ISNA(VLOOKUP($B517,TabAlgTutti,7,FALSE)),"",IF(VLOOKUP($B517,TabAlgTutti,7,FALSE)=-1,"SCONSIGLIATO",IF(VLOOKUP($B517,TabAlgTutti,7,FALSE)=0,"SORPRESA",IF(VLOOKUP($B517,TabAlgTutti,7,FALSE)=1,"CONSIGLIATO",""))))</f>
        <v/>
      </c>
      <c r="H517" s="65" t="str">
        <f ca="1">IF(ISNA(VLOOKUP($B517,TabAlgTutti,8,FALSE)),"",VLOOKUP($B517,TabAlgTutti,8,FALSE))</f>
        <v/>
      </c>
      <c r="I517" s="63" t="str">
        <f ca="1">IF(ISNA(VLOOKUP($B517,TabAlgTutti,9,FALSE)),"",IF(VLOOKUP($B517,TabAlgTutti,9,FALSE)="","",VLOOKUP($B517,TabAlgTutti,9,FALSE)&amp;"R "))&amp;IF(ISNA(VLOOKUP($B517,TabAlgTutti,10,FALSE)),"",IF(VLOOKUP($B517,TabAlgTutti,10,FALSE)="","",VLOOKUP($B517,TabAlgTutti,10,FALSE)&amp;"P "))&amp;IF(ISNA(VLOOKUP($B517,TabAlgTutti,11,FALSE)),"",IF(VLOOKUP($B517,TabAlgTutti,11,FALSE)="","",VLOOKUP($B517,TabAlgTutti,11,FALSE)&amp;"A"))</f>
        <v/>
      </c>
      <c r="J517" s="63">
        <f ca="1">IF(ISNA(VLOOKUP($B517,TabAlgTutti,3,FALSE)),0,VLOOKUP($B517,TabAlgTutti,3,FALSE))+ROW()/100000</f>
        <v>5.1700000000000001E-3</v>
      </c>
      <c r="K517" s="63">
        <f ca="1">IF(ISNA(VLOOKUP($B517,TabAlgTutti,4,FALSE)),0,VLOOKUP($B517,TabAlgTutti,4,FALSE))+ROW()/100000</f>
        <v>5.1700000000000001E-3</v>
      </c>
      <c r="L517" s="63" t="e">
        <f ca="1">VLOOKUP(Tabella114[[#This Row],[Calciatore]],'Raccolta Aste'!$K$2:$O$33,4,FALSE)*Asta!$U$3/100</f>
        <v>#N/A</v>
      </c>
      <c r="N517" s="58"/>
      <c r="O517" s="58"/>
      <c r="P517" s="58"/>
      <c r="Q517" s="58"/>
      <c r="R517" s="58"/>
      <c r="S517" s="58"/>
      <c r="W517" s="56">
        <f t="shared" ca="1" si="151"/>
        <v>190</v>
      </c>
      <c r="X517" s="56">
        <f t="shared" ca="1" si="152"/>
        <v>189</v>
      </c>
      <c r="Y517" s="56">
        <f t="shared" ca="1" si="153"/>
        <v>190</v>
      </c>
      <c r="Z517" s="56">
        <f t="shared" ca="1" si="154"/>
        <v>190</v>
      </c>
      <c r="AA517" s="56">
        <f t="shared" ca="1" si="155"/>
        <v>190</v>
      </c>
      <c r="AB517" s="56">
        <f ca="1">_xlfn.CEILING.MATH(INDIRECT(ADDRESS(311,22+MATCH($P$28,'I.A. + Fasce'!$W$84:$AA$84,0),1,1) &amp; ":" &amp; ADDRESS(531,22+MATCH($P$28,'I.A. + Fasce'!$W$84:$AA$84,0),1,1))/Asta!$H$3)</f>
        <v>24</v>
      </c>
    </row>
    <row r="518" spans="1:28" ht="14.25" customHeight="1">
      <c r="A518" s="239" t="str">
        <f ca="1">IF(Giocatori!J185="","C",Giocatori!J185)</f>
        <v>C</v>
      </c>
      <c r="B518" s="239" t="str">
        <f ca="1">IF(Giocatori!K216="","ZZZ" &amp; ROW(),Giocatori!K216)</f>
        <v>ZZZ518</v>
      </c>
      <c r="C518" s="239" t="str">
        <f ca="1">IF(Giocatori!L216="","NDR" &amp; ROW(),Giocatori!L216)</f>
        <v>NDR518</v>
      </c>
      <c r="D518" s="63">
        <f ca="1">IF(ISNA(VLOOKUP($B518,TabAlgTutti,6,FALSE)),0,VLOOKUP($B518,TabAlgTutti,6,FALSE))+ROW()/100000</f>
        <v>5.1799999999999997E-3</v>
      </c>
      <c r="E518" s="63">
        <f ca="1">IF(ISNA(VLOOKUP($B518,TabAlgTutti,5,FALSE)),0,VLOOKUP($B518,TabAlgTutti,5,FALSE))+ROW()/100000</f>
        <v>5.1799999999999997E-3</v>
      </c>
      <c r="F518" s="64">
        <f ca="1">($D518*$P$8+$E518*(1+$E518*100/60/100)*$S$8)/100+ROW()/100000</f>
        <v>1.0360223603333333E-2</v>
      </c>
      <c r="G518" s="63" t="str">
        <f ca="1">IF(ISNA(VLOOKUP($B518,TabAlgTutti,7,FALSE)),"",IF(VLOOKUP($B518,TabAlgTutti,7,FALSE)=-1,"SCONSIGLIATO",IF(VLOOKUP($B518,TabAlgTutti,7,FALSE)=0,"SORPRESA",IF(VLOOKUP($B518,TabAlgTutti,7,FALSE)=1,"CONSIGLIATO",""))))</f>
        <v/>
      </c>
      <c r="H518" s="65" t="str">
        <f ca="1">IF(ISNA(VLOOKUP($B518,TabAlgTutti,8,FALSE)),"",VLOOKUP($B518,TabAlgTutti,8,FALSE))</f>
        <v/>
      </c>
      <c r="I518" s="63" t="str">
        <f ca="1">IF(ISNA(VLOOKUP($B518,TabAlgTutti,9,FALSE)),"",IF(VLOOKUP($B518,TabAlgTutti,9,FALSE)="","",VLOOKUP($B518,TabAlgTutti,9,FALSE)&amp;"R "))&amp;IF(ISNA(VLOOKUP($B518,TabAlgTutti,10,FALSE)),"",IF(VLOOKUP($B518,TabAlgTutti,10,FALSE)="","",VLOOKUP($B518,TabAlgTutti,10,FALSE)&amp;"P "))&amp;IF(ISNA(VLOOKUP($B518,TabAlgTutti,11,FALSE)),"",IF(VLOOKUP($B518,TabAlgTutti,11,FALSE)="","",VLOOKUP($B518,TabAlgTutti,11,FALSE)&amp;"A"))</f>
        <v/>
      </c>
      <c r="J518" s="63">
        <f ca="1">IF(ISNA(VLOOKUP($B518,TabAlgTutti,3,FALSE)),0,VLOOKUP($B518,TabAlgTutti,3,FALSE))+ROW()/100000</f>
        <v>5.1799999999999997E-3</v>
      </c>
      <c r="K518" s="63">
        <f ca="1">IF(ISNA(VLOOKUP($B518,TabAlgTutti,4,FALSE)),0,VLOOKUP($B518,TabAlgTutti,4,FALSE))+ROW()/100000</f>
        <v>5.1799999999999997E-3</v>
      </c>
      <c r="L518" s="63" t="e">
        <f ca="1">VLOOKUP(Tabella114[[#This Row],[Calciatore]],'Raccolta Aste'!$K$2:$O$33,4,FALSE)*Asta!$U$3/100</f>
        <v>#N/A</v>
      </c>
      <c r="N518" s="58"/>
      <c r="O518" s="58"/>
      <c r="P518" s="58"/>
      <c r="Q518" s="58"/>
      <c r="R518" s="58"/>
      <c r="S518" s="58"/>
      <c r="W518" s="56">
        <f t="shared" ca="1" si="151"/>
        <v>189</v>
      </c>
      <c r="X518" s="56">
        <f t="shared" ca="1" si="152"/>
        <v>188</v>
      </c>
      <c r="Y518" s="56">
        <f t="shared" ca="1" si="153"/>
        <v>189</v>
      </c>
      <c r="Z518" s="56">
        <f t="shared" ca="1" si="154"/>
        <v>189</v>
      </c>
      <c r="AA518" s="56">
        <f t="shared" ca="1" si="155"/>
        <v>189</v>
      </c>
      <c r="AB518" s="56">
        <f ca="1">_xlfn.CEILING.MATH(INDIRECT(ADDRESS(311,22+MATCH($P$28,'I.A. + Fasce'!$W$84:$AA$84,0),1,1) &amp; ":" &amp; ADDRESS(531,22+MATCH($P$28,'I.A. + Fasce'!$W$84:$AA$84,0),1,1))/Asta!$H$3)</f>
        <v>24</v>
      </c>
    </row>
    <row r="519" spans="1:28" ht="14.25" customHeight="1">
      <c r="A519" s="239" t="str">
        <f ca="1">IF(Giocatori!J186="","C",Giocatori!J186)</f>
        <v>C</v>
      </c>
      <c r="B519" s="239" t="str">
        <f ca="1">IF(Giocatori!K217="","ZZZ" &amp; ROW(),Giocatori!K217)</f>
        <v>ZZZ519</v>
      </c>
      <c r="C519" s="239" t="str">
        <f ca="1">IF(Giocatori!L217="","NDR" &amp; ROW(),Giocatori!L217)</f>
        <v>NDR519</v>
      </c>
      <c r="D519" s="63">
        <f ca="1">IF(ISNA(VLOOKUP($B519,TabAlgTutti,6,FALSE)),0,VLOOKUP($B519,TabAlgTutti,6,FALSE))+ROW()/100000</f>
        <v>5.1900000000000002E-3</v>
      </c>
      <c r="E519" s="63">
        <f ca="1">IF(ISNA(VLOOKUP($B519,TabAlgTutti,5,FALSE)),0,VLOOKUP($B519,TabAlgTutti,5,FALSE))+ROW()/100000</f>
        <v>5.1900000000000002E-3</v>
      </c>
      <c r="F519" s="64">
        <f ca="1">($D519*$P$8+$E519*(1+$E519*100/60/100)*$S$8)/100+ROW()/100000</f>
        <v>1.0380224467500001E-2</v>
      </c>
      <c r="G519" s="63" t="str">
        <f ca="1">IF(ISNA(VLOOKUP($B519,TabAlgTutti,7,FALSE)),"",IF(VLOOKUP($B519,TabAlgTutti,7,FALSE)=-1,"SCONSIGLIATO",IF(VLOOKUP($B519,TabAlgTutti,7,FALSE)=0,"SORPRESA",IF(VLOOKUP($B519,TabAlgTutti,7,FALSE)=1,"CONSIGLIATO",""))))</f>
        <v/>
      </c>
      <c r="H519" s="65" t="str">
        <f ca="1">IF(ISNA(VLOOKUP($B519,TabAlgTutti,8,FALSE)),"",VLOOKUP($B519,TabAlgTutti,8,FALSE))</f>
        <v/>
      </c>
      <c r="I519" s="63" t="str">
        <f ca="1">IF(ISNA(VLOOKUP($B519,TabAlgTutti,9,FALSE)),"",IF(VLOOKUP($B519,TabAlgTutti,9,FALSE)="","",VLOOKUP($B519,TabAlgTutti,9,FALSE)&amp;"R "))&amp;IF(ISNA(VLOOKUP($B519,TabAlgTutti,10,FALSE)),"",IF(VLOOKUP($B519,TabAlgTutti,10,FALSE)="","",VLOOKUP($B519,TabAlgTutti,10,FALSE)&amp;"P "))&amp;IF(ISNA(VLOOKUP($B519,TabAlgTutti,11,FALSE)),"",IF(VLOOKUP($B519,TabAlgTutti,11,FALSE)="","",VLOOKUP($B519,TabAlgTutti,11,FALSE)&amp;"A"))</f>
        <v/>
      </c>
      <c r="J519" s="63">
        <f ca="1">IF(ISNA(VLOOKUP($B519,TabAlgTutti,3,FALSE)),0,VLOOKUP($B519,TabAlgTutti,3,FALSE))+ROW()/100000</f>
        <v>5.1900000000000002E-3</v>
      </c>
      <c r="K519" s="63">
        <f ca="1">IF(ISNA(VLOOKUP($B519,TabAlgTutti,4,FALSE)),0,VLOOKUP($B519,TabAlgTutti,4,FALSE))+ROW()/100000</f>
        <v>5.1900000000000002E-3</v>
      </c>
      <c r="L519" s="63" t="e">
        <f ca="1">VLOOKUP(Tabella114[[#This Row],[Calciatore]],'Raccolta Aste'!$K$2:$O$33,4,FALSE)*Asta!$U$3/100</f>
        <v>#N/A</v>
      </c>
      <c r="N519" s="58"/>
      <c r="O519" s="58"/>
      <c r="P519" s="58"/>
      <c r="Q519" s="58"/>
      <c r="R519" s="58"/>
      <c r="S519" s="58"/>
      <c r="W519" s="56">
        <f t="shared" ca="1" si="151"/>
        <v>188</v>
      </c>
      <c r="X519" s="56">
        <f t="shared" ca="1" si="152"/>
        <v>187</v>
      </c>
      <c r="Y519" s="56">
        <f t="shared" ca="1" si="153"/>
        <v>188</v>
      </c>
      <c r="Z519" s="56">
        <f t="shared" ca="1" si="154"/>
        <v>188</v>
      </c>
      <c r="AA519" s="56">
        <f t="shared" ca="1" si="155"/>
        <v>188</v>
      </c>
      <c r="AB519" s="56">
        <f ca="1">_xlfn.CEILING.MATH(INDIRECT(ADDRESS(311,22+MATCH($P$28,'I.A. + Fasce'!$W$84:$AA$84,0),1,1) &amp; ":" &amp; ADDRESS(531,22+MATCH($P$28,'I.A. + Fasce'!$W$84:$AA$84,0),1,1))/Asta!$H$3)</f>
        <v>24</v>
      </c>
    </row>
    <row r="520" spans="1:28" ht="14.25" customHeight="1">
      <c r="A520" s="239" t="str">
        <f ca="1">IF(Giocatori!J187="","C",Giocatori!J187)</f>
        <v>C</v>
      </c>
      <c r="B520" s="239" t="str">
        <f ca="1">IF(Giocatori!K218="","ZZZ" &amp; ROW(),Giocatori!K218)</f>
        <v>ZZZ520</v>
      </c>
      <c r="C520" s="239" t="str">
        <f ca="1">IF(Giocatori!L218="","NDR" &amp; ROW(),Giocatori!L218)</f>
        <v>NDR520</v>
      </c>
      <c r="D520" s="63">
        <f ca="1">IF(ISNA(VLOOKUP($B520,TabAlgTutti,6,FALSE)),0,VLOOKUP($B520,TabAlgTutti,6,FALSE))+ROW()/100000</f>
        <v>5.1999999999999998E-3</v>
      </c>
      <c r="E520" s="63">
        <f ca="1">IF(ISNA(VLOOKUP($B520,TabAlgTutti,5,FALSE)),0,VLOOKUP($B520,TabAlgTutti,5,FALSE))+ROW()/100000</f>
        <v>5.1999999999999998E-3</v>
      </c>
      <c r="F520" s="64">
        <f ca="1">($D520*$P$8+$E520*(1+$E520*100/60/100)*$S$8)/100+ROW()/100000</f>
        <v>1.0400225333333332E-2</v>
      </c>
      <c r="G520" s="63" t="str">
        <f ca="1">IF(ISNA(VLOOKUP($B520,TabAlgTutti,7,FALSE)),"",IF(VLOOKUP($B520,TabAlgTutti,7,FALSE)=-1,"SCONSIGLIATO",IF(VLOOKUP($B520,TabAlgTutti,7,FALSE)=0,"SORPRESA",IF(VLOOKUP($B520,TabAlgTutti,7,FALSE)=1,"CONSIGLIATO",""))))</f>
        <v/>
      </c>
      <c r="H520" s="65" t="str">
        <f ca="1">IF(ISNA(VLOOKUP($B520,TabAlgTutti,8,FALSE)),"",VLOOKUP($B520,TabAlgTutti,8,FALSE))</f>
        <v/>
      </c>
      <c r="I520" s="63" t="str">
        <f ca="1">IF(ISNA(VLOOKUP($B520,TabAlgTutti,9,FALSE)),"",IF(VLOOKUP($B520,TabAlgTutti,9,FALSE)="","",VLOOKUP($B520,TabAlgTutti,9,FALSE)&amp;"R "))&amp;IF(ISNA(VLOOKUP($B520,TabAlgTutti,10,FALSE)),"",IF(VLOOKUP($B520,TabAlgTutti,10,FALSE)="","",VLOOKUP($B520,TabAlgTutti,10,FALSE)&amp;"P "))&amp;IF(ISNA(VLOOKUP($B520,TabAlgTutti,11,FALSE)),"",IF(VLOOKUP($B520,TabAlgTutti,11,FALSE)="","",VLOOKUP($B520,TabAlgTutti,11,FALSE)&amp;"A"))</f>
        <v/>
      </c>
      <c r="J520" s="63">
        <f ca="1">IF(ISNA(VLOOKUP($B520,TabAlgTutti,3,FALSE)),0,VLOOKUP($B520,TabAlgTutti,3,FALSE))+ROW()/100000</f>
        <v>5.1999999999999998E-3</v>
      </c>
      <c r="K520" s="63">
        <f ca="1">IF(ISNA(VLOOKUP($B520,TabAlgTutti,4,FALSE)),0,VLOOKUP($B520,TabAlgTutti,4,FALSE))+ROW()/100000</f>
        <v>5.1999999999999998E-3</v>
      </c>
      <c r="L520" s="63" t="e">
        <f ca="1">VLOOKUP(Tabella114[[#This Row],[Calciatore]],'Raccolta Aste'!$K$2:$O$33,4,FALSE)*Asta!$U$3/100</f>
        <v>#N/A</v>
      </c>
      <c r="N520" s="58"/>
      <c r="O520" s="58"/>
      <c r="P520" s="58"/>
      <c r="Q520" s="58"/>
      <c r="R520" s="58"/>
      <c r="S520" s="58"/>
      <c r="W520" s="56">
        <f t="shared" ca="1" si="151"/>
        <v>187</v>
      </c>
      <c r="X520" s="56">
        <f t="shared" ca="1" si="152"/>
        <v>186</v>
      </c>
      <c r="Y520" s="56">
        <f t="shared" ca="1" si="153"/>
        <v>187</v>
      </c>
      <c r="Z520" s="56">
        <f t="shared" ca="1" si="154"/>
        <v>187</v>
      </c>
      <c r="AA520" s="56">
        <f t="shared" ca="1" si="155"/>
        <v>187</v>
      </c>
      <c r="AB520" s="56">
        <f ca="1">_xlfn.CEILING.MATH(INDIRECT(ADDRESS(311,22+MATCH($P$28,'I.A. + Fasce'!$W$84:$AA$84,0),1,1) &amp; ":" &amp; ADDRESS(531,22+MATCH($P$28,'I.A. + Fasce'!$W$84:$AA$84,0),1,1))/Asta!$H$3)</f>
        <v>24</v>
      </c>
    </row>
    <row r="521" spans="1:28" ht="14.25" customHeight="1">
      <c r="A521" s="239" t="str">
        <f ca="1">IF(Giocatori!J188="","C",Giocatori!J188)</f>
        <v>C</v>
      </c>
      <c r="B521" s="239" t="str">
        <f ca="1">IF(Giocatori!K219="","ZZZ" &amp; ROW(),Giocatori!K219)</f>
        <v>ZZZ521</v>
      </c>
      <c r="C521" s="239" t="str">
        <f ca="1">IF(Giocatori!L219="","NDR" &amp; ROW(),Giocatori!L219)</f>
        <v>NDR521</v>
      </c>
      <c r="D521" s="63">
        <f ca="1">IF(ISNA(VLOOKUP($B521,TabAlgTutti,6,FALSE)),0,VLOOKUP($B521,TabAlgTutti,6,FALSE))+ROW()/100000</f>
        <v>5.2100000000000002E-3</v>
      </c>
      <c r="E521" s="63">
        <f ca="1">IF(ISNA(VLOOKUP($B521,TabAlgTutti,5,FALSE)),0,VLOOKUP($B521,TabAlgTutti,5,FALSE))+ROW()/100000</f>
        <v>5.2100000000000002E-3</v>
      </c>
      <c r="F521" s="64">
        <f ca="1">($D521*$P$8+$E521*(1+$E521*100/60/100)*$S$8)/100+ROW()/100000</f>
        <v>1.0420226200833334E-2</v>
      </c>
      <c r="G521" s="63" t="str">
        <f ca="1">IF(ISNA(VLOOKUP($B521,TabAlgTutti,7,FALSE)),"",IF(VLOOKUP($B521,TabAlgTutti,7,FALSE)=-1,"SCONSIGLIATO",IF(VLOOKUP($B521,TabAlgTutti,7,FALSE)=0,"SORPRESA",IF(VLOOKUP($B521,TabAlgTutti,7,FALSE)=1,"CONSIGLIATO",""))))</f>
        <v/>
      </c>
      <c r="H521" s="65" t="str">
        <f ca="1">IF(ISNA(VLOOKUP($B521,TabAlgTutti,8,FALSE)),"",VLOOKUP($B521,TabAlgTutti,8,FALSE))</f>
        <v/>
      </c>
      <c r="I521" s="63" t="str">
        <f ca="1">IF(ISNA(VLOOKUP($B521,TabAlgTutti,9,FALSE)),"",IF(VLOOKUP($B521,TabAlgTutti,9,FALSE)="","",VLOOKUP($B521,TabAlgTutti,9,FALSE)&amp;"R "))&amp;IF(ISNA(VLOOKUP($B521,TabAlgTutti,10,FALSE)),"",IF(VLOOKUP($B521,TabAlgTutti,10,FALSE)="","",VLOOKUP($B521,TabAlgTutti,10,FALSE)&amp;"P "))&amp;IF(ISNA(VLOOKUP($B521,TabAlgTutti,11,FALSE)),"",IF(VLOOKUP($B521,TabAlgTutti,11,FALSE)="","",VLOOKUP($B521,TabAlgTutti,11,FALSE)&amp;"A"))</f>
        <v/>
      </c>
      <c r="J521" s="63">
        <f ca="1">IF(ISNA(VLOOKUP($B521,TabAlgTutti,3,FALSE)),0,VLOOKUP($B521,TabAlgTutti,3,FALSE))+ROW()/100000</f>
        <v>5.2100000000000002E-3</v>
      </c>
      <c r="K521" s="63">
        <f ca="1">IF(ISNA(VLOOKUP($B521,TabAlgTutti,4,FALSE)),0,VLOOKUP($B521,TabAlgTutti,4,FALSE))+ROW()/100000</f>
        <v>5.2100000000000002E-3</v>
      </c>
      <c r="L521" s="63" t="e">
        <f ca="1">VLOOKUP(Tabella114[[#This Row],[Calciatore]],'Raccolta Aste'!$K$2:$O$33,4,FALSE)*Asta!$U$3/100</f>
        <v>#N/A</v>
      </c>
      <c r="N521" s="58"/>
      <c r="O521" s="58"/>
      <c r="P521" s="58"/>
      <c r="Q521" s="58"/>
      <c r="R521" s="58"/>
      <c r="S521" s="58"/>
      <c r="W521" s="56">
        <f t="shared" ca="1" si="151"/>
        <v>186</v>
      </c>
      <c r="X521" s="56">
        <f t="shared" ca="1" si="152"/>
        <v>185</v>
      </c>
      <c r="Y521" s="56">
        <f t="shared" ca="1" si="153"/>
        <v>186</v>
      </c>
      <c r="Z521" s="56">
        <f t="shared" ca="1" si="154"/>
        <v>186</v>
      </c>
      <c r="AA521" s="56">
        <f t="shared" ca="1" si="155"/>
        <v>186</v>
      </c>
      <c r="AB521" s="56">
        <f ca="1">_xlfn.CEILING.MATH(INDIRECT(ADDRESS(311,22+MATCH($P$28,'I.A. + Fasce'!$W$84:$AA$84,0),1,1) &amp; ":" &amp; ADDRESS(531,22+MATCH($P$28,'I.A. + Fasce'!$W$84:$AA$84,0),1,1))/Asta!$H$3)</f>
        <v>24</v>
      </c>
    </row>
    <row r="522" spans="1:28" ht="14.25" customHeight="1">
      <c r="A522" s="239" t="str">
        <f ca="1">IF(Giocatori!J189="","C",Giocatori!J189)</f>
        <v>C</v>
      </c>
      <c r="B522" s="239" t="str">
        <f ca="1">IF(Giocatori!K220="","ZZZ" &amp; ROW(),Giocatori!K220)</f>
        <v>ZZZ522</v>
      </c>
      <c r="C522" s="239" t="str">
        <f ca="1">IF(Giocatori!L220="","NDR" &amp; ROW(),Giocatori!L220)</f>
        <v>NDR522</v>
      </c>
      <c r="D522" s="63">
        <f ca="1">IF(ISNA(VLOOKUP($B522,TabAlgTutti,6,FALSE)),0,VLOOKUP($B522,TabAlgTutti,6,FALSE))+ROW()/100000</f>
        <v>5.2199999999999998E-3</v>
      </c>
      <c r="E522" s="63">
        <f ca="1">IF(ISNA(VLOOKUP($B522,TabAlgTutti,5,FALSE)),0,VLOOKUP($B522,TabAlgTutti,5,FALSE))+ROW()/100000</f>
        <v>5.2199999999999998E-3</v>
      </c>
      <c r="F522" s="64">
        <f ca="1">($D522*$P$8+$E522*(1+$E522*100/60/100)*$S$8)/100+ROW()/100000</f>
        <v>1.0440227069999999E-2</v>
      </c>
      <c r="G522" s="63" t="str">
        <f ca="1">IF(ISNA(VLOOKUP($B522,TabAlgTutti,7,FALSE)),"",IF(VLOOKUP($B522,TabAlgTutti,7,FALSE)=-1,"SCONSIGLIATO",IF(VLOOKUP($B522,TabAlgTutti,7,FALSE)=0,"SORPRESA",IF(VLOOKUP($B522,TabAlgTutti,7,FALSE)=1,"CONSIGLIATO",""))))</f>
        <v/>
      </c>
      <c r="H522" s="65" t="str">
        <f ca="1">IF(ISNA(VLOOKUP($B522,TabAlgTutti,8,FALSE)),"",VLOOKUP($B522,TabAlgTutti,8,FALSE))</f>
        <v/>
      </c>
      <c r="I522" s="63" t="str">
        <f ca="1">IF(ISNA(VLOOKUP($B522,TabAlgTutti,9,FALSE)),"",IF(VLOOKUP($B522,TabAlgTutti,9,FALSE)="","",VLOOKUP($B522,TabAlgTutti,9,FALSE)&amp;"R "))&amp;IF(ISNA(VLOOKUP($B522,TabAlgTutti,10,FALSE)),"",IF(VLOOKUP($B522,TabAlgTutti,10,FALSE)="","",VLOOKUP($B522,TabAlgTutti,10,FALSE)&amp;"P "))&amp;IF(ISNA(VLOOKUP($B522,TabAlgTutti,11,FALSE)),"",IF(VLOOKUP($B522,TabAlgTutti,11,FALSE)="","",VLOOKUP($B522,TabAlgTutti,11,FALSE)&amp;"A"))</f>
        <v/>
      </c>
      <c r="J522" s="63">
        <f ca="1">IF(ISNA(VLOOKUP($B522,TabAlgTutti,3,FALSE)),0,VLOOKUP($B522,TabAlgTutti,3,FALSE))+ROW()/100000</f>
        <v>5.2199999999999998E-3</v>
      </c>
      <c r="K522" s="63">
        <f ca="1">IF(ISNA(VLOOKUP($B522,TabAlgTutti,4,FALSE)),0,VLOOKUP($B522,TabAlgTutti,4,FALSE))+ROW()/100000</f>
        <v>5.2199999999999998E-3</v>
      </c>
      <c r="L522" s="63" t="e">
        <f ca="1">VLOOKUP(Tabella114[[#This Row],[Calciatore]],'Raccolta Aste'!$K$2:$O$33,4,FALSE)*Asta!$U$3/100</f>
        <v>#N/A</v>
      </c>
      <c r="N522" s="58"/>
      <c r="O522" s="58"/>
      <c r="P522" s="58"/>
      <c r="Q522" s="58"/>
      <c r="R522" s="58"/>
      <c r="S522" s="58"/>
      <c r="W522" s="56">
        <f t="shared" ca="1" si="151"/>
        <v>185</v>
      </c>
      <c r="X522" s="56">
        <f t="shared" ca="1" si="152"/>
        <v>184</v>
      </c>
      <c r="Y522" s="56">
        <f t="shared" ca="1" si="153"/>
        <v>185</v>
      </c>
      <c r="Z522" s="56">
        <f t="shared" ca="1" si="154"/>
        <v>185</v>
      </c>
      <c r="AA522" s="56">
        <f t="shared" ca="1" si="155"/>
        <v>185</v>
      </c>
      <c r="AB522" s="56">
        <f ca="1">_xlfn.CEILING.MATH(INDIRECT(ADDRESS(311,22+MATCH($P$28,'I.A. + Fasce'!$W$84:$AA$84,0),1,1) &amp; ":" &amp; ADDRESS(531,22+MATCH($P$28,'I.A. + Fasce'!$W$84:$AA$84,0),1,1))/Asta!$H$3)</f>
        <v>24</v>
      </c>
    </row>
    <row r="523" spans="1:28" ht="14.25" customHeight="1">
      <c r="A523" s="239" t="str">
        <f ca="1">IF(Giocatori!J190="","C",Giocatori!J190)</f>
        <v>C</v>
      </c>
      <c r="B523" s="239" t="str">
        <f ca="1">IF(Giocatori!K221="","ZZZ" &amp; ROW(),Giocatori!K221)</f>
        <v>ZZZ523</v>
      </c>
      <c r="C523" s="239" t="str">
        <f ca="1">IF(Giocatori!L221="","NDR" &amp; ROW(),Giocatori!L221)</f>
        <v>NDR523</v>
      </c>
      <c r="D523" s="63">
        <f ca="1">IF(ISNA(VLOOKUP($B523,TabAlgTutti,6,FALSE)),0,VLOOKUP($B523,TabAlgTutti,6,FALSE))+ROW()/100000</f>
        <v>5.2300000000000003E-3</v>
      </c>
      <c r="E523" s="63">
        <f ca="1">IF(ISNA(VLOOKUP($B523,TabAlgTutti,5,FALSE)),0,VLOOKUP($B523,TabAlgTutti,5,FALSE))+ROW()/100000</f>
        <v>5.2300000000000003E-3</v>
      </c>
      <c r="F523" s="64">
        <f ca="1">($D523*$P$8+$E523*(1+$E523*100/60/100)*$S$8)/100+ROW()/100000</f>
        <v>1.0460227940833334E-2</v>
      </c>
      <c r="G523" s="63" t="str">
        <f ca="1">IF(ISNA(VLOOKUP($B523,TabAlgTutti,7,FALSE)),"",IF(VLOOKUP($B523,TabAlgTutti,7,FALSE)=-1,"SCONSIGLIATO",IF(VLOOKUP($B523,TabAlgTutti,7,FALSE)=0,"SORPRESA",IF(VLOOKUP($B523,TabAlgTutti,7,FALSE)=1,"CONSIGLIATO",""))))</f>
        <v/>
      </c>
      <c r="H523" s="65" t="str">
        <f ca="1">IF(ISNA(VLOOKUP($B523,TabAlgTutti,8,FALSE)),"",VLOOKUP($B523,TabAlgTutti,8,FALSE))</f>
        <v/>
      </c>
      <c r="I523" s="63" t="str">
        <f ca="1">IF(ISNA(VLOOKUP($B523,TabAlgTutti,9,FALSE)),"",IF(VLOOKUP($B523,TabAlgTutti,9,FALSE)="","",VLOOKUP($B523,TabAlgTutti,9,FALSE)&amp;"R "))&amp;IF(ISNA(VLOOKUP($B523,TabAlgTutti,10,FALSE)),"",IF(VLOOKUP($B523,TabAlgTutti,10,FALSE)="","",VLOOKUP($B523,TabAlgTutti,10,FALSE)&amp;"P "))&amp;IF(ISNA(VLOOKUP($B523,TabAlgTutti,11,FALSE)),"",IF(VLOOKUP($B523,TabAlgTutti,11,FALSE)="","",VLOOKUP($B523,TabAlgTutti,11,FALSE)&amp;"A"))</f>
        <v/>
      </c>
      <c r="J523" s="63">
        <f ca="1">IF(ISNA(VLOOKUP($B523,TabAlgTutti,3,FALSE)),0,VLOOKUP($B523,TabAlgTutti,3,FALSE))+ROW()/100000</f>
        <v>5.2300000000000003E-3</v>
      </c>
      <c r="K523" s="63">
        <f ca="1">IF(ISNA(VLOOKUP($B523,TabAlgTutti,4,FALSE)),0,VLOOKUP($B523,TabAlgTutti,4,FALSE))+ROW()/100000</f>
        <v>5.2300000000000003E-3</v>
      </c>
      <c r="L523" s="63" t="e">
        <f ca="1">VLOOKUP(Tabella114[[#This Row],[Calciatore]],'Raccolta Aste'!$K$2:$O$33,4,FALSE)*Asta!$U$3/100</f>
        <v>#N/A</v>
      </c>
      <c r="N523" s="58"/>
      <c r="O523" s="58"/>
      <c r="P523" s="58"/>
      <c r="Q523" s="58"/>
      <c r="R523" s="58"/>
      <c r="S523" s="58"/>
      <c r="W523" s="56">
        <f t="shared" ca="1" si="151"/>
        <v>184</v>
      </c>
      <c r="X523" s="56">
        <f t="shared" ca="1" si="152"/>
        <v>183</v>
      </c>
      <c r="Y523" s="56">
        <f t="shared" ca="1" si="153"/>
        <v>184</v>
      </c>
      <c r="Z523" s="56">
        <f t="shared" ca="1" si="154"/>
        <v>184</v>
      </c>
      <c r="AA523" s="56">
        <f t="shared" ca="1" si="155"/>
        <v>184</v>
      </c>
      <c r="AB523" s="56">
        <f ca="1">_xlfn.CEILING.MATH(INDIRECT(ADDRESS(311,22+MATCH($P$28,'I.A. + Fasce'!$W$84:$AA$84,0),1,1) &amp; ":" &amp; ADDRESS(531,22+MATCH($P$28,'I.A. + Fasce'!$W$84:$AA$84,0),1,1))/Asta!$H$3)</f>
        <v>23</v>
      </c>
    </row>
    <row r="524" spans="1:28" ht="14.25" customHeight="1">
      <c r="A524" s="239" t="str">
        <f ca="1">IF(Giocatori!J191="","C",Giocatori!J191)</f>
        <v>C</v>
      </c>
      <c r="B524" s="239" t="str">
        <f ca="1">IF(Giocatori!K222="","ZZZ" &amp; ROW(),Giocatori!K222)</f>
        <v>ZZZ524</v>
      </c>
      <c r="C524" s="239" t="str">
        <f ca="1">IF(Giocatori!L222="","NDR" &amp; ROW(),Giocatori!L222)</f>
        <v>NDR524</v>
      </c>
      <c r="D524" s="63">
        <f ca="1">IF(ISNA(VLOOKUP($B524,TabAlgTutti,6,FALSE)),0,VLOOKUP($B524,TabAlgTutti,6,FALSE))+ROW()/100000</f>
        <v>5.2399999999999999E-3</v>
      </c>
      <c r="E524" s="63">
        <f ca="1">IF(ISNA(VLOOKUP($B524,TabAlgTutti,5,FALSE)),0,VLOOKUP($B524,TabAlgTutti,5,FALSE))+ROW()/100000</f>
        <v>5.2399999999999999E-3</v>
      </c>
      <c r="F524" s="64">
        <f ca="1">($D524*$P$8+$E524*(1+$E524*100/60/100)*$S$8)/100+ROW()/100000</f>
        <v>1.0480228813333334E-2</v>
      </c>
      <c r="G524" s="63" t="str">
        <f ca="1">IF(ISNA(VLOOKUP($B524,TabAlgTutti,7,FALSE)),"",IF(VLOOKUP($B524,TabAlgTutti,7,FALSE)=-1,"SCONSIGLIATO",IF(VLOOKUP($B524,TabAlgTutti,7,FALSE)=0,"SORPRESA",IF(VLOOKUP($B524,TabAlgTutti,7,FALSE)=1,"CONSIGLIATO",""))))</f>
        <v/>
      </c>
      <c r="H524" s="65" t="str">
        <f ca="1">IF(ISNA(VLOOKUP($B524,TabAlgTutti,8,FALSE)),"",VLOOKUP($B524,TabAlgTutti,8,FALSE))</f>
        <v/>
      </c>
      <c r="I524" s="63" t="str">
        <f ca="1">IF(ISNA(VLOOKUP($B524,TabAlgTutti,9,FALSE)),"",IF(VLOOKUP($B524,TabAlgTutti,9,FALSE)="","",VLOOKUP($B524,TabAlgTutti,9,FALSE)&amp;"R "))&amp;IF(ISNA(VLOOKUP($B524,TabAlgTutti,10,FALSE)),"",IF(VLOOKUP($B524,TabAlgTutti,10,FALSE)="","",VLOOKUP($B524,TabAlgTutti,10,FALSE)&amp;"P "))&amp;IF(ISNA(VLOOKUP($B524,TabAlgTutti,11,FALSE)),"",IF(VLOOKUP($B524,TabAlgTutti,11,FALSE)="","",VLOOKUP($B524,TabAlgTutti,11,FALSE)&amp;"A"))</f>
        <v/>
      </c>
      <c r="J524" s="63">
        <f ca="1">IF(ISNA(VLOOKUP($B524,TabAlgTutti,3,FALSE)),0,VLOOKUP($B524,TabAlgTutti,3,FALSE))+ROW()/100000</f>
        <v>5.2399999999999999E-3</v>
      </c>
      <c r="K524" s="63">
        <f ca="1">IF(ISNA(VLOOKUP($B524,TabAlgTutti,4,FALSE)),0,VLOOKUP($B524,TabAlgTutti,4,FALSE))+ROW()/100000</f>
        <v>5.2399999999999999E-3</v>
      </c>
      <c r="L524" s="63" t="e">
        <f ca="1">VLOOKUP(Tabella114[[#This Row],[Calciatore]],'Raccolta Aste'!$K$2:$O$33,4,FALSE)*Asta!$U$3/100</f>
        <v>#N/A</v>
      </c>
      <c r="N524" s="58"/>
      <c r="O524" s="58"/>
      <c r="P524" s="58"/>
      <c r="Q524" s="58"/>
      <c r="R524" s="58"/>
      <c r="S524" s="58"/>
      <c r="W524" s="56">
        <f t="shared" ca="1" si="151"/>
        <v>183</v>
      </c>
      <c r="X524" s="56">
        <f t="shared" ca="1" si="152"/>
        <v>182</v>
      </c>
      <c r="Y524" s="56">
        <f t="shared" ca="1" si="153"/>
        <v>183</v>
      </c>
      <c r="Z524" s="56">
        <f t="shared" ca="1" si="154"/>
        <v>183</v>
      </c>
      <c r="AA524" s="56">
        <f t="shared" ca="1" si="155"/>
        <v>183</v>
      </c>
      <c r="AB524" s="56">
        <f ca="1">_xlfn.CEILING.MATH(INDIRECT(ADDRESS(311,22+MATCH($P$28,'I.A. + Fasce'!$W$84:$AA$84,0),1,1) &amp; ":" &amp; ADDRESS(531,22+MATCH($P$28,'I.A. + Fasce'!$W$84:$AA$84,0),1,1))/Asta!$H$3)</f>
        <v>23</v>
      </c>
    </row>
    <row r="525" spans="1:28" ht="14.25" customHeight="1">
      <c r="A525" s="239" t="str">
        <f ca="1">IF(Giocatori!J192="","C",Giocatori!J192)</f>
        <v>C</v>
      </c>
      <c r="B525" s="239" t="str">
        <f ca="1">IF(Giocatori!K223="","ZZZ" &amp; ROW(),Giocatori!K223)</f>
        <v>ZZZ525</v>
      </c>
      <c r="C525" s="239" t="str">
        <f ca="1">IF(Giocatori!L223="","NDR" &amp; ROW(),Giocatori!L223)</f>
        <v>NDR525</v>
      </c>
      <c r="D525" s="63">
        <f ca="1">IF(ISNA(VLOOKUP($B525,TabAlgTutti,6,FALSE)),0,VLOOKUP($B525,TabAlgTutti,6,FALSE))+ROW()/100000</f>
        <v>5.2500000000000003E-3</v>
      </c>
      <c r="E525" s="63">
        <f ca="1">IF(ISNA(VLOOKUP($B525,TabAlgTutti,5,FALSE)),0,VLOOKUP($B525,TabAlgTutti,5,FALSE))+ROW()/100000</f>
        <v>5.2500000000000003E-3</v>
      </c>
      <c r="F525" s="64">
        <f ca="1">($D525*$P$8+$E525*(1+$E525*100/60/100)*$S$8)/100+ROW()/100000</f>
        <v>1.0500229687500001E-2</v>
      </c>
      <c r="G525" s="63" t="str">
        <f ca="1">IF(ISNA(VLOOKUP($B525,TabAlgTutti,7,FALSE)),"",IF(VLOOKUP($B525,TabAlgTutti,7,FALSE)=-1,"SCONSIGLIATO",IF(VLOOKUP($B525,TabAlgTutti,7,FALSE)=0,"SORPRESA",IF(VLOOKUP($B525,TabAlgTutti,7,FALSE)=1,"CONSIGLIATO",""))))</f>
        <v/>
      </c>
      <c r="H525" s="65" t="str">
        <f ca="1">IF(ISNA(VLOOKUP($B525,TabAlgTutti,8,FALSE)),"",VLOOKUP($B525,TabAlgTutti,8,FALSE))</f>
        <v/>
      </c>
      <c r="I525" s="63" t="str">
        <f ca="1">IF(ISNA(VLOOKUP($B525,TabAlgTutti,9,FALSE)),"",IF(VLOOKUP($B525,TabAlgTutti,9,FALSE)="","",VLOOKUP($B525,TabAlgTutti,9,FALSE)&amp;"R "))&amp;IF(ISNA(VLOOKUP($B525,TabAlgTutti,10,FALSE)),"",IF(VLOOKUP($B525,TabAlgTutti,10,FALSE)="","",VLOOKUP($B525,TabAlgTutti,10,FALSE)&amp;"P "))&amp;IF(ISNA(VLOOKUP($B525,TabAlgTutti,11,FALSE)),"",IF(VLOOKUP($B525,TabAlgTutti,11,FALSE)="","",VLOOKUP($B525,TabAlgTutti,11,FALSE)&amp;"A"))</f>
        <v/>
      </c>
      <c r="J525" s="63">
        <f ca="1">IF(ISNA(VLOOKUP($B525,TabAlgTutti,3,FALSE)),0,VLOOKUP($B525,TabAlgTutti,3,FALSE))+ROW()/100000</f>
        <v>5.2500000000000003E-3</v>
      </c>
      <c r="K525" s="63">
        <f ca="1">IF(ISNA(VLOOKUP($B525,TabAlgTutti,4,FALSE)),0,VLOOKUP($B525,TabAlgTutti,4,FALSE))+ROW()/100000</f>
        <v>5.2500000000000003E-3</v>
      </c>
      <c r="L525" s="63" t="e">
        <f ca="1">VLOOKUP(Tabella114[[#This Row],[Calciatore]],'Raccolta Aste'!$K$2:$O$33,4,FALSE)*Asta!$U$3/100</f>
        <v>#N/A</v>
      </c>
      <c r="N525" s="58"/>
      <c r="O525" s="58"/>
      <c r="P525" s="58"/>
      <c r="Q525" s="58"/>
      <c r="R525" s="58"/>
      <c r="S525" s="58"/>
      <c r="W525" s="56">
        <f t="shared" ca="1" si="151"/>
        <v>182</v>
      </c>
      <c r="X525" s="56">
        <f t="shared" ca="1" si="152"/>
        <v>181</v>
      </c>
      <c r="Y525" s="56">
        <f t="shared" ca="1" si="153"/>
        <v>182</v>
      </c>
      <c r="Z525" s="56">
        <f t="shared" ca="1" si="154"/>
        <v>182</v>
      </c>
      <c r="AA525" s="56">
        <f t="shared" ca="1" si="155"/>
        <v>182</v>
      </c>
      <c r="AB525" s="56">
        <f ca="1">_xlfn.CEILING.MATH(INDIRECT(ADDRESS(311,22+MATCH($P$28,'I.A. + Fasce'!$W$84:$AA$84,0),1,1) &amp; ":" &amp; ADDRESS(531,22+MATCH($P$28,'I.A. + Fasce'!$W$84:$AA$84,0),1,1))/Asta!$H$3)</f>
        <v>23</v>
      </c>
    </row>
    <row r="526" spans="1:28" ht="14.25" customHeight="1">
      <c r="A526" s="239" t="str">
        <f ca="1">IF(Giocatori!J193="","C",Giocatori!J193)</f>
        <v>C</v>
      </c>
      <c r="B526" s="239" t="str">
        <f ca="1">IF(Giocatori!K224="","ZZZ" &amp; ROW(),Giocatori!K224)</f>
        <v>ZZZ526</v>
      </c>
      <c r="C526" s="239" t="str">
        <f ca="1">IF(Giocatori!L224="","NDR" &amp; ROW(),Giocatori!L224)</f>
        <v>NDR526</v>
      </c>
      <c r="D526" s="63">
        <f ca="1">IF(ISNA(VLOOKUP($B526,TabAlgTutti,6,FALSE)),0,VLOOKUP($B526,TabAlgTutti,6,FALSE))+ROW()/100000</f>
        <v>5.2599999999999999E-3</v>
      </c>
      <c r="E526" s="63">
        <f ca="1">IF(ISNA(VLOOKUP($B526,TabAlgTutti,5,FALSE)),0,VLOOKUP($B526,TabAlgTutti,5,FALSE))+ROW()/100000</f>
        <v>5.2599999999999999E-3</v>
      </c>
      <c r="F526" s="64">
        <f ca="1">($D526*$P$8+$E526*(1+$E526*100/60/100)*$S$8)/100+ROW()/100000</f>
        <v>1.0520230563333333E-2</v>
      </c>
      <c r="G526" s="63" t="str">
        <f ca="1">IF(ISNA(VLOOKUP($B526,TabAlgTutti,7,FALSE)),"",IF(VLOOKUP($B526,TabAlgTutti,7,FALSE)=-1,"SCONSIGLIATO",IF(VLOOKUP($B526,TabAlgTutti,7,FALSE)=0,"SORPRESA",IF(VLOOKUP($B526,TabAlgTutti,7,FALSE)=1,"CONSIGLIATO",""))))</f>
        <v/>
      </c>
      <c r="H526" s="65" t="str">
        <f ca="1">IF(ISNA(VLOOKUP($B526,TabAlgTutti,8,FALSE)),"",VLOOKUP($B526,TabAlgTutti,8,FALSE))</f>
        <v/>
      </c>
      <c r="I526" s="63" t="str">
        <f ca="1">IF(ISNA(VLOOKUP($B526,TabAlgTutti,9,FALSE)),"",IF(VLOOKUP($B526,TabAlgTutti,9,FALSE)="","",VLOOKUP($B526,TabAlgTutti,9,FALSE)&amp;"R "))&amp;IF(ISNA(VLOOKUP($B526,TabAlgTutti,10,FALSE)),"",IF(VLOOKUP($B526,TabAlgTutti,10,FALSE)="","",VLOOKUP($B526,TabAlgTutti,10,FALSE)&amp;"P "))&amp;IF(ISNA(VLOOKUP($B526,TabAlgTutti,11,FALSE)),"",IF(VLOOKUP($B526,TabAlgTutti,11,FALSE)="","",VLOOKUP($B526,TabAlgTutti,11,FALSE)&amp;"A"))</f>
        <v/>
      </c>
      <c r="J526" s="63">
        <f ca="1">IF(ISNA(VLOOKUP($B526,TabAlgTutti,3,FALSE)),0,VLOOKUP($B526,TabAlgTutti,3,FALSE))+ROW()/100000</f>
        <v>5.2599999999999999E-3</v>
      </c>
      <c r="K526" s="63">
        <f ca="1">IF(ISNA(VLOOKUP($B526,TabAlgTutti,4,FALSE)),0,VLOOKUP($B526,TabAlgTutti,4,FALSE))+ROW()/100000</f>
        <v>5.2599999999999999E-3</v>
      </c>
      <c r="L526" s="63" t="e">
        <f ca="1">VLOOKUP(Tabella114[[#This Row],[Calciatore]],'Raccolta Aste'!$K$2:$O$33,4,FALSE)*Asta!$U$3/100</f>
        <v>#N/A</v>
      </c>
      <c r="N526" s="58"/>
      <c r="O526" s="58"/>
      <c r="P526" s="58"/>
      <c r="Q526" s="58"/>
      <c r="R526" s="58"/>
      <c r="S526" s="58"/>
      <c r="W526" s="56">
        <f t="shared" ca="1" si="151"/>
        <v>181</v>
      </c>
      <c r="X526" s="56">
        <f t="shared" ca="1" si="152"/>
        <v>180</v>
      </c>
      <c r="Y526" s="56">
        <f t="shared" ca="1" si="153"/>
        <v>181</v>
      </c>
      <c r="Z526" s="56">
        <f t="shared" ca="1" si="154"/>
        <v>181</v>
      </c>
      <c r="AA526" s="56">
        <f t="shared" ca="1" si="155"/>
        <v>181</v>
      </c>
      <c r="AB526" s="56">
        <f ca="1">_xlfn.CEILING.MATH(INDIRECT(ADDRESS(311,22+MATCH($P$28,'I.A. + Fasce'!$W$84:$AA$84,0),1,1) &amp; ":" &amp; ADDRESS(531,22+MATCH($P$28,'I.A. + Fasce'!$W$84:$AA$84,0),1,1))/Asta!$H$3)</f>
        <v>23</v>
      </c>
    </row>
    <row r="527" spans="1:28" ht="14.25" customHeight="1">
      <c r="A527" s="239" t="str">
        <f ca="1">IF(Giocatori!J194="","C",Giocatori!J194)</f>
        <v>C</v>
      </c>
      <c r="B527" s="239" t="str">
        <f ca="1">IF(Giocatori!K225="","ZZZ" &amp; ROW(),Giocatori!K225)</f>
        <v>ZZZ527</v>
      </c>
      <c r="C527" s="239" t="str">
        <f ca="1">IF(Giocatori!L225="","NDR" &amp; ROW(),Giocatori!L225)</f>
        <v>NDR527</v>
      </c>
      <c r="D527" s="63">
        <f ca="1">IF(ISNA(VLOOKUP($B527,TabAlgTutti,6,FALSE)),0,VLOOKUP($B527,TabAlgTutti,6,FALSE))+ROW()/100000</f>
        <v>5.2700000000000004E-3</v>
      </c>
      <c r="E527" s="63">
        <f ca="1">IF(ISNA(VLOOKUP($B527,TabAlgTutti,5,FALSE)),0,VLOOKUP($B527,TabAlgTutti,5,FALSE))+ROW()/100000</f>
        <v>5.2700000000000004E-3</v>
      </c>
      <c r="F527" s="64">
        <f ca="1">($D527*$P$8+$E527*(1+$E527*100/60/100)*$S$8)/100+ROW()/100000</f>
        <v>1.0540231440833334E-2</v>
      </c>
      <c r="G527" s="63" t="str">
        <f ca="1">IF(ISNA(VLOOKUP($B527,TabAlgTutti,7,FALSE)),"",IF(VLOOKUP($B527,TabAlgTutti,7,FALSE)=-1,"SCONSIGLIATO",IF(VLOOKUP($B527,TabAlgTutti,7,FALSE)=0,"SORPRESA",IF(VLOOKUP($B527,TabAlgTutti,7,FALSE)=1,"CONSIGLIATO",""))))</f>
        <v/>
      </c>
      <c r="H527" s="65" t="str">
        <f ca="1">IF(ISNA(VLOOKUP($B527,TabAlgTutti,8,FALSE)),"",VLOOKUP($B527,TabAlgTutti,8,FALSE))</f>
        <v/>
      </c>
      <c r="I527" s="63" t="str">
        <f ca="1">IF(ISNA(VLOOKUP($B527,TabAlgTutti,9,FALSE)),"",IF(VLOOKUP($B527,TabAlgTutti,9,FALSE)="","",VLOOKUP($B527,TabAlgTutti,9,FALSE)&amp;"R "))&amp;IF(ISNA(VLOOKUP($B527,TabAlgTutti,10,FALSE)),"",IF(VLOOKUP($B527,TabAlgTutti,10,FALSE)="","",VLOOKUP($B527,TabAlgTutti,10,FALSE)&amp;"P "))&amp;IF(ISNA(VLOOKUP($B527,TabAlgTutti,11,FALSE)),"",IF(VLOOKUP($B527,TabAlgTutti,11,FALSE)="","",VLOOKUP($B527,TabAlgTutti,11,FALSE)&amp;"A"))</f>
        <v/>
      </c>
      <c r="J527" s="63">
        <f ca="1">IF(ISNA(VLOOKUP($B527,TabAlgTutti,3,FALSE)),0,VLOOKUP($B527,TabAlgTutti,3,FALSE))+ROW()/100000</f>
        <v>5.2700000000000004E-3</v>
      </c>
      <c r="K527" s="63">
        <f ca="1">IF(ISNA(VLOOKUP($B527,TabAlgTutti,4,FALSE)),0,VLOOKUP($B527,TabAlgTutti,4,FALSE))+ROW()/100000</f>
        <v>5.2700000000000004E-3</v>
      </c>
      <c r="L527" s="63" t="e">
        <f ca="1">VLOOKUP(Tabella114[[#This Row],[Calciatore]],'Raccolta Aste'!$K$2:$O$33,4,FALSE)*Asta!$U$3/100</f>
        <v>#N/A</v>
      </c>
      <c r="N527" s="58"/>
      <c r="O527" s="58"/>
      <c r="P527" s="58"/>
      <c r="Q527" s="58"/>
      <c r="R527" s="58"/>
      <c r="S527" s="58"/>
      <c r="W527" s="56">
        <f t="shared" ca="1" si="151"/>
        <v>180</v>
      </c>
      <c r="X527" s="56">
        <f t="shared" ca="1" si="152"/>
        <v>179</v>
      </c>
      <c r="Y527" s="56">
        <f t="shared" ca="1" si="153"/>
        <v>180</v>
      </c>
      <c r="Z527" s="56">
        <f t="shared" ca="1" si="154"/>
        <v>180</v>
      </c>
      <c r="AA527" s="56">
        <f t="shared" ca="1" si="155"/>
        <v>180</v>
      </c>
      <c r="AB527" s="56">
        <f ca="1">_xlfn.CEILING.MATH(INDIRECT(ADDRESS(311,22+MATCH($P$28,'I.A. + Fasce'!$W$84:$AA$84,0),1,1) &amp; ":" &amp; ADDRESS(531,22+MATCH($P$28,'I.A. + Fasce'!$W$84:$AA$84,0),1,1))/Asta!$H$3)</f>
        <v>23</v>
      </c>
    </row>
    <row r="528" spans="1:28" ht="14.25" customHeight="1">
      <c r="A528" s="239" t="str">
        <f ca="1">IF(Giocatori!J195="","C",Giocatori!J195)</f>
        <v>C</v>
      </c>
      <c r="B528" s="239" t="str">
        <f ca="1">IF(Giocatori!K226="","ZZZ" &amp; ROW(),Giocatori!K226)</f>
        <v>ZZZ528</v>
      </c>
      <c r="C528" s="239" t="str">
        <f ca="1">IF(Giocatori!L226="","NDR" &amp; ROW(),Giocatori!L226)</f>
        <v>NDR528</v>
      </c>
      <c r="D528" s="63">
        <f ca="1">IF(ISNA(VLOOKUP($B528,TabAlgTutti,6,FALSE)),0,VLOOKUP($B528,TabAlgTutti,6,FALSE))+ROW()/100000</f>
        <v>5.28E-3</v>
      </c>
      <c r="E528" s="63">
        <f ca="1">IF(ISNA(VLOOKUP($B528,TabAlgTutti,5,FALSE)),0,VLOOKUP($B528,TabAlgTutti,5,FALSE))+ROW()/100000</f>
        <v>5.28E-3</v>
      </c>
      <c r="F528" s="64">
        <f ca="1">($D528*$P$8+$E528*(1+$E528*100/60/100)*$S$8)/100+ROW()/100000</f>
        <v>1.056023232E-2</v>
      </c>
      <c r="G528" s="63" t="str">
        <f ca="1">IF(ISNA(VLOOKUP($B528,TabAlgTutti,7,FALSE)),"",IF(VLOOKUP($B528,TabAlgTutti,7,FALSE)=-1,"SCONSIGLIATO",IF(VLOOKUP($B528,TabAlgTutti,7,FALSE)=0,"SORPRESA",IF(VLOOKUP($B528,TabAlgTutti,7,FALSE)=1,"CONSIGLIATO",""))))</f>
        <v/>
      </c>
      <c r="H528" s="65" t="str">
        <f ca="1">IF(ISNA(VLOOKUP($B528,TabAlgTutti,8,FALSE)),"",VLOOKUP($B528,TabAlgTutti,8,FALSE))</f>
        <v/>
      </c>
      <c r="I528" s="63" t="str">
        <f ca="1">IF(ISNA(VLOOKUP($B528,TabAlgTutti,9,FALSE)),"",IF(VLOOKUP($B528,TabAlgTutti,9,FALSE)="","",VLOOKUP($B528,TabAlgTutti,9,FALSE)&amp;"R "))&amp;IF(ISNA(VLOOKUP($B528,TabAlgTutti,10,FALSE)),"",IF(VLOOKUP($B528,TabAlgTutti,10,FALSE)="","",VLOOKUP($B528,TabAlgTutti,10,FALSE)&amp;"P "))&amp;IF(ISNA(VLOOKUP($B528,TabAlgTutti,11,FALSE)),"",IF(VLOOKUP($B528,TabAlgTutti,11,FALSE)="","",VLOOKUP($B528,TabAlgTutti,11,FALSE)&amp;"A"))</f>
        <v/>
      </c>
      <c r="J528" s="63">
        <f ca="1">IF(ISNA(VLOOKUP($B528,TabAlgTutti,3,FALSE)),0,VLOOKUP($B528,TabAlgTutti,3,FALSE))+ROW()/100000</f>
        <v>5.28E-3</v>
      </c>
      <c r="K528" s="63">
        <f ca="1">IF(ISNA(VLOOKUP($B528,TabAlgTutti,4,FALSE)),0,VLOOKUP($B528,TabAlgTutti,4,FALSE))+ROW()/100000</f>
        <v>5.28E-3</v>
      </c>
      <c r="L528" s="63" t="e">
        <f ca="1">VLOOKUP(Tabella114[[#This Row],[Calciatore]],'Raccolta Aste'!$K$2:$O$33,4,FALSE)*Asta!$U$3/100</f>
        <v>#N/A</v>
      </c>
      <c r="N528" s="58"/>
      <c r="O528" s="58"/>
      <c r="P528" s="58"/>
      <c r="Q528" s="58"/>
      <c r="R528" s="58"/>
      <c r="S528" s="58"/>
      <c r="W528" s="56">
        <f t="shared" ca="1" si="151"/>
        <v>179</v>
      </c>
      <c r="X528" s="56">
        <f t="shared" ca="1" si="152"/>
        <v>178</v>
      </c>
      <c r="Y528" s="56">
        <f t="shared" ca="1" si="153"/>
        <v>179</v>
      </c>
      <c r="Z528" s="56">
        <f t="shared" ca="1" si="154"/>
        <v>179</v>
      </c>
      <c r="AA528" s="56">
        <f t="shared" ca="1" si="155"/>
        <v>179</v>
      </c>
      <c r="AB528" s="56">
        <f ca="1">_xlfn.CEILING.MATH(INDIRECT(ADDRESS(311,22+MATCH($P$28,'I.A. + Fasce'!$W$84:$AA$84,0),1,1) &amp; ":" &amp; ADDRESS(531,22+MATCH($P$28,'I.A. + Fasce'!$W$84:$AA$84,0),1,1))/Asta!$H$3)</f>
        <v>23</v>
      </c>
    </row>
    <row r="529" spans="1:28" ht="14.25" customHeight="1">
      <c r="A529" s="239" t="str">
        <f ca="1">IF(Giocatori!J196="","C",Giocatori!J196)</f>
        <v>C</v>
      </c>
      <c r="B529" s="239" t="str">
        <f ca="1">IF(Giocatori!K227="","ZZZ" &amp; ROW(),Giocatori!K227)</f>
        <v>ZZZ529</v>
      </c>
      <c r="C529" s="239" t="str">
        <f ca="1">IF(Giocatori!L227="","NDR" &amp; ROW(),Giocatori!L227)</f>
        <v>NDR529</v>
      </c>
      <c r="D529" s="63">
        <f ca="1">IF(ISNA(VLOOKUP($B529,TabAlgTutti,6,FALSE)),0,VLOOKUP($B529,TabAlgTutti,6,FALSE))+ROW()/100000</f>
        <v>5.2900000000000004E-3</v>
      </c>
      <c r="E529" s="63">
        <f ca="1">IF(ISNA(VLOOKUP($B529,TabAlgTutti,5,FALSE)),0,VLOOKUP($B529,TabAlgTutti,5,FALSE))+ROW()/100000</f>
        <v>5.2900000000000004E-3</v>
      </c>
      <c r="F529" s="64">
        <f ca="1">($D529*$P$8+$E529*(1+$E529*100/60/100)*$S$8)/100+ROW()/100000</f>
        <v>1.0580233200833334E-2</v>
      </c>
      <c r="G529" s="63" t="str">
        <f ca="1">IF(ISNA(VLOOKUP($B529,TabAlgTutti,7,FALSE)),"",IF(VLOOKUP($B529,TabAlgTutti,7,FALSE)=-1,"SCONSIGLIATO",IF(VLOOKUP($B529,TabAlgTutti,7,FALSE)=0,"SORPRESA",IF(VLOOKUP($B529,TabAlgTutti,7,FALSE)=1,"CONSIGLIATO",""))))</f>
        <v/>
      </c>
      <c r="H529" s="65" t="str">
        <f ca="1">IF(ISNA(VLOOKUP($B529,TabAlgTutti,8,FALSE)),"",VLOOKUP($B529,TabAlgTutti,8,FALSE))</f>
        <v/>
      </c>
      <c r="I529" s="63" t="str">
        <f ca="1">IF(ISNA(VLOOKUP($B529,TabAlgTutti,9,FALSE)),"",IF(VLOOKUP($B529,TabAlgTutti,9,FALSE)="","",VLOOKUP($B529,TabAlgTutti,9,FALSE)&amp;"R "))&amp;IF(ISNA(VLOOKUP($B529,TabAlgTutti,10,FALSE)),"",IF(VLOOKUP($B529,TabAlgTutti,10,FALSE)="","",VLOOKUP($B529,TabAlgTutti,10,FALSE)&amp;"P "))&amp;IF(ISNA(VLOOKUP($B529,TabAlgTutti,11,FALSE)),"",IF(VLOOKUP($B529,TabAlgTutti,11,FALSE)="","",VLOOKUP($B529,TabAlgTutti,11,FALSE)&amp;"A"))</f>
        <v/>
      </c>
      <c r="J529" s="63">
        <f ca="1">IF(ISNA(VLOOKUP($B529,TabAlgTutti,3,FALSE)),0,VLOOKUP($B529,TabAlgTutti,3,FALSE))+ROW()/100000</f>
        <v>5.2900000000000004E-3</v>
      </c>
      <c r="K529" s="63">
        <f ca="1">IF(ISNA(VLOOKUP($B529,TabAlgTutti,4,FALSE)),0,VLOOKUP($B529,TabAlgTutti,4,FALSE))+ROW()/100000</f>
        <v>5.2900000000000004E-3</v>
      </c>
      <c r="L529" s="63" t="e">
        <f ca="1">VLOOKUP(Tabella114[[#This Row],[Calciatore]],'Raccolta Aste'!$K$2:$O$33,4,FALSE)*Asta!$U$3/100</f>
        <v>#N/A</v>
      </c>
      <c r="N529" s="58"/>
      <c r="O529" s="58"/>
      <c r="P529" s="58"/>
      <c r="Q529" s="58"/>
      <c r="R529" s="58"/>
      <c r="S529" s="58"/>
      <c r="W529" s="56">
        <f t="shared" ca="1" si="151"/>
        <v>178</v>
      </c>
      <c r="X529" s="56">
        <f t="shared" ca="1" si="152"/>
        <v>177</v>
      </c>
      <c r="Y529" s="56">
        <f t="shared" ca="1" si="153"/>
        <v>178</v>
      </c>
      <c r="Z529" s="56">
        <f t="shared" ca="1" si="154"/>
        <v>178</v>
      </c>
      <c r="AA529" s="56">
        <f t="shared" ca="1" si="155"/>
        <v>178</v>
      </c>
      <c r="AB529" s="56">
        <f ca="1">_xlfn.CEILING.MATH(INDIRECT(ADDRESS(311,22+MATCH($P$28,'I.A. + Fasce'!$W$84:$AA$84,0),1,1) &amp; ":" &amp; ADDRESS(531,22+MATCH($P$28,'I.A. + Fasce'!$W$84:$AA$84,0),1,1))/Asta!$H$3)</f>
        <v>23</v>
      </c>
    </row>
    <row r="530" spans="1:28" ht="14.25" customHeight="1">
      <c r="A530" s="239" t="str">
        <f ca="1">IF(Giocatori!J197="","C",Giocatori!J197)</f>
        <v>C</v>
      </c>
      <c r="B530" s="239" t="str">
        <f ca="1">IF(Giocatori!K228="","ZZZ" &amp; ROW(),Giocatori!K228)</f>
        <v>ZZZ530</v>
      </c>
      <c r="C530" s="239" t="str">
        <f ca="1">IF(Giocatori!L228="","NDR" &amp; ROW(),Giocatori!L228)</f>
        <v>NDR530</v>
      </c>
      <c r="D530" s="63">
        <f ca="1">IF(ISNA(VLOOKUP($B530,TabAlgTutti,6,FALSE)),0,VLOOKUP($B530,TabAlgTutti,6,FALSE))+ROW()/100000</f>
        <v>5.3E-3</v>
      </c>
      <c r="E530" s="63">
        <f ca="1">IF(ISNA(VLOOKUP($B530,TabAlgTutti,5,FALSE)),0,VLOOKUP($B530,TabAlgTutti,5,FALSE))+ROW()/100000</f>
        <v>5.3E-3</v>
      </c>
      <c r="F530" s="64">
        <f ca="1">($D530*$P$8+$E530*(1+$E530*100/60/100)*$S$8)/100+ROW()/100000</f>
        <v>1.0600234083333333E-2</v>
      </c>
      <c r="G530" s="63" t="str">
        <f ca="1">IF(ISNA(VLOOKUP($B530,TabAlgTutti,7,FALSE)),"",IF(VLOOKUP($B530,TabAlgTutti,7,FALSE)=-1,"SCONSIGLIATO",IF(VLOOKUP($B530,TabAlgTutti,7,FALSE)=0,"SORPRESA",IF(VLOOKUP($B530,TabAlgTutti,7,FALSE)=1,"CONSIGLIATO",""))))</f>
        <v/>
      </c>
      <c r="H530" s="65" t="str">
        <f ca="1">IF(ISNA(VLOOKUP($B530,TabAlgTutti,8,FALSE)),"",VLOOKUP($B530,TabAlgTutti,8,FALSE))</f>
        <v/>
      </c>
      <c r="I530" s="63" t="str">
        <f ca="1">IF(ISNA(VLOOKUP($B530,TabAlgTutti,9,FALSE)),"",IF(VLOOKUP($B530,TabAlgTutti,9,FALSE)="","",VLOOKUP($B530,TabAlgTutti,9,FALSE)&amp;"R "))&amp;IF(ISNA(VLOOKUP($B530,TabAlgTutti,10,FALSE)),"",IF(VLOOKUP($B530,TabAlgTutti,10,FALSE)="","",VLOOKUP($B530,TabAlgTutti,10,FALSE)&amp;"P "))&amp;IF(ISNA(VLOOKUP($B530,TabAlgTutti,11,FALSE)),"",IF(VLOOKUP($B530,TabAlgTutti,11,FALSE)="","",VLOOKUP($B530,TabAlgTutti,11,FALSE)&amp;"A"))</f>
        <v/>
      </c>
      <c r="J530" s="63">
        <f ca="1">IF(ISNA(VLOOKUP($B530,TabAlgTutti,3,FALSE)),0,VLOOKUP($B530,TabAlgTutti,3,FALSE))+ROW()/100000</f>
        <v>5.3E-3</v>
      </c>
      <c r="K530" s="63">
        <f ca="1">IF(ISNA(VLOOKUP($B530,TabAlgTutti,4,FALSE)),0,VLOOKUP($B530,TabAlgTutti,4,FALSE))+ROW()/100000</f>
        <v>5.3E-3</v>
      </c>
      <c r="L530" s="63" t="e">
        <f ca="1">VLOOKUP(Tabella114[[#This Row],[Calciatore]],'Raccolta Aste'!$K$2:$O$33,4,FALSE)*Asta!$U$3/100</f>
        <v>#N/A</v>
      </c>
      <c r="N530" s="58"/>
      <c r="O530" s="58"/>
      <c r="P530" s="58"/>
      <c r="Q530" s="58"/>
      <c r="R530" s="58"/>
      <c r="S530" s="58"/>
      <c r="W530" s="56">
        <f t="shared" ca="1" si="151"/>
        <v>177</v>
      </c>
      <c r="X530" s="56">
        <f t="shared" ca="1" si="152"/>
        <v>176</v>
      </c>
      <c r="Y530" s="56">
        <f t="shared" ca="1" si="153"/>
        <v>177</v>
      </c>
      <c r="Z530" s="56">
        <f t="shared" ca="1" si="154"/>
        <v>177</v>
      </c>
      <c r="AA530" s="56">
        <f t="shared" ca="1" si="155"/>
        <v>177</v>
      </c>
      <c r="AB530" s="56">
        <f ca="1">_xlfn.CEILING.MATH(INDIRECT(ADDRESS(311,22+MATCH($P$28,'I.A. + Fasce'!$W$84:$AA$84,0),1,1) &amp; ":" &amp; ADDRESS(531,22+MATCH($P$28,'I.A. + Fasce'!$W$84:$AA$84,0),1,1))/Asta!$H$3)</f>
        <v>23</v>
      </c>
    </row>
    <row r="531" spans="1:28" ht="14.25" customHeight="1">
      <c r="A531" s="239" t="str">
        <f ca="1">IF(Giocatori!J198="","C",Giocatori!J198)</f>
        <v>C</v>
      </c>
      <c r="B531" s="239" t="str">
        <f>IF(Giocatori!K229="","ZZZ" &amp; ROW(),Giocatori!K229)</f>
        <v>ZZZ531</v>
      </c>
      <c r="C531" s="239" t="str">
        <f>IF(Giocatori!L229="","NDR" &amp; ROW(),Giocatori!L229)</f>
        <v>NDR531</v>
      </c>
      <c r="D531" s="63">
        <f>IF(ISNA(VLOOKUP($B531,TabAlgTutti,6,FALSE)),0,VLOOKUP($B531,TabAlgTutti,6,FALSE))+ROW()/100000</f>
        <v>5.3099999999999996E-3</v>
      </c>
      <c r="E531" s="63">
        <f>IF(ISNA(VLOOKUP($B531,TabAlgTutti,5,FALSE)),0,VLOOKUP($B531,TabAlgTutti,5,FALSE))+ROW()/100000</f>
        <v>5.3099999999999996E-3</v>
      </c>
      <c r="F531" s="64">
        <f>($D531*$P$8+$E531*(1+$E531*100/60/100)*$S$8)/100+ROW()/100000</f>
        <v>1.0620234967499999E-2</v>
      </c>
      <c r="G531" s="63" t="str">
        <f>IF(ISNA(VLOOKUP($B531,TabAlgTutti,7,FALSE)),"",IF(VLOOKUP($B531,TabAlgTutti,7,FALSE)=-1,"SCONSIGLIATO",IF(VLOOKUP($B531,TabAlgTutti,7,FALSE)=0,"SORPRESA",IF(VLOOKUP($B531,TabAlgTutti,7,FALSE)=1,"CONSIGLIATO",""))))</f>
        <v/>
      </c>
      <c r="H531" s="65" t="str">
        <f>IF(ISNA(VLOOKUP($B531,TabAlgTutti,8,FALSE)),"",VLOOKUP($B531,TabAlgTutti,8,FALSE))</f>
        <v/>
      </c>
      <c r="I531" s="63" t="str">
        <f>IF(ISNA(VLOOKUP($B531,TabAlgTutti,9,FALSE)),"",IF(VLOOKUP($B531,TabAlgTutti,9,FALSE)="","",VLOOKUP($B531,TabAlgTutti,9,FALSE)&amp;"R "))&amp;IF(ISNA(VLOOKUP($B531,TabAlgTutti,10,FALSE)),"",IF(VLOOKUP($B531,TabAlgTutti,10,FALSE)="","",VLOOKUP($B531,TabAlgTutti,10,FALSE)&amp;"P "))&amp;IF(ISNA(VLOOKUP($B531,TabAlgTutti,11,FALSE)),"",IF(VLOOKUP($B531,TabAlgTutti,11,FALSE)="","",VLOOKUP($B531,TabAlgTutti,11,FALSE)&amp;"A"))</f>
        <v/>
      </c>
      <c r="J531" s="63">
        <f>IF(ISNA(VLOOKUP($B531,TabAlgTutti,3,FALSE)),0,VLOOKUP($B531,TabAlgTutti,3,FALSE))+ROW()/100000</f>
        <v>5.3099999999999996E-3</v>
      </c>
      <c r="K531" s="63">
        <f>IF(ISNA(VLOOKUP($B531,TabAlgTutti,4,FALSE)),0,VLOOKUP($B531,TabAlgTutti,4,FALSE))+ROW()/100000</f>
        <v>5.3099999999999996E-3</v>
      </c>
      <c r="L531" s="63" t="e">
        <f>VLOOKUP(Tabella114[[#This Row],[Calciatore]],'Raccolta Aste'!$K$2:$O$33,4,FALSE)*Asta!$U$3/100</f>
        <v>#N/A</v>
      </c>
      <c r="N531" s="58"/>
      <c r="O531" s="58"/>
      <c r="P531" s="58"/>
      <c r="Q531" s="58"/>
      <c r="R531" s="58"/>
      <c r="S531" s="58"/>
      <c r="W531" s="56">
        <f t="shared" ca="1" si="151"/>
        <v>176</v>
      </c>
      <c r="X531" s="56">
        <f t="shared" ca="1" si="152"/>
        <v>175</v>
      </c>
      <c r="Y531" s="56">
        <f t="shared" ca="1" si="153"/>
        <v>176</v>
      </c>
      <c r="Z531" s="56">
        <f t="shared" ca="1" si="154"/>
        <v>176</v>
      </c>
      <c r="AA531" s="56">
        <f t="shared" ca="1" si="155"/>
        <v>176</v>
      </c>
      <c r="AB531" s="56">
        <f ca="1">_xlfn.CEILING.MATH(INDIRECT(ADDRESS(311,22+MATCH($P$28,'I.A. + Fasce'!$W$84:$AA$84,0),1,1) &amp; ":" &amp; ADDRESS(531,22+MATCH($P$28,'I.A. + Fasce'!$W$84:$AA$84,0),1,1))/Asta!$H$3)</f>
        <v>22</v>
      </c>
    </row>
    <row r="532" spans="1:28" ht="14.25" customHeight="1">
      <c r="A532" s="62"/>
      <c r="B532" s="62"/>
      <c r="C532" s="62"/>
      <c r="D532" s="67"/>
      <c r="E532" s="63"/>
      <c r="F532" s="64"/>
      <c r="G532" s="66"/>
      <c r="H532" s="66"/>
      <c r="I532" s="66"/>
      <c r="J532" s="63"/>
      <c r="K532" s="66"/>
      <c r="L532" s="66"/>
    </row>
    <row r="533" spans="1:28" s="56" customFormat="1" ht="18.75" customHeight="1">
      <c r="A533" s="549" t="s">
        <v>659</v>
      </c>
      <c r="B533" s="549"/>
      <c r="C533" s="549" t="s">
        <v>660</v>
      </c>
      <c r="D533" s="549"/>
      <c r="E533" s="549" t="s">
        <v>661</v>
      </c>
      <c r="F533" s="549"/>
      <c r="G533" s="549"/>
      <c r="H533" s="549"/>
      <c r="I533" s="549" t="s">
        <v>662</v>
      </c>
      <c r="J533" s="549"/>
      <c r="K533" s="549"/>
      <c r="L533" s="549"/>
      <c r="M533" s="549"/>
      <c r="N533" s="549" t="s">
        <v>663</v>
      </c>
      <c r="O533" s="549"/>
      <c r="P533" s="548" t="s">
        <v>664</v>
      </c>
      <c r="Q533" s="548"/>
      <c r="R533" s="548"/>
      <c r="S533" s="548"/>
    </row>
    <row r="534" spans="1:28" ht="14.25" customHeight="1">
      <c r="A534" s="62"/>
      <c r="B534" s="62"/>
      <c r="C534" s="62"/>
      <c r="D534" s="67"/>
      <c r="E534" s="63"/>
      <c r="F534" s="64"/>
      <c r="G534" s="66"/>
      <c r="H534" s="66"/>
      <c r="I534" s="66"/>
      <c r="J534" s="63"/>
      <c r="K534" s="66"/>
      <c r="L534" s="66"/>
    </row>
    <row r="535" spans="1:28" ht="14.25" customHeight="1">
      <c r="A535" s="550" t="s">
        <v>42</v>
      </c>
      <c r="B535" s="550"/>
      <c r="C535" s="550"/>
      <c r="D535" s="550"/>
      <c r="E535" s="550"/>
      <c r="F535" s="550"/>
      <c r="G535" s="547" t="s">
        <v>704</v>
      </c>
      <c r="H535" s="547"/>
      <c r="I535" s="194"/>
      <c r="J535" s="8" t="s">
        <v>665</v>
      </c>
      <c r="K535" s="8" t="s">
        <v>665</v>
      </c>
      <c r="L535" s="456"/>
      <c r="N535" s="58"/>
      <c r="O535" s="59" t="s">
        <v>666</v>
      </c>
      <c r="P535" s="59" t="s">
        <v>637</v>
      </c>
      <c r="Q535" s="58"/>
      <c r="R535" s="59" t="s">
        <v>667</v>
      </c>
      <c r="S535" s="59" t="s">
        <v>637</v>
      </c>
    </row>
    <row r="536" spans="1:28" s="317" customFormat="1" ht="14.25" customHeight="1">
      <c r="A536" s="312" t="s">
        <v>638</v>
      </c>
      <c r="B536" s="312" t="s">
        <v>668</v>
      </c>
      <c r="C536" s="314" t="s">
        <v>637</v>
      </c>
      <c r="D536" s="315" t="s">
        <v>669</v>
      </c>
      <c r="E536" s="315" t="s">
        <v>670</v>
      </c>
      <c r="F536" s="315" t="s">
        <v>1445</v>
      </c>
      <c r="G536" s="312" t="s">
        <v>671</v>
      </c>
      <c r="H536" s="321" t="s">
        <v>672</v>
      </c>
      <c r="I536" s="321" t="s">
        <v>673</v>
      </c>
      <c r="J536" s="321" t="s">
        <v>674</v>
      </c>
      <c r="K536" s="321" t="s">
        <v>675</v>
      </c>
      <c r="L536" s="321"/>
      <c r="N536" s="318"/>
      <c r="O536" s="319"/>
      <c r="P536" s="319"/>
      <c r="Q536" s="318"/>
      <c r="R536" s="319"/>
      <c r="S536" s="319"/>
      <c r="W536" s="317" t="s">
        <v>669</v>
      </c>
      <c r="X536" s="317" t="s">
        <v>670</v>
      </c>
      <c r="Y536" s="317" t="s">
        <v>1315</v>
      </c>
      <c r="Z536" s="317" t="s">
        <v>1466</v>
      </c>
      <c r="AA536" s="317" t="s">
        <v>1468</v>
      </c>
      <c r="AB536" s="317" t="s">
        <v>1475</v>
      </c>
    </row>
    <row r="537" spans="1:28" ht="14.25" customHeight="1">
      <c r="A537" s="239" t="str">
        <f ca="1">IF(Giocatori!P9="","T",Giocatori!P9)</f>
        <v>T</v>
      </c>
      <c r="B537" s="239" t="str">
        <f ca="1">IF(Giocatori!Q9="","ZZZ" &amp; ROW(),Giocatori!Q9)</f>
        <v>ZZZ537</v>
      </c>
      <c r="C537" s="239" t="str">
        <f ca="1">IF(Giocatori!R9="","NDR" &amp; ROW(),Giocatori!R9)</f>
        <v>NDR537</v>
      </c>
      <c r="D537" s="63">
        <f t="shared" ref="D537:D568" ca="1" si="156">IF(ISNA(VLOOKUP($B537,TabAlgTutti,6,FALSE)),0,VLOOKUP($B537,TabAlgTutti,6,FALSE))+ROW()/100000</f>
        <v>5.3699999999999998E-3</v>
      </c>
      <c r="E537" s="63">
        <f t="shared" ref="E537:E568" ca="1" si="157">IF(ISNA(VLOOKUP($B537,TabAlgTutti,5,FALSE)),0,VLOOKUP($B537,TabAlgTutti,5,FALSE))+ROW()/100000</f>
        <v>5.3699999999999998E-3</v>
      </c>
      <c r="F537" s="64">
        <f t="shared" ref="F537:F568" ca="1" si="158">($D537*$P$8+$E537*(1+$E537*100/60/100)*$S$8)/100+ROW()/100000</f>
        <v>1.0740240307499999E-2</v>
      </c>
      <c r="G537" s="63" t="str">
        <f t="shared" ref="G537:G569" ca="1" si="159">IF(ISNA(VLOOKUP($B537,TabAlgTutti,7,FALSE)),"",IF(VLOOKUP($B537,TabAlgTutti,7,FALSE)=-1,"SCONSIGLIATO",IF(VLOOKUP($B537,TabAlgTutti,7,FALSE)=0,"SORPRESA",IF(VLOOKUP($B537,TabAlgTutti,7,FALSE)=1,"CONSIGLIATO",""))))</f>
        <v/>
      </c>
      <c r="H537" s="65" t="str">
        <f t="shared" ref="H537:H569" ca="1" si="160">IF(ISNA(VLOOKUP($B537,TabAlgTutti,8,FALSE)),"",VLOOKUP($B537,TabAlgTutti,8,FALSE))</f>
        <v/>
      </c>
      <c r="I537" s="311" t="str">
        <f ca="1">IF(ISNA(VLOOKUP($B537,TabAlgTutti,9,FALSE)),"",IF(VLOOKUP($B537,TabAlgTutti,9,FALSE)="","",VLOOKUP($B537,TabAlgTutti,9,FALSE)&amp;"R "))&amp;IF(ISNA(VLOOKUP($B537,TabAlgTutti,10,FALSE)),"",IF(VLOOKUP($B537,TabAlgTutti,10,FALSE)="","",VLOOKUP($B537,TabAlgTutti,10,FALSE)&amp;"P "))&amp;IF(ISNA(VLOOKUP($B537,TabAlgTutti,11,FALSE)),"",IF(VLOOKUP($B537,TabAlgTutti,11,FALSE)="","",VLOOKUP($B537,TabAlgTutti,11,FALSE)&amp;"A"))</f>
        <v/>
      </c>
      <c r="J537" s="63">
        <f t="shared" ref="J537:J568" ca="1" si="161">IF(ISNA(VLOOKUP($B537,TabAlgTutti,3,FALSE)),0,VLOOKUP($B537,TabAlgTutti,3,FALSE))+ROW()/100000</f>
        <v>5.3699999999999998E-3</v>
      </c>
      <c r="K537" s="63">
        <f t="shared" ref="K537:K568" ca="1" si="162">IF(ISNA(VLOOKUP($B537,TabAlgTutti,4,FALSE)),0,VLOOKUP($B537,TabAlgTutti,4,FALSE))+ROW()/100000</f>
        <v>5.3699999999999998E-3</v>
      </c>
      <c r="L537" s="63"/>
      <c r="N537" s="59">
        <f t="shared" ref="N537:N548" si="163">IF(ISNUMBER($N34),$N34,"")</f>
        <v>1</v>
      </c>
      <c r="O537" s="62" t="str">
        <f ca="1">IF(ISNUMBER(N537),INDIRECT("B" &amp; 536 + MATCH(N537,INDIRECT(ADDRESS(537,21+MATCH($P$29,'I.A. + Fasce'!$W$84:$AA$84,0),1,1) &amp; ":" &amp; ADDRESS(637,21+MATCH($P$29,'I.A. + Fasce'!$W$84:$AA$84,0),1,1)),0)),"")</f>
        <v>ZZZ637</v>
      </c>
      <c r="P537" s="62" t="str">
        <f ca="1">IF(O537="","",VLOOKUP(O537,$B$537:$C$637,2,FALSE))</f>
        <v>NDR637</v>
      </c>
      <c r="Q537" s="59">
        <f t="shared" ref="Q537:Q548" si="164">IF(ISNUMBER(N537),N537+COUNTIF($N$34:$N$45,"&gt;0"),"")</f>
        <v>9</v>
      </c>
      <c r="R537" s="62" t="str">
        <f ca="1">IF(ISNUMBER(Q537),INDIRECT("B" &amp; 536 + MATCH(Q537,INDIRECT(ADDRESS(537,21+MATCH($P$29,'I.A. + Fasce'!$W$84:$AA$84,0),1,1) &amp; ":" &amp; ADDRESS(637,21+MATCH($P$29,'I.A. + Fasce'!$W$84:$AA$84,0),1,1)),0)),"")</f>
        <v>ZZZ629</v>
      </c>
      <c r="S537" s="62" t="str">
        <f ca="1">IF(R537="","",VLOOKUP(R537,$B$537:$C$637,2,FALSE))</f>
        <v>NDR629</v>
      </c>
      <c r="W537" s="56">
        <f ca="1">_xlfn.RANK.EQ(D537,D$537:D$637,0)</f>
        <v>101</v>
      </c>
      <c r="X537" s="56">
        <f ca="1">_xlfn.RANK.EQ(E537,$E$537:$E$637,0)</f>
        <v>101</v>
      </c>
      <c r="Y537" s="56">
        <f ca="1">_xlfn.RANK.EQ(F537,$F$537:$F$637,0)</f>
        <v>101</v>
      </c>
      <c r="Z537" s="56">
        <f ca="1">_xlfn.RANK.EQ(J537,$J$537:$J$637,0)</f>
        <v>101</v>
      </c>
      <c r="AA537" s="56">
        <f ca="1">_xlfn.RANK.EQ(K537,$K$537:$K$637,0)</f>
        <v>101</v>
      </c>
      <c r="AB537" s="56">
        <f ca="1">_xlfn.CEILING.MATH(INDIRECT(ADDRESS(537,22+MATCH($P$29,'I.A. + Fasce'!$W$84:$AA$84,0),1,1) &amp; ":" &amp; ADDRESS(637,22+MATCH($P$29,'I.A. + Fasce'!$W$84:$AA$84,0),1,1))/Asta!$H$3)</f>
        <v>13</v>
      </c>
    </row>
    <row r="538" spans="1:28" ht="14.25" customHeight="1">
      <c r="A538" s="239" t="str">
        <f ca="1">IF(Giocatori!P10="","T",Giocatori!P10)</f>
        <v>T</v>
      </c>
      <c r="B538" s="239" t="str">
        <f ca="1">IF(Giocatori!Q10="","ZZZ" &amp; ROW(),Giocatori!Q10)</f>
        <v>ZZZ538</v>
      </c>
      <c r="C538" s="239" t="str">
        <f ca="1">IF(Giocatori!R10="","NDR" &amp; ROW(),Giocatori!R10)</f>
        <v>NDR538</v>
      </c>
      <c r="D538" s="63">
        <f t="shared" ca="1" si="156"/>
        <v>5.3800000000000002E-3</v>
      </c>
      <c r="E538" s="63">
        <f t="shared" ca="1" si="157"/>
        <v>5.3800000000000002E-3</v>
      </c>
      <c r="F538" s="64">
        <f t="shared" ca="1" si="158"/>
        <v>1.0760241203333333E-2</v>
      </c>
      <c r="G538" s="63" t="str">
        <f t="shared" ca="1" si="159"/>
        <v/>
      </c>
      <c r="H538" s="65" t="str">
        <f t="shared" ca="1" si="160"/>
        <v/>
      </c>
      <c r="I538" s="63" t="str">
        <f t="shared" ref="I538:I569" ca="1" si="165">IF(ISNA(VLOOKUP($B538,TabAlgTutti,9,FALSE)),"",IF(VLOOKUP($B538,TabAlgTutti,9,FALSE)=0,"",VLOOKUP($B538,TabAlgTutti,9,FALSE)&amp;"R "))&amp;IF(ISNA(VLOOKUP($B538,TabAlgTutti,10,FALSE)),"",IF(VLOOKUP($B538,TabAlgTutti,10,FALSE)=0,"",VLOOKUP($B538,TabAlgTutti,10,FALSE)&amp;"P "))&amp;IF(ISNA(VLOOKUP($B538,TabAlgTutti,11,FALSE)),"",IF(VLOOKUP($B538,TabAlgTutti,11,FALSE)=0,"",VLOOKUP($B538,TabAlgTutti,11,FALSE)&amp;"A"))</f>
        <v/>
      </c>
      <c r="J538" s="63">
        <f t="shared" ca="1" si="161"/>
        <v>5.3800000000000002E-3</v>
      </c>
      <c r="K538" s="63">
        <f t="shared" ca="1" si="162"/>
        <v>5.3800000000000002E-3</v>
      </c>
      <c r="L538" s="63"/>
      <c r="N538" s="59">
        <f t="shared" si="163"/>
        <v>2</v>
      </c>
      <c r="O538" s="62" t="str">
        <f ca="1">IF(ISNUMBER(N538),INDIRECT("B" &amp; 536 + MATCH(N538,INDIRECT(ADDRESS(537,21+MATCH($P$29,'I.A. + Fasce'!$W$84:$AA$84,0),1,1) &amp; ":" &amp; ADDRESS(637,21+MATCH($P$29,'I.A. + Fasce'!$W$84:$AA$84,0),1,1)),0)),"")</f>
        <v>ZZZ636</v>
      </c>
      <c r="P538" s="62" t="str">
        <f t="shared" ref="P538:P548" ca="1" si="166">IF(O538="","",VLOOKUP(O538,$B$537:$C$637,2,FALSE))</f>
        <v>NDR636</v>
      </c>
      <c r="Q538" s="59">
        <f t="shared" si="164"/>
        <v>10</v>
      </c>
      <c r="R538" s="62" t="str">
        <f ca="1">IF(ISNUMBER(Q538),INDIRECT("B" &amp; 536 + MATCH(Q538,INDIRECT(ADDRESS(537,21+MATCH($P$29,'I.A. + Fasce'!$W$84:$AA$84,0),1,1) &amp; ":" &amp; ADDRESS(637,21+MATCH($P$29,'I.A. + Fasce'!$W$84:$AA$84,0),1,1)),0)),"")</f>
        <v>ZZZ628</v>
      </c>
      <c r="S538" s="62" t="str">
        <f t="shared" ref="S538:S548" ca="1" si="167">IF(R538="","",VLOOKUP(R538,$B$537:$C$637,2,FALSE))</f>
        <v>NDR628</v>
      </c>
      <c r="W538" s="56">
        <f t="shared" ref="W538:W601" ca="1" si="168">_xlfn.RANK.EQ(D538,D$537:D$637,0)</f>
        <v>100</v>
      </c>
      <c r="X538" s="56">
        <f t="shared" ref="X538:X601" ca="1" si="169">_xlfn.RANK.EQ(E538,$E$537:$E$637,0)</f>
        <v>100</v>
      </c>
      <c r="Y538" s="56">
        <f t="shared" ref="Y538:Y601" ca="1" si="170">_xlfn.RANK.EQ(F538,$F$537:$F$637,0)</f>
        <v>100</v>
      </c>
      <c r="Z538" s="56">
        <f t="shared" ref="Z538:Z601" ca="1" si="171">_xlfn.RANK.EQ(J538,$J$537:$J$637,0)</f>
        <v>100</v>
      </c>
      <c r="AA538" s="56">
        <f t="shared" ref="AA538:AA601" ca="1" si="172">_xlfn.RANK.EQ(K538,$K$537:$K$637,0)</f>
        <v>100</v>
      </c>
      <c r="AB538" s="56">
        <f ca="1">_xlfn.CEILING.MATH(INDIRECT(ADDRESS(537,22+MATCH($P$29,'I.A. + Fasce'!$W$84:$AA$84,0),1,1) &amp; ":" &amp; ADDRESS(637,22+MATCH($P$29,'I.A. + Fasce'!$W$84:$AA$84,0),1,1))/Asta!$H$3)</f>
        <v>13</v>
      </c>
    </row>
    <row r="539" spans="1:28" ht="14.25" customHeight="1">
      <c r="A539" s="239" t="str">
        <f ca="1">IF(Giocatori!P11="","T",Giocatori!P11)</f>
        <v>T</v>
      </c>
      <c r="B539" s="239" t="str">
        <f ca="1">IF(Giocatori!Q11="","ZZZ" &amp; ROW(),Giocatori!Q11)</f>
        <v>ZZZ539</v>
      </c>
      <c r="C539" s="239" t="str">
        <f ca="1">IF(Giocatori!R11="","NDR" &amp; ROW(),Giocatori!R11)</f>
        <v>NDR539</v>
      </c>
      <c r="D539" s="63">
        <f t="shared" ca="1" si="156"/>
        <v>5.3899999999999998E-3</v>
      </c>
      <c r="E539" s="63">
        <f t="shared" ca="1" si="157"/>
        <v>5.3899999999999998E-3</v>
      </c>
      <c r="F539" s="64">
        <f t="shared" ca="1" si="158"/>
        <v>1.0780242100833334E-2</v>
      </c>
      <c r="G539" s="63" t="str">
        <f t="shared" ca="1" si="159"/>
        <v/>
      </c>
      <c r="H539" s="65" t="str">
        <f t="shared" ca="1" si="160"/>
        <v/>
      </c>
      <c r="I539" s="63" t="str">
        <f t="shared" ca="1" si="165"/>
        <v/>
      </c>
      <c r="J539" s="63">
        <f t="shared" ca="1" si="161"/>
        <v>5.3899999999999998E-3</v>
      </c>
      <c r="K539" s="63">
        <f t="shared" ca="1" si="162"/>
        <v>5.3899999999999998E-3</v>
      </c>
      <c r="L539" s="63"/>
      <c r="N539" s="59">
        <f t="shared" si="163"/>
        <v>3</v>
      </c>
      <c r="O539" s="62" t="str">
        <f ca="1">IF(ISNUMBER(N539),INDIRECT("B" &amp; 536 + MATCH(N539,INDIRECT(ADDRESS(537,21+MATCH($P$29,'I.A. + Fasce'!$W$84:$AA$84,0),1,1) &amp; ":" &amp; ADDRESS(637,21+MATCH($P$29,'I.A. + Fasce'!$W$84:$AA$84,0),1,1)),0)),"")</f>
        <v>ZZZ635</v>
      </c>
      <c r="P539" s="62" t="str">
        <f t="shared" ca="1" si="166"/>
        <v>NDR635</v>
      </c>
      <c r="Q539" s="59">
        <f t="shared" si="164"/>
        <v>11</v>
      </c>
      <c r="R539" s="62" t="str">
        <f ca="1">IF(ISNUMBER(Q539),INDIRECT("B" &amp; 536 + MATCH(Q539,INDIRECT(ADDRESS(537,21+MATCH($P$29,'I.A. + Fasce'!$W$84:$AA$84,0),1,1) &amp; ":" &amp; ADDRESS(637,21+MATCH($P$29,'I.A. + Fasce'!$W$84:$AA$84,0),1,1)),0)),"")</f>
        <v>ZZZ627</v>
      </c>
      <c r="S539" s="62" t="str">
        <f t="shared" ca="1" si="167"/>
        <v>NDR627</v>
      </c>
      <c r="W539" s="56">
        <f t="shared" ca="1" si="168"/>
        <v>99</v>
      </c>
      <c r="X539" s="56">
        <f t="shared" ca="1" si="169"/>
        <v>99</v>
      </c>
      <c r="Y539" s="56">
        <f t="shared" ca="1" si="170"/>
        <v>99</v>
      </c>
      <c r="Z539" s="56">
        <f t="shared" ca="1" si="171"/>
        <v>99</v>
      </c>
      <c r="AA539" s="56">
        <f t="shared" ca="1" si="172"/>
        <v>99</v>
      </c>
      <c r="AB539" s="56">
        <f ca="1">_xlfn.CEILING.MATH(INDIRECT(ADDRESS(537,22+MATCH($P$29,'I.A. + Fasce'!$W$84:$AA$84,0),1,1) &amp; ":" &amp; ADDRESS(637,22+MATCH($P$29,'I.A. + Fasce'!$W$84:$AA$84,0),1,1))/Asta!$H$3)</f>
        <v>13</v>
      </c>
    </row>
    <row r="540" spans="1:28" ht="14.25" customHeight="1">
      <c r="A540" s="239" t="str">
        <f ca="1">IF(Giocatori!P12="","T",Giocatori!P12)</f>
        <v>T</v>
      </c>
      <c r="B540" s="239" t="str">
        <f ca="1">IF(Giocatori!Q12="","ZZZ" &amp; ROW(),Giocatori!Q12)</f>
        <v>ZZZ540</v>
      </c>
      <c r="C540" s="239" t="str">
        <f ca="1">IF(Giocatori!R12="","NDR" &amp; ROW(),Giocatori!R12)</f>
        <v>NDR540</v>
      </c>
      <c r="D540" s="63">
        <f t="shared" ca="1" si="156"/>
        <v>5.4000000000000003E-3</v>
      </c>
      <c r="E540" s="63">
        <f t="shared" ca="1" si="157"/>
        <v>5.4000000000000003E-3</v>
      </c>
      <c r="F540" s="64">
        <f t="shared" ca="1" si="158"/>
        <v>1.0800243000000001E-2</v>
      </c>
      <c r="G540" s="63" t="str">
        <f t="shared" ca="1" si="159"/>
        <v/>
      </c>
      <c r="H540" s="65" t="str">
        <f t="shared" ca="1" si="160"/>
        <v/>
      </c>
      <c r="I540" s="63" t="str">
        <f t="shared" ca="1" si="165"/>
        <v/>
      </c>
      <c r="J540" s="63">
        <f t="shared" ca="1" si="161"/>
        <v>5.4000000000000003E-3</v>
      </c>
      <c r="K540" s="63">
        <f t="shared" ca="1" si="162"/>
        <v>5.4000000000000003E-3</v>
      </c>
      <c r="L540" s="63"/>
      <c r="N540" s="59">
        <f t="shared" si="163"/>
        <v>4</v>
      </c>
      <c r="O540" s="62" t="str">
        <f ca="1">IF(ISNUMBER(N540),INDIRECT("B" &amp; 536 + MATCH(N540,INDIRECT(ADDRESS(537,21+MATCH($P$29,'I.A. + Fasce'!$W$84:$AA$84,0),1,1) &amp; ":" &amp; ADDRESS(637,21+MATCH($P$29,'I.A. + Fasce'!$W$84:$AA$84,0),1,1)),0)),"")</f>
        <v>ZZZ634</v>
      </c>
      <c r="P540" s="62" t="str">
        <f t="shared" ca="1" si="166"/>
        <v>NDR634</v>
      </c>
      <c r="Q540" s="59">
        <f t="shared" si="164"/>
        <v>12</v>
      </c>
      <c r="R540" s="62" t="str">
        <f ca="1">IF(ISNUMBER(Q540),INDIRECT("B" &amp; 536 + MATCH(Q540,INDIRECT(ADDRESS(537,21+MATCH($P$29,'I.A. + Fasce'!$W$84:$AA$84,0),1,1) &amp; ":" &amp; ADDRESS(637,21+MATCH($P$29,'I.A. + Fasce'!$W$84:$AA$84,0),1,1)),0)),"")</f>
        <v>ZZZ626</v>
      </c>
      <c r="S540" s="62" t="str">
        <f t="shared" ca="1" si="167"/>
        <v>NDR626</v>
      </c>
      <c r="W540" s="56">
        <f t="shared" ca="1" si="168"/>
        <v>98</v>
      </c>
      <c r="X540" s="56">
        <f t="shared" ca="1" si="169"/>
        <v>98</v>
      </c>
      <c r="Y540" s="56">
        <f t="shared" ca="1" si="170"/>
        <v>98</v>
      </c>
      <c r="Z540" s="56">
        <f t="shared" ca="1" si="171"/>
        <v>98</v>
      </c>
      <c r="AA540" s="56">
        <f t="shared" ca="1" si="172"/>
        <v>98</v>
      </c>
      <c r="AB540" s="56">
        <f ca="1">_xlfn.CEILING.MATH(INDIRECT(ADDRESS(537,22+MATCH($P$29,'I.A. + Fasce'!$W$84:$AA$84,0),1,1) &amp; ":" &amp; ADDRESS(637,22+MATCH($P$29,'I.A. + Fasce'!$W$84:$AA$84,0),1,1))/Asta!$H$3)</f>
        <v>13</v>
      </c>
    </row>
    <row r="541" spans="1:28" ht="14.25" customHeight="1">
      <c r="A541" s="239" t="str">
        <f ca="1">IF(Giocatori!P13="","T",Giocatori!P13)</f>
        <v>T</v>
      </c>
      <c r="B541" s="239" t="str">
        <f ca="1">IF(Giocatori!Q13="","ZZZ" &amp; ROW(),Giocatori!Q13)</f>
        <v>ZZZ541</v>
      </c>
      <c r="C541" s="239" t="str">
        <f ca="1">IF(Giocatori!R13="","NDR" &amp; ROW(),Giocatori!R13)</f>
        <v>NDR541</v>
      </c>
      <c r="D541" s="63">
        <f t="shared" ca="1" si="156"/>
        <v>5.4099999999999999E-3</v>
      </c>
      <c r="E541" s="63">
        <f t="shared" ca="1" si="157"/>
        <v>5.4099999999999999E-3</v>
      </c>
      <c r="F541" s="64">
        <f t="shared" ca="1" si="158"/>
        <v>1.0820243900833333E-2</v>
      </c>
      <c r="G541" s="63" t="str">
        <f t="shared" ca="1" si="159"/>
        <v/>
      </c>
      <c r="H541" s="65" t="str">
        <f t="shared" ca="1" si="160"/>
        <v/>
      </c>
      <c r="I541" s="63" t="str">
        <f t="shared" ca="1" si="165"/>
        <v/>
      </c>
      <c r="J541" s="63">
        <f t="shared" ca="1" si="161"/>
        <v>5.4099999999999999E-3</v>
      </c>
      <c r="K541" s="63">
        <f t="shared" ca="1" si="162"/>
        <v>5.4099999999999999E-3</v>
      </c>
      <c r="L541" s="63"/>
      <c r="N541" s="59">
        <f t="shared" si="163"/>
        <v>5</v>
      </c>
      <c r="O541" s="62" t="str">
        <f ca="1">IF(ISNUMBER(N541),INDIRECT("B" &amp; 536 + MATCH(N541,INDIRECT(ADDRESS(537,21+MATCH($P$29,'I.A. + Fasce'!$W$84:$AA$84,0),1,1) &amp; ":" &amp; ADDRESS(637,21+MATCH($P$29,'I.A. + Fasce'!$W$84:$AA$84,0),1,1)),0)),"")</f>
        <v>ZZZ633</v>
      </c>
      <c r="P541" s="62" t="str">
        <f t="shared" ca="1" si="166"/>
        <v>NDR633</v>
      </c>
      <c r="Q541" s="59">
        <f t="shared" si="164"/>
        <v>13</v>
      </c>
      <c r="R541" s="62" t="str">
        <f ca="1">IF(ISNUMBER(Q541),INDIRECT("B" &amp; 536 + MATCH(Q541,INDIRECT(ADDRESS(537,21+MATCH($P$29,'I.A. + Fasce'!$W$84:$AA$84,0),1,1) &amp; ":" &amp; ADDRESS(637,21+MATCH($P$29,'I.A. + Fasce'!$W$84:$AA$84,0),1,1)),0)),"")</f>
        <v>ZZZ625</v>
      </c>
      <c r="S541" s="62" t="str">
        <f t="shared" ca="1" si="167"/>
        <v>NDR625</v>
      </c>
      <c r="W541" s="56">
        <f t="shared" ca="1" si="168"/>
        <v>97</v>
      </c>
      <c r="X541" s="56">
        <f t="shared" ca="1" si="169"/>
        <v>97</v>
      </c>
      <c r="Y541" s="56">
        <f t="shared" ca="1" si="170"/>
        <v>97</v>
      </c>
      <c r="Z541" s="56">
        <f t="shared" ca="1" si="171"/>
        <v>97</v>
      </c>
      <c r="AA541" s="56">
        <f t="shared" ca="1" si="172"/>
        <v>97</v>
      </c>
      <c r="AB541" s="56">
        <f ca="1">_xlfn.CEILING.MATH(INDIRECT(ADDRESS(537,22+MATCH($P$29,'I.A. + Fasce'!$W$84:$AA$84,0),1,1) &amp; ":" &amp; ADDRESS(637,22+MATCH($P$29,'I.A. + Fasce'!$W$84:$AA$84,0),1,1))/Asta!$H$3)</f>
        <v>13</v>
      </c>
    </row>
    <row r="542" spans="1:28" ht="14.25" customHeight="1">
      <c r="A542" s="239" t="str">
        <f ca="1">IF(Giocatori!P14="","T",Giocatori!P14)</f>
        <v>T</v>
      </c>
      <c r="B542" s="239" t="str">
        <f ca="1">IF(Giocatori!Q14="","ZZZ" &amp; ROW(),Giocatori!Q14)</f>
        <v>ZZZ542</v>
      </c>
      <c r="C542" s="239" t="str">
        <f ca="1">IF(Giocatori!R14="","NDR" &amp; ROW(),Giocatori!R14)</f>
        <v>NDR542</v>
      </c>
      <c r="D542" s="63">
        <f t="shared" ca="1" si="156"/>
        <v>5.4200000000000003E-3</v>
      </c>
      <c r="E542" s="63">
        <f t="shared" ca="1" si="157"/>
        <v>5.4200000000000003E-3</v>
      </c>
      <c r="F542" s="64">
        <f t="shared" ca="1" si="158"/>
        <v>1.0840244803333334E-2</v>
      </c>
      <c r="G542" s="63" t="str">
        <f t="shared" ca="1" si="159"/>
        <v/>
      </c>
      <c r="H542" s="65" t="str">
        <f t="shared" ca="1" si="160"/>
        <v/>
      </c>
      <c r="I542" s="63" t="str">
        <f t="shared" ca="1" si="165"/>
        <v/>
      </c>
      <c r="J542" s="63">
        <f t="shared" ca="1" si="161"/>
        <v>5.4200000000000003E-3</v>
      </c>
      <c r="K542" s="63">
        <f t="shared" ca="1" si="162"/>
        <v>5.4200000000000003E-3</v>
      </c>
      <c r="L542" s="63"/>
      <c r="N542" s="59">
        <f t="shared" si="163"/>
        <v>6</v>
      </c>
      <c r="O542" s="62" t="str">
        <f ca="1">IF(ISNUMBER(N542),INDIRECT("B" &amp; 536 + MATCH(N542,INDIRECT(ADDRESS(537,21+MATCH($P$29,'I.A. + Fasce'!$W$84:$AA$84,0),1,1) &amp; ":" &amp; ADDRESS(637,21+MATCH($P$29,'I.A. + Fasce'!$W$84:$AA$84,0),1,1)),0)),"")</f>
        <v>ZZZ632</v>
      </c>
      <c r="P542" s="62" t="str">
        <f t="shared" ca="1" si="166"/>
        <v>NDR632</v>
      </c>
      <c r="Q542" s="59">
        <f t="shared" si="164"/>
        <v>14</v>
      </c>
      <c r="R542" s="62" t="str">
        <f ca="1">IF(ISNUMBER(Q542),INDIRECT("B" &amp; 536 + MATCH(Q542,INDIRECT(ADDRESS(537,21+MATCH($P$29,'I.A. + Fasce'!$W$84:$AA$84,0),1,1) &amp; ":" &amp; ADDRESS(637,21+MATCH($P$29,'I.A. + Fasce'!$W$84:$AA$84,0),1,1)),0)),"")</f>
        <v>ZZZ624</v>
      </c>
      <c r="S542" s="62" t="str">
        <f t="shared" ca="1" si="167"/>
        <v>NDR624</v>
      </c>
      <c r="W542" s="56">
        <f t="shared" ca="1" si="168"/>
        <v>96</v>
      </c>
      <c r="X542" s="56">
        <f t="shared" ca="1" si="169"/>
        <v>96</v>
      </c>
      <c r="Y542" s="56">
        <f t="shared" ca="1" si="170"/>
        <v>96</v>
      </c>
      <c r="Z542" s="56">
        <f t="shared" ca="1" si="171"/>
        <v>96</v>
      </c>
      <c r="AA542" s="56">
        <f t="shared" ca="1" si="172"/>
        <v>96</v>
      </c>
      <c r="AB542" s="56">
        <f ca="1">_xlfn.CEILING.MATH(INDIRECT(ADDRESS(537,22+MATCH($P$29,'I.A. + Fasce'!$W$84:$AA$84,0),1,1) &amp; ":" &amp; ADDRESS(637,22+MATCH($P$29,'I.A. + Fasce'!$W$84:$AA$84,0),1,1))/Asta!$H$3)</f>
        <v>12</v>
      </c>
    </row>
    <row r="543" spans="1:28" ht="14.25" customHeight="1">
      <c r="A543" s="239" t="str">
        <f ca="1">IF(Giocatori!P15="","T",Giocatori!P15)</f>
        <v>T</v>
      </c>
      <c r="B543" s="239" t="str">
        <f ca="1">IF(Giocatori!Q15="","ZZZ" &amp; ROW(),Giocatori!Q15)</f>
        <v>ZZZ543</v>
      </c>
      <c r="C543" s="239" t="str">
        <f ca="1">IF(Giocatori!R15="","NDR" &amp; ROW(),Giocatori!R15)</f>
        <v>NDR543</v>
      </c>
      <c r="D543" s="63">
        <f t="shared" ca="1" si="156"/>
        <v>5.4299999999999999E-3</v>
      </c>
      <c r="E543" s="63">
        <f t="shared" ca="1" si="157"/>
        <v>5.4299999999999999E-3</v>
      </c>
      <c r="F543" s="64">
        <f t="shared" ca="1" si="158"/>
        <v>1.0860245707500001E-2</v>
      </c>
      <c r="G543" s="63" t="str">
        <f t="shared" ca="1" si="159"/>
        <v/>
      </c>
      <c r="H543" s="65" t="str">
        <f t="shared" ca="1" si="160"/>
        <v/>
      </c>
      <c r="I543" s="63" t="str">
        <f t="shared" ca="1" si="165"/>
        <v/>
      </c>
      <c r="J543" s="63">
        <f t="shared" ca="1" si="161"/>
        <v>5.4299999999999999E-3</v>
      </c>
      <c r="K543" s="63">
        <f t="shared" ca="1" si="162"/>
        <v>5.4299999999999999E-3</v>
      </c>
      <c r="L543" s="63"/>
      <c r="N543" s="59">
        <f t="shared" si="163"/>
        <v>7</v>
      </c>
      <c r="O543" s="62" t="str">
        <f ca="1">IF(ISNUMBER(N543),INDIRECT("B" &amp; 536 + MATCH(N543,INDIRECT(ADDRESS(537,21+MATCH($P$29,'I.A. + Fasce'!$W$84:$AA$84,0),1,1) &amp; ":" &amp; ADDRESS(637,21+MATCH($P$29,'I.A. + Fasce'!$W$84:$AA$84,0),1,1)),0)),"")</f>
        <v>ZZZ631</v>
      </c>
      <c r="P543" s="62" t="str">
        <f t="shared" ca="1" si="166"/>
        <v>NDR631</v>
      </c>
      <c r="Q543" s="59">
        <f t="shared" si="164"/>
        <v>15</v>
      </c>
      <c r="R543" s="62" t="str">
        <f ca="1">IF(ISNUMBER(Q543),INDIRECT("B" &amp; 536 + MATCH(Q543,INDIRECT(ADDRESS(537,21+MATCH($P$29,'I.A. + Fasce'!$W$84:$AA$84,0),1,1) &amp; ":" &amp; ADDRESS(637,21+MATCH($P$29,'I.A. + Fasce'!$W$84:$AA$84,0),1,1)),0)),"")</f>
        <v>ZZZ623</v>
      </c>
      <c r="S543" s="62" t="str">
        <f t="shared" ca="1" si="167"/>
        <v>NDR623</v>
      </c>
      <c r="W543" s="56">
        <f t="shared" ca="1" si="168"/>
        <v>95</v>
      </c>
      <c r="X543" s="56">
        <f t="shared" ca="1" si="169"/>
        <v>95</v>
      </c>
      <c r="Y543" s="56">
        <f t="shared" ca="1" si="170"/>
        <v>95</v>
      </c>
      <c r="Z543" s="56">
        <f t="shared" ca="1" si="171"/>
        <v>95</v>
      </c>
      <c r="AA543" s="56">
        <f t="shared" ca="1" si="172"/>
        <v>95</v>
      </c>
      <c r="AB543" s="56">
        <f ca="1">_xlfn.CEILING.MATH(INDIRECT(ADDRESS(537,22+MATCH($P$29,'I.A. + Fasce'!$W$84:$AA$84,0),1,1) &amp; ":" &amp; ADDRESS(637,22+MATCH($P$29,'I.A. + Fasce'!$W$84:$AA$84,0),1,1))/Asta!$H$3)</f>
        <v>12</v>
      </c>
    </row>
    <row r="544" spans="1:28" ht="14.25" customHeight="1">
      <c r="A544" s="239" t="str">
        <f ca="1">IF(Giocatori!P16="","T",Giocatori!P16)</f>
        <v>T</v>
      </c>
      <c r="B544" s="239" t="str">
        <f ca="1">IF(Giocatori!Q16="","ZZZ" &amp; ROW(),Giocatori!Q16)</f>
        <v>ZZZ544</v>
      </c>
      <c r="C544" s="239" t="str">
        <f ca="1">IF(Giocatori!R16="","NDR" &amp; ROW(),Giocatori!R16)</f>
        <v>NDR544</v>
      </c>
      <c r="D544" s="63">
        <f t="shared" ca="1" si="156"/>
        <v>5.4400000000000004E-3</v>
      </c>
      <c r="E544" s="63">
        <f t="shared" ca="1" si="157"/>
        <v>5.4400000000000004E-3</v>
      </c>
      <c r="F544" s="64">
        <f t="shared" ca="1" si="158"/>
        <v>1.0880246613333335E-2</v>
      </c>
      <c r="G544" s="63" t="str">
        <f t="shared" ca="1" si="159"/>
        <v/>
      </c>
      <c r="H544" s="65" t="str">
        <f t="shared" ca="1" si="160"/>
        <v/>
      </c>
      <c r="I544" s="63" t="str">
        <f t="shared" ca="1" si="165"/>
        <v/>
      </c>
      <c r="J544" s="63">
        <f t="shared" ca="1" si="161"/>
        <v>5.4400000000000004E-3</v>
      </c>
      <c r="K544" s="63">
        <f t="shared" ca="1" si="162"/>
        <v>5.4400000000000004E-3</v>
      </c>
      <c r="L544" s="63"/>
      <c r="N544" s="59">
        <f t="shared" si="163"/>
        <v>8</v>
      </c>
      <c r="O544" s="62" t="str">
        <f ca="1">IF(ISNUMBER(N544),INDIRECT("B" &amp; 536 + MATCH(N544,INDIRECT(ADDRESS(537,21+MATCH($P$29,'I.A. + Fasce'!$W$84:$AA$84,0),1,1) &amp; ":" &amp; ADDRESS(637,21+MATCH($P$29,'I.A. + Fasce'!$W$84:$AA$84,0),1,1)),0)),"")</f>
        <v>ZZZ630</v>
      </c>
      <c r="P544" s="62" t="str">
        <f t="shared" ca="1" si="166"/>
        <v>NDR630</v>
      </c>
      <c r="Q544" s="59">
        <f t="shared" si="164"/>
        <v>16</v>
      </c>
      <c r="R544" s="62" t="str">
        <f ca="1">IF(ISNUMBER(Q544),INDIRECT("B" &amp; 536 + MATCH(Q544,INDIRECT(ADDRESS(537,21+MATCH($P$29,'I.A. + Fasce'!$W$84:$AA$84,0),1,1) &amp; ":" &amp; ADDRESS(637,21+MATCH($P$29,'I.A. + Fasce'!$W$84:$AA$84,0),1,1)),0)),"")</f>
        <v>ZZZ622</v>
      </c>
      <c r="S544" s="62" t="str">
        <f t="shared" ca="1" si="167"/>
        <v>NDR622</v>
      </c>
      <c r="W544" s="56">
        <f t="shared" ca="1" si="168"/>
        <v>94</v>
      </c>
      <c r="X544" s="56">
        <f t="shared" ca="1" si="169"/>
        <v>94</v>
      </c>
      <c r="Y544" s="56">
        <f t="shared" ca="1" si="170"/>
        <v>94</v>
      </c>
      <c r="Z544" s="56">
        <f t="shared" ca="1" si="171"/>
        <v>94</v>
      </c>
      <c r="AA544" s="56">
        <f t="shared" ca="1" si="172"/>
        <v>94</v>
      </c>
      <c r="AB544" s="56">
        <f ca="1">_xlfn.CEILING.MATH(INDIRECT(ADDRESS(537,22+MATCH($P$29,'I.A. + Fasce'!$W$84:$AA$84,0),1,1) &amp; ":" &amp; ADDRESS(637,22+MATCH($P$29,'I.A. + Fasce'!$W$84:$AA$84,0),1,1))/Asta!$H$3)</f>
        <v>12</v>
      </c>
    </row>
    <row r="545" spans="1:28" ht="14.25" customHeight="1">
      <c r="A545" s="239" t="str">
        <f ca="1">IF(Giocatori!P17="","T",Giocatori!P17)</f>
        <v>T</v>
      </c>
      <c r="B545" s="239" t="str">
        <f ca="1">IF(Giocatori!Q17="","ZZZ" &amp; ROW(),Giocatori!Q17)</f>
        <v>ZZZ545</v>
      </c>
      <c r="C545" s="239" t="str">
        <f ca="1">IF(Giocatori!R17="","NDR" &amp; ROW(),Giocatori!R17)</f>
        <v>NDR545</v>
      </c>
      <c r="D545" s="63">
        <f t="shared" ca="1" si="156"/>
        <v>5.45E-3</v>
      </c>
      <c r="E545" s="63">
        <f t="shared" ca="1" si="157"/>
        <v>5.45E-3</v>
      </c>
      <c r="F545" s="64">
        <f t="shared" ca="1" si="158"/>
        <v>1.0900247520833333E-2</v>
      </c>
      <c r="G545" s="63" t="str">
        <f t="shared" ca="1" si="159"/>
        <v/>
      </c>
      <c r="H545" s="65" t="str">
        <f t="shared" ca="1" si="160"/>
        <v/>
      </c>
      <c r="I545" s="63" t="str">
        <f t="shared" ca="1" si="165"/>
        <v/>
      </c>
      <c r="J545" s="63">
        <f t="shared" ca="1" si="161"/>
        <v>5.45E-3</v>
      </c>
      <c r="K545" s="63">
        <f t="shared" ca="1" si="162"/>
        <v>5.45E-3</v>
      </c>
      <c r="L545" s="63"/>
      <c r="N545" s="59" t="str">
        <f t="shared" si="163"/>
        <v/>
      </c>
      <c r="O545" s="62" t="str">
        <f ca="1">IF(ISNUMBER(N545),INDIRECT("B" &amp; 536 + MATCH(N545,INDIRECT(ADDRESS(537,21+MATCH($P$29,'I.A. + Fasce'!$W$84:$AA$84,0),1,1) &amp; ":" &amp; ADDRESS(637,21+MATCH($P$29,'I.A. + Fasce'!$W$84:$AA$84,0),1,1)),0)),"")</f>
        <v/>
      </c>
      <c r="P545" s="62" t="str">
        <f t="shared" ca="1" si="166"/>
        <v/>
      </c>
      <c r="Q545" s="59" t="str">
        <f t="shared" si="164"/>
        <v/>
      </c>
      <c r="R545" s="62" t="str">
        <f ca="1">IF(ISNUMBER(Q545),INDIRECT("B" &amp; 536 + MATCH(Q545,INDIRECT(ADDRESS(537,21+MATCH($P$29,'I.A. + Fasce'!$W$84:$AA$84,0),1,1) &amp; ":" &amp; ADDRESS(637,21+MATCH($P$29,'I.A. + Fasce'!$W$84:$AA$84,0),1,1)),0)),"")</f>
        <v/>
      </c>
      <c r="S545" s="62" t="str">
        <f t="shared" ca="1" si="167"/>
        <v/>
      </c>
      <c r="W545" s="56">
        <f t="shared" ca="1" si="168"/>
        <v>93</v>
      </c>
      <c r="X545" s="56">
        <f t="shared" ca="1" si="169"/>
        <v>93</v>
      </c>
      <c r="Y545" s="56">
        <f t="shared" ca="1" si="170"/>
        <v>93</v>
      </c>
      <c r="Z545" s="56">
        <f t="shared" ca="1" si="171"/>
        <v>93</v>
      </c>
      <c r="AA545" s="56">
        <f t="shared" ca="1" si="172"/>
        <v>93</v>
      </c>
      <c r="AB545" s="56">
        <f ca="1">_xlfn.CEILING.MATH(INDIRECT(ADDRESS(537,22+MATCH($P$29,'I.A. + Fasce'!$W$84:$AA$84,0),1,1) &amp; ":" &amp; ADDRESS(637,22+MATCH($P$29,'I.A. + Fasce'!$W$84:$AA$84,0),1,1))/Asta!$H$3)</f>
        <v>12</v>
      </c>
    </row>
    <row r="546" spans="1:28" ht="14.25" customHeight="1">
      <c r="A546" s="239" t="str">
        <f ca="1">IF(Giocatori!P18="","T",Giocatori!P18)</f>
        <v>T</v>
      </c>
      <c r="B546" s="239" t="str">
        <f ca="1">IF(Giocatori!Q18="","ZZZ" &amp; ROW(),Giocatori!Q18)</f>
        <v>ZZZ546</v>
      </c>
      <c r="C546" s="239" t="str">
        <f ca="1">IF(Giocatori!R18="","NDR" &amp; ROW(),Giocatori!R18)</f>
        <v>NDR546</v>
      </c>
      <c r="D546" s="63">
        <f t="shared" ca="1" si="156"/>
        <v>5.4599999999999996E-3</v>
      </c>
      <c r="E546" s="63">
        <f t="shared" ca="1" si="157"/>
        <v>5.4599999999999996E-3</v>
      </c>
      <c r="F546" s="64">
        <f t="shared" ca="1" si="158"/>
        <v>1.0920248429999998E-2</v>
      </c>
      <c r="G546" s="63" t="str">
        <f t="shared" ca="1" si="159"/>
        <v/>
      </c>
      <c r="H546" s="65" t="str">
        <f t="shared" ca="1" si="160"/>
        <v/>
      </c>
      <c r="I546" s="63" t="str">
        <f t="shared" ca="1" si="165"/>
        <v/>
      </c>
      <c r="J546" s="63">
        <f t="shared" ca="1" si="161"/>
        <v>5.4599999999999996E-3</v>
      </c>
      <c r="K546" s="63">
        <f t="shared" ca="1" si="162"/>
        <v>5.4599999999999996E-3</v>
      </c>
      <c r="L546" s="63"/>
      <c r="N546" s="59" t="str">
        <f t="shared" si="163"/>
        <v/>
      </c>
      <c r="O546" s="62" t="str">
        <f ca="1">IF(ISNUMBER(N546),INDIRECT("B" &amp; 536 + MATCH(N546,INDIRECT(ADDRESS(537,21+MATCH($P$29,'I.A. + Fasce'!$W$84:$AA$84,0),1,1) &amp; ":" &amp; ADDRESS(637,21+MATCH($P$29,'I.A. + Fasce'!$W$84:$AA$84,0),1,1)),0)),"")</f>
        <v/>
      </c>
      <c r="P546" s="62" t="str">
        <f t="shared" ca="1" si="166"/>
        <v/>
      </c>
      <c r="Q546" s="59" t="str">
        <f t="shared" si="164"/>
        <v/>
      </c>
      <c r="R546" s="62" t="str">
        <f ca="1">IF(ISNUMBER(Q546),INDIRECT("B" &amp; 536 + MATCH(Q546,INDIRECT(ADDRESS(537,21+MATCH($P$29,'I.A. + Fasce'!$W$84:$AA$84,0),1,1) &amp; ":" &amp; ADDRESS(637,21+MATCH($P$29,'I.A. + Fasce'!$W$84:$AA$84,0),1,1)),0)),"")</f>
        <v/>
      </c>
      <c r="S546" s="62" t="str">
        <f t="shared" ca="1" si="167"/>
        <v/>
      </c>
      <c r="W546" s="56">
        <f t="shared" ca="1" si="168"/>
        <v>92</v>
      </c>
      <c r="X546" s="56">
        <f t="shared" ca="1" si="169"/>
        <v>92</v>
      </c>
      <c r="Y546" s="56">
        <f t="shared" ca="1" si="170"/>
        <v>92</v>
      </c>
      <c r="Z546" s="56">
        <f t="shared" ca="1" si="171"/>
        <v>92</v>
      </c>
      <c r="AA546" s="56">
        <f t="shared" ca="1" si="172"/>
        <v>92</v>
      </c>
      <c r="AB546" s="56">
        <f ca="1">_xlfn.CEILING.MATH(INDIRECT(ADDRESS(537,22+MATCH($P$29,'I.A. + Fasce'!$W$84:$AA$84,0),1,1) &amp; ":" &amp; ADDRESS(637,22+MATCH($P$29,'I.A. + Fasce'!$W$84:$AA$84,0),1,1))/Asta!$H$3)</f>
        <v>12</v>
      </c>
    </row>
    <row r="547" spans="1:28" ht="14.25" customHeight="1">
      <c r="A547" s="239" t="str">
        <f ca="1">IF(Giocatori!P19="","T",Giocatori!P19)</f>
        <v>T</v>
      </c>
      <c r="B547" s="239" t="str">
        <f ca="1">IF(Giocatori!Q19="","ZZZ" &amp; ROW(),Giocatori!Q19)</f>
        <v>ZZZ547</v>
      </c>
      <c r="C547" s="239" t="str">
        <f ca="1">IF(Giocatori!R19="","NDR" &amp; ROW(),Giocatori!R19)</f>
        <v>NDR547</v>
      </c>
      <c r="D547" s="63">
        <f t="shared" ca="1" si="156"/>
        <v>5.47E-3</v>
      </c>
      <c r="E547" s="63">
        <f t="shared" ca="1" si="157"/>
        <v>5.47E-3</v>
      </c>
      <c r="F547" s="64">
        <f t="shared" ca="1" si="158"/>
        <v>1.0940249340833333E-2</v>
      </c>
      <c r="G547" s="63" t="str">
        <f t="shared" ca="1" si="159"/>
        <v/>
      </c>
      <c r="H547" s="65" t="str">
        <f t="shared" ca="1" si="160"/>
        <v/>
      </c>
      <c r="I547" s="63" t="str">
        <f t="shared" ca="1" si="165"/>
        <v/>
      </c>
      <c r="J547" s="63">
        <f t="shared" ca="1" si="161"/>
        <v>5.47E-3</v>
      </c>
      <c r="K547" s="63">
        <f t="shared" ca="1" si="162"/>
        <v>5.47E-3</v>
      </c>
      <c r="L547" s="63"/>
      <c r="N547" s="59" t="str">
        <f t="shared" si="163"/>
        <v/>
      </c>
      <c r="O547" s="62" t="str">
        <f ca="1">IF(ISNUMBER(N547),INDIRECT("B" &amp; 536 + MATCH(N547,INDIRECT(ADDRESS(537,21+MATCH($P$29,'I.A. + Fasce'!$W$84:$AA$84,0),1,1) &amp; ":" &amp; ADDRESS(637,21+MATCH($P$29,'I.A. + Fasce'!$W$84:$AA$84,0),1,1)),0)),"")</f>
        <v/>
      </c>
      <c r="P547" s="62" t="str">
        <f t="shared" ca="1" si="166"/>
        <v/>
      </c>
      <c r="Q547" s="59" t="str">
        <f t="shared" si="164"/>
        <v/>
      </c>
      <c r="R547" s="62" t="str">
        <f ca="1">IF(ISNUMBER(Q547),INDIRECT("B" &amp; 536 + MATCH(Q547,INDIRECT(ADDRESS(537,21+MATCH($P$29,'I.A. + Fasce'!$W$84:$AA$84,0),1,1) &amp; ":" &amp; ADDRESS(637,21+MATCH($P$29,'I.A. + Fasce'!$W$84:$AA$84,0),1,1)),0)),"")</f>
        <v/>
      </c>
      <c r="S547" s="62" t="str">
        <f t="shared" ca="1" si="167"/>
        <v/>
      </c>
      <c r="W547" s="56">
        <f t="shared" ca="1" si="168"/>
        <v>91</v>
      </c>
      <c r="X547" s="56">
        <f t="shared" ca="1" si="169"/>
        <v>91</v>
      </c>
      <c r="Y547" s="56">
        <f t="shared" ca="1" si="170"/>
        <v>91</v>
      </c>
      <c r="Z547" s="56">
        <f t="shared" ca="1" si="171"/>
        <v>91</v>
      </c>
      <c r="AA547" s="56">
        <f t="shared" ca="1" si="172"/>
        <v>91</v>
      </c>
      <c r="AB547" s="56">
        <f ca="1">_xlfn.CEILING.MATH(INDIRECT(ADDRESS(537,22+MATCH($P$29,'I.A. + Fasce'!$W$84:$AA$84,0),1,1) &amp; ":" &amp; ADDRESS(637,22+MATCH($P$29,'I.A. + Fasce'!$W$84:$AA$84,0),1,1))/Asta!$H$3)</f>
        <v>12</v>
      </c>
    </row>
    <row r="548" spans="1:28" ht="14.25" customHeight="1">
      <c r="A548" s="239" t="str">
        <f ca="1">IF(Giocatori!P20="","T",Giocatori!P20)</f>
        <v>T</v>
      </c>
      <c r="B548" s="239" t="str">
        <f ca="1">IF(Giocatori!Q20="","ZZZ" &amp; ROW(),Giocatori!Q20)</f>
        <v>ZZZ548</v>
      </c>
      <c r="C548" s="239" t="str">
        <f ca="1">IF(Giocatori!R20="","NDR" &amp; ROW(),Giocatori!R20)</f>
        <v>NDR548</v>
      </c>
      <c r="D548" s="63">
        <f t="shared" ca="1" si="156"/>
        <v>5.4799999999999996E-3</v>
      </c>
      <c r="E548" s="63">
        <f t="shared" ca="1" si="157"/>
        <v>5.4799999999999996E-3</v>
      </c>
      <c r="F548" s="64">
        <f t="shared" ca="1" si="158"/>
        <v>1.0960250253333333E-2</v>
      </c>
      <c r="G548" s="63" t="str">
        <f t="shared" ca="1" si="159"/>
        <v/>
      </c>
      <c r="H548" s="65" t="str">
        <f t="shared" ca="1" si="160"/>
        <v/>
      </c>
      <c r="I548" s="63" t="str">
        <f t="shared" ca="1" si="165"/>
        <v/>
      </c>
      <c r="J548" s="63">
        <f t="shared" ca="1" si="161"/>
        <v>5.4799999999999996E-3</v>
      </c>
      <c r="K548" s="63">
        <f t="shared" ca="1" si="162"/>
        <v>5.4799999999999996E-3</v>
      </c>
      <c r="L548" s="63"/>
      <c r="N548" s="59" t="str">
        <f t="shared" si="163"/>
        <v/>
      </c>
      <c r="O548" s="62" t="str">
        <f ca="1">IF(ISNUMBER(N548),INDIRECT("B" &amp; 536 + MATCH(N548,INDIRECT(ADDRESS(537,21+MATCH($P$29,'I.A. + Fasce'!$W$84:$AA$84,0),1,1) &amp; ":" &amp; ADDRESS(637,21+MATCH($P$29,'I.A. + Fasce'!$W$84:$AA$84,0),1,1)),0)),"")</f>
        <v/>
      </c>
      <c r="P548" s="62" t="str">
        <f t="shared" ca="1" si="166"/>
        <v/>
      </c>
      <c r="Q548" s="59" t="str">
        <f t="shared" si="164"/>
        <v/>
      </c>
      <c r="R548" s="62" t="str">
        <f ca="1">IF(ISNUMBER(Q548),INDIRECT("B" &amp; 536 + MATCH(Q548,INDIRECT(ADDRESS(537,21+MATCH($P$29,'I.A. + Fasce'!$W$84:$AA$84,0),1,1) &amp; ":" &amp; ADDRESS(637,21+MATCH($P$29,'I.A. + Fasce'!$W$84:$AA$84,0),1,1)),0)),"")</f>
        <v/>
      </c>
      <c r="S548" s="62" t="str">
        <f t="shared" ca="1" si="167"/>
        <v/>
      </c>
      <c r="W548" s="56">
        <f t="shared" ca="1" si="168"/>
        <v>90</v>
      </c>
      <c r="X548" s="56">
        <f t="shared" ca="1" si="169"/>
        <v>90</v>
      </c>
      <c r="Y548" s="56">
        <f t="shared" ca="1" si="170"/>
        <v>90</v>
      </c>
      <c r="Z548" s="56">
        <f t="shared" ca="1" si="171"/>
        <v>90</v>
      </c>
      <c r="AA548" s="56">
        <f t="shared" ca="1" si="172"/>
        <v>90</v>
      </c>
      <c r="AB548" s="56">
        <f ca="1">_xlfn.CEILING.MATH(INDIRECT(ADDRESS(537,22+MATCH($P$29,'I.A. + Fasce'!$W$84:$AA$84,0),1,1) &amp; ":" &amp; ADDRESS(637,22+MATCH($P$29,'I.A. + Fasce'!$W$84:$AA$84,0),1,1))/Asta!$H$3)</f>
        <v>12</v>
      </c>
    </row>
    <row r="549" spans="1:28" ht="14.25" customHeight="1">
      <c r="A549" s="239" t="str">
        <f ca="1">IF(Giocatori!P21="","T",Giocatori!P21)</f>
        <v>T</v>
      </c>
      <c r="B549" s="239" t="str">
        <f ca="1">IF(Giocatori!Q21="","ZZZ" &amp; ROW(),Giocatori!Q21)</f>
        <v>ZZZ549</v>
      </c>
      <c r="C549" s="239" t="str">
        <f ca="1">IF(Giocatori!R21="","NDR" &amp; ROW(),Giocatori!R21)</f>
        <v>NDR549</v>
      </c>
      <c r="D549" s="63">
        <f t="shared" ca="1" si="156"/>
        <v>5.4900000000000001E-3</v>
      </c>
      <c r="E549" s="63">
        <f t="shared" ca="1" si="157"/>
        <v>5.4900000000000001E-3</v>
      </c>
      <c r="F549" s="64">
        <f t="shared" ca="1" si="158"/>
        <v>1.09802511675E-2</v>
      </c>
      <c r="G549" s="63" t="str">
        <f t="shared" ca="1" si="159"/>
        <v/>
      </c>
      <c r="H549" s="65" t="str">
        <f t="shared" ca="1" si="160"/>
        <v/>
      </c>
      <c r="I549" s="63" t="str">
        <f t="shared" ca="1" si="165"/>
        <v/>
      </c>
      <c r="J549" s="63">
        <f t="shared" ca="1" si="161"/>
        <v>5.4900000000000001E-3</v>
      </c>
      <c r="K549" s="63">
        <f t="shared" ca="1" si="162"/>
        <v>5.4900000000000001E-3</v>
      </c>
      <c r="L549" s="63"/>
      <c r="N549" s="58"/>
      <c r="O549" s="58"/>
      <c r="P549" s="58"/>
      <c r="Q549" s="58"/>
      <c r="R549" s="58"/>
      <c r="S549" s="58"/>
      <c r="W549" s="56">
        <f t="shared" ca="1" si="168"/>
        <v>89</v>
      </c>
      <c r="X549" s="56">
        <f t="shared" ca="1" si="169"/>
        <v>89</v>
      </c>
      <c r="Y549" s="56">
        <f t="shared" ca="1" si="170"/>
        <v>89</v>
      </c>
      <c r="Z549" s="56">
        <f t="shared" ca="1" si="171"/>
        <v>89</v>
      </c>
      <c r="AA549" s="56">
        <f t="shared" ca="1" si="172"/>
        <v>89</v>
      </c>
      <c r="AB549" s="56">
        <f ca="1">_xlfn.CEILING.MATH(INDIRECT(ADDRESS(537,22+MATCH($P$29,'I.A. + Fasce'!$W$84:$AA$84,0),1,1) &amp; ":" &amp; ADDRESS(637,22+MATCH($P$29,'I.A. + Fasce'!$W$84:$AA$84,0),1,1))/Asta!$H$3)</f>
        <v>12</v>
      </c>
    </row>
    <row r="550" spans="1:28" ht="14.25" customHeight="1">
      <c r="A550" s="239" t="str">
        <f ca="1">IF(Giocatori!P22="","T",Giocatori!P22)</f>
        <v>T</v>
      </c>
      <c r="B550" s="239" t="str">
        <f ca="1">IF(Giocatori!Q22="","ZZZ" &amp; ROW(),Giocatori!Q22)</f>
        <v>ZZZ550</v>
      </c>
      <c r="C550" s="239" t="str">
        <f ca="1">IF(Giocatori!R22="","NDR" &amp; ROW(),Giocatori!R22)</f>
        <v>NDR550</v>
      </c>
      <c r="D550" s="63">
        <f t="shared" ca="1" si="156"/>
        <v>5.4999999999999997E-3</v>
      </c>
      <c r="E550" s="63">
        <f t="shared" ca="1" si="157"/>
        <v>5.4999999999999997E-3</v>
      </c>
      <c r="F550" s="64">
        <f t="shared" ca="1" si="158"/>
        <v>1.1000252083333332E-2</v>
      </c>
      <c r="G550" s="63" t="str">
        <f t="shared" ca="1" si="159"/>
        <v/>
      </c>
      <c r="H550" s="65" t="str">
        <f t="shared" ca="1" si="160"/>
        <v/>
      </c>
      <c r="I550" s="63" t="str">
        <f t="shared" ca="1" si="165"/>
        <v/>
      </c>
      <c r="J550" s="63">
        <f t="shared" ca="1" si="161"/>
        <v>5.4999999999999997E-3</v>
      </c>
      <c r="K550" s="63">
        <f t="shared" ca="1" si="162"/>
        <v>5.4999999999999997E-3</v>
      </c>
      <c r="L550" s="63"/>
      <c r="N550" s="58"/>
      <c r="O550" s="59" t="s">
        <v>689</v>
      </c>
      <c r="P550" s="59" t="s">
        <v>637</v>
      </c>
      <c r="Q550" s="58"/>
      <c r="R550" s="59" t="s">
        <v>690</v>
      </c>
      <c r="S550" s="59" t="s">
        <v>637</v>
      </c>
      <c r="W550" s="56">
        <f t="shared" ca="1" si="168"/>
        <v>88</v>
      </c>
      <c r="X550" s="56">
        <f t="shared" ca="1" si="169"/>
        <v>88</v>
      </c>
      <c r="Y550" s="56">
        <f t="shared" ca="1" si="170"/>
        <v>88</v>
      </c>
      <c r="Z550" s="56">
        <f t="shared" ca="1" si="171"/>
        <v>88</v>
      </c>
      <c r="AA550" s="56">
        <f t="shared" ca="1" si="172"/>
        <v>88</v>
      </c>
      <c r="AB550" s="56">
        <f ca="1">_xlfn.CEILING.MATH(INDIRECT(ADDRESS(537,22+MATCH($P$29,'I.A. + Fasce'!$W$84:$AA$84,0),1,1) &amp; ":" &amp; ADDRESS(637,22+MATCH($P$29,'I.A. + Fasce'!$W$84:$AA$84,0),1,1))/Asta!$H$3)</f>
        <v>11</v>
      </c>
    </row>
    <row r="551" spans="1:28" ht="14.25" customHeight="1">
      <c r="A551" s="239" t="str">
        <f ca="1">IF(Giocatori!P23="","T",Giocatori!P23)</f>
        <v>T</v>
      </c>
      <c r="B551" s="239" t="str">
        <f ca="1">IF(Giocatori!Q23="","ZZZ" &amp; ROW(),Giocatori!Q23)</f>
        <v>ZZZ551</v>
      </c>
      <c r="C551" s="239" t="str">
        <f ca="1">IF(Giocatori!R23="","NDR" &amp; ROW(),Giocatori!R23)</f>
        <v>NDR551</v>
      </c>
      <c r="D551" s="63">
        <f t="shared" ca="1" si="156"/>
        <v>5.5100000000000001E-3</v>
      </c>
      <c r="E551" s="63">
        <f t="shared" ca="1" si="157"/>
        <v>5.5100000000000001E-3</v>
      </c>
      <c r="F551" s="64">
        <f t="shared" ca="1" si="158"/>
        <v>1.1020253000833334E-2</v>
      </c>
      <c r="G551" s="63" t="str">
        <f t="shared" ca="1" si="159"/>
        <v/>
      </c>
      <c r="H551" s="65" t="str">
        <f t="shared" ca="1" si="160"/>
        <v/>
      </c>
      <c r="I551" s="63" t="str">
        <f t="shared" ca="1" si="165"/>
        <v/>
      </c>
      <c r="J551" s="63">
        <f t="shared" ca="1" si="161"/>
        <v>5.5100000000000001E-3</v>
      </c>
      <c r="K551" s="63">
        <f t="shared" ca="1" si="162"/>
        <v>5.5100000000000001E-3</v>
      </c>
      <c r="L551" s="63"/>
      <c r="N551" s="60"/>
      <c r="O551" s="61"/>
      <c r="P551" s="61"/>
      <c r="Q551" s="60"/>
      <c r="R551" s="61"/>
      <c r="S551" s="61"/>
      <c r="W551" s="56">
        <f t="shared" ca="1" si="168"/>
        <v>87</v>
      </c>
      <c r="X551" s="56">
        <f t="shared" ca="1" si="169"/>
        <v>87</v>
      </c>
      <c r="Y551" s="56">
        <f t="shared" ca="1" si="170"/>
        <v>87</v>
      </c>
      <c r="Z551" s="56">
        <f t="shared" ca="1" si="171"/>
        <v>87</v>
      </c>
      <c r="AA551" s="56">
        <f t="shared" ca="1" si="172"/>
        <v>87</v>
      </c>
      <c r="AB551" s="56">
        <f ca="1">_xlfn.CEILING.MATH(INDIRECT(ADDRESS(537,22+MATCH($P$29,'I.A. + Fasce'!$W$84:$AA$84,0),1,1) &amp; ":" &amp; ADDRESS(637,22+MATCH($P$29,'I.A. + Fasce'!$W$84:$AA$84,0),1,1))/Asta!$H$3)</f>
        <v>11</v>
      </c>
    </row>
    <row r="552" spans="1:28" ht="14.25" customHeight="1">
      <c r="A552" s="239" t="str">
        <f ca="1">IF(Giocatori!P24="","T",Giocatori!P24)</f>
        <v>T</v>
      </c>
      <c r="B552" s="239" t="str">
        <f ca="1">IF(Giocatori!Q24="","ZZZ" &amp; ROW(),Giocatori!Q24)</f>
        <v>ZZZ552</v>
      </c>
      <c r="C552" s="239" t="str">
        <f ca="1">IF(Giocatori!R24="","NDR" &amp; ROW(),Giocatori!R24)</f>
        <v>NDR552</v>
      </c>
      <c r="D552" s="63">
        <f t="shared" ca="1" si="156"/>
        <v>5.5199999999999997E-3</v>
      </c>
      <c r="E552" s="63">
        <f t="shared" ca="1" si="157"/>
        <v>5.5199999999999997E-3</v>
      </c>
      <c r="F552" s="64">
        <f t="shared" ca="1" si="158"/>
        <v>1.104025392E-2</v>
      </c>
      <c r="G552" s="63" t="str">
        <f t="shared" ca="1" si="159"/>
        <v/>
      </c>
      <c r="H552" s="65" t="str">
        <f t="shared" ca="1" si="160"/>
        <v/>
      </c>
      <c r="I552" s="63" t="str">
        <f t="shared" ca="1" si="165"/>
        <v/>
      </c>
      <c r="J552" s="63">
        <f t="shared" ca="1" si="161"/>
        <v>5.5199999999999997E-3</v>
      </c>
      <c r="K552" s="63">
        <f t="shared" ca="1" si="162"/>
        <v>5.5199999999999997E-3</v>
      </c>
      <c r="L552" s="63"/>
      <c r="N552" s="59">
        <f t="shared" ref="N552:N563" si="173">IF(ISNUMBER(Q537),Q537+COUNTIF($N$34:$N$45,"&gt;0"),"")</f>
        <v>17</v>
      </c>
      <c r="O552" s="62" t="str">
        <f ca="1">IF(ISNUMBER(N552),INDIRECT("B" &amp; 536 + MATCH(N552,INDIRECT(ADDRESS(537,21+MATCH($P$29,'I.A. + Fasce'!$W$84:$AA$84,0),1,1) &amp; ":" &amp; ADDRESS(637,21+MATCH($P$29,'I.A. + Fasce'!$W$84:$AA$84,0),1,1)),0)),"")</f>
        <v>ZZZ621</v>
      </c>
      <c r="P552" s="62" t="str">
        <f ca="1">IF(O552="","",VLOOKUP(O552,$B$537:$C$637,2,FALSE))</f>
        <v>NDR621</v>
      </c>
      <c r="Q552" s="59">
        <f t="shared" ref="Q552:Q563" si="174">IF(ISNUMBER(N552),N552+COUNTIF($N$34:$N$45,"&gt;0"),"")</f>
        <v>25</v>
      </c>
      <c r="R552" s="62" t="str">
        <f ca="1">IF(ISNUMBER(Q552),INDIRECT("B" &amp; 536 + MATCH(Q552,INDIRECT(ADDRESS(537,21+MATCH($P$29,'I.A. + Fasce'!$W$84:$AA$84,0),1,1) &amp; ":" &amp; ADDRESS(637,21+MATCH($P$29,'I.A. + Fasce'!$W$84:$AA$84,0),1,1)),0)),"")</f>
        <v>ZZZ613</v>
      </c>
      <c r="S552" s="62" t="str">
        <f ca="1">IF(R552="","",VLOOKUP(R552,$B$537:$C$637,2,FALSE))</f>
        <v>NDR613</v>
      </c>
      <c r="W552" s="56">
        <f t="shared" ca="1" si="168"/>
        <v>86</v>
      </c>
      <c r="X552" s="56">
        <f t="shared" ca="1" si="169"/>
        <v>86</v>
      </c>
      <c r="Y552" s="56">
        <f t="shared" ca="1" si="170"/>
        <v>86</v>
      </c>
      <c r="Z552" s="56">
        <f t="shared" ca="1" si="171"/>
        <v>86</v>
      </c>
      <c r="AA552" s="56">
        <f t="shared" ca="1" si="172"/>
        <v>86</v>
      </c>
      <c r="AB552" s="56">
        <f ca="1">_xlfn.CEILING.MATH(INDIRECT(ADDRESS(537,22+MATCH($P$29,'I.A. + Fasce'!$W$84:$AA$84,0),1,1) &amp; ":" &amp; ADDRESS(637,22+MATCH($P$29,'I.A. + Fasce'!$W$84:$AA$84,0),1,1))/Asta!$H$3)</f>
        <v>11</v>
      </c>
    </row>
    <row r="553" spans="1:28" ht="14.25" customHeight="1">
      <c r="A553" s="239" t="str">
        <f ca="1">IF(Giocatori!P25="","T",Giocatori!P25)</f>
        <v>T</v>
      </c>
      <c r="B553" s="239" t="str">
        <f ca="1">IF(Giocatori!Q25="","ZZZ" &amp; ROW(),Giocatori!Q25)</f>
        <v>ZZZ553</v>
      </c>
      <c r="C553" s="239" t="str">
        <f ca="1">IF(Giocatori!R25="","NDR" &amp; ROW(),Giocatori!R25)</f>
        <v>NDR553</v>
      </c>
      <c r="D553" s="63">
        <f t="shared" ca="1" si="156"/>
        <v>5.5300000000000002E-3</v>
      </c>
      <c r="E553" s="63">
        <f t="shared" ca="1" si="157"/>
        <v>5.5300000000000002E-3</v>
      </c>
      <c r="F553" s="64">
        <f t="shared" ca="1" si="158"/>
        <v>1.1060254840833332E-2</v>
      </c>
      <c r="G553" s="63" t="str">
        <f t="shared" ca="1" si="159"/>
        <v/>
      </c>
      <c r="H553" s="65" t="str">
        <f t="shared" ca="1" si="160"/>
        <v/>
      </c>
      <c r="I553" s="63" t="str">
        <f t="shared" ca="1" si="165"/>
        <v/>
      </c>
      <c r="J553" s="63">
        <f t="shared" ca="1" si="161"/>
        <v>5.5300000000000002E-3</v>
      </c>
      <c r="K553" s="63">
        <f t="shared" ca="1" si="162"/>
        <v>5.5300000000000002E-3</v>
      </c>
      <c r="L553" s="63"/>
      <c r="N553" s="59">
        <f t="shared" si="173"/>
        <v>18</v>
      </c>
      <c r="O553" s="62" t="str">
        <f ca="1">IF(ISNUMBER(N553),INDIRECT("B" &amp; 536 + MATCH(N553,INDIRECT(ADDRESS(537,21+MATCH($P$29,'I.A. + Fasce'!$W$84:$AA$84,0),1,1) &amp; ":" &amp; ADDRESS(637,21+MATCH($P$29,'I.A. + Fasce'!$W$84:$AA$84,0),1,1)),0)),"")</f>
        <v>ZZZ620</v>
      </c>
      <c r="P553" s="62" t="str">
        <f t="shared" ref="P553:P563" ca="1" si="175">IF(O553="","",VLOOKUP(O553,$B$537:$C$637,2,FALSE))</f>
        <v>NDR620</v>
      </c>
      <c r="Q553" s="59">
        <f t="shared" si="174"/>
        <v>26</v>
      </c>
      <c r="R553" s="62" t="str">
        <f ca="1">IF(ISNUMBER(Q553),INDIRECT("B" &amp; 536 + MATCH(Q553,INDIRECT(ADDRESS(537,21+MATCH($P$29,'I.A. + Fasce'!$W$84:$AA$84,0),1,1) &amp; ":" &amp; ADDRESS(637,21+MATCH($P$29,'I.A. + Fasce'!$W$84:$AA$84,0),1,1)),0)),"")</f>
        <v>ZZZ612</v>
      </c>
      <c r="S553" s="62" t="str">
        <f t="shared" ref="S553:S563" ca="1" si="176">IF(R553="","",VLOOKUP(R553,$B$537:$C$637,2,FALSE))</f>
        <v>NDR612</v>
      </c>
      <c r="W553" s="56">
        <f t="shared" ca="1" si="168"/>
        <v>85</v>
      </c>
      <c r="X553" s="56">
        <f t="shared" ca="1" si="169"/>
        <v>85</v>
      </c>
      <c r="Y553" s="56">
        <f t="shared" ca="1" si="170"/>
        <v>85</v>
      </c>
      <c r="Z553" s="56">
        <f t="shared" ca="1" si="171"/>
        <v>85</v>
      </c>
      <c r="AA553" s="56">
        <f t="shared" ca="1" si="172"/>
        <v>85</v>
      </c>
      <c r="AB553" s="56">
        <f ca="1">_xlfn.CEILING.MATH(INDIRECT(ADDRESS(537,22+MATCH($P$29,'I.A. + Fasce'!$W$84:$AA$84,0),1,1) &amp; ":" &amp; ADDRESS(637,22+MATCH($P$29,'I.A. + Fasce'!$W$84:$AA$84,0),1,1))/Asta!$H$3)</f>
        <v>11</v>
      </c>
    </row>
    <row r="554" spans="1:28" ht="14.25" customHeight="1">
      <c r="A554" s="239" t="str">
        <f ca="1">IF(Giocatori!P26="","T",Giocatori!P26)</f>
        <v>T</v>
      </c>
      <c r="B554" s="239" t="str">
        <f ca="1">IF(Giocatori!Q26="","ZZZ" &amp; ROW(),Giocatori!Q26)</f>
        <v>ZZZ554</v>
      </c>
      <c r="C554" s="239" t="str">
        <f ca="1">IF(Giocatori!R26="","NDR" &amp; ROW(),Giocatori!R26)</f>
        <v>NDR554</v>
      </c>
      <c r="D554" s="63">
        <f t="shared" ca="1" si="156"/>
        <v>5.5399999999999998E-3</v>
      </c>
      <c r="E554" s="63">
        <f t="shared" ca="1" si="157"/>
        <v>5.5399999999999998E-3</v>
      </c>
      <c r="F554" s="64">
        <f t="shared" ca="1" si="158"/>
        <v>1.1080255763333331E-2</v>
      </c>
      <c r="G554" s="63" t="str">
        <f t="shared" ca="1" si="159"/>
        <v/>
      </c>
      <c r="H554" s="65" t="str">
        <f t="shared" ca="1" si="160"/>
        <v/>
      </c>
      <c r="I554" s="63" t="str">
        <f t="shared" ca="1" si="165"/>
        <v/>
      </c>
      <c r="J554" s="63">
        <f t="shared" ca="1" si="161"/>
        <v>5.5399999999999998E-3</v>
      </c>
      <c r="K554" s="63">
        <f t="shared" ca="1" si="162"/>
        <v>5.5399999999999998E-3</v>
      </c>
      <c r="L554" s="63"/>
      <c r="N554" s="59">
        <f t="shared" si="173"/>
        <v>19</v>
      </c>
      <c r="O554" s="62" t="str">
        <f ca="1">IF(ISNUMBER(N554),INDIRECT("B" &amp; 536 + MATCH(N554,INDIRECT(ADDRESS(537,21+MATCH($P$29,'I.A. + Fasce'!$W$84:$AA$84,0),1,1) &amp; ":" &amp; ADDRESS(637,21+MATCH($P$29,'I.A. + Fasce'!$W$84:$AA$84,0),1,1)),0)),"")</f>
        <v>ZZZ619</v>
      </c>
      <c r="P554" s="62" t="str">
        <f t="shared" ca="1" si="175"/>
        <v>NDR619</v>
      </c>
      <c r="Q554" s="59">
        <f t="shared" si="174"/>
        <v>27</v>
      </c>
      <c r="R554" s="62" t="str">
        <f ca="1">IF(ISNUMBER(Q554),INDIRECT("B" &amp; 536 + MATCH(Q554,INDIRECT(ADDRESS(537,21+MATCH($P$29,'I.A. + Fasce'!$W$84:$AA$84,0),1,1) &amp; ":" &amp; ADDRESS(637,21+MATCH($P$29,'I.A. + Fasce'!$W$84:$AA$84,0),1,1)),0)),"")</f>
        <v>ZZZ611</v>
      </c>
      <c r="S554" s="62" t="str">
        <f t="shared" ca="1" si="176"/>
        <v>NDR611</v>
      </c>
      <c r="W554" s="56">
        <f t="shared" ca="1" si="168"/>
        <v>84</v>
      </c>
      <c r="X554" s="56">
        <f t="shared" ca="1" si="169"/>
        <v>84</v>
      </c>
      <c r="Y554" s="56">
        <f t="shared" ca="1" si="170"/>
        <v>84</v>
      </c>
      <c r="Z554" s="56">
        <f t="shared" ca="1" si="171"/>
        <v>84</v>
      </c>
      <c r="AA554" s="56">
        <f t="shared" ca="1" si="172"/>
        <v>84</v>
      </c>
      <c r="AB554" s="56">
        <f ca="1">_xlfn.CEILING.MATH(INDIRECT(ADDRESS(537,22+MATCH($P$29,'I.A. + Fasce'!$W$84:$AA$84,0),1,1) &amp; ":" &amp; ADDRESS(637,22+MATCH($P$29,'I.A. + Fasce'!$W$84:$AA$84,0),1,1))/Asta!$H$3)</f>
        <v>11</v>
      </c>
    </row>
    <row r="555" spans="1:28" ht="14.25" customHeight="1">
      <c r="A555" s="239" t="str">
        <f ca="1">IF(Giocatori!P27="","T",Giocatori!P27)</f>
        <v>T</v>
      </c>
      <c r="B555" s="239" t="str">
        <f ca="1">IF(Giocatori!Q27="","ZZZ" &amp; ROW(),Giocatori!Q27)</f>
        <v>ZZZ555</v>
      </c>
      <c r="C555" s="239" t="str">
        <f ca="1">IF(Giocatori!R27="","NDR" &amp; ROW(),Giocatori!R27)</f>
        <v>NDR555</v>
      </c>
      <c r="D555" s="63">
        <f t="shared" ca="1" si="156"/>
        <v>5.5500000000000002E-3</v>
      </c>
      <c r="E555" s="63">
        <f t="shared" ca="1" si="157"/>
        <v>5.5500000000000002E-3</v>
      </c>
      <c r="F555" s="64">
        <f t="shared" ca="1" si="158"/>
        <v>1.1100256687500001E-2</v>
      </c>
      <c r="G555" s="63" t="str">
        <f t="shared" ca="1" si="159"/>
        <v/>
      </c>
      <c r="H555" s="65" t="str">
        <f t="shared" ca="1" si="160"/>
        <v/>
      </c>
      <c r="I555" s="63" t="str">
        <f t="shared" ca="1" si="165"/>
        <v/>
      </c>
      <c r="J555" s="63">
        <f t="shared" ca="1" si="161"/>
        <v>5.5500000000000002E-3</v>
      </c>
      <c r="K555" s="63">
        <f t="shared" ca="1" si="162"/>
        <v>5.5500000000000002E-3</v>
      </c>
      <c r="L555" s="63"/>
      <c r="N555" s="59">
        <f t="shared" si="173"/>
        <v>20</v>
      </c>
      <c r="O555" s="62" t="str">
        <f ca="1">IF(ISNUMBER(N555),INDIRECT("B" &amp; 536 + MATCH(N555,INDIRECT(ADDRESS(537,21+MATCH($P$29,'I.A. + Fasce'!$W$84:$AA$84,0),1,1) &amp; ":" &amp; ADDRESS(637,21+MATCH($P$29,'I.A. + Fasce'!$W$84:$AA$84,0),1,1)),0)),"")</f>
        <v>ZZZ618</v>
      </c>
      <c r="P555" s="62" t="str">
        <f t="shared" ca="1" si="175"/>
        <v>NDR618</v>
      </c>
      <c r="Q555" s="59">
        <f t="shared" si="174"/>
        <v>28</v>
      </c>
      <c r="R555" s="62" t="str">
        <f ca="1">IF(ISNUMBER(Q555),INDIRECT("B" &amp; 536 + MATCH(Q555,INDIRECT(ADDRESS(537,21+MATCH($P$29,'I.A. + Fasce'!$W$84:$AA$84,0),1,1) &amp; ":" &amp; ADDRESS(637,21+MATCH($P$29,'I.A. + Fasce'!$W$84:$AA$84,0),1,1)),0)),"")</f>
        <v>ZZZ610</v>
      </c>
      <c r="S555" s="62" t="str">
        <f t="shared" ca="1" si="176"/>
        <v>NDR610</v>
      </c>
      <c r="W555" s="56">
        <f t="shared" ca="1" si="168"/>
        <v>83</v>
      </c>
      <c r="X555" s="56">
        <f t="shared" ca="1" si="169"/>
        <v>83</v>
      </c>
      <c r="Y555" s="56">
        <f t="shared" ca="1" si="170"/>
        <v>83</v>
      </c>
      <c r="Z555" s="56">
        <f t="shared" ca="1" si="171"/>
        <v>83</v>
      </c>
      <c r="AA555" s="56">
        <f t="shared" ca="1" si="172"/>
        <v>83</v>
      </c>
      <c r="AB555" s="56">
        <f ca="1">_xlfn.CEILING.MATH(INDIRECT(ADDRESS(537,22+MATCH($P$29,'I.A. + Fasce'!$W$84:$AA$84,0),1,1) &amp; ":" &amp; ADDRESS(637,22+MATCH($P$29,'I.A. + Fasce'!$W$84:$AA$84,0),1,1))/Asta!$H$3)</f>
        <v>11</v>
      </c>
    </row>
    <row r="556" spans="1:28" ht="14.25" customHeight="1">
      <c r="A556" s="239" t="str">
        <f ca="1">IF(Giocatori!P28="","T",Giocatori!P28)</f>
        <v>T</v>
      </c>
      <c r="B556" s="239" t="str">
        <f ca="1">IF(Giocatori!Q28="","ZZZ" &amp; ROW(),Giocatori!Q28)</f>
        <v>ZZZ556</v>
      </c>
      <c r="C556" s="239" t="str">
        <f ca="1">IF(Giocatori!R28="","NDR" &amp; ROW(),Giocatori!R28)</f>
        <v>NDR556</v>
      </c>
      <c r="D556" s="63">
        <f t="shared" ca="1" si="156"/>
        <v>5.5599999999999998E-3</v>
      </c>
      <c r="E556" s="63">
        <f t="shared" ca="1" si="157"/>
        <v>5.5599999999999998E-3</v>
      </c>
      <c r="F556" s="64">
        <f t="shared" ca="1" si="158"/>
        <v>1.1120257613333333E-2</v>
      </c>
      <c r="G556" s="63" t="str">
        <f t="shared" ca="1" si="159"/>
        <v/>
      </c>
      <c r="H556" s="65" t="str">
        <f t="shared" ca="1" si="160"/>
        <v/>
      </c>
      <c r="I556" s="63" t="str">
        <f t="shared" ca="1" si="165"/>
        <v/>
      </c>
      <c r="J556" s="63">
        <f t="shared" ca="1" si="161"/>
        <v>5.5599999999999998E-3</v>
      </c>
      <c r="K556" s="63">
        <f t="shared" ca="1" si="162"/>
        <v>5.5599999999999998E-3</v>
      </c>
      <c r="L556" s="63"/>
      <c r="N556" s="59">
        <f t="shared" si="173"/>
        <v>21</v>
      </c>
      <c r="O556" s="62" t="str">
        <f ca="1">IF(ISNUMBER(N556),INDIRECT("B" &amp; 536 + MATCH(N556,INDIRECT(ADDRESS(537,21+MATCH($P$29,'I.A. + Fasce'!$W$84:$AA$84,0),1,1) &amp; ":" &amp; ADDRESS(637,21+MATCH($P$29,'I.A. + Fasce'!$W$84:$AA$84,0),1,1)),0)),"")</f>
        <v>ZZZ617</v>
      </c>
      <c r="P556" s="62" t="str">
        <f t="shared" ca="1" si="175"/>
        <v>NDR617</v>
      </c>
      <c r="Q556" s="59">
        <f t="shared" si="174"/>
        <v>29</v>
      </c>
      <c r="R556" s="62" t="str">
        <f ca="1">IF(ISNUMBER(Q556),INDIRECT("B" &amp; 536 + MATCH(Q556,INDIRECT(ADDRESS(537,21+MATCH($P$29,'I.A. + Fasce'!$W$84:$AA$84,0),1,1) &amp; ":" &amp; ADDRESS(637,21+MATCH($P$29,'I.A. + Fasce'!$W$84:$AA$84,0),1,1)),0)),"")</f>
        <v>ZZZ609</v>
      </c>
      <c r="S556" s="62" t="str">
        <f t="shared" ca="1" si="176"/>
        <v>NDR609</v>
      </c>
      <c r="W556" s="56">
        <f t="shared" ca="1" si="168"/>
        <v>82</v>
      </c>
      <c r="X556" s="56">
        <f t="shared" ca="1" si="169"/>
        <v>82</v>
      </c>
      <c r="Y556" s="56">
        <f t="shared" ca="1" si="170"/>
        <v>82</v>
      </c>
      <c r="Z556" s="56">
        <f t="shared" ca="1" si="171"/>
        <v>82</v>
      </c>
      <c r="AA556" s="56">
        <f t="shared" ca="1" si="172"/>
        <v>82</v>
      </c>
      <c r="AB556" s="56">
        <f ca="1">_xlfn.CEILING.MATH(INDIRECT(ADDRESS(537,22+MATCH($P$29,'I.A. + Fasce'!$W$84:$AA$84,0),1,1) &amp; ":" &amp; ADDRESS(637,22+MATCH($P$29,'I.A. + Fasce'!$W$84:$AA$84,0),1,1))/Asta!$H$3)</f>
        <v>11</v>
      </c>
    </row>
    <row r="557" spans="1:28" ht="14.25" customHeight="1">
      <c r="A557" s="239" t="str">
        <f ca="1">IF(Giocatori!P29="","T",Giocatori!P29)</f>
        <v>T</v>
      </c>
      <c r="B557" s="239" t="str">
        <f ca="1">IF(Giocatori!Q29="","ZZZ" &amp; ROW(),Giocatori!Q29)</f>
        <v>ZZZ557</v>
      </c>
      <c r="C557" s="239" t="str">
        <f ca="1">IF(Giocatori!R29="","NDR" &amp; ROW(),Giocatori!R29)</f>
        <v>NDR557</v>
      </c>
      <c r="D557" s="63">
        <f t="shared" ca="1" si="156"/>
        <v>5.5700000000000003E-3</v>
      </c>
      <c r="E557" s="63">
        <f t="shared" ca="1" si="157"/>
        <v>5.5700000000000003E-3</v>
      </c>
      <c r="F557" s="64">
        <f t="shared" ca="1" si="158"/>
        <v>1.1140258540833335E-2</v>
      </c>
      <c r="G557" s="63" t="str">
        <f t="shared" ca="1" si="159"/>
        <v/>
      </c>
      <c r="H557" s="65" t="str">
        <f t="shared" ca="1" si="160"/>
        <v/>
      </c>
      <c r="I557" s="63" t="str">
        <f t="shared" ca="1" si="165"/>
        <v/>
      </c>
      <c r="J557" s="63">
        <f t="shared" ca="1" si="161"/>
        <v>5.5700000000000003E-3</v>
      </c>
      <c r="K557" s="63">
        <f t="shared" ca="1" si="162"/>
        <v>5.5700000000000003E-3</v>
      </c>
      <c r="L557" s="63"/>
      <c r="N557" s="59">
        <f t="shared" si="173"/>
        <v>22</v>
      </c>
      <c r="O557" s="62" t="str">
        <f ca="1">IF(ISNUMBER(N557),INDIRECT("B" &amp; 536 + MATCH(N557,INDIRECT(ADDRESS(537,21+MATCH($P$29,'I.A. + Fasce'!$W$84:$AA$84,0),1,1) &amp; ":" &amp; ADDRESS(637,21+MATCH($P$29,'I.A. + Fasce'!$W$84:$AA$84,0),1,1)),0)),"")</f>
        <v>ZZZ616</v>
      </c>
      <c r="P557" s="62" t="str">
        <f t="shared" ca="1" si="175"/>
        <v>NDR616</v>
      </c>
      <c r="Q557" s="59">
        <f t="shared" si="174"/>
        <v>30</v>
      </c>
      <c r="R557" s="62" t="str">
        <f ca="1">IF(ISNUMBER(Q557),INDIRECT("B" &amp; 536 + MATCH(Q557,INDIRECT(ADDRESS(537,21+MATCH($P$29,'I.A. + Fasce'!$W$84:$AA$84,0),1,1) &amp; ":" &amp; ADDRESS(637,21+MATCH($P$29,'I.A. + Fasce'!$W$84:$AA$84,0),1,1)),0)),"")</f>
        <v>ZZZ608</v>
      </c>
      <c r="S557" s="62" t="str">
        <f t="shared" ca="1" si="176"/>
        <v>NDR608</v>
      </c>
      <c r="W557" s="56">
        <f t="shared" ca="1" si="168"/>
        <v>81</v>
      </c>
      <c r="X557" s="56">
        <f t="shared" ca="1" si="169"/>
        <v>81</v>
      </c>
      <c r="Y557" s="56">
        <f t="shared" ca="1" si="170"/>
        <v>81</v>
      </c>
      <c r="Z557" s="56">
        <f t="shared" ca="1" si="171"/>
        <v>81</v>
      </c>
      <c r="AA557" s="56">
        <f t="shared" ca="1" si="172"/>
        <v>81</v>
      </c>
      <c r="AB557" s="56">
        <f ca="1">_xlfn.CEILING.MATH(INDIRECT(ADDRESS(537,22+MATCH($P$29,'I.A. + Fasce'!$W$84:$AA$84,0),1,1) &amp; ":" &amp; ADDRESS(637,22+MATCH($P$29,'I.A. + Fasce'!$W$84:$AA$84,0),1,1))/Asta!$H$3)</f>
        <v>11</v>
      </c>
    </row>
    <row r="558" spans="1:28" ht="14.25" customHeight="1">
      <c r="A558" s="239" t="str">
        <f ca="1">IF(Giocatori!P30="","T",Giocatori!P30)</f>
        <v>T</v>
      </c>
      <c r="B558" s="239" t="str">
        <f ca="1">IF(Giocatori!Q30="","ZZZ" &amp; ROW(),Giocatori!Q30)</f>
        <v>ZZZ558</v>
      </c>
      <c r="C558" s="239" t="str">
        <f ca="1">IF(Giocatori!R30="","NDR" &amp; ROW(),Giocatori!R30)</f>
        <v>NDR558</v>
      </c>
      <c r="D558" s="63">
        <f t="shared" ca="1" si="156"/>
        <v>5.5799999999999999E-3</v>
      </c>
      <c r="E558" s="63">
        <f t="shared" ca="1" si="157"/>
        <v>5.5799999999999999E-3</v>
      </c>
      <c r="F558" s="64">
        <f t="shared" ca="1" si="158"/>
        <v>1.1160259469999999E-2</v>
      </c>
      <c r="G558" s="63" t="str">
        <f t="shared" ca="1" si="159"/>
        <v/>
      </c>
      <c r="H558" s="65" t="str">
        <f t="shared" ca="1" si="160"/>
        <v/>
      </c>
      <c r="I558" s="63" t="str">
        <f t="shared" ca="1" si="165"/>
        <v/>
      </c>
      <c r="J558" s="63">
        <f t="shared" ca="1" si="161"/>
        <v>5.5799999999999999E-3</v>
      </c>
      <c r="K558" s="63">
        <f t="shared" ca="1" si="162"/>
        <v>5.5799999999999999E-3</v>
      </c>
      <c r="L558" s="63"/>
      <c r="N558" s="59">
        <f t="shared" si="173"/>
        <v>23</v>
      </c>
      <c r="O558" s="62" t="str">
        <f ca="1">IF(ISNUMBER(N558),INDIRECT("B" &amp; 536 + MATCH(N558,INDIRECT(ADDRESS(537,21+MATCH($P$29,'I.A. + Fasce'!$W$84:$AA$84,0),1,1) &amp; ":" &amp; ADDRESS(637,21+MATCH($P$29,'I.A. + Fasce'!$W$84:$AA$84,0),1,1)),0)),"")</f>
        <v>ZZZ615</v>
      </c>
      <c r="P558" s="62" t="str">
        <f t="shared" ca="1" si="175"/>
        <v>NDR615</v>
      </c>
      <c r="Q558" s="59">
        <f t="shared" si="174"/>
        <v>31</v>
      </c>
      <c r="R558" s="62" t="str">
        <f ca="1">IF(ISNUMBER(Q558),INDIRECT("B" &amp; 536 + MATCH(Q558,INDIRECT(ADDRESS(537,21+MATCH($P$29,'I.A. + Fasce'!$W$84:$AA$84,0),1,1) &amp; ":" &amp; ADDRESS(637,21+MATCH($P$29,'I.A. + Fasce'!$W$84:$AA$84,0),1,1)),0)),"")</f>
        <v>ZZZ607</v>
      </c>
      <c r="S558" s="62" t="str">
        <f t="shared" ca="1" si="176"/>
        <v>NDR607</v>
      </c>
      <c r="W558" s="56">
        <f t="shared" ca="1" si="168"/>
        <v>80</v>
      </c>
      <c r="X558" s="56">
        <f t="shared" ca="1" si="169"/>
        <v>80</v>
      </c>
      <c r="Y558" s="56">
        <f t="shared" ca="1" si="170"/>
        <v>80</v>
      </c>
      <c r="Z558" s="56">
        <f t="shared" ca="1" si="171"/>
        <v>80</v>
      </c>
      <c r="AA558" s="56">
        <f t="shared" ca="1" si="172"/>
        <v>80</v>
      </c>
      <c r="AB558" s="56">
        <f ca="1">_xlfn.CEILING.MATH(INDIRECT(ADDRESS(537,22+MATCH($P$29,'I.A. + Fasce'!$W$84:$AA$84,0),1,1) &amp; ":" &amp; ADDRESS(637,22+MATCH($P$29,'I.A. + Fasce'!$W$84:$AA$84,0),1,1))/Asta!$H$3)</f>
        <v>10</v>
      </c>
    </row>
    <row r="559" spans="1:28" ht="14.25" customHeight="1">
      <c r="A559" s="239" t="str">
        <f ca="1">IF(Giocatori!P31="","T",Giocatori!P31)</f>
        <v>T</v>
      </c>
      <c r="B559" s="239" t="str">
        <f ca="1">IF(Giocatori!Q31="","ZZZ" &amp; ROW(),Giocatori!Q31)</f>
        <v>ZZZ559</v>
      </c>
      <c r="C559" s="239" t="str">
        <f ca="1">IF(Giocatori!R31="","NDR" &amp; ROW(),Giocatori!R31)</f>
        <v>NDR559</v>
      </c>
      <c r="D559" s="63">
        <f t="shared" ca="1" si="156"/>
        <v>5.5900000000000004E-3</v>
      </c>
      <c r="E559" s="63">
        <f t="shared" ca="1" si="157"/>
        <v>5.5900000000000004E-3</v>
      </c>
      <c r="F559" s="64">
        <f t="shared" ca="1" si="158"/>
        <v>1.1180260400833333E-2</v>
      </c>
      <c r="G559" s="63" t="str">
        <f t="shared" ca="1" si="159"/>
        <v/>
      </c>
      <c r="H559" s="65" t="str">
        <f t="shared" ca="1" si="160"/>
        <v/>
      </c>
      <c r="I559" s="63" t="str">
        <f t="shared" ca="1" si="165"/>
        <v/>
      </c>
      <c r="J559" s="63">
        <f t="shared" ca="1" si="161"/>
        <v>5.5900000000000004E-3</v>
      </c>
      <c r="K559" s="63">
        <f t="shared" ca="1" si="162"/>
        <v>5.5900000000000004E-3</v>
      </c>
      <c r="L559" s="63"/>
      <c r="N559" s="59">
        <f t="shared" si="173"/>
        <v>24</v>
      </c>
      <c r="O559" s="62" t="str">
        <f ca="1">IF(ISNUMBER(N559),INDIRECT("B" &amp; 536 + MATCH(N559,INDIRECT(ADDRESS(537,21+MATCH($P$29,'I.A. + Fasce'!$W$84:$AA$84,0),1,1) &amp; ":" &amp; ADDRESS(637,21+MATCH($P$29,'I.A. + Fasce'!$W$84:$AA$84,0),1,1)),0)),"")</f>
        <v>ZZZ614</v>
      </c>
      <c r="P559" s="62" t="str">
        <f t="shared" ca="1" si="175"/>
        <v>NDR614</v>
      </c>
      <c r="Q559" s="59">
        <f t="shared" si="174"/>
        <v>32</v>
      </c>
      <c r="R559" s="62" t="str">
        <f ca="1">IF(ISNUMBER(Q559),INDIRECT("B" &amp; 536 + MATCH(Q559,INDIRECT(ADDRESS(537,21+MATCH($P$29,'I.A. + Fasce'!$W$84:$AA$84,0),1,1) &amp; ":" &amp; ADDRESS(637,21+MATCH($P$29,'I.A. + Fasce'!$W$84:$AA$84,0),1,1)),0)),"")</f>
        <v>ZZZ606</v>
      </c>
      <c r="S559" s="62" t="str">
        <f t="shared" ca="1" si="176"/>
        <v>NDR606</v>
      </c>
      <c r="W559" s="56">
        <f t="shared" ca="1" si="168"/>
        <v>79</v>
      </c>
      <c r="X559" s="56">
        <f t="shared" ca="1" si="169"/>
        <v>79</v>
      </c>
      <c r="Y559" s="56">
        <f t="shared" ca="1" si="170"/>
        <v>79</v>
      </c>
      <c r="Z559" s="56">
        <f t="shared" ca="1" si="171"/>
        <v>79</v>
      </c>
      <c r="AA559" s="56">
        <f t="shared" ca="1" si="172"/>
        <v>79</v>
      </c>
      <c r="AB559" s="56">
        <f ca="1">_xlfn.CEILING.MATH(INDIRECT(ADDRESS(537,22+MATCH($P$29,'I.A. + Fasce'!$W$84:$AA$84,0),1,1) &amp; ":" &amp; ADDRESS(637,22+MATCH($P$29,'I.A. + Fasce'!$W$84:$AA$84,0),1,1))/Asta!$H$3)</f>
        <v>10</v>
      </c>
    </row>
    <row r="560" spans="1:28" ht="14.25" customHeight="1">
      <c r="A560" s="239" t="str">
        <f ca="1">IF(Giocatori!P32="","T",Giocatori!P32)</f>
        <v>T</v>
      </c>
      <c r="B560" s="239" t="str">
        <f ca="1">IF(Giocatori!Q32="","ZZZ" &amp; ROW(),Giocatori!Q32)</f>
        <v>ZZZ560</v>
      </c>
      <c r="C560" s="239" t="str">
        <f ca="1">IF(Giocatori!R32="","NDR" &amp; ROW(),Giocatori!R32)</f>
        <v>NDR560</v>
      </c>
      <c r="D560" s="63">
        <f t="shared" ca="1" si="156"/>
        <v>5.5999999999999999E-3</v>
      </c>
      <c r="E560" s="63">
        <f t="shared" ca="1" si="157"/>
        <v>5.5999999999999999E-3</v>
      </c>
      <c r="F560" s="64">
        <f t="shared" ca="1" si="158"/>
        <v>1.1200261333333333E-2</v>
      </c>
      <c r="G560" s="63" t="str">
        <f t="shared" ca="1" si="159"/>
        <v/>
      </c>
      <c r="H560" s="65" t="str">
        <f t="shared" ca="1" si="160"/>
        <v/>
      </c>
      <c r="I560" s="63" t="str">
        <f t="shared" ca="1" si="165"/>
        <v/>
      </c>
      <c r="J560" s="63">
        <f t="shared" ca="1" si="161"/>
        <v>5.5999999999999999E-3</v>
      </c>
      <c r="K560" s="63">
        <f t="shared" ca="1" si="162"/>
        <v>5.5999999999999999E-3</v>
      </c>
      <c r="L560" s="63"/>
      <c r="N560" s="59" t="str">
        <f t="shared" si="173"/>
        <v/>
      </c>
      <c r="O560" s="62" t="str">
        <f ca="1">IF(ISNUMBER(N560),INDIRECT("B" &amp; 536 + MATCH(N560,INDIRECT(ADDRESS(537,21+MATCH($P$29,'I.A. + Fasce'!$W$84:$AA$84,0),1,1) &amp; ":" &amp; ADDRESS(637,21+MATCH($P$29,'I.A. + Fasce'!$W$84:$AA$84,0),1,1)),0)),"")</f>
        <v/>
      </c>
      <c r="P560" s="62" t="str">
        <f t="shared" ca="1" si="175"/>
        <v/>
      </c>
      <c r="Q560" s="59" t="str">
        <f t="shared" si="174"/>
        <v/>
      </c>
      <c r="R560" s="62" t="str">
        <f ca="1">IF(ISNUMBER(Q560),INDIRECT("B" &amp; 536 + MATCH(Q560,INDIRECT(ADDRESS(537,21+MATCH($P$29,'I.A. + Fasce'!$W$84:$AA$84,0),1,1) &amp; ":" &amp; ADDRESS(637,21+MATCH($P$29,'I.A. + Fasce'!$W$84:$AA$84,0),1,1)),0)),"")</f>
        <v/>
      </c>
      <c r="S560" s="62" t="str">
        <f t="shared" ca="1" si="176"/>
        <v/>
      </c>
      <c r="W560" s="56">
        <f t="shared" ca="1" si="168"/>
        <v>78</v>
      </c>
      <c r="X560" s="56">
        <f t="shared" ca="1" si="169"/>
        <v>78</v>
      </c>
      <c r="Y560" s="56">
        <f t="shared" ca="1" si="170"/>
        <v>78</v>
      </c>
      <c r="Z560" s="56">
        <f t="shared" ca="1" si="171"/>
        <v>78</v>
      </c>
      <c r="AA560" s="56">
        <f t="shared" ca="1" si="172"/>
        <v>78</v>
      </c>
      <c r="AB560" s="56">
        <f ca="1">_xlfn.CEILING.MATH(INDIRECT(ADDRESS(537,22+MATCH($P$29,'I.A. + Fasce'!$W$84:$AA$84,0),1,1) &amp; ":" &amp; ADDRESS(637,22+MATCH($P$29,'I.A. + Fasce'!$W$84:$AA$84,0),1,1))/Asta!$H$3)</f>
        <v>10</v>
      </c>
    </row>
    <row r="561" spans="1:28" ht="14.25" customHeight="1">
      <c r="A561" s="239" t="str">
        <f ca="1">IF(Giocatori!P33="","T",Giocatori!P33)</f>
        <v>T</v>
      </c>
      <c r="B561" s="239" t="str">
        <f ca="1">IF(Giocatori!Q33="","ZZZ" &amp; ROW(),Giocatori!Q33)</f>
        <v>ZZZ561</v>
      </c>
      <c r="C561" s="239" t="str">
        <f ca="1">IF(Giocatori!R33="","NDR" &amp; ROW(),Giocatori!R33)</f>
        <v>NDR561</v>
      </c>
      <c r="D561" s="63">
        <f t="shared" ca="1" si="156"/>
        <v>5.6100000000000004E-3</v>
      </c>
      <c r="E561" s="63">
        <f t="shared" ca="1" si="157"/>
        <v>5.6100000000000004E-3</v>
      </c>
      <c r="F561" s="64">
        <f t="shared" ca="1" si="158"/>
        <v>1.12202622675E-2</v>
      </c>
      <c r="G561" s="63" t="str">
        <f t="shared" ca="1" si="159"/>
        <v/>
      </c>
      <c r="H561" s="65" t="str">
        <f t="shared" ca="1" si="160"/>
        <v/>
      </c>
      <c r="I561" s="63" t="str">
        <f t="shared" ca="1" si="165"/>
        <v/>
      </c>
      <c r="J561" s="63">
        <f t="shared" ca="1" si="161"/>
        <v>5.6100000000000004E-3</v>
      </c>
      <c r="K561" s="63">
        <f t="shared" ca="1" si="162"/>
        <v>5.6100000000000004E-3</v>
      </c>
      <c r="L561" s="63"/>
      <c r="N561" s="59" t="str">
        <f t="shared" si="173"/>
        <v/>
      </c>
      <c r="O561" s="62" t="str">
        <f ca="1">IF(ISNUMBER(N561),INDIRECT("B" &amp; 536 + MATCH(N561,INDIRECT(ADDRESS(537,21+MATCH($P$29,'I.A. + Fasce'!$W$84:$AA$84,0),1,1) &amp; ":" &amp; ADDRESS(637,21+MATCH($P$29,'I.A. + Fasce'!$W$84:$AA$84,0),1,1)),0)),"")</f>
        <v/>
      </c>
      <c r="P561" s="62" t="str">
        <f t="shared" ca="1" si="175"/>
        <v/>
      </c>
      <c r="Q561" s="59" t="str">
        <f t="shared" si="174"/>
        <v/>
      </c>
      <c r="R561" s="62" t="str">
        <f ca="1">IF(ISNUMBER(Q561),INDIRECT("B" &amp; 536 + MATCH(Q561,INDIRECT(ADDRESS(537,21+MATCH($P$29,'I.A. + Fasce'!$W$84:$AA$84,0),1,1) &amp; ":" &amp; ADDRESS(637,21+MATCH($P$29,'I.A. + Fasce'!$W$84:$AA$84,0),1,1)),0)),"")</f>
        <v/>
      </c>
      <c r="S561" s="62" t="str">
        <f t="shared" ca="1" si="176"/>
        <v/>
      </c>
      <c r="W561" s="56">
        <f t="shared" ca="1" si="168"/>
        <v>77</v>
      </c>
      <c r="X561" s="56">
        <f t="shared" ca="1" si="169"/>
        <v>77</v>
      </c>
      <c r="Y561" s="56">
        <f t="shared" ca="1" si="170"/>
        <v>77</v>
      </c>
      <c r="Z561" s="56">
        <f t="shared" ca="1" si="171"/>
        <v>77</v>
      </c>
      <c r="AA561" s="56">
        <f t="shared" ca="1" si="172"/>
        <v>77</v>
      </c>
      <c r="AB561" s="56">
        <f ca="1">_xlfn.CEILING.MATH(INDIRECT(ADDRESS(537,22+MATCH($P$29,'I.A. + Fasce'!$W$84:$AA$84,0),1,1) &amp; ":" &amp; ADDRESS(637,22+MATCH($P$29,'I.A. + Fasce'!$W$84:$AA$84,0),1,1))/Asta!$H$3)</f>
        <v>10</v>
      </c>
    </row>
    <row r="562" spans="1:28" ht="14.25" customHeight="1">
      <c r="A562" s="239" t="str">
        <f ca="1">IF(Giocatori!P34="","T",Giocatori!P34)</f>
        <v>T</v>
      </c>
      <c r="B562" s="239" t="str">
        <f ca="1">IF(Giocatori!Q34="","ZZZ" &amp; ROW(),Giocatori!Q34)</f>
        <v>ZZZ562</v>
      </c>
      <c r="C562" s="239" t="str">
        <f ca="1">IF(Giocatori!R34="","NDR" &amp; ROW(),Giocatori!R34)</f>
        <v>NDR562</v>
      </c>
      <c r="D562" s="63">
        <f t="shared" ca="1" si="156"/>
        <v>5.62E-3</v>
      </c>
      <c r="E562" s="63">
        <f t="shared" ca="1" si="157"/>
        <v>5.62E-3</v>
      </c>
      <c r="F562" s="64">
        <f t="shared" ca="1" si="158"/>
        <v>1.1240263203333333E-2</v>
      </c>
      <c r="G562" s="63" t="str">
        <f t="shared" ca="1" si="159"/>
        <v/>
      </c>
      <c r="H562" s="65" t="str">
        <f t="shared" ca="1" si="160"/>
        <v/>
      </c>
      <c r="I562" s="63" t="str">
        <f t="shared" ca="1" si="165"/>
        <v/>
      </c>
      <c r="J562" s="63">
        <f t="shared" ca="1" si="161"/>
        <v>5.62E-3</v>
      </c>
      <c r="K562" s="63">
        <f t="shared" ca="1" si="162"/>
        <v>5.62E-3</v>
      </c>
      <c r="L562" s="63"/>
      <c r="N562" s="59" t="str">
        <f t="shared" si="173"/>
        <v/>
      </c>
      <c r="O562" s="62" t="str">
        <f ca="1">IF(ISNUMBER(N562),INDIRECT("B" &amp; 536 + MATCH(N562,INDIRECT(ADDRESS(537,21+MATCH($P$29,'I.A. + Fasce'!$W$84:$AA$84,0),1,1) &amp; ":" &amp; ADDRESS(637,21+MATCH($P$29,'I.A. + Fasce'!$W$84:$AA$84,0),1,1)),0)),"")</f>
        <v/>
      </c>
      <c r="P562" s="62" t="str">
        <f t="shared" ca="1" si="175"/>
        <v/>
      </c>
      <c r="Q562" s="59" t="str">
        <f t="shared" si="174"/>
        <v/>
      </c>
      <c r="R562" s="62" t="str">
        <f ca="1">IF(ISNUMBER(Q562),INDIRECT("B" &amp; 536 + MATCH(Q562,INDIRECT(ADDRESS(537,21+MATCH($P$29,'I.A. + Fasce'!$W$84:$AA$84,0),1,1) &amp; ":" &amp; ADDRESS(637,21+MATCH($P$29,'I.A. + Fasce'!$W$84:$AA$84,0),1,1)),0)),"")</f>
        <v/>
      </c>
      <c r="S562" s="62" t="str">
        <f t="shared" ca="1" si="176"/>
        <v/>
      </c>
      <c r="W562" s="56">
        <f t="shared" ca="1" si="168"/>
        <v>76</v>
      </c>
      <c r="X562" s="56">
        <f t="shared" ca="1" si="169"/>
        <v>76</v>
      </c>
      <c r="Y562" s="56">
        <f t="shared" ca="1" si="170"/>
        <v>76</v>
      </c>
      <c r="Z562" s="56">
        <f t="shared" ca="1" si="171"/>
        <v>76</v>
      </c>
      <c r="AA562" s="56">
        <f t="shared" ca="1" si="172"/>
        <v>76</v>
      </c>
      <c r="AB562" s="56">
        <f ca="1">_xlfn.CEILING.MATH(INDIRECT(ADDRESS(537,22+MATCH($P$29,'I.A. + Fasce'!$W$84:$AA$84,0),1,1) &amp; ":" &amp; ADDRESS(637,22+MATCH($P$29,'I.A. + Fasce'!$W$84:$AA$84,0),1,1))/Asta!$H$3)</f>
        <v>10</v>
      </c>
    </row>
    <row r="563" spans="1:28" ht="14.25" customHeight="1">
      <c r="A563" s="239" t="str">
        <f ca="1">IF(Giocatori!P35="","T",Giocatori!P35)</f>
        <v>T</v>
      </c>
      <c r="B563" s="239" t="str">
        <f ca="1">IF(Giocatori!Q35="","ZZZ" &amp; ROW(),Giocatori!Q35)</f>
        <v>ZZZ563</v>
      </c>
      <c r="C563" s="239" t="str">
        <f ca="1">IF(Giocatori!R35="","NDR" &amp; ROW(),Giocatori!R35)</f>
        <v>NDR563</v>
      </c>
      <c r="D563" s="63">
        <f t="shared" ca="1" si="156"/>
        <v>5.6299999999999996E-3</v>
      </c>
      <c r="E563" s="63">
        <f t="shared" ca="1" si="157"/>
        <v>5.6299999999999996E-3</v>
      </c>
      <c r="F563" s="64">
        <f t="shared" ca="1" si="158"/>
        <v>1.1260264140833334E-2</v>
      </c>
      <c r="G563" s="63" t="str">
        <f t="shared" ca="1" si="159"/>
        <v/>
      </c>
      <c r="H563" s="65" t="str">
        <f t="shared" ca="1" si="160"/>
        <v/>
      </c>
      <c r="I563" s="63" t="str">
        <f t="shared" ca="1" si="165"/>
        <v/>
      </c>
      <c r="J563" s="63">
        <f t="shared" ca="1" si="161"/>
        <v>5.6299999999999996E-3</v>
      </c>
      <c r="K563" s="63">
        <f t="shared" ca="1" si="162"/>
        <v>5.6299999999999996E-3</v>
      </c>
      <c r="L563" s="63"/>
      <c r="N563" s="59" t="str">
        <f t="shared" si="173"/>
        <v/>
      </c>
      <c r="O563" s="62" t="str">
        <f ca="1">IF(ISNUMBER(N563),INDIRECT("B" &amp; 536 + MATCH(N563,INDIRECT(ADDRESS(537,21+MATCH($P$29,'I.A. + Fasce'!$W$84:$AA$84,0),1,1) &amp; ":" &amp; ADDRESS(637,21+MATCH($P$29,'I.A. + Fasce'!$W$84:$AA$84,0),1,1)),0)),"")</f>
        <v/>
      </c>
      <c r="P563" s="62" t="str">
        <f t="shared" ca="1" si="175"/>
        <v/>
      </c>
      <c r="Q563" s="59" t="str">
        <f t="shared" si="174"/>
        <v/>
      </c>
      <c r="R563" s="62" t="str">
        <f ca="1">IF(ISNUMBER(Q563),INDIRECT("B" &amp; 536 + MATCH(Q563,INDIRECT(ADDRESS(537,21+MATCH($P$29,'I.A. + Fasce'!$W$84:$AA$84,0),1,1) &amp; ":" &amp; ADDRESS(637,21+MATCH($P$29,'I.A. + Fasce'!$W$84:$AA$84,0),1,1)),0)),"")</f>
        <v/>
      </c>
      <c r="S563" s="62" t="str">
        <f t="shared" ca="1" si="176"/>
        <v/>
      </c>
      <c r="W563" s="56">
        <f t="shared" ca="1" si="168"/>
        <v>75</v>
      </c>
      <c r="X563" s="56">
        <f t="shared" ca="1" si="169"/>
        <v>75</v>
      </c>
      <c r="Y563" s="56">
        <f t="shared" ca="1" si="170"/>
        <v>75</v>
      </c>
      <c r="Z563" s="56">
        <f t="shared" ca="1" si="171"/>
        <v>75</v>
      </c>
      <c r="AA563" s="56">
        <f t="shared" ca="1" si="172"/>
        <v>75</v>
      </c>
      <c r="AB563" s="56">
        <f ca="1">_xlfn.CEILING.MATH(INDIRECT(ADDRESS(537,22+MATCH($P$29,'I.A. + Fasce'!$W$84:$AA$84,0),1,1) &amp; ":" &amp; ADDRESS(637,22+MATCH($P$29,'I.A. + Fasce'!$W$84:$AA$84,0),1,1))/Asta!$H$3)</f>
        <v>10</v>
      </c>
    </row>
    <row r="564" spans="1:28" ht="14.25" customHeight="1">
      <c r="A564" s="239" t="str">
        <f ca="1">IF(Giocatori!P36="","T",Giocatori!P36)</f>
        <v>T</v>
      </c>
      <c r="B564" s="239" t="str">
        <f ca="1">IF(Giocatori!Q36="","ZZZ" &amp; ROW(),Giocatori!Q36)</f>
        <v>ZZZ564</v>
      </c>
      <c r="C564" s="239" t="str">
        <f ca="1">IF(Giocatori!R36="","NDR" &amp; ROW(),Giocatori!R36)</f>
        <v>NDR564</v>
      </c>
      <c r="D564" s="63">
        <f t="shared" ca="1" si="156"/>
        <v>5.64E-3</v>
      </c>
      <c r="E564" s="63">
        <f t="shared" ca="1" si="157"/>
        <v>5.64E-3</v>
      </c>
      <c r="F564" s="64">
        <f t="shared" ca="1" si="158"/>
        <v>1.1280265080000001E-2</v>
      </c>
      <c r="G564" s="63" t="str">
        <f t="shared" ca="1" si="159"/>
        <v/>
      </c>
      <c r="H564" s="65" t="str">
        <f t="shared" ca="1" si="160"/>
        <v/>
      </c>
      <c r="I564" s="63" t="str">
        <f t="shared" ca="1" si="165"/>
        <v/>
      </c>
      <c r="J564" s="63">
        <f t="shared" ca="1" si="161"/>
        <v>5.64E-3</v>
      </c>
      <c r="K564" s="63">
        <f t="shared" ca="1" si="162"/>
        <v>5.64E-3</v>
      </c>
      <c r="L564" s="63"/>
      <c r="W564" s="56">
        <f t="shared" ca="1" si="168"/>
        <v>74</v>
      </c>
      <c r="X564" s="56">
        <f t="shared" ca="1" si="169"/>
        <v>74</v>
      </c>
      <c r="Y564" s="56">
        <f t="shared" ca="1" si="170"/>
        <v>74</v>
      </c>
      <c r="Z564" s="56">
        <f t="shared" ca="1" si="171"/>
        <v>74</v>
      </c>
      <c r="AA564" s="56">
        <f t="shared" ca="1" si="172"/>
        <v>74</v>
      </c>
      <c r="AB564" s="56">
        <f ca="1">_xlfn.CEILING.MATH(INDIRECT(ADDRESS(537,22+MATCH($P$29,'I.A. + Fasce'!$W$84:$AA$84,0),1,1) &amp; ":" &amp; ADDRESS(637,22+MATCH($P$29,'I.A. + Fasce'!$W$84:$AA$84,0),1,1))/Asta!$H$3)</f>
        <v>10</v>
      </c>
    </row>
    <row r="565" spans="1:28" ht="14.25" customHeight="1">
      <c r="A565" s="239" t="str">
        <f ca="1">IF(Giocatori!P37="","T",Giocatori!P37)</f>
        <v>T</v>
      </c>
      <c r="B565" s="239" t="str">
        <f ca="1">IF(Giocatori!Q37="","ZZZ" &amp; ROW(),Giocatori!Q37)</f>
        <v>ZZZ565</v>
      </c>
      <c r="C565" s="239" t="str">
        <f ca="1">IF(Giocatori!R37="","NDR" &amp; ROW(),Giocatori!R37)</f>
        <v>NDR565</v>
      </c>
      <c r="D565" s="63">
        <f t="shared" ca="1" si="156"/>
        <v>5.6499999999999996E-3</v>
      </c>
      <c r="E565" s="63">
        <f t="shared" ca="1" si="157"/>
        <v>5.6499999999999996E-3</v>
      </c>
      <c r="F565" s="64">
        <f t="shared" ca="1" si="158"/>
        <v>1.1300266020833331E-2</v>
      </c>
      <c r="G565" s="63" t="str">
        <f t="shared" ca="1" si="159"/>
        <v/>
      </c>
      <c r="H565" s="65" t="str">
        <f t="shared" ca="1" si="160"/>
        <v/>
      </c>
      <c r="I565" s="63" t="str">
        <f t="shared" ca="1" si="165"/>
        <v/>
      </c>
      <c r="J565" s="63">
        <f t="shared" ca="1" si="161"/>
        <v>5.6499999999999996E-3</v>
      </c>
      <c r="K565" s="63">
        <f t="shared" ca="1" si="162"/>
        <v>5.6499999999999996E-3</v>
      </c>
      <c r="L565" s="63"/>
      <c r="N565" s="58"/>
      <c r="O565" s="59" t="s">
        <v>689</v>
      </c>
      <c r="P565" s="59" t="s">
        <v>637</v>
      </c>
      <c r="Q565" s="58"/>
      <c r="R565" s="59" t="s">
        <v>690</v>
      </c>
      <c r="S565" s="59" t="s">
        <v>637</v>
      </c>
      <c r="W565" s="56">
        <f t="shared" ca="1" si="168"/>
        <v>73</v>
      </c>
      <c r="X565" s="56">
        <f t="shared" ca="1" si="169"/>
        <v>73</v>
      </c>
      <c r="Y565" s="56">
        <f t="shared" ca="1" si="170"/>
        <v>73</v>
      </c>
      <c r="Z565" s="56">
        <f t="shared" ca="1" si="171"/>
        <v>73</v>
      </c>
      <c r="AA565" s="56">
        <f t="shared" ca="1" si="172"/>
        <v>73</v>
      </c>
      <c r="AB565" s="56">
        <f ca="1">_xlfn.CEILING.MATH(INDIRECT(ADDRESS(537,22+MATCH($P$29,'I.A. + Fasce'!$W$84:$AA$84,0),1,1) &amp; ":" &amp; ADDRESS(637,22+MATCH($P$29,'I.A. + Fasce'!$W$84:$AA$84,0),1,1))/Asta!$H$3)</f>
        <v>10</v>
      </c>
    </row>
    <row r="566" spans="1:28" ht="14.25" customHeight="1">
      <c r="A566" s="239" t="str">
        <f ca="1">IF(Giocatori!P38="","T",Giocatori!P38)</f>
        <v>T</v>
      </c>
      <c r="B566" s="239" t="str">
        <f ca="1">IF(Giocatori!Q38="","ZZZ" &amp; ROW(),Giocatori!Q38)</f>
        <v>ZZZ566</v>
      </c>
      <c r="C566" s="239" t="str">
        <f ca="1">IF(Giocatori!R38="","NDR" &amp; ROW(),Giocatori!R38)</f>
        <v>NDR566</v>
      </c>
      <c r="D566" s="63">
        <f t="shared" ca="1" si="156"/>
        <v>5.6600000000000001E-3</v>
      </c>
      <c r="E566" s="63">
        <f t="shared" ca="1" si="157"/>
        <v>5.6600000000000001E-3</v>
      </c>
      <c r="F566" s="64">
        <f t="shared" ca="1" si="158"/>
        <v>1.1320266963333334E-2</v>
      </c>
      <c r="G566" s="63" t="str">
        <f t="shared" ca="1" si="159"/>
        <v/>
      </c>
      <c r="H566" s="65" t="str">
        <f t="shared" ca="1" si="160"/>
        <v/>
      </c>
      <c r="I566" s="63" t="str">
        <f t="shared" ca="1" si="165"/>
        <v/>
      </c>
      <c r="J566" s="63">
        <f t="shared" ca="1" si="161"/>
        <v>5.6600000000000001E-3</v>
      </c>
      <c r="K566" s="63">
        <f t="shared" ca="1" si="162"/>
        <v>5.6600000000000001E-3</v>
      </c>
      <c r="L566" s="63"/>
      <c r="N566" s="60"/>
      <c r="O566" s="61"/>
      <c r="P566" s="61"/>
      <c r="Q566" s="60"/>
      <c r="R566" s="61"/>
      <c r="S566" s="61"/>
      <c r="W566" s="56">
        <f t="shared" ca="1" si="168"/>
        <v>72</v>
      </c>
      <c r="X566" s="56">
        <f t="shared" ca="1" si="169"/>
        <v>72</v>
      </c>
      <c r="Y566" s="56">
        <f t="shared" ca="1" si="170"/>
        <v>72</v>
      </c>
      <c r="Z566" s="56">
        <f t="shared" ca="1" si="171"/>
        <v>72</v>
      </c>
      <c r="AA566" s="56">
        <f t="shared" ca="1" si="172"/>
        <v>72</v>
      </c>
      <c r="AB566" s="56">
        <f ca="1">_xlfn.CEILING.MATH(INDIRECT(ADDRESS(537,22+MATCH($P$29,'I.A. + Fasce'!$W$84:$AA$84,0),1,1) &amp; ":" &amp; ADDRESS(637,22+MATCH($P$29,'I.A. + Fasce'!$W$84:$AA$84,0),1,1))/Asta!$H$3)</f>
        <v>9</v>
      </c>
    </row>
    <row r="567" spans="1:28" ht="14.25" customHeight="1">
      <c r="A567" s="239" t="str">
        <f ca="1">IF(Giocatori!P39="","T",Giocatori!P39)</f>
        <v>T</v>
      </c>
      <c r="B567" s="239" t="str">
        <f ca="1">IF(Giocatori!Q39="","ZZZ" &amp; ROW(),Giocatori!Q39)</f>
        <v>ZZZ567</v>
      </c>
      <c r="C567" s="239" t="str">
        <f ca="1">IF(Giocatori!R39="","NDR" &amp; ROW(),Giocatori!R39)</f>
        <v>NDR567</v>
      </c>
      <c r="D567" s="63">
        <f t="shared" ca="1" si="156"/>
        <v>5.6699999999999997E-3</v>
      </c>
      <c r="E567" s="63">
        <f t="shared" ca="1" si="157"/>
        <v>5.6699999999999997E-3</v>
      </c>
      <c r="F567" s="64">
        <f t="shared" ca="1" si="158"/>
        <v>1.13402679075E-2</v>
      </c>
      <c r="G567" s="63" t="str">
        <f t="shared" ca="1" si="159"/>
        <v/>
      </c>
      <c r="H567" s="65" t="str">
        <f t="shared" ca="1" si="160"/>
        <v/>
      </c>
      <c r="I567" s="63" t="str">
        <f t="shared" ca="1" si="165"/>
        <v/>
      </c>
      <c r="J567" s="63">
        <f t="shared" ca="1" si="161"/>
        <v>5.6699999999999997E-3</v>
      </c>
      <c r="K567" s="63">
        <f t="shared" ca="1" si="162"/>
        <v>5.6699999999999997E-3</v>
      </c>
      <c r="L567" s="63"/>
      <c r="N567" s="59">
        <f t="shared" ref="N567:N578" si="177">IF(ISNUMBER(Q552),Q552+COUNTIF($N$34:$N$45,"&gt;0"),"")</f>
        <v>33</v>
      </c>
      <c r="O567" s="62" t="str">
        <f ca="1">IF(ISNUMBER(N567),INDIRECT("B" &amp; 536 + MATCH(N567,INDIRECT(ADDRESS(537,21+MATCH($P$29,'I.A. + Fasce'!$W$84:$AA$84,0),1,1) &amp; ":" &amp; ADDRESS(637,21+MATCH($P$29,'I.A. + Fasce'!$W$84:$AA$84,0),1,1)),0)),"")</f>
        <v>ZZZ605</v>
      </c>
      <c r="P567" s="62" t="str">
        <f ca="1">IF(O567="","",VLOOKUP(O567,$B$537:$C$637,2,FALSE))</f>
        <v>NDR605</v>
      </c>
      <c r="Q567" s="59">
        <f t="shared" ref="Q567:Q578" si="178">IF(ISNUMBER(N567),N567+COUNTIF($N$34:$N$45,"&gt;0"),"")</f>
        <v>41</v>
      </c>
      <c r="R567" s="62" t="str">
        <f ca="1">IF(ISNUMBER(Q567),INDIRECT("B" &amp; 536 + MATCH(Q567,INDIRECT(ADDRESS(537,21+MATCH($P$29,'I.A. + Fasce'!$W$84:$AA$84,0),1,1) &amp; ":" &amp; ADDRESS(637,21+MATCH($P$29,'I.A. + Fasce'!$W$84:$AA$84,0),1,1)),0)),"")</f>
        <v>ZZZ597</v>
      </c>
      <c r="S567" s="62" t="str">
        <f ca="1">IF(R567="","",VLOOKUP(R567,$B$537:$C$637,2,FALSE))</f>
        <v>NDR597</v>
      </c>
      <c r="W567" s="56">
        <f t="shared" ca="1" si="168"/>
        <v>71</v>
      </c>
      <c r="X567" s="56">
        <f t="shared" ca="1" si="169"/>
        <v>71</v>
      </c>
      <c r="Y567" s="56">
        <f t="shared" ca="1" si="170"/>
        <v>71</v>
      </c>
      <c r="Z567" s="56">
        <f t="shared" ca="1" si="171"/>
        <v>71</v>
      </c>
      <c r="AA567" s="56">
        <f t="shared" ca="1" si="172"/>
        <v>71</v>
      </c>
      <c r="AB567" s="56">
        <f ca="1">_xlfn.CEILING.MATH(INDIRECT(ADDRESS(537,22+MATCH($P$29,'I.A. + Fasce'!$W$84:$AA$84,0),1,1) &amp; ":" &amp; ADDRESS(637,22+MATCH($P$29,'I.A. + Fasce'!$W$84:$AA$84,0),1,1))/Asta!$H$3)</f>
        <v>9</v>
      </c>
    </row>
    <row r="568" spans="1:28" ht="14.25" customHeight="1">
      <c r="A568" s="239" t="str">
        <f ca="1">IF(Giocatori!P40="","T",Giocatori!P40)</f>
        <v>T</v>
      </c>
      <c r="B568" s="239" t="str">
        <f ca="1">IF(Giocatori!Q40="","ZZZ" &amp; ROW(),Giocatori!Q40)</f>
        <v>ZZZ568</v>
      </c>
      <c r="C568" s="239" t="str">
        <f ca="1">IF(Giocatori!R40="","NDR" &amp; ROW(),Giocatori!R40)</f>
        <v>NDR568</v>
      </c>
      <c r="D568" s="63">
        <f t="shared" ca="1" si="156"/>
        <v>5.6800000000000002E-3</v>
      </c>
      <c r="E568" s="63">
        <f t="shared" ca="1" si="157"/>
        <v>5.6800000000000002E-3</v>
      </c>
      <c r="F568" s="64">
        <f t="shared" ca="1" si="158"/>
        <v>1.1360268853333334E-2</v>
      </c>
      <c r="G568" s="63" t="str">
        <f t="shared" ca="1" si="159"/>
        <v/>
      </c>
      <c r="H568" s="65" t="str">
        <f t="shared" ca="1" si="160"/>
        <v/>
      </c>
      <c r="I568" s="63" t="str">
        <f t="shared" ca="1" si="165"/>
        <v/>
      </c>
      <c r="J568" s="63">
        <f t="shared" ca="1" si="161"/>
        <v>5.6800000000000002E-3</v>
      </c>
      <c r="K568" s="63">
        <f t="shared" ca="1" si="162"/>
        <v>5.6800000000000002E-3</v>
      </c>
      <c r="L568" s="63"/>
      <c r="N568" s="59">
        <f t="shared" si="177"/>
        <v>34</v>
      </c>
      <c r="O568" s="62" t="str">
        <f ca="1">IF(ISNUMBER(N568),INDIRECT("B" &amp; 536 + MATCH(N568,INDIRECT(ADDRESS(537,21+MATCH($P$29,'I.A. + Fasce'!$W$84:$AA$84,0),1,1) &amp; ":" &amp; ADDRESS(637,21+MATCH($P$29,'I.A. + Fasce'!$W$84:$AA$84,0),1,1)),0)),"")</f>
        <v>ZZZ604</v>
      </c>
      <c r="P568" s="62" t="str">
        <f t="shared" ref="P568:P578" ca="1" si="179">IF(O568="","",VLOOKUP(O568,$B$537:$C$637,2,FALSE))</f>
        <v>NDR604</v>
      </c>
      <c r="Q568" s="59">
        <f t="shared" si="178"/>
        <v>42</v>
      </c>
      <c r="R568" s="62" t="str">
        <f ca="1">IF(ISNUMBER(Q568),INDIRECT("B" &amp; 536 + MATCH(Q568,INDIRECT(ADDRESS(537,21+MATCH($P$29,'I.A. + Fasce'!$W$84:$AA$84,0),1,1) &amp; ":" &amp; ADDRESS(637,21+MATCH($P$29,'I.A. + Fasce'!$W$84:$AA$84,0),1,1)),0)),"")</f>
        <v>ZZZ596</v>
      </c>
      <c r="S568" s="62" t="str">
        <f t="shared" ref="S568:S578" ca="1" si="180">IF(R568="","",VLOOKUP(R568,$B$537:$C$637,2,FALSE))</f>
        <v>NDR596</v>
      </c>
      <c r="W568" s="56">
        <f t="shared" ca="1" si="168"/>
        <v>70</v>
      </c>
      <c r="X568" s="56">
        <f t="shared" ca="1" si="169"/>
        <v>70</v>
      </c>
      <c r="Y568" s="56">
        <f t="shared" ca="1" si="170"/>
        <v>70</v>
      </c>
      <c r="Z568" s="56">
        <f t="shared" ca="1" si="171"/>
        <v>70</v>
      </c>
      <c r="AA568" s="56">
        <f t="shared" ca="1" si="172"/>
        <v>70</v>
      </c>
      <c r="AB568" s="56">
        <f ca="1">_xlfn.CEILING.MATH(INDIRECT(ADDRESS(537,22+MATCH($P$29,'I.A. + Fasce'!$W$84:$AA$84,0),1,1) &amp; ":" &amp; ADDRESS(637,22+MATCH($P$29,'I.A. + Fasce'!$W$84:$AA$84,0),1,1))/Asta!$H$3)</f>
        <v>9</v>
      </c>
    </row>
    <row r="569" spans="1:28" ht="14.25" customHeight="1">
      <c r="A569" s="239" t="str">
        <f ca="1">IF(Giocatori!P41="","T",Giocatori!P41)</f>
        <v>T</v>
      </c>
      <c r="B569" s="239" t="str">
        <f ca="1">IF(Giocatori!Q41="","ZZZ" &amp; ROW(),Giocatori!Q41)</f>
        <v>ZZZ569</v>
      </c>
      <c r="C569" s="239" t="str">
        <f ca="1">IF(Giocatori!R41="","NDR" &amp; ROW(),Giocatori!R41)</f>
        <v>NDR569</v>
      </c>
      <c r="D569" s="63">
        <f t="shared" ref="D569:D600" ca="1" si="181">IF(ISNA(VLOOKUP($B569,TabAlgTutti,6,FALSE)),0,VLOOKUP($B569,TabAlgTutti,6,FALSE))+ROW()/100000</f>
        <v>5.6899999999999997E-3</v>
      </c>
      <c r="E569" s="63">
        <f t="shared" ref="E569:E600" ca="1" si="182">IF(ISNA(VLOOKUP($B569,TabAlgTutti,5,FALSE)),0,VLOOKUP($B569,TabAlgTutti,5,FALSE))+ROW()/100000</f>
        <v>5.6899999999999997E-3</v>
      </c>
      <c r="F569" s="64">
        <f t="shared" ref="F569:F600" ca="1" si="183">($D569*$P$8+$E569*(1+$E569*100/60/100)*$S$8)/100+ROW()/100000</f>
        <v>1.1380269800833332E-2</v>
      </c>
      <c r="G569" s="63" t="str">
        <f t="shared" ca="1" si="159"/>
        <v/>
      </c>
      <c r="H569" s="65" t="str">
        <f t="shared" ca="1" si="160"/>
        <v/>
      </c>
      <c r="I569" s="63" t="str">
        <f t="shared" ca="1" si="165"/>
        <v/>
      </c>
      <c r="J569" s="63">
        <f t="shared" ref="J569:J600" ca="1" si="184">IF(ISNA(VLOOKUP($B569,TabAlgTutti,3,FALSE)),0,VLOOKUP($B569,TabAlgTutti,3,FALSE))+ROW()/100000</f>
        <v>5.6899999999999997E-3</v>
      </c>
      <c r="K569" s="63">
        <f t="shared" ref="K569:K600" ca="1" si="185">IF(ISNA(VLOOKUP($B569,TabAlgTutti,4,FALSE)),0,VLOOKUP($B569,TabAlgTutti,4,FALSE))+ROW()/100000</f>
        <v>5.6899999999999997E-3</v>
      </c>
      <c r="L569" s="63"/>
      <c r="N569" s="59">
        <f t="shared" si="177"/>
        <v>35</v>
      </c>
      <c r="O569" s="62" t="str">
        <f ca="1">IF(ISNUMBER(N569),INDIRECT("B" &amp; 536 + MATCH(N569,INDIRECT(ADDRESS(537,21+MATCH($P$29,'I.A. + Fasce'!$W$84:$AA$84,0),1,1) &amp; ":" &amp; ADDRESS(637,21+MATCH($P$29,'I.A. + Fasce'!$W$84:$AA$84,0),1,1)),0)),"")</f>
        <v>ZZZ603</v>
      </c>
      <c r="P569" s="62" t="str">
        <f t="shared" ca="1" si="179"/>
        <v>NDR603</v>
      </c>
      <c r="Q569" s="59">
        <f t="shared" si="178"/>
        <v>43</v>
      </c>
      <c r="R569" s="62" t="str">
        <f ca="1">IF(ISNUMBER(Q569),INDIRECT("B" &amp; 536 + MATCH(Q569,INDIRECT(ADDRESS(537,21+MATCH($P$29,'I.A. + Fasce'!$W$84:$AA$84,0),1,1) &amp; ":" &amp; ADDRESS(637,21+MATCH($P$29,'I.A. + Fasce'!$W$84:$AA$84,0),1,1)),0)),"")</f>
        <v>ZZZ595</v>
      </c>
      <c r="S569" s="62" t="str">
        <f t="shared" ca="1" si="180"/>
        <v>NDR595</v>
      </c>
      <c r="W569" s="56">
        <f t="shared" ca="1" si="168"/>
        <v>69</v>
      </c>
      <c r="X569" s="56">
        <f t="shared" ca="1" si="169"/>
        <v>69</v>
      </c>
      <c r="Y569" s="56">
        <f t="shared" ca="1" si="170"/>
        <v>69</v>
      </c>
      <c r="Z569" s="56">
        <f t="shared" ca="1" si="171"/>
        <v>69</v>
      </c>
      <c r="AA569" s="56">
        <f t="shared" ca="1" si="172"/>
        <v>69</v>
      </c>
      <c r="AB569" s="56">
        <f ca="1">_xlfn.CEILING.MATH(INDIRECT(ADDRESS(537,22+MATCH($P$29,'I.A. + Fasce'!$W$84:$AA$84,0),1,1) &amp; ":" &amp; ADDRESS(637,22+MATCH($P$29,'I.A. + Fasce'!$W$84:$AA$84,0),1,1))/Asta!$H$3)</f>
        <v>9</v>
      </c>
    </row>
    <row r="570" spans="1:28" ht="14.25" customHeight="1">
      <c r="A570" s="239" t="str">
        <f ca="1">IF(Giocatori!P42="","T",Giocatori!P42)</f>
        <v>T</v>
      </c>
      <c r="B570" s="239" t="str">
        <f ca="1">IF(Giocatori!Q42="","ZZZ" &amp; ROW(),Giocatori!Q42)</f>
        <v>ZZZ570</v>
      </c>
      <c r="C570" s="239" t="str">
        <f ca="1">IF(Giocatori!R42="","NDR" &amp; ROW(),Giocatori!R42)</f>
        <v>NDR570</v>
      </c>
      <c r="D570" s="63">
        <f t="shared" ca="1" si="181"/>
        <v>5.7000000000000002E-3</v>
      </c>
      <c r="E570" s="63">
        <f t="shared" ca="1" si="182"/>
        <v>5.7000000000000002E-3</v>
      </c>
      <c r="F570" s="64">
        <f t="shared" ca="1" si="183"/>
        <v>1.140027075E-2</v>
      </c>
      <c r="G570" s="63" t="str">
        <f t="shared" ref="G570:G601" ca="1" si="186">IF(ISNA(VLOOKUP($B570,TabAlgTutti,7,FALSE)),"",IF(VLOOKUP($B570,TabAlgTutti,7,FALSE)=-1,"SCONSIGLIATO",IF(VLOOKUP($B570,TabAlgTutti,7,FALSE)=0,"SORPRESA",IF(VLOOKUP($B570,TabAlgTutti,7,FALSE)=1,"CONSIGLIATO",""))))</f>
        <v/>
      </c>
      <c r="H570" s="65" t="str">
        <f t="shared" ref="H570:H601" ca="1" si="187">IF(ISNA(VLOOKUP($B570,TabAlgTutti,8,FALSE)),"",VLOOKUP($B570,TabAlgTutti,8,FALSE))</f>
        <v/>
      </c>
      <c r="I570" s="63" t="str">
        <f t="shared" ref="I570:I601" ca="1" si="188">IF(ISNA(VLOOKUP($B570,TabAlgTutti,9,FALSE)),"",IF(VLOOKUP($B570,TabAlgTutti,9,FALSE)=0,"",VLOOKUP($B570,TabAlgTutti,9,FALSE)&amp;"R "))&amp;IF(ISNA(VLOOKUP($B570,TabAlgTutti,10,FALSE)),"",IF(VLOOKUP($B570,TabAlgTutti,10,FALSE)=0,"",VLOOKUP($B570,TabAlgTutti,10,FALSE)&amp;"P "))&amp;IF(ISNA(VLOOKUP($B570,TabAlgTutti,11,FALSE)),"",IF(VLOOKUP($B570,TabAlgTutti,11,FALSE)=0,"",VLOOKUP($B570,TabAlgTutti,11,FALSE)&amp;"A"))</f>
        <v/>
      </c>
      <c r="J570" s="63">
        <f t="shared" ca="1" si="184"/>
        <v>5.7000000000000002E-3</v>
      </c>
      <c r="K570" s="63">
        <f t="shared" ca="1" si="185"/>
        <v>5.7000000000000002E-3</v>
      </c>
      <c r="L570" s="63"/>
      <c r="N570" s="59">
        <f t="shared" si="177"/>
        <v>36</v>
      </c>
      <c r="O570" s="62" t="str">
        <f ca="1">IF(ISNUMBER(N570),INDIRECT("B" &amp; 536 + MATCH(N570,INDIRECT(ADDRESS(537,21+MATCH($P$29,'I.A. + Fasce'!$W$84:$AA$84,0),1,1) &amp; ":" &amp; ADDRESS(637,21+MATCH($P$29,'I.A. + Fasce'!$W$84:$AA$84,0),1,1)),0)),"")</f>
        <v>ZZZ602</v>
      </c>
      <c r="P570" s="62" t="str">
        <f t="shared" ca="1" si="179"/>
        <v>NDR602</v>
      </c>
      <c r="Q570" s="59">
        <f t="shared" si="178"/>
        <v>44</v>
      </c>
      <c r="R570" s="62" t="str">
        <f ca="1">IF(ISNUMBER(Q570),INDIRECT("B" &amp; 536 + MATCH(Q570,INDIRECT(ADDRESS(537,21+MATCH($P$29,'I.A. + Fasce'!$W$84:$AA$84,0),1,1) &amp; ":" &amp; ADDRESS(637,21+MATCH($P$29,'I.A. + Fasce'!$W$84:$AA$84,0),1,1)),0)),"")</f>
        <v>ZZZ594</v>
      </c>
      <c r="S570" s="62" t="str">
        <f t="shared" ca="1" si="180"/>
        <v>NDR594</v>
      </c>
      <c r="W570" s="56">
        <f t="shared" ca="1" si="168"/>
        <v>68</v>
      </c>
      <c r="X570" s="56">
        <f t="shared" ca="1" si="169"/>
        <v>68</v>
      </c>
      <c r="Y570" s="56">
        <f t="shared" ca="1" si="170"/>
        <v>68</v>
      </c>
      <c r="Z570" s="56">
        <f t="shared" ca="1" si="171"/>
        <v>68</v>
      </c>
      <c r="AA570" s="56">
        <f t="shared" ca="1" si="172"/>
        <v>68</v>
      </c>
      <c r="AB570" s="56">
        <f ca="1">_xlfn.CEILING.MATH(INDIRECT(ADDRESS(537,22+MATCH($P$29,'I.A. + Fasce'!$W$84:$AA$84,0),1,1) &amp; ":" &amp; ADDRESS(637,22+MATCH($P$29,'I.A. + Fasce'!$W$84:$AA$84,0),1,1))/Asta!$H$3)</f>
        <v>9</v>
      </c>
    </row>
    <row r="571" spans="1:28" ht="14.25" customHeight="1">
      <c r="A571" s="239" t="str">
        <f ca="1">IF(Giocatori!P43="","T",Giocatori!P43)</f>
        <v>T</v>
      </c>
      <c r="B571" s="239" t="str">
        <f ca="1">IF(Giocatori!Q43="","ZZZ" &amp; ROW(),Giocatori!Q43)</f>
        <v>ZZZ571</v>
      </c>
      <c r="C571" s="239" t="str">
        <f ca="1">IF(Giocatori!R43="","NDR" &amp; ROW(),Giocatori!R43)</f>
        <v>NDR571</v>
      </c>
      <c r="D571" s="63">
        <f t="shared" ca="1" si="181"/>
        <v>5.7099999999999998E-3</v>
      </c>
      <c r="E571" s="63">
        <f t="shared" ca="1" si="182"/>
        <v>5.7099999999999998E-3</v>
      </c>
      <c r="F571" s="64">
        <f t="shared" ca="1" si="183"/>
        <v>1.1420271700833333E-2</v>
      </c>
      <c r="G571" s="63" t="str">
        <f t="shared" ca="1" si="186"/>
        <v/>
      </c>
      <c r="H571" s="65" t="str">
        <f t="shared" ca="1" si="187"/>
        <v/>
      </c>
      <c r="I571" s="63" t="str">
        <f t="shared" ca="1" si="188"/>
        <v/>
      </c>
      <c r="J571" s="63">
        <f t="shared" ca="1" si="184"/>
        <v>5.7099999999999998E-3</v>
      </c>
      <c r="K571" s="63">
        <f t="shared" ca="1" si="185"/>
        <v>5.7099999999999998E-3</v>
      </c>
      <c r="L571" s="63"/>
      <c r="N571" s="59">
        <f t="shared" si="177"/>
        <v>37</v>
      </c>
      <c r="O571" s="62" t="str">
        <f ca="1">IF(ISNUMBER(N571),INDIRECT("B" &amp; 536 + MATCH(N571,INDIRECT(ADDRESS(537,21+MATCH($P$29,'I.A. + Fasce'!$W$84:$AA$84,0),1,1) &amp; ":" &amp; ADDRESS(637,21+MATCH($P$29,'I.A. + Fasce'!$W$84:$AA$84,0),1,1)),0)),"")</f>
        <v>ZZZ601</v>
      </c>
      <c r="P571" s="62" t="str">
        <f t="shared" ca="1" si="179"/>
        <v>NDR601</v>
      </c>
      <c r="Q571" s="59">
        <f t="shared" si="178"/>
        <v>45</v>
      </c>
      <c r="R571" s="62" t="str">
        <f ca="1">IF(ISNUMBER(Q571),INDIRECT("B" &amp; 536 + MATCH(Q571,INDIRECT(ADDRESS(537,21+MATCH($P$29,'I.A. + Fasce'!$W$84:$AA$84,0),1,1) &amp; ":" &amp; ADDRESS(637,21+MATCH($P$29,'I.A. + Fasce'!$W$84:$AA$84,0),1,1)),0)),"")</f>
        <v>ZZZ593</v>
      </c>
      <c r="S571" s="62" t="str">
        <f t="shared" ca="1" si="180"/>
        <v>NDR593</v>
      </c>
      <c r="W571" s="56">
        <f t="shared" ca="1" si="168"/>
        <v>67</v>
      </c>
      <c r="X571" s="56">
        <f t="shared" ca="1" si="169"/>
        <v>67</v>
      </c>
      <c r="Y571" s="56">
        <f t="shared" ca="1" si="170"/>
        <v>67</v>
      </c>
      <c r="Z571" s="56">
        <f t="shared" ca="1" si="171"/>
        <v>67</v>
      </c>
      <c r="AA571" s="56">
        <f t="shared" ca="1" si="172"/>
        <v>67</v>
      </c>
      <c r="AB571" s="56">
        <f ca="1">_xlfn.CEILING.MATH(INDIRECT(ADDRESS(537,22+MATCH($P$29,'I.A. + Fasce'!$W$84:$AA$84,0),1,1) &amp; ":" &amp; ADDRESS(637,22+MATCH($P$29,'I.A. + Fasce'!$W$84:$AA$84,0),1,1))/Asta!$H$3)</f>
        <v>9</v>
      </c>
    </row>
    <row r="572" spans="1:28" ht="14.25" customHeight="1">
      <c r="A572" s="239" t="str">
        <f ca="1">IF(Giocatori!P44="","T",Giocatori!P44)</f>
        <v>T</v>
      </c>
      <c r="B572" s="239" t="str">
        <f ca="1">IF(Giocatori!Q44="","ZZZ" &amp; ROW(),Giocatori!Q44)</f>
        <v>ZZZ572</v>
      </c>
      <c r="C572" s="239" t="str">
        <f ca="1">IF(Giocatori!R44="","NDR" &amp; ROW(),Giocatori!R44)</f>
        <v>NDR572</v>
      </c>
      <c r="D572" s="63">
        <f t="shared" ca="1" si="181"/>
        <v>5.7200000000000003E-3</v>
      </c>
      <c r="E572" s="63">
        <f t="shared" ca="1" si="182"/>
        <v>5.7200000000000003E-3</v>
      </c>
      <c r="F572" s="64">
        <f t="shared" ca="1" si="183"/>
        <v>1.1440272653333333E-2</v>
      </c>
      <c r="G572" s="63" t="str">
        <f t="shared" ca="1" si="186"/>
        <v/>
      </c>
      <c r="H572" s="65" t="str">
        <f t="shared" ca="1" si="187"/>
        <v/>
      </c>
      <c r="I572" s="63" t="str">
        <f t="shared" ca="1" si="188"/>
        <v/>
      </c>
      <c r="J572" s="63">
        <f t="shared" ca="1" si="184"/>
        <v>5.7200000000000003E-3</v>
      </c>
      <c r="K572" s="63">
        <f t="shared" ca="1" si="185"/>
        <v>5.7200000000000003E-3</v>
      </c>
      <c r="L572" s="63"/>
      <c r="N572" s="59">
        <f t="shared" si="177"/>
        <v>38</v>
      </c>
      <c r="O572" s="62" t="str">
        <f ca="1">IF(ISNUMBER(N572),INDIRECT("B" &amp; 536 + MATCH(N572,INDIRECT(ADDRESS(537,21+MATCH($P$29,'I.A. + Fasce'!$W$84:$AA$84,0),1,1) &amp; ":" &amp; ADDRESS(637,21+MATCH($P$29,'I.A. + Fasce'!$W$84:$AA$84,0),1,1)),0)),"")</f>
        <v>ZZZ600</v>
      </c>
      <c r="P572" s="62" t="str">
        <f t="shared" ca="1" si="179"/>
        <v>NDR600</v>
      </c>
      <c r="Q572" s="59">
        <f t="shared" si="178"/>
        <v>46</v>
      </c>
      <c r="R572" s="62" t="str">
        <f ca="1">IF(ISNUMBER(Q572),INDIRECT("B" &amp; 536 + MATCH(Q572,INDIRECT(ADDRESS(537,21+MATCH($P$29,'I.A. + Fasce'!$W$84:$AA$84,0),1,1) &amp; ":" &amp; ADDRESS(637,21+MATCH($P$29,'I.A. + Fasce'!$W$84:$AA$84,0),1,1)),0)),"")</f>
        <v>ZZZ592</v>
      </c>
      <c r="S572" s="62" t="str">
        <f t="shared" ca="1" si="180"/>
        <v>NDR592</v>
      </c>
      <c r="W572" s="56">
        <f t="shared" ca="1" si="168"/>
        <v>66</v>
      </c>
      <c r="X572" s="56">
        <f t="shared" ca="1" si="169"/>
        <v>66</v>
      </c>
      <c r="Y572" s="56">
        <f t="shared" ca="1" si="170"/>
        <v>66</v>
      </c>
      <c r="Z572" s="56">
        <f t="shared" ca="1" si="171"/>
        <v>66</v>
      </c>
      <c r="AA572" s="56">
        <f t="shared" ca="1" si="172"/>
        <v>66</v>
      </c>
      <c r="AB572" s="56">
        <f ca="1">_xlfn.CEILING.MATH(INDIRECT(ADDRESS(537,22+MATCH($P$29,'I.A. + Fasce'!$W$84:$AA$84,0),1,1) &amp; ":" &amp; ADDRESS(637,22+MATCH($P$29,'I.A. + Fasce'!$W$84:$AA$84,0),1,1))/Asta!$H$3)</f>
        <v>9</v>
      </c>
    </row>
    <row r="573" spans="1:28" ht="14.25" customHeight="1">
      <c r="A573" s="239" t="str">
        <f ca="1">IF(Giocatori!P45="","T",Giocatori!P45)</f>
        <v>T</v>
      </c>
      <c r="B573" s="239" t="str">
        <f ca="1">IF(Giocatori!Q45="","ZZZ" &amp; ROW(),Giocatori!Q45)</f>
        <v>ZZZ573</v>
      </c>
      <c r="C573" s="239" t="str">
        <f ca="1">IF(Giocatori!R45="","NDR" &amp; ROW(),Giocatori!R45)</f>
        <v>NDR573</v>
      </c>
      <c r="D573" s="63">
        <f t="shared" ca="1" si="181"/>
        <v>5.7299999999999999E-3</v>
      </c>
      <c r="E573" s="63">
        <f t="shared" ca="1" si="182"/>
        <v>5.7299999999999999E-3</v>
      </c>
      <c r="F573" s="64">
        <f t="shared" ca="1" si="183"/>
        <v>1.14602736075E-2</v>
      </c>
      <c r="G573" s="63" t="str">
        <f t="shared" ca="1" si="186"/>
        <v/>
      </c>
      <c r="H573" s="65" t="str">
        <f t="shared" ca="1" si="187"/>
        <v/>
      </c>
      <c r="I573" s="63" t="str">
        <f t="shared" ca="1" si="188"/>
        <v/>
      </c>
      <c r="J573" s="63">
        <f t="shared" ca="1" si="184"/>
        <v>5.7299999999999999E-3</v>
      </c>
      <c r="K573" s="63">
        <f t="shared" ca="1" si="185"/>
        <v>5.7299999999999999E-3</v>
      </c>
      <c r="L573" s="63"/>
      <c r="N573" s="59">
        <f t="shared" si="177"/>
        <v>39</v>
      </c>
      <c r="O573" s="62" t="str">
        <f ca="1">IF(ISNUMBER(N573),INDIRECT("B" &amp; 536 + MATCH(N573,INDIRECT(ADDRESS(537,21+MATCH($P$29,'I.A. + Fasce'!$W$84:$AA$84,0),1,1) &amp; ":" &amp; ADDRESS(637,21+MATCH($P$29,'I.A. + Fasce'!$W$84:$AA$84,0),1,1)),0)),"")</f>
        <v>ZZZ599</v>
      </c>
      <c r="P573" s="62" t="str">
        <f t="shared" ca="1" si="179"/>
        <v>NDR599</v>
      </c>
      <c r="Q573" s="59">
        <f t="shared" si="178"/>
        <v>47</v>
      </c>
      <c r="R573" s="62" t="str">
        <f ca="1">IF(ISNUMBER(Q573),INDIRECT("B" &amp; 536 + MATCH(Q573,INDIRECT(ADDRESS(537,21+MATCH($P$29,'I.A. + Fasce'!$W$84:$AA$84,0),1,1) &amp; ":" &amp; ADDRESS(637,21+MATCH($P$29,'I.A. + Fasce'!$W$84:$AA$84,0),1,1)),0)),"")</f>
        <v>ZZZ591</v>
      </c>
      <c r="S573" s="62" t="str">
        <f t="shared" ca="1" si="180"/>
        <v>NDR591</v>
      </c>
      <c r="W573" s="56">
        <f t="shared" ca="1" si="168"/>
        <v>65</v>
      </c>
      <c r="X573" s="56">
        <f t="shared" ca="1" si="169"/>
        <v>65</v>
      </c>
      <c r="Y573" s="56">
        <f t="shared" ca="1" si="170"/>
        <v>65</v>
      </c>
      <c r="Z573" s="56">
        <f t="shared" ca="1" si="171"/>
        <v>65</v>
      </c>
      <c r="AA573" s="56">
        <f t="shared" ca="1" si="172"/>
        <v>65</v>
      </c>
      <c r="AB573" s="56">
        <f ca="1">_xlfn.CEILING.MATH(INDIRECT(ADDRESS(537,22+MATCH($P$29,'I.A. + Fasce'!$W$84:$AA$84,0),1,1) &amp; ":" &amp; ADDRESS(637,22+MATCH($P$29,'I.A. + Fasce'!$W$84:$AA$84,0),1,1))/Asta!$H$3)</f>
        <v>9</v>
      </c>
    </row>
    <row r="574" spans="1:28" ht="14.25" customHeight="1">
      <c r="A574" s="239" t="str">
        <f ca="1">IF(Giocatori!P46="","T",Giocatori!P46)</f>
        <v>T</v>
      </c>
      <c r="B574" s="239" t="str">
        <f ca="1">IF(Giocatori!Q46="","ZZZ" &amp; ROW(),Giocatori!Q46)</f>
        <v>ZZZ574</v>
      </c>
      <c r="C574" s="239" t="str">
        <f ca="1">IF(Giocatori!R46="","NDR" &amp; ROW(),Giocatori!R46)</f>
        <v>NDR574</v>
      </c>
      <c r="D574" s="63">
        <f t="shared" ca="1" si="181"/>
        <v>5.7400000000000003E-3</v>
      </c>
      <c r="E574" s="63">
        <f t="shared" ca="1" si="182"/>
        <v>5.7400000000000003E-3</v>
      </c>
      <c r="F574" s="64">
        <f t="shared" ca="1" si="183"/>
        <v>1.1480274563333333E-2</v>
      </c>
      <c r="G574" s="63" t="str">
        <f t="shared" ca="1" si="186"/>
        <v/>
      </c>
      <c r="H574" s="65" t="str">
        <f t="shared" ca="1" si="187"/>
        <v/>
      </c>
      <c r="I574" s="63" t="str">
        <f t="shared" ca="1" si="188"/>
        <v/>
      </c>
      <c r="J574" s="63">
        <f t="shared" ca="1" si="184"/>
        <v>5.7400000000000003E-3</v>
      </c>
      <c r="K574" s="63">
        <f t="shared" ca="1" si="185"/>
        <v>5.7400000000000003E-3</v>
      </c>
      <c r="L574" s="63"/>
      <c r="N574" s="59">
        <f t="shared" si="177"/>
        <v>40</v>
      </c>
      <c r="O574" s="62" t="str">
        <f ca="1">IF(ISNUMBER(N574),INDIRECT("B" &amp; 536 + MATCH(N574,INDIRECT(ADDRESS(537,21+MATCH($P$29,'I.A. + Fasce'!$W$84:$AA$84,0),1,1) &amp; ":" &amp; ADDRESS(637,21+MATCH($P$29,'I.A. + Fasce'!$W$84:$AA$84,0),1,1)),0)),"")</f>
        <v>ZZZ598</v>
      </c>
      <c r="P574" s="62" t="str">
        <f t="shared" ca="1" si="179"/>
        <v>NDR598</v>
      </c>
      <c r="Q574" s="59">
        <f t="shared" si="178"/>
        <v>48</v>
      </c>
      <c r="R574" s="62" t="str">
        <f ca="1">IF(ISNUMBER(Q574),INDIRECT("B" &amp; 536 + MATCH(Q574,INDIRECT(ADDRESS(537,21+MATCH($P$29,'I.A. + Fasce'!$W$84:$AA$84,0),1,1) &amp; ":" &amp; ADDRESS(637,21+MATCH($P$29,'I.A. + Fasce'!$W$84:$AA$84,0),1,1)),0)),"")</f>
        <v>ZZZ590</v>
      </c>
      <c r="S574" s="62" t="str">
        <f t="shared" ca="1" si="180"/>
        <v>NDR590</v>
      </c>
      <c r="W574" s="56">
        <f t="shared" ca="1" si="168"/>
        <v>64</v>
      </c>
      <c r="X574" s="56">
        <f t="shared" ca="1" si="169"/>
        <v>64</v>
      </c>
      <c r="Y574" s="56">
        <f t="shared" ca="1" si="170"/>
        <v>64</v>
      </c>
      <c r="Z574" s="56">
        <f t="shared" ca="1" si="171"/>
        <v>64</v>
      </c>
      <c r="AA574" s="56">
        <f t="shared" ca="1" si="172"/>
        <v>64</v>
      </c>
      <c r="AB574" s="56">
        <f ca="1">_xlfn.CEILING.MATH(INDIRECT(ADDRESS(537,22+MATCH($P$29,'I.A. + Fasce'!$W$84:$AA$84,0),1,1) &amp; ":" &amp; ADDRESS(637,22+MATCH($P$29,'I.A. + Fasce'!$W$84:$AA$84,0),1,1))/Asta!$H$3)</f>
        <v>8</v>
      </c>
    </row>
    <row r="575" spans="1:28" ht="14.25" customHeight="1">
      <c r="A575" s="239" t="str">
        <f ca="1">IF(Giocatori!P47="","T",Giocatori!P47)</f>
        <v>T</v>
      </c>
      <c r="B575" s="239" t="str">
        <f ca="1">IF(Giocatori!Q47="","ZZZ" &amp; ROW(),Giocatori!Q47)</f>
        <v>ZZZ575</v>
      </c>
      <c r="C575" s="239" t="str">
        <f ca="1">IF(Giocatori!R47="","NDR" &amp; ROW(),Giocatori!R47)</f>
        <v>NDR575</v>
      </c>
      <c r="D575" s="63">
        <f t="shared" ca="1" si="181"/>
        <v>5.7499999999999999E-3</v>
      </c>
      <c r="E575" s="63">
        <f t="shared" ca="1" si="182"/>
        <v>5.7499999999999999E-3</v>
      </c>
      <c r="F575" s="64">
        <f t="shared" ca="1" si="183"/>
        <v>1.1500275520833332E-2</v>
      </c>
      <c r="G575" s="63" t="str">
        <f t="shared" ca="1" si="186"/>
        <v/>
      </c>
      <c r="H575" s="65" t="str">
        <f t="shared" ca="1" si="187"/>
        <v/>
      </c>
      <c r="I575" s="63" t="str">
        <f t="shared" ca="1" si="188"/>
        <v/>
      </c>
      <c r="J575" s="63">
        <f t="shared" ca="1" si="184"/>
        <v>5.7499999999999999E-3</v>
      </c>
      <c r="K575" s="63">
        <f t="shared" ca="1" si="185"/>
        <v>5.7499999999999999E-3</v>
      </c>
      <c r="L575" s="63"/>
      <c r="N575" s="59" t="str">
        <f t="shared" si="177"/>
        <v/>
      </c>
      <c r="O575" s="62" t="str">
        <f ca="1">IF(ISNUMBER(N575),INDIRECT("B" &amp; 536 + MATCH(N575,INDIRECT(ADDRESS(537,21+MATCH($P$29,'I.A. + Fasce'!$W$84:$AA$84,0),1,1) &amp; ":" &amp; ADDRESS(637,21+MATCH($P$29,'I.A. + Fasce'!$W$84:$AA$84,0),1,1)),0)),"")</f>
        <v/>
      </c>
      <c r="P575" s="62" t="str">
        <f t="shared" ca="1" si="179"/>
        <v/>
      </c>
      <c r="Q575" s="59" t="str">
        <f t="shared" si="178"/>
        <v/>
      </c>
      <c r="R575" s="62" t="str">
        <f ca="1">IF(ISNUMBER(Q575),INDIRECT("B" &amp; 536 + MATCH(Q575,INDIRECT(ADDRESS(537,21+MATCH($P$29,'I.A. + Fasce'!$W$84:$AA$84,0),1,1) &amp; ":" &amp; ADDRESS(637,21+MATCH($P$29,'I.A. + Fasce'!$W$84:$AA$84,0),1,1)),0)),"")</f>
        <v/>
      </c>
      <c r="S575" s="62" t="str">
        <f t="shared" ca="1" si="180"/>
        <v/>
      </c>
      <c r="W575" s="56">
        <f t="shared" ca="1" si="168"/>
        <v>63</v>
      </c>
      <c r="X575" s="56">
        <f t="shared" ca="1" si="169"/>
        <v>63</v>
      </c>
      <c r="Y575" s="56">
        <f t="shared" ca="1" si="170"/>
        <v>63</v>
      </c>
      <c r="Z575" s="56">
        <f t="shared" ca="1" si="171"/>
        <v>63</v>
      </c>
      <c r="AA575" s="56">
        <f t="shared" ca="1" si="172"/>
        <v>63</v>
      </c>
      <c r="AB575" s="56">
        <f ca="1">_xlfn.CEILING.MATH(INDIRECT(ADDRESS(537,22+MATCH($P$29,'I.A. + Fasce'!$W$84:$AA$84,0),1,1) &amp; ":" &amp; ADDRESS(637,22+MATCH($P$29,'I.A. + Fasce'!$W$84:$AA$84,0),1,1))/Asta!$H$3)</f>
        <v>8</v>
      </c>
    </row>
    <row r="576" spans="1:28" ht="14.25" customHeight="1">
      <c r="A576" s="239" t="str">
        <f ca="1">IF(Giocatori!P48="","T",Giocatori!P48)</f>
        <v>T</v>
      </c>
      <c r="B576" s="239" t="str">
        <f ca="1">IF(Giocatori!Q48="","ZZZ" &amp; ROW(),Giocatori!Q48)</f>
        <v>ZZZ576</v>
      </c>
      <c r="C576" s="239" t="str">
        <f ca="1">IF(Giocatori!R48="","NDR" &amp; ROW(),Giocatori!R48)</f>
        <v>NDR576</v>
      </c>
      <c r="D576" s="63">
        <f t="shared" ca="1" si="181"/>
        <v>5.7600000000000004E-3</v>
      </c>
      <c r="E576" s="63">
        <f t="shared" ca="1" si="182"/>
        <v>5.7600000000000004E-3</v>
      </c>
      <c r="F576" s="64">
        <f t="shared" ca="1" si="183"/>
        <v>1.1520276480000001E-2</v>
      </c>
      <c r="G576" s="63" t="str">
        <f t="shared" ca="1" si="186"/>
        <v/>
      </c>
      <c r="H576" s="65" t="str">
        <f t="shared" ca="1" si="187"/>
        <v/>
      </c>
      <c r="I576" s="63" t="str">
        <f t="shared" ca="1" si="188"/>
        <v/>
      </c>
      <c r="J576" s="63">
        <f t="shared" ca="1" si="184"/>
        <v>5.7600000000000004E-3</v>
      </c>
      <c r="K576" s="63">
        <f t="shared" ca="1" si="185"/>
        <v>5.7600000000000004E-3</v>
      </c>
      <c r="L576" s="63"/>
      <c r="N576" s="59" t="str">
        <f t="shared" si="177"/>
        <v/>
      </c>
      <c r="O576" s="62" t="str">
        <f ca="1">IF(ISNUMBER(N576),INDIRECT("B" &amp; 536 + MATCH(N576,INDIRECT(ADDRESS(537,21+MATCH($P$29,'I.A. + Fasce'!$W$84:$AA$84,0),1,1) &amp; ":" &amp; ADDRESS(637,21+MATCH($P$29,'I.A. + Fasce'!$W$84:$AA$84,0),1,1)),0)),"")</f>
        <v/>
      </c>
      <c r="P576" s="62" t="str">
        <f t="shared" ca="1" si="179"/>
        <v/>
      </c>
      <c r="Q576" s="59" t="str">
        <f t="shared" si="178"/>
        <v/>
      </c>
      <c r="R576" s="62" t="str">
        <f ca="1">IF(ISNUMBER(Q576),INDIRECT("B" &amp; 536 + MATCH(Q576,INDIRECT(ADDRESS(537,21+MATCH($P$29,'I.A. + Fasce'!$W$84:$AA$84,0),1,1) &amp; ":" &amp; ADDRESS(637,21+MATCH($P$29,'I.A. + Fasce'!$W$84:$AA$84,0),1,1)),0)),"")</f>
        <v/>
      </c>
      <c r="S576" s="62" t="str">
        <f t="shared" ca="1" si="180"/>
        <v/>
      </c>
      <c r="W576" s="56">
        <f t="shared" ca="1" si="168"/>
        <v>62</v>
      </c>
      <c r="X576" s="56">
        <f t="shared" ca="1" si="169"/>
        <v>62</v>
      </c>
      <c r="Y576" s="56">
        <f t="shared" ca="1" si="170"/>
        <v>62</v>
      </c>
      <c r="Z576" s="56">
        <f t="shared" ca="1" si="171"/>
        <v>62</v>
      </c>
      <c r="AA576" s="56">
        <f t="shared" ca="1" si="172"/>
        <v>62</v>
      </c>
      <c r="AB576" s="56">
        <f ca="1">_xlfn.CEILING.MATH(INDIRECT(ADDRESS(537,22+MATCH($P$29,'I.A. + Fasce'!$W$84:$AA$84,0),1,1) &amp; ":" &amp; ADDRESS(637,22+MATCH($P$29,'I.A. + Fasce'!$W$84:$AA$84,0),1,1))/Asta!$H$3)</f>
        <v>8</v>
      </c>
    </row>
    <row r="577" spans="1:28" ht="14.25" customHeight="1">
      <c r="A577" s="239" t="str">
        <f ca="1">IF(Giocatori!P49="","T",Giocatori!P49)</f>
        <v>T</v>
      </c>
      <c r="B577" s="239" t="str">
        <f ca="1">IF(Giocatori!Q49="","ZZZ" &amp; ROW(),Giocatori!Q49)</f>
        <v>ZZZ577</v>
      </c>
      <c r="C577" s="239" t="str">
        <f ca="1">IF(Giocatori!R49="","NDR" &amp; ROW(),Giocatori!R49)</f>
        <v>NDR577</v>
      </c>
      <c r="D577" s="63">
        <f t="shared" ca="1" si="181"/>
        <v>5.77E-3</v>
      </c>
      <c r="E577" s="63">
        <f t="shared" ca="1" si="182"/>
        <v>5.77E-3</v>
      </c>
      <c r="F577" s="64">
        <f t="shared" ca="1" si="183"/>
        <v>1.1540277440833333E-2</v>
      </c>
      <c r="G577" s="63" t="str">
        <f t="shared" ca="1" si="186"/>
        <v/>
      </c>
      <c r="H577" s="65" t="str">
        <f t="shared" ca="1" si="187"/>
        <v/>
      </c>
      <c r="I577" s="63" t="str">
        <f t="shared" ca="1" si="188"/>
        <v/>
      </c>
      <c r="J577" s="63">
        <f t="shared" ca="1" si="184"/>
        <v>5.77E-3</v>
      </c>
      <c r="K577" s="63">
        <f t="shared" ca="1" si="185"/>
        <v>5.77E-3</v>
      </c>
      <c r="L577" s="63"/>
      <c r="N577" s="59" t="str">
        <f t="shared" si="177"/>
        <v/>
      </c>
      <c r="O577" s="62" t="str">
        <f ca="1">IF(ISNUMBER(N577),INDIRECT("B" &amp; 536 + MATCH(N577,INDIRECT(ADDRESS(537,21+MATCH($P$29,'I.A. + Fasce'!$W$84:$AA$84,0),1,1) &amp; ":" &amp; ADDRESS(637,21+MATCH($P$29,'I.A. + Fasce'!$W$84:$AA$84,0),1,1)),0)),"")</f>
        <v/>
      </c>
      <c r="P577" s="62" t="str">
        <f t="shared" ca="1" si="179"/>
        <v/>
      </c>
      <c r="Q577" s="59" t="str">
        <f t="shared" si="178"/>
        <v/>
      </c>
      <c r="R577" s="62" t="str">
        <f ca="1">IF(ISNUMBER(Q577),INDIRECT("B" &amp; 536 + MATCH(Q577,INDIRECT(ADDRESS(537,21+MATCH($P$29,'I.A. + Fasce'!$W$84:$AA$84,0),1,1) &amp; ":" &amp; ADDRESS(637,21+MATCH($P$29,'I.A. + Fasce'!$W$84:$AA$84,0),1,1)),0)),"")</f>
        <v/>
      </c>
      <c r="S577" s="62" t="str">
        <f t="shared" ca="1" si="180"/>
        <v/>
      </c>
      <c r="W577" s="56">
        <f t="shared" ca="1" si="168"/>
        <v>61</v>
      </c>
      <c r="X577" s="56">
        <f t="shared" ca="1" si="169"/>
        <v>61</v>
      </c>
      <c r="Y577" s="56">
        <f t="shared" ca="1" si="170"/>
        <v>61</v>
      </c>
      <c r="Z577" s="56">
        <f t="shared" ca="1" si="171"/>
        <v>61</v>
      </c>
      <c r="AA577" s="56">
        <f t="shared" ca="1" si="172"/>
        <v>61</v>
      </c>
      <c r="AB577" s="56">
        <f ca="1">_xlfn.CEILING.MATH(INDIRECT(ADDRESS(537,22+MATCH($P$29,'I.A. + Fasce'!$W$84:$AA$84,0),1,1) &amp; ":" &amp; ADDRESS(637,22+MATCH($P$29,'I.A. + Fasce'!$W$84:$AA$84,0),1,1))/Asta!$H$3)</f>
        <v>8</v>
      </c>
    </row>
    <row r="578" spans="1:28" ht="14.25" customHeight="1">
      <c r="A578" s="239" t="str">
        <f ca="1">IF(Giocatori!P50="","T",Giocatori!P50)</f>
        <v>T</v>
      </c>
      <c r="B578" s="239" t="str">
        <f ca="1">IF(Giocatori!Q50="","ZZZ" &amp; ROW(),Giocatori!Q50)</f>
        <v>ZZZ578</v>
      </c>
      <c r="C578" s="239" t="str">
        <f ca="1">IF(Giocatori!R50="","NDR" &amp; ROW(),Giocatori!R50)</f>
        <v>NDR578</v>
      </c>
      <c r="D578" s="63">
        <f t="shared" ca="1" si="181"/>
        <v>5.7800000000000004E-3</v>
      </c>
      <c r="E578" s="63">
        <f t="shared" ca="1" si="182"/>
        <v>5.7800000000000004E-3</v>
      </c>
      <c r="F578" s="64">
        <f t="shared" ca="1" si="183"/>
        <v>1.1560278403333336E-2</v>
      </c>
      <c r="G578" s="63" t="str">
        <f t="shared" ca="1" si="186"/>
        <v/>
      </c>
      <c r="H578" s="65" t="str">
        <f t="shared" ca="1" si="187"/>
        <v/>
      </c>
      <c r="I578" s="63" t="str">
        <f t="shared" ca="1" si="188"/>
        <v/>
      </c>
      <c r="J578" s="63">
        <f t="shared" ca="1" si="184"/>
        <v>5.7800000000000004E-3</v>
      </c>
      <c r="K578" s="63">
        <f t="shared" ca="1" si="185"/>
        <v>5.7800000000000004E-3</v>
      </c>
      <c r="L578" s="63"/>
      <c r="N578" s="59" t="str">
        <f t="shared" si="177"/>
        <v/>
      </c>
      <c r="O578" s="62" t="str">
        <f ca="1">IF(ISNUMBER(N578),INDIRECT("B" &amp; 536 + MATCH(N578,INDIRECT(ADDRESS(537,21+MATCH($P$29,'I.A. + Fasce'!$W$84:$AA$84,0),1,1) &amp; ":" &amp; ADDRESS(637,21+MATCH($P$29,'I.A. + Fasce'!$W$84:$AA$84,0),1,1)),0)),"")</f>
        <v/>
      </c>
      <c r="P578" s="62" t="str">
        <f t="shared" ca="1" si="179"/>
        <v/>
      </c>
      <c r="Q578" s="59" t="str">
        <f t="shared" si="178"/>
        <v/>
      </c>
      <c r="R578" s="62" t="str">
        <f ca="1">IF(ISNUMBER(Q578),INDIRECT("B" &amp; 536 + MATCH(Q578,INDIRECT(ADDRESS(537,21+MATCH($P$29,'I.A. + Fasce'!$W$84:$AA$84,0),1,1) &amp; ":" &amp; ADDRESS(637,21+MATCH($P$29,'I.A. + Fasce'!$W$84:$AA$84,0),1,1)),0)),"")</f>
        <v/>
      </c>
      <c r="S578" s="62" t="str">
        <f t="shared" ca="1" si="180"/>
        <v/>
      </c>
      <c r="W578" s="56">
        <f t="shared" ca="1" si="168"/>
        <v>60</v>
      </c>
      <c r="X578" s="56">
        <f t="shared" ca="1" si="169"/>
        <v>60</v>
      </c>
      <c r="Y578" s="56">
        <f t="shared" ca="1" si="170"/>
        <v>60</v>
      </c>
      <c r="Z578" s="56">
        <f t="shared" ca="1" si="171"/>
        <v>60</v>
      </c>
      <c r="AA578" s="56">
        <f t="shared" ca="1" si="172"/>
        <v>60</v>
      </c>
      <c r="AB578" s="56">
        <f ca="1">_xlfn.CEILING.MATH(INDIRECT(ADDRESS(537,22+MATCH($P$29,'I.A. + Fasce'!$W$84:$AA$84,0),1,1) &amp; ":" &amp; ADDRESS(637,22+MATCH($P$29,'I.A. + Fasce'!$W$84:$AA$84,0),1,1))/Asta!$H$3)</f>
        <v>8</v>
      </c>
    </row>
    <row r="579" spans="1:28" ht="14.25" customHeight="1">
      <c r="A579" s="239" t="str">
        <f ca="1">IF(Giocatori!P51="","T",Giocatori!P51)</f>
        <v>T</v>
      </c>
      <c r="B579" s="239" t="str">
        <f ca="1">IF(Giocatori!Q51="","ZZZ" &amp; ROW(),Giocatori!Q51)</f>
        <v>ZZZ579</v>
      </c>
      <c r="C579" s="239" t="str">
        <f ca="1">IF(Giocatori!R51="","NDR" &amp; ROW(),Giocatori!R51)</f>
        <v>NDR579</v>
      </c>
      <c r="D579" s="63">
        <f t="shared" ca="1" si="181"/>
        <v>5.79E-3</v>
      </c>
      <c r="E579" s="63">
        <f t="shared" ca="1" si="182"/>
        <v>5.79E-3</v>
      </c>
      <c r="F579" s="64">
        <f t="shared" ca="1" si="183"/>
        <v>1.15802793675E-2</v>
      </c>
      <c r="G579" s="63" t="str">
        <f t="shared" ca="1" si="186"/>
        <v/>
      </c>
      <c r="H579" s="65" t="str">
        <f t="shared" ca="1" si="187"/>
        <v/>
      </c>
      <c r="I579" s="63" t="str">
        <f t="shared" ca="1" si="188"/>
        <v/>
      </c>
      <c r="J579" s="63">
        <f t="shared" ca="1" si="184"/>
        <v>5.79E-3</v>
      </c>
      <c r="K579" s="63">
        <f t="shared" ca="1" si="185"/>
        <v>5.79E-3</v>
      </c>
      <c r="L579" s="63"/>
      <c r="W579" s="56">
        <f t="shared" ca="1" si="168"/>
        <v>59</v>
      </c>
      <c r="X579" s="56">
        <f t="shared" ca="1" si="169"/>
        <v>59</v>
      </c>
      <c r="Y579" s="56">
        <f t="shared" ca="1" si="170"/>
        <v>59</v>
      </c>
      <c r="Z579" s="56">
        <f t="shared" ca="1" si="171"/>
        <v>59</v>
      </c>
      <c r="AA579" s="56">
        <f t="shared" ca="1" si="172"/>
        <v>59</v>
      </c>
      <c r="AB579" s="56">
        <f ca="1">_xlfn.CEILING.MATH(INDIRECT(ADDRESS(537,22+MATCH($P$29,'I.A. + Fasce'!$W$84:$AA$84,0),1,1) &amp; ":" &amp; ADDRESS(637,22+MATCH($P$29,'I.A. + Fasce'!$W$84:$AA$84,0),1,1))/Asta!$H$3)</f>
        <v>8</v>
      </c>
    </row>
    <row r="580" spans="1:28" ht="14.25" customHeight="1">
      <c r="A580" s="239" t="str">
        <f ca="1">IF(Giocatori!P52="","T",Giocatori!P52)</f>
        <v>T</v>
      </c>
      <c r="B580" s="239" t="str">
        <f ca="1">IF(Giocatori!Q52="","ZZZ" &amp; ROW(),Giocatori!Q52)</f>
        <v>ZZZ580</v>
      </c>
      <c r="C580" s="239" t="str">
        <f ca="1">IF(Giocatori!R52="","NDR" &amp; ROW(),Giocatori!R52)</f>
        <v>NDR580</v>
      </c>
      <c r="D580" s="63">
        <f t="shared" ca="1" si="181"/>
        <v>5.7999999999999996E-3</v>
      </c>
      <c r="E580" s="63">
        <f t="shared" ca="1" si="182"/>
        <v>5.7999999999999996E-3</v>
      </c>
      <c r="F580" s="64">
        <f t="shared" ca="1" si="183"/>
        <v>1.1600280333333332E-2</v>
      </c>
      <c r="G580" s="63" t="str">
        <f t="shared" ca="1" si="186"/>
        <v/>
      </c>
      <c r="H580" s="65" t="str">
        <f t="shared" ca="1" si="187"/>
        <v/>
      </c>
      <c r="I580" s="63" t="str">
        <f t="shared" ca="1" si="188"/>
        <v/>
      </c>
      <c r="J580" s="63">
        <f t="shared" ca="1" si="184"/>
        <v>5.7999999999999996E-3</v>
      </c>
      <c r="K580" s="63">
        <f t="shared" ca="1" si="185"/>
        <v>5.7999999999999996E-3</v>
      </c>
      <c r="L580" s="63"/>
      <c r="W580" s="56">
        <f t="shared" ca="1" si="168"/>
        <v>58</v>
      </c>
      <c r="X580" s="56">
        <f t="shared" ca="1" si="169"/>
        <v>58</v>
      </c>
      <c r="Y580" s="56">
        <f t="shared" ca="1" si="170"/>
        <v>58</v>
      </c>
      <c r="Z580" s="56">
        <f t="shared" ca="1" si="171"/>
        <v>58</v>
      </c>
      <c r="AA580" s="56">
        <f t="shared" ca="1" si="172"/>
        <v>58</v>
      </c>
      <c r="AB580" s="56">
        <f ca="1">_xlfn.CEILING.MATH(INDIRECT(ADDRESS(537,22+MATCH($P$29,'I.A. + Fasce'!$W$84:$AA$84,0),1,1) &amp; ":" &amp; ADDRESS(637,22+MATCH($P$29,'I.A. + Fasce'!$W$84:$AA$84,0),1,1))/Asta!$H$3)</f>
        <v>8</v>
      </c>
    </row>
    <row r="581" spans="1:28" ht="14.25" customHeight="1">
      <c r="A581" s="239" t="str">
        <f ca="1">IF(Giocatori!P53="","T",Giocatori!P53)</f>
        <v>T</v>
      </c>
      <c r="B581" s="239" t="str">
        <f ca="1">IF(Giocatori!Q53="","ZZZ" &amp; ROW(),Giocatori!Q53)</f>
        <v>ZZZ581</v>
      </c>
      <c r="C581" s="239" t="str">
        <f ca="1">IF(Giocatori!R53="","NDR" &amp; ROW(),Giocatori!R53)</f>
        <v>NDR581</v>
      </c>
      <c r="D581" s="63">
        <f t="shared" ca="1" si="181"/>
        <v>5.8100000000000001E-3</v>
      </c>
      <c r="E581" s="63">
        <f t="shared" ca="1" si="182"/>
        <v>5.8100000000000001E-3</v>
      </c>
      <c r="F581" s="64">
        <f t="shared" ca="1" si="183"/>
        <v>1.1620281300833334E-2</v>
      </c>
      <c r="G581" s="63" t="str">
        <f t="shared" ca="1" si="186"/>
        <v/>
      </c>
      <c r="H581" s="65" t="str">
        <f t="shared" ca="1" si="187"/>
        <v/>
      </c>
      <c r="I581" s="63" t="str">
        <f t="shared" ca="1" si="188"/>
        <v/>
      </c>
      <c r="J581" s="63">
        <f t="shared" ca="1" si="184"/>
        <v>5.8100000000000001E-3</v>
      </c>
      <c r="K581" s="63">
        <f t="shared" ca="1" si="185"/>
        <v>5.8100000000000001E-3</v>
      </c>
      <c r="L581" s="63"/>
      <c r="O581" s="547" t="s">
        <v>704</v>
      </c>
      <c r="P581" s="547"/>
      <c r="W581" s="56">
        <f t="shared" ca="1" si="168"/>
        <v>57</v>
      </c>
      <c r="X581" s="56">
        <f t="shared" ca="1" si="169"/>
        <v>57</v>
      </c>
      <c r="Y581" s="56">
        <f t="shared" ca="1" si="170"/>
        <v>57</v>
      </c>
      <c r="Z581" s="56">
        <f t="shared" ca="1" si="171"/>
        <v>57</v>
      </c>
      <c r="AA581" s="56">
        <f t="shared" ca="1" si="172"/>
        <v>57</v>
      </c>
      <c r="AB581" s="56">
        <f ca="1">_xlfn.CEILING.MATH(INDIRECT(ADDRESS(537,22+MATCH($P$29,'I.A. + Fasce'!$W$84:$AA$84,0),1,1) &amp; ":" &amp; ADDRESS(637,22+MATCH($P$29,'I.A. + Fasce'!$W$84:$AA$84,0),1,1))/Asta!$H$3)</f>
        <v>8</v>
      </c>
    </row>
    <row r="582" spans="1:28" ht="14.25" customHeight="1">
      <c r="A582" s="239" t="str">
        <f ca="1">IF(Giocatori!P54="","T",Giocatori!P54)</f>
        <v>T</v>
      </c>
      <c r="B582" s="239" t="str">
        <f ca="1">IF(Giocatori!Q54="","ZZZ" &amp; ROW(),Giocatori!Q54)</f>
        <v>ZZZ582</v>
      </c>
      <c r="C582" s="239" t="str">
        <f ca="1">IF(Giocatori!R54="","NDR" &amp; ROW(),Giocatori!R54)</f>
        <v>NDR582</v>
      </c>
      <c r="D582" s="63">
        <f t="shared" ca="1" si="181"/>
        <v>5.8199999999999997E-3</v>
      </c>
      <c r="E582" s="63">
        <f t="shared" ca="1" si="182"/>
        <v>5.8199999999999997E-3</v>
      </c>
      <c r="F582" s="64">
        <f t="shared" ca="1" si="183"/>
        <v>1.164028227E-2</v>
      </c>
      <c r="G582" s="63" t="str">
        <f t="shared" ca="1" si="186"/>
        <v/>
      </c>
      <c r="H582" s="65" t="str">
        <f t="shared" ca="1" si="187"/>
        <v/>
      </c>
      <c r="I582" s="63" t="str">
        <f t="shared" ca="1" si="188"/>
        <v/>
      </c>
      <c r="J582" s="63">
        <f t="shared" ca="1" si="184"/>
        <v>5.8199999999999997E-3</v>
      </c>
      <c r="K582" s="63">
        <f t="shared" ca="1" si="185"/>
        <v>5.8199999999999997E-3</v>
      </c>
      <c r="L582" s="63"/>
      <c r="W582" s="56">
        <f t="shared" ca="1" si="168"/>
        <v>56</v>
      </c>
      <c r="X582" s="56">
        <f t="shared" ca="1" si="169"/>
        <v>56</v>
      </c>
      <c r="Y582" s="56">
        <f t="shared" ca="1" si="170"/>
        <v>56</v>
      </c>
      <c r="Z582" s="56">
        <f t="shared" ca="1" si="171"/>
        <v>56</v>
      </c>
      <c r="AA582" s="56">
        <f t="shared" ca="1" si="172"/>
        <v>56</v>
      </c>
      <c r="AB582" s="56">
        <f ca="1">_xlfn.CEILING.MATH(INDIRECT(ADDRESS(537,22+MATCH($P$29,'I.A. + Fasce'!$W$84:$AA$84,0),1,1) &amp; ":" &amp; ADDRESS(637,22+MATCH($P$29,'I.A. + Fasce'!$W$84:$AA$84,0),1,1))/Asta!$H$3)</f>
        <v>7</v>
      </c>
    </row>
    <row r="583" spans="1:28" ht="14.25" customHeight="1">
      <c r="A583" s="239" t="str">
        <f ca="1">IF(Giocatori!P55="","T",Giocatori!P55)</f>
        <v>T</v>
      </c>
      <c r="B583" s="239" t="str">
        <f ca="1">IF(Giocatori!Q55="","ZZZ" &amp; ROW(),Giocatori!Q55)</f>
        <v>ZZZ583</v>
      </c>
      <c r="C583" s="239" t="str">
        <f ca="1">IF(Giocatori!R55="","NDR" &amp; ROW(),Giocatori!R55)</f>
        <v>NDR583</v>
      </c>
      <c r="D583" s="63">
        <f t="shared" ca="1" si="181"/>
        <v>5.8300000000000001E-3</v>
      </c>
      <c r="E583" s="63">
        <f t="shared" ca="1" si="182"/>
        <v>5.8300000000000001E-3</v>
      </c>
      <c r="F583" s="64">
        <f t="shared" ca="1" si="183"/>
        <v>1.1660283240833333E-2</v>
      </c>
      <c r="G583" s="63" t="str">
        <f t="shared" ca="1" si="186"/>
        <v/>
      </c>
      <c r="H583" s="65" t="str">
        <f t="shared" ca="1" si="187"/>
        <v/>
      </c>
      <c r="I583" s="63" t="str">
        <f t="shared" ca="1" si="188"/>
        <v/>
      </c>
      <c r="J583" s="63">
        <f t="shared" ca="1" si="184"/>
        <v>5.8300000000000001E-3</v>
      </c>
      <c r="K583" s="63">
        <f t="shared" ca="1" si="185"/>
        <v>5.8300000000000001E-3</v>
      </c>
      <c r="L583" s="63"/>
      <c r="W583" s="56">
        <f t="shared" ca="1" si="168"/>
        <v>55</v>
      </c>
      <c r="X583" s="56">
        <f t="shared" ca="1" si="169"/>
        <v>55</v>
      </c>
      <c r="Y583" s="56">
        <f t="shared" ca="1" si="170"/>
        <v>55</v>
      </c>
      <c r="Z583" s="56">
        <f t="shared" ca="1" si="171"/>
        <v>55</v>
      </c>
      <c r="AA583" s="56">
        <f t="shared" ca="1" si="172"/>
        <v>55</v>
      </c>
      <c r="AB583" s="56">
        <f ca="1">_xlfn.CEILING.MATH(INDIRECT(ADDRESS(537,22+MATCH($P$29,'I.A. + Fasce'!$W$84:$AA$84,0),1,1) &amp; ":" &amp; ADDRESS(637,22+MATCH($P$29,'I.A. + Fasce'!$W$84:$AA$84,0),1,1))/Asta!$H$3)</f>
        <v>7</v>
      </c>
    </row>
    <row r="584" spans="1:28" ht="14.25" customHeight="1">
      <c r="A584" s="239" t="str">
        <f ca="1">IF(Giocatori!P56="","T",Giocatori!P56)</f>
        <v>T</v>
      </c>
      <c r="B584" s="239" t="str">
        <f ca="1">IF(Giocatori!Q56="","ZZZ" &amp; ROW(),Giocatori!Q56)</f>
        <v>ZZZ584</v>
      </c>
      <c r="C584" s="239" t="str">
        <f ca="1">IF(Giocatori!R56="","NDR" &amp; ROW(),Giocatori!R56)</f>
        <v>NDR584</v>
      </c>
      <c r="D584" s="63">
        <f t="shared" ca="1" si="181"/>
        <v>5.8399999999999997E-3</v>
      </c>
      <c r="E584" s="63">
        <f t="shared" ca="1" si="182"/>
        <v>5.8399999999999997E-3</v>
      </c>
      <c r="F584" s="64">
        <f t="shared" ca="1" si="183"/>
        <v>1.1680284213333333E-2</v>
      </c>
      <c r="G584" s="63" t="str">
        <f t="shared" ca="1" si="186"/>
        <v/>
      </c>
      <c r="H584" s="65" t="str">
        <f t="shared" ca="1" si="187"/>
        <v/>
      </c>
      <c r="I584" s="63" t="str">
        <f t="shared" ca="1" si="188"/>
        <v/>
      </c>
      <c r="J584" s="63">
        <f t="shared" ca="1" si="184"/>
        <v>5.8399999999999997E-3</v>
      </c>
      <c r="K584" s="63">
        <f t="shared" ca="1" si="185"/>
        <v>5.8399999999999997E-3</v>
      </c>
      <c r="L584" s="63"/>
      <c r="W584" s="56">
        <f t="shared" ca="1" si="168"/>
        <v>54</v>
      </c>
      <c r="X584" s="56">
        <f t="shared" ca="1" si="169"/>
        <v>54</v>
      </c>
      <c r="Y584" s="56">
        <f t="shared" ca="1" si="170"/>
        <v>54</v>
      </c>
      <c r="Z584" s="56">
        <f t="shared" ca="1" si="171"/>
        <v>54</v>
      </c>
      <c r="AA584" s="56">
        <f t="shared" ca="1" si="172"/>
        <v>54</v>
      </c>
      <c r="AB584" s="56">
        <f ca="1">_xlfn.CEILING.MATH(INDIRECT(ADDRESS(537,22+MATCH($P$29,'I.A. + Fasce'!$W$84:$AA$84,0),1,1) &amp; ":" &amp; ADDRESS(637,22+MATCH($P$29,'I.A. + Fasce'!$W$84:$AA$84,0),1,1))/Asta!$H$3)</f>
        <v>7</v>
      </c>
    </row>
    <row r="585" spans="1:28" ht="14.25" customHeight="1">
      <c r="A585" s="239" t="str">
        <f ca="1">IF(Giocatori!P57="","T",Giocatori!P57)</f>
        <v>T</v>
      </c>
      <c r="B585" s="239" t="str">
        <f ca="1">IF(Giocatori!Q57="","ZZZ" &amp; ROW(),Giocatori!Q57)</f>
        <v>ZZZ585</v>
      </c>
      <c r="C585" s="239" t="str">
        <f ca="1">IF(Giocatori!R57="","NDR" &amp; ROW(),Giocatori!R57)</f>
        <v>NDR585</v>
      </c>
      <c r="D585" s="63">
        <f t="shared" ca="1" si="181"/>
        <v>5.8500000000000002E-3</v>
      </c>
      <c r="E585" s="63">
        <f t="shared" ca="1" si="182"/>
        <v>5.8500000000000002E-3</v>
      </c>
      <c r="F585" s="64">
        <f t="shared" ca="1" si="183"/>
        <v>1.1700285187499999E-2</v>
      </c>
      <c r="G585" s="63" t="str">
        <f t="shared" ca="1" si="186"/>
        <v/>
      </c>
      <c r="H585" s="65" t="str">
        <f t="shared" ca="1" si="187"/>
        <v/>
      </c>
      <c r="I585" s="63" t="str">
        <f t="shared" ca="1" si="188"/>
        <v/>
      </c>
      <c r="J585" s="63">
        <f t="shared" ca="1" si="184"/>
        <v>5.8500000000000002E-3</v>
      </c>
      <c r="K585" s="63">
        <f t="shared" ca="1" si="185"/>
        <v>5.8500000000000002E-3</v>
      </c>
      <c r="L585" s="63"/>
      <c r="W585" s="56">
        <f t="shared" ca="1" si="168"/>
        <v>53</v>
      </c>
      <c r="X585" s="56">
        <f t="shared" ca="1" si="169"/>
        <v>53</v>
      </c>
      <c r="Y585" s="56">
        <f t="shared" ca="1" si="170"/>
        <v>53</v>
      </c>
      <c r="Z585" s="56">
        <f t="shared" ca="1" si="171"/>
        <v>53</v>
      </c>
      <c r="AA585" s="56">
        <f t="shared" ca="1" si="172"/>
        <v>53</v>
      </c>
      <c r="AB585" s="56">
        <f ca="1">_xlfn.CEILING.MATH(INDIRECT(ADDRESS(537,22+MATCH($P$29,'I.A. + Fasce'!$W$84:$AA$84,0),1,1) &amp; ":" &amp; ADDRESS(637,22+MATCH($P$29,'I.A. + Fasce'!$W$84:$AA$84,0),1,1))/Asta!$H$3)</f>
        <v>7</v>
      </c>
    </row>
    <row r="586" spans="1:28" ht="14.25" customHeight="1">
      <c r="A586" s="239" t="str">
        <f ca="1">IF(Giocatori!P58="","T",Giocatori!P58)</f>
        <v>T</v>
      </c>
      <c r="B586" s="239" t="str">
        <f ca="1">IF(Giocatori!Q58="","ZZZ" &amp; ROW(),Giocatori!Q58)</f>
        <v>ZZZ586</v>
      </c>
      <c r="C586" s="239" t="str">
        <f ca="1">IF(Giocatori!R58="","NDR" &amp; ROW(),Giocatori!R58)</f>
        <v>NDR586</v>
      </c>
      <c r="D586" s="63">
        <f t="shared" ca="1" si="181"/>
        <v>5.8599999999999998E-3</v>
      </c>
      <c r="E586" s="63">
        <f t="shared" ca="1" si="182"/>
        <v>5.8599999999999998E-3</v>
      </c>
      <c r="F586" s="64">
        <f t="shared" ca="1" si="183"/>
        <v>1.1720286163333333E-2</v>
      </c>
      <c r="G586" s="63" t="str">
        <f t="shared" ca="1" si="186"/>
        <v/>
      </c>
      <c r="H586" s="65" t="str">
        <f t="shared" ca="1" si="187"/>
        <v/>
      </c>
      <c r="I586" s="63" t="str">
        <f t="shared" ca="1" si="188"/>
        <v/>
      </c>
      <c r="J586" s="63">
        <f t="shared" ca="1" si="184"/>
        <v>5.8599999999999998E-3</v>
      </c>
      <c r="K586" s="63">
        <f t="shared" ca="1" si="185"/>
        <v>5.8599999999999998E-3</v>
      </c>
      <c r="L586" s="63"/>
      <c r="W586" s="56">
        <f t="shared" ca="1" si="168"/>
        <v>52</v>
      </c>
      <c r="X586" s="56">
        <f t="shared" ca="1" si="169"/>
        <v>52</v>
      </c>
      <c r="Y586" s="56">
        <f t="shared" ca="1" si="170"/>
        <v>52</v>
      </c>
      <c r="Z586" s="56">
        <f t="shared" ca="1" si="171"/>
        <v>52</v>
      </c>
      <c r="AA586" s="56">
        <f t="shared" ca="1" si="172"/>
        <v>52</v>
      </c>
      <c r="AB586" s="56">
        <f ca="1">_xlfn.CEILING.MATH(INDIRECT(ADDRESS(537,22+MATCH($P$29,'I.A. + Fasce'!$W$84:$AA$84,0),1,1) &amp; ":" &amp; ADDRESS(637,22+MATCH($P$29,'I.A. + Fasce'!$W$84:$AA$84,0),1,1))/Asta!$H$3)</f>
        <v>7</v>
      </c>
    </row>
    <row r="587" spans="1:28" ht="14.25" customHeight="1">
      <c r="A587" s="239" t="str">
        <f ca="1">IF(Giocatori!P59="","T",Giocatori!P59)</f>
        <v>T</v>
      </c>
      <c r="B587" s="239" t="str">
        <f ca="1">IF(Giocatori!Q59="","ZZZ" &amp; ROW(),Giocatori!Q59)</f>
        <v>ZZZ587</v>
      </c>
      <c r="C587" s="239" t="str">
        <f ca="1">IF(Giocatori!R59="","NDR" &amp; ROW(),Giocatori!R59)</f>
        <v>NDR587</v>
      </c>
      <c r="D587" s="63">
        <f t="shared" ca="1" si="181"/>
        <v>5.8700000000000002E-3</v>
      </c>
      <c r="E587" s="63">
        <f t="shared" ca="1" si="182"/>
        <v>5.8700000000000002E-3</v>
      </c>
      <c r="F587" s="64">
        <f t="shared" ca="1" si="183"/>
        <v>1.1740287140833333E-2</v>
      </c>
      <c r="G587" s="63" t="str">
        <f t="shared" ca="1" si="186"/>
        <v/>
      </c>
      <c r="H587" s="65" t="str">
        <f t="shared" ca="1" si="187"/>
        <v/>
      </c>
      <c r="I587" s="63" t="str">
        <f t="shared" ca="1" si="188"/>
        <v/>
      </c>
      <c r="J587" s="63">
        <f t="shared" ca="1" si="184"/>
        <v>5.8700000000000002E-3</v>
      </c>
      <c r="K587" s="63">
        <f t="shared" ca="1" si="185"/>
        <v>5.8700000000000002E-3</v>
      </c>
      <c r="L587" s="63"/>
      <c r="W587" s="56">
        <f t="shared" ca="1" si="168"/>
        <v>51</v>
      </c>
      <c r="X587" s="56">
        <f t="shared" ca="1" si="169"/>
        <v>51</v>
      </c>
      <c r="Y587" s="56">
        <f t="shared" ca="1" si="170"/>
        <v>51</v>
      </c>
      <c r="Z587" s="56">
        <f t="shared" ca="1" si="171"/>
        <v>51</v>
      </c>
      <c r="AA587" s="56">
        <f t="shared" ca="1" si="172"/>
        <v>51</v>
      </c>
      <c r="AB587" s="56">
        <f ca="1">_xlfn.CEILING.MATH(INDIRECT(ADDRESS(537,22+MATCH($P$29,'I.A. + Fasce'!$W$84:$AA$84,0),1,1) &amp; ":" &amp; ADDRESS(637,22+MATCH($P$29,'I.A. + Fasce'!$W$84:$AA$84,0),1,1))/Asta!$H$3)</f>
        <v>7</v>
      </c>
    </row>
    <row r="588" spans="1:28" ht="14.25" customHeight="1">
      <c r="A588" s="239" t="str">
        <f ca="1">IF(Giocatori!P60="","T",Giocatori!P60)</f>
        <v>T</v>
      </c>
      <c r="B588" s="239" t="str">
        <f ca="1">IF(Giocatori!Q60="","ZZZ" &amp; ROW(),Giocatori!Q60)</f>
        <v>ZZZ588</v>
      </c>
      <c r="C588" s="239" t="str">
        <f ca="1">IF(Giocatori!R60="","NDR" &amp; ROW(),Giocatori!R60)</f>
        <v>NDR588</v>
      </c>
      <c r="D588" s="63">
        <f t="shared" ca="1" si="181"/>
        <v>5.8799999999999998E-3</v>
      </c>
      <c r="E588" s="63">
        <f t="shared" ca="1" si="182"/>
        <v>5.8799999999999998E-3</v>
      </c>
      <c r="F588" s="64">
        <f t="shared" ca="1" si="183"/>
        <v>1.1760288119999998E-2</v>
      </c>
      <c r="G588" s="63" t="str">
        <f t="shared" ca="1" si="186"/>
        <v/>
      </c>
      <c r="H588" s="65" t="str">
        <f t="shared" ca="1" si="187"/>
        <v/>
      </c>
      <c r="I588" s="63" t="str">
        <f t="shared" ca="1" si="188"/>
        <v/>
      </c>
      <c r="J588" s="63">
        <f t="shared" ca="1" si="184"/>
        <v>5.8799999999999998E-3</v>
      </c>
      <c r="K588" s="63">
        <f t="shared" ca="1" si="185"/>
        <v>5.8799999999999998E-3</v>
      </c>
      <c r="L588" s="63"/>
      <c r="W588" s="56">
        <f t="shared" ca="1" si="168"/>
        <v>50</v>
      </c>
      <c r="X588" s="56">
        <f t="shared" ca="1" si="169"/>
        <v>50</v>
      </c>
      <c r="Y588" s="56">
        <f t="shared" ca="1" si="170"/>
        <v>50</v>
      </c>
      <c r="Z588" s="56">
        <f t="shared" ca="1" si="171"/>
        <v>50</v>
      </c>
      <c r="AA588" s="56">
        <f t="shared" ca="1" si="172"/>
        <v>50</v>
      </c>
      <c r="AB588" s="56">
        <f ca="1">_xlfn.CEILING.MATH(INDIRECT(ADDRESS(537,22+MATCH($P$29,'I.A. + Fasce'!$W$84:$AA$84,0),1,1) &amp; ":" &amp; ADDRESS(637,22+MATCH($P$29,'I.A. + Fasce'!$W$84:$AA$84,0),1,1))/Asta!$H$3)</f>
        <v>7</v>
      </c>
    </row>
    <row r="589" spans="1:28" ht="14.25" customHeight="1">
      <c r="A589" s="239" t="str">
        <f ca="1">IF(Giocatori!P61="","T",Giocatori!P61)</f>
        <v>T</v>
      </c>
      <c r="B589" s="239" t="str">
        <f ca="1">IF(Giocatori!Q61="","ZZZ" &amp; ROW(),Giocatori!Q61)</f>
        <v>ZZZ589</v>
      </c>
      <c r="C589" s="239" t="str">
        <f ca="1">IF(Giocatori!R61="","NDR" &amp; ROW(),Giocatori!R61)</f>
        <v>NDR589</v>
      </c>
      <c r="D589" s="63">
        <f t="shared" ca="1" si="181"/>
        <v>5.8900000000000003E-3</v>
      </c>
      <c r="E589" s="63">
        <f t="shared" ca="1" si="182"/>
        <v>5.8900000000000003E-3</v>
      </c>
      <c r="F589" s="64">
        <f t="shared" ca="1" si="183"/>
        <v>1.1780289100833334E-2</v>
      </c>
      <c r="G589" s="63" t="str">
        <f t="shared" ca="1" si="186"/>
        <v/>
      </c>
      <c r="H589" s="65" t="str">
        <f t="shared" ca="1" si="187"/>
        <v/>
      </c>
      <c r="I589" s="63" t="str">
        <f t="shared" ca="1" si="188"/>
        <v/>
      </c>
      <c r="J589" s="63">
        <f t="shared" ca="1" si="184"/>
        <v>5.8900000000000003E-3</v>
      </c>
      <c r="K589" s="63">
        <f t="shared" ca="1" si="185"/>
        <v>5.8900000000000003E-3</v>
      </c>
      <c r="L589" s="63"/>
      <c r="W589" s="56">
        <f t="shared" ca="1" si="168"/>
        <v>49</v>
      </c>
      <c r="X589" s="56">
        <f t="shared" ca="1" si="169"/>
        <v>49</v>
      </c>
      <c r="Y589" s="56">
        <f t="shared" ca="1" si="170"/>
        <v>49</v>
      </c>
      <c r="Z589" s="56">
        <f t="shared" ca="1" si="171"/>
        <v>49</v>
      </c>
      <c r="AA589" s="56">
        <f t="shared" ca="1" si="172"/>
        <v>49</v>
      </c>
      <c r="AB589" s="56">
        <f ca="1">_xlfn.CEILING.MATH(INDIRECT(ADDRESS(537,22+MATCH($P$29,'I.A. + Fasce'!$W$84:$AA$84,0),1,1) &amp; ":" &amp; ADDRESS(637,22+MATCH($P$29,'I.A. + Fasce'!$W$84:$AA$84,0),1,1))/Asta!$H$3)</f>
        <v>7</v>
      </c>
    </row>
    <row r="590" spans="1:28" ht="14.25" customHeight="1">
      <c r="A590" s="239" t="str">
        <f ca="1">IF(Giocatori!P62="","T",Giocatori!P62)</f>
        <v>T</v>
      </c>
      <c r="B590" s="239" t="str">
        <f ca="1">IF(Giocatori!Q62="","ZZZ" &amp; ROW(),Giocatori!Q62)</f>
        <v>ZZZ590</v>
      </c>
      <c r="C590" s="239" t="str">
        <f ca="1">IF(Giocatori!R62="","NDR" &amp; ROW(),Giocatori!R62)</f>
        <v>NDR590</v>
      </c>
      <c r="D590" s="63">
        <f t="shared" ca="1" si="181"/>
        <v>5.8999999999999999E-3</v>
      </c>
      <c r="E590" s="63">
        <f t="shared" ca="1" si="182"/>
        <v>5.8999999999999999E-3</v>
      </c>
      <c r="F590" s="64">
        <f t="shared" ca="1" si="183"/>
        <v>1.1800290083333331E-2</v>
      </c>
      <c r="G590" s="63" t="str">
        <f t="shared" ca="1" si="186"/>
        <v/>
      </c>
      <c r="H590" s="65" t="str">
        <f t="shared" ca="1" si="187"/>
        <v/>
      </c>
      <c r="I590" s="63" t="str">
        <f t="shared" ca="1" si="188"/>
        <v/>
      </c>
      <c r="J590" s="63">
        <f t="shared" ca="1" si="184"/>
        <v>5.8999999999999999E-3</v>
      </c>
      <c r="K590" s="63">
        <f t="shared" ca="1" si="185"/>
        <v>5.8999999999999999E-3</v>
      </c>
      <c r="L590" s="63"/>
      <c r="W590" s="56">
        <f t="shared" ca="1" si="168"/>
        <v>48</v>
      </c>
      <c r="X590" s="56">
        <f t="shared" ca="1" si="169"/>
        <v>48</v>
      </c>
      <c r="Y590" s="56">
        <f t="shared" ca="1" si="170"/>
        <v>48</v>
      </c>
      <c r="Z590" s="56">
        <f t="shared" ca="1" si="171"/>
        <v>48</v>
      </c>
      <c r="AA590" s="56">
        <f t="shared" ca="1" si="172"/>
        <v>48</v>
      </c>
      <c r="AB590" s="56">
        <f ca="1">_xlfn.CEILING.MATH(INDIRECT(ADDRESS(537,22+MATCH($P$29,'I.A. + Fasce'!$W$84:$AA$84,0),1,1) &amp; ":" &amp; ADDRESS(637,22+MATCH($P$29,'I.A. + Fasce'!$W$84:$AA$84,0),1,1))/Asta!$H$3)</f>
        <v>6</v>
      </c>
    </row>
    <row r="591" spans="1:28" ht="14.25" customHeight="1">
      <c r="A591" s="239" t="str">
        <f ca="1">IF(Giocatori!P63="","T",Giocatori!P63)</f>
        <v>T</v>
      </c>
      <c r="B591" s="239" t="str">
        <f ca="1">IF(Giocatori!Q63="","ZZZ" &amp; ROW(),Giocatori!Q63)</f>
        <v>ZZZ591</v>
      </c>
      <c r="C591" s="239" t="str">
        <f ca="1">IF(Giocatori!R63="","NDR" &amp; ROW(),Giocatori!R63)</f>
        <v>NDR591</v>
      </c>
      <c r="D591" s="63">
        <f t="shared" ca="1" si="181"/>
        <v>5.9100000000000003E-3</v>
      </c>
      <c r="E591" s="63">
        <f t="shared" ca="1" si="182"/>
        <v>5.9100000000000003E-3</v>
      </c>
      <c r="F591" s="64">
        <f t="shared" ca="1" si="183"/>
        <v>1.1820291067500001E-2</v>
      </c>
      <c r="G591" s="63" t="str">
        <f t="shared" ca="1" si="186"/>
        <v/>
      </c>
      <c r="H591" s="65" t="str">
        <f t="shared" ca="1" si="187"/>
        <v/>
      </c>
      <c r="I591" s="63" t="str">
        <f t="shared" ca="1" si="188"/>
        <v/>
      </c>
      <c r="J591" s="63">
        <f t="shared" ca="1" si="184"/>
        <v>5.9100000000000003E-3</v>
      </c>
      <c r="K591" s="63">
        <f t="shared" ca="1" si="185"/>
        <v>5.9100000000000003E-3</v>
      </c>
      <c r="L591" s="63"/>
      <c r="W591" s="56">
        <f t="shared" ca="1" si="168"/>
        <v>47</v>
      </c>
      <c r="X591" s="56">
        <f t="shared" ca="1" si="169"/>
        <v>47</v>
      </c>
      <c r="Y591" s="56">
        <f t="shared" ca="1" si="170"/>
        <v>47</v>
      </c>
      <c r="Z591" s="56">
        <f t="shared" ca="1" si="171"/>
        <v>47</v>
      </c>
      <c r="AA591" s="56">
        <f t="shared" ca="1" si="172"/>
        <v>47</v>
      </c>
      <c r="AB591" s="56">
        <f ca="1">_xlfn.CEILING.MATH(INDIRECT(ADDRESS(537,22+MATCH($P$29,'I.A. + Fasce'!$W$84:$AA$84,0),1,1) &amp; ":" &amp; ADDRESS(637,22+MATCH($P$29,'I.A. + Fasce'!$W$84:$AA$84,0),1,1))/Asta!$H$3)</f>
        <v>6</v>
      </c>
    </row>
    <row r="592" spans="1:28" ht="14.25" customHeight="1">
      <c r="A592" s="239" t="str">
        <f ca="1">IF(Giocatori!P64="","T",Giocatori!P64)</f>
        <v>T</v>
      </c>
      <c r="B592" s="239" t="str">
        <f ca="1">IF(Giocatori!Q64="","ZZZ" &amp; ROW(),Giocatori!Q64)</f>
        <v>ZZZ592</v>
      </c>
      <c r="C592" s="239" t="str">
        <f ca="1">IF(Giocatori!R64="","NDR" &amp; ROW(),Giocatori!R64)</f>
        <v>NDR592</v>
      </c>
      <c r="D592" s="63">
        <f t="shared" ca="1" si="181"/>
        <v>5.9199999999999999E-3</v>
      </c>
      <c r="E592" s="63">
        <f t="shared" ca="1" si="182"/>
        <v>5.9199999999999999E-3</v>
      </c>
      <c r="F592" s="64">
        <f t="shared" ca="1" si="183"/>
        <v>1.1840292053333333E-2</v>
      </c>
      <c r="G592" s="63" t="str">
        <f t="shared" ca="1" si="186"/>
        <v/>
      </c>
      <c r="H592" s="65" t="str">
        <f t="shared" ca="1" si="187"/>
        <v/>
      </c>
      <c r="I592" s="63" t="str">
        <f t="shared" ca="1" si="188"/>
        <v/>
      </c>
      <c r="J592" s="63">
        <f t="shared" ca="1" si="184"/>
        <v>5.9199999999999999E-3</v>
      </c>
      <c r="K592" s="63">
        <f t="shared" ca="1" si="185"/>
        <v>5.9199999999999999E-3</v>
      </c>
      <c r="L592" s="63"/>
      <c r="W592" s="56">
        <f t="shared" ca="1" si="168"/>
        <v>46</v>
      </c>
      <c r="X592" s="56">
        <f t="shared" ca="1" si="169"/>
        <v>46</v>
      </c>
      <c r="Y592" s="56">
        <f t="shared" ca="1" si="170"/>
        <v>46</v>
      </c>
      <c r="Z592" s="56">
        <f t="shared" ca="1" si="171"/>
        <v>46</v>
      </c>
      <c r="AA592" s="56">
        <f t="shared" ca="1" si="172"/>
        <v>46</v>
      </c>
      <c r="AB592" s="56">
        <f ca="1">_xlfn.CEILING.MATH(INDIRECT(ADDRESS(537,22+MATCH($P$29,'I.A. + Fasce'!$W$84:$AA$84,0),1,1) &amp; ":" &amp; ADDRESS(637,22+MATCH($P$29,'I.A. + Fasce'!$W$84:$AA$84,0),1,1))/Asta!$H$3)</f>
        <v>6</v>
      </c>
    </row>
    <row r="593" spans="1:28" ht="14.25" customHeight="1">
      <c r="A593" s="239" t="str">
        <f ca="1">IF(Giocatori!P65="","T",Giocatori!P65)</f>
        <v>T</v>
      </c>
      <c r="B593" s="239" t="str">
        <f ca="1">IF(Giocatori!Q65="","ZZZ" &amp; ROW(),Giocatori!Q65)</f>
        <v>ZZZ593</v>
      </c>
      <c r="C593" s="239" t="str">
        <f ca="1">IF(Giocatori!R65="","NDR" &amp; ROW(),Giocatori!R65)</f>
        <v>NDR593</v>
      </c>
      <c r="D593" s="63">
        <f t="shared" ca="1" si="181"/>
        <v>5.9300000000000004E-3</v>
      </c>
      <c r="E593" s="63">
        <f t="shared" ca="1" si="182"/>
        <v>5.9300000000000004E-3</v>
      </c>
      <c r="F593" s="64">
        <f t="shared" ca="1" si="183"/>
        <v>1.1860293040833334E-2</v>
      </c>
      <c r="G593" s="63" t="str">
        <f t="shared" ca="1" si="186"/>
        <v/>
      </c>
      <c r="H593" s="65" t="str">
        <f t="shared" ca="1" si="187"/>
        <v/>
      </c>
      <c r="I593" s="63" t="str">
        <f t="shared" ca="1" si="188"/>
        <v/>
      </c>
      <c r="J593" s="63">
        <f t="shared" ca="1" si="184"/>
        <v>5.9300000000000004E-3</v>
      </c>
      <c r="K593" s="63">
        <f t="shared" ca="1" si="185"/>
        <v>5.9300000000000004E-3</v>
      </c>
      <c r="L593" s="63"/>
      <c r="W593" s="56">
        <f t="shared" ca="1" si="168"/>
        <v>45</v>
      </c>
      <c r="X593" s="56">
        <f t="shared" ca="1" si="169"/>
        <v>45</v>
      </c>
      <c r="Y593" s="56">
        <f t="shared" ca="1" si="170"/>
        <v>45</v>
      </c>
      <c r="Z593" s="56">
        <f t="shared" ca="1" si="171"/>
        <v>45</v>
      </c>
      <c r="AA593" s="56">
        <f t="shared" ca="1" si="172"/>
        <v>45</v>
      </c>
      <c r="AB593" s="56">
        <f ca="1">_xlfn.CEILING.MATH(INDIRECT(ADDRESS(537,22+MATCH($P$29,'I.A. + Fasce'!$W$84:$AA$84,0),1,1) &amp; ":" &amp; ADDRESS(637,22+MATCH($P$29,'I.A. + Fasce'!$W$84:$AA$84,0),1,1))/Asta!$H$3)</f>
        <v>6</v>
      </c>
    </row>
    <row r="594" spans="1:28" ht="14.25" customHeight="1">
      <c r="A594" s="239" t="str">
        <f ca="1">IF(Giocatori!P66="","T",Giocatori!P66)</f>
        <v>T</v>
      </c>
      <c r="B594" s="239" t="str">
        <f ca="1">IF(Giocatori!Q66="","ZZZ" &amp; ROW(),Giocatori!Q66)</f>
        <v>ZZZ594</v>
      </c>
      <c r="C594" s="239" t="str">
        <f ca="1">IF(Giocatori!R66="","NDR" &amp; ROW(),Giocatori!R66)</f>
        <v>NDR594</v>
      </c>
      <c r="D594" s="63">
        <f t="shared" ca="1" si="181"/>
        <v>5.94E-3</v>
      </c>
      <c r="E594" s="63">
        <f t="shared" ca="1" si="182"/>
        <v>5.94E-3</v>
      </c>
      <c r="F594" s="64">
        <f t="shared" ca="1" si="183"/>
        <v>1.1880294029999999E-2</v>
      </c>
      <c r="G594" s="63" t="str">
        <f t="shared" ca="1" si="186"/>
        <v/>
      </c>
      <c r="H594" s="65" t="str">
        <f t="shared" ca="1" si="187"/>
        <v/>
      </c>
      <c r="I594" s="63" t="str">
        <f t="shared" ca="1" si="188"/>
        <v/>
      </c>
      <c r="J594" s="63">
        <f t="shared" ca="1" si="184"/>
        <v>5.94E-3</v>
      </c>
      <c r="K594" s="63">
        <f t="shared" ca="1" si="185"/>
        <v>5.94E-3</v>
      </c>
      <c r="L594" s="63"/>
      <c r="W594" s="56">
        <f t="shared" ca="1" si="168"/>
        <v>44</v>
      </c>
      <c r="X594" s="56">
        <f t="shared" ca="1" si="169"/>
        <v>44</v>
      </c>
      <c r="Y594" s="56">
        <f t="shared" ca="1" si="170"/>
        <v>44</v>
      </c>
      <c r="Z594" s="56">
        <f t="shared" ca="1" si="171"/>
        <v>44</v>
      </c>
      <c r="AA594" s="56">
        <f t="shared" ca="1" si="172"/>
        <v>44</v>
      </c>
      <c r="AB594" s="56">
        <f ca="1">_xlfn.CEILING.MATH(INDIRECT(ADDRESS(537,22+MATCH($P$29,'I.A. + Fasce'!$W$84:$AA$84,0),1,1) &amp; ":" &amp; ADDRESS(637,22+MATCH($P$29,'I.A. + Fasce'!$W$84:$AA$84,0),1,1))/Asta!$H$3)</f>
        <v>6</v>
      </c>
    </row>
    <row r="595" spans="1:28" ht="14.25" customHeight="1">
      <c r="A595" s="239" t="str">
        <f ca="1">IF(Giocatori!P67="","T",Giocatori!P67)</f>
        <v>T</v>
      </c>
      <c r="B595" s="239" t="str">
        <f ca="1">IF(Giocatori!Q67="","ZZZ" &amp; ROW(),Giocatori!Q67)</f>
        <v>ZZZ595</v>
      </c>
      <c r="C595" s="239" t="str">
        <f ca="1">IF(Giocatori!R67="","NDR" &amp; ROW(),Giocatori!R67)</f>
        <v>NDR595</v>
      </c>
      <c r="D595" s="63">
        <f t="shared" ca="1" si="181"/>
        <v>5.9500000000000004E-3</v>
      </c>
      <c r="E595" s="63">
        <f t="shared" ca="1" si="182"/>
        <v>5.9500000000000004E-3</v>
      </c>
      <c r="F595" s="64">
        <f t="shared" ca="1" si="183"/>
        <v>1.1900295020833333E-2</v>
      </c>
      <c r="G595" s="63" t="str">
        <f t="shared" ca="1" si="186"/>
        <v/>
      </c>
      <c r="H595" s="65" t="str">
        <f t="shared" ca="1" si="187"/>
        <v/>
      </c>
      <c r="I595" s="63" t="str">
        <f t="shared" ca="1" si="188"/>
        <v/>
      </c>
      <c r="J595" s="63">
        <f t="shared" ca="1" si="184"/>
        <v>5.9500000000000004E-3</v>
      </c>
      <c r="K595" s="63">
        <f t="shared" ca="1" si="185"/>
        <v>5.9500000000000004E-3</v>
      </c>
      <c r="L595" s="63"/>
      <c r="W595" s="56">
        <f t="shared" ca="1" si="168"/>
        <v>43</v>
      </c>
      <c r="X595" s="56">
        <f t="shared" ca="1" si="169"/>
        <v>43</v>
      </c>
      <c r="Y595" s="56">
        <f t="shared" ca="1" si="170"/>
        <v>43</v>
      </c>
      <c r="Z595" s="56">
        <f t="shared" ca="1" si="171"/>
        <v>43</v>
      </c>
      <c r="AA595" s="56">
        <f t="shared" ca="1" si="172"/>
        <v>43</v>
      </c>
      <c r="AB595" s="56">
        <f ca="1">_xlfn.CEILING.MATH(INDIRECT(ADDRESS(537,22+MATCH($P$29,'I.A. + Fasce'!$W$84:$AA$84,0),1,1) &amp; ":" &amp; ADDRESS(637,22+MATCH($P$29,'I.A. + Fasce'!$W$84:$AA$84,0),1,1))/Asta!$H$3)</f>
        <v>6</v>
      </c>
    </row>
    <row r="596" spans="1:28" ht="14.25" customHeight="1">
      <c r="A596" s="239" t="str">
        <f ca="1">IF(Giocatori!P68="","T",Giocatori!P68)</f>
        <v>T</v>
      </c>
      <c r="B596" s="239" t="str">
        <f ca="1">IF(Giocatori!Q68="","ZZZ" &amp; ROW(),Giocatori!Q68)</f>
        <v>ZZZ596</v>
      </c>
      <c r="C596" s="239" t="str">
        <f ca="1">IF(Giocatori!R68="","NDR" &amp; ROW(),Giocatori!R68)</f>
        <v>NDR596</v>
      </c>
      <c r="D596" s="63">
        <f t="shared" ca="1" si="181"/>
        <v>5.96E-3</v>
      </c>
      <c r="E596" s="63">
        <f t="shared" ca="1" si="182"/>
        <v>5.96E-3</v>
      </c>
      <c r="F596" s="64">
        <f t="shared" ca="1" si="183"/>
        <v>1.1920296013333333E-2</v>
      </c>
      <c r="G596" s="63" t="str">
        <f t="shared" ca="1" si="186"/>
        <v/>
      </c>
      <c r="H596" s="65" t="str">
        <f t="shared" ca="1" si="187"/>
        <v/>
      </c>
      <c r="I596" s="63" t="str">
        <f t="shared" ca="1" si="188"/>
        <v/>
      </c>
      <c r="J596" s="63">
        <f t="shared" ca="1" si="184"/>
        <v>5.96E-3</v>
      </c>
      <c r="K596" s="63">
        <f t="shared" ca="1" si="185"/>
        <v>5.96E-3</v>
      </c>
      <c r="L596" s="63"/>
      <c r="W596" s="56">
        <f t="shared" ca="1" si="168"/>
        <v>42</v>
      </c>
      <c r="X596" s="56">
        <f t="shared" ca="1" si="169"/>
        <v>42</v>
      </c>
      <c r="Y596" s="56">
        <f t="shared" ca="1" si="170"/>
        <v>42</v>
      </c>
      <c r="Z596" s="56">
        <f t="shared" ca="1" si="171"/>
        <v>42</v>
      </c>
      <c r="AA596" s="56">
        <f t="shared" ca="1" si="172"/>
        <v>42</v>
      </c>
      <c r="AB596" s="56">
        <f ca="1">_xlfn.CEILING.MATH(INDIRECT(ADDRESS(537,22+MATCH($P$29,'I.A. + Fasce'!$W$84:$AA$84,0),1,1) &amp; ":" &amp; ADDRESS(637,22+MATCH($P$29,'I.A. + Fasce'!$W$84:$AA$84,0),1,1))/Asta!$H$3)</f>
        <v>6</v>
      </c>
    </row>
    <row r="597" spans="1:28" ht="14.25" customHeight="1">
      <c r="A597" s="239" t="str">
        <f ca="1">IF(Giocatori!P69="","T",Giocatori!P69)</f>
        <v>T</v>
      </c>
      <c r="B597" s="239" t="str">
        <f ca="1">IF(Giocatori!Q69="","ZZZ" &amp; ROW(),Giocatori!Q69)</f>
        <v>ZZZ597</v>
      </c>
      <c r="C597" s="239" t="str">
        <f ca="1">IF(Giocatori!R69="","NDR" &amp; ROW(),Giocatori!R69)</f>
        <v>NDR597</v>
      </c>
      <c r="D597" s="63">
        <f t="shared" ca="1" si="181"/>
        <v>5.9699999999999996E-3</v>
      </c>
      <c r="E597" s="63">
        <f t="shared" ca="1" si="182"/>
        <v>5.9699999999999996E-3</v>
      </c>
      <c r="F597" s="64">
        <f t="shared" ca="1" si="183"/>
        <v>1.19402970075E-2</v>
      </c>
      <c r="G597" s="63" t="str">
        <f t="shared" ca="1" si="186"/>
        <v/>
      </c>
      <c r="H597" s="65" t="str">
        <f t="shared" ca="1" si="187"/>
        <v/>
      </c>
      <c r="I597" s="63" t="str">
        <f t="shared" ca="1" si="188"/>
        <v/>
      </c>
      <c r="J597" s="63">
        <f t="shared" ca="1" si="184"/>
        <v>5.9699999999999996E-3</v>
      </c>
      <c r="K597" s="63">
        <f t="shared" ca="1" si="185"/>
        <v>5.9699999999999996E-3</v>
      </c>
      <c r="L597" s="63"/>
      <c r="W597" s="56">
        <f t="shared" ca="1" si="168"/>
        <v>41</v>
      </c>
      <c r="X597" s="56">
        <f t="shared" ca="1" si="169"/>
        <v>41</v>
      </c>
      <c r="Y597" s="56">
        <f t="shared" ca="1" si="170"/>
        <v>41</v>
      </c>
      <c r="Z597" s="56">
        <f t="shared" ca="1" si="171"/>
        <v>41</v>
      </c>
      <c r="AA597" s="56">
        <f t="shared" ca="1" si="172"/>
        <v>41</v>
      </c>
      <c r="AB597" s="56">
        <f ca="1">_xlfn.CEILING.MATH(INDIRECT(ADDRESS(537,22+MATCH($P$29,'I.A. + Fasce'!$W$84:$AA$84,0),1,1) &amp; ":" &amp; ADDRESS(637,22+MATCH($P$29,'I.A. + Fasce'!$W$84:$AA$84,0),1,1))/Asta!$H$3)</f>
        <v>6</v>
      </c>
    </row>
    <row r="598" spans="1:28" ht="14.25" customHeight="1">
      <c r="A598" s="239" t="str">
        <f ca="1">IF(Giocatori!P70="","T",Giocatori!P70)</f>
        <v>T</v>
      </c>
      <c r="B598" s="239" t="str">
        <f ca="1">IF(Giocatori!Q70="","ZZZ" &amp; ROW(),Giocatori!Q70)</f>
        <v>ZZZ598</v>
      </c>
      <c r="C598" s="239" t="str">
        <f ca="1">IF(Giocatori!R70="","NDR" &amp; ROW(),Giocatori!R70)</f>
        <v>NDR598</v>
      </c>
      <c r="D598" s="63">
        <f t="shared" ca="1" si="181"/>
        <v>5.9800000000000001E-3</v>
      </c>
      <c r="E598" s="63">
        <f t="shared" ca="1" si="182"/>
        <v>5.9800000000000001E-3</v>
      </c>
      <c r="F598" s="64">
        <f t="shared" ca="1" si="183"/>
        <v>1.1960298003333333E-2</v>
      </c>
      <c r="G598" s="63" t="str">
        <f t="shared" ca="1" si="186"/>
        <v/>
      </c>
      <c r="H598" s="65" t="str">
        <f t="shared" ca="1" si="187"/>
        <v/>
      </c>
      <c r="I598" s="63" t="str">
        <f t="shared" ca="1" si="188"/>
        <v/>
      </c>
      <c r="J598" s="63">
        <f t="shared" ca="1" si="184"/>
        <v>5.9800000000000001E-3</v>
      </c>
      <c r="K598" s="63">
        <f t="shared" ca="1" si="185"/>
        <v>5.9800000000000001E-3</v>
      </c>
      <c r="L598" s="63"/>
      <c r="W598" s="56">
        <f t="shared" ca="1" si="168"/>
        <v>40</v>
      </c>
      <c r="X598" s="56">
        <f t="shared" ca="1" si="169"/>
        <v>40</v>
      </c>
      <c r="Y598" s="56">
        <f t="shared" ca="1" si="170"/>
        <v>40</v>
      </c>
      <c r="Z598" s="56">
        <f t="shared" ca="1" si="171"/>
        <v>40</v>
      </c>
      <c r="AA598" s="56">
        <f t="shared" ca="1" si="172"/>
        <v>40</v>
      </c>
      <c r="AB598" s="56">
        <f ca="1">_xlfn.CEILING.MATH(INDIRECT(ADDRESS(537,22+MATCH($P$29,'I.A. + Fasce'!$W$84:$AA$84,0),1,1) &amp; ":" &amp; ADDRESS(637,22+MATCH($P$29,'I.A. + Fasce'!$W$84:$AA$84,0),1,1))/Asta!$H$3)</f>
        <v>5</v>
      </c>
    </row>
    <row r="599" spans="1:28" ht="14.25" customHeight="1">
      <c r="A599" s="239" t="str">
        <f ca="1">IF(Giocatori!P71="","T",Giocatori!P71)</f>
        <v>T</v>
      </c>
      <c r="B599" s="239" t="str">
        <f ca="1">IF(Giocatori!Q71="","ZZZ" &amp; ROW(),Giocatori!Q71)</f>
        <v>ZZZ599</v>
      </c>
      <c r="C599" s="239" t="str">
        <f ca="1">IF(Giocatori!R71="","NDR" &amp; ROW(),Giocatori!R71)</f>
        <v>NDR599</v>
      </c>
      <c r="D599" s="63">
        <f t="shared" ca="1" si="181"/>
        <v>5.9899999999999997E-3</v>
      </c>
      <c r="E599" s="63">
        <f t="shared" ca="1" si="182"/>
        <v>5.9899999999999997E-3</v>
      </c>
      <c r="F599" s="64">
        <f t="shared" ca="1" si="183"/>
        <v>1.1980299000833333E-2</v>
      </c>
      <c r="G599" s="63" t="str">
        <f t="shared" ca="1" si="186"/>
        <v/>
      </c>
      <c r="H599" s="65" t="str">
        <f t="shared" ca="1" si="187"/>
        <v/>
      </c>
      <c r="I599" s="63" t="str">
        <f t="shared" ca="1" si="188"/>
        <v/>
      </c>
      <c r="J599" s="63">
        <f t="shared" ca="1" si="184"/>
        <v>5.9899999999999997E-3</v>
      </c>
      <c r="K599" s="63">
        <f t="shared" ca="1" si="185"/>
        <v>5.9899999999999997E-3</v>
      </c>
      <c r="L599" s="63"/>
      <c r="W599" s="56">
        <f t="shared" ca="1" si="168"/>
        <v>39</v>
      </c>
      <c r="X599" s="56">
        <f t="shared" ca="1" si="169"/>
        <v>39</v>
      </c>
      <c r="Y599" s="56">
        <f t="shared" ca="1" si="170"/>
        <v>39</v>
      </c>
      <c r="Z599" s="56">
        <f t="shared" ca="1" si="171"/>
        <v>39</v>
      </c>
      <c r="AA599" s="56">
        <f t="shared" ca="1" si="172"/>
        <v>39</v>
      </c>
      <c r="AB599" s="56">
        <f ca="1">_xlfn.CEILING.MATH(INDIRECT(ADDRESS(537,22+MATCH($P$29,'I.A. + Fasce'!$W$84:$AA$84,0),1,1) &amp; ":" &amp; ADDRESS(637,22+MATCH($P$29,'I.A. + Fasce'!$W$84:$AA$84,0),1,1))/Asta!$H$3)</f>
        <v>5</v>
      </c>
    </row>
    <row r="600" spans="1:28" ht="14.25" customHeight="1">
      <c r="A600" s="239" t="str">
        <f ca="1">IF(Giocatori!P72="","T",Giocatori!P72)</f>
        <v>T</v>
      </c>
      <c r="B600" s="239" t="str">
        <f ca="1">IF(Giocatori!Q72="","ZZZ" &amp; ROW(),Giocatori!Q72)</f>
        <v>ZZZ600</v>
      </c>
      <c r="C600" s="239" t="str">
        <f ca="1">IF(Giocatori!R72="","NDR" &amp; ROW(),Giocatori!R72)</f>
        <v>NDR600</v>
      </c>
      <c r="D600" s="63">
        <f t="shared" ca="1" si="181"/>
        <v>6.0000000000000001E-3</v>
      </c>
      <c r="E600" s="63">
        <f t="shared" ca="1" si="182"/>
        <v>6.0000000000000001E-3</v>
      </c>
      <c r="F600" s="64">
        <f t="shared" ca="1" si="183"/>
        <v>1.2000300000000002E-2</v>
      </c>
      <c r="G600" s="63" t="str">
        <f t="shared" ca="1" si="186"/>
        <v/>
      </c>
      <c r="H600" s="65" t="str">
        <f t="shared" ca="1" si="187"/>
        <v/>
      </c>
      <c r="I600" s="63" t="str">
        <f t="shared" ca="1" si="188"/>
        <v/>
      </c>
      <c r="J600" s="63">
        <f t="shared" ca="1" si="184"/>
        <v>6.0000000000000001E-3</v>
      </c>
      <c r="K600" s="63">
        <f t="shared" ca="1" si="185"/>
        <v>6.0000000000000001E-3</v>
      </c>
      <c r="L600" s="63"/>
      <c r="W600" s="56">
        <f t="shared" ca="1" si="168"/>
        <v>38</v>
      </c>
      <c r="X600" s="56">
        <f t="shared" ca="1" si="169"/>
        <v>38</v>
      </c>
      <c r="Y600" s="56">
        <f t="shared" ca="1" si="170"/>
        <v>38</v>
      </c>
      <c r="Z600" s="56">
        <f t="shared" ca="1" si="171"/>
        <v>38</v>
      </c>
      <c r="AA600" s="56">
        <f t="shared" ca="1" si="172"/>
        <v>38</v>
      </c>
      <c r="AB600" s="56">
        <f ca="1">_xlfn.CEILING.MATH(INDIRECT(ADDRESS(537,22+MATCH($P$29,'I.A. + Fasce'!$W$84:$AA$84,0),1,1) &amp; ":" &amp; ADDRESS(637,22+MATCH($P$29,'I.A. + Fasce'!$W$84:$AA$84,0),1,1))/Asta!$H$3)</f>
        <v>5</v>
      </c>
    </row>
    <row r="601" spans="1:28" ht="14.25" customHeight="1">
      <c r="A601" s="239" t="str">
        <f ca="1">IF(Giocatori!P73="","T",Giocatori!P73)</f>
        <v>T</v>
      </c>
      <c r="B601" s="239" t="str">
        <f ca="1">IF(Giocatori!Q73="","ZZZ" &amp; ROW(),Giocatori!Q73)</f>
        <v>ZZZ601</v>
      </c>
      <c r="C601" s="239" t="str">
        <f ca="1">IF(Giocatori!R73="","NDR" &amp; ROW(),Giocatori!R73)</f>
        <v>NDR601</v>
      </c>
      <c r="D601" s="63">
        <f t="shared" ref="D601:D637" ca="1" si="189">IF(ISNA(VLOOKUP($B601,TabAlgTutti,6,FALSE)),0,VLOOKUP($B601,TabAlgTutti,6,FALSE))+ROW()/100000</f>
        <v>6.0099999999999997E-3</v>
      </c>
      <c r="E601" s="63">
        <f t="shared" ref="E601:E637" ca="1" si="190">IF(ISNA(VLOOKUP($B601,TabAlgTutti,5,FALSE)),0,VLOOKUP($B601,TabAlgTutti,5,FALSE))+ROW()/100000</f>
        <v>6.0099999999999997E-3</v>
      </c>
      <c r="F601" s="64">
        <f t="shared" ref="F601:F637" ca="1" si="191">($D601*$P$8+$E601*(1+$E601*100/60/100)*$S$8)/100+ROW()/100000</f>
        <v>1.2020301000833334E-2</v>
      </c>
      <c r="G601" s="63" t="str">
        <f t="shared" ca="1" si="186"/>
        <v/>
      </c>
      <c r="H601" s="65" t="str">
        <f t="shared" ca="1" si="187"/>
        <v/>
      </c>
      <c r="I601" s="63" t="str">
        <f t="shared" ca="1" si="188"/>
        <v/>
      </c>
      <c r="J601" s="63">
        <f t="shared" ref="J601:J637" ca="1" si="192">IF(ISNA(VLOOKUP($B601,TabAlgTutti,3,FALSE)),0,VLOOKUP($B601,TabAlgTutti,3,FALSE))+ROW()/100000</f>
        <v>6.0099999999999997E-3</v>
      </c>
      <c r="K601" s="63">
        <f t="shared" ref="K601:K637" ca="1" si="193">IF(ISNA(VLOOKUP($B601,TabAlgTutti,4,FALSE)),0,VLOOKUP($B601,TabAlgTutti,4,FALSE))+ROW()/100000</f>
        <v>6.0099999999999997E-3</v>
      </c>
      <c r="L601" s="63"/>
      <c r="W601" s="56">
        <f t="shared" ca="1" si="168"/>
        <v>37</v>
      </c>
      <c r="X601" s="56">
        <f t="shared" ca="1" si="169"/>
        <v>37</v>
      </c>
      <c r="Y601" s="56">
        <f t="shared" ca="1" si="170"/>
        <v>37</v>
      </c>
      <c r="Z601" s="56">
        <f t="shared" ca="1" si="171"/>
        <v>37</v>
      </c>
      <c r="AA601" s="56">
        <f t="shared" ca="1" si="172"/>
        <v>37</v>
      </c>
      <c r="AB601" s="56">
        <f ca="1">_xlfn.CEILING.MATH(INDIRECT(ADDRESS(537,22+MATCH($P$29,'I.A. + Fasce'!$W$84:$AA$84,0),1,1) &amp; ":" &amp; ADDRESS(637,22+MATCH($P$29,'I.A. + Fasce'!$W$84:$AA$84,0),1,1))/Asta!$H$3)</f>
        <v>5</v>
      </c>
    </row>
    <row r="602" spans="1:28" ht="14.25" customHeight="1">
      <c r="A602" s="239" t="str">
        <f ca="1">IF(Giocatori!P74="","T",Giocatori!P74)</f>
        <v>T</v>
      </c>
      <c r="B602" s="239" t="str">
        <f ca="1">IF(Giocatori!Q74="","ZZZ" &amp; ROW(),Giocatori!Q74)</f>
        <v>ZZZ602</v>
      </c>
      <c r="C602" s="239" t="str">
        <f ca="1">IF(Giocatori!R74="","NDR" &amp; ROW(),Giocatori!R74)</f>
        <v>NDR602</v>
      </c>
      <c r="D602" s="63">
        <f t="shared" ca="1" si="189"/>
        <v>6.0200000000000002E-3</v>
      </c>
      <c r="E602" s="63">
        <f t="shared" ca="1" si="190"/>
        <v>6.0200000000000002E-3</v>
      </c>
      <c r="F602" s="64">
        <f t="shared" ca="1" si="191"/>
        <v>1.2040302003333333E-2</v>
      </c>
      <c r="G602" s="63" t="str">
        <f t="shared" ref="G602:G637" ca="1" si="194">IF(ISNA(VLOOKUP($B602,TabAlgTutti,7,FALSE)),"",IF(VLOOKUP($B602,TabAlgTutti,7,FALSE)=-1,"SCONSIGLIATO",IF(VLOOKUP($B602,TabAlgTutti,7,FALSE)=0,"SORPRESA",IF(VLOOKUP($B602,TabAlgTutti,7,FALSE)=1,"CONSIGLIATO",""))))</f>
        <v/>
      </c>
      <c r="H602" s="65" t="str">
        <f t="shared" ref="H602:H637" ca="1" si="195">IF(ISNA(VLOOKUP($B602,TabAlgTutti,8,FALSE)),"",VLOOKUP($B602,TabAlgTutti,8,FALSE))</f>
        <v/>
      </c>
      <c r="I602" s="63" t="str">
        <f t="shared" ref="I602:I637" ca="1" si="196">IF(ISNA(VLOOKUP($B602,TabAlgTutti,9,FALSE)),"",IF(VLOOKUP($B602,TabAlgTutti,9,FALSE)=0,"",VLOOKUP($B602,TabAlgTutti,9,FALSE)&amp;"R "))&amp;IF(ISNA(VLOOKUP($B602,TabAlgTutti,10,FALSE)),"",IF(VLOOKUP($B602,TabAlgTutti,10,FALSE)=0,"",VLOOKUP($B602,TabAlgTutti,10,FALSE)&amp;"P "))&amp;IF(ISNA(VLOOKUP($B602,TabAlgTutti,11,FALSE)),"",IF(VLOOKUP($B602,TabAlgTutti,11,FALSE)=0,"",VLOOKUP($B602,TabAlgTutti,11,FALSE)&amp;"A"))</f>
        <v/>
      </c>
      <c r="J602" s="63">
        <f t="shared" ca="1" si="192"/>
        <v>6.0200000000000002E-3</v>
      </c>
      <c r="K602" s="63">
        <f t="shared" ca="1" si="193"/>
        <v>6.0200000000000002E-3</v>
      </c>
      <c r="L602" s="63"/>
      <c r="W602" s="56">
        <f t="shared" ref="W602:W637" ca="1" si="197">_xlfn.RANK.EQ(D602,D$537:D$637,0)</f>
        <v>36</v>
      </c>
      <c r="X602" s="56">
        <f t="shared" ref="X602:X637" ca="1" si="198">_xlfn.RANK.EQ(E602,$E$537:$E$637,0)</f>
        <v>36</v>
      </c>
      <c r="Y602" s="56">
        <f t="shared" ref="Y602:Y637" ca="1" si="199">_xlfn.RANK.EQ(F602,$F$537:$F$637,0)</f>
        <v>36</v>
      </c>
      <c r="Z602" s="56">
        <f t="shared" ref="Z602:Z637" ca="1" si="200">_xlfn.RANK.EQ(J602,$J$537:$J$637,0)</f>
        <v>36</v>
      </c>
      <c r="AA602" s="56">
        <f t="shared" ref="AA602:AA637" ca="1" si="201">_xlfn.RANK.EQ(K602,$K$537:$K$637,0)</f>
        <v>36</v>
      </c>
      <c r="AB602" s="56">
        <f ca="1">_xlfn.CEILING.MATH(INDIRECT(ADDRESS(537,22+MATCH($P$29,'I.A. + Fasce'!$W$84:$AA$84,0),1,1) &amp; ":" &amp; ADDRESS(637,22+MATCH($P$29,'I.A. + Fasce'!$W$84:$AA$84,0),1,1))/Asta!$H$3)</f>
        <v>5</v>
      </c>
    </row>
    <row r="603" spans="1:28" ht="14.25" customHeight="1">
      <c r="A603" s="239" t="str">
        <f ca="1">IF(Giocatori!P75="","T",Giocatori!P75)</f>
        <v>T</v>
      </c>
      <c r="B603" s="239" t="str">
        <f ca="1">IF(Giocatori!Q75="","ZZZ" &amp; ROW(),Giocatori!Q75)</f>
        <v>ZZZ603</v>
      </c>
      <c r="C603" s="239" t="str">
        <f ca="1">IF(Giocatori!R75="","NDR" &amp; ROW(),Giocatori!R75)</f>
        <v>NDR603</v>
      </c>
      <c r="D603" s="63">
        <f t="shared" ca="1" si="189"/>
        <v>6.0299999999999998E-3</v>
      </c>
      <c r="E603" s="63">
        <f t="shared" ca="1" si="190"/>
        <v>6.0299999999999998E-3</v>
      </c>
      <c r="F603" s="64">
        <f t="shared" ca="1" si="191"/>
        <v>1.2060303007499999E-2</v>
      </c>
      <c r="G603" s="63" t="str">
        <f t="shared" ca="1" si="194"/>
        <v/>
      </c>
      <c r="H603" s="65" t="str">
        <f t="shared" ca="1" si="195"/>
        <v/>
      </c>
      <c r="I603" s="63" t="str">
        <f t="shared" ca="1" si="196"/>
        <v/>
      </c>
      <c r="J603" s="63">
        <f t="shared" ca="1" si="192"/>
        <v>6.0299999999999998E-3</v>
      </c>
      <c r="K603" s="63">
        <f t="shared" ca="1" si="193"/>
        <v>6.0299999999999998E-3</v>
      </c>
      <c r="L603" s="63"/>
      <c r="W603" s="56">
        <f t="shared" ca="1" si="197"/>
        <v>35</v>
      </c>
      <c r="X603" s="56">
        <f t="shared" ca="1" si="198"/>
        <v>35</v>
      </c>
      <c r="Y603" s="56">
        <f t="shared" ca="1" si="199"/>
        <v>35</v>
      </c>
      <c r="Z603" s="56">
        <f t="shared" ca="1" si="200"/>
        <v>35</v>
      </c>
      <c r="AA603" s="56">
        <f t="shared" ca="1" si="201"/>
        <v>35</v>
      </c>
      <c r="AB603" s="56">
        <f ca="1">_xlfn.CEILING.MATH(INDIRECT(ADDRESS(537,22+MATCH($P$29,'I.A. + Fasce'!$W$84:$AA$84,0),1,1) &amp; ":" &amp; ADDRESS(637,22+MATCH($P$29,'I.A. + Fasce'!$W$84:$AA$84,0),1,1))/Asta!$H$3)</f>
        <v>5</v>
      </c>
    </row>
    <row r="604" spans="1:28" ht="14.25" customHeight="1">
      <c r="A604" s="239" t="str">
        <f ca="1">IF(Giocatori!P76="","T",Giocatori!P76)</f>
        <v>T</v>
      </c>
      <c r="B604" s="239" t="str">
        <f ca="1">IF(Giocatori!Q76="","ZZZ" &amp; ROW(),Giocatori!Q76)</f>
        <v>ZZZ604</v>
      </c>
      <c r="C604" s="239" t="str">
        <f ca="1">IF(Giocatori!R76="","NDR" &amp; ROW(),Giocatori!R76)</f>
        <v>NDR604</v>
      </c>
      <c r="D604" s="63">
        <f t="shared" ca="1" si="189"/>
        <v>6.0400000000000002E-3</v>
      </c>
      <c r="E604" s="63">
        <f t="shared" ca="1" si="190"/>
        <v>6.0400000000000002E-3</v>
      </c>
      <c r="F604" s="64">
        <f t="shared" ca="1" si="191"/>
        <v>1.2080304013333334E-2</v>
      </c>
      <c r="G604" s="63" t="str">
        <f t="shared" ca="1" si="194"/>
        <v/>
      </c>
      <c r="H604" s="65" t="str">
        <f t="shared" ca="1" si="195"/>
        <v/>
      </c>
      <c r="I604" s="63" t="str">
        <f t="shared" ca="1" si="196"/>
        <v/>
      </c>
      <c r="J604" s="63">
        <f t="shared" ca="1" si="192"/>
        <v>6.0400000000000002E-3</v>
      </c>
      <c r="K604" s="63">
        <f t="shared" ca="1" si="193"/>
        <v>6.0400000000000002E-3</v>
      </c>
      <c r="L604" s="63"/>
      <c r="W604" s="56">
        <f t="shared" ca="1" si="197"/>
        <v>34</v>
      </c>
      <c r="X604" s="56">
        <f t="shared" ca="1" si="198"/>
        <v>34</v>
      </c>
      <c r="Y604" s="56">
        <f t="shared" ca="1" si="199"/>
        <v>34</v>
      </c>
      <c r="Z604" s="56">
        <f t="shared" ca="1" si="200"/>
        <v>34</v>
      </c>
      <c r="AA604" s="56">
        <f t="shared" ca="1" si="201"/>
        <v>34</v>
      </c>
      <c r="AB604" s="56">
        <f ca="1">_xlfn.CEILING.MATH(INDIRECT(ADDRESS(537,22+MATCH($P$29,'I.A. + Fasce'!$W$84:$AA$84,0),1,1) &amp; ":" &amp; ADDRESS(637,22+MATCH($P$29,'I.A. + Fasce'!$W$84:$AA$84,0),1,1))/Asta!$H$3)</f>
        <v>5</v>
      </c>
    </row>
    <row r="605" spans="1:28" ht="14.25" customHeight="1">
      <c r="A605" s="239" t="str">
        <f ca="1">IF(Giocatori!P77="","T",Giocatori!P77)</f>
        <v>T</v>
      </c>
      <c r="B605" s="239" t="str">
        <f ca="1">IF(Giocatori!Q77="","ZZZ" &amp; ROW(),Giocatori!Q77)</f>
        <v>ZZZ605</v>
      </c>
      <c r="C605" s="239" t="str">
        <f ca="1">IF(Giocatori!R77="","NDR" &amp; ROW(),Giocatori!R77)</f>
        <v>NDR605</v>
      </c>
      <c r="D605" s="63">
        <f t="shared" ca="1" si="189"/>
        <v>6.0499999999999998E-3</v>
      </c>
      <c r="E605" s="63">
        <f t="shared" ca="1" si="190"/>
        <v>6.0499999999999998E-3</v>
      </c>
      <c r="F605" s="64">
        <f t="shared" ca="1" si="191"/>
        <v>1.2100305020833334E-2</v>
      </c>
      <c r="G605" s="63" t="str">
        <f t="shared" ca="1" si="194"/>
        <v/>
      </c>
      <c r="H605" s="65" t="str">
        <f t="shared" ca="1" si="195"/>
        <v/>
      </c>
      <c r="I605" s="63" t="str">
        <f t="shared" ca="1" si="196"/>
        <v/>
      </c>
      <c r="J605" s="63">
        <f t="shared" ca="1" si="192"/>
        <v>6.0499999999999998E-3</v>
      </c>
      <c r="K605" s="63">
        <f t="shared" ca="1" si="193"/>
        <v>6.0499999999999998E-3</v>
      </c>
      <c r="L605" s="63"/>
      <c r="W605" s="56">
        <f t="shared" ca="1" si="197"/>
        <v>33</v>
      </c>
      <c r="X605" s="56">
        <f t="shared" ca="1" si="198"/>
        <v>33</v>
      </c>
      <c r="Y605" s="56">
        <f t="shared" ca="1" si="199"/>
        <v>33</v>
      </c>
      <c r="Z605" s="56">
        <f t="shared" ca="1" si="200"/>
        <v>33</v>
      </c>
      <c r="AA605" s="56">
        <f t="shared" ca="1" si="201"/>
        <v>33</v>
      </c>
      <c r="AB605" s="56">
        <f ca="1">_xlfn.CEILING.MATH(INDIRECT(ADDRESS(537,22+MATCH($P$29,'I.A. + Fasce'!$W$84:$AA$84,0),1,1) &amp; ":" &amp; ADDRESS(637,22+MATCH($P$29,'I.A. + Fasce'!$W$84:$AA$84,0),1,1))/Asta!$H$3)</f>
        <v>5</v>
      </c>
    </row>
    <row r="606" spans="1:28" ht="14.25" customHeight="1">
      <c r="A606" s="239" t="str">
        <f ca="1">IF(Giocatori!P78="","T",Giocatori!P78)</f>
        <v>T</v>
      </c>
      <c r="B606" s="239" t="str">
        <f ca="1">IF(Giocatori!Q78="","ZZZ" &amp; ROW(),Giocatori!Q78)</f>
        <v>ZZZ606</v>
      </c>
      <c r="C606" s="239" t="str">
        <f ca="1">IF(Giocatori!R78="","NDR" &amp; ROW(),Giocatori!R78)</f>
        <v>NDR606</v>
      </c>
      <c r="D606" s="63">
        <f t="shared" ca="1" si="189"/>
        <v>6.0600000000000003E-3</v>
      </c>
      <c r="E606" s="63">
        <f t="shared" ca="1" si="190"/>
        <v>6.0600000000000003E-3</v>
      </c>
      <c r="F606" s="64">
        <f t="shared" ca="1" si="191"/>
        <v>1.212030603E-2</v>
      </c>
      <c r="G606" s="63" t="str">
        <f t="shared" ca="1" si="194"/>
        <v/>
      </c>
      <c r="H606" s="65" t="str">
        <f t="shared" ca="1" si="195"/>
        <v/>
      </c>
      <c r="I606" s="63" t="str">
        <f t="shared" ca="1" si="196"/>
        <v/>
      </c>
      <c r="J606" s="63">
        <f t="shared" ca="1" si="192"/>
        <v>6.0600000000000003E-3</v>
      </c>
      <c r="K606" s="63">
        <f t="shared" ca="1" si="193"/>
        <v>6.0600000000000003E-3</v>
      </c>
      <c r="L606" s="63"/>
      <c r="O606" s="547" t="s">
        <v>704</v>
      </c>
      <c r="P606" s="547"/>
      <c r="W606" s="56">
        <f t="shared" ca="1" si="197"/>
        <v>32</v>
      </c>
      <c r="X606" s="56">
        <f t="shared" ca="1" si="198"/>
        <v>32</v>
      </c>
      <c r="Y606" s="56">
        <f t="shared" ca="1" si="199"/>
        <v>32</v>
      </c>
      <c r="Z606" s="56">
        <f t="shared" ca="1" si="200"/>
        <v>32</v>
      </c>
      <c r="AA606" s="56">
        <f t="shared" ca="1" si="201"/>
        <v>32</v>
      </c>
      <c r="AB606" s="56">
        <f ca="1">_xlfn.CEILING.MATH(INDIRECT(ADDRESS(537,22+MATCH($P$29,'I.A. + Fasce'!$W$84:$AA$84,0),1,1) &amp; ":" &amp; ADDRESS(637,22+MATCH($P$29,'I.A. + Fasce'!$W$84:$AA$84,0),1,1))/Asta!$H$3)</f>
        <v>4</v>
      </c>
    </row>
    <row r="607" spans="1:28" ht="14.25" customHeight="1">
      <c r="A607" s="239" t="str">
        <f ca="1">IF(Giocatori!P79="","T",Giocatori!P79)</f>
        <v>T</v>
      </c>
      <c r="B607" s="239" t="str">
        <f ca="1">IF(Giocatori!Q79="","ZZZ" &amp; ROW(),Giocatori!Q79)</f>
        <v>ZZZ607</v>
      </c>
      <c r="C607" s="239" t="str">
        <f ca="1">IF(Giocatori!R79="","NDR" &amp; ROW(),Giocatori!R79)</f>
        <v>NDR607</v>
      </c>
      <c r="D607" s="63">
        <f t="shared" ca="1" si="189"/>
        <v>6.0699999999999999E-3</v>
      </c>
      <c r="E607" s="63">
        <f t="shared" ca="1" si="190"/>
        <v>6.0699999999999999E-3</v>
      </c>
      <c r="F607" s="64">
        <f t="shared" ca="1" si="191"/>
        <v>1.2140307040833333E-2</v>
      </c>
      <c r="G607" s="63" t="str">
        <f t="shared" ca="1" si="194"/>
        <v/>
      </c>
      <c r="H607" s="65" t="str">
        <f t="shared" ca="1" si="195"/>
        <v/>
      </c>
      <c r="I607" s="63" t="str">
        <f t="shared" ca="1" si="196"/>
        <v/>
      </c>
      <c r="J607" s="63">
        <f t="shared" ca="1" si="192"/>
        <v>6.0699999999999999E-3</v>
      </c>
      <c r="K607" s="63">
        <f t="shared" ca="1" si="193"/>
        <v>6.0699999999999999E-3</v>
      </c>
      <c r="L607" s="63"/>
      <c r="W607" s="56">
        <f t="shared" ca="1" si="197"/>
        <v>31</v>
      </c>
      <c r="X607" s="56">
        <f t="shared" ca="1" si="198"/>
        <v>31</v>
      </c>
      <c r="Y607" s="56">
        <f t="shared" ca="1" si="199"/>
        <v>31</v>
      </c>
      <c r="Z607" s="56">
        <f t="shared" ca="1" si="200"/>
        <v>31</v>
      </c>
      <c r="AA607" s="56">
        <f t="shared" ca="1" si="201"/>
        <v>31</v>
      </c>
      <c r="AB607" s="56">
        <f ca="1">_xlfn.CEILING.MATH(INDIRECT(ADDRESS(537,22+MATCH($P$29,'I.A. + Fasce'!$W$84:$AA$84,0),1,1) &amp; ":" &amp; ADDRESS(637,22+MATCH($P$29,'I.A. + Fasce'!$W$84:$AA$84,0),1,1))/Asta!$H$3)</f>
        <v>4</v>
      </c>
    </row>
    <row r="608" spans="1:28" ht="14.25" customHeight="1">
      <c r="A608" s="239" t="str">
        <f ca="1">IF(Giocatori!P80="","T",Giocatori!P80)</f>
        <v>T</v>
      </c>
      <c r="B608" s="239" t="str">
        <f ca="1">IF(Giocatori!Q80="","ZZZ" &amp; ROW(),Giocatori!Q80)</f>
        <v>ZZZ608</v>
      </c>
      <c r="C608" s="239" t="str">
        <f ca="1">IF(Giocatori!R80="","NDR" &amp; ROW(),Giocatori!R80)</f>
        <v>NDR608</v>
      </c>
      <c r="D608" s="63">
        <f t="shared" ca="1" si="189"/>
        <v>6.0800000000000003E-3</v>
      </c>
      <c r="E608" s="63">
        <f t="shared" ca="1" si="190"/>
        <v>6.0800000000000003E-3</v>
      </c>
      <c r="F608" s="64">
        <f t="shared" ca="1" si="191"/>
        <v>1.2160308053333332E-2</v>
      </c>
      <c r="G608" s="63" t="str">
        <f t="shared" ca="1" si="194"/>
        <v/>
      </c>
      <c r="H608" s="65" t="str">
        <f t="shared" ca="1" si="195"/>
        <v/>
      </c>
      <c r="I608" s="63" t="str">
        <f t="shared" ca="1" si="196"/>
        <v/>
      </c>
      <c r="J608" s="63">
        <f t="shared" ca="1" si="192"/>
        <v>6.0800000000000003E-3</v>
      </c>
      <c r="K608" s="63">
        <f t="shared" ca="1" si="193"/>
        <v>6.0800000000000003E-3</v>
      </c>
      <c r="L608" s="63"/>
      <c r="W608" s="56">
        <f t="shared" ca="1" si="197"/>
        <v>30</v>
      </c>
      <c r="X608" s="56">
        <f t="shared" ca="1" si="198"/>
        <v>30</v>
      </c>
      <c r="Y608" s="56">
        <f t="shared" ca="1" si="199"/>
        <v>30</v>
      </c>
      <c r="Z608" s="56">
        <f t="shared" ca="1" si="200"/>
        <v>30</v>
      </c>
      <c r="AA608" s="56">
        <f t="shared" ca="1" si="201"/>
        <v>30</v>
      </c>
      <c r="AB608" s="56">
        <f ca="1">_xlfn.CEILING.MATH(INDIRECT(ADDRESS(537,22+MATCH($P$29,'I.A. + Fasce'!$W$84:$AA$84,0),1,1) &amp; ":" &amp; ADDRESS(637,22+MATCH($P$29,'I.A. + Fasce'!$W$84:$AA$84,0),1,1))/Asta!$H$3)</f>
        <v>4</v>
      </c>
    </row>
    <row r="609" spans="1:28" ht="14.25" customHeight="1">
      <c r="A609" s="239" t="str">
        <f ca="1">IF(Giocatori!P81="","T",Giocatori!P81)</f>
        <v>T</v>
      </c>
      <c r="B609" s="239" t="str">
        <f ca="1">IF(Giocatori!Q81="","ZZZ" &amp; ROW(),Giocatori!Q81)</f>
        <v>ZZZ609</v>
      </c>
      <c r="C609" s="239" t="str">
        <f ca="1">IF(Giocatori!R81="","NDR" &amp; ROW(),Giocatori!R81)</f>
        <v>NDR609</v>
      </c>
      <c r="D609" s="63">
        <f t="shared" ca="1" si="189"/>
        <v>6.0899999999999999E-3</v>
      </c>
      <c r="E609" s="63">
        <f t="shared" ca="1" si="190"/>
        <v>6.0899999999999999E-3</v>
      </c>
      <c r="F609" s="64">
        <f t="shared" ca="1" si="191"/>
        <v>1.2180309067499999E-2</v>
      </c>
      <c r="G609" s="63" t="str">
        <f t="shared" ca="1" si="194"/>
        <v/>
      </c>
      <c r="H609" s="65" t="str">
        <f t="shared" ca="1" si="195"/>
        <v/>
      </c>
      <c r="I609" s="63" t="str">
        <f t="shared" ca="1" si="196"/>
        <v/>
      </c>
      <c r="J609" s="63">
        <f t="shared" ca="1" si="192"/>
        <v>6.0899999999999999E-3</v>
      </c>
      <c r="K609" s="63">
        <f t="shared" ca="1" si="193"/>
        <v>6.0899999999999999E-3</v>
      </c>
      <c r="L609" s="63"/>
      <c r="W609" s="56">
        <f t="shared" ca="1" si="197"/>
        <v>29</v>
      </c>
      <c r="X609" s="56">
        <f t="shared" ca="1" si="198"/>
        <v>29</v>
      </c>
      <c r="Y609" s="56">
        <f t="shared" ca="1" si="199"/>
        <v>29</v>
      </c>
      <c r="Z609" s="56">
        <f t="shared" ca="1" si="200"/>
        <v>29</v>
      </c>
      <c r="AA609" s="56">
        <f t="shared" ca="1" si="201"/>
        <v>29</v>
      </c>
      <c r="AB609" s="56">
        <f ca="1">_xlfn.CEILING.MATH(INDIRECT(ADDRESS(537,22+MATCH($P$29,'I.A. + Fasce'!$W$84:$AA$84,0),1,1) &amp; ":" &amp; ADDRESS(637,22+MATCH($P$29,'I.A. + Fasce'!$W$84:$AA$84,0),1,1))/Asta!$H$3)</f>
        <v>4</v>
      </c>
    </row>
    <row r="610" spans="1:28" ht="14.25" customHeight="1">
      <c r="A610" s="239" t="str">
        <f ca="1">IF(Giocatori!P82="","T",Giocatori!P82)</f>
        <v>T</v>
      </c>
      <c r="B610" s="239" t="str">
        <f ca="1">IF(Giocatori!Q82="","ZZZ" &amp; ROW(),Giocatori!Q82)</f>
        <v>ZZZ610</v>
      </c>
      <c r="C610" s="239" t="str">
        <f ca="1">IF(Giocatori!R82="","NDR" &amp; ROW(),Giocatori!R82)</f>
        <v>NDR610</v>
      </c>
      <c r="D610" s="63">
        <f t="shared" ca="1" si="189"/>
        <v>6.1000000000000004E-3</v>
      </c>
      <c r="E610" s="63">
        <f t="shared" ca="1" si="190"/>
        <v>6.1000000000000004E-3</v>
      </c>
      <c r="F610" s="64">
        <f t="shared" ca="1" si="191"/>
        <v>1.2200310083333334E-2</v>
      </c>
      <c r="G610" s="63" t="str">
        <f t="shared" ca="1" si="194"/>
        <v/>
      </c>
      <c r="H610" s="65" t="str">
        <f t="shared" ca="1" si="195"/>
        <v/>
      </c>
      <c r="I610" s="63" t="str">
        <f t="shared" ca="1" si="196"/>
        <v/>
      </c>
      <c r="J610" s="63">
        <f t="shared" ca="1" si="192"/>
        <v>6.1000000000000004E-3</v>
      </c>
      <c r="K610" s="63">
        <f t="shared" ca="1" si="193"/>
        <v>6.1000000000000004E-3</v>
      </c>
      <c r="L610" s="63"/>
      <c r="W610" s="56">
        <f t="shared" ca="1" si="197"/>
        <v>28</v>
      </c>
      <c r="X610" s="56">
        <f t="shared" ca="1" si="198"/>
        <v>28</v>
      </c>
      <c r="Y610" s="56">
        <f t="shared" ca="1" si="199"/>
        <v>28</v>
      </c>
      <c r="Z610" s="56">
        <f t="shared" ca="1" si="200"/>
        <v>28</v>
      </c>
      <c r="AA610" s="56">
        <f t="shared" ca="1" si="201"/>
        <v>28</v>
      </c>
      <c r="AB610" s="56">
        <f ca="1">_xlfn.CEILING.MATH(INDIRECT(ADDRESS(537,22+MATCH($P$29,'I.A. + Fasce'!$W$84:$AA$84,0),1,1) &amp; ":" &amp; ADDRESS(637,22+MATCH($P$29,'I.A. + Fasce'!$W$84:$AA$84,0),1,1))/Asta!$H$3)</f>
        <v>4</v>
      </c>
    </row>
    <row r="611" spans="1:28" ht="14.25" customHeight="1">
      <c r="A611" s="239" t="str">
        <f ca="1">IF(Giocatori!P83="","T",Giocatori!P83)</f>
        <v>T</v>
      </c>
      <c r="B611" s="239" t="str">
        <f ca="1">IF(Giocatori!Q83="","ZZZ" &amp; ROW(),Giocatori!Q83)</f>
        <v>ZZZ611</v>
      </c>
      <c r="C611" s="239" t="str">
        <f ca="1">IF(Giocatori!R83="","NDR" &amp; ROW(),Giocatori!R83)</f>
        <v>NDR611</v>
      </c>
      <c r="D611" s="63">
        <f t="shared" ca="1" si="189"/>
        <v>6.11E-3</v>
      </c>
      <c r="E611" s="63">
        <f t="shared" ca="1" si="190"/>
        <v>6.11E-3</v>
      </c>
      <c r="F611" s="64">
        <f t="shared" ca="1" si="191"/>
        <v>1.2220311100833332E-2</v>
      </c>
      <c r="G611" s="63" t="str">
        <f t="shared" ca="1" si="194"/>
        <v/>
      </c>
      <c r="H611" s="65" t="str">
        <f t="shared" ca="1" si="195"/>
        <v/>
      </c>
      <c r="I611" s="63" t="str">
        <f t="shared" ca="1" si="196"/>
        <v/>
      </c>
      <c r="J611" s="63">
        <f t="shared" ca="1" si="192"/>
        <v>6.11E-3</v>
      </c>
      <c r="K611" s="63">
        <f t="shared" ca="1" si="193"/>
        <v>6.11E-3</v>
      </c>
      <c r="L611" s="63"/>
      <c r="W611" s="56">
        <f t="shared" ca="1" si="197"/>
        <v>27</v>
      </c>
      <c r="X611" s="56">
        <f t="shared" ca="1" si="198"/>
        <v>27</v>
      </c>
      <c r="Y611" s="56">
        <f t="shared" ca="1" si="199"/>
        <v>27</v>
      </c>
      <c r="Z611" s="56">
        <f t="shared" ca="1" si="200"/>
        <v>27</v>
      </c>
      <c r="AA611" s="56">
        <f t="shared" ca="1" si="201"/>
        <v>27</v>
      </c>
      <c r="AB611" s="56">
        <f ca="1">_xlfn.CEILING.MATH(INDIRECT(ADDRESS(537,22+MATCH($P$29,'I.A. + Fasce'!$W$84:$AA$84,0),1,1) &amp; ":" &amp; ADDRESS(637,22+MATCH($P$29,'I.A. + Fasce'!$W$84:$AA$84,0),1,1))/Asta!$H$3)</f>
        <v>4</v>
      </c>
    </row>
    <row r="612" spans="1:28" ht="14.25" customHeight="1">
      <c r="A612" s="239" t="str">
        <f ca="1">IF(Giocatori!P84="","T",Giocatori!P84)</f>
        <v>T</v>
      </c>
      <c r="B612" s="239" t="str">
        <f ca="1">IF(Giocatori!Q84="","ZZZ" &amp; ROW(),Giocatori!Q84)</f>
        <v>ZZZ612</v>
      </c>
      <c r="C612" s="239" t="str">
        <f ca="1">IF(Giocatori!R84="","NDR" &amp; ROW(),Giocatori!R84)</f>
        <v>NDR612</v>
      </c>
      <c r="D612" s="63">
        <f t="shared" ca="1" si="189"/>
        <v>6.1199999999999996E-3</v>
      </c>
      <c r="E612" s="63">
        <f t="shared" ca="1" si="190"/>
        <v>6.1199999999999996E-3</v>
      </c>
      <c r="F612" s="64">
        <f t="shared" ca="1" si="191"/>
        <v>1.2240312119999999E-2</v>
      </c>
      <c r="G612" s="63" t="str">
        <f t="shared" ca="1" si="194"/>
        <v/>
      </c>
      <c r="H612" s="65" t="str">
        <f t="shared" ca="1" si="195"/>
        <v/>
      </c>
      <c r="I612" s="63" t="str">
        <f t="shared" ca="1" si="196"/>
        <v/>
      </c>
      <c r="J612" s="63">
        <f t="shared" ca="1" si="192"/>
        <v>6.1199999999999996E-3</v>
      </c>
      <c r="K612" s="63">
        <f t="shared" ca="1" si="193"/>
        <v>6.1199999999999996E-3</v>
      </c>
      <c r="L612" s="63"/>
      <c r="W612" s="56">
        <f t="shared" ca="1" si="197"/>
        <v>26</v>
      </c>
      <c r="X612" s="56">
        <f t="shared" ca="1" si="198"/>
        <v>26</v>
      </c>
      <c r="Y612" s="56">
        <f t="shared" ca="1" si="199"/>
        <v>26</v>
      </c>
      <c r="Z612" s="56">
        <f t="shared" ca="1" si="200"/>
        <v>26</v>
      </c>
      <c r="AA612" s="56">
        <f t="shared" ca="1" si="201"/>
        <v>26</v>
      </c>
      <c r="AB612" s="56">
        <f ca="1">_xlfn.CEILING.MATH(INDIRECT(ADDRESS(537,22+MATCH($P$29,'I.A. + Fasce'!$W$84:$AA$84,0),1,1) &amp; ":" &amp; ADDRESS(637,22+MATCH($P$29,'I.A. + Fasce'!$W$84:$AA$84,0),1,1))/Asta!$H$3)</f>
        <v>4</v>
      </c>
    </row>
    <row r="613" spans="1:28" ht="14.25" customHeight="1">
      <c r="A613" s="239" t="str">
        <f ca="1">IF(Giocatori!P85="","T",Giocatori!P85)</f>
        <v>T</v>
      </c>
      <c r="B613" s="239" t="str">
        <f ca="1">IF(Giocatori!Q85="","ZZZ" &amp; ROW(),Giocatori!Q85)</f>
        <v>ZZZ613</v>
      </c>
      <c r="C613" s="239" t="str">
        <f ca="1">IF(Giocatori!R85="","NDR" &amp; ROW(),Giocatori!R85)</f>
        <v>NDR613</v>
      </c>
      <c r="D613" s="63">
        <f t="shared" ca="1" si="189"/>
        <v>6.13E-3</v>
      </c>
      <c r="E613" s="63">
        <f t="shared" ca="1" si="190"/>
        <v>6.13E-3</v>
      </c>
      <c r="F613" s="64">
        <f t="shared" ca="1" si="191"/>
        <v>1.2260313140833335E-2</v>
      </c>
      <c r="G613" s="63" t="str">
        <f t="shared" ca="1" si="194"/>
        <v/>
      </c>
      <c r="H613" s="65" t="str">
        <f t="shared" ca="1" si="195"/>
        <v/>
      </c>
      <c r="I613" s="63" t="str">
        <f t="shared" ca="1" si="196"/>
        <v/>
      </c>
      <c r="J613" s="63">
        <f t="shared" ca="1" si="192"/>
        <v>6.13E-3</v>
      </c>
      <c r="K613" s="63">
        <f t="shared" ca="1" si="193"/>
        <v>6.13E-3</v>
      </c>
      <c r="L613" s="63"/>
      <c r="W613" s="56">
        <f t="shared" ca="1" si="197"/>
        <v>25</v>
      </c>
      <c r="X613" s="56">
        <f t="shared" ca="1" si="198"/>
        <v>25</v>
      </c>
      <c r="Y613" s="56">
        <f t="shared" ca="1" si="199"/>
        <v>25</v>
      </c>
      <c r="Z613" s="56">
        <f t="shared" ca="1" si="200"/>
        <v>25</v>
      </c>
      <c r="AA613" s="56">
        <f t="shared" ca="1" si="201"/>
        <v>25</v>
      </c>
      <c r="AB613" s="56">
        <f ca="1">_xlfn.CEILING.MATH(INDIRECT(ADDRESS(537,22+MATCH($P$29,'I.A. + Fasce'!$W$84:$AA$84,0),1,1) &amp; ":" &amp; ADDRESS(637,22+MATCH($P$29,'I.A. + Fasce'!$W$84:$AA$84,0),1,1))/Asta!$H$3)</f>
        <v>4</v>
      </c>
    </row>
    <row r="614" spans="1:28" ht="14.25" customHeight="1">
      <c r="A614" s="239" t="str">
        <f ca="1">IF(Giocatori!P86="","T",Giocatori!P86)</f>
        <v>T</v>
      </c>
      <c r="B614" s="239" t="str">
        <f ca="1">IF(Giocatori!Q86="","ZZZ" &amp; ROW(),Giocatori!Q86)</f>
        <v>ZZZ614</v>
      </c>
      <c r="C614" s="239" t="str">
        <f ca="1">IF(Giocatori!R86="","NDR" &amp; ROW(),Giocatori!R86)</f>
        <v>NDR614</v>
      </c>
      <c r="D614" s="63">
        <f t="shared" ca="1" si="189"/>
        <v>6.1399999999999996E-3</v>
      </c>
      <c r="E614" s="63">
        <f t="shared" ca="1" si="190"/>
        <v>6.1399999999999996E-3</v>
      </c>
      <c r="F614" s="64">
        <f t="shared" ca="1" si="191"/>
        <v>1.2280314163333333E-2</v>
      </c>
      <c r="G614" s="63" t="str">
        <f t="shared" ca="1" si="194"/>
        <v/>
      </c>
      <c r="H614" s="65" t="str">
        <f t="shared" ca="1" si="195"/>
        <v/>
      </c>
      <c r="I614" s="63" t="str">
        <f t="shared" ca="1" si="196"/>
        <v/>
      </c>
      <c r="J614" s="63">
        <f t="shared" ca="1" si="192"/>
        <v>6.1399999999999996E-3</v>
      </c>
      <c r="K614" s="63">
        <f t="shared" ca="1" si="193"/>
        <v>6.1399999999999996E-3</v>
      </c>
      <c r="L614" s="63"/>
      <c r="W614" s="56">
        <f t="shared" ca="1" si="197"/>
        <v>24</v>
      </c>
      <c r="X614" s="56">
        <f t="shared" ca="1" si="198"/>
        <v>24</v>
      </c>
      <c r="Y614" s="56">
        <f t="shared" ca="1" si="199"/>
        <v>24</v>
      </c>
      <c r="Z614" s="56">
        <f t="shared" ca="1" si="200"/>
        <v>24</v>
      </c>
      <c r="AA614" s="56">
        <f t="shared" ca="1" si="201"/>
        <v>24</v>
      </c>
      <c r="AB614" s="56">
        <f ca="1">_xlfn.CEILING.MATH(INDIRECT(ADDRESS(537,22+MATCH($P$29,'I.A. + Fasce'!$W$84:$AA$84,0),1,1) &amp; ":" &amp; ADDRESS(637,22+MATCH($P$29,'I.A. + Fasce'!$W$84:$AA$84,0),1,1))/Asta!$H$3)</f>
        <v>3</v>
      </c>
    </row>
    <row r="615" spans="1:28" ht="14.25" customHeight="1">
      <c r="A615" s="239" t="str">
        <f ca="1">IF(Giocatori!P87="","T",Giocatori!P87)</f>
        <v>T</v>
      </c>
      <c r="B615" s="239" t="str">
        <f ca="1">IF(Giocatori!Q87="","ZZZ" &amp; ROW(),Giocatori!Q87)</f>
        <v>ZZZ615</v>
      </c>
      <c r="C615" s="239" t="str">
        <f ca="1">IF(Giocatori!R87="","NDR" &amp; ROW(),Giocatori!R87)</f>
        <v>NDR615</v>
      </c>
      <c r="D615" s="63">
        <f t="shared" ca="1" si="189"/>
        <v>6.1500000000000001E-3</v>
      </c>
      <c r="E615" s="63">
        <f t="shared" ca="1" si="190"/>
        <v>6.1500000000000001E-3</v>
      </c>
      <c r="F615" s="64">
        <f t="shared" ca="1" si="191"/>
        <v>1.2300315187500001E-2</v>
      </c>
      <c r="G615" s="63" t="str">
        <f t="shared" ca="1" si="194"/>
        <v/>
      </c>
      <c r="H615" s="65" t="str">
        <f t="shared" ca="1" si="195"/>
        <v/>
      </c>
      <c r="I615" s="63" t="str">
        <f t="shared" ca="1" si="196"/>
        <v/>
      </c>
      <c r="J615" s="63">
        <f t="shared" ca="1" si="192"/>
        <v>6.1500000000000001E-3</v>
      </c>
      <c r="K615" s="63">
        <f t="shared" ca="1" si="193"/>
        <v>6.1500000000000001E-3</v>
      </c>
      <c r="L615" s="63"/>
      <c r="W615" s="56">
        <f t="shared" ca="1" si="197"/>
        <v>23</v>
      </c>
      <c r="X615" s="56">
        <f t="shared" ca="1" si="198"/>
        <v>23</v>
      </c>
      <c r="Y615" s="56">
        <f t="shared" ca="1" si="199"/>
        <v>23</v>
      </c>
      <c r="Z615" s="56">
        <f t="shared" ca="1" si="200"/>
        <v>23</v>
      </c>
      <c r="AA615" s="56">
        <f t="shared" ca="1" si="201"/>
        <v>23</v>
      </c>
      <c r="AB615" s="56">
        <f ca="1">_xlfn.CEILING.MATH(INDIRECT(ADDRESS(537,22+MATCH($P$29,'I.A. + Fasce'!$W$84:$AA$84,0),1,1) &amp; ":" &amp; ADDRESS(637,22+MATCH($P$29,'I.A. + Fasce'!$W$84:$AA$84,0),1,1))/Asta!$H$3)</f>
        <v>3</v>
      </c>
    </row>
    <row r="616" spans="1:28" ht="14.25" customHeight="1">
      <c r="A616" s="239" t="str">
        <f ca="1">IF(Giocatori!P88="","T",Giocatori!P88)</f>
        <v>T</v>
      </c>
      <c r="B616" s="239" t="str">
        <f ca="1">IF(Giocatori!Q88="","ZZZ" &amp; ROW(),Giocatori!Q88)</f>
        <v>ZZZ616</v>
      </c>
      <c r="C616" s="239" t="str">
        <f ca="1">IF(Giocatori!R88="","NDR" &amp; ROW(),Giocatori!R88)</f>
        <v>NDR616</v>
      </c>
      <c r="D616" s="63">
        <f t="shared" ca="1" si="189"/>
        <v>6.1599999999999997E-3</v>
      </c>
      <c r="E616" s="63">
        <f t="shared" ca="1" si="190"/>
        <v>6.1599999999999997E-3</v>
      </c>
      <c r="F616" s="64">
        <f t="shared" ca="1" si="191"/>
        <v>1.2320316213333331E-2</v>
      </c>
      <c r="G616" s="63" t="str">
        <f t="shared" ca="1" si="194"/>
        <v/>
      </c>
      <c r="H616" s="65" t="str">
        <f t="shared" ca="1" si="195"/>
        <v/>
      </c>
      <c r="I616" s="63" t="str">
        <f t="shared" ca="1" si="196"/>
        <v/>
      </c>
      <c r="J616" s="63">
        <f t="shared" ca="1" si="192"/>
        <v>6.1599999999999997E-3</v>
      </c>
      <c r="K616" s="63">
        <f t="shared" ca="1" si="193"/>
        <v>6.1599999999999997E-3</v>
      </c>
      <c r="L616" s="63"/>
      <c r="W616" s="56">
        <f t="shared" ca="1" si="197"/>
        <v>22</v>
      </c>
      <c r="X616" s="56">
        <f t="shared" ca="1" si="198"/>
        <v>22</v>
      </c>
      <c r="Y616" s="56">
        <f t="shared" ca="1" si="199"/>
        <v>22</v>
      </c>
      <c r="Z616" s="56">
        <f t="shared" ca="1" si="200"/>
        <v>22</v>
      </c>
      <c r="AA616" s="56">
        <f t="shared" ca="1" si="201"/>
        <v>22</v>
      </c>
      <c r="AB616" s="56">
        <f ca="1">_xlfn.CEILING.MATH(INDIRECT(ADDRESS(537,22+MATCH($P$29,'I.A. + Fasce'!$W$84:$AA$84,0),1,1) &amp; ":" &amp; ADDRESS(637,22+MATCH($P$29,'I.A. + Fasce'!$W$84:$AA$84,0),1,1))/Asta!$H$3)</f>
        <v>3</v>
      </c>
    </row>
    <row r="617" spans="1:28" ht="14.25" customHeight="1">
      <c r="A617" s="239" t="str">
        <f ca="1">IF(Giocatori!P89="","T",Giocatori!P89)</f>
        <v>T</v>
      </c>
      <c r="B617" s="239" t="str">
        <f ca="1">IF(Giocatori!Q89="","ZZZ" &amp; ROW(),Giocatori!Q89)</f>
        <v>ZZZ617</v>
      </c>
      <c r="C617" s="239" t="str">
        <f ca="1">IF(Giocatori!R89="","NDR" &amp; ROW(),Giocatori!R89)</f>
        <v>NDR617</v>
      </c>
      <c r="D617" s="63">
        <f t="shared" ca="1" si="189"/>
        <v>6.1700000000000001E-3</v>
      </c>
      <c r="E617" s="63">
        <f t="shared" ca="1" si="190"/>
        <v>6.1700000000000001E-3</v>
      </c>
      <c r="F617" s="64">
        <f t="shared" ca="1" si="191"/>
        <v>1.2340317240833332E-2</v>
      </c>
      <c r="G617" s="63" t="str">
        <f t="shared" ca="1" si="194"/>
        <v/>
      </c>
      <c r="H617" s="65" t="str">
        <f t="shared" ca="1" si="195"/>
        <v/>
      </c>
      <c r="I617" s="63" t="str">
        <f t="shared" ca="1" si="196"/>
        <v/>
      </c>
      <c r="J617" s="63">
        <f t="shared" ca="1" si="192"/>
        <v>6.1700000000000001E-3</v>
      </c>
      <c r="K617" s="63">
        <f t="shared" ca="1" si="193"/>
        <v>6.1700000000000001E-3</v>
      </c>
      <c r="L617" s="63"/>
      <c r="W617" s="56">
        <f t="shared" ca="1" si="197"/>
        <v>21</v>
      </c>
      <c r="X617" s="56">
        <f t="shared" ca="1" si="198"/>
        <v>21</v>
      </c>
      <c r="Y617" s="56">
        <f t="shared" ca="1" si="199"/>
        <v>21</v>
      </c>
      <c r="Z617" s="56">
        <f t="shared" ca="1" si="200"/>
        <v>21</v>
      </c>
      <c r="AA617" s="56">
        <f t="shared" ca="1" si="201"/>
        <v>21</v>
      </c>
      <c r="AB617" s="56">
        <f ca="1">_xlfn.CEILING.MATH(INDIRECT(ADDRESS(537,22+MATCH($P$29,'I.A. + Fasce'!$W$84:$AA$84,0),1,1) &amp; ":" &amp; ADDRESS(637,22+MATCH($P$29,'I.A. + Fasce'!$W$84:$AA$84,0),1,1))/Asta!$H$3)</f>
        <v>3</v>
      </c>
    </row>
    <row r="618" spans="1:28" ht="14.25" customHeight="1">
      <c r="A618" s="239" t="str">
        <f ca="1">IF(Giocatori!P90="","T",Giocatori!P90)</f>
        <v>T</v>
      </c>
      <c r="B618" s="239" t="str">
        <f ca="1">IF(Giocatori!Q90="","ZZZ" &amp; ROW(),Giocatori!Q90)</f>
        <v>ZZZ618</v>
      </c>
      <c r="C618" s="239" t="str">
        <f ca="1">IF(Giocatori!R90="","NDR" &amp; ROW(),Giocatori!R90)</f>
        <v>NDR618</v>
      </c>
      <c r="D618" s="63">
        <f t="shared" ca="1" si="189"/>
        <v>6.1799999999999997E-3</v>
      </c>
      <c r="E618" s="63">
        <f t="shared" ca="1" si="190"/>
        <v>6.1799999999999997E-3</v>
      </c>
      <c r="F618" s="64">
        <f t="shared" ca="1" si="191"/>
        <v>1.236031827E-2</v>
      </c>
      <c r="G618" s="63" t="str">
        <f t="shared" ca="1" si="194"/>
        <v/>
      </c>
      <c r="H618" s="65" t="str">
        <f t="shared" ca="1" si="195"/>
        <v/>
      </c>
      <c r="I618" s="63" t="str">
        <f t="shared" ca="1" si="196"/>
        <v/>
      </c>
      <c r="J618" s="63">
        <f t="shared" ca="1" si="192"/>
        <v>6.1799999999999997E-3</v>
      </c>
      <c r="K618" s="63">
        <f t="shared" ca="1" si="193"/>
        <v>6.1799999999999997E-3</v>
      </c>
      <c r="L618" s="63"/>
      <c r="W618" s="56">
        <f t="shared" ca="1" si="197"/>
        <v>20</v>
      </c>
      <c r="X618" s="56">
        <f t="shared" ca="1" si="198"/>
        <v>20</v>
      </c>
      <c r="Y618" s="56">
        <f t="shared" ca="1" si="199"/>
        <v>20</v>
      </c>
      <c r="Z618" s="56">
        <f t="shared" ca="1" si="200"/>
        <v>20</v>
      </c>
      <c r="AA618" s="56">
        <f t="shared" ca="1" si="201"/>
        <v>20</v>
      </c>
      <c r="AB618" s="56">
        <f ca="1">_xlfn.CEILING.MATH(INDIRECT(ADDRESS(537,22+MATCH($P$29,'I.A. + Fasce'!$W$84:$AA$84,0),1,1) &amp; ":" &amp; ADDRESS(637,22+MATCH($P$29,'I.A. + Fasce'!$W$84:$AA$84,0),1,1))/Asta!$H$3)</f>
        <v>3</v>
      </c>
    </row>
    <row r="619" spans="1:28" ht="14.25" customHeight="1">
      <c r="A619" s="239" t="str">
        <f ca="1">IF(Giocatori!P91="","T",Giocatori!P91)</f>
        <v>T</v>
      </c>
      <c r="B619" s="239" t="str">
        <f ca="1">IF(Giocatori!Q91="","ZZZ" &amp; ROW(),Giocatori!Q91)</f>
        <v>ZZZ619</v>
      </c>
      <c r="C619" s="239" t="str">
        <f ca="1">IF(Giocatori!R91="","NDR" &amp; ROW(),Giocatori!R91)</f>
        <v>NDR619</v>
      </c>
      <c r="D619" s="63">
        <f t="shared" ca="1" si="189"/>
        <v>6.1900000000000002E-3</v>
      </c>
      <c r="E619" s="63">
        <f t="shared" ca="1" si="190"/>
        <v>6.1900000000000002E-3</v>
      </c>
      <c r="F619" s="64">
        <f t="shared" ca="1" si="191"/>
        <v>1.2380319300833335E-2</v>
      </c>
      <c r="G619" s="63" t="str">
        <f t="shared" ca="1" si="194"/>
        <v/>
      </c>
      <c r="H619" s="65" t="str">
        <f t="shared" ca="1" si="195"/>
        <v/>
      </c>
      <c r="I619" s="63" t="str">
        <f t="shared" ca="1" si="196"/>
        <v/>
      </c>
      <c r="J619" s="63">
        <f t="shared" ca="1" si="192"/>
        <v>6.1900000000000002E-3</v>
      </c>
      <c r="K619" s="63">
        <f t="shared" ca="1" si="193"/>
        <v>6.1900000000000002E-3</v>
      </c>
      <c r="L619" s="63"/>
      <c r="W619" s="56">
        <f t="shared" ca="1" si="197"/>
        <v>19</v>
      </c>
      <c r="X619" s="56">
        <f t="shared" ca="1" si="198"/>
        <v>19</v>
      </c>
      <c r="Y619" s="56">
        <f t="shared" ca="1" si="199"/>
        <v>19</v>
      </c>
      <c r="Z619" s="56">
        <f t="shared" ca="1" si="200"/>
        <v>19</v>
      </c>
      <c r="AA619" s="56">
        <f t="shared" ca="1" si="201"/>
        <v>19</v>
      </c>
      <c r="AB619" s="56">
        <f ca="1">_xlfn.CEILING.MATH(INDIRECT(ADDRESS(537,22+MATCH($P$29,'I.A. + Fasce'!$W$84:$AA$84,0),1,1) &amp; ":" &amp; ADDRESS(637,22+MATCH($P$29,'I.A. + Fasce'!$W$84:$AA$84,0),1,1))/Asta!$H$3)</f>
        <v>3</v>
      </c>
    </row>
    <row r="620" spans="1:28" ht="14.25" customHeight="1">
      <c r="A620" s="239" t="str">
        <f ca="1">IF(Giocatori!P92="","T",Giocatori!P92)</f>
        <v>T</v>
      </c>
      <c r="B620" s="239" t="str">
        <f ca="1">IF(Giocatori!Q92="","ZZZ" &amp; ROW(),Giocatori!Q92)</f>
        <v>ZZZ620</v>
      </c>
      <c r="C620" s="239" t="str">
        <f ca="1">IF(Giocatori!R92="","NDR" &amp; ROW(),Giocatori!R92)</f>
        <v>NDR620</v>
      </c>
      <c r="D620" s="63">
        <f t="shared" ca="1" si="189"/>
        <v>6.1999999999999998E-3</v>
      </c>
      <c r="E620" s="63">
        <f t="shared" ca="1" si="190"/>
        <v>6.1999999999999998E-3</v>
      </c>
      <c r="F620" s="64">
        <f t="shared" ca="1" si="191"/>
        <v>1.2400320333333333E-2</v>
      </c>
      <c r="G620" s="63" t="str">
        <f t="shared" ca="1" si="194"/>
        <v/>
      </c>
      <c r="H620" s="65" t="str">
        <f t="shared" ca="1" si="195"/>
        <v/>
      </c>
      <c r="I620" s="63" t="str">
        <f t="shared" ca="1" si="196"/>
        <v/>
      </c>
      <c r="J620" s="63">
        <f t="shared" ca="1" si="192"/>
        <v>6.1999999999999998E-3</v>
      </c>
      <c r="K620" s="63">
        <f t="shared" ca="1" si="193"/>
        <v>6.1999999999999998E-3</v>
      </c>
      <c r="L620" s="63"/>
      <c r="W620" s="56">
        <f t="shared" ca="1" si="197"/>
        <v>18</v>
      </c>
      <c r="X620" s="56">
        <f t="shared" ca="1" si="198"/>
        <v>18</v>
      </c>
      <c r="Y620" s="56">
        <f t="shared" ca="1" si="199"/>
        <v>18</v>
      </c>
      <c r="Z620" s="56">
        <f t="shared" ca="1" si="200"/>
        <v>18</v>
      </c>
      <c r="AA620" s="56">
        <f t="shared" ca="1" si="201"/>
        <v>18</v>
      </c>
      <c r="AB620" s="56">
        <f ca="1">_xlfn.CEILING.MATH(INDIRECT(ADDRESS(537,22+MATCH($P$29,'I.A. + Fasce'!$W$84:$AA$84,0),1,1) &amp; ":" &amp; ADDRESS(637,22+MATCH($P$29,'I.A. + Fasce'!$W$84:$AA$84,0),1,1))/Asta!$H$3)</f>
        <v>3</v>
      </c>
    </row>
    <row r="621" spans="1:28" ht="14.25" customHeight="1">
      <c r="A621" s="239" t="str">
        <f ca="1">IF(Giocatori!P93="","T",Giocatori!P93)</f>
        <v>T</v>
      </c>
      <c r="B621" s="239" t="str">
        <f ca="1">IF(Giocatori!Q93="","ZZZ" &amp; ROW(),Giocatori!Q93)</f>
        <v>ZZZ621</v>
      </c>
      <c r="C621" s="239" t="str">
        <f ca="1">IF(Giocatori!R93="","NDR" &amp; ROW(),Giocatori!R93)</f>
        <v>NDR621</v>
      </c>
      <c r="D621" s="63">
        <f t="shared" ca="1" si="189"/>
        <v>6.2100000000000002E-3</v>
      </c>
      <c r="E621" s="63">
        <f t="shared" ca="1" si="190"/>
        <v>6.2100000000000002E-3</v>
      </c>
      <c r="F621" s="64">
        <f t="shared" ca="1" si="191"/>
        <v>1.2420321367500001E-2</v>
      </c>
      <c r="G621" s="63" t="str">
        <f t="shared" ca="1" si="194"/>
        <v/>
      </c>
      <c r="H621" s="65" t="str">
        <f t="shared" ca="1" si="195"/>
        <v/>
      </c>
      <c r="I621" s="63" t="str">
        <f t="shared" ca="1" si="196"/>
        <v/>
      </c>
      <c r="J621" s="63">
        <f t="shared" ca="1" si="192"/>
        <v>6.2100000000000002E-3</v>
      </c>
      <c r="K621" s="63">
        <f t="shared" ca="1" si="193"/>
        <v>6.2100000000000002E-3</v>
      </c>
      <c r="L621" s="63"/>
      <c r="W621" s="56">
        <f t="shared" ca="1" si="197"/>
        <v>17</v>
      </c>
      <c r="X621" s="56">
        <f t="shared" ca="1" si="198"/>
        <v>17</v>
      </c>
      <c r="Y621" s="56">
        <f t="shared" ca="1" si="199"/>
        <v>17</v>
      </c>
      <c r="Z621" s="56">
        <f t="shared" ca="1" si="200"/>
        <v>17</v>
      </c>
      <c r="AA621" s="56">
        <f t="shared" ca="1" si="201"/>
        <v>17</v>
      </c>
      <c r="AB621" s="56">
        <f ca="1">_xlfn.CEILING.MATH(INDIRECT(ADDRESS(537,22+MATCH($P$29,'I.A. + Fasce'!$W$84:$AA$84,0),1,1) &amp; ":" &amp; ADDRESS(637,22+MATCH($P$29,'I.A. + Fasce'!$W$84:$AA$84,0),1,1))/Asta!$H$3)</f>
        <v>3</v>
      </c>
    </row>
    <row r="622" spans="1:28" ht="14.25" customHeight="1">
      <c r="A622" s="239" t="str">
        <f ca="1">IF(Giocatori!P94="","T",Giocatori!P94)</f>
        <v>T</v>
      </c>
      <c r="B622" s="239" t="str">
        <f ca="1">IF(Giocatori!Q94="","ZZZ" &amp; ROW(),Giocatori!Q94)</f>
        <v>ZZZ622</v>
      </c>
      <c r="C622" s="239" t="str">
        <f ca="1">IF(Giocatori!R94="","NDR" &amp; ROW(),Giocatori!R94)</f>
        <v>NDR622</v>
      </c>
      <c r="D622" s="63">
        <f t="shared" ca="1" si="189"/>
        <v>6.2199999999999998E-3</v>
      </c>
      <c r="E622" s="63">
        <f t="shared" ca="1" si="190"/>
        <v>6.2199999999999998E-3</v>
      </c>
      <c r="F622" s="64">
        <f t="shared" ca="1" si="191"/>
        <v>1.2440322403333334E-2</v>
      </c>
      <c r="G622" s="63" t="str">
        <f t="shared" ca="1" si="194"/>
        <v/>
      </c>
      <c r="H622" s="65" t="str">
        <f t="shared" ca="1" si="195"/>
        <v/>
      </c>
      <c r="I622" s="63" t="str">
        <f t="shared" ca="1" si="196"/>
        <v/>
      </c>
      <c r="J622" s="63">
        <f t="shared" ca="1" si="192"/>
        <v>6.2199999999999998E-3</v>
      </c>
      <c r="K622" s="63">
        <f t="shared" ca="1" si="193"/>
        <v>6.2199999999999998E-3</v>
      </c>
      <c r="L622" s="63"/>
      <c r="W622" s="56">
        <f t="shared" ca="1" si="197"/>
        <v>16</v>
      </c>
      <c r="X622" s="56">
        <f t="shared" ca="1" si="198"/>
        <v>16</v>
      </c>
      <c r="Y622" s="56">
        <f t="shared" ca="1" si="199"/>
        <v>16</v>
      </c>
      <c r="Z622" s="56">
        <f t="shared" ca="1" si="200"/>
        <v>16</v>
      </c>
      <c r="AA622" s="56">
        <f t="shared" ca="1" si="201"/>
        <v>16</v>
      </c>
      <c r="AB622" s="56">
        <f ca="1">_xlfn.CEILING.MATH(INDIRECT(ADDRESS(537,22+MATCH($P$29,'I.A. + Fasce'!$W$84:$AA$84,0),1,1) &amp; ":" &amp; ADDRESS(637,22+MATCH($P$29,'I.A. + Fasce'!$W$84:$AA$84,0),1,1))/Asta!$H$3)</f>
        <v>2</v>
      </c>
    </row>
    <row r="623" spans="1:28" ht="14.25" customHeight="1">
      <c r="A623" s="239" t="str">
        <f ca="1">IF(Giocatori!P95="","T",Giocatori!P95)</f>
        <v>T</v>
      </c>
      <c r="B623" s="239" t="str">
        <f ca="1">IF(Giocatori!Q95="","ZZZ" &amp; ROW(),Giocatori!Q95)</f>
        <v>ZZZ623</v>
      </c>
      <c r="C623" s="239" t="str">
        <f ca="1">IF(Giocatori!R95="","NDR" &amp; ROW(),Giocatori!R95)</f>
        <v>NDR623</v>
      </c>
      <c r="D623" s="63">
        <f t="shared" ca="1" si="189"/>
        <v>6.2300000000000003E-3</v>
      </c>
      <c r="E623" s="63">
        <f t="shared" ca="1" si="190"/>
        <v>6.2300000000000003E-3</v>
      </c>
      <c r="F623" s="64">
        <f t="shared" ca="1" si="191"/>
        <v>1.2460323440833334E-2</v>
      </c>
      <c r="G623" s="63" t="str">
        <f t="shared" ca="1" si="194"/>
        <v/>
      </c>
      <c r="H623" s="65" t="str">
        <f t="shared" ca="1" si="195"/>
        <v/>
      </c>
      <c r="I623" s="63" t="str">
        <f t="shared" ca="1" si="196"/>
        <v/>
      </c>
      <c r="J623" s="63">
        <f t="shared" ca="1" si="192"/>
        <v>6.2300000000000003E-3</v>
      </c>
      <c r="K623" s="63">
        <f t="shared" ca="1" si="193"/>
        <v>6.2300000000000003E-3</v>
      </c>
      <c r="L623" s="63"/>
      <c r="W623" s="56">
        <f t="shared" ca="1" si="197"/>
        <v>15</v>
      </c>
      <c r="X623" s="56">
        <f t="shared" ca="1" si="198"/>
        <v>15</v>
      </c>
      <c r="Y623" s="56">
        <f t="shared" ca="1" si="199"/>
        <v>15</v>
      </c>
      <c r="Z623" s="56">
        <f t="shared" ca="1" si="200"/>
        <v>15</v>
      </c>
      <c r="AA623" s="56">
        <f t="shared" ca="1" si="201"/>
        <v>15</v>
      </c>
      <c r="AB623" s="56">
        <f ca="1">_xlfn.CEILING.MATH(INDIRECT(ADDRESS(537,22+MATCH($P$29,'I.A. + Fasce'!$W$84:$AA$84,0),1,1) &amp; ":" &amp; ADDRESS(637,22+MATCH($P$29,'I.A. + Fasce'!$W$84:$AA$84,0),1,1))/Asta!$H$3)</f>
        <v>2</v>
      </c>
    </row>
    <row r="624" spans="1:28" ht="14.25" customHeight="1">
      <c r="A624" s="239" t="str">
        <f ca="1">IF(Giocatori!P96="","T",Giocatori!P96)</f>
        <v>T</v>
      </c>
      <c r="B624" s="239" t="str">
        <f ca="1">IF(Giocatori!Q96="","ZZZ" &amp; ROW(),Giocatori!Q96)</f>
        <v>ZZZ624</v>
      </c>
      <c r="C624" s="239" t="str">
        <f ca="1">IF(Giocatori!R96="","NDR" &amp; ROW(),Giocatori!R96)</f>
        <v>NDR624</v>
      </c>
      <c r="D624" s="63">
        <f t="shared" ca="1" si="189"/>
        <v>6.2399999999999999E-3</v>
      </c>
      <c r="E624" s="63">
        <f t="shared" ca="1" si="190"/>
        <v>6.2399999999999999E-3</v>
      </c>
      <c r="F624" s="64">
        <f t="shared" ca="1" si="191"/>
        <v>1.2480324479999999E-2</v>
      </c>
      <c r="G624" s="63" t="str">
        <f t="shared" ca="1" si="194"/>
        <v/>
      </c>
      <c r="H624" s="65" t="str">
        <f t="shared" ca="1" si="195"/>
        <v/>
      </c>
      <c r="I624" s="63" t="str">
        <f t="shared" ca="1" si="196"/>
        <v/>
      </c>
      <c r="J624" s="63">
        <f t="shared" ca="1" si="192"/>
        <v>6.2399999999999999E-3</v>
      </c>
      <c r="K624" s="63">
        <f t="shared" ca="1" si="193"/>
        <v>6.2399999999999999E-3</v>
      </c>
      <c r="L624" s="63"/>
      <c r="W624" s="56">
        <f t="shared" ca="1" si="197"/>
        <v>14</v>
      </c>
      <c r="X624" s="56">
        <f t="shared" ca="1" si="198"/>
        <v>14</v>
      </c>
      <c r="Y624" s="56">
        <f t="shared" ca="1" si="199"/>
        <v>14</v>
      </c>
      <c r="Z624" s="56">
        <f t="shared" ca="1" si="200"/>
        <v>14</v>
      </c>
      <c r="AA624" s="56">
        <f t="shared" ca="1" si="201"/>
        <v>14</v>
      </c>
      <c r="AB624" s="56">
        <f ca="1">_xlfn.CEILING.MATH(INDIRECT(ADDRESS(537,22+MATCH($P$29,'I.A. + Fasce'!$W$84:$AA$84,0),1,1) &amp; ":" &amp; ADDRESS(637,22+MATCH($P$29,'I.A. + Fasce'!$W$84:$AA$84,0),1,1))/Asta!$H$3)</f>
        <v>2</v>
      </c>
    </row>
    <row r="625" spans="1:28" ht="14.25" customHeight="1">
      <c r="A625" s="239" t="str">
        <f ca="1">IF(Giocatori!P97="","T",Giocatori!P97)</f>
        <v>T</v>
      </c>
      <c r="B625" s="239" t="str">
        <f ca="1">IF(Giocatori!Q97="","ZZZ" &amp; ROW(),Giocatori!Q97)</f>
        <v>ZZZ625</v>
      </c>
      <c r="C625" s="239" t="str">
        <f ca="1">IF(Giocatori!R97="","NDR" &amp; ROW(),Giocatori!R97)</f>
        <v>NDR625</v>
      </c>
      <c r="D625" s="63">
        <f t="shared" ca="1" si="189"/>
        <v>6.2500000000000003E-3</v>
      </c>
      <c r="E625" s="63">
        <f t="shared" ca="1" si="190"/>
        <v>6.2500000000000003E-3</v>
      </c>
      <c r="F625" s="64">
        <f t="shared" ca="1" si="191"/>
        <v>1.2500325520833334E-2</v>
      </c>
      <c r="G625" s="63" t="str">
        <f t="shared" ca="1" si="194"/>
        <v/>
      </c>
      <c r="H625" s="65" t="str">
        <f t="shared" ca="1" si="195"/>
        <v/>
      </c>
      <c r="I625" s="63" t="str">
        <f t="shared" ca="1" si="196"/>
        <v/>
      </c>
      <c r="J625" s="63">
        <f t="shared" ca="1" si="192"/>
        <v>6.2500000000000003E-3</v>
      </c>
      <c r="K625" s="63">
        <f t="shared" ca="1" si="193"/>
        <v>6.2500000000000003E-3</v>
      </c>
      <c r="L625" s="63"/>
      <c r="W625" s="56">
        <f t="shared" ca="1" si="197"/>
        <v>13</v>
      </c>
      <c r="X625" s="56">
        <f t="shared" ca="1" si="198"/>
        <v>13</v>
      </c>
      <c r="Y625" s="56">
        <f t="shared" ca="1" si="199"/>
        <v>13</v>
      </c>
      <c r="Z625" s="56">
        <f t="shared" ca="1" si="200"/>
        <v>13</v>
      </c>
      <c r="AA625" s="56">
        <f t="shared" ca="1" si="201"/>
        <v>13</v>
      </c>
      <c r="AB625" s="56">
        <f ca="1">_xlfn.CEILING.MATH(INDIRECT(ADDRESS(537,22+MATCH($P$29,'I.A. + Fasce'!$W$84:$AA$84,0),1,1) &amp; ":" &amp; ADDRESS(637,22+MATCH($P$29,'I.A. + Fasce'!$W$84:$AA$84,0),1,1))/Asta!$H$3)</f>
        <v>2</v>
      </c>
    </row>
    <row r="626" spans="1:28" ht="14.25" customHeight="1">
      <c r="A626" s="239" t="str">
        <f ca="1">IF(Giocatori!P98="","T",Giocatori!P98)</f>
        <v>T</v>
      </c>
      <c r="B626" s="239" t="str">
        <f ca="1">IF(Giocatori!Q98="","ZZZ" &amp; ROW(),Giocatori!Q98)</f>
        <v>ZZZ626</v>
      </c>
      <c r="C626" s="239" t="str">
        <f ca="1">IF(Giocatori!R98="","NDR" &amp; ROW(),Giocatori!R98)</f>
        <v>NDR626</v>
      </c>
      <c r="D626" s="63">
        <f t="shared" ca="1" si="189"/>
        <v>6.2599999999999999E-3</v>
      </c>
      <c r="E626" s="63">
        <f t="shared" ca="1" si="190"/>
        <v>6.2599999999999999E-3</v>
      </c>
      <c r="F626" s="64">
        <f t="shared" ca="1" si="191"/>
        <v>1.2520326563333333E-2</v>
      </c>
      <c r="G626" s="63" t="str">
        <f t="shared" ca="1" si="194"/>
        <v/>
      </c>
      <c r="H626" s="65" t="str">
        <f t="shared" ca="1" si="195"/>
        <v/>
      </c>
      <c r="I626" s="63" t="str">
        <f t="shared" ca="1" si="196"/>
        <v/>
      </c>
      <c r="J626" s="63">
        <f t="shared" ca="1" si="192"/>
        <v>6.2599999999999999E-3</v>
      </c>
      <c r="K626" s="63">
        <f t="shared" ca="1" si="193"/>
        <v>6.2599999999999999E-3</v>
      </c>
      <c r="L626" s="63"/>
      <c r="W626" s="56">
        <f t="shared" ca="1" si="197"/>
        <v>12</v>
      </c>
      <c r="X626" s="56">
        <f t="shared" ca="1" si="198"/>
        <v>12</v>
      </c>
      <c r="Y626" s="56">
        <f t="shared" ca="1" si="199"/>
        <v>12</v>
      </c>
      <c r="Z626" s="56">
        <f t="shared" ca="1" si="200"/>
        <v>12</v>
      </c>
      <c r="AA626" s="56">
        <f t="shared" ca="1" si="201"/>
        <v>12</v>
      </c>
      <c r="AB626" s="56">
        <f ca="1">_xlfn.CEILING.MATH(INDIRECT(ADDRESS(537,22+MATCH($P$29,'I.A. + Fasce'!$W$84:$AA$84,0),1,1) &amp; ":" &amp; ADDRESS(637,22+MATCH($P$29,'I.A. + Fasce'!$W$84:$AA$84,0),1,1))/Asta!$H$3)</f>
        <v>2</v>
      </c>
    </row>
    <row r="627" spans="1:28" ht="14.25" customHeight="1">
      <c r="A627" s="239" t="str">
        <f ca="1">IF(Giocatori!P99="","T",Giocatori!P99)</f>
        <v>T</v>
      </c>
      <c r="B627" s="239" t="str">
        <f ca="1">IF(Giocatori!Q99="","ZZZ" &amp; ROW(),Giocatori!Q99)</f>
        <v>ZZZ627</v>
      </c>
      <c r="C627" s="239" t="str">
        <f ca="1">IF(Giocatori!R99="","NDR" &amp; ROW(),Giocatori!R99)</f>
        <v>NDR627</v>
      </c>
      <c r="D627" s="63">
        <f t="shared" ca="1" si="189"/>
        <v>6.2700000000000004E-3</v>
      </c>
      <c r="E627" s="63">
        <f t="shared" ca="1" si="190"/>
        <v>6.2700000000000004E-3</v>
      </c>
      <c r="F627" s="64">
        <f t="shared" ca="1" si="191"/>
        <v>1.25403276075E-2</v>
      </c>
      <c r="G627" s="63" t="str">
        <f t="shared" ca="1" si="194"/>
        <v/>
      </c>
      <c r="H627" s="65" t="str">
        <f t="shared" ca="1" si="195"/>
        <v/>
      </c>
      <c r="I627" s="63" t="str">
        <f t="shared" ca="1" si="196"/>
        <v/>
      </c>
      <c r="J627" s="63">
        <f t="shared" ca="1" si="192"/>
        <v>6.2700000000000004E-3</v>
      </c>
      <c r="K627" s="63">
        <f t="shared" ca="1" si="193"/>
        <v>6.2700000000000004E-3</v>
      </c>
      <c r="L627" s="63"/>
      <c r="W627" s="56">
        <f t="shared" ca="1" si="197"/>
        <v>11</v>
      </c>
      <c r="X627" s="56">
        <f t="shared" ca="1" si="198"/>
        <v>11</v>
      </c>
      <c r="Y627" s="56">
        <f t="shared" ca="1" si="199"/>
        <v>11</v>
      </c>
      <c r="Z627" s="56">
        <f t="shared" ca="1" si="200"/>
        <v>11</v>
      </c>
      <c r="AA627" s="56">
        <f t="shared" ca="1" si="201"/>
        <v>11</v>
      </c>
      <c r="AB627" s="56">
        <f ca="1">_xlfn.CEILING.MATH(INDIRECT(ADDRESS(537,22+MATCH($P$29,'I.A. + Fasce'!$W$84:$AA$84,0),1,1) &amp; ":" &amp; ADDRESS(637,22+MATCH($P$29,'I.A. + Fasce'!$W$84:$AA$84,0),1,1))/Asta!$H$3)</f>
        <v>2</v>
      </c>
    </row>
    <row r="628" spans="1:28" ht="14.25" customHeight="1">
      <c r="A628" s="239" t="str">
        <f ca="1">IF(Giocatori!P100="","T",Giocatori!P100)</f>
        <v>T</v>
      </c>
      <c r="B628" s="239" t="str">
        <f ca="1">IF(Giocatori!Q100="","ZZZ" &amp; ROW(),Giocatori!Q100)</f>
        <v>ZZZ628</v>
      </c>
      <c r="C628" s="239" t="str">
        <f ca="1">IF(Giocatori!R100="","NDR" &amp; ROW(),Giocatori!R100)</f>
        <v>NDR628</v>
      </c>
      <c r="D628" s="63">
        <f t="shared" ca="1" si="189"/>
        <v>6.28E-3</v>
      </c>
      <c r="E628" s="63">
        <f t="shared" ca="1" si="190"/>
        <v>6.28E-3</v>
      </c>
      <c r="F628" s="64">
        <f t="shared" ca="1" si="191"/>
        <v>1.2560328653333334E-2</v>
      </c>
      <c r="G628" s="63" t="str">
        <f t="shared" ca="1" si="194"/>
        <v/>
      </c>
      <c r="H628" s="65" t="str">
        <f t="shared" ca="1" si="195"/>
        <v/>
      </c>
      <c r="I628" s="63" t="str">
        <f t="shared" ca="1" si="196"/>
        <v/>
      </c>
      <c r="J628" s="63">
        <f t="shared" ca="1" si="192"/>
        <v>6.28E-3</v>
      </c>
      <c r="K628" s="63">
        <f t="shared" ca="1" si="193"/>
        <v>6.28E-3</v>
      </c>
      <c r="L628" s="63"/>
      <c r="W628" s="56">
        <f t="shared" ca="1" si="197"/>
        <v>10</v>
      </c>
      <c r="X628" s="56">
        <f t="shared" ca="1" si="198"/>
        <v>10</v>
      </c>
      <c r="Y628" s="56">
        <f t="shared" ca="1" si="199"/>
        <v>10</v>
      </c>
      <c r="Z628" s="56">
        <f t="shared" ca="1" si="200"/>
        <v>10</v>
      </c>
      <c r="AA628" s="56">
        <f t="shared" ca="1" si="201"/>
        <v>10</v>
      </c>
      <c r="AB628" s="56">
        <f ca="1">_xlfn.CEILING.MATH(INDIRECT(ADDRESS(537,22+MATCH($P$29,'I.A. + Fasce'!$W$84:$AA$84,0),1,1) &amp; ":" &amp; ADDRESS(637,22+MATCH($P$29,'I.A. + Fasce'!$W$84:$AA$84,0),1,1))/Asta!$H$3)</f>
        <v>2</v>
      </c>
    </row>
    <row r="629" spans="1:28" ht="14.25" customHeight="1">
      <c r="A629" s="239" t="str">
        <f ca="1">IF(Giocatori!P101="","T",Giocatori!P101)</f>
        <v>T</v>
      </c>
      <c r="B629" s="239" t="str">
        <f ca="1">IF(Giocatori!Q101="","ZZZ" &amp; ROW(),Giocatori!Q101)</f>
        <v>ZZZ629</v>
      </c>
      <c r="C629" s="239" t="str">
        <f ca="1">IF(Giocatori!R101="","NDR" &amp; ROW(),Giocatori!R101)</f>
        <v>NDR629</v>
      </c>
      <c r="D629" s="63">
        <f t="shared" ca="1" si="189"/>
        <v>6.2899999999999996E-3</v>
      </c>
      <c r="E629" s="63">
        <f t="shared" ca="1" si="190"/>
        <v>6.2899999999999996E-3</v>
      </c>
      <c r="F629" s="64">
        <f t="shared" ca="1" si="191"/>
        <v>1.2580329700833332E-2</v>
      </c>
      <c r="G629" s="63" t="str">
        <f t="shared" ca="1" si="194"/>
        <v/>
      </c>
      <c r="H629" s="65" t="str">
        <f t="shared" ca="1" si="195"/>
        <v/>
      </c>
      <c r="I629" s="63" t="str">
        <f t="shared" ca="1" si="196"/>
        <v/>
      </c>
      <c r="J629" s="63">
        <f t="shared" ca="1" si="192"/>
        <v>6.2899999999999996E-3</v>
      </c>
      <c r="K629" s="63">
        <f t="shared" ca="1" si="193"/>
        <v>6.2899999999999996E-3</v>
      </c>
      <c r="L629" s="63"/>
      <c r="W629" s="56">
        <f t="shared" ca="1" si="197"/>
        <v>9</v>
      </c>
      <c r="X629" s="56">
        <f t="shared" ca="1" si="198"/>
        <v>9</v>
      </c>
      <c r="Y629" s="56">
        <f t="shared" ca="1" si="199"/>
        <v>9</v>
      </c>
      <c r="Z629" s="56">
        <f t="shared" ca="1" si="200"/>
        <v>9</v>
      </c>
      <c r="AA629" s="56">
        <f t="shared" ca="1" si="201"/>
        <v>9</v>
      </c>
      <c r="AB629" s="56">
        <f ca="1">_xlfn.CEILING.MATH(INDIRECT(ADDRESS(537,22+MATCH($P$29,'I.A. + Fasce'!$W$84:$AA$84,0),1,1) &amp; ":" &amp; ADDRESS(637,22+MATCH($P$29,'I.A. + Fasce'!$W$84:$AA$84,0),1,1))/Asta!$H$3)</f>
        <v>2</v>
      </c>
    </row>
    <row r="630" spans="1:28" ht="14.25" customHeight="1">
      <c r="A630" s="239" t="str">
        <f ca="1">IF(Giocatori!P102="","T",Giocatori!P102)</f>
        <v>T</v>
      </c>
      <c r="B630" s="239" t="str">
        <f ca="1">IF(Giocatori!Q102="","ZZZ" &amp; ROW(),Giocatori!Q102)</f>
        <v>ZZZ630</v>
      </c>
      <c r="C630" s="239" t="str">
        <f ca="1">IF(Giocatori!R102="","NDR" &amp; ROW(),Giocatori!R102)</f>
        <v>NDR630</v>
      </c>
      <c r="D630" s="63">
        <f t="shared" ca="1" si="189"/>
        <v>6.3E-3</v>
      </c>
      <c r="E630" s="63">
        <f t="shared" ca="1" si="190"/>
        <v>6.3E-3</v>
      </c>
      <c r="F630" s="64">
        <f t="shared" ca="1" si="191"/>
        <v>1.2600330749999999E-2</v>
      </c>
      <c r="G630" s="63" t="str">
        <f t="shared" ca="1" si="194"/>
        <v/>
      </c>
      <c r="H630" s="65" t="str">
        <f t="shared" ca="1" si="195"/>
        <v/>
      </c>
      <c r="I630" s="63" t="str">
        <f t="shared" ca="1" si="196"/>
        <v/>
      </c>
      <c r="J630" s="63">
        <f t="shared" ca="1" si="192"/>
        <v>6.3E-3</v>
      </c>
      <c r="K630" s="63">
        <f t="shared" ca="1" si="193"/>
        <v>6.3E-3</v>
      </c>
      <c r="L630" s="63"/>
      <c r="W630" s="56">
        <f t="shared" ca="1" si="197"/>
        <v>8</v>
      </c>
      <c r="X630" s="56">
        <f t="shared" ca="1" si="198"/>
        <v>8</v>
      </c>
      <c r="Y630" s="56">
        <f t="shared" ca="1" si="199"/>
        <v>8</v>
      </c>
      <c r="Z630" s="56">
        <f t="shared" ca="1" si="200"/>
        <v>8</v>
      </c>
      <c r="AA630" s="56">
        <f t="shared" ca="1" si="201"/>
        <v>8</v>
      </c>
      <c r="AB630" s="56">
        <f ca="1">_xlfn.CEILING.MATH(INDIRECT(ADDRESS(537,22+MATCH($P$29,'I.A. + Fasce'!$W$84:$AA$84,0),1,1) &amp; ":" &amp; ADDRESS(637,22+MATCH($P$29,'I.A. + Fasce'!$W$84:$AA$84,0),1,1))/Asta!$H$3)</f>
        <v>1</v>
      </c>
    </row>
    <row r="631" spans="1:28" ht="14.25" customHeight="1">
      <c r="A631" s="239" t="str">
        <f ca="1">IF(Giocatori!P103="","T",Giocatori!P103)</f>
        <v>T</v>
      </c>
      <c r="B631" s="239" t="str">
        <f ca="1">IF(Giocatori!Q103="","ZZZ" &amp; ROW(),Giocatori!Q103)</f>
        <v>ZZZ631</v>
      </c>
      <c r="C631" s="239" t="str">
        <f ca="1">IF(Giocatori!R103="","NDR" &amp; ROW(),Giocatori!R103)</f>
        <v>NDR631</v>
      </c>
      <c r="D631" s="63">
        <f t="shared" ca="1" si="189"/>
        <v>6.3099999999999996E-3</v>
      </c>
      <c r="E631" s="63">
        <f t="shared" ca="1" si="190"/>
        <v>6.3099999999999996E-3</v>
      </c>
      <c r="F631" s="64">
        <f t="shared" ca="1" si="191"/>
        <v>1.2620331800833332E-2</v>
      </c>
      <c r="G631" s="63" t="str">
        <f t="shared" ca="1" si="194"/>
        <v/>
      </c>
      <c r="H631" s="65" t="str">
        <f t="shared" ca="1" si="195"/>
        <v/>
      </c>
      <c r="I631" s="63" t="str">
        <f t="shared" ca="1" si="196"/>
        <v/>
      </c>
      <c r="J631" s="63">
        <f t="shared" ca="1" si="192"/>
        <v>6.3099999999999996E-3</v>
      </c>
      <c r="K631" s="63">
        <f t="shared" ca="1" si="193"/>
        <v>6.3099999999999996E-3</v>
      </c>
      <c r="L631" s="63"/>
      <c r="W631" s="56">
        <f t="shared" ca="1" si="197"/>
        <v>7</v>
      </c>
      <c r="X631" s="56">
        <f t="shared" ca="1" si="198"/>
        <v>7</v>
      </c>
      <c r="Y631" s="56">
        <f t="shared" ca="1" si="199"/>
        <v>7</v>
      </c>
      <c r="Z631" s="56">
        <f t="shared" ca="1" si="200"/>
        <v>7</v>
      </c>
      <c r="AA631" s="56">
        <f t="shared" ca="1" si="201"/>
        <v>7</v>
      </c>
      <c r="AB631" s="56">
        <f ca="1">_xlfn.CEILING.MATH(INDIRECT(ADDRESS(537,22+MATCH($P$29,'I.A. + Fasce'!$W$84:$AA$84,0),1,1) &amp; ":" &amp; ADDRESS(637,22+MATCH($P$29,'I.A. + Fasce'!$W$84:$AA$84,0),1,1))/Asta!$H$3)</f>
        <v>1</v>
      </c>
    </row>
    <row r="632" spans="1:28" ht="14.25" customHeight="1">
      <c r="A632" s="239" t="str">
        <f ca="1">IF(Giocatori!P104="","T",Giocatori!P104)</f>
        <v>T</v>
      </c>
      <c r="B632" s="239" t="str">
        <f ca="1">IF(Giocatori!Q104="","ZZZ" &amp; ROW(),Giocatori!Q104)</f>
        <v>ZZZ632</v>
      </c>
      <c r="C632" s="239" t="str">
        <f ca="1">IF(Giocatori!R104="","NDR" &amp; ROW(),Giocatori!R104)</f>
        <v>NDR632</v>
      </c>
      <c r="D632" s="63">
        <f t="shared" ca="1" si="189"/>
        <v>6.3200000000000001E-3</v>
      </c>
      <c r="E632" s="63">
        <f t="shared" ca="1" si="190"/>
        <v>6.3200000000000001E-3</v>
      </c>
      <c r="F632" s="64">
        <f t="shared" ca="1" si="191"/>
        <v>1.2640332853333333E-2</v>
      </c>
      <c r="G632" s="63" t="str">
        <f t="shared" ca="1" si="194"/>
        <v/>
      </c>
      <c r="H632" s="65" t="str">
        <f t="shared" ca="1" si="195"/>
        <v/>
      </c>
      <c r="I632" s="63" t="str">
        <f t="shared" ca="1" si="196"/>
        <v/>
      </c>
      <c r="J632" s="63">
        <f t="shared" ca="1" si="192"/>
        <v>6.3200000000000001E-3</v>
      </c>
      <c r="K632" s="63">
        <f t="shared" ca="1" si="193"/>
        <v>6.3200000000000001E-3</v>
      </c>
      <c r="L632" s="63"/>
      <c r="W632" s="56">
        <f t="shared" ca="1" si="197"/>
        <v>6</v>
      </c>
      <c r="X632" s="56">
        <f t="shared" ca="1" si="198"/>
        <v>6</v>
      </c>
      <c r="Y632" s="56">
        <f t="shared" ca="1" si="199"/>
        <v>6</v>
      </c>
      <c r="Z632" s="56">
        <f t="shared" ca="1" si="200"/>
        <v>6</v>
      </c>
      <c r="AA632" s="56">
        <f t="shared" ca="1" si="201"/>
        <v>6</v>
      </c>
      <c r="AB632" s="56">
        <f ca="1">_xlfn.CEILING.MATH(INDIRECT(ADDRESS(537,22+MATCH($P$29,'I.A. + Fasce'!$W$84:$AA$84,0),1,1) &amp; ":" &amp; ADDRESS(637,22+MATCH($P$29,'I.A. + Fasce'!$W$84:$AA$84,0),1,1))/Asta!$H$3)</f>
        <v>1</v>
      </c>
    </row>
    <row r="633" spans="1:28" ht="14.25" customHeight="1">
      <c r="A633" s="239" t="str">
        <f ca="1">IF(Giocatori!P105="","T",Giocatori!P105)</f>
        <v>T</v>
      </c>
      <c r="B633" s="239" t="str">
        <f ca="1">IF(Giocatori!Q105="","ZZZ" &amp; ROW(),Giocatori!Q105)</f>
        <v>ZZZ633</v>
      </c>
      <c r="C633" s="239" t="str">
        <f ca="1">IF(Giocatori!R105="","NDR" &amp; ROW(),Giocatori!R105)</f>
        <v>NDR633</v>
      </c>
      <c r="D633" s="63">
        <f t="shared" ca="1" si="189"/>
        <v>6.3299999999999997E-3</v>
      </c>
      <c r="E633" s="63">
        <f t="shared" ca="1" si="190"/>
        <v>6.3299999999999997E-3</v>
      </c>
      <c r="F633" s="64">
        <f t="shared" ca="1" si="191"/>
        <v>1.2660333907500002E-2</v>
      </c>
      <c r="G633" s="63" t="str">
        <f t="shared" ca="1" si="194"/>
        <v/>
      </c>
      <c r="H633" s="65" t="str">
        <f t="shared" ca="1" si="195"/>
        <v/>
      </c>
      <c r="I633" s="63" t="str">
        <f t="shared" ca="1" si="196"/>
        <v/>
      </c>
      <c r="J633" s="63">
        <f t="shared" ca="1" si="192"/>
        <v>6.3299999999999997E-3</v>
      </c>
      <c r="K633" s="63">
        <f t="shared" ca="1" si="193"/>
        <v>6.3299999999999997E-3</v>
      </c>
      <c r="L633" s="63"/>
      <c r="W633" s="56">
        <f t="shared" ca="1" si="197"/>
        <v>5</v>
      </c>
      <c r="X633" s="56">
        <f t="shared" ca="1" si="198"/>
        <v>5</v>
      </c>
      <c r="Y633" s="56">
        <f t="shared" ca="1" si="199"/>
        <v>5</v>
      </c>
      <c r="Z633" s="56">
        <f t="shared" ca="1" si="200"/>
        <v>5</v>
      </c>
      <c r="AA633" s="56">
        <f t="shared" ca="1" si="201"/>
        <v>5</v>
      </c>
      <c r="AB633" s="56">
        <f ca="1">_xlfn.CEILING.MATH(INDIRECT(ADDRESS(537,22+MATCH($P$29,'I.A. + Fasce'!$W$84:$AA$84,0),1,1) &amp; ":" &amp; ADDRESS(637,22+MATCH($P$29,'I.A. + Fasce'!$W$84:$AA$84,0),1,1))/Asta!$H$3)</f>
        <v>1</v>
      </c>
    </row>
    <row r="634" spans="1:28" ht="14.25" customHeight="1">
      <c r="A634" s="239" t="str">
        <f ca="1">IF(Giocatori!P106="","T",Giocatori!P106)</f>
        <v>T</v>
      </c>
      <c r="B634" s="239" t="str">
        <f ca="1">IF(Giocatori!Q106="","ZZZ" &amp; ROW(),Giocatori!Q106)</f>
        <v>ZZZ634</v>
      </c>
      <c r="C634" s="239" t="str">
        <f ca="1">IF(Giocatori!R106="","NDR" &amp; ROW(),Giocatori!R106)</f>
        <v>NDR634</v>
      </c>
      <c r="D634" s="63">
        <f t="shared" ca="1" si="189"/>
        <v>6.3400000000000001E-3</v>
      </c>
      <c r="E634" s="63">
        <f t="shared" ca="1" si="190"/>
        <v>6.3400000000000001E-3</v>
      </c>
      <c r="F634" s="64">
        <f t="shared" ca="1" si="191"/>
        <v>1.2680334963333335E-2</v>
      </c>
      <c r="G634" s="63" t="str">
        <f t="shared" ca="1" si="194"/>
        <v/>
      </c>
      <c r="H634" s="65" t="str">
        <f t="shared" ca="1" si="195"/>
        <v/>
      </c>
      <c r="I634" s="63" t="str">
        <f t="shared" ca="1" si="196"/>
        <v/>
      </c>
      <c r="J634" s="63">
        <f t="shared" ca="1" si="192"/>
        <v>6.3400000000000001E-3</v>
      </c>
      <c r="K634" s="63">
        <f t="shared" ca="1" si="193"/>
        <v>6.3400000000000001E-3</v>
      </c>
      <c r="L634" s="63"/>
      <c r="W634" s="56">
        <f t="shared" ca="1" si="197"/>
        <v>4</v>
      </c>
      <c r="X634" s="56">
        <f t="shared" ca="1" si="198"/>
        <v>4</v>
      </c>
      <c r="Y634" s="56">
        <f t="shared" ca="1" si="199"/>
        <v>4</v>
      </c>
      <c r="Z634" s="56">
        <f t="shared" ca="1" si="200"/>
        <v>4</v>
      </c>
      <c r="AA634" s="56">
        <f t="shared" ca="1" si="201"/>
        <v>4</v>
      </c>
      <c r="AB634" s="56">
        <f ca="1">_xlfn.CEILING.MATH(INDIRECT(ADDRESS(537,22+MATCH($P$29,'I.A. + Fasce'!$W$84:$AA$84,0),1,1) &amp; ":" &amp; ADDRESS(637,22+MATCH($P$29,'I.A. + Fasce'!$W$84:$AA$84,0),1,1))/Asta!$H$3)</f>
        <v>1</v>
      </c>
    </row>
    <row r="635" spans="1:28" ht="14.25" customHeight="1">
      <c r="A635" s="239" t="str">
        <f ca="1">IF(Giocatori!P107="","T",Giocatori!P107)</f>
        <v>T</v>
      </c>
      <c r="B635" s="239" t="str">
        <f ca="1">IF(Giocatori!Q107="","ZZZ" &amp; ROW(),Giocatori!Q107)</f>
        <v>ZZZ635</v>
      </c>
      <c r="C635" s="239" t="str">
        <f ca="1">IF(Giocatori!R107="","NDR" &amp; ROW(),Giocatori!R107)</f>
        <v>NDR635</v>
      </c>
      <c r="D635" s="63">
        <f t="shared" ca="1" si="189"/>
        <v>6.3499999999999997E-3</v>
      </c>
      <c r="E635" s="63">
        <f t="shared" ca="1" si="190"/>
        <v>6.3499999999999997E-3</v>
      </c>
      <c r="F635" s="64">
        <f t="shared" ca="1" si="191"/>
        <v>1.2700336020833335E-2</v>
      </c>
      <c r="G635" s="63" t="str">
        <f t="shared" ca="1" si="194"/>
        <v/>
      </c>
      <c r="H635" s="65" t="str">
        <f t="shared" ca="1" si="195"/>
        <v/>
      </c>
      <c r="I635" s="63" t="str">
        <f t="shared" ca="1" si="196"/>
        <v/>
      </c>
      <c r="J635" s="63">
        <f t="shared" ca="1" si="192"/>
        <v>6.3499999999999997E-3</v>
      </c>
      <c r="K635" s="63">
        <f t="shared" ca="1" si="193"/>
        <v>6.3499999999999997E-3</v>
      </c>
      <c r="L635" s="63"/>
      <c r="W635" s="56">
        <f t="shared" ca="1" si="197"/>
        <v>3</v>
      </c>
      <c r="X635" s="56">
        <f t="shared" ca="1" si="198"/>
        <v>3</v>
      </c>
      <c r="Y635" s="56">
        <f t="shared" ca="1" si="199"/>
        <v>3</v>
      </c>
      <c r="Z635" s="56">
        <f t="shared" ca="1" si="200"/>
        <v>3</v>
      </c>
      <c r="AA635" s="56">
        <f t="shared" ca="1" si="201"/>
        <v>3</v>
      </c>
      <c r="AB635" s="56">
        <f ca="1">_xlfn.CEILING.MATH(INDIRECT(ADDRESS(537,22+MATCH($P$29,'I.A. + Fasce'!$W$84:$AA$84,0),1,1) &amp; ":" &amp; ADDRESS(637,22+MATCH($P$29,'I.A. + Fasce'!$W$84:$AA$84,0),1,1))/Asta!$H$3)</f>
        <v>1</v>
      </c>
    </row>
    <row r="636" spans="1:28" ht="14.25" customHeight="1">
      <c r="A636" s="239" t="str">
        <f ca="1">IF(Giocatori!P108="","T",Giocatori!P108)</f>
        <v>T</v>
      </c>
      <c r="B636" s="239" t="str">
        <f ca="1">IF(Giocatori!Q108="","ZZZ" &amp; ROW(),Giocatori!Q108)</f>
        <v>ZZZ636</v>
      </c>
      <c r="C636" s="239" t="str">
        <f ca="1">IF(Giocatori!R108="","NDR" &amp; ROW(),Giocatori!R108)</f>
        <v>NDR636</v>
      </c>
      <c r="D636" s="63">
        <f t="shared" ca="1" si="189"/>
        <v>6.3600000000000002E-3</v>
      </c>
      <c r="E636" s="63">
        <f t="shared" ca="1" si="190"/>
        <v>6.3600000000000002E-3</v>
      </c>
      <c r="F636" s="64">
        <f t="shared" ca="1" si="191"/>
        <v>1.2720337080000001E-2</v>
      </c>
      <c r="G636" s="63" t="str">
        <f t="shared" ca="1" si="194"/>
        <v/>
      </c>
      <c r="H636" s="65" t="str">
        <f t="shared" ca="1" si="195"/>
        <v/>
      </c>
      <c r="I636" s="63" t="str">
        <f t="shared" ca="1" si="196"/>
        <v/>
      </c>
      <c r="J636" s="63">
        <f t="shared" ca="1" si="192"/>
        <v>6.3600000000000002E-3</v>
      </c>
      <c r="K636" s="63">
        <f t="shared" ca="1" si="193"/>
        <v>6.3600000000000002E-3</v>
      </c>
      <c r="L636" s="63"/>
      <c r="W636" s="56">
        <f t="shared" ca="1" si="197"/>
        <v>2</v>
      </c>
      <c r="X636" s="56">
        <f t="shared" ca="1" si="198"/>
        <v>2</v>
      </c>
      <c r="Y636" s="56">
        <f t="shared" ca="1" si="199"/>
        <v>2</v>
      </c>
      <c r="Z636" s="56">
        <f t="shared" ca="1" si="200"/>
        <v>2</v>
      </c>
      <c r="AA636" s="56">
        <f t="shared" ca="1" si="201"/>
        <v>2</v>
      </c>
      <c r="AB636" s="56">
        <f ca="1">_xlfn.CEILING.MATH(INDIRECT(ADDRESS(537,22+MATCH($P$29,'I.A. + Fasce'!$W$84:$AA$84,0),1,1) &amp; ":" &amp; ADDRESS(637,22+MATCH($P$29,'I.A. + Fasce'!$W$84:$AA$84,0),1,1))/Asta!$H$3)</f>
        <v>1</v>
      </c>
    </row>
    <row r="637" spans="1:28" ht="14.25" customHeight="1">
      <c r="A637" s="239" t="str">
        <f ca="1">IF(Giocatori!P109="","T",Giocatori!P109)</f>
        <v>T</v>
      </c>
      <c r="B637" s="239" t="str">
        <f ca="1">IF(Giocatori!Q109="","ZZZ" &amp; ROW(),Giocatori!Q109)</f>
        <v>ZZZ637</v>
      </c>
      <c r="C637" s="239" t="str">
        <f ca="1">IF(Giocatori!R109="","NDR" &amp; ROW(),Giocatori!R109)</f>
        <v>NDR637</v>
      </c>
      <c r="D637" s="63">
        <f t="shared" ca="1" si="189"/>
        <v>6.3699999999999998E-3</v>
      </c>
      <c r="E637" s="63">
        <f t="shared" ca="1" si="190"/>
        <v>6.3699999999999998E-3</v>
      </c>
      <c r="F637" s="64">
        <f t="shared" ca="1" si="191"/>
        <v>1.2740338140833333E-2</v>
      </c>
      <c r="G637" s="63" t="str">
        <f t="shared" ca="1" si="194"/>
        <v/>
      </c>
      <c r="H637" s="65" t="str">
        <f t="shared" ca="1" si="195"/>
        <v/>
      </c>
      <c r="I637" s="63" t="str">
        <f t="shared" ca="1" si="196"/>
        <v/>
      </c>
      <c r="J637" s="63">
        <f t="shared" ca="1" si="192"/>
        <v>6.3699999999999998E-3</v>
      </c>
      <c r="K637" s="63">
        <f t="shared" ca="1" si="193"/>
        <v>6.3699999999999998E-3</v>
      </c>
      <c r="L637" s="63"/>
      <c r="W637" s="56">
        <f t="shared" ca="1" si="197"/>
        <v>1</v>
      </c>
      <c r="X637" s="56">
        <f t="shared" ca="1" si="198"/>
        <v>1</v>
      </c>
      <c r="Y637" s="56">
        <f t="shared" ca="1" si="199"/>
        <v>1</v>
      </c>
      <c r="Z637" s="56">
        <f t="shared" ca="1" si="200"/>
        <v>1</v>
      </c>
      <c r="AA637" s="56">
        <f t="shared" ca="1" si="201"/>
        <v>1</v>
      </c>
      <c r="AB637" s="56">
        <f ca="1">_xlfn.CEILING.MATH(INDIRECT(ADDRESS(537,22+MATCH($P$29,'I.A. + Fasce'!$W$84:$AA$84,0),1,1) &amp; ":" &amp; ADDRESS(637,22+MATCH($P$29,'I.A. + Fasce'!$W$84:$AA$84,0),1,1))/Asta!$H$3)</f>
        <v>1</v>
      </c>
    </row>
    <row r="639" spans="1:28" s="56" customFormat="1" ht="18.75" customHeight="1">
      <c r="A639" s="549" t="s">
        <v>659</v>
      </c>
      <c r="B639" s="549"/>
      <c r="C639" s="549" t="s">
        <v>660</v>
      </c>
      <c r="D639" s="549"/>
      <c r="E639" s="549" t="s">
        <v>661</v>
      </c>
      <c r="F639" s="549"/>
      <c r="G639" s="549"/>
      <c r="H639" s="549"/>
      <c r="I639" s="549" t="s">
        <v>662</v>
      </c>
      <c r="J639" s="549"/>
      <c r="K639" s="549"/>
      <c r="L639" s="549"/>
      <c r="M639" s="549"/>
      <c r="N639" s="549" t="s">
        <v>663</v>
      </c>
      <c r="O639" s="549"/>
      <c r="P639" s="548" t="s">
        <v>664</v>
      </c>
      <c r="Q639" s="548"/>
      <c r="R639" s="548"/>
      <c r="S639" s="548"/>
    </row>
    <row r="640" spans="1:28" ht="14.25" customHeight="1">
      <c r="A640"/>
      <c r="B640"/>
      <c r="C640"/>
      <c r="D640"/>
      <c r="E640"/>
      <c r="F640"/>
      <c r="G640"/>
      <c r="H640"/>
      <c r="I640"/>
      <c r="J640"/>
      <c r="K640" s="66"/>
      <c r="L640" s="66"/>
    </row>
    <row r="641" spans="1:28" ht="14.25" customHeight="1">
      <c r="A641" s="550" t="s">
        <v>44</v>
      </c>
      <c r="B641" s="550"/>
      <c r="C641" s="550"/>
      <c r="D641" s="550"/>
      <c r="E641" s="550"/>
      <c r="F641" s="550"/>
      <c r="G641" s="547" t="s">
        <v>704</v>
      </c>
      <c r="H641" s="547"/>
      <c r="I641" s="194"/>
      <c r="J641" s="8" t="s">
        <v>665</v>
      </c>
      <c r="K641" s="8" t="s">
        <v>665</v>
      </c>
      <c r="L641" s="456"/>
      <c r="N641" s="58"/>
      <c r="O641" s="59" t="s">
        <v>666</v>
      </c>
      <c r="P641" s="59" t="s">
        <v>637</v>
      </c>
      <c r="Q641" s="58"/>
      <c r="R641" s="59" t="s">
        <v>667</v>
      </c>
      <c r="S641" s="59" t="s">
        <v>637</v>
      </c>
    </row>
    <row r="642" spans="1:28" s="317" customFormat="1" ht="14.25" customHeight="1">
      <c r="A642" s="312" t="s">
        <v>638</v>
      </c>
      <c r="B642" s="312" t="s">
        <v>668</v>
      </c>
      <c r="C642" s="314" t="s">
        <v>637</v>
      </c>
      <c r="D642" s="315" t="s">
        <v>669</v>
      </c>
      <c r="E642" s="315" t="s">
        <v>670</v>
      </c>
      <c r="F642" s="315" t="s">
        <v>1315</v>
      </c>
      <c r="G642" s="312" t="s">
        <v>671</v>
      </c>
      <c r="H642" s="321" t="s">
        <v>672</v>
      </c>
      <c r="I642" s="321" t="s">
        <v>673</v>
      </c>
      <c r="J642" s="321" t="s">
        <v>674</v>
      </c>
      <c r="K642" s="321" t="s">
        <v>675</v>
      </c>
      <c r="L642" s="321" t="s">
        <v>1998</v>
      </c>
      <c r="N642" s="318"/>
      <c r="O642" s="319"/>
      <c r="P642" s="319"/>
      <c r="Q642" s="318"/>
      <c r="R642" s="319"/>
      <c r="S642" s="319"/>
      <c r="W642" s="317" t="s">
        <v>669</v>
      </c>
      <c r="X642" s="317" t="s">
        <v>670</v>
      </c>
      <c r="Y642" s="317" t="s">
        <v>1315</v>
      </c>
      <c r="Z642" s="317" t="s">
        <v>1466</v>
      </c>
      <c r="AA642" s="317" t="s">
        <v>1468</v>
      </c>
      <c r="AB642" s="317" t="s">
        <v>1475</v>
      </c>
    </row>
    <row r="643" spans="1:28" s="56" customFormat="1" ht="14.25" customHeight="1">
      <c r="A643" s="239" t="str">
        <f ca="1">IF(Giocatori!M9="","A",Giocatori!M9)</f>
        <v>A</v>
      </c>
      <c r="B643" s="239" t="str">
        <f ca="1">IF(Giocatori!N9="","ZZZ" &amp; ROW(),Giocatori!N9)</f>
        <v>ANDRE' SILVA</v>
      </c>
      <c r="C643" s="239" t="str">
        <f ca="1">IF(Giocatori!O9="","NDR" &amp; ROW(),Giocatori!O9)</f>
        <v>Milan</v>
      </c>
      <c r="D643" s="63">
        <f t="shared" ref="D643:D674" ca="1" si="202">IF(ISNA(VLOOKUP($B643,TabAlgTutti,6,FALSE)),0,VLOOKUP($B643,TabAlgTutti,6,FALSE))+ROW()/100000</f>
        <v>80.006429999999995</v>
      </c>
      <c r="E643" s="63">
        <f t="shared" ref="E643:E674" ca="1" si="203">IF(ISNA(VLOOKUP($B643,TabAlgTutti,5,FALSE)),0,VLOOKUP($B643,TabAlgTutti,5,FALSE))+ROW()/100000</f>
        <v>45.006430000000002</v>
      </c>
      <c r="F643" s="64">
        <f t="shared" ref="F643:F674" ca="1" si="204">($D643*$P$8+$E643*(1+$E643*100/60/100)*$S$8)/100+ROW()/100000</f>
        <v>79.392682844540829</v>
      </c>
      <c r="G643" s="63" t="str">
        <f t="shared" ref="G643:G674" ca="1" si="205">IF(ISNA(VLOOKUP($B643,TabAlgTutti,7,FALSE)),"",IF(VLOOKUP($B643,TabAlgTutti,7,FALSE)=-1,"SCONSIGLIATO",IF(VLOOKUP($B643,TabAlgTutti,7,FALSE)=0,"SORPRESA",IF(VLOOKUP($B643,TabAlgTutti,7,FALSE)=1,"CONSIGLIATO",""))))</f>
        <v>SORPRESA</v>
      </c>
      <c r="H643" s="65">
        <f t="shared" ref="H643:H674" ca="1" si="206">IF(ISNA(VLOOKUP($B643,TabAlgTutti,8,FALSE)),"",VLOOKUP($B643,TabAlgTutti,8,FALSE))</f>
        <v>70</v>
      </c>
      <c r="I643" s="233" t="str">
        <f t="shared" ref="I643:I674" ca="1" si="207">IF(ISNA(VLOOKUP($B643,TabAlgTutti,9,FALSE)),"",IF(VLOOKUP($B643,TabAlgTutti,9,FALSE)="","",VLOOKUP($B643,TabAlgTutti,9,FALSE)&amp;"R "))&amp;IF(ISNA(VLOOKUP($B643,TabAlgTutti,10,FALSE)),"",IF(VLOOKUP($B643,TabAlgTutti,10,FALSE)="","",VLOOKUP($B643,TabAlgTutti,10,FALSE)&amp;"P "))&amp;IF(ISNA(VLOOKUP($B643,TabAlgTutti,11,FALSE)),"",IF(VLOOKUP($B643,TabAlgTutti,11,FALSE)="","",VLOOKUP($B643,TabAlgTutti,11,FALSE)&amp;"A"))</f>
        <v/>
      </c>
      <c r="J643" s="63">
        <f t="shared" ref="J643:K662" ca="1" si="208">IF(ISNA(VLOOKUP($B643,TabAlgTutti,3,FALSE)),0,VLOOKUP($B643,TabAlgTutti,3,FALSE))+ROW()/100000</f>
        <v>86.556358830447095</v>
      </c>
      <c r="K643" s="63">
        <f t="shared" ca="1" si="208"/>
        <v>86.556358830447095</v>
      </c>
      <c r="L643" s="63">
        <f ca="1">VLOOKUP(Tabella185[[#This Row],[Calciatore]],'Raccolta Aste'!$P$2:$T$33,4,FALSE)*Asta!$U$3/100</f>
        <v>48.72</v>
      </c>
      <c r="N643" s="59">
        <f t="shared" ref="N643:N654" si="209">IF(ISNUMBER($N34),$N34,"")</f>
        <v>1</v>
      </c>
      <c r="O643" s="62" t="str">
        <f ca="1">IF(ISNUMBER(N643),INDIRECT("B" &amp; 642 + MATCH(N643,INDIRECT(ADDRESS(643,22+MATCH($P$30,'I.A. + Fasce'!$W$84:$AA$84,0),1,1) &amp; ":" &amp; ADDRESS(762,22+MATCH($P$30,'I.A. + Fasce'!$W$84:$AA$84,0),1,1)),0)),"")</f>
        <v>HIGUAIN</v>
      </c>
      <c r="P643" s="62" t="str">
        <f ca="1">IF(O643="","",VLOOKUP(O643,$B$643:$C$762,2,FALSE))</f>
        <v>Juventus</v>
      </c>
      <c r="Q643" s="59">
        <f t="shared" ref="Q643:Q654" si="210">IF(ISNUMBER(N643),N643+COUNTIF($N$34:$N$45,"&gt;0"),"")</f>
        <v>9</v>
      </c>
      <c r="R643" s="62" t="str">
        <f ca="1">IF(ISNUMBER(Q643),INDIRECT("B" &amp; 642 + MATCH(Q643,INDIRECT(ADDRESS(643,22+MATCH($P$30,'I.A. + Fasce'!$W$84:$AA$84,0),1,1) &amp; ":" &amp; ADDRESS(762,22+MATCH($P$30,'I.A. + Fasce'!$W$84:$AA$84,0),1,1)),0)),"")</f>
        <v>MANDZUKIC</v>
      </c>
      <c r="S643" s="62" t="str">
        <f ca="1">IF(R643="","",VLOOKUP(R643,$B$643:$C$762,2,FALSE))</f>
        <v>Juventus</v>
      </c>
      <c r="W643" s="56">
        <f ca="1">_xlfn.RANK.EQ(D643,D$643:D$762,0)</f>
        <v>26</v>
      </c>
      <c r="X643" s="56">
        <f ca="1">_xlfn.RANK.EQ(E643,$E$643:$E$762,0)</f>
        <v>16</v>
      </c>
      <c r="Y643" s="56">
        <f ca="1">_xlfn.RANK.EQ(F643,$F$643:$F$762,0)</f>
        <v>19</v>
      </c>
      <c r="Z643" s="56">
        <f ca="1">_xlfn.RANK.EQ(J643,$J$643:$J$762,0)</f>
        <v>16</v>
      </c>
      <c r="AA643" s="56">
        <f ca="1">_xlfn.RANK.EQ(K643,$K$643:$K$762,0)</f>
        <v>16</v>
      </c>
      <c r="AB643" s="56">
        <f ca="1">_xlfn.CEILING.MATH(INDIRECT(ADDRESS(643,22+MATCH($P$30,'I.A. + Fasce'!$W$84:$AA$84,0),1,1) &amp; ":" &amp; ADDRESS(762,22+MATCH($P$30,'I.A. + Fasce'!$W$84:$AA$84,0),1,1))/Asta!$H$3)</f>
        <v>2</v>
      </c>
    </row>
    <row r="644" spans="1:28" ht="14.25" customHeight="1">
      <c r="A644" s="239" t="str">
        <f ca="1">IF(Giocatori!M10="","A",Giocatori!M10)</f>
        <v>A</v>
      </c>
      <c r="B644" s="239" t="str">
        <f ca="1">IF(Giocatori!N10="","ZZZ" &amp; ROW(),Giocatori!N10)</f>
        <v>ANTENUCCI</v>
      </c>
      <c r="C644" s="239" t="str">
        <f ca="1">IF(Giocatori!O10="","NDR" &amp; ROW(),Giocatori!O10)</f>
        <v>SPAL</v>
      </c>
      <c r="D644" s="63">
        <f t="shared" ca="1" si="202"/>
        <v>72.006439999999998</v>
      </c>
      <c r="E644" s="63">
        <f t="shared" ca="1" si="203"/>
        <v>39.006439999999998</v>
      </c>
      <c r="F644" s="64">
        <f t="shared" ca="1" si="204"/>
        <v>68.192066345613327</v>
      </c>
      <c r="G644" s="63" t="str">
        <f t="shared" ca="1" si="205"/>
        <v/>
      </c>
      <c r="H644" s="65">
        <f t="shared" ca="1" si="206"/>
        <v>60</v>
      </c>
      <c r="I644" s="63" t="str">
        <f t="shared" ca="1" si="207"/>
        <v xml:space="preserve">2R 3P </v>
      </c>
      <c r="J644" s="63">
        <f t="shared" ca="1" si="208"/>
        <v>1.00644</v>
      </c>
      <c r="K644" s="63">
        <f t="shared" ca="1" si="208"/>
        <v>1.00644</v>
      </c>
      <c r="L644" s="63" t="e">
        <f ca="1">VLOOKUP(Tabella185[[#This Row],[Calciatore]],'Raccolta Aste'!$P$2:$T$33,4,FALSE)*Asta!$U$3/100</f>
        <v>#N/A</v>
      </c>
      <c r="N644" s="59">
        <f t="shared" si="209"/>
        <v>2</v>
      </c>
      <c r="O644" s="62" t="str">
        <f ca="1">IF(ISNUMBER(N644),INDIRECT("B" &amp; 642 + MATCH(N644,INDIRECT(ADDRESS(643,22+MATCH($P$30,'I.A. + Fasce'!$W$84:$AA$84,0),1,1) &amp; ":" &amp; ADDRESS(762,22+MATCH($P$30,'I.A. + Fasce'!$W$84:$AA$84,0),1,1)),0)),"")</f>
        <v>DYBALA</v>
      </c>
      <c r="P644" s="62" t="str">
        <f t="shared" ref="P644:P654" ca="1" si="211">IF(O644="","",VLOOKUP(O644,$B$643:$C$762,2,FALSE))</f>
        <v>Juventus</v>
      </c>
      <c r="Q644" s="59">
        <f t="shared" si="210"/>
        <v>10</v>
      </c>
      <c r="R644" s="62" t="str">
        <f ca="1">IF(ISNUMBER(Q644),INDIRECT("B" &amp; 642 + MATCH(Q644,INDIRECT(ADDRESS(643,22+MATCH($P$30,'I.A. + Fasce'!$W$84:$AA$84,0),1,1) &amp; ":" &amp; ADDRESS(762,22+MATCH($P$30,'I.A. + Fasce'!$W$84:$AA$84,0),1,1)),0)),"")</f>
        <v>ICARDI</v>
      </c>
      <c r="S644" s="62" t="str">
        <f t="shared" ref="S644:S654" ca="1" si="212">IF(R644="","",VLOOKUP(R644,$B$643:$C$762,2,FALSE))</f>
        <v>Inter</v>
      </c>
      <c r="W644" s="56">
        <f t="shared" ref="W644:W707" ca="1" si="213">_xlfn.RANK.EQ(D644,D$643:D$762,0)</f>
        <v>64</v>
      </c>
      <c r="X644" s="56">
        <f t="shared" ref="X644:X707" ca="1" si="214">_xlfn.RANK.EQ(E644,$E$643:$E$762,0)</f>
        <v>63</v>
      </c>
      <c r="Y644" s="56">
        <f t="shared" ref="Y644:Y707" ca="1" si="215">_xlfn.RANK.EQ(F644,$F$643:$F$762,0)</f>
        <v>58</v>
      </c>
      <c r="Z644" s="56">
        <f t="shared" ref="Z644:Z707" ca="1" si="216">_xlfn.RANK.EQ(J644,$J$643:$J$762,0)</f>
        <v>104</v>
      </c>
      <c r="AA644" s="56">
        <f t="shared" ref="AA644:AA707" ca="1" si="217">_xlfn.RANK.EQ(K644,$K$643:$K$762,0)</f>
        <v>104</v>
      </c>
      <c r="AB644" s="56">
        <f ca="1">_xlfn.CEILING.MATH(INDIRECT(ADDRESS(643,22+MATCH($P$30,'I.A. + Fasce'!$W$84:$AA$84,0),1,1) &amp; ":" &amp; ADDRESS(762,22+MATCH($P$30,'I.A. + Fasce'!$W$84:$AA$84,0),1,1))/Asta!$H$3)</f>
        <v>13</v>
      </c>
    </row>
    <row r="645" spans="1:28" ht="14.25" customHeight="1">
      <c r="A645" s="239" t="str">
        <f ca="1">IF(Giocatori!M11="","A",Giocatori!M11)</f>
        <v>A</v>
      </c>
      <c r="B645" s="239" t="str">
        <f ca="1">IF(Giocatori!N11="","ZZZ" &amp; ROW(),Giocatori!N11)</f>
        <v>ARMENTEROS</v>
      </c>
      <c r="C645" s="239" t="str">
        <f ca="1">IF(Giocatori!O11="","NDR" &amp; ROW(),Giocatori!O11)</f>
        <v>Benevento</v>
      </c>
      <c r="D645" s="63">
        <f t="shared" ca="1" si="202"/>
        <v>77.006450000000001</v>
      </c>
      <c r="E645" s="63">
        <f t="shared" ca="1" si="203"/>
        <v>40.006450000000001</v>
      </c>
      <c r="F645" s="64">
        <f t="shared" ca="1" si="204"/>
        <v>71.850533680020845</v>
      </c>
      <c r="G645" s="63" t="str">
        <f t="shared" ca="1" si="205"/>
        <v/>
      </c>
      <c r="H645" s="65">
        <f t="shared" ca="1" si="206"/>
        <v>70</v>
      </c>
      <c r="I645" s="63" t="str">
        <f t="shared" ca="1" si="207"/>
        <v xml:space="preserve">3R </v>
      </c>
      <c r="J645" s="63">
        <f t="shared" ca="1" si="208"/>
        <v>1.0064500000000001</v>
      </c>
      <c r="K645" s="63">
        <f t="shared" ca="1" si="208"/>
        <v>1.0064500000000001</v>
      </c>
      <c r="L645" s="63" t="e">
        <f ca="1">VLOOKUP(Tabella185[[#This Row],[Calciatore]],'Raccolta Aste'!$P$2:$T$33,4,FALSE)*Asta!$U$3/100</f>
        <v>#N/A</v>
      </c>
      <c r="N645" s="59">
        <f t="shared" si="209"/>
        <v>3</v>
      </c>
      <c r="O645" s="62" t="str">
        <f ca="1">IF(ISNUMBER(N645),INDIRECT("B" &amp; 642 + MATCH(N645,INDIRECT(ADDRESS(643,22+MATCH($P$30,'I.A. + Fasce'!$W$84:$AA$84,0),1,1) &amp; ":" &amp; ADDRESS(762,22+MATCH($P$30,'I.A. + Fasce'!$W$84:$AA$84,0),1,1)),0)),"")</f>
        <v>MERTENS</v>
      </c>
      <c r="P645" s="62" t="str">
        <f t="shared" ca="1" si="211"/>
        <v>Napoli</v>
      </c>
      <c r="Q645" s="59">
        <f t="shared" si="210"/>
        <v>11</v>
      </c>
      <c r="R645" s="62" t="str">
        <f ca="1">IF(ISNUMBER(Q645),INDIRECT("B" &amp; 642 + MATCH(Q645,INDIRECT(ADDRESS(643,22+MATCH($P$30,'I.A. + Fasce'!$W$84:$AA$84,0),1,1) &amp; ":" &amp; ADDRESS(762,22+MATCH($P$30,'I.A. + Fasce'!$W$84:$AA$84,0),1,1)),0)),"")</f>
        <v>GOMEZ A</v>
      </c>
      <c r="S645" s="62" t="str">
        <f t="shared" ca="1" si="212"/>
        <v>Atalanta</v>
      </c>
      <c r="W645" s="56">
        <f t="shared" ca="1" si="213"/>
        <v>41</v>
      </c>
      <c r="X645" s="56">
        <f t="shared" ca="1" si="214"/>
        <v>49</v>
      </c>
      <c r="Y645" s="56">
        <f t="shared" ca="1" si="215"/>
        <v>43</v>
      </c>
      <c r="Z645" s="56">
        <f t="shared" ca="1" si="216"/>
        <v>103</v>
      </c>
      <c r="AA645" s="56">
        <f t="shared" ca="1" si="217"/>
        <v>103</v>
      </c>
      <c r="AB645" s="56">
        <f ca="1">_xlfn.CEILING.MATH(INDIRECT(ADDRESS(643,22+MATCH($P$30,'I.A. + Fasce'!$W$84:$AA$84,0),1,1) &amp; ":" &amp; ADDRESS(762,22+MATCH($P$30,'I.A. + Fasce'!$W$84:$AA$84,0),1,1))/Asta!$H$3)</f>
        <v>13</v>
      </c>
    </row>
    <row r="646" spans="1:28" ht="14.25" customHeight="1">
      <c r="A646" s="239" t="str">
        <f ca="1">IF(Giocatori!M12="","A",Giocatori!M12)</f>
        <v>A</v>
      </c>
      <c r="B646" s="239" t="str">
        <f ca="1">IF(Giocatori!N12="","ZZZ" &amp; ROW(),Giocatori!N12)</f>
        <v>BABACAR</v>
      </c>
      <c r="C646" s="239" t="str">
        <f ca="1">IF(Giocatori!O12="","NDR" &amp; ROW(),Giocatori!O12)</f>
        <v>Fiorentina</v>
      </c>
      <c r="D646" s="63">
        <f t="shared" ca="1" si="202"/>
        <v>78.006460000000004</v>
      </c>
      <c r="E646" s="63">
        <f t="shared" ca="1" si="203"/>
        <v>42.006459999999997</v>
      </c>
      <c r="F646" s="64">
        <f t="shared" ca="1" si="204"/>
        <v>74.717442347763338</v>
      </c>
      <c r="G646" s="63" t="str">
        <f t="shared" ca="1" si="205"/>
        <v>SCONSIGLIATO</v>
      </c>
      <c r="H646" s="65">
        <f t="shared" ca="1" si="206"/>
        <v>60</v>
      </c>
      <c r="I646" s="63" t="str">
        <f t="shared" ca="1" si="207"/>
        <v xml:space="preserve">1R </v>
      </c>
      <c r="J646" s="63">
        <f t="shared" ca="1" si="208"/>
        <v>33.82343563290069</v>
      </c>
      <c r="K646" s="63">
        <f t="shared" ca="1" si="208"/>
        <v>33.82343563290069</v>
      </c>
      <c r="L646" s="63" t="e">
        <f ca="1">VLOOKUP(Tabella185[[#This Row],[Calciatore]],'Raccolta Aste'!$P$2:$T$33,4,FALSE)*Asta!$U$3/100</f>
        <v>#N/A</v>
      </c>
      <c r="N646" s="59">
        <f t="shared" si="209"/>
        <v>4</v>
      </c>
      <c r="O646" s="62" t="str">
        <f ca="1">IF(ISNUMBER(N646),INDIRECT("B" &amp; 642 + MATCH(N646,INDIRECT(ADDRESS(643,22+MATCH($P$30,'I.A. + Fasce'!$W$84:$AA$84,0),1,1) &amp; ":" &amp; ADDRESS(762,22+MATCH($P$30,'I.A. + Fasce'!$W$84:$AA$84,0),1,1)),0)),"")</f>
        <v>DZEKO</v>
      </c>
      <c r="P646" s="62" t="str">
        <f t="shared" ca="1" si="211"/>
        <v>Roma</v>
      </c>
      <c r="Q646" s="59">
        <f t="shared" si="210"/>
        <v>12</v>
      </c>
      <c r="R646" s="62" t="str">
        <f ca="1">IF(ISNUMBER(Q646),INDIRECT("B" &amp; 642 + MATCH(Q646,INDIRECT(ADDRESS(643,22+MATCH($P$30,'I.A. + Fasce'!$W$84:$AA$84,0),1,1) &amp; ":" &amp; ADDRESS(762,22+MATCH($P$30,'I.A. + Fasce'!$W$84:$AA$84,0),1,1)),0)),"")</f>
        <v>SCHICK</v>
      </c>
      <c r="S646" s="62" t="str">
        <f t="shared" ca="1" si="212"/>
        <v>Roma</v>
      </c>
      <c r="W646" s="56">
        <f t="shared" ca="1" si="213"/>
        <v>36</v>
      </c>
      <c r="X646" s="56">
        <f t="shared" ca="1" si="214"/>
        <v>34</v>
      </c>
      <c r="Y646" s="56">
        <f t="shared" ca="1" si="215"/>
        <v>34</v>
      </c>
      <c r="Z646" s="56">
        <f t="shared" ca="1" si="216"/>
        <v>36</v>
      </c>
      <c r="AA646" s="56">
        <f t="shared" ca="1" si="217"/>
        <v>36</v>
      </c>
      <c r="AB646" s="56">
        <f ca="1">_xlfn.CEILING.MATH(INDIRECT(ADDRESS(643,22+MATCH($P$30,'I.A. + Fasce'!$W$84:$AA$84,0),1,1) &amp; ":" &amp; ADDRESS(762,22+MATCH($P$30,'I.A. + Fasce'!$W$84:$AA$84,0),1,1))/Asta!$H$3)</f>
        <v>5</v>
      </c>
    </row>
    <row r="647" spans="1:28" ht="14.25" customHeight="1">
      <c r="A647" s="239" t="str">
        <f ca="1">IF(Giocatori!M13="","A",Giocatori!M13)</f>
        <v>A</v>
      </c>
      <c r="B647" s="239" t="str">
        <f ca="1">IF(Giocatori!N13="","ZZZ" &amp; ROW(),Giocatori!N13)</f>
        <v>BAJIC</v>
      </c>
      <c r="C647" s="239" t="str">
        <f ca="1">IF(Giocatori!O13="","NDR" &amp; ROW(),Giocatori!O13)</f>
        <v>Udinese</v>
      </c>
      <c r="D647" s="63">
        <f t="shared" ca="1" si="202"/>
        <v>73.006469999999993</v>
      </c>
      <c r="E647" s="63">
        <f t="shared" ca="1" si="203"/>
        <v>40.00647</v>
      </c>
      <c r="F647" s="64">
        <f t="shared" ca="1" si="204"/>
        <v>69.850587015507486</v>
      </c>
      <c r="G647" s="63" t="str">
        <f t="shared" ca="1" si="205"/>
        <v/>
      </c>
      <c r="H647" s="65">
        <f t="shared" ca="1" si="206"/>
        <v>60</v>
      </c>
      <c r="I647" s="63" t="str">
        <f t="shared" ca="1" si="207"/>
        <v/>
      </c>
      <c r="J647" s="63">
        <f t="shared" ca="1" si="208"/>
        <v>12.82821568746396</v>
      </c>
      <c r="K647" s="63">
        <f t="shared" ca="1" si="208"/>
        <v>12.82821568746396</v>
      </c>
      <c r="L647" s="63" t="e">
        <f ca="1">VLOOKUP(Tabella185[[#This Row],[Calciatore]],'Raccolta Aste'!$P$2:$T$33,4,FALSE)*Asta!$U$3/100</f>
        <v>#N/A</v>
      </c>
      <c r="N647" s="59">
        <f t="shared" si="209"/>
        <v>5</v>
      </c>
      <c r="O647" s="62" t="str">
        <f ca="1">IF(ISNUMBER(N647),INDIRECT("B" &amp; 642 + MATCH(N647,INDIRECT(ADDRESS(643,22+MATCH($P$30,'I.A. + Fasce'!$W$84:$AA$84,0),1,1) &amp; ":" &amp; ADDRESS(762,22+MATCH($P$30,'I.A. + Fasce'!$W$84:$AA$84,0),1,1)),0)),"")</f>
        <v>INSIGNE</v>
      </c>
      <c r="P647" s="62" t="str">
        <f t="shared" ca="1" si="211"/>
        <v>Napoli</v>
      </c>
      <c r="Q647" s="59">
        <f t="shared" si="210"/>
        <v>13</v>
      </c>
      <c r="R647" s="62" t="str">
        <f ca="1">IF(ISNUMBER(Q647),INDIRECT("B" &amp; 642 + MATCH(Q647,INDIRECT(ADDRESS(643,22+MATCH($P$30,'I.A. + Fasce'!$W$84:$AA$84,0),1,1) &amp; ":" &amp; ADDRESS(762,22+MATCH($P$30,'I.A. + Fasce'!$W$84:$AA$84,0),1,1)),0)),"")</f>
        <v>MILIK</v>
      </c>
      <c r="S647" s="62" t="str">
        <f t="shared" ca="1" si="212"/>
        <v>Napoli</v>
      </c>
      <c r="W647" s="56">
        <f t="shared" ca="1" si="213"/>
        <v>57</v>
      </c>
      <c r="X647" s="56">
        <f t="shared" ca="1" si="214"/>
        <v>48</v>
      </c>
      <c r="Y647" s="56">
        <f t="shared" ca="1" si="215"/>
        <v>48</v>
      </c>
      <c r="Z647" s="56">
        <f t="shared" ca="1" si="216"/>
        <v>52</v>
      </c>
      <c r="AA647" s="56">
        <f t="shared" ca="1" si="217"/>
        <v>52</v>
      </c>
      <c r="AB647" s="56">
        <f ca="1">_xlfn.CEILING.MATH(INDIRECT(ADDRESS(643,22+MATCH($P$30,'I.A. + Fasce'!$W$84:$AA$84,0),1,1) &amp; ":" &amp; ADDRESS(762,22+MATCH($P$30,'I.A. + Fasce'!$W$84:$AA$84,0),1,1))/Asta!$H$3)</f>
        <v>7</v>
      </c>
    </row>
    <row r="648" spans="1:28" ht="14.25" customHeight="1">
      <c r="A648" s="239" t="str">
        <f ca="1">IF(Giocatori!M14="","A",Giocatori!M14)</f>
        <v>A</v>
      </c>
      <c r="B648" s="239" t="str">
        <f ca="1">IF(Giocatori!N14="","ZZZ" &amp; ROW(),Giocatori!N14)</f>
        <v>BELOTTI</v>
      </c>
      <c r="C648" s="239" t="str">
        <f ca="1">IF(Giocatori!O14="","NDR" &amp; ROW(),Giocatori!O14)</f>
        <v>Torino</v>
      </c>
      <c r="D648" s="63">
        <f t="shared" ca="1" si="202"/>
        <v>96.006479999999996</v>
      </c>
      <c r="E648" s="63">
        <f t="shared" ca="1" si="203"/>
        <v>53.006480000000003</v>
      </c>
      <c r="F648" s="64">
        <f t="shared" ca="1" si="204"/>
        <v>97.927017683253325</v>
      </c>
      <c r="G648" s="63" t="str">
        <f t="shared" ca="1" si="205"/>
        <v>CONSIGLIATO</v>
      </c>
      <c r="H648" s="65">
        <f t="shared" ca="1" si="206"/>
        <v>90</v>
      </c>
      <c r="I648" s="63" t="str">
        <f t="shared" ca="1" si="207"/>
        <v xml:space="preserve">1R </v>
      </c>
      <c r="J648" s="63">
        <f t="shared" ca="1" si="208"/>
        <v>133.12290152709528</v>
      </c>
      <c r="K648" s="63">
        <f t="shared" ca="1" si="208"/>
        <v>133.12290152709528</v>
      </c>
      <c r="L648" s="63">
        <f ca="1">VLOOKUP(Tabella185[[#This Row],[Calciatore]],'Raccolta Aste'!$P$2:$T$33,4,FALSE)*Asta!$U$3/100</f>
        <v>100.27500000000001</v>
      </c>
      <c r="N648" s="59">
        <f t="shared" si="209"/>
        <v>6</v>
      </c>
      <c r="O648" s="62" t="str">
        <f ca="1">IF(ISNUMBER(N648),INDIRECT("B" &amp; 642 + MATCH(N648,INDIRECT(ADDRESS(643,22+MATCH($P$30,'I.A. + Fasce'!$W$84:$AA$84,0),1,1) &amp; ":" &amp; ADDRESS(762,22+MATCH($P$30,'I.A. + Fasce'!$W$84:$AA$84,0),1,1)),0)),"")</f>
        <v>CALLEJON</v>
      </c>
      <c r="P648" s="62" t="str">
        <f t="shared" ca="1" si="211"/>
        <v>Napoli</v>
      </c>
      <c r="Q648" s="59">
        <f t="shared" si="210"/>
        <v>14</v>
      </c>
      <c r="R648" s="62" t="str">
        <f ca="1">IF(ISNUMBER(Q648),INDIRECT("B" &amp; 642 + MATCH(Q648,INDIRECT(ADDRESS(643,22+MATCH($P$30,'I.A. + Fasce'!$W$84:$AA$84,0),1,1) &amp; ":" &amp; ADDRESS(762,22+MATCH($P$30,'I.A. + Fasce'!$W$84:$AA$84,0),1,1)),0)),"")</f>
        <v>SIMEONE</v>
      </c>
      <c r="S648" s="62" t="str">
        <f t="shared" ca="1" si="212"/>
        <v>Fiorentina</v>
      </c>
      <c r="W648" s="56">
        <f t="shared" ca="1" si="213"/>
        <v>4</v>
      </c>
      <c r="X648" s="56">
        <f t="shared" ca="1" si="214"/>
        <v>3</v>
      </c>
      <c r="Y648" s="56">
        <f t="shared" ca="1" si="215"/>
        <v>2</v>
      </c>
      <c r="Z648" s="56">
        <f t="shared" ca="1" si="216"/>
        <v>8</v>
      </c>
      <c r="AA648" s="56">
        <f t="shared" ca="1" si="217"/>
        <v>8</v>
      </c>
      <c r="AB648" s="56">
        <f ca="1">_xlfn.CEILING.MATH(INDIRECT(ADDRESS(643,22+MATCH($P$30,'I.A. + Fasce'!$W$84:$AA$84,0),1,1) &amp; ":" &amp; ADDRESS(762,22+MATCH($P$30,'I.A. + Fasce'!$W$84:$AA$84,0),1,1))/Asta!$H$3)</f>
        <v>1</v>
      </c>
    </row>
    <row r="649" spans="1:28" ht="14.25" customHeight="1">
      <c r="A649" s="239" t="str">
        <f ca="1">IF(Giocatori!M15="","A",Giocatori!M15)</f>
        <v>A</v>
      </c>
      <c r="B649" s="239" t="str">
        <f ca="1">IF(Giocatori!N15="","ZZZ" &amp; ROW(),Giocatori!N15)</f>
        <v>BERARDI</v>
      </c>
      <c r="C649" s="239" t="str">
        <f ca="1">IF(Giocatori!O15="","NDR" &amp; ROW(),Giocatori!O15)</f>
        <v>Sassuolo</v>
      </c>
      <c r="D649" s="63">
        <f t="shared" ca="1" si="202"/>
        <v>81.006489999999999</v>
      </c>
      <c r="E649" s="63">
        <f t="shared" ca="1" si="203"/>
        <v>44.006489999999999</v>
      </c>
      <c r="F649" s="64">
        <f t="shared" ca="1" si="204"/>
        <v>78.6510730176675</v>
      </c>
      <c r="G649" s="63" t="str">
        <f t="shared" ca="1" si="205"/>
        <v/>
      </c>
      <c r="H649" s="65">
        <f t="shared" ca="1" si="206"/>
        <v>90</v>
      </c>
      <c r="I649" s="63" t="str">
        <f t="shared" ca="1" si="207"/>
        <v>1R 1P 1A</v>
      </c>
      <c r="J649" s="63">
        <f t="shared" ca="1" si="208"/>
        <v>46.026841103128064</v>
      </c>
      <c r="K649" s="63">
        <f t="shared" ca="1" si="208"/>
        <v>46.026841103128064</v>
      </c>
      <c r="L649" s="63">
        <f ca="1">VLOOKUP(Tabella185[[#This Row],[Calciatore]],'Raccolta Aste'!$P$2:$T$33,4,FALSE)*Asta!$U$3/100</f>
        <v>45.744999999999997</v>
      </c>
      <c r="N649" s="59">
        <f t="shared" si="209"/>
        <v>7</v>
      </c>
      <c r="O649" s="62" t="str">
        <f ca="1">IF(ISNUMBER(N649),INDIRECT("B" &amp; 642 + MATCH(N649,INDIRECT(ADDRESS(643,22+MATCH($P$30,'I.A. + Fasce'!$W$84:$AA$84,0),1,1) &amp; ":" &amp; ADDRESS(762,22+MATCH($P$30,'I.A. + Fasce'!$W$84:$AA$84,0),1,1)),0)),"")</f>
        <v>IMMOBILE</v>
      </c>
      <c r="P649" s="62" t="str">
        <f t="shared" ca="1" si="211"/>
        <v>Lazio</v>
      </c>
      <c r="Q649" s="59">
        <f t="shared" si="210"/>
        <v>15</v>
      </c>
      <c r="R649" s="62" t="str">
        <f ca="1">IF(ISNUMBER(Q649),INDIRECT("B" &amp; 642 + MATCH(Q649,INDIRECT(ADDRESS(643,22+MATCH($P$30,'I.A. + Fasce'!$W$84:$AA$84,0),1,1) &amp; ":" &amp; ADDRESS(762,22+MATCH($P$30,'I.A. + Fasce'!$W$84:$AA$84,0),1,1)),0)),"")</f>
        <v>EL SHAARAWY</v>
      </c>
      <c r="S649" s="62" t="str">
        <f t="shared" ca="1" si="212"/>
        <v>Roma</v>
      </c>
      <c r="W649" s="56">
        <f t="shared" ca="1" si="213"/>
        <v>21</v>
      </c>
      <c r="X649" s="56">
        <f t="shared" ca="1" si="214"/>
        <v>22</v>
      </c>
      <c r="Y649" s="56">
        <f t="shared" ca="1" si="215"/>
        <v>21</v>
      </c>
      <c r="Z649" s="56">
        <f t="shared" ca="1" si="216"/>
        <v>28</v>
      </c>
      <c r="AA649" s="56">
        <f t="shared" ca="1" si="217"/>
        <v>28</v>
      </c>
      <c r="AB649" s="56">
        <f ca="1">_xlfn.CEILING.MATH(INDIRECT(ADDRESS(643,22+MATCH($P$30,'I.A. + Fasce'!$W$84:$AA$84,0),1,1) &amp; ":" &amp; ADDRESS(762,22+MATCH($P$30,'I.A. + Fasce'!$W$84:$AA$84,0),1,1))/Asta!$H$3)</f>
        <v>4</v>
      </c>
    </row>
    <row r="650" spans="1:28" ht="14.25" customHeight="1">
      <c r="A650" s="239" t="str">
        <f ca="1">IF(Giocatori!M16="","A",Giocatori!M16)</f>
        <v>A</v>
      </c>
      <c r="B650" s="239" t="str">
        <f ca="1">IF(Giocatori!N16="","ZZZ" &amp; ROW(),Giocatori!N16)</f>
        <v>BONAZZOLI</v>
      </c>
      <c r="C650" s="239" t="str">
        <f ca="1">IF(Giocatori!O16="","NDR" &amp; ROW(),Giocatori!O16)</f>
        <v>SPAL</v>
      </c>
      <c r="D650" s="63">
        <f t="shared" ca="1" si="202"/>
        <v>59.006500000000003</v>
      </c>
      <c r="E650" s="63">
        <f t="shared" ca="1" si="203"/>
        <v>27.006499999999999</v>
      </c>
      <c r="F650" s="64">
        <f t="shared" ca="1" si="204"/>
        <v>49.090925352083339</v>
      </c>
      <c r="G650" s="63" t="str">
        <f t="shared" ca="1" si="205"/>
        <v/>
      </c>
      <c r="H650" s="65">
        <f t="shared" ca="1" si="206"/>
        <v>30</v>
      </c>
      <c r="I650" s="63" t="str">
        <f t="shared" ca="1" si="207"/>
        <v/>
      </c>
      <c r="J650" s="63">
        <f t="shared" ca="1" si="208"/>
        <v>1.0065</v>
      </c>
      <c r="K650" s="63">
        <f t="shared" ca="1" si="208"/>
        <v>1.0065</v>
      </c>
      <c r="L650" s="63" t="e">
        <f ca="1">VLOOKUP(Tabella185[[#This Row],[Calciatore]],'Raccolta Aste'!$P$2:$T$33,4,FALSE)*Asta!$U$3/100</f>
        <v>#N/A</v>
      </c>
      <c r="N650" s="59">
        <f t="shared" si="209"/>
        <v>8</v>
      </c>
      <c r="O650" s="62" t="str">
        <f ca="1">IF(ISNUMBER(N650),INDIRECT("B" &amp; 642 + MATCH(N650,INDIRECT(ADDRESS(643,22+MATCH($P$30,'I.A. + Fasce'!$W$84:$AA$84,0),1,1) &amp; ":" &amp; ADDRESS(762,22+MATCH($P$30,'I.A. + Fasce'!$W$84:$AA$84,0),1,1)),0)),"")</f>
        <v>BELOTTI</v>
      </c>
      <c r="P650" s="62" t="str">
        <f t="shared" ca="1" si="211"/>
        <v>Torino</v>
      </c>
      <c r="Q650" s="59">
        <f t="shared" si="210"/>
        <v>16</v>
      </c>
      <c r="R650" s="62" t="str">
        <f ca="1">IF(ISNUMBER(Q650),INDIRECT("B" &amp; 642 + MATCH(Q650,INDIRECT(ADDRESS(643,22+MATCH($P$30,'I.A. + Fasce'!$W$84:$AA$84,0),1,1) &amp; ":" &amp; ADDRESS(762,22+MATCH($P$30,'I.A. + Fasce'!$W$84:$AA$84,0),1,1)),0)),"")</f>
        <v>ANDRE' SILVA</v>
      </c>
      <c r="S650" s="62" t="str">
        <f t="shared" ca="1" si="212"/>
        <v>Milan</v>
      </c>
      <c r="W650" s="56">
        <f t="shared" ca="1" si="213"/>
        <v>93</v>
      </c>
      <c r="X650" s="56">
        <f t="shared" ca="1" si="214"/>
        <v>103</v>
      </c>
      <c r="Y650" s="56">
        <f t="shared" ca="1" si="215"/>
        <v>100</v>
      </c>
      <c r="Z650" s="56">
        <f t="shared" ca="1" si="216"/>
        <v>102</v>
      </c>
      <c r="AA650" s="56">
        <f t="shared" ca="1" si="217"/>
        <v>102</v>
      </c>
      <c r="AB650" s="56">
        <f ca="1">_xlfn.CEILING.MATH(INDIRECT(ADDRESS(643,22+MATCH($P$30,'I.A. + Fasce'!$W$84:$AA$84,0),1,1) &amp; ":" &amp; ADDRESS(762,22+MATCH($P$30,'I.A. + Fasce'!$W$84:$AA$84,0),1,1))/Asta!$H$3)</f>
        <v>13</v>
      </c>
    </row>
    <row r="651" spans="1:28" ht="14.25" customHeight="1">
      <c r="A651" s="239" t="str">
        <f ca="1">IF(Giocatori!M17="","A",Giocatori!M17)</f>
        <v>A</v>
      </c>
      <c r="B651" s="239" t="str">
        <f ca="1">IF(Giocatori!N17="","ZZZ" &amp; ROW(),Giocatori!N17)</f>
        <v>BORINI</v>
      </c>
      <c r="C651" s="239" t="str">
        <f ca="1">IF(Giocatori!O17="","NDR" &amp; ROW(),Giocatori!O17)</f>
        <v>Milan</v>
      </c>
      <c r="D651" s="63">
        <f t="shared" ca="1" si="202"/>
        <v>69.006510000000006</v>
      </c>
      <c r="E651" s="63">
        <f t="shared" ca="1" si="203"/>
        <v>40.006509999999999</v>
      </c>
      <c r="F651" s="64">
        <f t="shared" ca="1" si="204"/>
        <v>67.850693686500847</v>
      </c>
      <c r="G651" s="63" t="str">
        <f t="shared" ca="1" si="205"/>
        <v>SCONSIGLIATO</v>
      </c>
      <c r="H651" s="65">
        <f t="shared" ca="1" si="206"/>
        <v>60</v>
      </c>
      <c r="I651" s="63" t="str">
        <f t="shared" ca="1" si="207"/>
        <v/>
      </c>
      <c r="J651" s="63">
        <f t="shared" ca="1" si="208"/>
        <v>41.996037908631926</v>
      </c>
      <c r="K651" s="63">
        <f t="shared" ca="1" si="208"/>
        <v>41.996037908631926</v>
      </c>
      <c r="L651" s="63">
        <f ca="1">VLOOKUP(Tabella185[[#This Row],[Calciatore]],'Raccolta Aste'!$P$2:$T$33,4,FALSE)*Asta!$U$3/100</f>
        <v>0</v>
      </c>
      <c r="N651" s="59" t="str">
        <f t="shared" si="209"/>
        <v/>
      </c>
      <c r="O651" s="62" t="str">
        <f ca="1">IF(ISNUMBER(N651),INDIRECT("B" &amp; 642 + MATCH(N651,INDIRECT(ADDRESS(643,22+MATCH($P$30,'I.A. + Fasce'!$W$84:$AA$84,0),1,1) &amp; ":" &amp; ADDRESS(762,22+MATCH($P$30,'I.A. + Fasce'!$W$84:$AA$84,0),1,1)),0)),"")</f>
        <v/>
      </c>
      <c r="P651" s="62" t="str">
        <f t="shared" ca="1" si="211"/>
        <v/>
      </c>
      <c r="Q651" s="59" t="str">
        <f t="shared" si="210"/>
        <v/>
      </c>
      <c r="R651" s="62" t="str">
        <f ca="1">IF(ISNUMBER(Q651),INDIRECT("B" &amp; 642 + MATCH(Q651,INDIRECT(ADDRESS(643,22+MATCH($P$30,'I.A. + Fasce'!$W$84:$AA$84,0),1,1) &amp; ":" &amp; ADDRESS(762,22+MATCH($P$30,'I.A. + Fasce'!$W$84:$AA$84,0),1,1)),0)),"")</f>
        <v/>
      </c>
      <c r="S651" s="62" t="str">
        <f t="shared" ca="1" si="212"/>
        <v/>
      </c>
      <c r="W651" s="56">
        <f t="shared" ca="1" si="213"/>
        <v>76</v>
      </c>
      <c r="X651" s="56">
        <f t="shared" ca="1" si="214"/>
        <v>47</v>
      </c>
      <c r="Y651" s="56">
        <f t="shared" ca="1" si="215"/>
        <v>59</v>
      </c>
      <c r="Z651" s="56">
        <f t="shared" ca="1" si="216"/>
        <v>29</v>
      </c>
      <c r="AA651" s="56">
        <f t="shared" ca="1" si="217"/>
        <v>29</v>
      </c>
      <c r="AB651" s="56">
        <f ca="1">_xlfn.CEILING.MATH(INDIRECT(ADDRESS(643,22+MATCH($P$30,'I.A. + Fasce'!$W$84:$AA$84,0),1,1) &amp; ":" &amp; ADDRESS(762,22+MATCH($P$30,'I.A. + Fasce'!$W$84:$AA$84,0),1,1))/Asta!$H$3)</f>
        <v>4</v>
      </c>
    </row>
    <row r="652" spans="1:28" ht="14.25" customHeight="1">
      <c r="A652" s="239" t="str">
        <f ca="1">IF(Giocatori!M18="","A",Giocatori!M18)</f>
        <v>A</v>
      </c>
      <c r="B652" s="239" t="str">
        <f ca="1">IF(Giocatori!N18="","ZZZ" &amp; ROW(),Giocatori!N18)</f>
        <v>BORRIELLO</v>
      </c>
      <c r="C652" s="239" t="str">
        <f ca="1">IF(Giocatori!O18="","NDR" &amp; ROW(),Giocatori!O18)</f>
        <v>SPAL</v>
      </c>
      <c r="D652" s="63">
        <f t="shared" ca="1" si="202"/>
        <v>84.006519999999995</v>
      </c>
      <c r="E652" s="63">
        <f t="shared" ca="1" si="203"/>
        <v>41.006520000000002</v>
      </c>
      <c r="F652" s="64">
        <f t="shared" ca="1" si="204"/>
        <v>76.52582902092</v>
      </c>
      <c r="G652" s="63" t="str">
        <f t="shared" ca="1" si="205"/>
        <v>CONSIGLIATO</v>
      </c>
      <c r="H652" s="65">
        <f t="shared" ca="1" si="206"/>
        <v>70</v>
      </c>
      <c r="I652" s="63" t="str">
        <f t="shared" ca="1" si="207"/>
        <v xml:space="preserve">1R 2P </v>
      </c>
      <c r="J652" s="63">
        <f t="shared" ca="1" si="208"/>
        <v>1.0065200000000001</v>
      </c>
      <c r="K652" s="63">
        <f t="shared" ca="1" si="208"/>
        <v>1.0065200000000001</v>
      </c>
      <c r="L652" s="63" t="e">
        <f ca="1">VLOOKUP(Tabella185[[#This Row],[Calciatore]],'Raccolta Aste'!$P$2:$T$33,4,FALSE)*Asta!$U$3/100</f>
        <v>#N/A</v>
      </c>
      <c r="N652" s="59" t="str">
        <f t="shared" si="209"/>
        <v/>
      </c>
      <c r="O652" s="62" t="str">
        <f ca="1">IF(ISNUMBER(N652),INDIRECT("B" &amp; 642 + MATCH(N652,INDIRECT(ADDRESS(643,22+MATCH($P$30,'I.A. + Fasce'!$W$84:$AA$84,0),1,1) &amp; ":" &amp; ADDRESS(762,22+MATCH($P$30,'I.A. + Fasce'!$W$84:$AA$84,0),1,1)),0)),"")</f>
        <v/>
      </c>
      <c r="P652" s="62" t="str">
        <f t="shared" ca="1" si="211"/>
        <v/>
      </c>
      <c r="Q652" s="59" t="str">
        <f t="shared" si="210"/>
        <v/>
      </c>
      <c r="R652" s="62" t="str">
        <f ca="1">IF(ISNUMBER(Q652),INDIRECT("B" &amp; 642 + MATCH(Q652,INDIRECT(ADDRESS(643,22+MATCH($P$30,'I.A. + Fasce'!$W$84:$AA$84,0),1,1) &amp; ":" &amp; ADDRESS(762,22+MATCH($P$30,'I.A. + Fasce'!$W$84:$AA$84,0),1,1)),0)),"")</f>
        <v/>
      </c>
      <c r="S652" s="62" t="str">
        <f t="shared" ca="1" si="212"/>
        <v/>
      </c>
      <c r="W652" s="56">
        <f t="shared" ca="1" si="213"/>
        <v>16</v>
      </c>
      <c r="X652" s="56">
        <f t="shared" ca="1" si="214"/>
        <v>42</v>
      </c>
      <c r="Y652" s="56">
        <f t="shared" ca="1" si="215"/>
        <v>26</v>
      </c>
      <c r="Z652" s="56">
        <f t="shared" ca="1" si="216"/>
        <v>101</v>
      </c>
      <c r="AA652" s="56">
        <f t="shared" ca="1" si="217"/>
        <v>101</v>
      </c>
      <c r="AB652" s="56">
        <f ca="1">_xlfn.CEILING.MATH(INDIRECT(ADDRESS(643,22+MATCH($P$30,'I.A. + Fasce'!$W$84:$AA$84,0),1,1) &amp; ":" &amp; ADDRESS(762,22+MATCH($P$30,'I.A. + Fasce'!$W$84:$AA$84,0),1,1))/Asta!$H$3)</f>
        <v>13</v>
      </c>
    </row>
    <row r="653" spans="1:28" ht="14.25" customHeight="1">
      <c r="A653" s="239" t="str">
        <f ca="1">IF(Giocatori!M19="","A",Giocatori!M19)</f>
        <v>A</v>
      </c>
      <c r="B653" s="239" t="str">
        <f ca="1">IF(Giocatori!N19="","ZZZ" &amp; ROW(),Giocatori!N19)</f>
        <v>BOYE'</v>
      </c>
      <c r="C653" s="239" t="str">
        <f ca="1">IF(Giocatori!O19="","NDR" &amp; ROW(),Giocatori!O19)</f>
        <v>Torino</v>
      </c>
      <c r="D653" s="63">
        <f t="shared" ca="1" si="202"/>
        <v>70.006529999999998</v>
      </c>
      <c r="E653" s="63">
        <f t="shared" ca="1" si="203"/>
        <v>39.006529999999998</v>
      </c>
      <c r="F653" s="64">
        <f t="shared" ca="1" si="204"/>
        <v>67.192304855340836</v>
      </c>
      <c r="G653" s="63" t="str">
        <f t="shared" ca="1" si="205"/>
        <v>SCONSIGLIATO</v>
      </c>
      <c r="H653" s="65">
        <f t="shared" ca="1" si="206"/>
        <v>60</v>
      </c>
      <c r="I653" s="63" t="str">
        <f t="shared" ca="1" si="207"/>
        <v/>
      </c>
      <c r="J653" s="63">
        <f t="shared" ca="1" si="208"/>
        <v>24.255775941641051</v>
      </c>
      <c r="K653" s="63">
        <f t="shared" ca="1" si="208"/>
        <v>24.255775941641051</v>
      </c>
      <c r="L653" s="63" t="e">
        <f ca="1">VLOOKUP(Tabella185[[#This Row],[Calciatore]],'Raccolta Aste'!$P$2:$T$33,4,FALSE)*Asta!$U$3/100</f>
        <v>#N/A</v>
      </c>
      <c r="N653" s="59" t="str">
        <f t="shared" si="209"/>
        <v/>
      </c>
      <c r="O653" s="62" t="str">
        <f ca="1">IF(ISNUMBER(N653),INDIRECT("B" &amp; 642 + MATCH(N653,INDIRECT(ADDRESS(643,22+MATCH($P$30,'I.A. + Fasce'!$W$84:$AA$84,0),1,1) &amp; ":" &amp; ADDRESS(762,22+MATCH($P$30,'I.A. + Fasce'!$W$84:$AA$84,0),1,1)),0)),"")</f>
        <v/>
      </c>
      <c r="P653" s="62" t="str">
        <f t="shared" ca="1" si="211"/>
        <v/>
      </c>
      <c r="Q653" s="59" t="str">
        <f t="shared" si="210"/>
        <v/>
      </c>
      <c r="R653" s="62" t="str">
        <f ca="1">IF(ISNUMBER(Q653),INDIRECT("B" &amp; 642 + MATCH(Q653,INDIRECT(ADDRESS(643,22+MATCH($P$30,'I.A. + Fasce'!$W$84:$AA$84,0),1,1) &amp; ":" &amp; ADDRESS(762,22+MATCH($P$30,'I.A. + Fasce'!$W$84:$AA$84,0),1,1)),0)),"")</f>
        <v/>
      </c>
      <c r="S653" s="62" t="str">
        <f t="shared" ca="1" si="212"/>
        <v/>
      </c>
      <c r="W653" s="56">
        <f t="shared" ca="1" si="213"/>
        <v>70</v>
      </c>
      <c r="X653" s="56">
        <f t="shared" ca="1" si="214"/>
        <v>62</v>
      </c>
      <c r="Y653" s="56">
        <f t="shared" ca="1" si="215"/>
        <v>61</v>
      </c>
      <c r="Z653" s="56">
        <f t="shared" ca="1" si="216"/>
        <v>43</v>
      </c>
      <c r="AA653" s="56">
        <f t="shared" ca="1" si="217"/>
        <v>43</v>
      </c>
      <c r="AB653" s="56">
        <f ca="1">_xlfn.CEILING.MATH(INDIRECT(ADDRESS(643,22+MATCH($P$30,'I.A. + Fasce'!$W$84:$AA$84,0),1,1) &amp; ":" &amp; ADDRESS(762,22+MATCH($P$30,'I.A. + Fasce'!$W$84:$AA$84,0),1,1))/Asta!$H$3)</f>
        <v>6</v>
      </c>
    </row>
    <row r="654" spans="1:28" ht="14.25" customHeight="1">
      <c r="A654" s="239" t="str">
        <f ca="1">IF(Giocatori!M20="","A",Giocatori!M20)</f>
        <v>A</v>
      </c>
      <c r="B654" s="239" t="str">
        <f ca="1">IF(Giocatori!N20="","ZZZ" &amp; ROW(),Giocatori!N20)</f>
        <v>BRIGNOLA</v>
      </c>
      <c r="C654" s="239" t="str">
        <f ca="1">IF(Giocatori!O20="","NDR" &amp; ROW(),Giocatori!O20)</f>
        <v>Benevento</v>
      </c>
      <c r="D654" s="63">
        <f t="shared" ca="1" si="202"/>
        <v>45.006540000000001</v>
      </c>
      <c r="E654" s="63">
        <f t="shared" ca="1" si="203"/>
        <v>29.006540000000001</v>
      </c>
      <c r="F654" s="64">
        <f t="shared" ca="1" si="204"/>
        <v>44.024574689763334</v>
      </c>
      <c r="G654" s="63" t="str">
        <f t="shared" ca="1" si="205"/>
        <v/>
      </c>
      <c r="H654" s="65">
        <f t="shared" ca="1" si="206"/>
        <v>30</v>
      </c>
      <c r="I654" s="63" t="str">
        <f t="shared" ca="1" si="207"/>
        <v/>
      </c>
      <c r="J654" s="63">
        <f t="shared" ca="1" si="208"/>
        <v>1.00654</v>
      </c>
      <c r="K654" s="63">
        <f t="shared" ca="1" si="208"/>
        <v>1.00654</v>
      </c>
      <c r="L654" s="63" t="e">
        <f ca="1">VLOOKUP(Tabella185[[#This Row],[Calciatore]],'Raccolta Aste'!$P$2:$T$33,4,FALSE)*Asta!$U$3/100</f>
        <v>#N/A</v>
      </c>
      <c r="N654" s="59" t="str">
        <f t="shared" si="209"/>
        <v/>
      </c>
      <c r="O654" s="62" t="str">
        <f ca="1">IF(ISNUMBER(N654),INDIRECT("B" &amp; 642 + MATCH(N654,INDIRECT(ADDRESS(643,22+MATCH($P$30,'I.A. + Fasce'!$W$84:$AA$84,0),1,1) &amp; ":" &amp; ADDRESS(762,22+MATCH($P$30,'I.A. + Fasce'!$W$84:$AA$84,0),1,1)),0)),"")</f>
        <v/>
      </c>
      <c r="P654" s="62" t="str">
        <f t="shared" ca="1" si="211"/>
        <v/>
      </c>
      <c r="Q654" s="59" t="str">
        <f t="shared" si="210"/>
        <v/>
      </c>
      <c r="R654" s="62" t="str">
        <f ca="1">IF(ISNUMBER(Q654),INDIRECT("B" &amp; 642 + MATCH(Q654,INDIRECT(ADDRESS(643,22+MATCH($P$30,'I.A. + Fasce'!$W$84:$AA$84,0),1,1) &amp; ":" &amp; ADDRESS(762,22+MATCH($P$30,'I.A. + Fasce'!$W$84:$AA$84,0),1,1)),0)),"")</f>
        <v/>
      </c>
      <c r="S654" s="62" t="str">
        <f t="shared" ca="1" si="212"/>
        <v/>
      </c>
      <c r="W654" s="56">
        <f t="shared" ca="1" si="213"/>
        <v>102</v>
      </c>
      <c r="X654" s="56">
        <f t="shared" ca="1" si="214"/>
        <v>102</v>
      </c>
      <c r="Y654" s="56">
        <f t="shared" ca="1" si="215"/>
        <v>101</v>
      </c>
      <c r="Z654" s="56">
        <f t="shared" ca="1" si="216"/>
        <v>100</v>
      </c>
      <c r="AA654" s="56">
        <f t="shared" ca="1" si="217"/>
        <v>100</v>
      </c>
      <c r="AB654" s="56">
        <f ca="1">_xlfn.CEILING.MATH(INDIRECT(ADDRESS(643,22+MATCH($P$30,'I.A. + Fasce'!$W$84:$AA$84,0),1,1) &amp; ":" &amp; ADDRESS(762,22+MATCH($P$30,'I.A. + Fasce'!$W$84:$AA$84,0),1,1))/Asta!$H$3)</f>
        <v>13</v>
      </c>
    </row>
    <row r="655" spans="1:28" ht="14.25" customHeight="1">
      <c r="A655" s="239" t="str">
        <f ca="1">IF(Giocatori!M21="","A",Giocatori!M21)</f>
        <v>A</v>
      </c>
      <c r="B655" s="239" t="str">
        <f ca="1">IF(Giocatori!N21="","ZZZ" &amp; ROW(),Giocatori!N21)</f>
        <v>BUDIMIR</v>
      </c>
      <c r="C655" s="239" t="str">
        <f ca="1">IF(Giocatori!O21="","NDR" &amp; ROW(),Giocatori!O21)</f>
        <v>Crotone</v>
      </c>
      <c r="D655" s="63">
        <f t="shared" ca="1" si="202"/>
        <v>75.006550000000004</v>
      </c>
      <c r="E655" s="63">
        <f t="shared" ca="1" si="203"/>
        <v>44.006549999999997</v>
      </c>
      <c r="F655" s="64">
        <f t="shared" ca="1" si="204"/>
        <v>75.651237024187495</v>
      </c>
      <c r="G655" s="63" t="str">
        <f t="shared" ca="1" si="205"/>
        <v>CONSIGLIATO</v>
      </c>
      <c r="H655" s="65">
        <f t="shared" ca="1" si="206"/>
        <v>90</v>
      </c>
      <c r="I655" s="63" t="str">
        <f t="shared" ca="1" si="207"/>
        <v xml:space="preserve">1R </v>
      </c>
      <c r="J655" s="63">
        <f t="shared" ca="1" si="208"/>
        <v>25.292160194191123</v>
      </c>
      <c r="K655" s="63">
        <f t="shared" ca="1" si="208"/>
        <v>25.292160194191123</v>
      </c>
      <c r="L655" s="63" t="e">
        <f ca="1">VLOOKUP(Tabella185[[#This Row],[Calciatore]],'Raccolta Aste'!$P$2:$T$33,4,FALSE)*Asta!$U$3/100</f>
        <v>#N/A</v>
      </c>
      <c r="N655" s="58"/>
      <c r="O655" s="58"/>
      <c r="P655" s="58"/>
      <c r="Q655" s="58"/>
      <c r="R655" s="58"/>
      <c r="S655" s="58"/>
      <c r="W655" s="56">
        <f t="shared" ca="1" si="213"/>
        <v>49</v>
      </c>
      <c r="X655" s="56">
        <f t="shared" ca="1" si="214"/>
        <v>21</v>
      </c>
      <c r="Y655" s="56">
        <f t="shared" ca="1" si="215"/>
        <v>31</v>
      </c>
      <c r="Z655" s="56">
        <f t="shared" ca="1" si="216"/>
        <v>42</v>
      </c>
      <c r="AA655" s="56">
        <f t="shared" ca="1" si="217"/>
        <v>42</v>
      </c>
      <c r="AB655" s="56">
        <f ca="1">_xlfn.CEILING.MATH(INDIRECT(ADDRESS(643,22+MATCH($P$30,'I.A. + Fasce'!$W$84:$AA$84,0),1,1) &amp; ":" &amp; ADDRESS(762,22+MATCH($P$30,'I.A. + Fasce'!$W$84:$AA$84,0),1,1))/Asta!$H$3)</f>
        <v>6</v>
      </c>
    </row>
    <row r="656" spans="1:28" ht="14.25" customHeight="1">
      <c r="A656" s="239" t="str">
        <f ca="1">IF(Giocatori!M22="","A",Giocatori!M22)</f>
        <v>A</v>
      </c>
      <c r="B656" s="239" t="str">
        <f ca="1">IF(Giocatori!N22="","ZZZ" &amp; ROW(),Giocatori!N22)</f>
        <v>CAICEDO</v>
      </c>
      <c r="C656" s="239" t="str">
        <f ca="1">IF(Giocatori!O22="","NDR" &amp; ROW(),Giocatori!O22)</f>
        <v>Lazio</v>
      </c>
      <c r="D656" s="63">
        <f t="shared" ca="1" si="202"/>
        <v>63.00656</v>
      </c>
      <c r="E656" s="63">
        <f t="shared" ca="1" si="203"/>
        <v>35.00656</v>
      </c>
      <c r="F656" s="64">
        <f t="shared" ca="1" si="204"/>
        <v>59.22528035861334</v>
      </c>
      <c r="G656" s="63" t="str">
        <f t="shared" ca="1" si="205"/>
        <v>SCONSIGLIATO</v>
      </c>
      <c r="H656" s="65">
        <f t="shared" ca="1" si="206"/>
        <v>50</v>
      </c>
      <c r="I656" s="63" t="str">
        <f t="shared" ca="1" si="207"/>
        <v/>
      </c>
      <c r="J656" s="63">
        <f t="shared" ca="1" si="208"/>
        <v>1.0065599999999999</v>
      </c>
      <c r="K656" s="63">
        <f t="shared" ca="1" si="208"/>
        <v>1.0065599999999999</v>
      </c>
      <c r="L656" s="63" t="e">
        <f ca="1">VLOOKUP(Tabella185[[#This Row],[Calciatore]],'Raccolta Aste'!$P$2:$T$33,4,FALSE)*Asta!$U$3/100</f>
        <v>#N/A</v>
      </c>
      <c r="N656" s="58"/>
      <c r="O656" s="59" t="s">
        <v>689</v>
      </c>
      <c r="P656" s="59" t="s">
        <v>637</v>
      </c>
      <c r="Q656" s="58"/>
      <c r="R656" s="59" t="s">
        <v>690</v>
      </c>
      <c r="S656" s="59" t="s">
        <v>637</v>
      </c>
      <c r="W656" s="56">
        <f t="shared" ca="1" si="213"/>
        <v>85</v>
      </c>
      <c r="X656" s="56">
        <f t="shared" ca="1" si="214"/>
        <v>83</v>
      </c>
      <c r="Y656" s="56">
        <f t="shared" ca="1" si="215"/>
        <v>86</v>
      </c>
      <c r="Z656" s="56">
        <f t="shared" ca="1" si="216"/>
        <v>99</v>
      </c>
      <c r="AA656" s="56">
        <f t="shared" ca="1" si="217"/>
        <v>99</v>
      </c>
      <c r="AB656" s="56">
        <f ca="1">_xlfn.CEILING.MATH(INDIRECT(ADDRESS(643,22+MATCH($P$30,'I.A. + Fasce'!$W$84:$AA$84,0),1,1) &amp; ":" &amp; ADDRESS(762,22+MATCH($P$30,'I.A. + Fasce'!$W$84:$AA$84,0),1,1))/Asta!$H$3)</f>
        <v>13</v>
      </c>
    </row>
    <row r="657" spans="1:28" ht="14.25" customHeight="1">
      <c r="A657" s="239" t="str">
        <f ca="1">IF(Giocatori!M23="","A",Giocatori!M23)</f>
        <v>A</v>
      </c>
      <c r="B657" s="239" t="str">
        <f ca="1">IF(Giocatori!N23="","ZZZ" &amp; ROW(),Giocatori!N23)</f>
        <v>CALLEJON</v>
      </c>
      <c r="C657" s="239" t="str">
        <f ca="1">IF(Giocatori!O23="","NDR" &amp; ROW(),Giocatori!O23)</f>
        <v>Napoli</v>
      </c>
      <c r="D657" s="63">
        <f t="shared" ca="1" si="202"/>
        <v>88.006569999999996</v>
      </c>
      <c r="E657" s="63">
        <f t="shared" ca="1" si="203"/>
        <v>49.006570000000004</v>
      </c>
      <c r="F657" s="64">
        <f t="shared" ca="1" si="204"/>
        <v>88.526839193040843</v>
      </c>
      <c r="G657" s="63" t="str">
        <f t="shared" ca="1" si="205"/>
        <v/>
      </c>
      <c r="H657" s="65">
        <f t="shared" ca="1" si="206"/>
        <v>90</v>
      </c>
      <c r="I657" s="63" t="str">
        <f t="shared" ca="1" si="207"/>
        <v>2A</v>
      </c>
      <c r="J657" s="63">
        <f t="shared" ca="1" si="208"/>
        <v>134.44780428339047</v>
      </c>
      <c r="K657" s="63">
        <f t="shared" ca="1" si="208"/>
        <v>134.44780428339047</v>
      </c>
      <c r="L657" s="63">
        <f ca="1">VLOOKUP(Tabella185[[#This Row],[Calciatore]],'Raccolta Aste'!$P$2:$T$33,4,FALSE)*Asta!$U$3/100</f>
        <v>55.265000000000001</v>
      </c>
      <c r="N657" s="60"/>
      <c r="O657" s="61"/>
      <c r="P657" s="61"/>
      <c r="Q657" s="60"/>
      <c r="R657" s="61"/>
      <c r="S657" s="61"/>
      <c r="W657" s="56">
        <f t="shared" ca="1" si="213"/>
        <v>12</v>
      </c>
      <c r="X657" s="56">
        <f t="shared" ca="1" si="214"/>
        <v>12</v>
      </c>
      <c r="Y657" s="56">
        <f t="shared" ca="1" si="215"/>
        <v>10</v>
      </c>
      <c r="Z657" s="56">
        <f t="shared" ca="1" si="216"/>
        <v>6</v>
      </c>
      <c r="AA657" s="56">
        <f t="shared" ca="1" si="217"/>
        <v>6</v>
      </c>
      <c r="AB657" s="56">
        <f ca="1">_xlfn.CEILING.MATH(INDIRECT(ADDRESS(643,22+MATCH($P$30,'I.A. + Fasce'!$W$84:$AA$84,0),1,1) &amp; ":" &amp; ADDRESS(762,22+MATCH($P$30,'I.A. + Fasce'!$W$84:$AA$84,0),1,1))/Asta!$H$3)</f>
        <v>1</v>
      </c>
    </row>
    <row r="658" spans="1:28" ht="14.25" customHeight="1">
      <c r="A658" s="239" t="str">
        <f ca="1">IF(Giocatori!M24="","A",Giocatori!M24)</f>
        <v>A</v>
      </c>
      <c r="B658" s="239" t="str">
        <f ca="1">IF(Giocatori!N24="","ZZZ" &amp; ROW(),Giocatori!N24)</f>
        <v>CAPRARI</v>
      </c>
      <c r="C658" s="239" t="str">
        <f ca="1">IF(Giocatori!O24="","NDR" &amp; ROW(),Giocatori!O24)</f>
        <v>Sampdoria</v>
      </c>
      <c r="D658" s="63">
        <f t="shared" ca="1" si="202"/>
        <v>78.00658</v>
      </c>
      <c r="E658" s="63">
        <f t="shared" ca="1" si="203"/>
        <v>39.00658</v>
      </c>
      <c r="F658" s="64">
        <f t="shared" ca="1" si="204"/>
        <v>71.192437360803325</v>
      </c>
      <c r="G658" s="63" t="str">
        <f t="shared" ca="1" si="205"/>
        <v>SORPRESA</v>
      </c>
      <c r="H658" s="65">
        <f t="shared" ca="1" si="206"/>
        <v>60</v>
      </c>
      <c r="I658" s="63" t="str">
        <f t="shared" ca="1" si="207"/>
        <v>1P 1A</v>
      </c>
      <c r="J658" s="63">
        <f t="shared" ca="1" si="208"/>
        <v>11.052433526281916</v>
      </c>
      <c r="K658" s="63">
        <f t="shared" ca="1" si="208"/>
        <v>11.052433526281916</v>
      </c>
      <c r="L658" s="63" t="e">
        <f ca="1">VLOOKUP(Tabella185[[#This Row],[Calciatore]],'Raccolta Aste'!$P$2:$T$33,4,FALSE)*Asta!$U$3/100</f>
        <v>#N/A</v>
      </c>
      <c r="N658" s="59">
        <f t="shared" ref="N658:N669" si="218">IF(ISNUMBER(Q643),Q643+COUNTIF($N$34:$N$45,"&gt;0"),"")</f>
        <v>17</v>
      </c>
      <c r="O658" s="62" t="str">
        <f ca="1">IF(ISNUMBER(N658),INDIRECT("B" &amp; 642 + MATCH(N658,INDIRECT(ADDRESS(643,22+MATCH($P$30,'I.A. + Fasce'!$W$84:$AA$84,0),1,1) &amp; ":" &amp; ADDRESS(762,22+MATCH($P$30,'I.A. + Fasce'!$W$84:$AA$84,0),1,1)),0)),"")</f>
        <v>KALINIC</v>
      </c>
      <c r="P658" s="62" t="str">
        <f ca="1">IF(O658="","",VLOOKUP(O658,$B$643:$C$762,2,FALSE))</f>
        <v>Milan</v>
      </c>
      <c r="Q658" s="59">
        <f t="shared" ref="Q658:Q669" si="219">IF(ISNUMBER(N658),N658+COUNTIF($N$34:$N$45,"&gt;0"),"")</f>
        <v>25</v>
      </c>
      <c r="R658" s="62" t="str">
        <f ca="1">IF(ISNUMBER(Q658),INDIRECT("B" &amp; 642 + MATCH(Q658,INDIRECT(ADDRESS(643,22+MATCH($P$30,'I.A. + Fasce'!$W$84:$AA$84,0),1,1) &amp; ":" &amp; ADDRESS(762,22+MATCH($P$30,'I.A. + Fasce'!$W$84:$AA$84,0),1,1)),0)),"")</f>
        <v>EDER</v>
      </c>
      <c r="S658" s="62" t="str">
        <f ca="1">IF(R658="","",VLOOKUP(R658,$B$643:$C$762,2,FALSE))</f>
        <v>Inter</v>
      </c>
      <c r="W658" s="56">
        <f t="shared" ca="1" si="213"/>
        <v>35</v>
      </c>
      <c r="X658" s="56">
        <f t="shared" ca="1" si="214"/>
        <v>61</v>
      </c>
      <c r="Y658" s="56">
        <f t="shared" ca="1" si="215"/>
        <v>44</v>
      </c>
      <c r="Z658" s="56">
        <f t="shared" ca="1" si="216"/>
        <v>54</v>
      </c>
      <c r="AA658" s="56">
        <f t="shared" ca="1" si="217"/>
        <v>54</v>
      </c>
      <c r="AB658" s="56">
        <f ca="1">_xlfn.CEILING.MATH(INDIRECT(ADDRESS(643,22+MATCH($P$30,'I.A. + Fasce'!$W$84:$AA$84,0),1,1) &amp; ":" &amp; ADDRESS(762,22+MATCH($P$30,'I.A. + Fasce'!$W$84:$AA$84,0),1,1))/Asta!$H$3)</f>
        <v>7</v>
      </c>
    </row>
    <row r="659" spans="1:28" ht="14.25" customHeight="1">
      <c r="A659" s="239" t="str">
        <f ca="1">IF(Giocatori!M25="","A",Giocatori!M25)</f>
        <v>A</v>
      </c>
      <c r="B659" s="239" t="str">
        <f ca="1">IF(Giocatori!N25="","ZZZ" &amp; ROW(),Giocatori!N25)</f>
        <v>CENTURION</v>
      </c>
      <c r="C659" s="239" t="str">
        <f ca="1">IF(Giocatori!O25="","NDR" &amp; ROW(),Giocatori!O25)</f>
        <v>Genoa</v>
      </c>
      <c r="D659" s="63">
        <f t="shared" ca="1" si="202"/>
        <v>75.006590000000003</v>
      </c>
      <c r="E659" s="63">
        <f t="shared" ca="1" si="203"/>
        <v>40.006590000000003</v>
      </c>
      <c r="F659" s="64">
        <f t="shared" ca="1" si="204"/>
        <v>70.850907028567505</v>
      </c>
      <c r="G659" s="63" t="str">
        <f t="shared" ca="1" si="205"/>
        <v>SORPRESA</v>
      </c>
      <c r="H659" s="65">
        <f t="shared" ca="1" si="206"/>
        <v>70</v>
      </c>
      <c r="I659" s="63" t="str">
        <f t="shared" ca="1" si="207"/>
        <v/>
      </c>
      <c r="J659" s="63">
        <f t="shared" ca="1" si="208"/>
        <v>13.563203684888389</v>
      </c>
      <c r="K659" s="63">
        <f t="shared" ca="1" si="208"/>
        <v>13.563203684888389</v>
      </c>
      <c r="L659" s="63" t="e">
        <f ca="1">VLOOKUP(Tabella185[[#This Row],[Calciatore]],'Raccolta Aste'!$P$2:$T$33,4,FALSE)*Asta!$U$3/100</f>
        <v>#N/A</v>
      </c>
      <c r="N659" s="59">
        <f t="shared" si="218"/>
        <v>18</v>
      </c>
      <c r="O659" s="62" t="str">
        <f ca="1">IF(ISNUMBER(N659),INDIRECT("B" &amp; 642 + MATCH(N659,INDIRECT(ADDRESS(643,22+MATCH($P$30,'I.A. + Fasce'!$W$84:$AA$84,0),1,1) &amp; ":" &amp; ADDRESS(762,22+MATCH($P$30,'I.A. + Fasce'!$W$84:$AA$84,0),1,1)),0)),"")</f>
        <v>SUSO</v>
      </c>
      <c r="P659" s="62" t="str">
        <f t="shared" ref="P659:P669" ca="1" si="220">IF(O659="","",VLOOKUP(O659,$B$643:$C$762,2,FALSE))</f>
        <v>Milan</v>
      </c>
      <c r="Q659" s="59">
        <f t="shared" si="219"/>
        <v>26</v>
      </c>
      <c r="R659" s="62" t="str">
        <f ca="1">IF(ISNUMBER(Q659),INDIRECT("B" &amp; 642 + MATCH(Q659,INDIRECT(ADDRESS(643,22+MATCH($P$30,'I.A. + Fasce'!$W$84:$AA$84,0),1,1) &amp; ":" &amp; ADDRESS(762,22+MATCH($P$30,'I.A. + Fasce'!$W$84:$AA$84,0),1,1)),0)),"")</f>
        <v>PJACA</v>
      </c>
      <c r="S659" s="62" t="str">
        <f t="shared" ref="S659:S669" ca="1" si="221">IF(R659="","",VLOOKUP(R659,$B$643:$C$762,2,FALSE))</f>
        <v>Juventus</v>
      </c>
      <c r="W659" s="56">
        <f t="shared" ca="1" si="213"/>
        <v>48</v>
      </c>
      <c r="X659" s="56">
        <f t="shared" ca="1" si="214"/>
        <v>46</v>
      </c>
      <c r="Y659" s="56">
        <f t="shared" ca="1" si="215"/>
        <v>45</v>
      </c>
      <c r="Z659" s="56">
        <f t="shared" ca="1" si="216"/>
        <v>51</v>
      </c>
      <c r="AA659" s="56">
        <f t="shared" ca="1" si="217"/>
        <v>51</v>
      </c>
      <c r="AB659" s="56">
        <f ca="1">_xlfn.CEILING.MATH(INDIRECT(ADDRESS(643,22+MATCH($P$30,'I.A. + Fasce'!$W$84:$AA$84,0),1,1) &amp; ":" &amp; ADDRESS(762,22+MATCH($P$30,'I.A. + Fasce'!$W$84:$AA$84,0),1,1))/Asta!$H$3)</f>
        <v>7</v>
      </c>
    </row>
    <row r="660" spans="1:28" ht="14.25" customHeight="1">
      <c r="A660" s="239" t="str">
        <f ca="1">IF(Giocatori!M26="","A",Giocatori!M26)</f>
        <v>A</v>
      </c>
      <c r="B660" s="239" t="str">
        <f ca="1">IF(Giocatori!N26="","ZZZ" &amp; ROW(),Giocatori!N26)</f>
        <v>CERCI</v>
      </c>
      <c r="C660" s="239" t="str">
        <f ca="1">IF(Giocatori!O26="","NDR" &amp; ROW(),Giocatori!O26)</f>
        <v>Verona</v>
      </c>
      <c r="D660" s="63">
        <f t="shared" ca="1" si="202"/>
        <v>74.006600000000006</v>
      </c>
      <c r="E660" s="63">
        <f t="shared" ca="1" si="203"/>
        <v>39.006599999999999</v>
      </c>
      <c r="F660" s="64">
        <f t="shared" ca="1" si="204"/>
        <v>69.192490363000005</v>
      </c>
      <c r="G660" s="63" t="str">
        <f t="shared" ca="1" si="205"/>
        <v>SORPRESA</v>
      </c>
      <c r="H660" s="65">
        <f t="shared" ca="1" si="206"/>
        <v>70</v>
      </c>
      <c r="I660" s="63" t="str">
        <f t="shared" ca="1" si="207"/>
        <v xml:space="preserve">2R </v>
      </c>
      <c r="J660" s="63">
        <f t="shared" ca="1" si="208"/>
        <v>1.0065999999999999</v>
      </c>
      <c r="K660" s="63">
        <f t="shared" ca="1" si="208"/>
        <v>1.0065999999999999</v>
      </c>
      <c r="L660" s="63" t="e">
        <f ca="1">VLOOKUP(Tabella185[[#This Row],[Calciatore]],'Raccolta Aste'!$P$2:$T$33,4,FALSE)*Asta!$U$3/100</f>
        <v>#N/A</v>
      </c>
      <c r="N660" s="59">
        <f t="shared" si="218"/>
        <v>19</v>
      </c>
      <c r="O660" s="62" t="str">
        <f ca="1">IF(ISNUMBER(N660),INDIRECT("B" &amp; 642 + MATCH(N660,INDIRECT(ADDRESS(643,22+MATCH($P$30,'I.A. + Fasce'!$W$84:$AA$84,0),1,1) &amp; ":" &amp; ADDRESS(762,22+MATCH($P$30,'I.A. + Fasce'!$W$84:$AA$84,0),1,1)),0)),"")</f>
        <v>NANI</v>
      </c>
      <c r="P660" s="62" t="str">
        <f t="shared" ca="1" si="220"/>
        <v>Lazio</v>
      </c>
      <c r="Q660" s="59">
        <f t="shared" si="219"/>
        <v>27</v>
      </c>
      <c r="R660" s="62" t="str">
        <f ca="1">IF(ISNUMBER(Q660),INDIRECT("B" &amp; 642 + MATCH(Q660,INDIRECT(ADDRESS(643,22+MATCH($P$30,'I.A. + Fasce'!$W$84:$AA$84,0),1,1) &amp; ":" &amp; ADDRESS(762,22+MATCH($P$30,'I.A. + Fasce'!$W$84:$AA$84,0),1,1)),0)),"")</f>
        <v>QUAGLIARELLA</v>
      </c>
      <c r="S660" s="62" t="str">
        <f t="shared" ca="1" si="221"/>
        <v>Sampdoria</v>
      </c>
      <c r="W660" s="56">
        <f t="shared" ca="1" si="213"/>
        <v>51</v>
      </c>
      <c r="X660" s="56">
        <f t="shared" ca="1" si="214"/>
        <v>60</v>
      </c>
      <c r="Y660" s="56">
        <f t="shared" ca="1" si="215"/>
        <v>52</v>
      </c>
      <c r="Z660" s="56">
        <f t="shared" ca="1" si="216"/>
        <v>98</v>
      </c>
      <c r="AA660" s="56">
        <f t="shared" ca="1" si="217"/>
        <v>98</v>
      </c>
      <c r="AB660" s="56">
        <f ca="1">_xlfn.CEILING.MATH(INDIRECT(ADDRESS(643,22+MATCH($P$30,'I.A. + Fasce'!$W$84:$AA$84,0),1,1) &amp; ":" &amp; ADDRESS(762,22+MATCH($P$30,'I.A. + Fasce'!$W$84:$AA$84,0),1,1))/Asta!$H$3)</f>
        <v>13</v>
      </c>
    </row>
    <row r="661" spans="1:28" ht="14.25" customHeight="1">
      <c r="A661" s="239" t="str">
        <f ca="1">IF(Giocatori!M27="","A",Giocatori!M27)</f>
        <v>A</v>
      </c>
      <c r="B661" s="239" t="str">
        <f ca="1">IF(Giocatori!N27="","ZZZ" &amp; ROW(),Giocatori!N27)</f>
        <v>CODA M</v>
      </c>
      <c r="C661" s="239" t="str">
        <f ca="1">IF(Giocatori!O27="","NDR" &amp; ROW(),Giocatori!O27)</f>
        <v>Benevento</v>
      </c>
      <c r="D661" s="63">
        <f t="shared" ca="1" si="202"/>
        <v>72.006609999999995</v>
      </c>
      <c r="E661" s="63">
        <f t="shared" ca="1" si="203"/>
        <v>38.006610000000002</v>
      </c>
      <c r="F661" s="64">
        <f t="shared" ca="1" si="204"/>
        <v>67.050740030767486</v>
      </c>
      <c r="G661" s="63" t="str">
        <f t="shared" ca="1" si="205"/>
        <v/>
      </c>
      <c r="H661" s="65">
        <f t="shared" ca="1" si="206"/>
        <v>60</v>
      </c>
      <c r="I661" s="63" t="str">
        <f t="shared" ca="1" si="207"/>
        <v xml:space="preserve">2R </v>
      </c>
      <c r="J661" s="63">
        <f t="shared" ca="1" si="208"/>
        <v>1.00661</v>
      </c>
      <c r="K661" s="63">
        <f t="shared" ca="1" si="208"/>
        <v>1.00661</v>
      </c>
      <c r="L661" s="63" t="e">
        <f ca="1">VLOOKUP(Tabella185[[#This Row],[Calciatore]],'Raccolta Aste'!$P$2:$T$33,4,FALSE)*Asta!$U$3/100</f>
        <v>#N/A</v>
      </c>
      <c r="N661" s="59">
        <f t="shared" si="218"/>
        <v>20</v>
      </c>
      <c r="O661" s="62" t="str">
        <f ca="1">IF(ISNUMBER(N661),INDIRECT("B" &amp; 642 + MATCH(N661,INDIRECT(ADDRESS(643,22+MATCH($P$30,'I.A. + Fasce'!$W$84:$AA$84,0),1,1) &amp; ":" &amp; ADDRESS(762,22+MATCH($P$30,'I.A. + Fasce'!$W$84:$AA$84,0),1,1)),0)),"")</f>
        <v>FALCINELLI</v>
      </c>
      <c r="P661" s="62" t="str">
        <f t="shared" ca="1" si="220"/>
        <v>Sassuolo</v>
      </c>
      <c r="Q661" s="59">
        <f t="shared" si="219"/>
        <v>28</v>
      </c>
      <c r="R661" s="62" t="str">
        <f ca="1">IF(ISNUMBER(Q661),INDIRECT("B" &amp; 642 + MATCH(Q661,INDIRECT(ADDRESS(643,22+MATCH($P$30,'I.A. + Fasce'!$W$84:$AA$84,0),1,1) &amp; ":" &amp; ADDRESS(762,22+MATCH($P$30,'I.A. + Fasce'!$W$84:$AA$84,0),1,1)),0)),"")</f>
        <v>BERARDI</v>
      </c>
      <c r="S661" s="62" t="str">
        <f t="shared" ca="1" si="221"/>
        <v>Sassuolo</v>
      </c>
      <c r="W661" s="56">
        <f t="shared" ca="1" si="213"/>
        <v>63</v>
      </c>
      <c r="X661" s="56">
        <f t="shared" ca="1" si="214"/>
        <v>71</v>
      </c>
      <c r="Y661" s="56">
        <f t="shared" ca="1" si="215"/>
        <v>62</v>
      </c>
      <c r="Z661" s="56">
        <f t="shared" ca="1" si="216"/>
        <v>97</v>
      </c>
      <c r="AA661" s="56">
        <f t="shared" ca="1" si="217"/>
        <v>97</v>
      </c>
      <c r="AB661" s="56">
        <f ca="1">_xlfn.CEILING.MATH(INDIRECT(ADDRESS(643,22+MATCH($P$30,'I.A. + Fasce'!$W$84:$AA$84,0),1,1) &amp; ":" &amp; ADDRESS(762,22+MATCH($P$30,'I.A. + Fasce'!$W$84:$AA$84,0),1,1))/Asta!$H$3)</f>
        <v>13</v>
      </c>
    </row>
    <row r="662" spans="1:28" ht="14.25" customHeight="1">
      <c r="A662" s="239" t="str">
        <f ca="1">IF(Giocatori!M28="","A",Giocatori!M28)</f>
        <v>A</v>
      </c>
      <c r="B662" s="239" t="str">
        <f ca="1">IF(Giocatori!N28="","ZZZ" &amp; ROW(),Giocatori!N28)</f>
        <v>CORNELIUS</v>
      </c>
      <c r="C662" s="239" t="str">
        <f ca="1">IF(Giocatori!O28="","NDR" &amp; ROW(),Giocatori!O28)</f>
        <v>Atalanta</v>
      </c>
      <c r="D662" s="63">
        <f t="shared" ca="1" si="202"/>
        <v>72.006619999999998</v>
      </c>
      <c r="E662" s="63">
        <f t="shared" ca="1" si="203"/>
        <v>40.006619999999998</v>
      </c>
      <c r="F662" s="64">
        <f t="shared" ca="1" si="204"/>
        <v>69.350987031870005</v>
      </c>
      <c r="G662" s="63" t="str">
        <f t="shared" ca="1" si="205"/>
        <v>SORPRESA</v>
      </c>
      <c r="H662" s="65">
        <f t="shared" ca="1" si="206"/>
        <v>50</v>
      </c>
      <c r="I662" s="63" t="str">
        <f t="shared" ca="1" si="207"/>
        <v/>
      </c>
      <c r="J662" s="63">
        <f t="shared" ca="1" si="208"/>
        <v>33.886504434202124</v>
      </c>
      <c r="K662" s="63">
        <f t="shared" ca="1" si="208"/>
        <v>33.886504434202124</v>
      </c>
      <c r="L662" s="63" t="e">
        <f ca="1">VLOOKUP(Tabella185[[#This Row],[Calciatore]],'Raccolta Aste'!$P$2:$T$33,4,FALSE)*Asta!$U$3/100</f>
        <v>#N/A</v>
      </c>
      <c r="N662" s="59">
        <f t="shared" si="218"/>
        <v>21</v>
      </c>
      <c r="O662" s="62" t="str">
        <f ca="1">IF(ISNUMBER(N662),INDIRECT("B" &amp; 642 + MATCH(N662,INDIRECT(ADDRESS(643,22+MATCH($P$30,'I.A. + Fasce'!$W$84:$AA$84,0),1,1) &amp; ":" &amp; ADDRESS(762,22+MATCH($P$30,'I.A. + Fasce'!$W$84:$AA$84,0),1,1)),0)),"")</f>
        <v>PETAGNA</v>
      </c>
      <c r="P662" s="62" t="str">
        <f t="shared" ca="1" si="220"/>
        <v>Atalanta</v>
      </c>
      <c r="Q662" s="59">
        <f t="shared" si="219"/>
        <v>29</v>
      </c>
      <c r="R662" s="62" t="str">
        <f ca="1">IF(ISNUMBER(Q662),INDIRECT("B" &amp; 642 + MATCH(Q662,INDIRECT(ADDRESS(643,22+MATCH($P$30,'I.A. + Fasce'!$W$84:$AA$84,0),1,1) &amp; ":" &amp; ADDRESS(762,22+MATCH($P$30,'I.A. + Fasce'!$W$84:$AA$84,0),1,1)),0)),"")</f>
        <v>BORINI</v>
      </c>
      <c r="S662" s="62" t="str">
        <f t="shared" ca="1" si="221"/>
        <v>Milan</v>
      </c>
      <c r="W662" s="56">
        <f t="shared" ca="1" si="213"/>
        <v>62</v>
      </c>
      <c r="X662" s="56">
        <f t="shared" ca="1" si="214"/>
        <v>45</v>
      </c>
      <c r="Y662" s="56">
        <f t="shared" ca="1" si="215"/>
        <v>51</v>
      </c>
      <c r="Z662" s="56">
        <f t="shared" ca="1" si="216"/>
        <v>35</v>
      </c>
      <c r="AA662" s="56">
        <f t="shared" ca="1" si="217"/>
        <v>35</v>
      </c>
      <c r="AB662" s="56">
        <f ca="1">_xlfn.CEILING.MATH(INDIRECT(ADDRESS(643,22+MATCH($P$30,'I.A. + Fasce'!$W$84:$AA$84,0),1,1) &amp; ":" &amp; ADDRESS(762,22+MATCH($P$30,'I.A. + Fasce'!$W$84:$AA$84,0),1,1))/Asta!$H$3)</f>
        <v>5</v>
      </c>
    </row>
    <row r="663" spans="1:28" ht="14.25" customHeight="1">
      <c r="A663" s="239" t="str">
        <f ca="1">IF(Giocatori!M29="","A",Giocatori!M29)</f>
        <v>A</v>
      </c>
      <c r="B663" s="239" t="str">
        <f ca="1">IF(Giocatori!N29="","ZZZ" &amp; ROW(),Giocatori!N29)</f>
        <v>CUTRONE</v>
      </c>
      <c r="C663" s="239" t="str">
        <f ca="1">IF(Giocatori!O29="","NDR" &amp; ROW(),Giocatori!O29)</f>
        <v>Milan</v>
      </c>
      <c r="D663" s="63">
        <f t="shared" ca="1" si="202"/>
        <v>69.006630000000001</v>
      </c>
      <c r="E663" s="63">
        <f t="shared" ca="1" si="203"/>
        <v>41.006630000000001</v>
      </c>
      <c r="F663" s="64">
        <f t="shared" ca="1" si="204"/>
        <v>69.026124199640847</v>
      </c>
      <c r="G663" s="63" t="str">
        <f t="shared" ca="1" si="205"/>
        <v/>
      </c>
      <c r="H663" s="65">
        <f t="shared" ca="1" si="206"/>
        <v>60</v>
      </c>
      <c r="I663" s="63" t="str">
        <f t="shared" ca="1" si="207"/>
        <v/>
      </c>
      <c r="J663" s="63">
        <f t="shared" ref="J663:K682" ca="1" si="222">IF(ISNA(VLOOKUP($B663,TabAlgTutti,3,FALSE)),0,VLOOKUP($B663,TabAlgTutti,3,FALSE))+ROW()/100000</f>
        <v>55.179978696919392</v>
      </c>
      <c r="K663" s="63">
        <f t="shared" ca="1" si="222"/>
        <v>55.179978696919392</v>
      </c>
      <c r="L663" s="63">
        <f ca="1">VLOOKUP(Tabella185[[#This Row],[Calciatore]],'Raccolta Aste'!$P$2:$T$33,4,FALSE)*Asta!$U$3/100</f>
        <v>0</v>
      </c>
      <c r="N663" s="59">
        <f t="shared" si="218"/>
        <v>22</v>
      </c>
      <c r="O663" s="62" t="str">
        <f ca="1">IF(ISNUMBER(N663),INDIRECT("B" &amp; 642 + MATCH(N663,INDIRECT(ADDRESS(643,22+MATCH($P$30,'I.A. + Fasce'!$W$84:$AA$84,0),1,1) &amp; ":" &amp; ADDRESS(762,22+MATCH($P$30,'I.A. + Fasce'!$W$84:$AA$84,0),1,1)),0)),"")</f>
        <v>PAVOLETTI</v>
      </c>
      <c r="P663" s="62" t="str">
        <f t="shared" ca="1" si="220"/>
        <v>Cagliari</v>
      </c>
      <c r="Q663" s="59">
        <f t="shared" si="219"/>
        <v>30</v>
      </c>
      <c r="R663" s="62" t="str">
        <f ca="1">IF(ISNUMBER(Q663),INDIRECT("B" &amp; 642 + MATCH(Q663,INDIRECT(ADDRESS(643,22+MATCH($P$30,'I.A. + Fasce'!$W$84:$AA$84,0),1,1) &amp; ":" &amp; ADDRESS(762,22+MATCH($P$30,'I.A. + Fasce'!$W$84:$AA$84,0),1,1)),0)),"")</f>
        <v>DEFREL</v>
      </c>
      <c r="S663" s="62" t="str">
        <f t="shared" ca="1" si="221"/>
        <v>Roma</v>
      </c>
      <c r="W663" s="56">
        <f t="shared" ca="1" si="213"/>
        <v>75</v>
      </c>
      <c r="X663" s="56">
        <f t="shared" ca="1" si="214"/>
        <v>41</v>
      </c>
      <c r="Y663" s="56">
        <f t="shared" ca="1" si="215"/>
        <v>53</v>
      </c>
      <c r="Z663" s="56">
        <f t="shared" ca="1" si="216"/>
        <v>23</v>
      </c>
      <c r="AA663" s="56">
        <f t="shared" ca="1" si="217"/>
        <v>23</v>
      </c>
      <c r="AB663" s="56">
        <f ca="1">_xlfn.CEILING.MATH(INDIRECT(ADDRESS(643,22+MATCH($P$30,'I.A. + Fasce'!$W$84:$AA$84,0),1,1) &amp; ":" &amp; ADDRESS(762,22+MATCH($P$30,'I.A. + Fasce'!$W$84:$AA$84,0),1,1))/Asta!$H$3)</f>
        <v>3</v>
      </c>
    </row>
    <row r="664" spans="1:28" ht="14.25" customHeight="1">
      <c r="A664" s="239" t="str">
        <f ca="1">IF(Giocatori!M30="","A",Giocatori!M30)</f>
        <v>A</v>
      </c>
      <c r="B664" s="239" t="str">
        <f ca="1">IF(Giocatori!N30="","ZZZ" &amp; ROW(),Giocatori!N30)</f>
        <v>DEFREL</v>
      </c>
      <c r="C664" s="239" t="str">
        <f ca="1">IF(Giocatori!O30="","NDR" &amp; ROW(),Giocatori!O30)</f>
        <v>Roma</v>
      </c>
      <c r="D664" s="63">
        <f t="shared" ca="1" si="202"/>
        <v>77.006640000000004</v>
      </c>
      <c r="E664" s="63">
        <f t="shared" ca="1" si="203"/>
        <v>38.006639999999997</v>
      </c>
      <c r="F664" s="64">
        <f t="shared" ca="1" si="204"/>
        <v>69.550819034080007</v>
      </c>
      <c r="G664" s="63" t="str">
        <f t="shared" ca="1" si="205"/>
        <v/>
      </c>
      <c r="H664" s="65">
        <f t="shared" ca="1" si="206"/>
        <v>50</v>
      </c>
      <c r="I664" s="63" t="str">
        <f t="shared" ca="1" si="207"/>
        <v/>
      </c>
      <c r="J664" s="63">
        <f t="shared" ca="1" si="222"/>
        <v>39.813931490154893</v>
      </c>
      <c r="K664" s="63">
        <f t="shared" ca="1" si="222"/>
        <v>39.813931490154893</v>
      </c>
      <c r="L664" s="63">
        <f ca="1">VLOOKUP(Tabella185[[#This Row],[Calciatore]],'Raccolta Aste'!$P$2:$T$33,4,FALSE)*Asta!$U$3/100</f>
        <v>17.989999999999998</v>
      </c>
      <c r="N664" s="59">
        <f t="shared" si="218"/>
        <v>23</v>
      </c>
      <c r="O664" s="62" t="str">
        <f ca="1">IF(ISNUMBER(N664),INDIRECT("B" &amp; 642 + MATCH(N664,INDIRECT(ADDRESS(643,22+MATCH($P$30,'I.A. + Fasce'!$W$84:$AA$84,0),1,1) &amp; ":" &amp; ADDRESS(762,22+MATCH($P$30,'I.A. + Fasce'!$W$84:$AA$84,0),1,1)),0)),"")</f>
        <v>CUTRONE</v>
      </c>
      <c r="P664" s="62" t="str">
        <f t="shared" ca="1" si="220"/>
        <v>Milan</v>
      </c>
      <c r="Q664" s="59">
        <f t="shared" si="219"/>
        <v>31</v>
      </c>
      <c r="R664" s="62" t="str">
        <f ca="1">IF(ISNUMBER(Q664),INDIRECT("B" &amp; 642 + MATCH(Q664,INDIRECT(ADDRESS(643,22+MATCH($P$30,'I.A. + Fasce'!$W$84:$AA$84,0),1,1) &amp; ":" &amp; ADDRESS(762,22+MATCH($P$30,'I.A. + Fasce'!$W$84:$AA$84,0),1,1)),0)),"")</f>
        <v>LAPADULA</v>
      </c>
      <c r="S664" s="62" t="str">
        <f t="shared" ca="1" si="221"/>
        <v>Genoa</v>
      </c>
      <c r="W664" s="56">
        <f t="shared" ca="1" si="213"/>
        <v>40</v>
      </c>
      <c r="X664" s="56">
        <f t="shared" ca="1" si="214"/>
        <v>70</v>
      </c>
      <c r="Y664" s="56">
        <f t="shared" ca="1" si="215"/>
        <v>50</v>
      </c>
      <c r="Z664" s="56">
        <f t="shared" ca="1" si="216"/>
        <v>30</v>
      </c>
      <c r="AA664" s="56">
        <f t="shared" ca="1" si="217"/>
        <v>30</v>
      </c>
      <c r="AB664" s="56">
        <f ca="1">_xlfn.CEILING.MATH(INDIRECT(ADDRESS(643,22+MATCH($P$30,'I.A. + Fasce'!$W$84:$AA$84,0),1,1) &amp; ":" &amp; ADDRESS(762,22+MATCH($P$30,'I.A. + Fasce'!$W$84:$AA$84,0),1,1))/Asta!$H$3)</f>
        <v>4</v>
      </c>
    </row>
    <row r="665" spans="1:28" ht="14.25" customHeight="1">
      <c r="A665" s="239" t="str">
        <f ca="1">IF(Giocatori!M31="","A",Giocatori!M31)</f>
        <v>A</v>
      </c>
      <c r="B665" s="239" t="str">
        <f ca="1">IF(Giocatori!N31="","ZZZ" &amp; ROW(),Giocatori!N31)</f>
        <v>DESTRO</v>
      </c>
      <c r="C665" s="239" t="str">
        <f ca="1">IF(Giocatori!O31="","NDR" &amp; ROW(),Giocatori!O31)</f>
        <v>Bologna</v>
      </c>
      <c r="D665" s="63">
        <f t="shared" ca="1" si="202"/>
        <v>79.006649999999993</v>
      </c>
      <c r="E665" s="63">
        <f t="shared" ca="1" si="203"/>
        <v>42.00665</v>
      </c>
      <c r="F665" s="64">
        <f t="shared" ca="1" si="204"/>
        <v>75.217955368520819</v>
      </c>
      <c r="G665" s="63" t="str">
        <f t="shared" ca="1" si="205"/>
        <v>SORPRESA</v>
      </c>
      <c r="H665" s="65">
        <f t="shared" ca="1" si="206"/>
        <v>90</v>
      </c>
      <c r="I665" s="325" t="str">
        <f t="shared" ca="1" si="207"/>
        <v xml:space="preserve">1R </v>
      </c>
      <c r="J665" s="63">
        <f t="shared" ca="1" si="222"/>
        <v>26.824904990341274</v>
      </c>
      <c r="K665" s="63">
        <f t="shared" ca="1" si="222"/>
        <v>26.824904990341274</v>
      </c>
      <c r="L665" s="324" t="e">
        <f ca="1">VLOOKUP(Tabella185[[#This Row],[Calciatore]],'Raccolta Aste'!$P$2:$T$33,4,FALSE)*Asta!$U$3/100</f>
        <v>#N/A</v>
      </c>
      <c r="N665" s="59">
        <f t="shared" si="218"/>
        <v>24</v>
      </c>
      <c r="O665" s="62" t="str">
        <f ca="1">IF(ISNUMBER(N665),INDIRECT("B" &amp; 642 + MATCH(N665,INDIRECT(ADDRESS(643,22+MATCH($P$30,'I.A. + Fasce'!$W$84:$AA$84,0),1,1) &amp; ":" &amp; ADDRESS(762,22+MATCH($P$30,'I.A. + Fasce'!$W$84:$AA$84,0),1,1)),0)),"")</f>
        <v>NIANG</v>
      </c>
      <c r="P665" s="62" t="str">
        <f t="shared" ca="1" si="220"/>
        <v>Torino</v>
      </c>
      <c r="Q665" s="59">
        <f t="shared" si="219"/>
        <v>32</v>
      </c>
      <c r="R665" s="62" t="str">
        <f ca="1">IF(ISNUMBER(Q665),INDIRECT("B" &amp; 642 + MATCH(Q665,INDIRECT(ADDRESS(643,22+MATCH($P$30,'I.A. + Fasce'!$W$84:$AA$84,0),1,1) &amp; ":" &amp; ADDRESS(762,22+MATCH($P$30,'I.A. + Fasce'!$W$84:$AA$84,0),1,1)),0)),"")</f>
        <v>OUNAS</v>
      </c>
      <c r="S665" s="62" t="str">
        <f t="shared" ca="1" si="221"/>
        <v>Napoli</v>
      </c>
      <c r="W665" s="56">
        <f t="shared" ca="1" si="213"/>
        <v>29</v>
      </c>
      <c r="X665" s="56">
        <f t="shared" ca="1" si="214"/>
        <v>33</v>
      </c>
      <c r="Y665" s="56">
        <f t="shared" ca="1" si="215"/>
        <v>32</v>
      </c>
      <c r="Z665" s="56">
        <f t="shared" ca="1" si="216"/>
        <v>40</v>
      </c>
      <c r="AA665" s="56">
        <f t="shared" ca="1" si="217"/>
        <v>40</v>
      </c>
      <c r="AB665" s="56">
        <f ca="1">_xlfn.CEILING.MATH(INDIRECT(ADDRESS(643,22+MATCH($P$30,'I.A. + Fasce'!$W$84:$AA$84,0),1,1) &amp; ":" &amp; ADDRESS(762,22+MATCH($P$30,'I.A. + Fasce'!$W$84:$AA$84,0),1,1))/Asta!$H$3)</f>
        <v>5</v>
      </c>
    </row>
    <row r="666" spans="1:28" ht="14.25" customHeight="1">
      <c r="A666" s="239" t="str">
        <f ca="1">IF(Giocatori!M32="","A",Giocatori!M32)</f>
        <v>A</v>
      </c>
      <c r="B666" s="239" t="str">
        <f ca="1">IF(Giocatori!N32="","ZZZ" &amp; ROW(),Giocatori!N32)</f>
        <v>DI FRANCESCO F</v>
      </c>
      <c r="C666" s="239" t="str">
        <f ca="1">IF(Giocatori!O32="","NDR" &amp; ROW(),Giocatori!O32)</f>
        <v>Bologna</v>
      </c>
      <c r="D666" s="63">
        <f t="shared" ca="1" si="202"/>
        <v>77.006659999999997</v>
      </c>
      <c r="E666" s="63">
        <f t="shared" ca="1" si="203"/>
        <v>40.006659999999997</v>
      </c>
      <c r="F666" s="64">
        <f t="shared" ca="1" si="204"/>
        <v>71.851093702963325</v>
      </c>
      <c r="G666" s="63" t="str">
        <f t="shared" ca="1" si="205"/>
        <v/>
      </c>
      <c r="H666" s="65">
        <f t="shared" ca="1" si="206"/>
        <v>70</v>
      </c>
      <c r="I666" s="63" t="str">
        <f t="shared" ca="1" si="207"/>
        <v/>
      </c>
      <c r="J666" s="63">
        <f t="shared" ca="1" si="222"/>
        <v>2.1078139634662598</v>
      </c>
      <c r="K666" s="63">
        <f t="shared" ca="1" si="222"/>
        <v>2.1078139634662598</v>
      </c>
      <c r="L666" s="63" t="e">
        <f ca="1">VLOOKUP(Tabella185[[#This Row],[Calciatore]],'Raccolta Aste'!$P$2:$T$33,4,FALSE)*Asta!$U$3/100</f>
        <v>#N/A</v>
      </c>
      <c r="N666" s="59" t="str">
        <f t="shared" si="218"/>
        <v/>
      </c>
      <c r="O666" s="62" t="str">
        <f ca="1">IF(ISNUMBER(N666),INDIRECT("B" &amp; 642 + MATCH(N666,INDIRECT(ADDRESS(643,22+MATCH($P$30,'I.A. + Fasce'!$W$84:$AA$84,0),1,1) &amp; ":" &amp; ADDRESS(762,22+MATCH($P$30,'I.A. + Fasce'!$W$84:$AA$84,0),1,1)),0)),"")</f>
        <v/>
      </c>
      <c r="P666" s="62" t="str">
        <f t="shared" ca="1" si="220"/>
        <v/>
      </c>
      <c r="Q666" s="59" t="str">
        <f t="shared" si="219"/>
        <v/>
      </c>
      <c r="R666" s="62" t="str">
        <f ca="1">IF(ISNUMBER(Q666),INDIRECT("B" &amp; 642 + MATCH(Q666,INDIRECT(ADDRESS(643,22+MATCH($P$30,'I.A. + Fasce'!$W$84:$AA$84,0),1,1) &amp; ":" &amp; ADDRESS(762,22+MATCH($P$30,'I.A. + Fasce'!$W$84:$AA$84,0),1,1)),0)),"")</f>
        <v/>
      </c>
      <c r="S666" s="62" t="str">
        <f t="shared" ca="1" si="221"/>
        <v/>
      </c>
      <c r="W666" s="56">
        <f t="shared" ca="1" si="213"/>
        <v>39</v>
      </c>
      <c r="X666" s="56">
        <f t="shared" ca="1" si="214"/>
        <v>44</v>
      </c>
      <c r="Y666" s="56">
        <f t="shared" ca="1" si="215"/>
        <v>42</v>
      </c>
      <c r="Z666" s="56">
        <f t="shared" ca="1" si="216"/>
        <v>59</v>
      </c>
      <c r="AA666" s="56">
        <f t="shared" ca="1" si="217"/>
        <v>59</v>
      </c>
      <c r="AB666" s="56">
        <f ca="1">_xlfn.CEILING.MATH(INDIRECT(ADDRESS(643,22+MATCH($P$30,'I.A. + Fasce'!$W$84:$AA$84,0),1,1) &amp; ":" &amp; ADDRESS(762,22+MATCH($P$30,'I.A. + Fasce'!$W$84:$AA$84,0),1,1))/Asta!$H$3)</f>
        <v>8</v>
      </c>
    </row>
    <row r="667" spans="1:28" ht="14.25" customHeight="1">
      <c r="A667" s="239" t="str">
        <f ca="1">IF(Giocatori!M33="","A",Giocatori!M33)</f>
        <v>A</v>
      </c>
      <c r="B667" s="239" t="str">
        <f ca="1">IF(Giocatori!N33="","ZZZ" &amp; ROW(),Giocatori!N33)</f>
        <v>DJORDJEVIC</v>
      </c>
      <c r="C667" s="239" t="str">
        <f ca="1">IF(Giocatori!O33="","NDR" &amp; ROW(),Giocatori!O33)</f>
        <v>Lazio</v>
      </c>
      <c r="D667" s="63">
        <f t="shared" ca="1" si="202"/>
        <v>68.00667</v>
      </c>
      <c r="E667" s="63">
        <f t="shared" ca="1" si="203"/>
        <v>33.00667</v>
      </c>
      <c r="F667" s="64">
        <f t="shared" ca="1" si="204"/>
        <v>59.592008870740834</v>
      </c>
      <c r="G667" s="63" t="str">
        <f t="shared" ca="1" si="205"/>
        <v/>
      </c>
      <c r="H667" s="65">
        <f t="shared" ca="1" si="206"/>
        <v>40</v>
      </c>
      <c r="I667" s="63" t="str">
        <f t="shared" ca="1" si="207"/>
        <v/>
      </c>
      <c r="J667" s="63">
        <f t="shared" ca="1" si="222"/>
        <v>1.00667</v>
      </c>
      <c r="K667" s="63">
        <f t="shared" ca="1" si="222"/>
        <v>1.00667</v>
      </c>
      <c r="L667" s="63" t="e">
        <f ca="1">VLOOKUP(Tabella185[[#This Row],[Calciatore]],'Raccolta Aste'!$P$2:$T$33,4,FALSE)*Asta!$U$3/100</f>
        <v>#N/A</v>
      </c>
      <c r="N667" s="59" t="str">
        <f t="shared" si="218"/>
        <v/>
      </c>
      <c r="O667" s="62" t="str">
        <f ca="1">IF(ISNUMBER(N667),INDIRECT("B" &amp; 642 + MATCH(N667,INDIRECT(ADDRESS(643,22+MATCH($P$30,'I.A. + Fasce'!$W$84:$AA$84,0),1,1) &amp; ":" &amp; ADDRESS(762,22+MATCH($P$30,'I.A. + Fasce'!$W$84:$AA$84,0),1,1)),0)),"")</f>
        <v/>
      </c>
      <c r="P667" s="62" t="str">
        <f t="shared" ca="1" si="220"/>
        <v/>
      </c>
      <c r="Q667" s="59" t="str">
        <f t="shared" si="219"/>
        <v/>
      </c>
      <c r="R667" s="62" t="str">
        <f ca="1">IF(ISNUMBER(Q667),INDIRECT("B" &amp; 642 + MATCH(Q667,INDIRECT(ADDRESS(643,22+MATCH($P$30,'I.A. + Fasce'!$W$84:$AA$84,0),1,1) &amp; ":" &amp; ADDRESS(762,22+MATCH($P$30,'I.A. + Fasce'!$W$84:$AA$84,0),1,1)),0)),"")</f>
        <v/>
      </c>
      <c r="S667" s="62" t="str">
        <f t="shared" ca="1" si="221"/>
        <v/>
      </c>
      <c r="W667" s="56">
        <f t="shared" ca="1" si="213"/>
        <v>78</v>
      </c>
      <c r="X667" s="56">
        <f t="shared" ca="1" si="214"/>
        <v>96</v>
      </c>
      <c r="Y667" s="56">
        <f t="shared" ca="1" si="215"/>
        <v>85</v>
      </c>
      <c r="Z667" s="56">
        <f t="shared" ca="1" si="216"/>
        <v>96</v>
      </c>
      <c r="AA667" s="56">
        <f t="shared" ca="1" si="217"/>
        <v>96</v>
      </c>
      <c r="AB667" s="56">
        <f ca="1">_xlfn.CEILING.MATH(INDIRECT(ADDRESS(643,22+MATCH($P$30,'I.A. + Fasce'!$W$84:$AA$84,0),1,1) &amp; ":" &amp; ADDRESS(762,22+MATCH($P$30,'I.A. + Fasce'!$W$84:$AA$84,0),1,1))/Asta!$H$3)</f>
        <v>12</v>
      </c>
    </row>
    <row r="668" spans="1:28" ht="14.25" customHeight="1">
      <c r="A668" s="239" t="str">
        <f ca="1">IF(Giocatori!M34="","A",Giocatori!M34)</f>
        <v>A</v>
      </c>
      <c r="B668" s="239" t="str">
        <f ca="1">IF(Giocatori!N34="","ZZZ" &amp; ROW(),Giocatori!N34)</f>
        <v>DYBALA</v>
      </c>
      <c r="C668" s="239" t="str">
        <f ca="1">IF(Giocatori!O34="","NDR" &amp; ROW(),Giocatori!O34)</f>
        <v>Juventus</v>
      </c>
      <c r="D668" s="63">
        <f t="shared" ca="1" si="202"/>
        <v>93.006680000000003</v>
      </c>
      <c r="E668" s="63">
        <f t="shared" ca="1" si="203"/>
        <v>53.006680000000003</v>
      </c>
      <c r="F668" s="64">
        <f t="shared" ca="1" si="204"/>
        <v>96.427594371853331</v>
      </c>
      <c r="G668" s="63" t="str">
        <f t="shared" ca="1" si="205"/>
        <v>SORPRESA</v>
      </c>
      <c r="H668" s="65">
        <f t="shared" ca="1" si="206"/>
        <v>90</v>
      </c>
      <c r="I668" s="63" t="str">
        <f t="shared" ca="1" si="207"/>
        <v>1R 1P 1A</v>
      </c>
      <c r="J668" s="63">
        <f t="shared" ca="1" si="222"/>
        <v>156.79358649676351</v>
      </c>
      <c r="K668" s="63">
        <f t="shared" ca="1" si="222"/>
        <v>156.79358649676351</v>
      </c>
      <c r="L668" s="63">
        <f ca="1">VLOOKUP(Tabella185[[#This Row],[Calciatore]],'Raccolta Aste'!$P$2:$T$33,4,FALSE)*Asta!$U$3/100</f>
        <v>97.51</v>
      </c>
      <c r="N668" s="59" t="str">
        <f t="shared" si="218"/>
        <v/>
      </c>
      <c r="O668" s="62" t="str">
        <f ca="1">IF(ISNUMBER(N668),INDIRECT("B" &amp; 642 + MATCH(N668,INDIRECT(ADDRESS(643,22+MATCH($P$30,'I.A. + Fasce'!$W$84:$AA$84,0),1,1) &amp; ":" &amp; ADDRESS(762,22+MATCH($P$30,'I.A. + Fasce'!$W$84:$AA$84,0),1,1)),0)),"")</f>
        <v/>
      </c>
      <c r="P668" s="62" t="str">
        <f t="shared" ca="1" si="220"/>
        <v/>
      </c>
      <c r="Q668" s="59" t="str">
        <f t="shared" si="219"/>
        <v/>
      </c>
      <c r="R668" s="62" t="str">
        <f ca="1">IF(ISNUMBER(Q668),INDIRECT("B" &amp; 642 + MATCH(Q668,INDIRECT(ADDRESS(643,22+MATCH($P$30,'I.A. + Fasce'!$W$84:$AA$84,0),1,1) &amp; ":" &amp; ADDRESS(762,22+MATCH($P$30,'I.A. + Fasce'!$W$84:$AA$84,0),1,1)),0)),"")</f>
        <v/>
      </c>
      <c r="S668" s="62" t="str">
        <f t="shared" ca="1" si="221"/>
        <v/>
      </c>
      <c r="W668" s="56">
        <f t="shared" ca="1" si="213"/>
        <v>8</v>
      </c>
      <c r="X668" s="56">
        <f t="shared" ca="1" si="214"/>
        <v>2</v>
      </c>
      <c r="Y668" s="56">
        <f t="shared" ca="1" si="215"/>
        <v>3</v>
      </c>
      <c r="Z668" s="56">
        <f t="shared" ca="1" si="216"/>
        <v>2</v>
      </c>
      <c r="AA668" s="56">
        <f t="shared" ca="1" si="217"/>
        <v>2</v>
      </c>
      <c r="AB668" s="56">
        <f ca="1">_xlfn.CEILING.MATH(INDIRECT(ADDRESS(643,22+MATCH($P$30,'I.A. + Fasce'!$W$84:$AA$84,0),1,1) &amp; ":" &amp; ADDRESS(762,22+MATCH($P$30,'I.A. + Fasce'!$W$84:$AA$84,0),1,1))/Asta!$H$3)</f>
        <v>1</v>
      </c>
    </row>
    <row r="669" spans="1:28" ht="14.25" customHeight="1">
      <c r="A669" s="239" t="str">
        <f ca="1">IF(Giocatori!M35="","A",Giocatori!M35)</f>
        <v>A</v>
      </c>
      <c r="B669" s="239" t="str">
        <f ca="1">IF(Giocatori!N35="","ZZZ" &amp; ROW(),Giocatori!N35)</f>
        <v>DZEKO</v>
      </c>
      <c r="C669" s="239" t="str">
        <f ca="1">IF(Giocatori!O35="","NDR" &amp; ROW(),Giocatori!O35)</f>
        <v>Roma</v>
      </c>
      <c r="D669" s="63">
        <f t="shared" ca="1" si="202"/>
        <v>96.006690000000006</v>
      </c>
      <c r="E669" s="63">
        <f t="shared" ca="1" si="203"/>
        <v>51.006689999999999</v>
      </c>
      <c r="F669" s="64">
        <f t="shared" ca="1" si="204"/>
        <v>95.194066872967511</v>
      </c>
      <c r="G669" s="63" t="str">
        <f t="shared" ca="1" si="205"/>
        <v>CONSIGLIATO</v>
      </c>
      <c r="H669" s="65">
        <f t="shared" ca="1" si="206"/>
        <v>80</v>
      </c>
      <c r="I669" s="63" t="str">
        <f t="shared" ca="1" si="207"/>
        <v/>
      </c>
      <c r="J669" s="63">
        <f t="shared" ca="1" si="222"/>
        <v>142.64237814179685</v>
      </c>
      <c r="K669" s="63">
        <f t="shared" ca="1" si="222"/>
        <v>142.64237814179685</v>
      </c>
      <c r="L669" s="63">
        <f ca="1">VLOOKUP(Tabella185[[#This Row],[Calciatore]],'Raccolta Aste'!$P$2:$T$33,4,FALSE)*Asta!$U$3/100</f>
        <v>96.39</v>
      </c>
      <c r="N669" s="59" t="str">
        <f t="shared" si="218"/>
        <v/>
      </c>
      <c r="O669" s="62" t="str">
        <f ca="1">IF(ISNUMBER(N669),INDIRECT("B" &amp; 642 + MATCH(N669,INDIRECT(ADDRESS(643,22+MATCH($P$30,'I.A. + Fasce'!$W$84:$AA$84,0),1,1) &amp; ":" &amp; ADDRESS(762,22+MATCH($P$30,'I.A. + Fasce'!$W$84:$AA$84,0),1,1)),0)),"")</f>
        <v/>
      </c>
      <c r="P669" s="62" t="str">
        <f t="shared" ca="1" si="220"/>
        <v/>
      </c>
      <c r="Q669" s="59" t="str">
        <f t="shared" si="219"/>
        <v/>
      </c>
      <c r="R669" s="62" t="str">
        <f ca="1">IF(ISNUMBER(Q669),INDIRECT("B" &amp; 642 + MATCH(Q669,INDIRECT(ADDRESS(643,22+MATCH($P$30,'I.A. + Fasce'!$W$84:$AA$84,0),1,1) &amp; ":" &amp; ADDRESS(762,22+MATCH($P$30,'I.A. + Fasce'!$W$84:$AA$84,0),1,1)),0)),"")</f>
        <v/>
      </c>
      <c r="S669" s="62" t="str">
        <f t="shared" ca="1" si="221"/>
        <v/>
      </c>
      <c r="W669" s="56">
        <f t="shared" ca="1" si="213"/>
        <v>3</v>
      </c>
      <c r="X669" s="56">
        <f t="shared" ca="1" si="214"/>
        <v>6</v>
      </c>
      <c r="Y669" s="56">
        <f t="shared" ca="1" si="215"/>
        <v>4</v>
      </c>
      <c r="Z669" s="56">
        <f t="shared" ca="1" si="216"/>
        <v>4</v>
      </c>
      <c r="AA669" s="56">
        <f t="shared" ca="1" si="217"/>
        <v>4</v>
      </c>
      <c r="AB669" s="56">
        <f ca="1">_xlfn.CEILING.MATH(INDIRECT(ADDRESS(643,22+MATCH($P$30,'I.A. + Fasce'!$W$84:$AA$84,0),1,1) &amp; ":" &amp; ADDRESS(762,22+MATCH($P$30,'I.A. + Fasce'!$W$84:$AA$84,0),1,1))/Asta!$H$3)</f>
        <v>1</v>
      </c>
    </row>
    <row r="670" spans="1:28" ht="14.25" customHeight="1">
      <c r="A670" s="239" t="str">
        <f ca="1">IF(Giocatori!M36="","A",Giocatori!M36)</f>
        <v>A</v>
      </c>
      <c r="B670" s="239" t="str">
        <f ca="1">IF(Giocatori!N36="","ZZZ" &amp; ROW(),Giocatori!N36)</f>
        <v>EDER</v>
      </c>
      <c r="C670" s="239" t="str">
        <f ca="1">IF(Giocatori!O36="","NDR" &amp; ROW(),Giocatori!O36)</f>
        <v>Inter</v>
      </c>
      <c r="D670" s="63">
        <f t="shared" ca="1" si="202"/>
        <v>75.006699999999995</v>
      </c>
      <c r="E670" s="63">
        <f t="shared" ca="1" si="203"/>
        <v>41.006700000000002</v>
      </c>
      <c r="F670" s="64">
        <f t="shared" ca="1" si="204"/>
        <v>72.02631204075</v>
      </c>
      <c r="G670" s="63" t="str">
        <f t="shared" ca="1" si="205"/>
        <v/>
      </c>
      <c r="H670" s="65">
        <f t="shared" ca="1" si="206"/>
        <v>70</v>
      </c>
      <c r="I670" s="63" t="str">
        <f t="shared" ca="1" si="207"/>
        <v xml:space="preserve">3R </v>
      </c>
      <c r="J670" s="63">
        <f t="shared" ca="1" si="222"/>
        <v>51.333291995119801</v>
      </c>
      <c r="K670" s="63">
        <f t="shared" ca="1" si="222"/>
        <v>51.333291995119801</v>
      </c>
      <c r="L670" s="63">
        <f ca="1">VLOOKUP(Tabella185[[#This Row],[Calciatore]],'Raccolta Aste'!$P$2:$T$33,4,FALSE)*Asta!$U$3/100</f>
        <v>0</v>
      </c>
      <c r="N670"/>
      <c r="O670"/>
      <c r="P670"/>
      <c r="Q670"/>
      <c r="R670"/>
      <c r="S670"/>
      <c r="W670" s="56">
        <f t="shared" ca="1" si="213"/>
        <v>47</v>
      </c>
      <c r="X670" s="56">
        <f t="shared" ca="1" si="214"/>
        <v>40</v>
      </c>
      <c r="Y670" s="56">
        <f t="shared" ca="1" si="215"/>
        <v>41</v>
      </c>
      <c r="Z670" s="56">
        <f t="shared" ca="1" si="216"/>
        <v>25</v>
      </c>
      <c r="AA670" s="56">
        <f t="shared" ca="1" si="217"/>
        <v>25</v>
      </c>
      <c r="AB670" s="56">
        <f ca="1">_xlfn.CEILING.MATH(INDIRECT(ADDRESS(643,22+MATCH($P$30,'I.A. + Fasce'!$W$84:$AA$84,0),1,1) &amp; ":" &amp; ADDRESS(762,22+MATCH($P$30,'I.A. + Fasce'!$W$84:$AA$84,0),1,1))/Asta!$H$3)</f>
        <v>4</v>
      </c>
    </row>
    <row r="671" spans="1:28" ht="14.25" customHeight="1">
      <c r="A671" s="239" t="str">
        <f ca="1">IF(Giocatori!M37="","A",Giocatori!M37)</f>
        <v>A</v>
      </c>
      <c r="B671" s="239" t="str">
        <f ca="1">IF(Giocatori!N37="","ZZZ" &amp; ROW(),Giocatori!N37)</f>
        <v>EDERA</v>
      </c>
      <c r="C671" s="239" t="str">
        <f ca="1">IF(Giocatori!O37="","NDR" &amp; ROW(),Giocatori!O37)</f>
        <v>Torino</v>
      </c>
      <c r="D671" s="63">
        <f t="shared" ca="1" si="202"/>
        <v>6.7099999999999998E-3</v>
      </c>
      <c r="E671" s="63">
        <f t="shared" ca="1" si="203"/>
        <v>33.006709999999998</v>
      </c>
      <c r="F671" s="64">
        <f t="shared" ca="1" si="204"/>
        <v>25.592110875200831</v>
      </c>
      <c r="G671" s="63" t="str">
        <f t="shared" ca="1" si="205"/>
        <v/>
      </c>
      <c r="H671" s="65">
        <f t="shared" ca="1" si="206"/>
        <v>40</v>
      </c>
      <c r="I671" s="63" t="str">
        <f t="shared" ca="1" si="207"/>
        <v/>
      </c>
      <c r="J671" s="63">
        <f t="shared" ca="1" si="222"/>
        <v>1.00671</v>
      </c>
      <c r="K671" s="63">
        <f t="shared" ca="1" si="222"/>
        <v>1.00671</v>
      </c>
      <c r="L671" s="63" t="e">
        <f ca="1">VLOOKUP(Tabella185[[#This Row],[Calciatore]],'Raccolta Aste'!$P$2:$T$33,4,FALSE)*Asta!$U$3/100</f>
        <v>#N/A</v>
      </c>
      <c r="N671" s="58"/>
      <c r="O671" s="59" t="s">
        <v>705</v>
      </c>
      <c r="P671" s="59" t="s">
        <v>637</v>
      </c>
      <c r="Q671" s="58"/>
      <c r="R671" s="59" t="s">
        <v>706</v>
      </c>
      <c r="S671" s="59" t="s">
        <v>637</v>
      </c>
      <c r="W671" s="56">
        <f t="shared" ca="1" si="213"/>
        <v>120</v>
      </c>
      <c r="X671" s="56">
        <f t="shared" ca="1" si="214"/>
        <v>95</v>
      </c>
      <c r="Y671" s="56">
        <f t="shared" ca="1" si="215"/>
        <v>104</v>
      </c>
      <c r="Z671" s="56">
        <f t="shared" ca="1" si="216"/>
        <v>95</v>
      </c>
      <c r="AA671" s="56">
        <f t="shared" ca="1" si="217"/>
        <v>95</v>
      </c>
      <c r="AB671" s="56">
        <f ca="1">_xlfn.CEILING.MATH(INDIRECT(ADDRESS(643,22+MATCH($P$30,'I.A. + Fasce'!$W$84:$AA$84,0),1,1) &amp; ":" &amp; ADDRESS(762,22+MATCH($P$30,'I.A. + Fasce'!$W$84:$AA$84,0),1,1))/Asta!$H$3)</f>
        <v>12</v>
      </c>
    </row>
    <row r="672" spans="1:28" ht="14.25" customHeight="1">
      <c r="A672" s="239" t="str">
        <f ca="1">IF(Giocatori!M38="","A",Giocatori!M38)</f>
        <v>A</v>
      </c>
      <c r="B672" s="239" t="str">
        <f ca="1">IF(Giocatori!N38="","ZZZ" &amp; ROW(),Giocatori!N38)</f>
        <v>EL SHAARAWY</v>
      </c>
      <c r="C672" s="239" t="str">
        <f ca="1">IF(Giocatori!O38="","NDR" &amp; ROW(),Giocatori!O38)</f>
        <v>Roma</v>
      </c>
      <c r="D672" s="63">
        <f t="shared" ca="1" si="202"/>
        <v>78.006720000000001</v>
      </c>
      <c r="E672" s="63">
        <f t="shared" ca="1" si="203"/>
        <v>44.006720000000001</v>
      </c>
      <c r="F672" s="64">
        <f t="shared" ca="1" si="204"/>
        <v>77.151701709653338</v>
      </c>
      <c r="G672" s="63" t="str">
        <f t="shared" ca="1" si="205"/>
        <v>SORPRESA</v>
      </c>
      <c r="H672" s="65">
        <f t="shared" ca="1" si="206"/>
        <v>70</v>
      </c>
      <c r="I672" s="63" t="str">
        <f t="shared" ca="1" si="207"/>
        <v xml:space="preserve">3P </v>
      </c>
      <c r="J672" s="63">
        <f t="shared" ca="1" si="222"/>
        <v>88.1410186410004</v>
      </c>
      <c r="K672" s="63">
        <f t="shared" ca="1" si="222"/>
        <v>88.1410186410004</v>
      </c>
      <c r="L672" s="63">
        <f ca="1">VLOOKUP(Tabella185[[#This Row],[Calciatore]],'Raccolta Aste'!$P$2:$T$33,4,FALSE)*Asta!$U$3/100</f>
        <v>14.455</v>
      </c>
      <c r="N672" s="60"/>
      <c r="O672" s="61"/>
      <c r="P672" s="61"/>
      <c r="Q672" s="60"/>
      <c r="R672" s="61"/>
      <c r="S672" s="61"/>
      <c r="W672" s="56">
        <f t="shared" ca="1" si="213"/>
        <v>34</v>
      </c>
      <c r="X672" s="56">
        <f t="shared" ca="1" si="214"/>
        <v>20</v>
      </c>
      <c r="Y672" s="56">
        <f t="shared" ca="1" si="215"/>
        <v>25</v>
      </c>
      <c r="Z672" s="56">
        <f t="shared" ca="1" si="216"/>
        <v>15</v>
      </c>
      <c r="AA672" s="56">
        <f t="shared" ca="1" si="217"/>
        <v>15</v>
      </c>
      <c r="AB672" s="56">
        <f ca="1">_xlfn.CEILING.MATH(INDIRECT(ADDRESS(643,22+MATCH($P$30,'I.A. + Fasce'!$W$84:$AA$84,0),1,1) &amp; ":" &amp; ADDRESS(762,22+MATCH($P$30,'I.A. + Fasce'!$W$84:$AA$84,0),1,1))/Asta!$H$3)</f>
        <v>2</v>
      </c>
    </row>
    <row r="673" spans="1:28" ht="14.25" customHeight="1">
      <c r="A673" s="239" t="str">
        <f ca="1">IF(Giocatori!M39="","A",Giocatori!M39)</f>
        <v>A</v>
      </c>
      <c r="B673" s="239" t="str">
        <f ca="1">IF(Giocatori!N39="","ZZZ" &amp; ROW(),Giocatori!N39)</f>
        <v>FALCINELLI</v>
      </c>
      <c r="C673" s="239" t="str">
        <f ca="1">IF(Giocatori!O39="","NDR" &amp; ROW(),Giocatori!O39)</f>
        <v>Sassuolo</v>
      </c>
      <c r="D673" s="63">
        <f t="shared" ca="1" si="202"/>
        <v>80.006730000000005</v>
      </c>
      <c r="E673" s="63">
        <f t="shared" ca="1" si="203"/>
        <v>46.006729999999997</v>
      </c>
      <c r="F673" s="64">
        <f t="shared" ca="1" si="204"/>
        <v>80.651953377440833</v>
      </c>
      <c r="G673" s="63" t="str">
        <f t="shared" ca="1" si="205"/>
        <v>CONSIGLIATO</v>
      </c>
      <c r="H673" s="65">
        <f t="shared" ca="1" si="206"/>
        <v>80</v>
      </c>
      <c r="I673" s="63" t="str">
        <f t="shared" ca="1" si="207"/>
        <v xml:space="preserve">2R </v>
      </c>
      <c r="J673" s="63">
        <f t="shared" ca="1" si="222"/>
        <v>59.520785986715033</v>
      </c>
      <c r="K673" s="63">
        <f t="shared" ca="1" si="222"/>
        <v>59.520785986715033</v>
      </c>
      <c r="L673" s="63">
        <f ca="1">VLOOKUP(Tabella185[[#This Row],[Calciatore]],'Raccolta Aste'!$P$2:$T$33,4,FALSE)*Asta!$U$3/100</f>
        <v>28.175000000000004</v>
      </c>
      <c r="N673" s="59">
        <f t="shared" ref="N673:N684" si="223">IF(ISNUMBER(Q658),Q658+COUNTIF($N$34:$N$45,"&gt;0"),"")</f>
        <v>33</v>
      </c>
      <c r="O673" s="62" t="str">
        <f ca="1">IF(ISNUMBER(N673),INDIRECT("B" &amp; 642 + MATCH(N673,INDIRECT(ADDRESS(643,22+MATCH($P$30,'I.A. + Fasce'!$W$84:$AA$84,0),1,1) &amp; ":" &amp; ADDRESS(762,22+MATCH($P$30,'I.A. + Fasce'!$W$84:$AA$84,0),1,1)),0)),"")</f>
        <v>KARAMOH</v>
      </c>
      <c r="P673" s="62" t="str">
        <f ca="1">IF(O673="","",VLOOKUP(O673,$B$643:$C$762,2,FALSE))</f>
        <v>Inter</v>
      </c>
      <c r="Q673" s="59">
        <f t="shared" ref="Q673:Q684" si="224">IF(ISNUMBER(N673),N673+COUNTIF($N$34:$N$45,"&gt;0"),"")</f>
        <v>41</v>
      </c>
      <c r="R673" s="62" t="str">
        <f ca="1">IF(ISNUMBER(Q673),INDIRECT("B" &amp; 642 + MATCH(Q673,INDIRECT(ADDRESS(643,22+MATCH($P$30,'I.A. + Fasce'!$W$84:$AA$84,0),1,1) &amp; ":" &amp; ADDRESS(762,22+MATCH($P$30,'I.A. + Fasce'!$W$84:$AA$84,0),1,1)),0)),"")</f>
        <v>FARIAS</v>
      </c>
      <c r="S673" s="62" t="str">
        <f ca="1">IF(R673="","",VLOOKUP(R673,$B$643:$C$762,2,FALSE))</f>
        <v>Cagliari</v>
      </c>
      <c r="W673" s="56">
        <f t="shared" ca="1" si="213"/>
        <v>25</v>
      </c>
      <c r="X673" s="56">
        <f t="shared" ca="1" si="214"/>
        <v>14</v>
      </c>
      <c r="Y673" s="56">
        <f t="shared" ca="1" si="215"/>
        <v>18</v>
      </c>
      <c r="Z673" s="56">
        <f t="shared" ca="1" si="216"/>
        <v>20</v>
      </c>
      <c r="AA673" s="56">
        <f t="shared" ca="1" si="217"/>
        <v>20</v>
      </c>
      <c r="AB673" s="56">
        <f ca="1">_xlfn.CEILING.MATH(INDIRECT(ADDRESS(643,22+MATCH($P$30,'I.A. + Fasce'!$W$84:$AA$84,0),1,1) &amp; ":" &amp; ADDRESS(762,22+MATCH($P$30,'I.A. + Fasce'!$W$84:$AA$84,0),1,1))/Asta!$H$3)</f>
        <v>3</v>
      </c>
    </row>
    <row r="674" spans="1:28" ht="14.25" customHeight="1">
      <c r="A674" s="239" t="str">
        <f ca="1">IF(Giocatori!M40="","A",Giocatori!M40)</f>
        <v>A</v>
      </c>
      <c r="B674" s="239" t="str">
        <f ca="1">IF(Giocatori!N40="","ZZZ" &amp; ROW(),Giocatori!N40)</f>
        <v>FARIAS</v>
      </c>
      <c r="C674" s="239" t="str">
        <f ca="1">IF(Giocatori!O40="","NDR" &amp; ROW(),Giocatori!O40)</f>
        <v>Cagliari</v>
      </c>
      <c r="D674" s="63">
        <f t="shared" ca="1" si="202"/>
        <v>76.006739999999994</v>
      </c>
      <c r="E674" s="63">
        <f t="shared" ca="1" si="203"/>
        <v>41.006740000000001</v>
      </c>
      <c r="F674" s="64">
        <f t="shared" ca="1" si="204"/>
        <v>72.526419378563332</v>
      </c>
      <c r="G674" s="63" t="str">
        <f t="shared" ca="1" si="205"/>
        <v>SORPRESA</v>
      </c>
      <c r="H674" s="65">
        <f t="shared" ca="1" si="206"/>
        <v>70</v>
      </c>
      <c r="I674" s="63" t="str">
        <f t="shared" ca="1" si="207"/>
        <v xml:space="preserve">3R </v>
      </c>
      <c r="J674" s="63">
        <f t="shared" ca="1" si="222"/>
        <v>25.437739423865416</v>
      </c>
      <c r="K674" s="63">
        <f t="shared" ca="1" si="222"/>
        <v>25.437739423865416</v>
      </c>
      <c r="L674" s="63" t="e">
        <f ca="1">VLOOKUP(Tabella185[[#This Row],[Calciatore]],'Raccolta Aste'!$P$2:$T$33,4,FALSE)*Asta!$U$3/100</f>
        <v>#N/A</v>
      </c>
      <c r="N674" s="59">
        <f t="shared" si="223"/>
        <v>34</v>
      </c>
      <c r="O674" s="62" t="str">
        <f ca="1">IF(ISNUMBER(N674),INDIRECT("B" &amp; 642 + MATCH(N674,INDIRECT(ADDRESS(643,22+MATCH($P$30,'I.A. + Fasce'!$W$84:$AA$84,0),1,1) &amp; ":" &amp; ADDRESS(762,22+MATCH($P$30,'I.A. + Fasce'!$W$84:$AA$84,0),1,1)),0)),"")</f>
        <v>THEREAU</v>
      </c>
      <c r="P674" s="62" t="str">
        <f t="shared" ref="P674:P684" ca="1" si="225">IF(O674="","",VLOOKUP(O674,$B$643:$C$762,2,FALSE))</f>
        <v>Fiorentina</v>
      </c>
      <c r="Q674" s="59">
        <f t="shared" si="224"/>
        <v>42</v>
      </c>
      <c r="R674" s="62" t="str">
        <f ca="1">IF(ISNUMBER(Q674),INDIRECT("B" &amp; 642 + MATCH(Q674,INDIRECT(ADDRESS(643,22+MATCH($P$30,'I.A. + Fasce'!$W$84:$AA$84,0),1,1) &amp; ":" &amp; ADDRESS(762,22+MATCH($P$30,'I.A. + Fasce'!$W$84:$AA$84,0),1,1)),0)),"")</f>
        <v>BUDIMIR</v>
      </c>
      <c r="S674" s="62" t="str">
        <f t="shared" ref="S674:S684" ca="1" si="226">IF(R674="","",VLOOKUP(R674,$B$643:$C$762,2,FALSE))</f>
        <v>Crotone</v>
      </c>
      <c r="W674" s="56">
        <f t="shared" ca="1" si="213"/>
        <v>44</v>
      </c>
      <c r="X674" s="56">
        <f t="shared" ca="1" si="214"/>
        <v>39</v>
      </c>
      <c r="Y674" s="56">
        <f t="shared" ca="1" si="215"/>
        <v>40</v>
      </c>
      <c r="Z674" s="56">
        <f t="shared" ca="1" si="216"/>
        <v>41</v>
      </c>
      <c r="AA674" s="56">
        <f t="shared" ca="1" si="217"/>
        <v>41</v>
      </c>
      <c r="AB674" s="56">
        <f ca="1">_xlfn.CEILING.MATH(INDIRECT(ADDRESS(643,22+MATCH($P$30,'I.A. + Fasce'!$W$84:$AA$84,0),1,1) &amp; ":" &amp; ADDRESS(762,22+MATCH($P$30,'I.A. + Fasce'!$W$84:$AA$84,0),1,1))/Asta!$H$3)</f>
        <v>6</v>
      </c>
    </row>
    <row r="675" spans="1:28" ht="14.25" customHeight="1">
      <c r="A675" s="239" t="str">
        <f ca="1">IF(Giocatori!M41="","A",Giocatori!M41)</f>
        <v>A</v>
      </c>
      <c r="B675" s="239" t="str">
        <f ca="1">IF(Giocatori!N41="","ZZZ" &amp; ROW(),Giocatori!N41)</f>
        <v>FLOCCARI</v>
      </c>
      <c r="C675" s="239" t="str">
        <f ca="1">IF(Giocatori!O41="","NDR" &amp; ROW(),Giocatori!O41)</f>
        <v>SPAL</v>
      </c>
      <c r="D675" s="63">
        <f t="shared" ref="D675:D706" ca="1" si="227">IF(ISNA(VLOOKUP($B675,TabAlgTutti,6,FALSE)),0,VLOOKUP($B675,TabAlgTutti,6,FALSE))+ROW()/100000</f>
        <v>72.006749999999997</v>
      </c>
      <c r="E675" s="63">
        <f t="shared" ref="E675:E706" ca="1" si="228">IF(ISNA(VLOOKUP($B675,TabAlgTutti,5,FALSE)),0,VLOOKUP($B675,TabAlgTutti,5,FALSE))+ROW()/100000</f>
        <v>35.006749999999997</v>
      </c>
      <c r="F675" s="64">
        <f t="shared" ref="F675:F706" ca="1" si="229">($D675*$P$8+$E675*(1+$E675*100/60/100)*$S$8)/100+ROW()/100000</f>
        <v>63.72577121302082</v>
      </c>
      <c r="G675" s="63" t="str">
        <f t="shared" ref="G675:G706" ca="1" si="230">IF(ISNA(VLOOKUP($B675,TabAlgTutti,7,FALSE)),"",IF(VLOOKUP($B675,TabAlgTutti,7,FALSE)=-1,"SCONSIGLIATO",IF(VLOOKUP($B675,TabAlgTutti,7,FALSE)=0,"SORPRESA",IF(VLOOKUP($B675,TabAlgTutti,7,FALSE)=1,"CONSIGLIATO",""))))</f>
        <v/>
      </c>
      <c r="H675" s="65">
        <f t="shared" ref="H675:H706" ca="1" si="231">IF(ISNA(VLOOKUP($B675,TabAlgTutti,8,FALSE)),"",VLOOKUP($B675,TabAlgTutti,8,FALSE))</f>
        <v>50</v>
      </c>
      <c r="I675" s="325" t="str">
        <f t="shared" ref="I675:I706" ca="1" si="232">IF(ISNA(VLOOKUP($B675,TabAlgTutti,9,FALSE)),"",IF(VLOOKUP($B675,TabAlgTutti,9,FALSE)="","",VLOOKUP($B675,TabAlgTutti,9,FALSE)&amp;"R "))&amp;IF(ISNA(VLOOKUP($B675,TabAlgTutti,10,FALSE)),"",IF(VLOOKUP($B675,TabAlgTutti,10,FALSE)="","",VLOOKUP($B675,TabAlgTutti,10,FALSE)&amp;"P "))&amp;IF(ISNA(VLOOKUP($B675,TabAlgTutti,11,FALSE)),"",IF(VLOOKUP($B675,TabAlgTutti,11,FALSE)="","",VLOOKUP($B675,TabAlgTutti,11,FALSE)&amp;"A"))</f>
        <v/>
      </c>
      <c r="J675" s="63">
        <f t="shared" ca="1" si="222"/>
        <v>1.00675</v>
      </c>
      <c r="K675" s="63">
        <f t="shared" ca="1" si="222"/>
        <v>1.00675</v>
      </c>
      <c r="L675" s="63" t="e">
        <f ca="1">VLOOKUP(Tabella185[[#This Row],[Calciatore]],'Raccolta Aste'!$P$2:$T$33,4,FALSE)*Asta!$U$3/100</f>
        <v>#N/A</v>
      </c>
      <c r="N675" s="59">
        <f t="shared" si="223"/>
        <v>35</v>
      </c>
      <c r="O675" s="62" t="str">
        <f ca="1">IF(ISNUMBER(N675),INDIRECT("B" &amp; 642 + MATCH(N675,INDIRECT(ADDRESS(643,22+MATCH($P$30,'I.A. + Fasce'!$W$84:$AA$84,0),1,1) &amp; ":" &amp; ADDRESS(762,22+MATCH($P$30,'I.A. + Fasce'!$W$84:$AA$84,0),1,1)),0)),"")</f>
        <v>CORNELIUS</v>
      </c>
      <c r="P675" s="62" t="str">
        <f t="shared" ca="1" si="225"/>
        <v>Atalanta</v>
      </c>
      <c r="Q675" s="59">
        <f t="shared" si="224"/>
        <v>43</v>
      </c>
      <c r="R675" s="62" t="str">
        <f ca="1">IF(ISNUMBER(Q675),INDIRECT("B" &amp; 642 + MATCH(Q675,INDIRECT(ADDRESS(643,22+MATCH($P$30,'I.A. + Fasce'!$W$84:$AA$84,0),1,1) &amp; ":" &amp; ADDRESS(762,22+MATCH($P$30,'I.A. + Fasce'!$W$84:$AA$84,0),1,1)),0)),"")</f>
        <v>BOYE'</v>
      </c>
      <c r="S675" s="62" t="str">
        <f t="shared" ca="1" si="226"/>
        <v>Torino</v>
      </c>
      <c r="W675" s="56">
        <f t="shared" ca="1" si="213"/>
        <v>61</v>
      </c>
      <c r="X675" s="56">
        <f t="shared" ca="1" si="214"/>
        <v>82</v>
      </c>
      <c r="Y675" s="56">
        <f t="shared" ca="1" si="215"/>
        <v>74</v>
      </c>
      <c r="Z675" s="56">
        <f t="shared" ca="1" si="216"/>
        <v>94</v>
      </c>
      <c r="AA675" s="56">
        <f t="shared" ca="1" si="217"/>
        <v>94</v>
      </c>
      <c r="AB675" s="56">
        <f ca="1">_xlfn.CEILING.MATH(INDIRECT(ADDRESS(643,22+MATCH($P$30,'I.A. + Fasce'!$W$84:$AA$84,0),1,1) &amp; ":" &amp; ADDRESS(762,22+MATCH($P$30,'I.A. + Fasce'!$W$84:$AA$84,0),1,1))/Asta!$H$3)</f>
        <v>12</v>
      </c>
    </row>
    <row r="676" spans="1:28" ht="14.25" customHeight="1">
      <c r="A676" s="239" t="str">
        <f ca="1">IF(Giocatori!M42="","A",Giocatori!M42)</f>
        <v>A</v>
      </c>
      <c r="B676" s="239" t="str">
        <f ca="1">IF(Giocatori!N42="","ZZZ" &amp; ROW(),Giocatori!N42)</f>
        <v>GALABINOV</v>
      </c>
      <c r="C676" s="239" t="str">
        <f ca="1">IF(Giocatori!O42="","NDR" &amp; ROW(),Giocatori!O42)</f>
        <v>Genoa</v>
      </c>
      <c r="D676" s="63">
        <f t="shared" ca="1" si="227"/>
        <v>67.00676</v>
      </c>
      <c r="E676" s="63">
        <f t="shared" ca="1" si="228"/>
        <v>39.00676</v>
      </c>
      <c r="F676" s="64">
        <f t="shared" ca="1" si="229"/>
        <v>65.692914380813335</v>
      </c>
      <c r="G676" s="63" t="str">
        <f t="shared" ca="1" si="230"/>
        <v>SORPRESA</v>
      </c>
      <c r="H676" s="65">
        <f t="shared" ca="1" si="231"/>
        <v>60</v>
      </c>
      <c r="I676" s="63" t="str">
        <f t="shared" ca="1" si="232"/>
        <v/>
      </c>
      <c r="J676" s="63">
        <f t="shared" ca="1" si="222"/>
        <v>5.0007868410885834</v>
      </c>
      <c r="K676" s="63">
        <f t="shared" ca="1" si="222"/>
        <v>5.0007868410885834</v>
      </c>
      <c r="L676" s="63" t="e">
        <f ca="1">VLOOKUP(Tabella185[[#This Row],[Calciatore]],'Raccolta Aste'!$P$2:$T$33,4,FALSE)*Asta!$U$3/100</f>
        <v>#N/A</v>
      </c>
      <c r="N676" s="59">
        <f t="shared" si="223"/>
        <v>36</v>
      </c>
      <c r="O676" s="62" t="str">
        <f ca="1">IF(ISNUMBER(N676),INDIRECT("B" &amp; 642 + MATCH(N676,INDIRECT(ADDRESS(643,22+MATCH($P$30,'I.A. + Fasce'!$W$84:$AA$84,0),1,1) &amp; ":" &amp; ADDRESS(762,22+MATCH($P$30,'I.A. + Fasce'!$W$84:$AA$84,0),1,1)),0)),"")</f>
        <v>BABACAR</v>
      </c>
      <c r="P676" s="62" t="str">
        <f t="shared" ca="1" si="225"/>
        <v>Fiorentina</v>
      </c>
      <c r="Q676" s="59">
        <f t="shared" si="224"/>
        <v>44</v>
      </c>
      <c r="R676" s="62" t="str">
        <f ca="1">IF(ISNUMBER(Q676),INDIRECT("B" &amp; 642 + MATCH(Q676,INDIRECT(ADDRESS(643,22+MATCH($P$30,'I.A. + Fasce'!$W$84:$AA$84,0),1,1) &amp; ":" &amp; ADDRESS(762,22+MATCH($P$30,'I.A. + Fasce'!$W$84:$AA$84,0),1,1)),0)),"")</f>
        <v>PERICA</v>
      </c>
      <c r="S676" s="62" t="str">
        <f t="shared" ca="1" si="226"/>
        <v>Udinese</v>
      </c>
      <c r="W676" s="56">
        <f t="shared" ca="1" si="213"/>
        <v>81</v>
      </c>
      <c r="X676" s="56">
        <f t="shared" ca="1" si="214"/>
        <v>59</v>
      </c>
      <c r="Y676" s="56">
        <f t="shared" ca="1" si="215"/>
        <v>68</v>
      </c>
      <c r="Z676" s="56">
        <f t="shared" ca="1" si="216"/>
        <v>56</v>
      </c>
      <c r="AA676" s="56">
        <f t="shared" ca="1" si="217"/>
        <v>56</v>
      </c>
      <c r="AB676" s="56">
        <f ca="1">_xlfn.CEILING.MATH(INDIRECT(ADDRESS(643,22+MATCH($P$30,'I.A. + Fasce'!$W$84:$AA$84,0),1,1) &amp; ":" &amp; ADDRESS(762,22+MATCH($P$30,'I.A. + Fasce'!$W$84:$AA$84,0),1,1))/Asta!$H$3)</f>
        <v>7</v>
      </c>
    </row>
    <row r="677" spans="1:28" ht="14.25" customHeight="1">
      <c r="A677" s="239" t="str">
        <f ca="1">IF(Giocatori!M43="","A",Giocatori!M43)</f>
        <v>A</v>
      </c>
      <c r="B677" s="239" t="str">
        <f ca="1">IF(Giocatori!N43="","ZZZ" &amp; ROW(),Giocatori!N43)</f>
        <v>GIANNETTI</v>
      </c>
      <c r="C677" s="239" t="str">
        <f ca="1">IF(Giocatori!O43="","NDR" &amp; ROW(),Giocatori!O43)</f>
        <v>Cagliari</v>
      </c>
      <c r="D677" s="63">
        <f t="shared" ca="1" si="227"/>
        <v>60.006770000000003</v>
      </c>
      <c r="E677" s="63">
        <f t="shared" ca="1" si="228"/>
        <v>31.006769999999999</v>
      </c>
      <c r="F677" s="64">
        <f t="shared" ca="1" si="229"/>
        <v>53.525371548607509</v>
      </c>
      <c r="G677" s="63" t="str">
        <f t="shared" ca="1" si="230"/>
        <v/>
      </c>
      <c r="H677" s="65">
        <f t="shared" ca="1" si="231"/>
        <v>40</v>
      </c>
      <c r="I677" s="63" t="str">
        <f t="shared" ca="1" si="232"/>
        <v/>
      </c>
      <c r="J677" s="63">
        <f t="shared" ca="1" si="222"/>
        <v>1.0067699999999999</v>
      </c>
      <c r="K677" s="63">
        <f t="shared" ca="1" si="222"/>
        <v>1.0067699999999999</v>
      </c>
      <c r="L677" s="63" t="e">
        <f ca="1">VLOOKUP(Tabella185[[#This Row],[Calciatore]],'Raccolta Aste'!$P$2:$T$33,4,FALSE)*Asta!$U$3/100</f>
        <v>#N/A</v>
      </c>
      <c r="N677" s="59">
        <f t="shared" si="223"/>
        <v>37</v>
      </c>
      <c r="O677" s="62" t="str">
        <f ca="1">IF(ISNUMBER(N677),INDIRECT("B" &amp; 642 + MATCH(N677,INDIRECT(ADDRESS(643,22+MATCH($P$30,'I.A. + Fasce'!$W$84:$AA$84,0),1,1) &amp; ":" &amp; ADDRESS(762,22+MATCH($P$30,'I.A. + Fasce'!$W$84:$AA$84,0),1,1)),0)),"")</f>
        <v>INGLESE</v>
      </c>
      <c r="P677" s="62" t="str">
        <f t="shared" ca="1" si="225"/>
        <v>Chievo</v>
      </c>
      <c r="Q677" s="59">
        <f t="shared" si="224"/>
        <v>45</v>
      </c>
      <c r="R677" s="62" t="str">
        <f ca="1">IF(ISNUMBER(Q677),INDIRECT("B" &amp; 642 + MATCH(Q677,INDIRECT(ADDRESS(643,22+MATCH($P$30,'I.A. + Fasce'!$W$84:$AA$84,0),1,1) &amp; ":" &amp; ADDRESS(762,22+MATCH($P$30,'I.A. + Fasce'!$W$84:$AA$84,0),1,1)),0)),"")</f>
        <v>POLITANO</v>
      </c>
      <c r="S677" s="62" t="str">
        <f t="shared" ca="1" si="226"/>
        <v>Sassuolo</v>
      </c>
      <c r="W677" s="56">
        <f t="shared" ca="1" si="213"/>
        <v>90</v>
      </c>
      <c r="X677" s="56">
        <f t="shared" ca="1" si="214"/>
        <v>100</v>
      </c>
      <c r="Y677" s="56">
        <f t="shared" ca="1" si="215"/>
        <v>95</v>
      </c>
      <c r="Z677" s="56">
        <f t="shared" ca="1" si="216"/>
        <v>93</v>
      </c>
      <c r="AA677" s="56">
        <f t="shared" ca="1" si="217"/>
        <v>93</v>
      </c>
      <c r="AB677" s="56">
        <f ca="1">_xlfn.CEILING.MATH(INDIRECT(ADDRESS(643,22+MATCH($P$30,'I.A. + Fasce'!$W$84:$AA$84,0),1,1) &amp; ":" &amp; ADDRESS(762,22+MATCH($P$30,'I.A. + Fasce'!$W$84:$AA$84,0),1,1))/Asta!$H$3)</f>
        <v>12</v>
      </c>
    </row>
    <row r="678" spans="1:28" ht="14.25" customHeight="1">
      <c r="A678" s="239" t="str">
        <f ca="1">IF(Giocatori!M44="","A",Giocatori!M44)</f>
        <v>A</v>
      </c>
      <c r="B678" s="239" t="str">
        <f ca="1">IF(Giocatori!N44="","ZZZ" &amp; ROW(),Giocatori!N44)</f>
        <v>GOMEZ A</v>
      </c>
      <c r="C678" s="239" t="str">
        <f ca="1">IF(Giocatori!O44="","NDR" &amp; ROW(),Giocatori!O44)</f>
        <v>Atalanta</v>
      </c>
      <c r="D678" s="63">
        <f t="shared" ca="1" si="227"/>
        <v>90.006780000000006</v>
      </c>
      <c r="E678" s="63">
        <f t="shared" ca="1" si="228"/>
        <v>49.006779999999999</v>
      </c>
      <c r="F678" s="64">
        <f t="shared" ca="1" si="229"/>
        <v>89.52743071640333</v>
      </c>
      <c r="G678" s="63" t="str">
        <f t="shared" ca="1" si="230"/>
        <v>CONSIGLIATO</v>
      </c>
      <c r="H678" s="65">
        <f t="shared" ca="1" si="231"/>
        <v>100</v>
      </c>
      <c r="I678" s="63" t="str">
        <f t="shared" ca="1" si="232"/>
        <v>2R 2P 1A</v>
      </c>
      <c r="J678" s="63">
        <f t="shared" ca="1" si="222"/>
        <v>106.52303038126549</v>
      </c>
      <c r="K678" s="63">
        <f t="shared" ca="1" si="222"/>
        <v>106.52303038126549</v>
      </c>
      <c r="L678" s="63">
        <f ca="1">VLOOKUP(Tabella185[[#This Row],[Calciatore]],'Raccolta Aste'!$P$2:$T$33,4,FALSE)*Asta!$U$3/100</f>
        <v>54.11</v>
      </c>
      <c r="N678" s="59">
        <f t="shared" si="223"/>
        <v>38</v>
      </c>
      <c r="O678" s="62" t="str">
        <f ca="1">IF(ISNUMBER(N678),INDIRECT("B" &amp; 642 + MATCH(N678,INDIRECT(ADDRESS(643,22+MATCH($P$30,'I.A. + Fasce'!$W$84:$AA$84,0),1,1) &amp; ":" &amp; ADDRESS(762,22+MATCH($P$30,'I.A. + Fasce'!$W$84:$AA$84,0),1,1)),0)),"")</f>
        <v>VERDI</v>
      </c>
      <c r="P678" s="62" t="str">
        <f t="shared" ca="1" si="225"/>
        <v>Bologna</v>
      </c>
      <c r="Q678" s="59">
        <f t="shared" si="224"/>
        <v>46</v>
      </c>
      <c r="R678" s="62" t="str">
        <f ca="1">IF(ISNUMBER(Q678),INDIRECT("B" &amp; 642 + MATCH(Q678,INDIRECT(ADDRESS(643,22+MATCH($P$30,'I.A. + Fasce'!$W$84:$AA$84,0),1,1) &amp; ":" &amp; ADDRESS(762,22+MATCH($P$30,'I.A. + Fasce'!$W$84:$AA$84,0),1,1)),0)),"")</f>
        <v>PAZZINI</v>
      </c>
      <c r="S678" s="62" t="str">
        <f t="shared" ca="1" si="226"/>
        <v>Verona</v>
      </c>
      <c r="W678" s="56">
        <f t="shared" ca="1" si="213"/>
        <v>11</v>
      </c>
      <c r="X678" s="56">
        <f t="shared" ca="1" si="214"/>
        <v>11</v>
      </c>
      <c r="Y678" s="56">
        <f t="shared" ca="1" si="215"/>
        <v>9</v>
      </c>
      <c r="Z678" s="56">
        <f t="shared" ca="1" si="216"/>
        <v>11</v>
      </c>
      <c r="AA678" s="56">
        <f t="shared" ca="1" si="217"/>
        <v>11</v>
      </c>
      <c r="AB678" s="56">
        <f ca="1">_xlfn.CEILING.MATH(INDIRECT(ADDRESS(643,22+MATCH($P$30,'I.A. + Fasce'!$W$84:$AA$84,0),1,1) &amp; ":" &amp; ADDRESS(762,22+MATCH($P$30,'I.A. + Fasce'!$W$84:$AA$84,0),1,1))/Asta!$H$3)</f>
        <v>2</v>
      </c>
    </row>
    <row r="679" spans="1:28" ht="14.25" customHeight="1">
      <c r="A679" s="239" t="str">
        <f ca="1">IF(Giocatori!M45="","A",Giocatori!M45)</f>
        <v>A</v>
      </c>
      <c r="B679" s="239" t="str">
        <f ca="1">IF(Giocatori!N45="","ZZZ" &amp; ROW(),Giocatori!N45)</f>
        <v>HIGUAIN</v>
      </c>
      <c r="C679" s="239" t="str">
        <f ca="1">IF(Giocatori!O45="","NDR" &amp; ROW(),Giocatori!O45)</f>
        <v>Juventus</v>
      </c>
      <c r="D679" s="63">
        <f t="shared" ca="1" si="227"/>
        <v>96.006789999999995</v>
      </c>
      <c r="E679" s="63">
        <f t="shared" ca="1" si="228"/>
        <v>54.006790000000002</v>
      </c>
      <c r="F679" s="64">
        <f t="shared" ca="1" si="229"/>
        <v>99.319691384200851</v>
      </c>
      <c r="G679" s="63" t="str">
        <f t="shared" ca="1" si="230"/>
        <v>CONSIGLIATO</v>
      </c>
      <c r="H679" s="65">
        <f t="shared" ca="1" si="231"/>
        <v>90</v>
      </c>
      <c r="I679" s="325" t="str">
        <f t="shared" ca="1" si="232"/>
        <v/>
      </c>
      <c r="J679" s="63">
        <f t="shared" ca="1" si="222"/>
        <v>165.00679</v>
      </c>
      <c r="K679" s="63">
        <f t="shared" ca="1" si="222"/>
        <v>165.00679</v>
      </c>
      <c r="L679" s="63">
        <f ca="1">VLOOKUP(Tabella185[[#This Row],[Calciatore]],'Raccolta Aste'!$P$2:$T$33,4,FALSE)*Asta!$U$3/100</f>
        <v>115.88500000000001</v>
      </c>
      <c r="N679" s="59">
        <f t="shared" si="223"/>
        <v>39</v>
      </c>
      <c r="O679" s="62" t="str">
        <f ca="1">IF(ISNUMBER(N679),INDIRECT("B" &amp; 642 + MATCH(N679,INDIRECT(ADDRESS(643,22+MATCH($P$30,'I.A. + Fasce'!$W$84:$AA$84,0),1,1) &amp; ":" &amp; ADDRESS(762,22+MATCH($P$30,'I.A. + Fasce'!$W$84:$AA$84,0),1,1)),0)),"")</f>
        <v>ZAPATA D</v>
      </c>
      <c r="P679" s="62" t="str">
        <f t="shared" ca="1" si="225"/>
        <v>Sampdoria</v>
      </c>
      <c r="Q679" s="59">
        <f t="shared" si="224"/>
        <v>47</v>
      </c>
      <c r="R679" s="62" t="str">
        <f ca="1">IF(ISNUMBER(Q679),INDIRECT("B" &amp; 642 + MATCH(Q679,INDIRECT(ADDRESS(643,22+MATCH($P$30,'I.A. + Fasce'!$W$84:$AA$84,0),1,1) &amp; ":" &amp; ADDRESS(762,22+MATCH($P$30,'I.A. + Fasce'!$W$84:$AA$84,0),1,1)),0)),"")</f>
        <v>LASAGNA</v>
      </c>
      <c r="S679" s="62" t="str">
        <f t="shared" ca="1" si="226"/>
        <v>Udinese</v>
      </c>
      <c r="W679" s="56">
        <f t="shared" ca="1" si="213"/>
        <v>2</v>
      </c>
      <c r="X679" s="56">
        <f t="shared" ca="1" si="214"/>
        <v>1</v>
      </c>
      <c r="Y679" s="56">
        <f t="shared" ca="1" si="215"/>
        <v>1</v>
      </c>
      <c r="Z679" s="56">
        <f t="shared" ca="1" si="216"/>
        <v>1</v>
      </c>
      <c r="AA679" s="56">
        <f t="shared" ca="1" si="217"/>
        <v>1</v>
      </c>
      <c r="AB679" s="56">
        <f ca="1">_xlfn.CEILING.MATH(INDIRECT(ADDRESS(643,22+MATCH($P$30,'I.A. + Fasce'!$W$84:$AA$84,0),1,1) &amp; ":" &amp; ADDRESS(762,22+MATCH($P$30,'I.A. + Fasce'!$W$84:$AA$84,0),1,1))/Asta!$H$3)</f>
        <v>1</v>
      </c>
    </row>
    <row r="680" spans="1:28" ht="14.25" customHeight="1">
      <c r="A680" s="239" t="str">
        <f ca="1">IF(Giocatori!M46="","A",Giocatori!M46)</f>
        <v>A</v>
      </c>
      <c r="B680" s="239" t="str">
        <f ca="1">IF(Giocatori!N46="","ZZZ" &amp; ROW(),Giocatori!N46)</f>
        <v>ICARDI</v>
      </c>
      <c r="C680" s="239" t="str">
        <f ca="1">IF(Giocatori!O46="","NDR" &amp; ROW(),Giocatori!O46)</f>
        <v>Inter</v>
      </c>
      <c r="D680" s="63">
        <f t="shared" ca="1" si="227"/>
        <v>98.006799999999998</v>
      </c>
      <c r="E680" s="63">
        <f t="shared" ca="1" si="228"/>
        <v>49.006799999999998</v>
      </c>
      <c r="F680" s="64">
        <f t="shared" ca="1" si="229"/>
        <v>93.527487051999998</v>
      </c>
      <c r="G680" s="63" t="str">
        <f t="shared" ca="1" si="230"/>
        <v>CONSIGLIATO</v>
      </c>
      <c r="H680" s="65">
        <f t="shared" ca="1" si="231"/>
        <v>90</v>
      </c>
      <c r="I680" s="63" t="str">
        <f t="shared" ca="1" si="232"/>
        <v xml:space="preserve">1R </v>
      </c>
      <c r="J680" s="63">
        <f t="shared" ca="1" si="222"/>
        <v>115.64016665875886</v>
      </c>
      <c r="K680" s="63">
        <f t="shared" ca="1" si="222"/>
        <v>115.64016665875886</v>
      </c>
      <c r="L680" s="63">
        <f ca="1">VLOOKUP(Tabella185[[#This Row],[Calciatore]],'Raccolta Aste'!$P$2:$T$33,4,FALSE)*Asta!$U$3/100</f>
        <v>127.015</v>
      </c>
      <c r="N680" s="59">
        <f t="shared" si="223"/>
        <v>40</v>
      </c>
      <c r="O680" s="62" t="str">
        <f ca="1">IF(ISNUMBER(N680),INDIRECT("B" &amp; 642 + MATCH(N680,INDIRECT(ADDRESS(643,22+MATCH($P$30,'I.A. + Fasce'!$W$84:$AA$84,0),1,1) &amp; ":" &amp; ADDRESS(762,22+MATCH($P$30,'I.A. + Fasce'!$W$84:$AA$84,0),1,1)),0)),"")</f>
        <v>DESTRO</v>
      </c>
      <c r="P680" s="62" t="str">
        <f t="shared" ca="1" si="225"/>
        <v>Bologna</v>
      </c>
      <c r="Q680" s="59">
        <f t="shared" si="224"/>
        <v>48</v>
      </c>
      <c r="R680" s="62" t="str">
        <f ca="1">IF(ISNUMBER(Q680),INDIRECT("B" &amp; 642 + MATCH(Q680,INDIRECT(ADDRESS(643,22+MATCH($P$30,'I.A. + Fasce'!$W$84:$AA$84,0),1,1) &amp; ":" &amp; ADDRESS(762,22+MATCH($P$30,'I.A. + Fasce'!$W$84:$AA$84,0),1,1)),0)),"")</f>
        <v>VIDO</v>
      </c>
      <c r="S680" s="62" t="str">
        <f t="shared" ca="1" si="226"/>
        <v>Atalanta</v>
      </c>
      <c r="W680" s="56">
        <f t="shared" ca="1" si="213"/>
        <v>1</v>
      </c>
      <c r="X680" s="56">
        <f t="shared" ca="1" si="214"/>
        <v>10</v>
      </c>
      <c r="Y680" s="56">
        <f t="shared" ca="1" si="215"/>
        <v>7</v>
      </c>
      <c r="Z680" s="56">
        <f t="shared" ca="1" si="216"/>
        <v>10</v>
      </c>
      <c r="AA680" s="56">
        <f t="shared" ca="1" si="217"/>
        <v>10</v>
      </c>
      <c r="AB680" s="56">
        <f ca="1">_xlfn.CEILING.MATH(INDIRECT(ADDRESS(643,22+MATCH($P$30,'I.A. + Fasce'!$W$84:$AA$84,0),1,1) &amp; ":" &amp; ADDRESS(762,22+MATCH($P$30,'I.A. + Fasce'!$W$84:$AA$84,0),1,1))/Asta!$H$3)</f>
        <v>2</v>
      </c>
    </row>
    <row r="681" spans="1:28" ht="14.25" customHeight="1">
      <c r="A681" s="239" t="str">
        <f ca="1">IF(Giocatori!M47="","A",Giocatori!M47)</f>
        <v>A</v>
      </c>
      <c r="B681" s="239" t="str">
        <f ca="1">IF(Giocatori!N47="","ZZZ" &amp; ROW(),Giocatori!N47)</f>
        <v>IEMMELLO</v>
      </c>
      <c r="C681" s="239" t="str">
        <f ca="1">IF(Giocatori!O47="","NDR" &amp; ROW(),Giocatori!O47)</f>
        <v>Benevento</v>
      </c>
      <c r="D681" s="63">
        <f t="shared" ca="1" si="227"/>
        <v>76.006810000000002</v>
      </c>
      <c r="E681" s="63">
        <f t="shared" ca="1" si="228"/>
        <v>43.006810000000002</v>
      </c>
      <c r="F681" s="64">
        <f t="shared" ca="1" si="229"/>
        <v>74.926834219800838</v>
      </c>
      <c r="G681" s="63" t="str">
        <f t="shared" ca="1" si="230"/>
        <v>CONSIGLIATO</v>
      </c>
      <c r="H681" s="65">
        <f t="shared" ca="1" si="231"/>
        <v>80</v>
      </c>
      <c r="I681" s="63" t="str">
        <f t="shared" ca="1" si="232"/>
        <v xml:space="preserve">1R </v>
      </c>
      <c r="J681" s="63">
        <f t="shared" ca="1" si="222"/>
        <v>1.00681</v>
      </c>
      <c r="K681" s="63">
        <f t="shared" ca="1" si="222"/>
        <v>1.00681</v>
      </c>
      <c r="L681" s="63" t="e">
        <f ca="1">VLOOKUP(Tabella185[[#This Row],[Calciatore]],'Raccolta Aste'!$P$2:$T$33,4,FALSE)*Asta!$U$3/100</f>
        <v>#N/A</v>
      </c>
      <c r="N681" s="59" t="str">
        <f t="shared" si="223"/>
        <v/>
      </c>
      <c r="O681" s="62" t="str">
        <f ca="1">IF(ISNUMBER(N681),INDIRECT("B" &amp; 642 + MATCH(N681,INDIRECT(ADDRESS(643,22+MATCH($P$30,'I.A. + Fasce'!$W$84:$AA$84,0),1,1) &amp; ":" &amp; ADDRESS(762,22+MATCH($P$30,'I.A. + Fasce'!$W$84:$AA$84,0),1,1)),0)),"")</f>
        <v/>
      </c>
      <c r="P681" s="62" t="str">
        <f t="shared" ca="1" si="225"/>
        <v/>
      </c>
      <c r="Q681" s="59" t="str">
        <f t="shared" si="224"/>
        <v/>
      </c>
      <c r="R681" s="62" t="str">
        <f ca="1">IF(ISNUMBER(Q681),INDIRECT("B" &amp; 642 + MATCH(Q681,INDIRECT(ADDRESS(643,22+MATCH($P$30,'I.A. + Fasce'!$W$84:$AA$84,0),1,1) &amp; ":" &amp; ADDRESS(762,22+MATCH($P$30,'I.A. + Fasce'!$W$84:$AA$84,0),1,1)),0)),"")</f>
        <v/>
      </c>
      <c r="S681" s="62" t="str">
        <f t="shared" ca="1" si="226"/>
        <v/>
      </c>
      <c r="W681" s="56">
        <f t="shared" ca="1" si="213"/>
        <v>43</v>
      </c>
      <c r="X681" s="56">
        <f t="shared" ca="1" si="214"/>
        <v>30</v>
      </c>
      <c r="Y681" s="56">
        <f t="shared" ca="1" si="215"/>
        <v>33</v>
      </c>
      <c r="Z681" s="56">
        <f t="shared" ca="1" si="216"/>
        <v>92</v>
      </c>
      <c r="AA681" s="56">
        <f t="shared" ca="1" si="217"/>
        <v>92</v>
      </c>
      <c r="AB681" s="56">
        <f ca="1">_xlfn.CEILING.MATH(INDIRECT(ADDRESS(643,22+MATCH($P$30,'I.A. + Fasce'!$W$84:$AA$84,0),1,1) &amp; ":" &amp; ADDRESS(762,22+MATCH($P$30,'I.A. + Fasce'!$W$84:$AA$84,0),1,1))/Asta!$H$3)</f>
        <v>12</v>
      </c>
    </row>
    <row r="682" spans="1:28" ht="14.25" customHeight="1">
      <c r="A682" s="239" t="str">
        <f ca="1">IF(Giocatori!M48="","A",Giocatori!M48)</f>
        <v>A</v>
      </c>
      <c r="B682" s="239" t="str">
        <f ca="1">IF(Giocatori!N48="","ZZZ" &amp; ROW(),Giocatori!N48)</f>
        <v>IMMOBILE</v>
      </c>
      <c r="C682" s="239" t="str">
        <f ca="1">IF(Giocatori!O48="","NDR" &amp; ROW(),Giocatori!O48)</f>
        <v>Lazio</v>
      </c>
      <c r="D682" s="63">
        <f t="shared" ca="1" si="227"/>
        <v>93.006820000000005</v>
      </c>
      <c r="E682" s="63">
        <f t="shared" ca="1" si="228"/>
        <v>52.006819999999998</v>
      </c>
      <c r="F682" s="64">
        <f t="shared" ca="1" si="229"/>
        <v>95.052884387603328</v>
      </c>
      <c r="G682" s="63" t="str">
        <f t="shared" ca="1" si="230"/>
        <v>CONSIGLIATO</v>
      </c>
      <c r="H682" s="65">
        <f t="shared" ca="1" si="231"/>
        <v>100</v>
      </c>
      <c r="I682" s="63" t="str">
        <f t="shared" ca="1" si="232"/>
        <v xml:space="preserve">1R </v>
      </c>
      <c r="J682" s="63">
        <f t="shared" ca="1" si="222"/>
        <v>133.85484758667434</v>
      </c>
      <c r="K682" s="63">
        <f t="shared" ca="1" si="222"/>
        <v>133.85484758667434</v>
      </c>
      <c r="L682" s="63">
        <f ca="1">VLOOKUP(Tabella185[[#This Row],[Calciatore]],'Raccolta Aste'!$P$2:$T$33,4,FALSE)*Asta!$U$3/100</f>
        <v>101.22</v>
      </c>
      <c r="N682" s="59" t="str">
        <f t="shared" si="223"/>
        <v/>
      </c>
      <c r="O682" s="62" t="str">
        <f ca="1">IF(ISNUMBER(N682),INDIRECT("B" &amp; 642 + MATCH(N682,INDIRECT(ADDRESS(643,22+MATCH($P$30,'I.A. + Fasce'!$W$84:$AA$84,0),1,1) &amp; ":" &amp; ADDRESS(762,22+MATCH($P$30,'I.A. + Fasce'!$W$84:$AA$84,0),1,1)),0)),"")</f>
        <v/>
      </c>
      <c r="P682" s="62" t="str">
        <f t="shared" ca="1" si="225"/>
        <v/>
      </c>
      <c r="Q682" s="59" t="str">
        <f t="shared" si="224"/>
        <v/>
      </c>
      <c r="R682" s="62" t="str">
        <f ca="1">IF(ISNUMBER(Q682),INDIRECT("B" &amp; 642 + MATCH(Q682,INDIRECT(ADDRESS(643,22+MATCH($P$30,'I.A. + Fasce'!$W$84:$AA$84,0),1,1) &amp; ":" &amp; ADDRESS(762,22+MATCH($P$30,'I.A. + Fasce'!$W$84:$AA$84,0),1,1)),0)),"")</f>
        <v/>
      </c>
      <c r="S682" s="62" t="str">
        <f t="shared" ca="1" si="226"/>
        <v/>
      </c>
      <c r="W682" s="56">
        <f t="shared" ca="1" si="213"/>
        <v>7</v>
      </c>
      <c r="X682" s="56">
        <f t="shared" ca="1" si="214"/>
        <v>4</v>
      </c>
      <c r="Y682" s="56">
        <f t="shared" ca="1" si="215"/>
        <v>5</v>
      </c>
      <c r="Z682" s="56">
        <f t="shared" ca="1" si="216"/>
        <v>7</v>
      </c>
      <c r="AA682" s="56">
        <f t="shared" ca="1" si="217"/>
        <v>7</v>
      </c>
      <c r="AB682" s="56">
        <f ca="1">_xlfn.CEILING.MATH(INDIRECT(ADDRESS(643,22+MATCH($P$30,'I.A. + Fasce'!$W$84:$AA$84,0),1,1) &amp; ":" &amp; ADDRESS(762,22+MATCH($P$30,'I.A. + Fasce'!$W$84:$AA$84,0),1,1))/Asta!$H$3)</f>
        <v>1</v>
      </c>
    </row>
    <row r="683" spans="1:28" ht="14.25" customHeight="1">
      <c r="A683" s="239" t="str">
        <f ca="1">IF(Giocatori!M49="","A",Giocatori!M49)</f>
        <v>A</v>
      </c>
      <c r="B683" s="239" t="str">
        <f ca="1">IF(Giocatori!N49="","ZZZ" &amp; ROW(),Giocatori!N49)</f>
        <v>INGLESE</v>
      </c>
      <c r="C683" s="239" t="str">
        <f ca="1">IF(Giocatori!O49="","NDR" &amp; ROW(),Giocatori!O49)</f>
        <v>Chievo</v>
      </c>
      <c r="D683" s="63">
        <f t="shared" ca="1" si="227"/>
        <v>79.006829999999994</v>
      </c>
      <c r="E683" s="63">
        <f t="shared" ca="1" si="228"/>
        <v>43.006830000000001</v>
      </c>
      <c r="F683" s="64">
        <f t="shared" ca="1" si="229"/>
        <v>76.426888555407501</v>
      </c>
      <c r="G683" s="63" t="str">
        <f t="shared" ca="1" si="230"/>
        <v>CONSIGLIATO</v>
      </c>
      <c r="H683" s="65">
        <f t="shared" ca="1" si="231"/>
        <v>80</v>
      </c>
      <c r="I683" s="63" t="str">
        <f t="shared" ca="1" si="232"/>
        <v/>
      </c>
      <c r="J683" s="63">
        <f t="shared" ref="J683:K702" ca="1" si="233">IF(ISNA(VLOOKUP($B683,TabAlgTutti,3,FALSE)),0,VLOOKUP($B683,TabAlgTutti,3,FALSE))+ROW()/100000</f>
        <v>31.067468153658432</v>
      </c>
      <c r="K683" s="63">
        <f t="shared" ca="1" si="233"/>
        <v>31.067468153658432</v>
      </c>
      <c r="L683" s="63" t="e">
        <f ca="1">VLOOKUP(Tabella185[[#This Row],[Calciatore]],'Raccolta Aste'!$P$2:$T$33,4,FALSE)*Asta!$U$3/100</f>
        <v>#N/A</v>
      </c>
      <c r="N683" s="59" t="str">
        <f t="shared" si="223"/>
        <v/>
      </c>
      <c r="O683" s="62" t="str">
        <f ca="1">IF(ISNUMBER(N683),INDIRECT("B" &amp; 642 + MATCH(N683,INDIRECT(ADDRESS(643,22+MATCH($P$30,'I.A. + Fasce'!$W$84:$AA$84,0),1,1) &amp; ":" &amp; ADDRESS(762,22+MATCH($P$30,'I.A. + Fasce'!$W$84:$AA$84,0),1,1)),0)),"")</f>
        <v/>
      </c>
      <c r="P683" s="62" t="str">
        <f t="shared" ca="1" si="225"/>
        <v/>
      </c>
      <c r="Q683" s="59" t="str">
        <f t="shared" si="224"/>
        <v/>
      </c>
      <c r="R683" s="62" t="str">
        <f ca="1">IF(ISNUMBER(Q683),INDIRECT("B" &amp; 642 + MATCH(Q683,INDIRECT(ADDRESS(643,22+MATCH($P$30,'I.A. + Fasce'!$W$84:$AA$84,0),1,1) &amp; ":" &amp; ADDRESS(762,22+MATCH($P$30,'I.A. + Fasce'!$W$84:$AA$84,0),1,1)),0)),"")</f>
        <v/>
      </c>
      <c r="S683" s="62" t="str">
        <f t="shared" ca="1" si="226"/>
        <v/>
      </c>
      <c r="W683" s="56">
        <f t="shared" ca="1" si="213"/>
        <v>28</v>
      </c>
      <c r="X683" s="56">
        <f t="shared" ca="1" si="214"/>
        <v>29</v>
      </c>
      <c r="Y683" s="56">
        <f t="shared" ca="1" si="215"/>
        <v>27</v>
      </c>
      <c r="Z683" s="56">
        <f t="shared" ca="1" si="216"/>
        <v>37</v>
      </c>
      <c r="AA683" s="56">
        <f t="shared" ca="1" si="217"/>
        <v>37</v>
      </c>
      <c r="AB683" s="56">
        <f ca="1">_xlfn.CEILING.MATH(INDIRECT(ADDRESS(643,22+MATCH($P$30,'I.A. + Fasce'!$W$84:$AA$84,0),1,1) &amp; ":" &amp; ADDRESS(762,22+MATCH($P$30,'I.A. + Fasce'!$W$84:$AA$84,0),1,1))/Asta!$H$3)</f>
        <v>5</v>
      </c>
    </row>
    <row r="684" spans="1:28" ht="14.25" customHeight="1">
      <c r="A684" s="239" t="str">
        <f ca="1">IF(Giocatori!M50="","A",Giocatori!M50)</f>
        <v>A</v>
      </c>
      <c r="B684" s="239" t="str">
        <f ca="1">IF(Giocatori!N50="","ZZZ" &amp; ROW(),Giocatori!N50)</f>
        <v>INSIGNE</v>
      </c>
      <c r="C684" s="239" t="str">
        <f ca="1">IF(Giocatori!O50="","NDR" &amp; ROW(),Giocatori!O50)</f>
        <v>Napoli</v>
      </c>
      <c r="D684" s="63">
        <f t="shared" ca="1" si="227"/>
        <v>92.006839999999997</v>
      </c>
      <c r="E684" s="63">
        <f t="shared" ca="1" si="228"/>
        <v>50.006839999999997</v>
      </c>
      <c r="F684" s="64">
        <f t="shared" ca="1" si="229"/>
        <v>91.852713723213313</v>
      </c>
      <c r="G684" s="63" t="str">
        <f t="shared" ca="1" si="230"/>
        <v>CONSIGLIATO</v>
      </c>
      <c r="H684" s="65">
        <f t="shared" ca="1" si="231"/>
        <v>90</v>
      </c>
      <c r="I684" s="63" t="str">
        <f t="shared" ca="1" si="232"/>
        <v xml:space="preserve">2R 1P </v>
      </c>
      <c r="J684" s="63">
        <f t="shared" ca="1" si="233"/>
        <v>141.1080193811639</v>
      </c>
      <c r="K684" s="63">
        <f t="shared" ca="1" si="233"/>
        <v>141.1080193811639</v>
      </c>
      <c r="L684" s="63">
        <f ca="1">VLOOKUP(Tabella185[[#This Row],[Calciatore]],'Raccolta Aste'!$P$2:$T$33,4,FALSE)*Asta!$U$3/100</f>
        <v>89.11</v>
      </c>
      <c r="N684" s="59" t="str">
        <f t="shared" si="223"/>
        <v/>
      </c>
      <c r="O684" s="62" t="str">
        <f ca="1">IF(ISNUMBER(N684),INDIRECT("B" &amp; 642 + MATCH(N684,INDIRECT(ADDRESS(643,22+MATCH($P$30,'I.A. + Fasce'!$W$84:$AA$84,0),1,1) &amp; ":" &amp; ADDRESS(762,22+MATCH($P$30,'I.A. + Fasce'!$W$84:$AA$84,0),1,1)),0)),"")</f>
        <v/>
      </c>
      <c r="P684" s="62" t="str">
        <f t="shared" ca="1" si="225"/>
        <v/>
      </c>
      <c r="Q684" s="59" t="str">
        <f t="shared" si="224"/>
        <v/>
      </c>
      <c r="R684" s="62" t="str">
        <f ca="1">IF(ISNUMBER(Q684),INDIRECT("B" &amp; 642 + MATCH(Q684,INDIRECT(ADDRESS(643,22+MATCH($P$30,'I.A. + Fasce'!$W$84:$AA$84,0),1,1) &amp; ":" &amp; ADDRESS(762,22+MATCH($P$30,'I.A. + Fasce'!$W$84:$AA$84,0),1,1)),0)),"")</f>
        <v/>
      </c>
      <c r="S684" s="62" t="str">
        <f t="shared" ca="1" si="226"/>
        <v/>
      </c>
      <c r="W684" s="56">
        <f t="shared" ca="1" si="213"/>
        <v>9</v>
      </c>
      <c r="X684" s="56">
        <f t="shared" ca="1" si="214"/>
        <v>8</v>
      </c>
      <c r="Y684" s="56">
        <f t="shared" ca="1" si="215"/>
        <v>8</v>
      </c>
      <c r="Z684" s="56">
        <f t="shared" ca="1" si="216"/>
        <v>5</v>
      </c>
      <c r="AA684" s="56">
        <f t="shared" ca="1" si="217"/>
        <v>5</v>
      </c>
      <c r="AB684" s="56">
        <f ca="1">_xlfn.CEILING.MATH(INDIRECT(ADDRESS(643,22+MATCH($P$30,'I.A. + Fasce'!$W$84:$AA$84,0),1,1) &amp; ":" &amp; ADDRESS(762,22+MATCH($P$30,'I.A. + Fasce'!$W$84:$AA$84,0),1,1))/Asta!$H$3)</f>
        <v>1</v>
      </c>
    </row>
    <row r="685" spans="1:28" ht="14.25" customHeight="1">
      <c r="A685" s="239" t="str">
        <f ca="1">IF(Giocatori!M51="","A",Giocatori!M51)</f>
        <v>A</v>
      </c>
      <c r="B685" s="239" t="str">
        <f ca="1">IF(Giocatori!N51="","ZZZ" &amp; ROW(),Giocatori!N51)</f>
        <v>KALINIC</v>
      </c>
      <c r="C685" s="239" t="str">
        <f ca="1">IF(Giocatori!O51="","NDR" &amp; ROW(),Giocatori!O51)</f>
        <v>Milan</v>
      </c>
      <c r="D685" s="63">
        <f t="shared" ca="1" si="227"/>
        <v>85.00685</v>
      </c>
      <c r="E685" s="63">
        <f t="shared" ca="1" si="228"/>
        <v>44.00685</v>
      </c>
      <c r="F685" s="64">
        <f t="shared" ca="1" si="229"/>
        <v>80.6520570576875</v>
      </c>
      <c r="G685" s="63" t="str">
        <f t="shared" ca="1" si="230"/>
        <v/>
      </c>
      <c r="H685" s="65">
        <f t="shared" ca="1" si="231"/>
        <v>70</v>
      </c>
      <c r="I685" s="63" t="str">
        <f t="shared" ca="1" si="232"/>
        <v xml:space="preserve">2R </v>
      </c>
      <c r="J685" s="63">
        <f t="shared" ca="1" si="233"/>
        <v>76.61579025146581</v>
      </c>
      <c r="K685" s="63">
        <f t="shared" ca="1" si="233"/>
        <v>76.61579025146581</v>
      </c>
      <c r="L685" s="63">
        <f ca="1">VLOOKUP(Tabella185[[#This Row],[Calciatore]],'Raccolta Aste'!$P$2:$T$33,4,FALSE)*Asta!$U$3/100</f>
        <v>69.404999999999987</v>
      </c>
      <c r="N685" s="58"/>
      <c r="O685" s="58"/>
      <c r="P685" s="58"/>
      <c r="Q685" s="58"/>
      <c r="R685" s="58"/>
      <c r="S685" s="58"/>
      <c r="W685" s="56">
        <f t="shared" ca="1" si="213"/>
        <v>14</v>
      </c>
      <c r="X685" s="56">
        <f t="shared" ca="1" si="214"/>
        <v>19</v>
      </c>
      <c r="Y685" s="56">
        <f t="shared" ca="1" si="215"/>
        <v>17</v>
      </c>
      <c r="Z685" s="56">
        <f t="shared" ca="1" si="216"/>
        <v>17</v>
      </c>
      <c r="AA685" s="56">
        <f t="shared" ca="1" si="217"/>
        <v>17</v>
      </c>
      <c r="AB685" s="56">
        <f ca="1">_xlfn.CEILING.MATH(INDIRECT(ADDRESS(643,22+MATCH($P$30,'I.A. + Fasce'!$W$84:$AA$84,0),1,1) &amp; ":" &amp; ADDRESS(762,22+MATCH($P$30,'I.A. + Fasce'!$W$84:$AA$84,0),1,1))/Asta!$H$3)</f>
        <v>3</v>
      </c>
    </row>
    <row r="686" spans="1:28" ht="14.25" customHeight="1">
      <c r="A686" s="239" t="str">
        <f ca="1">IF(Giocatori!M52="","A",Giocatori!M52)</f>
        <v>A</v>
      </c>
      <c r="B686" s="239" t="str">
        <f ca="1">IF(Giocatori!N52="","ZZZ" &amp; ROW(),Giocatori!N52)</f>
        <v>KARAMOH</v>
      </c>
      <c r="C686" s="239" t="str">
        <f ca="1">IF(Giocatori!O52="","NDR" &amp; ROW(),Giocatori!O52)</f>
        <v>Inter</v>
      </c>
      <c r="D686" s="63">
        <f t="shared" ca="1" si="227"/>
        <v>73.006860000000003</v>
      </c>
      <c r="E686" s="63">
        <f t="shared" ca="1" si="228"/>
        <v>39.006860000000003</v>
      </c>
      <c r="F686" s="64">
        <f t="shared" ca="1" si="229"/>
        <v>68.69317939216333</v>
      </c>
      <c r="G686" s="63" t="str">
        <f t="shared" ca="1" si="230"/>
        <v/>
      </c>
      <c r="H686" s="65">
        <f t="shared" ca="1" si="231"/>
        <v>60</v>
      </c>
      <c r="I686" s="63" t="str">
        <f t="shared" ca="1" si="232"/>
        <v/>
      </c>
      <c r="J686" s="63">
        <f t="shared" ca="1" si="233"/>
        <v>36.557805538346756</v>
      </c>
      <c r="K686" s="63">
        <f t="shared" ca="1" si="233"/>
        <v>36.557805538346756</v>
      </c>
      <c r="L686" s="63" t="e">
        <f ca="1">VLOOKUP(Tabella185[[#This Row],[Calciatore]],'Raccolta Aste'!$P$2:$T$33,4,FALSE)*Asta!$U$3/100</f>
        <v>#N/A</v>
      </c>
      <c r="N686" s="58"/>
      <c r="O686" s="59" t="s">
        <v>707</v>
      </c>
      <c r="P686" s="59" t="s">
        <v>637</v>
      </c>
      <c r="Q686" s="58"/>
      <c r="R686" s="59" t="s">
        <v>708</v>
      </c>
      <c r="S686" s="59" t="s">
        <v>637</v>
      </c>
      <c r="W686" s="56">
        <f t="shared" ca="1" si="213"/>
        <v>56</v>
      </c>
      <c r="X686" s="56">
        <f t="shared" ca="1" si="214"/>
        <v>58</v>
      </c>
      <c r="Y686" s="56">
        <f t="shared" ca="1" si="215"/>
        <v>56</v>
      </c>
      <c r="Z686" s="56">
        <f t="shared" ca="1" si="216"/>
        <v>33</v>
      </c>
      <c r="AA686" s="56">
        <f t="shared" ca="1" si="217"/>
        <v>33</v>
      </c>
      <c r="AB686" s="56">
        <f ca="1">_xlfn.CEILING.MATH(INDIRECT(ADDRESS(643,22+MATCH($P$30,'I.A. + Fasce'!$W$84:$AA$84,0),1,1) &amp; ":" &amp; ADDRESS(762,22+MATCH($P$30,'I.A. + Fasce'!$W$84:$AA$84,0),1,1))/Asta!$H$3)</f>
        <v>5</v>
      </c>
    </row>
    <row r="687" spans="1:28" ht="14.25" customHeight="1">
      <c r="A687" s="239" t="str">
        <f ca="1">IF(Giocatori!M53="","A",Giocatori!M53)</f>
        <v>A</v>
      </c>
      <c r="B687" s="239" t="str">
        <f ca="1">IF(Giocatori!N53="","ZZZ" &amp; ROW(),Giocatori!N53)</f>
        <v>KEAN</v>
      </c>
      <c r="C687" s="239" t="str">
        <f ca="1">IF(Giocatori!O53="","NDR" &amp; ROW(),Giocatori!O53)</f>
        <v>Verona</v>
      </c>
      <c r="D687" s="63">
        <f t="shared" ca="1" si="227"/>
        <v>69.006870000000006</v>
      </c>
      <c r="E687" s="63">
        <f t="shared" ca="1" si="228"/>
        <v>38.006869999999999</v>
      </c>
      <c r="F687" s="64">
        <f t="shared" ca="1" si="229"/>
        <v>65.551424726640846</v>
      </c>
      <c r="G687" s="63" t="str">
        <f t="shared" ca="1" si="230"/>
        <v/>
      </c>
      <c r="H687" s="65">
        <f t="shared" ca="1" si="231"/>
        <v>60</v>
      </c>
      <c r="I687" s="63" t="str">
        <f t="shared" ca="1" si="232"/>
        <v/>
      </c>
      <c r="J687" s="63">
        <f t="shared" ca="1" si="233"/>
        <v>1.0068699999999999</v>
      </c>
      <c r="K687" s="63">
        <f t="shared" ca="1" si="233"/>
        <v>1.0068699999999999</v>
      </c>
      <c r="L687" s="63" t="e">
        <f ca="1">VLOOKUP(Tabella185[[#This Row],[Calciatore]],'Raccolta Aste'!$P$2:$T$33,4,FALSE)*Asta!$U$3/100</f>
        <v>#N/A</v>
      </c>
      <c r="N687" s="60"/>
      <c r="O687" s="61"/>
      <c r="P687" s="61"/>
      <c r="Q687" s="60"/>
      <c r="R687" s="61"/>
      <c r="S687" s="61"/>
      <c r="W687" s="56">
        <f t="shared" ca="1" si="213"/>
        <v>74</v>
      </c>
      <c r="X687" s="56">
        <f t="shared" ca="1" si="214"/>
        <v>69</v>
      </c>
      <c r="Y687" s="56">
        <f t="shared" ca="1" si="215"/>
        <v>69</v>
      </c>
      <c r="Z687" s="56">
        <f t="shared" ca="1" si="216"/>
        <v>91</v>
      </c>
      <c r="AA687" s="56">
        <f t="shared" ca="1" si="217"/>
        <v>91</v>
      </c>
      <c r="AB687" s="56">
        <f ca="1">_xlfn.CEILING.MATH(INDIRECT(ADDRESS(643,22+MATCH($P$30,'I.A. + Fasce'!$W$84:$AA$84,0),1,1) &amp; ":" &amp; ADDRESS(762,22+MATCH($P$30,'I.A. + Fasce'!$W$84:$AA$84,0),1,1))/Asta!$H$3)</f>
        <v>12</v>
      </c>
    </row>
    <row r="688" spans="1:28" ht="14.25" customHeight="1">
      <c r="A688" s="239" t="str">
        <f ca="1">IF(Giocatori!M54="","A",Giocatori!M54)</f>
        <v>A</v>
      </c>
      <c r="B688" s="239" t="str">
        <f ca="1">IF(Giocatori!N54="","ZZZ" &amp; ROW(),Giocatori!N54)</f>
        <v>KOTNIK</v>
      </c>
      <c r="C688" s="239" t="str">
        <f ca="1">IF(Giocatori!O54="","NDR" &amp; ROW(),Giocatori!O54)</f>
        <v>Crotone</v>
      </c>
      <c r="D688" s="63">
        <f t="shared" ca="1" si="227"/>
        <v>40.006880000000002</v>
      </c>
      <c r="E688" s="63">
        <f t="shared" ca="1" si="228"/>
        <v>31.006879999999999</v>
      </c>
      <c r="F688" s="64">
        <f t="shared" ca="1" si="229"/>
        <v>43.525648394453327</v>
      </c>
      <c r="G688" s="63" t="str">
        <f t="shared" ca="1" si="230"/>
        <v/>
      </c>
      <c r="H688" s="65">
        <f t="shared" ca="1" si="231"/>
        <v>40</v>
      </c>
      <c r="I688" s="63" t="str">
        <f t="shared" ca="1" si="232"/>
        <v/>
      </c>
      <c r="J688" s="63">
        <f t="shared" ca="1" si="233"/>
        <v>1.00688</v>
      </c>
      <c r="K688" s="63">
        <f t="shared" ca="1" si="233"/>
        <v>1.00688</v>
      </c>
      <c r="L688" s="63" t="e">
        <f ca="1">VLOOKUP(Tabella185[[#This Row],[Calciatore]],'Raccolta Aste'!$P$2:$T$33,4,FALSE)*Asta!$U$3/100</f>
        <v>#N/A</v>
      </c>
      <c r="N688" s="59">
        <f t="shared" ref="N688:N699" si="234">IF(ISNUMBER(Q673),Q673+COUNTIF($N$34:$N$45,"&gt;0"),"")</f>
        <v>49</v>
      </c>
      <c r="O688" s="62" t="str">
        <f ca="1">IF(ISNUMBER(N688),INDIRECT("B" &amp; 642 + MATCH(N688,INDIRECT(ADDRESS(643,22+MATCH($P$30,'I.A. + Fasce'!$W$84:$AA$84,0),1,1) &amp; ":" &amp; ADDRESS(762,22+MATCH($P$30,'I.A. + Fasce'!$W$84:$AA$84,0),1,1)),0)),"")</f>
        <v>ORSOLINI</v>
      </c>
      <c r="P688" s="62" t="str">
        <f ca="1">IF(O688="","",VLOOKUP(O688,$B$643:$C$762,2,FALSE))</f>
        <v>Atalanta</v>
      </c>
      <c r="Q688" s="59">
        <f t="shared" ref="Q688:Q699" si="235">IF(ISNUMBER(N688),N688+COUNTIF($N$34:$N$45,"&gt;0"),"")</f>
        <v>57</v>
      </c>
      <c r="R688" s="62" t="str">
        <f ca="1">IF(ISNUMBER(Q688),INDIRECT("B" &amp; 642 + MATCH(Q688,INDIRECT(ADDRESS(643,22+MATCH($P$30,'I.A. + Fasce'!$W$84:$AA$84,0),1,1) &amp; ":" &amp; ADDRESS(762,22+MATCH($P$30,'I.A. + Fasce'!$W$84:$AA$84,0),1,1)),0)),"")</f>
        <v>TAARABT</v>
      </c>
      <c r="S688" s="62" t="str">
        <f ca="1">IF(R688="","",VLOOKUP(R688,$B$643:$C$762,2,FALSE))</f>
        <v>Genoa</v>
      </c>
      <c r="W688" s="56">
        <f t="shared" ca="1" si="213"/>
        <v>103</v>
      </c>
      <c r="X688" s="56">
        <f t="shared" ca="1" si="214"/>
        <v>99</v>
      </c>
      <c r="Y688" s="56">
        <f t="shared" ca="1" si="215"/>
        <v>102</v>
      </c>
      <c r="Z688" s="56">
        <f t="shared" ca="1" si="216"/>
        <v>90</v>
      </c>
      <c r="AA688" s="56">
        <f t="shared" ca="1" si="217"/>
        <v>90</v>
      </c>
      <c r="AB688" s="56">
        <f ca="1">_xlfn.CEILING.MATH(INDIRECT(ADDRESS(643,22+MATCH($P$30,'I.A. + Fasce'!$W$84:$AA$84,0),1,1) &amp; ":" &amp; ADDRESS(762,22+MATCH($P$30,'I.A. + Fasce'!$W$84:$AA$84,0),1,1))/Asta!$H$3)</f>
        <v>12</v>
      </c>
    </row>
    <row r="689" spans="1:28" ht="14.25" customHeight="1">
      <c r="A689" s="239" t="str">
        <f ca="1">IF(Giocatori!M55="","A",Giocatori!M55)</f>
        <v>A</v>
      </c>
      <c r="B689" s="239" t="str">
        <f ca="1">IF(Giocatori!N55="","ZZZ" &amp; ROW(),Giocatori!N55)</f>
        <v>KOWNACKI</v>
      </c>
      <c r="C689" s="239" t="str">
        <f ca="1">IF(Giocatori!O55="","NDR" &amp; ROW(),Giocatori!O55)</f>
        <v>Sampdoria</v>
      </c>
      <c r="D689" s="63">
        <f t="shared" ca="1" si="227"/>
        <v>73.006889999999999</v>
      </c>
      <c r="E689" s="63">
        <f t="shared" ca="1" si="228"/>
        <v>36.006889999999999</v>
      </c>
      <c r="F689" s="64">
        <f t="shared" ca="1" si="229"/>
        <v>65.317914395600837</v>
      </c>
      <c r="G689" s="63" t="str">
        <f t="shared" ca="1" si="230"/>
        <v/>
      </c>
      <c r="H689" s="65">
        <f t="shared" ca="1" si="231"/>
        <v>50</v>
      </c>
      <c r="I689" s="63" t="str">
        <f t="shared" ca="1" si="232"/>
        <v/>
      </c>
      <c r="J689" s="63">
        <f t="shared" ca="1" si="233"/>
        <v>1.0068900000000001</v>
      </c>
      <c r="K689" s="63">
        <f t="shared" ca="1" si="233"/>
        <v>1.0068900000000001</v>
      </c>
      <c r="L689" s="63" t="e">
        <f ca="1">VLOOKUP(Tabella185[[#This Row],[Calciatore]],'Raccolta Aste'!$P$2:$T$33,4,FALSE)*Asta!$U$3/100</f>
        <v>#N/A</v>
      </c>
      <c r="N689" s="59">
        <f t="shared" si="234"/>
        <v>50</v>
      </c>
      <c r="O689" s="62" t="str">
        <f ca="1">IF(ISNUMBER(N689),INDIRECT("B" &amp; 642 + MATCH(N689,INDIRECT(ADDRESS(643,22+MATCH($P$30,'I.A. + Fasce'!$W$84:$AA$84,0),1,1) &amp; ":" &amp; ADDRESS(762,22+MATCH($P$30,'I.A. + Fasce'!$W$84:$AA$84,0),1,1)),0)),"")</f>
        <v>RICCI</v>
      </c>
      <c r="P689" s="62" t="str">
        <f t="shared" ref="P689:P699" ca="1" si="236">IF(O689="","",VLOOKUP(O689,$B$643:$C$762,2,FALSE))</f>
        <v>Genoa</v>
      </c>
      <c r="Q689" s="59">
        <f t="shared" si="235"/>
        <v>58</v>
      </c>
      <c r="R689" s="62" t="str">
        <f ca="1">IF(ISNUMBER(Q689),INDIRECT("B" &amp; 642 + MATCH(Q689,INDIRECT(ADDRESS(643,22+MATCH($P$30,'I.A. + Fasce'!$W$84:$AA$84,0),1,1) &amp; ":" &amp; ADDRESS(762,22+MATCH($P$30,'I.A. + Fasce'!$W$84:$AA$84,0),1,1)),0)),"")</f>
        <v>MATRI</v>
      </c>
      <c r="S689" s="62" t="str">
        <f t="shared" ref="S689:S699" ca="1" si="237">IF(R689="","",VLOOKUP(R689,$B$643:$C$762,2,FALSE))</f>
        <v>Sassuolo</v>
      </c>
      <c r="W689" s="56">
        <f t="shared" ca="1" si="213"/>
        <v>55</v>
      </c>
      <c r="X689" s="56">
        <f t="shared" ca="1" si="214"/>
        <v>77</v>
      </c>
      <c r="Y689" s="56">
        <f t="shared" ca="1" si="215"/>
        <v>71</v>
      </c>
      <c r="Z689" s="56">
        <f t="shared" ca="1" si="216"/>
        <v>89</v>
      </c>
      <c r="AA689" s="56">
        <f t="shared" ca="1" si="217"/>
        <v>89</v>
      </c>
      <c r="AB689" s="56">
        <f ca="1">_xlfn.CEILING.MATH(INDIRECT(ADDRESS(643,22+MATCH($P$30,'I.A. + Fasce'!$W$84:$AA$84,0),1,1) &amp; ":" &amp; ADDRESS(762,22+MATCH($P$30,'I.A. + Fasce'!$W$84:$AA$84,0),1,1))/Asta!$H$3)</f>
        <v>12</v>
      </c>
    </row>
    <row r="690" spans="1:28" ht="14.25" customHeight="1">
      <c r="A690" s="239" t="str">
        <f ca="1">IF(Giocatori!M56="","A",Giocatori!M56)</f>
        <v>A</v>
      </c>
      <c r="B690" s="239" t="str">
        <f ca="1">IF(Giocatori!N56="","ZZZ" &amp; ROW(),Giocatori!N56)</f>
        <v>LAPADULA</v>
      </c>
      <c r="C690" s="239" t="str">
        <f ca="1">IF(Giocatori!O56="","NDR" &amp; ROW(),Giocatori!O56)</f>
        <v>Genoa</v>
      </c>
      <c r="D690" s="63">
        <f t="shared" ca="1" si="227"/>
        <v>82.006900000000002</v>
      </c>
      <c r="E690" s="63">
        <f t="shared" ca="1" si="228"/>
        <v>43.006900000000002</v>
      </c>
      <c r="F690" s="64">
        <f t="shared" ca="1" si="229"/>
        <v>77.927078730083338</v>
      </c>
      <c r="G690" s="63" t="str">
        <f t="shared" ca="1" si="230"/>
        <v>CONSIGLIATO</v>
      </c>
      <c r="H690" s="65">
        <f t="shared" ca="1" si="231"/>
        <v>80</v>
      </c>
      <c r="I690" s="63" t="str">
        <f t="shared" ca="1" si="232"/>
        <v/>
      </c>
      <c r="J690" s="63">
        <f t="shared" ca="1" si="233"/>
        <v>39.173919690243011</v>
      </c>
      <c r="K690" s="63">
        <f t="shared" ca="1" si="233"/>
        <v>39.173919690243011</v>
      </c>
      <c r="L690" s="63">
        <f ca="1">VLOOKUP(Tabella185[[#This Row],[Calciatore]],'Raccolta Aste'!$P$2:$T$33,4,FALSE)*Asta!$U$3/100</f>
        <v>28</v>
      </c>
      <c r="N690" s="59">
        <f t="shared" si="234"/>
        <v>51</v>
      </c>
      <c r="O690" s="62" t="str">
        <f ca="1">IF(ISNUMBER(N690),INDIRECT("B" &amp; 642 + MATCH(N690,INDIRECT(ADDRESS(643,22+MATCH($P$30,'I.A. + Fasce'!$W$84:$AA$84,0),1,1) &amp; ":" &amp; ADDRESS(762,22+MATCH($P$30,'I.A. + Fasce'!$W$84:$AA$84,0),1,1)),0)),"")</f>
        <v>CENTURION</v>
      </c>
      <c r="P690" s="62" t="str">
        <f t="shared" ca="1" si="236"/>
        <v>Genoa</v>
      </c>
      <c r="Q690" s="59">
        <f t="shared" si="235"/>
        <v>59</v>
      </c>
      <c r="R690" s="62" t="str">
        <f ca="1">IF(ISNUMBER(Q690),INDIRECT("B" &amp; 642 + MATCH(Q690,INDIRECT(ADDRESS(643,22+MATCH($P$30,'I.A. + Fasce'!$W$84:$AA$84,0),1,1) &amp; ":" &amp; ADDRESS(762,22+MATCH($P$30,'I.A. + Fasce'!$W$84:$AA$84,0),1,1)),0)),"")</f>
        <v>DI FRANCESCO F</v>
      </c>
      <c r="S690" s="62" t="str">
        <f t="shared" ca="1" si="237"/>
        <v>Bologna</v>
      </c>
      <c r="W690" s="56">
        <f t="shared" ca="1" si="213"/>
        <v>19</v>
      </c>
      <c r="X690" s="56">
        <f t="shared" ca="1" si="214"/>
        <v>28</v>
      </c>
      <c r="Y690" s="56">
        <f t="shared" ca="1" si="215"/>
        <v>22</v>
      </c>
      <c r="Z690" s="56">
        <f t="shared" ca="1" si="216"/>
        <v>31</v>
      </c>
      <c r="AA690" s="56">
        <f t="shared" ca="1" si="217"/>
        <v>31</v>
      </c>
      <c r="AB690" s="56">
        <f ca="1">_xlfn.CEILING.MATH(INDIRECT(ADDRESS(643,22+MATCH($P$30,'I.A. + Fasce'!$W$84:$AA$84,0),1,1) &amp; ":" &amp; ADDRESS(762,22+MATCH($P$30,'I.A. + Fasce'!$W$84:$AA$84,0),1,1))/Asta!$H$3)</f>
        <v>4</v>
      </c>
    </row>
    <row r="691" spans="1:28" ht="14.25" customHeight="1">
      <c r="A691" s="239" t="str">
        <f ca="1">IF(Giocatori!M57="","A",Giocatori!M57)</f>
        <v>A</v>
      </c>
      <c r="B691" s="239" t="str">
        <f ca="1">IF(Giocatori!N57="","ZZZ" &amp; ROW(),Giocatori!N57)</f>
        <v>LASAGNA</v>
      </c>
      <c r="C691" s="239" t="str">
        <f ca="1">IF(Giocatori!O57="","NDR" &amp; ROW(),Giocatori!O57)</f>
        <v>Udinese</v>
      </c>
      <c r="D691" s="63">
        <f t="shared" ca="1" si="227"/>
        <v>77.006910000000005</v>
      </c>
      <c r="E691" s="63">
        <f t="shared" ca="1" si="228"/>
        <v>41.006909999999998</v>
      </c>
      <c r="F691" s="64">
        <f t="shared" ca="1" si="229"/>
        <v>73.026875564567504</v>
      </c>
      <c r="G691" s="63" t="str">
        <f t="shared" ca="1" si="230"/>
        <v>SORPRESA</v>
      </c>
      <c r="H691" s="65">
        <f t="shared" ca="1" si="231"/>
        <v>70</v>
      </c>
      <c r="I691" s="63" t="str">
        <f t="shared" ca="1" si="232"/>
        <v/>
      </c>
      <c r="J691" s="63">
        <f t="shared" ca="1" si="233"/>
        <v>19.391208641000471</v>
      </c>
      <c r="K691" s="63">
        <f t="shared" ca="1" si="233"/>
        <v>19.391208641000471</v>
      </c>
      <c r="L691" s="63" t="e">
        <f ca="1">VLOOKUP(Tabella185[[#This Row],[Calciatore]],'Raccolta Aste'!$P$2:$T$33,4,FALSE)*Asta!$U$3/100</f>
        <v>#N/A</v>
      </c>
      <c r="N691" s="59">
        <f t="shared" si="234"/>
        <v>52</v>
      </c>
      <c r="O691" s="62" t="str">
        <f ca="1">IF(ISNUMBER(N691),INDIRECT("B" &amp; 642 + MATCH(N691,INDIRECT(ADDRESS(643,22+MATCH($P$30,'I.A. + Fasce'!$W$84:$AA$84,0),1,1) &amp; ":" &amp; ADDRESS(762,22+MATCH($P$30,'I.A. + Fasce'!$W$84:$AA$84,0),1,1)),0)),"")</f>
        <v>BAJIC</v>
      </c>
      <c r="P691" s="62" t="str">
        <f t="shared" ca="1" si="236"/>
        <v>Udinese</v>
      </c>
      <c r="Q691" s="59">
        <f t="shared" si="235"/>
        <v>60</v>
      </c>
      <c r="R691" s="62" t="str">
        <f ca="1">IF(ISNUMBER(Q691),INDIRECT("B" &amp; 642 + MATCH(Q691,INDIRECT(ADDRESS(643,22+MATCH($P$30,'I.A. + Fasce'!$W$84:$AA$84,0),1,1) &amp; ":" &amp; ADDRESS(762,22+MATCH($P$30,'I.A. + Fasce'!$W$84:$AA$84,0),1,1)),0)),"")</f>
        <v>VERDE</v>
      </c>
      <c r="S691" s="62" t="str">
        <f t="shared" ca="1" si="237"/>
        <v>Verona</v>
      </c>
      <c r="W691" s="56">
        <f t="shared" ca="1" si="213"/>
        <v>38</v>
      </c>
      <c r="X691" s="56">
        <f t="shared" ca="1" si="214"/>
        <v>38</v>
      </c>
      <c r="Y691" s="56">
        <f t="shared" ca="1" si="215"/>
        <v>39</v>
      </c>
      <c r="Z691" s="56">
        <f t="shared" ca="1" si="216"/>
        <v>47</v>
      </c>
      <c r="AA691" s="56">
        <f t="shared" ca="1" si="217"/>
        <v>47</v>
      </c>
      <c r="AB691" s="56">
        <f ca="1">_xlfn.CEILING.MATH(INDIRECT(ADDRESS(643,22+MATCH($P$30,'I.A. + Fasce'!$W$84:$AA$84,0),1,1) &amp; ":" &amp; ADDRESS(762,22+MATCH($P$30,'I.A. + Fasce'!$W$84:$AA$84,0),1,1))/Asta!$H$3)</f>
        <v>6</v>
      </c>
    </row>
    <row r="692" spans="1:28" ht="14.25" customHeight="1">
      <c r="A692" s="239" t="str">
        <f ca="1">IF(Giocatori!M58="","A",Giocatori!M58)</f>
        <v>A</v>
      </c>
      <c r="B692" s="239" t="str">
        <f ca="1">IF(Giocatori!N58="","ZZZ" &amp; ROW(),Giocatori!N58)</f>
        <v>LEE</v>
      </c>
      <c r="C692" s="239" t="str">
        <f ca="1">IF(Giocatori!O58="","NDR" &amp; ROW(),Giocatori!O58)</f>
        <v>Verona</v>
      </c>
      <c r="D692" s="63">
        <f t="shared" ca="1" si="227"/>
        <v>72.006919999999994</v>
      </c>
      <c r="E692" s="63">
        <f t="shared" ca="1" si="228"/>
        <v>6.9199999999999999E-3</v>
      </c>
      <c r="F692" s="64">
        <f t="shared" ca="1" si="229"/>
        <v>36.013840399053329</v>
      </c>
      <c r="G692" s="63" t="str">
        <f t="shared" ca="1" si="230"/>
        <v/>
      </c>
      <c r="H692" s="65">
        <f t="shared" ca="1" si="231"/>
        <v>0</v>
      </c>
      <c r="I692" s="63" t="str">
        <f t="shared" ca="1" si="232"/>
        <v/>
      </c>
      <c r="J692" s="63">
        <f t="shared" ca="1" si="233"/>
        <v>1.00692</v>
      </c>
      <c r="K692" s="63">
        <f t="shared" ca="1" si="233"/>
        <v>1.00692</v>
      </c>
      <c r="L692" s="63" t="e">
        <f ca="1">VLOOKUP(Tabella185[[#This Row],[Calciatore]],'Raccolta Aste'!$P$2:$T$33,4,FALSE)*Asta!$U$3/100</f>
        <v>#N/A</v>
      </c>
      <c r="N692" s="59">
        <f t="shared" si="234"/>
        <v>53</v>
      </c>
      <c r="O692" s="62" t="str">
        <f ca="1">IF(ISNUMBER(N692),INDIRECT("B" &amp; 642 + MATCH(N692,INDIRECT(ADDRESS(643,22+MATCH($P$30,'I.A. + Fasce'!$W$84:$AA$84,0),1,1) &amp; ":" &amp; ADDRESS(762,22+MATCH($P$30,'I.A. + Fasce'!$W$84:$AA$84,0),1,1)),0)),"")</f>
        <v>SAU</v>
      </c>
      <c r="P692" s="62" t="str">
        <f t="shared" ca="1" si="236"/>
        <v>Cagliari</v>
      </c>
      <c r="Q692" s="59">
        <f t="shared" si="235"/>
        <v>61</v>
      </c>
      <c r="R692" s="62" t="str">
        <f ca="1">IF(ISNUMBER(Q692),INDIRECT("B" &amp; 642 + MATCH(Q692,INDIRECT(ADDRESS(643,22+MATCH($P$30,'I.A. + Fasce'!$W$84:$AA$84,0),1,1) &amp; ":" &amp; ADDRESS(762,22+MATCH($P$30,'I.A. + Fasce'!$W$84:$AA$84,0),1,1)),0)),"")</f>
        <v>TUMMINELLO</v>
      </c>
      <c r="S692" s="62" t="str">
        <f t="shared" ca="1" si="237"/>
        <v>Crotone</v>
      </c>
      <c r="W692" s="56">
        <f t="shared" ca="1" si="213"/>
        <v>60</v>
      </c>
      <c r="X692" s="56">
        <f t="shared" ca="1" si="214"/>
        <v>120</v>
      </c>
      <c r="Y692" s="56">
        <f t="shared" ca="1" si="215"/>
        <v>103</v>
      </c>
      <c r="Z692" s="56">
        <f t="shared" ca="1" si="216"/>
        <v>88</v>
      </c>
      <c r="AA692" s="56">
        <f t="shared" ca="1" si="217"/>
        <v>88</v>
      </c>
      <c r="AB692" s="56">
        <f ca="1">_xlfn.CEILING.MATH(INDIRECT(ADDRESS(643,22+MATCH($P$30,'I.A. + Fasce'!$W$84:$AA$84,0),1,1) &amp; ":" &amp; ADDRESS(762,22+MATCH($P$30,'I.A. + Fasce'!$W$84:$AA$84,0),1,1))/Asta!$H$3)</f>
        <v>11</v>
      </c>
    </row>
    <row r="693" spans="1:28" ht="14.25" customHeight="1">
      <c r="A693" s="239" t="str">
        <f ca="1">IF(Giocatori!M59="","A",Giocatori!M59)</f>
        <v>A</v>
      </c>
      <c r="B693" s="239" t="str">
        <f ca="1">IF(Giocatori!N59="","ZZZ" &amp; ROW(),Giocatori!N59)</f>
        <v>LO FASO</v>
      </c>
      <c r="C693" s="239" t="str">
        <f ca="1">IF(Giocatori!O59="","NDR" &amp; ROW(),Giocatori!O59)</f>
        <v>Fiorentina</v>
      </c>
      <c r="D693" s="63">
        <f t="shared" ca="1" si="227"/>
        <v>55.006929999999997</v>
      </c>
      <c r="E693" s="63">
        <f t="shared" ca="1" si="228"/>
        <v>34.006929999999997</v>
      </c>
      <c r="F693" s="64">
        <f t="shared" ca="1" si="229"/>
        <v>54.151120733540822</v>
      </c>
      <c r="G693" s="63" t="str">
        <f t="shared" ca="1" si="230"/>
        <v/>
      </c>
      <c r="H693" s="65">
        <f t="shared" ca="1" si="231"/>
        <v>40</v>
      </c>
      <c r="I693" s="63" t="str">
        <f t="shared" ca="1" si="232"/>
        <v/>
      </c>
      <c r="J693" s="63">
        <f t="shared" ca="1" si="233"/>
        <v>1.0069300000000001</v>
      </c>
      <c r="K693" s="63">
        <f t="shared" ca="1" si="233"/>
        <v>1.0069300000000001</v>
      </c>
      <c r="L693" s="63" t="e">
        <f ca="1">VLOOKUP(Tabella185[[#This Row],[Calciatore]],'Raccolta Aste'!$P$2:$T$33,4,FALSE)*Asta!$U$3/100</f>
        <v>#N/A</v>
      </c>
      <c r="N693" s="59">
        <f t="shared" si="234"/>
        <v>54</v>
      </c>
      <c r="O693" s="62" t="str">
        <f ca="1">IF(ISNUMBER(N693),INDIRECT("B" &amp; 642 + MATCH(N693,INDIRECT(ADDRESS(643,22+MATCH($P$30,'I.A. + Fasce'!$W$84:$AA$84,0),1,1) &amp; ":" &amp; ADDRESS(762,22+MATCH($P$30,'I.A. + Fasce'!$W$84:$AA$84,0),1,1)),0)),"")</f>
        <v>CAPRARI</v>
      </c>
      <c r="P693" s="62" t="str">
        <f t="shared" ca="1" si="236"/>
        <v>Sampdoria</v>
      </c>
      <c r="Q693" s="59">
        <f t="shared" si="235"/>
        <v>62</v>
      </c>
      <c r="R693" s="62" t="str">
        <f ca="1">IF(ISNUMBER(Q693),INDIRECT("B" &amp; 642 + MATCH(Q693,INDIRECT(ADDRESS(643,22+MATCH($P$30,'I.A. + Fasce'!$W$84:$AA$84,0),1,1) &amp; ":" &amp; ADDRESS(762,22+MATCH($P$30,'I.A. + Fasce'!$W$84:$AA$84,0),1,1)),0)),"")</f>
        <v>TROTTA</v>
      </c>
      <c r="S693" s="62" t="str">
        <f t="shared" ca="1" si="237"/>
        <v>Crotone</v>
      </c>
      <c r="W693" s="56">
        <f t="shared" ca="1" si="213"/>
        <v>99</v>
      </c>
      <c r="X693" s="56">
        <f t="shared" ca="1" si="214"/>
        <v>91</v>
      </c>
      <c r="Y693" s="56">
        <f t="shared" ca="1" si="215"/>
        <v>94</v>
      </c>
      <c r="Z693" s="56">
        <f t="shared" ca="1" si="216"/>
        <v>87</v>
      </c>
      <c r="AA693" s="56">
        <f t="shared" ca="1" si="217"/>
        <v>87</v>
      </c>
      <c r="AB693" s="56">
        <f ca="1">_xlfn.CEILING.MATH(INDIRECT(ADDRESS(643,22+MATCH($P$30,'I.A. + Fasce'!$W$84:$AA$84,0),1,1) &amp; ":" &amp; ADDRESS(762,22+MATCH($P$30,'I.A. + Fasce'!$W$84:$AA$84,0),1,1))/Asta!$H$3)</f>
        <v>11</v>
      </c>
    </row>
    <row r="694" spans="1:28" ht="14.25" customHeight="1">
      <c r="A694" s="239" t="str">
        <f ca="1">IF(Giocatori!M60="","A",Giocatori!M60)</f>
        <v>A</v>
      </c>
      <c r="B694" s="239" t="str">
        <f ca="1">IF(Giocatori!N60="","ZZZ" &amp; ROW(),Giocatori!N60)</f>
        <v>LOMBARDI</v>
      </c>
      <c r="C694" s="239" t="str">
        <f ca="1">IF(Giocatori!O60="","NDR" &amp; ROW(),Giocatori!O60)</f>
        <v>Benevento</v>
      </c>
      <c r="D694" s="63">
        <f t="shared" ca="1" si="227"/>
        <v>58.00694</v>
      </c>
      <c r="E694" s="63">
        <f t="shared" ca="1" si="228"/>
        <v>34.00694</v>
      </c>
      <c r="F694" s="64">
        <f t="shared" ca="1" si="229"/>
        <v>55.651146401363334</v>
      </c>
      <c r="G694" s="63" t="str">
        <f t="shared" ca="1" si="230"/>
        <v/>
      </c>
      <c r="H694" s="65">
        <f t="shared" ca="1" si="231"/>
        <v>40</v>
      </c>
      <c r="I694" s="63" t="str">
        <f t="shared" ca="1" si="232"/>
        <v/>
      </c>
      <c r="J694" s="63">
        <f t="shared" ca="1" si="233"/>
        <v>1.0069399999999999</v>
      </c>
      <c r="K694" s="63">
        <f t="shared" ca="1" si="233"/>
        <v>1.0069399999999999</v>
      </c>
      <c r="L694" s="63" t="e">
        <f ca="1">VLOOKUP(Tabella185[[#This Row],[Calciatore]],'Raccolta Aste'!$P$2:$T$33,4,FALSE)*Asta!$U$3/100</f>
        <v>#N/A</v>
      </c>
      <c r="N694" s="59">
        <f t="shared" si="234"/>
        <v>55</v>
      </c>
      <c r="O694" s="62" t="str">
        <f ca="1">IF(ISNUMBER(N694),INDIRECT("B" &amp; 642 + MATCH(N694,INDIRECT(ADDRESS(643,22+MATCH($P$30,'I.A. + Fasce'!$W$84:$AA$84,0),1,1) &amp; ":" &amp; ADDRESS(762,22+MATCH($P$30,'I.A. + Fasce'!$W$84:$AA$84,0),1,1)),0)),"")</f>
        <v>MELCHIORRI</v>
      </c>
      <c r="P694" s="62" t="str">
        <f t="shared" ca="1" si="236"/>
        <v>Cagliari</v>
      </c>
      <c r="Q694" s="59">
        <f t="shared" si="235"/>
        <v>63</v>
      </c>
      <c r="R694" s="62" t="str">
        <f ca="1">IF(ISNUMBER(Q694),INDIRECT("B" &amp; 642 + MATCH(Q694,INDIRECT(ADDRESS(643,22+MATCH($P$30,'I.A. + Fasce'!$W$84:$AA$84,0),1,1) &amp; ":" &amp; ADDRESS(762,22+MATCH($P$30,'I.A. + Fasce'!$W$84:$AA$84,0),1,1)),0)),"")</f>
        <v>TONEV</v>
      </c>
      <c r="S694" s="62" t="str">
        <f t="shared" ca="1" si="237"/>
        <v>Crotone</v>
      </c>
      <c r="W694" s="56">
        <f t="shared" ca="1" si="213"/>
        <v>98</v>
      </c>
      <c r="X694" s="56">
        <f t="shared" ca="1" si="214"/>
        <v>90</v>
      </c>
      <c r="Y694" s="56">
        <f t="shared" ca="1" si="215"/>
        <v>92</v>
      </c>
      <c r="Z694" s="56">
        <f t="shared" ca="1" si="216"/>
        <v>86</v>
      </c>
      <c r="AA694" s="56">
        <f t="shared" ca="1" si="217"/>
        <v>86</v>
      </c>
      <c r="AB694" s="56">
        <f ca="1">_xlfn.CEILING.MATH(INDIRECT(ADDRESS(643,22+MATCH($P$30,'I.A. + Fasce'!$W$84:$AA$84,0),1,1) &amp; ":" &amp; ADDRESS(762,22+MATCH($P$30,'I.A. + Fasce'!$W$84:$AA$84,0),1,1))/Asta!$H$3)</f>
        <v>11</v>
      </c>
    </row>
    <row r="695" spans="1:28" ht="14.25" customHeight="1">
      <c r="A695" s="239" t="str">
        <f ca="1">IF(Giocatori!M61="","A",Giocatori!M61)</f>
        <v>A</v>
      </c>
      <c r="B695" s="239" t="str">
        <f ca="1">IF(Giocatori!N61="","ZZZ" &amp; ROW(),Giocatori!N61)</f>
        <v>MANDZUKIC</v>
      </c>
      <c r="C695" s="239" t="str">
        <f ca="1">IF(Giocatori!O61="","NDR" &amp; ROW(),Giocatori!O61)</f>
        <v>Juventus</v>
      </c>
      <c r="D695" s="63">
        <f t="shared" ca="1" si="227"/>
        <v>80.006950000000003</v>
      </c>
      <c r="E695" s="63">
        <f t="shared" ca="1" si="228"/>
        <v>49.006950000000003</v>
      </c>
      <c r="F695" s="64">
        <f t="shared" ca="1" si="229"/>
        <v>84.527909569187514</v>
      </c>
      <c r="G695" s="63" t="str">
        <f t="shared" ca="1" si="230"/>
        <v/>
      </c>
      <c r="H695" s="65">
        <f t="shared" ca="1" si="231"/>
        <v>70</v>
      </c>
      <c r="I695" s="63" t="str">
        <f t="shared" ca="1" si="232"/>
        <v/>
      </c>
      <c r="J695" s="63">
        <f t="shared" ca="1" si="233"/>
        <v>125.06778302267263</v>
      </c>
      <c r="K695" s="63">
        <f t="shared" ca="1" si="233"/>
        <v>125.06778302267263</v>
      </c>
      <c r="L695" s="63">
        <f ca="1">VLOOKUP(Tabella185[[#This Row],[Calciatore]],'Raccolta Aste'!$P$2:$T$33,4,FALSE)*Asta!$U$3/100</f>
        <v>29.155000000000001</v>
      </c>
      <c r="N695" s="59">
        <f t="shared" si="234"/>
        <v>56</v>
      </c>
      <c r="O695" s="62" t="str">
        <f ca="1">IF(ISNUMBER(N695),INDIRECT("B" &amp; 642 + MATCH(N695,INDIRECT(ADDRESS(643,22+MATCH($P$30,'I.A. + Fasce'!$W$84:$AA$84,0),1,1) &amp; ":" &amp; ADDRESS(762,22+MATCH($P$30,'I.A. + Fasce'!$W$84:$AA$84,0),1,1)),0)),"")</f>
        <v>GALABINOV</v>
      </c>
      <c r="P695" s="62" t="str">
        <f t="shared" ca="1" si="236"/>
        <v>Genoa</v>
      </c>
      <c r="Q695" s="59">
        <f t="shared" si="235"/>
        <v>64</v>
      </c>
      <c r="R695" s="62" t="str">
        <f ca="1">IF(ISNUMBER(Q695),INDIRECT("B" &amp; 642 + MATCH(Q695,INDIRECT(ADDRESS(643,22+MATCH($P$30,'I.A. + Fasce'!$W$84:$AA$84,0),1,1) &amp; ":" &amp; ADDRESS(762,22+MATCH($P$30,'I.A. + Fasce'!$W$84:$AA$84,0),1,1)),0)),"")</f>
        <v>STEPINSKI</v>
      </c>
      <c r="S695" s="62" t="str">
        <f t="shared" ca="1" si="237"/>
        <v>Chievo</v>
      </c>
      <c r="W695" s="56">
        <f t="shared" ca="1" si="213"/>
        <v>24</v>
      </c>
      <c r="X695" s="56">
        <f t="shared" ca="1" si="214"/>
        <v>9</v>
      </c>
      <c r="Y695" s="56">
        <f t="shared" ca="1" si="215"/>
        <v>12</v>
      </c>
      <c r="Z695" s="56">
        <f t="shared" ca="1" si="216"/>
        <v>9</v>
      </c>
      <c r="AA695" s="56">
        <f t="shared" ca="1" si="217"/>
        <v>9</v>
      </c>
      <c r="AB695" s="56">
        <f ca="1">_xlfn.CEILING.MATH(INDIRECT(ADDRESS(643,22+MATCH($P$30,'I.A. + Fasce'!$W$84:$AA$84,0),1,1) &amp; ":" &amp; ADDRESS(762,22+MATCH($P$30,'I.A. + Fasce'!$W$84:$AA$84,0),1,1))/Asta!$H$3)</f>
        <v>2</v>
      </c>
    </row>
    <row r="696" spans="1:28" ht="14.25" customHeight="1">
      <c r="A696" s="239" t="str">
        <f ca="1">IF(Giocatori!M62="","A",Giocatori!M62)</f>
        <v>A</v>
      </c>
      <c r="B696" s="239" t="str">
        <f ca="1">IF(Giocatori!N62="","ZZZ" &amp; ROW(),Giocatori!N62)</f>
        <v>MATOS</v>
      </c>
      <c r="C696" s="239" t="str">
        <f ca="1">IF(Giocatori!O62="","NDR" &amp; ROW(),Giocatori!O62)</f>
        <v>Udinese</v>
      </c>
      <c r="D696" s="63">
        <f t="shared" ca="1" si="227"/>
        <v>69.006960000000007</v>
      </c>
      <c r="E696" s="63">
        <f t="shared" ca="1" si="228"/>
        <v>34.006959999999999</v>
      </c>
      <c r="F696" s="64">
        <f t="shared" ca="1" si="229"/>
        <v>61.151197737013334</v>
      </c>
      <c r="G696" s="63" t="str">
        <f t="shared" ca="1" si="230"/>
        <v/>
      </c>
      <c r="H696" s="65">
        <f t="shared" ca="1" si="231"/>
        <v>50</v>
      </c>
      <c r="I696" s="63" t="str">
        <f t="shared" ca="1" si="232"/>
        <v/>
      </c>
      <c r="J696" s="63">
        <f t="shared" ca="1" si="233"/>
        <v>1.0069600000000001</v>
      </c>
      <c r="K696" s="63">
        <f t="shared" ca="1" si="233"/>
        <v>1.0069600000000001</v>
      </c>
      <c r="L696" s="63" t="e">
        <f ca="1">VLOOKUP(Tabella185[[#This Row],[Calciatore]],'Raccolta Aste'!$P$2:$T$33,4,FALSE)*Asta!$U$3/100</f>
        <v>#N/A</v>
      </c>
      <c r="N696" s="59" t="str">
        <f t="shared" si="234"/>
        <v/>
      </c>
      <c r="O696" s="62" t="str">
        <f ca="1">IF(ISNUMBER(N696),INDIRECT("B" &amp; 642 + MATCH(N696,INDIRECT(ADDRESS(643,22+MATCH($P$30,'I.A. + Fasce'!$W$84:$AA$84,0),1,1) &amp; ":" &amp; ADDRESS(762,22+MATCH($P$30,'I.A. + Fasce'!$W$84:$AA$84,0),1,1)),0)),"")</f>
        <v/>
      </c>
      <c r="P696" s="62" t="str">
        <f t="shared" ca="1" si="236"/>
        <v/>
      </c>
      <c r="Q696" s="59" t="str">
        <f t="shared" si="235"/>
        <v/>
      </c>
      <c r="R696" s="62" t="str">
        <f ca="1">IF(ISNUMBER(Q696),INDIRECT("B" &amp; 642 + MATCH(Q696,INDIRECT(ADDRESS(643,22+MATCH($P$30,'I.A. + Fasce'!$W$84:$AA$84,0),1,1) &amp; ":" &amp; ADDRESS(762,22+MATCH($P$30,'I.A. + Fasce'!$W$84:$AA$84,0),1,1)),0)),"")</f>
        <v/>
      </c>
      <c r="S696" s="62" t="str">
        <f t="shared" ca="1" si="237"/>
        <v/>
      </c>
      <c r="W696" s="56">
        <f t="shared" ca="1" si="213"/>
        <v>73</v>
      </c>
      <c r="X696" s="56">
        <f t="shared" ca="1" si="214"/>
        <v>89</v>
      </c>
      <c r="Y696" s="56">
        <f t="shared" ca="1" si="215"/>
        <v>78</v>
      </c>
      <c r="Z696" s="56">
        <f t="shared" ca="1" si="216"/>
        <v>85</v>
      </c>
      <c r="AA696" s="56">
        <f t="shared" ca="1" si="217"/>
        <v>85</v>
      </c>
      <c r="AB696" s="56">
        <f ca="1">_xlfn.CEILING.MATH(INDIRECT(ADDRESS(643,22+MATCH($P$30,'I.A. + Fasce'!$W$84:$AA$84,0),1,1) &amp; ":" &amp; ADDRESS(762,22+MATCH($P$30,'I.A. + Fasce'!$W$84:$AA$84,0),1,1))/Asta!$H$3)</f>
        <v>11</v>
      </c>
    </row>
    <row r="697" spans="1:28" ht="14.25" customHeight="1">
      <c r="A697" s="239" t="str">
        <f ca="1">IF(Giocatori!M63="","A",Giocatori!M63)</f>
        <v>A</v>
      </c>
      <c r="B697" s="239" t="str">
        <f ca="1">IF(Giocatori!N63="","ZZZ" &amp; ROW(),Giocatori!N63)</f>
        <v>MATRI</v>
      </c>
      <c r="C697" s="239" t="str">
        <f ca="1">IF(Giocatori!O63="","NDR" &amp; ROW(),Giocatori!O63)</f>
        <v>Sassuolo</v>
      </c>
      <c r="D697" s="63">
        <f t="shared" ca="1" si="227"/>
        <v>72.006969999999995</v>
      </c>
      <c r="E697" s="63">
        <f t="shared" ca="1" si="228"/>
        <v>39.006970000000003</v>
      </c>
      <c r="F697" s="64">
        <f t="shared" ca="1" si="229"/>
        <v>68.193470904840822</v>
      </c>
      <c r="G697" s="63" t="str">
        <f t="shared" ca="1" si="230"/>
        <v/>
      </c>
      <c r="H697" s="65">
        <f t="shared" ca="1" si="231"/>
        <v>60</v>
      </c>
      <c r="I697" s="63" t="str">
        <f t="shared" ca="1" si="232"/>
        <v/>
      </c>
      <c r="J697" s="63">
        <f t="shared" ca="1" si="233"/>
        <v>3.7381609038533314</v>
      </c>
      <c r="K697" s="63">
        <f t="shared" ca="1" si="233"/>
        <v>3.7381609038533314</v>
      </c>
      <c r="L697" s="63" t="e">
        <f ca="1">VLOOKUP(Tabella185[[#This Row],[Calciatore]],'Raccolta Aste'!$P$2:$T$33,4,FALSE)*Asta!$U$3/100</f>
        <v>#N/A</v>
      </c>
      <c r="N697" s="59" t="str">
        <f t="shared" si="234"/>
        <v/>
      </c>
      <c r="O697" s="62" t="str">
        <f ca="1">IF(ISNUMBER(N697),INDIRECT("B" &amp; 642 + MATCH(N697,INDIRECT(ADDRESS(643,22+MATCH($P$30,'I.A. + Fasce'!$W$84:$AA$84,0),1,1) &amp; ":" &amp; ADDRESS(762,22+MATCH($P$30,'I.A. + Fasce'!$W$84:$AA$84,0),1,1)),0)),"")</f>
        <v/>
      </c>
      <c r="P697" s="62" t="str">
        <f t="shared" ca="1" si="236"/>
        <v/>
      </c>
      <c r="Q697" s="59" t="str">
        <f t="shared" si="235"/>
        <v/>
      </c>
      <c r="R697" s="62" t="str">
        <f ca="1">IF(ISNUMBER(Q697),INDIRECT("B" &amp; 642 + MATCH(Q697,INDIRECT(ADDRESS(643,22+MATCH($P$30,'I.A. + Fasce'!$W$84:$AA$84,0),1,1) &amp; ":" &amp; ADDRESS(762,22+MATCH($P$30,'I.A. + Fasce'!$W$84:$AA$84,0),1,1)),0)),"")</f>
        <v/>
      </c>
      <c r="S697" s="62" t="str">
        <f t="shared" ca="1" si="237"/>
        <v/>
      </c>
      <c r="W697" s="56">
        <f t="shared" ca="1" si="213"/>
        <v>59</v>
      </c>
      <c r="X697" s="56">
        <f t="shared" ca="1" si="214"/>
        <v>57</v>
      </c>
      <c r="Y697" s="56">
        <f t="shared" ca="1" si="215"/>
        <v>57</v>
      </c>
      <c r="Z697" s="56">
        <f t="shared" ca="1" si="216"/>
        <v>58</v>
      </c>
      <c r="AA697" s="56">
        <f t="shared" ca="1" si="217"/>
        <v>58</v>
      </c>
      <c r="AB697" s="56">
        <f ca="1">_xlfn.CEILING.MATH(INDIRECT(ADDRESS(643,22+MATCH($P$30,'I.A. + Fasce'!$W$84:$AA$84,0),1,1) &amp; ":" &amp; ADDRESS(762,22+MATCH($P$30,'I.A. + Fasce'!$W$84:$AA$84,0),1,1))/Asta!$H$3)</f>
        <v>8</v>
      </c>
    </row>
    <row r="698" spans="1:28" ht="14.25" customHeight="1">
      <c r="A698" s="239" t="str">
        <f ca="1">IF(Giocatori!M64="","A",Giocatori!M64)</f>
        <v>A</v>
      </c>
      <c r="B698" s="239" t="str">
        <f ca="1">IF(Giocatori!N64="","ZZZ" &amp; ROW(),Giocatori!N64)</f>
        <v>MAXI LOPEZ</v>
      </c>
      <c r="C698" s="239" t="str">
        <f ca="1">IF(Giocatori!O64="","NDR" &amp; ROW(),Giocatori!O64)</f>
        <v>Udinese</v>
      </c>
      <c r="D698" s="63">
        <f t="shared" ca="1" si="227"/>
        <v>76.006979999999999</v>
      </c>
      <c r="E698" s="63">
        <f t="shared" ca="1" si="228"/>
        <v>36.006979999999999</v>
      </c>
      <c r="F698" s="64">
        <f t="shared" ca="1" si="229"/>
        <v>66.818148406003331</v>
      </c>
      <c r="G698" s="63" t="str">
        <f t="shared" ca="1" si="230"/>
        <v/>
      </c>
      <c r="H698" s="65">
        <f t="shared" ca="1" si="231"/>
        <v>50</v>
      </c>
      <c r="I698" s="63" t="str">
        <f t="shared" ca="1" si="232"/>
        <v xml:space="preserve">2R </v>
      </c>
      <c r="J698" s="63">
        <f t="shared" ca="1" si="233"/>
        <v>1.00698</v>
      </c>
      <c r="K698" s="63">
        <f t="shared" ca="1" si="233"/>
        <v>1.00698</v>
      </c>
      <c r="L698" s="63" t="e">
        <f ca="1">VLOOKUP(Tabella185[[#This Row],[Calciatore]],'Raccolta Aste'!$P$2:$T$33,4,FALSE)*Asta!$U$3/100</f>
        <v>#N/A</v>
      </c>
      <c r="N698" s="59" t="str">
        <f t="shared" si="234"/>
        <v/>
      </c>
      <c r="O698" s="62" t="str">
        <f ca="1">IF(ISNUMBER(N698),INDIRECT("B" &amp; 642 + MATCH(N698,INDIRECT(ADDRESS(643,22+MATCH($P$30,'I.A. + Fasce'!$W$84:$AA$84,0),1,1) &amp; ":" &amp; ADDRESS(762,22+MATCH($P$30,'I.A. + Fasce'!$W$84:$AA$84,0),1,1)),0)),"")</f>
        <v/>
      </c>
      <c r="P698" s="62" t="str">
        <f t="shared" ca="1" si="236"/>
        <v/>
      </c>
      <c r="Q698" s="59" t="str">
        <f t="shared" si="235"/>
        <v/>
      </c>
      <c r="R698" s="62" t="str">
        <f ca="1">IF(ISNUMBER(Q698),INDIRECT("B" &amp; 642 + MATCH(Q698,INDIRECT(ADDRESS(643,22+MATCH($P$30,'I.A. + Fasce'!$W$84:$AA$84,0),1,1) &amp; ":" &amp; ADDRESS(762,22+MATCH($P$30,'I.A. + Fasce'!$W$84:$AA$84,0),1,1)),0)),"")</f>
        <v/>
      </c>
      <c r="S698" s="62" t="str">
        <f t="shared" ca="1" si="237"/>
        <v/>
      </c>
      <c r="W698" s="56">
        <f t="shared" ca="1" si="213"/>
        <v>42</v>
      </c>
      <c r="X698" s="56">
        <f t="shared" ca="1" si="214"/>
        <v>76</v>
      </c>
      <c r="Y698" s="56">
        <f t="shared" ca="1" si="215"/>
        <v>63</v>
      </c>
      <c r="Z698" s="56">
        <f t="shared" ca="1" si="216"/>
        <v>84</v>
      </c>
      <c r="AA698" s="56">
        <f t="shared" ca="1" si="217"/>
        <v>84</v>
      </c>
      <c r="AB698" s="56">
        <f ca="1">_xlfn.CEILING.MATH(INDIRECT(ADDRESS(643,22+MATCH($P$30,'I.A. + Fasce'!$W$84:$AA$84,0),1,1) &amp; ":" &amp; ADDRESS(762,22+MATCH($P$30,'I.A. + Fasce'!$W$84:$AA$84,0),1,1))/Asta!$H$3)</f>
        <v>11</v>
      </c>
    </row>
    <row r="699" spans="1:28" ht="14.25" customHeight="1">
      <c r="A699" s="239" t="str">
        <f ca="1">IF(Giocatori!M65="","A",Giocatori!M65)</f>
        <v>A</v>
      </c>
      <c r="B699" s="239" t="str">
        <f ca="1">IF(Giocatori!N65="","ZZZ" &amp; ROW(),Giocatori!N65)</f>
        <v>MEGGIORINI</v>
      </c>
      <c r="C699" s="239" t="str">
        <f ca="1">IF(Giocatori!O65="","NDR" &amp; ROW(),Giocatori!O65)</f>
        <v>Chievo</v>
      </c>
      <c r="D699" s="63">
        <f t="shared" ca="1" si="227"/>
        <v>69.006990000000002</v>
      </c>
      <c r="E699" s="63">
        <f t="shared" ca="1" si="228"/>
        <v>31.006989999999998</v>
      </c>
      <c r="F699" s="64">
        <f t="shared" ca="1" si="229"/>
        <v>58.025925240500833</v>
      </c>
      <c r="G699" s="63" t="str">
        <f t="shared" ca="1" si="230"/>
        <v>SCONSIGLIATO</v>
      </c>
      <c r="H699" s="65">
        <f t="shared" ca="1" si="231"/>
        <v>50</v>
      </c>
      <c r="I699" s="63" t="str">
        <f t="shared" ca="1" si="232"/>
        <v/>
      </c>
      <c r="J699" s="63">
        <f t="shared" ca="1" si="233"/>
        <v>1.0069900000000001</v>
      </c>
      <c r="K699" s="63">
        <f t="shared" ca="1" si="233"/>
        <v>1.0069900000000001</v>
      </c>
      <c r="L699" s="63" t="e">
        <f ca="1">VLOOKUP(Tabella185[[#This Row],[Calciatore]],'Raccolta Aste'!$P$2:$T$33,4,FALSE)*Asta!$U$3/100</f>
        <v>#N/A</v>
      </c>
      <c r="N699" s="59" t="str">
        <f t="shared" si="234"/>
        <v/>
      </c>
      <c r="O699" s="62" t="str">
        <f ca="1">IF(ISNUMBER(N699),INDIRECT("B" &amp; 642 + MATCH(N699,INDIRECT(ADDRESS(643,22+MATCH($P$30,'I.A. + Fasce'!$W$84:$AA$84,0),1,1) &amp; ":" &amp; ADDRESS(762,22+MATCH($P$30,'I.A. + Fasce'!$W$84:$AA$84,0),1,1)),0)),"")</f>
        <v/>
      </c>
      <c r="P699" s="62" t="str">
        <f t="shared" ca="1" si="236"/>
        <v/>
      </c>
      <c r="Q699" s="59" t="str">
        <f t="shared" si="235"/>
        <v/>
      </c>
      <c r="R699" s="62" t="str">
        <f ca="1">IF(ISNUMBER(Q699),INDIRECT("B" &amp; 642 + MATCH(Q699,INDIRECT(ADDRESS(643,22+MATCH($P$30,'I.A. + Fasce'!$W$84:$AA$84,0),1,1) &amp; ":" &amp; ADDRESS(762,22+MATCH($P$30,'I.A. + Fasce'!$W$84:$AA$84,0),1,1)),0)),"")</f>
        <v/>
      </c>
      <c r="S699" s="62" t="str">
        <f t="shared" ca="1" si="237"/>
        <v/>
      </c>
      <c r="W699" s="56">
        <f t="shared" ca="1" si="213"/>
        <v>72</v>
      </c>
      <c r="X699" s="56">
        <f t="shared" ca="1" si="214"/>
        <v>98</v>
      </c>
      <c r="Y699" s="56">
        <f t="shared" ca="1" si="215"/>
        <v>87</v>
      </c>
      <c r="Z699" s="56">
        <f t="shared" ca="1" si="216"/>
        <v>83</v>
      </c>
      <c r="AA699" s="56">
        <f t="shared" ca="1" si="217"/>
        <v>83</v>
      </c>
      <c r="AB699" s="56">
        <f ca="1">_xlfn.CEILING.MATH(INDIRECT(ADDRESS(643,22+MATCH($P$30,'I.A. + Fasce'!$W$84:$AA$84,0),1,1) &amp; ":" &amp; ADDRESS(762,22+MATCH($P$30,'I.A. + Fasce'!$W$84:$AA$84,0),1,1))/Asta!$H$3)</f>
        <v>11</v>
      </c>
    </row>
    <row r="700" spans="1:28" ht="14.25" customHeight="1">
      <c r="A700" s="239" t="str">
        <f ca="1">IF(Giocatori!M66="","A",Giocatori!M66)</f>
        <v>A</v>
      </c>
      <c r="B700" s="239" t="str">
        <f ca="1">IF(Giocatori!N66="","ZZZ" &amp; ROW(),Giocatori!N66)</f>
        <v>MELCHIORRI</v>
      </c>
      <c r="C700" s="239" t="str">
        <f ca="1">IF(Giocatori!O66="","NDR" &amp; ROW(),Giocatori!O66)</f>
        <v>Cagliari</v>
      </c>
      <c r="D700" s="63">
        <f t="shared" ca="1" si="227"/>
        <v>69.007000000000005</v>
      </c>
      <c r="E700" s="63">
        <f t="shared" ca="1" si="228"/>
        <v>39.006999999999998</v>
      </c>
      <c r="F700" s="64">
        <f t="shared" ca="1" si="229"/>
        <v>66.693550408333337</v>
      </c>
      <c r="G700" s="63" t="str">
        <f t="shared" ca="1" si="230"/>
        <v/>
      </c>
      <c r="H700" s="65">
        <f t="shared" ca="1" si="231"/>
        <v>60</v>
      </c>
      <c r="I700" s="63" t="str">
        <f t="shared" ca="1" si="232"/>
        <v/>
      </c>
      <c r="J700" s="63">
        <f t="shared" ca="1" si="233"/>
        <v>7.555590165045567</v>
      </c>
      <c r="K700" s="63">
        <f t="shared" ca="1" si="233"/>
        <v>7.555590165045567</v>
      </c>
      <c r="L700" s="63" t="e">
        <f ca="1">VLOOKUP(Tabella185[[#This Row],[Calciatore]],'Raccolta Aste'!$P$2:$T$33,4,FALSE)*Asta!$U$3/100</f>
        <v>#N/A</v>
      </c>
      <c r="N700" s="58"/>
      <c r="O700" s="58"/>
      <c r="P700" s="58"/>
      <c r="Q700" s="58"/>
      <c r="R700" s="58"/>
      <c r="S700" s="58"/>
      <c r="W700" s="56">
        <f t="shared" ca="1" si="213"/>
        <v>71</v>
      </c>
      <c r="X700" s="56">
        <f t="shared" ca="1" si="214"/>
        <v>56</v>
      </c>
      <c r="Y700" s="56">
        <f t="shared" ca="1" si="215"/>
        <v>64</v>
      </c>
      <c r="Z700" s="56">
        <f t="shared" ca="1" si="216"/>
        <v>55</v>
      </c>
      <c r="AA700" s="56">
        <f t="shared" ca="1" si="217"/>
        <v>55</v>
      </c>
      <c r="AB700" s="56">
        <f ca="1">_xlfn.CEILING.MATH(INDIRECT(ADDRESS(643,22+MATCH($P$30,'I.A. + Fasce'!$W$84:$AA$84,0),1,1) &amp; ":" &amp; ADDRESS(762,22+MATCH($P$30,'I.A. + Fasce'!$W$84:$AA$84,0),1,1))/Asta!$H$3)</f>
        <v>7</v>
      </c>
    </row>
    <row r="701" spans="1:28" ht="14.25" customHeight="1">
      <c r="A701" s="239" t="str">
        <f ca="1">IF(Giocatori!M67="","A",Giocatori!M67)</f>
        <v>A</v>
      </c>
      <c r="B701" s="239" t="str">
        <f ca="1">IF(Giocatori!N67="","ZZZ" &amp; ROW(),Giocatori!N67)</f>
        <v>MERTENS</v>
      </c>
      <c r="C701" s="239" t="str">
        <f ca="1">IF(Giocatori!O67="","NDR" &amp; ROW(),Giocatori!O67)</f>
        <v>Napoli</v>
      </c>
      <c r="D701" s="63">
        <f t="shared" ca="1" si="227"/>
        <v>95.007009999999994</v>
      </c>
      <c r="E701" s="63">
        <f t="shared" ca="1" si="228"/>
        <v>51.007010000000001</v>
      </c>
      <c r="F701" s="64">
        <f t="shared" ca="1" si="229"/>
        <v>94.694978909500833</v>
      </c>
      <c r="G701" s="63" t="str">
        <f t="shared" ca="1" si="230"/>
        <v/>
      </c>
      <c r="H701" s="65">
        <f t="shared" ca="1" si="231"/>
        <v>80</v>
      </c>
      <c r="I701" s="63" t="str">
        <f t="shared" ca="1" si="232"/>
        <v xml:space="preserve">1R 2P </v>
      </c>
      <c r="J701" s="63">
        <f t="shared" ca="1" si="233"/>
        <v>150.07851845562081</v>
      </c>
      <c r="K701" s="63">
        <f t="shared" ca="1" si="233"/>
        <v>150.07851845562081</v>
      </c>
      <c r="L701" s="63">
        <f ca="1">VLOOKUP(Tabella185[[#This Row],[Calciatore]],'Raccolta Aste'!$P$2:$T$33,4,FALSE)*Asta!$U$3/100</f>
        <v>107.13500000000001</v>
      </c>
      <c r="N701" s="58"/>
      <c r="O701" s="58"/>
      <c r="P701" s="58"/>
      <c r="Q701" s="58"/>
      <c r="R701" s="58"/>
      <c r="S701" s="58"/>
      <c r="W701" s="56">
        <f t="shared" ca="1" si="213"/>
        <v>5</v>
      </c>
      <c r="X701" s="56">
        <f t="shared" ca="1" si="214"/>
        <v>5</v>
      </c>
      <c r="Y701" s="56">
        <f t="shared" ca="1" si="215"/>
        <v>6</v>
      </c>
      <c r="Z701" s="56">
        <f t="shared" ca="1" si="216"/>
        <v>3</v>
      </c>
      <c r="AA701" s="56">
        <f t="shared" ca="1" si="217"/>
        <v>3</v>
      </c>
      <c r="AB701" s="56">
        <f ca="1">_xlfn.CEILING.MATH(INDIRECT(ADDRESS(643,22+MATCH($P$30,'I.A. + Fasce'!$W$84:$AA$84,0),1,1) &amp; ":" &amp; ADDRESS(762,22+MATCH($P$30,'I.A. + Fasce'!$W$84:$AA$84,0),1,1))/Asta!$H$3)</f>
        <v>1</v>
      </c>
    </row>
    <row r="702" spans="1:28" ht="14.25" customHeight="1">
      <c r="A702" s="239" t="str">
        <f ca="1">IF(Giocatori!M68="","A",Giocatori!M68)</f>
        <v>A</v>
      </c>
      <c r="B702" s="239" t="str">
        <f ca="1">IF(Giocatori!N68="","ZZZ" &amp; ROW(),Giocatori!N68)</f>
        <v>MILIK</v>
      </c>
      <c r="C702" s="239" t="str">
        <f ca="1">IF(Giocatori!O68="","NDR" &amp; ROW(),Giocatori!O68)</f>
        <v>Napoli</v>
      </c>
      <c r="D702" s="63">
        <f t="shared" ca="1" si="227"/>
        <v>78.007019999999997</v>
      </c>
      <c r="E702" s="63">
        <f t="shared" ca="1" si="228"/>
        <v>44.007019999999997</v>
      </c>
      <c r="F702" s="64">
        <f t="shared" ca="1" si="229"/>
        <v>77.152521744003323</v>
      </c>
      <c r="G702" s="63" t="str">
        <f t="shared" ca="1" si="230"/>
        <v>SORPRESA</v>
      </c>
      <c r="H702" s="65">
        <f t="shared" ca="1" si="231"/>
        <v>70</v>
      </c>
      <c r="I702" s="63" t="str">
        <f t="shared" ca="1" si="232"/>
        <v/>
      </c>
      <c r="J702" s="63">
        <f t="shared" ca="1" si="233"/>
        <v>94.645156713322308</v>
      </c>
      <c r="K702" s="63">
        <f t="shared" ca="1" si="233"/>
        <v>94.645156713322308</v>
      </c>
      <c r="L702" s="63">
        <f ca="1">VLOOKUP(Tabella185[[#This Row],[Calciatore]],'Raccolta Aste'!$P$2:$T$33,4,FALSE)*Asta!$U$3/100</f>
        <v>20.16</v>
      </c>
      <c r="N702" s="58"/>
      <c r="O702" s="547" t="s">
        <v>704</v>
      </c>
      <c r="P702" s="547"/>
      <c r="Q702" s="58"/>
      <c r="R702" s="58"/>
      <c r="S702" s="58"/>
      <c r="W702" s="56">
        <f t="shared" ca="1" si="213"/>
        <v>33</v>
      </c>
      <c r="X702" s="56">
        <f t="shared" ca="1" si="214"/>
        <v>18</v>
      </c>
      <c r="Y702" s="56">
        <f t="shared" ca="1" si="215"/>
        <v>24</v>
      </c>
      <c r="Z702" s="56">
        <f t="shared" ca="1" si="216"/>
        <v>13</v>
      </c>
      <c r="AA702" s="56">
        <f t="shared" ca="1" si="217"/>
        <v>13</v>
      </c>
      <c r="AB702" s="56">
        <f ca="1">_xlfn.CEILING.MATH(INDIRECT(ADDRESS(643,22+MATCH($P$30,'I.A. + Fasce'!$W$84:$AA$84,0),1,1) &amp; ":" &amp; ADDRESS(762,22+MATCH($P$30,'I.A. + Fasce'!$W$84:$AA$84,0),1,1))/Asta!$H$3)</f>
        <v>2</v>
      </c>
    </row>
    <row r="703" spans="1:28" ht="14.25" customHeight="1">
      <c r="A703" s="239" t="str">
        <f ca="1">IF(Giocatori!M69="","A",Giocatori!M69)</f>
        <v>A</v>
      </c>
      <c r="B703" s="239" t="str">
        <f ca="1">IF(Giocatori!N69="","ZZZ" &amp; ROW(),Giocatori!N69)</f>
        <v>NANI</v>
      </c>
      <c r="C703" s="239" t="str">
        <f ca="1">IF(Giocatori!O69="","NDR" &amp; ROW(),Giocatori!O69)</f>
        <v>Lazio</v>
      </c>
      <c r="D703" s="63">
        <f t="shared" ca="1" si="227"/>
        <v>78.00703</v>
      </c>
      <c r="E703" s="63">
        <f t="shared" ca="1" si="228"/>
        <v>43.00703</v>
      </c>
      <c r="F703" s="64">
        <f t="shared" ca="1" si="229"/>
        <v>75.927431911840841</v>
      </c>
      <c r="G703" s="63" t="str">
        <f t="shared" ca="1" si="230"/>
        <v/>
      </c>
      <c r="H703" s="65">
        <f t="shared" ca="1" si="231"/>
        <v>70</v>
      </c>
      <c r="I703" s="63" t="str">
        <f t="shared" ca="1" si="232"/>
        <v/>
      </c>
      <c r="J703" s="63">
        <f t="shared" ref="J703:K722" ca="1" si="238">IF(ISNA(VLOOKUP($B703,TabAlgTutti,3,FALSE)),0,VLOOKUP($B703,TabAlgTutti,3,FALSE))+ROW()/100000</f>
        <v>59.743363751313211</v>
      </c>
      <c r="K703" s="63">
        <f t="shared" ca="1" si="238"/>
        <v>59.743363751313211</v>
      </c>
      <c r="L703" s="63">
        <f ca="1">VLOOKUP(Tabella185[[#This Row],[Calciatore]],'Raccolta Aste'!$P$2:$T$33,4,FALSE)*Asta!$U$3/100</f>
        <v>0</v>
      </c>
      <c r="N703" s="58"/>
      <c r="O703" s="58"/>
      <c r="P703" s="58"/>
      <c r="Q703" s="58"/>
      <c r="R703" s="58"/>
      <c r="S703" s="58"/>
      <c r="W703" s="56">
        <f t="shared" ca="1" si="213"/>
        <v>32</v>
      </c>
      <c r="X703" s="56">
        <f t="shared" ca="1" si="214"/>
        <v>27</v>
      </c>
      <c r="Y703" s="56">
        <f t="shared" ca="1" si="215"/>
        <v>29</v>
      </c>
      <c r="Z703" s="56">
        <f t="shared" ca="1" si="216"/>
        <v>19</v>
      </c>
      <c r="AA703" s="56">
        <f t="shared" ca="1" si="217"/>
        <v>19</v>
      </c>
      <c r="AB703" s="56">
        <f ca="1">_xlfn.CEILING.MATH(INDIRECT(ADDRESS(643,22+MATCH($P$30,'I.A. + Fasce'!$W$84:$AA$84,0),1,1) &amp; ":" &amp; ADDRESS(762,22+MATCH($P$30,'I.A. + Fasce'!$W$84:$AA$84,0),1,1))/Asta!$H$3)</f>
        <v>3</v>
      </c>
    </row>
    <row r="704" spans="1:28" ht="14.25" customHeight="1">
      <c r="A704" s="239" t="str">
        <f ca="1">IF(Giocatori!M70="","A",Giocatori!M70)</f>
        <v>A</v>
      </c>
      <c r="B704" s="239" t="str">
        <f ca="1">IF(Giocatori!N70="","ZZZ" &amp; ROW(),Giocatori!N70)</f>
        <v>NIANG</v>
      </c>
      <c r="C704" s="239" t="str">
        <f ca="1">IF(Giocatori!O70="","NDR" &amp; ROW(),Giocatori!O70)</f>
        <v>Torino</v>
      </c>
      <c r="D704" s="63">
        <f t="shared" ca="1" si="227"/>
        <v>80.007040000000003</v>
      </c>
      <c r="E704" s="63">
        <f t="shared" ca="1" si="228"/>
        <v>42.007040000000003</v>
      </c>
      <c r="F704" s="64">
        <f t="shared" ca="1" si="229"/>
        <v>75.719008413013341</v>
      </c>
      <c r="G704" s="63" t="str">
        <f t="shared" ca="1" si="230"/>
        <v>SORPRESA</v>
      </c>
      <c r="H704" s="65">
        <f t="shared" ca="1" si="231"/>
        <v>80</v>
      </c>
      <c r="I704" s="63" t="str">
        <f t="shared" ca="1" si="232"/>
        <v/>
      </c>
      <c r="J704" s="63">
        <f t="shared" ca="1" si="238"/>
        <v>53.012132012064953</v>
      </c>
      <c r="K704" s="63">
        <f t="shared" ca="1" si="238"/>
        <v>53.012132012064953</v>
      </c>
      <c r="L704" s="63">
        <f ca="1">VLOOKUP(Tabella185[[#This Row],[Calciatore]],'Raccolta Aste'!$P$2:$T$33,4,FALSE)*Asta!$U$3/100</f>
        <v>0</v>
      </c>
      <c r="N704" s="58"/>
      <c r="O704" s="58"/>
      <c r="P704" s="58"/>
      <c r="Q704" s="58"/>
      <c r="R704" s="58"/>
      <c r="S704" s="58"/>
      <c r="W704" s="56">
        <f t="shared" ca="1" si="213"/>
        <v>23</v>
      </c>
      <c r="X704" s="56">
        <f t="shared" ca="1" si="214"/>
        <v>32</v>
      </c>
      <c r="Y704" s="56">
        <f t="shared" ca="1" si="215"/>
        <v>30</v>
      </c>
      <c r="Z704" s="56">
        <f t="shared" ca="1" si="216"/>
        <v>24</v>
      </c>
      <c r="AA704" s="56">
        <f t="shared" ca="1" si="217"/>
        <v>24</v>
      </c>
      <c r="AB704" s="56">
        <f ca="1">_xlfn.CEILING.MATH(INDIRECT(ADDRESS(643,22+MATCH($P$30,'I.A. + Fasce'!$W$84:$AA$84,0),1,1) &amp; ":" &amp; ADDRESS(762,22+MATCH($P$30,'I.A. + Fasce'!$W$84:$AA$84,0),1,1))/Asta!$H$3)</f>
        <v>3</v>
      </c>
    </row>
    <row r="705" spans="1:28" ht="14.25" customHeight="1">
      <c r="A705" s="239" t="str">
        <f ca="1">IF(Giocatori!M71="","A",Giocatori!M71)</f>
        <v>A</v>
      </c>
      <c r="B705" s="239" t="str">
        <f ca="1">IF(Giocatori!N71="","ZZZ" &amp; ROW(),Giocatori!N71)</f>
        <v>OKWONKWO</v>
      </c>
      <c r="C705" s="239" t="str">
        <f ca="1">IF(Giocatori!O71="","NDR" &amp; ROW(),Giocatori!O71)</f>
        <v>Bologna</v>
      </c>
      <c r="D705" s="63">
        <f t="shared" ca="1" si="227"/>
        <v>51.00705</v>
      </c>
      <c r="E705" s="63">
        <f t="shared" ca="1" si="228"/>
        <v>33.00705</v>
      </c>
      <c r="F705" s="64">
        <f t="shared" ca="1" si="229"/>
        <v>51.092977914187507</v>
      </c>
      <c r="G705" s="63" t="str">
        <f t="shared" ca="1" si="230"/>
        <v/>
      </c>
      <c r="H705" s="65">
        <f t="shared" ca="1" si="231"/>
        <v>50</v>
      </c>
      <c r="I705" s="63" t="str">
        <f t="shared" ca="1" si="232"/>
        <v/>
      </c>
      <c r="J705" s="63">
        <f t="shared" ca="1" si="238"/>
        <v>1.00705</v>
      </c>
      <c r="K705" s="63">
        <f t="shared" ca="1" si="238"/>
        <v>1.00705</v>
      </c>
      <c r="L705" s="63" t="e">
        <f ca="1">VLOOKUP(Tabella185[[#This Row],[Calciatore]],'Raccolta Aste'!$P$2:$T$33,4,FALSE)*Asta!$U$3/100</f>
        <v>#N/A</v>
      </c>
      <c r="N705" s="58"/>
      <c r="O705" s="58"/>
      <c r="P705" s="58"/>
      <c r="Q705" s="58"/>
      <c r="R705" s="58"/>
      <c r="S705" s="58"/>
      <c r="W705" s="56">
        <f t="shared" ca="1" si="213"/>
        <v>100</v>
      </c>
      <c r="X705" s="56">
        <f t="shared" ca="1" si="214"/>
        <v>94</v>
      </c>
      <c r="Y705" s="56">
        <f t="shared" ca="1" si="215"/>
        <v>99</v>
      </c>
      <c r="Z705" s="56">
        <f t="shared" ca="1" si="216"/>
        <v>82</v>
      </c>
      <c r="AA705" s="56">
        <f t="shared" ca="1" si="217"/>
        <v>82</v>
      </c>
      <c r="AB705" s="56">
        <f ca="1">_xlfn.CEILING.MATH(INDIRECT(ADDRESS(643,22+MATCH($P$30,'I.A. + Fasce'!$W$84:$AA$84,0),1,1) &amp; ":" &amp; ADDRESS(762,22+MATCH($P$30,'I.A. + Fasce'!$W$84:$AA$84,0),1,1))/Asta!$H$3)</f>
        <v>11</v>
      </c>
    </row>
    <row r="706" spans="1:28" ht="14.25" customHeight="1">
      <c r="A706" s="239" t="str">
        <f ca="1">IF(Giocatori!M72="","A",Giocatori!M72)</f>
        <v>A</v>
      </c>
      <c r="B706" s="239" t="str">
        <f ca="1">IF(Giocatori!N72="","ZZZ" &amp; ROW(),Giocatori!N72)</f>
        <v>ORSOLINI</v>
      </c>
      <c r="C706" s="239" t="str">
        <f ca="1">IF(Giocatori!O72="","NDR" &amp; ROW(),Giocatori!O72)</f>
        <v>Atalanta</v>
      </c>
      <c r="D706" s="63">
        <f t="shared" ca="1" si="227"/>
        <v>70.007059999999996</v>
      </c>
      <c r="E706" s="63">
        <f t="shared" ca="1" si="228"/>
        <v>38.007060000000003</v>
      </c>
      <c r="F706" s="64">
        <f t="shared" ca="1" si="229"/>
        <v>66.051925082029982</v>
      </c>
      <c r="G706" s="63" t="str">
        <f t="shared" ca="1" si="230"/>
        <v>SORPRESA</v>
      </c>
      <c r="H706" s="65">
        <f t="shared" ca="1" si="231"/>
        <v>40</v>
      </c>
      <c r="I706" s="63" t="str">
        <f t="shared" ca="1" si="232"/>
        <v xml:space="preserve">3P </v>
      </c>
      <c r="J706" s="63">
        <f t="shared" ca="1" si="238"/>
        <v>16.936517416884161</v>
      </c>
      <c r="K706" s="63">
        <f t="shared" ca="1" si="238"/>
        <v>16.936517416884161</v>
      </c>
      <c r="L706" s="63" t="e">
        <f ca="1">VLOOKUP(Tabella185[[#This Row],[Calciatore]],'Raccolta Aste'!$P$2:$T$33,4,FALSE)*Asta!$U$3/100</f>
        <v>#N/A</v>
      </c>
      <c r="N706" s="58"/>
      <c r="O706" s="58"/>
      <c r="P706" s="58"/>
      <c r="Q706" s="58"/>
      <c r="R706" s="58"/>
      <c r="S706" s="58"/>
      <c r="W706" s="56">
        <f t="shared" ca="1" si="213"/>
        <v>69</v>
      </c>
      <c r="X706" s="56">
        <f t="shared" ca="1" si="214"/>
        <v>68</v>
      </c>
      <c r="Y706" s="56">
        <f t="shared" ca="1" si="215"/>
        <v>66</v>
      </c>
      <c r="Z706" s="56">
        <f t="shared" ca="1" si="216"/>
        <v>49</v>
      </c>
      <c r="AA706" s="56">
        <f t="shared" ca="1" si="217"/>
        <v>49</v>
      </c>
      <c r="AB706" s="56">
        <f ca="1">_xlfn.CEILING.MATH(INDIRECT(ADDRESS(643,22+MATCH($P$30,'I.A. + Fasce'!$W$84:$AA$84,0),1,1) &amp; ":" &amp; ADDRESS(762,22+MATCH($P$30,'I.A. + Fasce'!$W$84:$AA$84,0),1,1))/Asta!$H$3)</f>
        <v>7</v>
      </c>
    </row>
    <row r="707" spans="1:28" ht="14.25" customHeight="1">
      <c r="A707" s="239" t="str">
        <f ca="1">IF(Giocatori!M73="","A",Giocatori!M73)</f>
        <v>A</v>
      </c>
      <c r="B707" s="239" t="str">
        <f ca="1">IF(Giocatori!N73="","ZZZ" &amp; ROW(),Giocatori!N73)</f>
        <v>OUNAS</v>
      </c>
      <c r="C707" s="239" t="str">
        <f ca="1">IF(Giocatori!O73="","NDR" &amp; ROW(),Giocatori!O73)</f>
        <v>Napoli</v>
      </c>
      <c r="D707" s="63">
        <f t="shared" ref="D707:D738" ca="1" si="239">IF(ISNA(VLOOKUP($B707,TabAlgTutti,6,FALSE)),0,VLOOKUP($B707,TabAlgTutti,6,FALSE))+ROW()/100000</f>
        <v>73.007069999999999</v>
      </c>
      <c r="E707" s="63">
        <f t="shared" ref="E707:E738" ca="1" si="240">IF(ISNA(VLOOKUP($B707,TabAlgTutti,5,FALSE)),0,VLOOKUP($B707,TabAlgTutti,5,FALSE))+ROW()/100000</f>
        <v>36.007069999999999</v>
      </c>
      <c r="F707" s="64">
        <f t="shared" ref="F707:F738" ca="1" si="241">($D707*$P$8+$E707*(1+$E707*100/60/100)*$S$8)/100+ROW()/100000</f>
        <v>65.318382416540842</v>
      </c>
      <c r="G707" s="63" t="str">
        <f t="shared" ref="G707:G738" ca="1" si="242">IF(ISNA(VLOOKUP($B707,TabAlgTutti,7,FALSE)),"",IF(VLOOKUP($B707,TabAlgTutti,7,FALSE)=-1,"SCONSIGLIATO",IF(VLOOKUP($B707,TabAlgTutti,7,FALSE)=0,"SORPRESA",IF(VLOOKUP($B707,TabAlgTutti,7,FALSE)=1,"CONSIGLIATO",""))))</f>
        <v>SORPRESA</v>
      </c>
      <c r="H707" s="65">
        <f t="shared" ref="H707:H738" ca="1" si="243">IF(ISNA(VLOOKUP($B707,TabAlgTutti,8,FALSE)),"",VLOOKUP($B707,TabAlgTutti,8,FALSE))</f>
        <v>50</v>
      </c>
      <c r="I707" s="63" t="str">
        <f t="shared" ref="I707:I738" ca="1" si="244">IF(ISNA(VLOOKUP($B707,TabAlgTutti,9,FALSE)),"",IF(VLOOKUP($B707,TabAlgTutti,9,FALSE)="","",VLOOKUP($B707,TabAlgTutti,9,FALSE)&amp;"R "))&amp;IF(ISNA(VLOOKUP($B707,TabAlgTutti,10,FALSE)),"",IF(VLOOKUP($B707,TabAlgTutti,10,FALSE)="","",VLOOKUP($B707,TabAlgTutti,10,FALSE)&amp;"P "))&amp;IF(ISNA(VLOOKUP($B707,TabAlgTutti,11,FALSE)),"",IF(VLOOKUP($B707,TabAlgTutti,11,FALSE)="","",VLOOKUP($B707,TabAlgTutti,11,FALSE)&amp;"A"))</f>
        <v/>
      </c>
      <c r="J707" s="63">
        <f t="shared" ca="1" si="238"/>
        <v>37.309193224997557</v>
      </c>
      <c r="K707" s="63">
        <f t="shared" ca="1" si="238"/>
        <v>37.309193224997557</v>
      </c>
      <c r="L707" s="63" t="e">
        <f ca="1">VLOOKUP(Tabella185[[#This Row],[Calciatore]],'Raccolta Aste'!$P$2:$T$33,4,FALSE)*Asta!$U$3/100</f>
        <v>#N/A</v>
      </c>
      <c r="N707" s="58"/>
      <c r="O707" s="58"/>
      <c r="P707" s="58"/>
      <c r="Q707" s="58"/>
      <c r="R707" s="58"/>
      <c r="S707" s="58"/>
      <c r="W707" s="56">
        <f t="shared" ca="1" si="213"/>
        <v>54</v>
      </c>
      <c r="X707" s="56">
        <f t="shared" ca="1" si="214"/>
        <v>75</v>
      </c>
      <c r="Y707" s="56">
        <f t="shared" ca="1" si="215"/>
        <v>70</v>
      </c>
      <c r="Z707" s="56">
        <f t="shared" ca="1" si="216"/>
        <v>32</v>
      </c>
      <c r="AA707" s="56">
        <f t="shared" ca="1" si="217"/>
        <v>32</v>
      </c>
      <c r="AB707" s="56">
        <f ca="1">_xlfn.CEILING.MATH(INDIRECT(ADDRESS(643,22+MATCH($P$30,'I.A. + Fasce'!$W$84:$AA$84,0),1,1) &amp; ":" &amp; ADDRESS(762,22+MATCH($P$30,'I.A. + Fasce'!$W$84:$AA$84,0),1,1))/Asta!$H$3)</f>
        <v>4</v>
      </c>
    </row>
    <row r="708" spans="1:28" ht="14.25" customHeight="1">
      <c r="A708" s="239" t="str">
        <f ca="1">IF(Giocatori!M74="","A",Giocatori!M74)</f>
        <v>A</v>
      </c>
      <c r="B708" s="239" t="str">
        <f ca="1">IF(Giocatori!N74="","ZZZ" &amp; ROW(),Giocatori!N74)</f>
        <v>PALACIO</v>
      </c>
      <c r="C708" s="239" t="str">
        <f ca="1">IF(Giocatori!O74="","NDR" &amp; ROW(),Giocatori!O74)</f>
        <v>Bologna</v>
      </c>
      <c r="D708" s="63">
        <f t="shared" ca="1" si="239"/>
        <v>68.007080000000002</v>
      </c>
      <c r="E708" s="63">
        <f t="shared" ca="1" si="240"/>
        <v>35.007080000000002</v>
      </c>
      <c r="F708" s="64">
        <f t="shared" ca="1" si="241"/>
        <v>61.726623751053339</v>
      </c>
      <c r="G708" s="63" t="str">
        <f t="shared" ca="1" si="242"/>
        <v/>
      </c>
      <c r="H708" s="65">
        <f t="shared" ca="1" si="243"/>
        <v>50</v>
      </c>
      <c r="I708" s="63" t="str">
        <f t="shared" ca="1" si="244"/>
        <v/>
      </c>
      <c r="J708" s="63">
        <f t="shared" ca="1" si="238"/>
        <v>1.00708</v>
      </c>
      <c r="K708" s="63">
        <f t="shared" ca="1" si="238"/>
        <v>1.00708</v>
      </c>
      <c r="L708" s="63" t="e">
        <f ca="1">VLOOKUP(Tabella185[[#This Row],[Calciatore]],'Raccolta Aste'!$P$2:$T$33,4,FALSE)*Asta!$U$3/100</f>
        <v>#N/A</v>
      </c>
      <c r="N708" s="58"/>
      <c r="O708" s="58"/>
      <c r="P708" s="58"/>
      <c r="Q708" s="58"/>
      <c r="R708" s="58"/>
      <c r="S708" s="58"/>
      <c r="W708" s="56">
        <f t="shared" ref="W708:W762" ca="1" si="245">_xlfn.RANK.EQ(D708,D$643:D$762,0)</f>
        <v>77</v>
      </c>
      <c r="X708" s="56">
        <f t="shared" ref="X708:X762" ca="1" si="246">_xlfn.RANK.EQ(E708,$E$643:$E$762,0)</f>
        <v>81</v>
      </c>
      <c r="Y708" s="56">
        <f t="shared" ref="Y708:Y762" ca="1" si="247">_xlfn.RANK.EQ(F708,$F$643:$F$762,0)</f>
        <v>75</v>
      </c>
      <c r="Z708" s="56">
        <f t="shared" ref="Z708:Z762" ca="1" si="248">_xlfn.RANK.EQ(J708,$J$643:$J$762,0)</f>
        <v>81</v>
      </c>
      <c r="AA708" s="56">
        <f t="shared" ref="AA708:AA762" ca="1" si="249">_xlfn.RANK.EQ(K708,$K$643:$K$762,0)</f>
        <v>81</v>
      </c>
      <c r="AB708" s="56">
        <f ca="1">_xlfn.CEILING.MATH(INDIRECT(ADDRESS(643,22+MATCH($P$30,'I.A. + Fasce'!$W$84:$AA$84,0),1,1) &amp; ":" &amp; ADDRESS(762,22+MATCH($P$30,'I.A. + Fasce'!$W$84:$AA$84,0),1,1))/Asta!$H$3)</f>
        <v>11</v>
      </c>
    </row>
    <row r="709" spans="1:28" ht="14.25" customHeight="1">
      <c r="A709" s="239" t="str">
        <f ca="1">IF(Giocatori!M75="","A",Giocatori!M75)</f>
        <v>A</v>
      </c>
      <c r="B709" s="239" t="str">
        <f ca="1">IF(Giocatori!N75="","ZZZ" &amp; ROW(),Giocatori!N75)</f>
        <v>PALLADINO</v>
      </c>
      <c r="C709" s="239" t="str">
        <f ca="1">IF(Giocatori!O75="","NDR" &amp; ROW(),Giocatori!O75)</f>
        <v>Genoa</v>
      </c>
      <c r="D709" s="63">
        <f t="shared" ca="1" si="239"/>
        <v>60.007089999999998</v>
      </c>
      <c r="E709" s="63">
        <f t="shared" ca="1" si="240"/>
        <v>33.007089999999998</v>
      </c>
      <c r="F709" s="64">
        <f t="shared" ca="1" si="241"/>
        <v>55.593079918900827</v>
      </c>
      <c r="G709" s="63" t="str">
        <f t="shared" ca="1" si="242"/>
        <v/>
      </c>
      <c r="H709" s="65">
        <f t="shared" ca="1" si="243"/>
        <v>50</v>
      </c>
      <c r="I709" s="63" t="str">
        <f t="shared" ca="1" si="244"/>
        <v/>
      </c>
      <c r="J709" s="63">
        <f t="shared" ca="1" si="238"/>
        <v>1.00709</v>
      </c>
      <c r="K709" s="63">
        <f t="shared" ca="1" si="238"/>
        <v>1.00709</v>
      </c>
      <c r="L709" s="63" t="e">
        <f ca="1">VLOOKUP(Tabella185[[#This Row],[Calciatore]],'Raccolta Aste'!$P$2:$T$33,4,FALSE)*Asta!$U$3/100</f>
        <v>#N/A</v>
      </c>
      <c r="N709" s="58"/>
      <c r="O709" s="58"/>
      <c r="P709" s="58"/>
      <c r="Q709" s="58"/>
      <c r="R709" s="58"/>
      <c r="S709" s="58"/>
      <c r="W709" s="56">
        <f t="shared" ca="1" si="245"/>
        <v>89</v>
      </c>
      <c r="X709" s="56">
        <f t="shared" ca="1" si="246"/>
        <v>93</v>
      </c>
      <c r="Y709" s="56">
        <f t="shared" ca="1" si="247"/>
        <v>93</v>
      </c>
      <c r="Z709" s="56">
        <f t="shared" ca="1" si="248"/>
        <v>80</v>
      </c>
      <c r="AA709" s="56">
        <f t="shared" ca="1" si="249"/>
        <v>80</v>
      </c>
      <c r="AB709" s="56">
        <f ca="1">_xlfn.CEILING.MATH(INDIRECT(ADDRESS(643,22+MATCH($P$30,'I.A. + Fasce'!$W$84:$AA$84,0),1,1) &amp; ":" &amp; ADDRESS(762,22+MATCH($P$30,'I.A. + Fasce'!$W$84:$AA$84,0),1,1))/Asta!$H$3)</f>
        <v>10</v>
      </c>
    </row>
    <row r="710" spans="1:28" ht="14.25" customHeight="1">
      <c r="A710" s="239" t="str">
        <f ca="1">IF(Giocatori!M76="","A",Giocatori!M76)</f>
        <v>A</v>
      </c>
      <c r="B710" s="239" t="str">
        <f ca="1">IF(Giocatori!N76="","ZZZ" &amp; ROW(),Giocatori!N76)</f>
        <v>PALOMBI</v>
      </c>
      <c r="C710" s="239" t="str">
        <f ca="1">IF(Giocatori!O76="","NDR" &amp; ROW(),Giocatori!O76)</f>
        <v>Lazio</v>
      </c>
      <c r="D710" s="63">
        <f t="shared" ca="1" si="239"/>
        <v>58.007100000000001</v>
      </c>
      <c r="E710" s="63">
        <f t="shared" ca="1" si="240"/>
        <v>34.007100000000001</v>
      </c>
      <c r="F710" s="64">
        <f t="shared" ca="1" si="241"/>
        <v>55.651557086750003</v>
      </c>
      <c r="G710" s="63" t="str">
        <f t="shared" ca="1" si="242"/>
        <v/>
      </c>
      <c r="H710" s="65">
        <f t="shared" ca="1" si="243"/>
        <v>40</v>
      </c>
      <c r="I710" s="63" t="str">
        <f t="shared" ca="1" si="244"/>
        <v/>
      </c>
      <c r="J710" s="63">
        <f t="shared" ca="1" si="238"/>
        <v>1.0071000000000001</v>
      </c>
      <c r="K710" s="63">
        <f t="shared" ca="1" si="238"/>
        <v>1.0071000000000001</v>
      </c>
      <c r="L710" s="63" t="e">
        <f ca="1">VLOOKUP(Tabella185[[#This Row],[Calciatore]],'Raccolta Aste'!$P$2:$T$33,4,FALSE)*Asta!$U$3/100</f>
        <v>#N/A</v>
      </c>
      <c r="N710" s="58"/>
      <c r="O710" s="58"/>
      <c r="P710" s="58"/>
      <c r="Q710" s="58"/>
      <c r="R710" s="58"/>
      <c r="S710" s="58"/>
      <c r="W710" s="56">
        <f t="shared" ca="1" si="245"/>
        <v>97</v>
      </c>
      <c r="X710" s="56">
        <f t="shared" ca="1" si="246"/>
        <v>88</v>
      </c>
      <c r="Y710" s="56">
        <f t="shared" ca="1" si="247"/>
        <v>91</v>
      </c>
      <c r="Z710" s="56">
        <f t="shared" ca="1" si="248"/>
        <v>79</v>
      </c>
      <c r="AA710" s="56">
        <f t="shared" ca="1" si="249"/>
        <v>79</v>
      </c>
      <c r="AB710" s="56">
        <f ca="1">_xlfn.CEILING.MATH(INDIRECT(ADDRESS(643,22+MATCH($P$30,'I.A. + Fasce'!$W$84:$AA$84,0),1,1) &amp; ":" &amp; ADDRESS(762,22+MATCH($P$30,'I.A. + Fasce'!$W$84:$AA$84,0),1,1))/Asta!$H$3)</f>
        <v>10</v>
      </c>
    </row>
    <row r="711" spans="1:28" ht="14.25" customHeight="1">
      <c r="A711" s="239" t="str">
        <f ca="1">IF(Giocatori!M77="","A",Giocatori!M77)</f>
        <v>A</v>
      </c>
      <c r="B711" s="239" t="str">
        <f ca="1">IF(Giocatori!N77="","ZZZ" &amp; ROW(),Giocatori!N77)</f>
        <v>PALOSCHI</v>
      </c>
      <c r="C711" s="239" t="str">
        <f ca="1">IF(Giocatori!O77="","NDR" &amp; ROW(),Giocatori!O77)</f>
        <v>SPAL</v>
      </c>
      <c r="D711" s="63">
        <f t="shared" ca="1" si="239"/>
        <v>78.007109999999997</v>
      </c>
      <c r="E711" s="63">
        <f t="shared" ca="1" si="240"/>
        <v>37.007109999999997</v>
      </c>
      <c r="F711" s="64">
        <f t="shared" ca="1" si="241"/>
        <v>68.926938254600827</v>
      </c>
      <c r="G711" s="63" t="str">
        <f t="shared" ca="1" si="242"/>
        <v/>
      </c>
      <c r="H711" s="65">
        <f t="shared" ca="1" si="243"/>
        <v>60</v>
      </c>
      <c r="I711" s="63" t="str">
        <f t="shared" ca="1" si="244"/>
        <v/>
      </c>
      <c r="J711" s="63">
        <f t="shared" ca="1" si="238"/>
        <v>1.0071099999999999</v>
      </c>
      <c r="K711" s="63">
        <f t="shared" ca="1" si="238"/>
        <v>1.0071099999999999</v>
      </c>
      <c r="L711" s="63" t="e">
        <f ca="1">VLOOKUP(Tabella185[[#This Row],[Calciatore]],'Raccolta Aste'!$P$2:$T$33,4,FALSE)*Asta!$U$3/100</f>
        <v>#N/A</v>
      </c>
      <c r="N711" s="58"/>
      <c r="O711" s="58"/>
      <c r="P711" s="58"/>
      <c r="Q711" s="58"/>
      <c r="R711" s="58"/>
      <c r="S711" s="58"/>
      <c r="W711" s="56">
        <f t="shared" ca="1" si="245"/>
        <v>31</v>
      </c>
      <c r="X711" s="56">
        <f t="shared" ca="1" si="246"/>
        <v>72</v>
      </c>
      <c r="Y711" s="56">
        <f t="shared" ca="1" si="247"/>
        <v>54</v>
      </c>
      <c r="Z711" s="56">
        <f t="shared" ca="1" si="248"/>
        <v>78</v>
      </c>
      <c r="AA711" s="56">
        <f t="shared" ca="1" si="249"/>
        <v>78</v>
      </c>
      <c r="AB711" s="56">
        <f ca="1">_xlfn.CEILING.MATH(INDIRECT(ADDRESS(643,22+MATCH($P$30,'I.A. + Fasce'!$W$84:$AA$84,0),1,1) &amp; ":" &amp; ADDRESS(762,22+MATCH($P$30,'I.A. + Fasce'!$W$84:$AA$84,0),1,1))/Asta!$H$3)</f>
        <v>10</v>
      </c>
    </row>
    <row r="712" spans="1:28" ht="14.25" customHeight="1">
      <c r="A712" s="239" t="str">
        <f ca="1">IF(Giocatori!M78="","A",Giocatori!M78)</f>
        <v>A</v>
      </c>
      <c r="B712" s="239" t="str">
        <f ca="1">IF(Giocatori!N78="","ZZZ" &amp; ROW(),Giocatori!N78)</f>
        <v>PANDEV</v>
      </c>
      <c r="C712" s="239" t="str">
        <f ca="1">IF(Giocatori!O78="","NDR" &amp; ROW(),Giocatori!O78)</f>
        <v>Genoa</v>
      </c>
      <c r="D712" s="63">
        <f t="shared" ca="1" si="239"/>
        <v>66.00712</v>
      </c>
      <c r="E712" s="63">
        <f t="shared" ca="1" si="240"/>
        <v>35.00712</v>
      </c>
      <c r="F712" s="64">
        <f t="shared" ca="1" si="241"/>
        <v>60.726727089119997</v>
      </c>
      <c r="G712" s="63" t="str">
        <f t="shared" ca="1" si="242"/>
        <v>SCONSIGLIATO</v>
      </c>
      <c r="H712" s="65">
        <f t="shared" ca="1" si="243"/>
        <v>60</v>
      </c>
      <c r="I712" s="63" t="str">
        <f t="shared" ca="1" si="244"/>
        <v/>
      </c>
      <c r="J712" s="63">
        <f t="shared" ca="1" si="238"/>
        <v>1.00712</v>
      </c>
      <c r="K712" s="63">
        <f t="shared" ca="1" si="238"/>
        <v>1.00712</v>
      </c>
      <c r="L712" s="63" t="e">
        <f ca="1">VLOOKUP(Tabella185[[#This Row],[Calciatore]],'Raccolta Aste'!$P$2:$T$33,4,FALSE)*Asta!$U$3/100</f>
        <v>#N/A</v>
      </c>
      <c r="N712" s="58"/>
      <c r="O712" s="58"/>
      <c r="P712" s="58"/>
      <c r="Q712" s="58"/>
      <c r="R712" s="58"/>
      <c r="S712" s="58"/>
      <c r="W712" s="56">
        <f t="shared" ca="1" si="245"/>
        <v>84</v>
      </c>
      <c r="X712" s="56">
        <f t="shared" ca="1" si="246"/>
        <v>80</v>
      </c>
      <c r="Y712" s="56">
        <f t="shared" ca="1" si="247"/>
        <v>82</v>
      </c>
      <c r="Z712" s="56">
        <f t="shared" ca="1" si="248"/>
        <v>77</v>
      </c>
      <c r="AA712" s="56">
        <f t="shared" ca="1" si="249"/>
        <v>77</v>
      </c>
      <c r="AB712" s="56">
        <f ca="1">_xlfn.CEILING.MATH(INDIRECT(ADDRESS(643,22+MATCH($P$30,'I.A. + Fasce'!$W$84:$AA$84,0),1,1) &amp; ":" &amp; ADDRESS(762,22+MATCH($P$30,'I.A. + Fasce'!$W$84:$AA$84,0),1,1))/Asta!$H$3)</f>
        <v>10</v>
      </c>
    </row>
    <row r="713" spans="1:28" ht="14.25" customHeight="1">
      <c r="A713" s="239" t="str">
        <f ca="1">IF(Giocatori!M115="","A",Giocatori!M115)</f>
        <v>A</v>
      </c>
      <c r="B713" s="239" t="str">
        <f ca="1">IF(Giocatori!N79="","ZZZ" &amp; ROW(),Giocatori!N79)</f>
        <v>PARIGINI</v>
      </c>
      <c r="C713" s="239" t="str">
        <f ca="1">IF(Giocatori!O79="","NDR" &amp; ROW(),Giocatori!O79)</f>
        <v>Benevento</v>
      </c>
      <c r="D713" s="63">
        <f t="shared" ca="1" si="239"/>
        <v>58.007129999999997</v>
      </c>
      <c r="E713" s="63">
        <f t="shared" ca="1" si="240"/>
        <v>36.007129999999997</v>
      </c>
      <c r="F713" s="64">
        <f t="shared" ca="1" si="241"/>
        <v>57.818538423640817</v>
      </c>
      <c r="G713" s="63" t="str">
        <f t="shared" ca="1" si="242"/>
        <v/>
      </c>
      <c r="H713" s="65">
        <f t="shared" ca="1" si="243"/>
        <v>60</v>
      </c>
      <c r="I713" s="63" t="str">
        <f t="shared" ca="1" si="244"/>
        <v/>
      </c>
      <c r="J713" s="63">
        <f t="shared" ca="1" si="238"/>
        <v>1.0071300000000001</v>
      </c>
      <c r="K713" s="63">
        <f t="shared" ca="1" si="238"/>
        <v>1.0071300000000001</v>
      </c>
      <c r="L713" s="63" t="e">
        <f ca="1">VLOOKUP(Tabella185[[#This Row],[Calciatore]],'Raccolta Aste'!$P$2:$T$33,4,FALSE)*Asta!$U$3/100</f>
        <v>#N/A</v>
      </c>
      <c r="N713" s="58"/>
      <c r="O713" s="58"/>
      <c r="P713" s="58"/>
      <c r="Q713" s="58"/>
      <c r="R713" s="58"/>
      <c r="S713" s="58"/>
      <c r="W713" s="56">
        <f t="shared" ca="1" si="245"/>
        <v>96</v>
      </c>
      <c r="X713" s="56">
        <f t="shared" ca="1" si="246"/>
        <v>74</v>
      </c>
      <c r="Y713" s="56">
        <f t="shared" ca="1" si="247"/>
        <v>88</v>
      </c>
      <c r="Z713" s="56">
        <f t="shared" ca="1" si="248"/>
        <v>76</v>
      </c>
      <c r="AA713" s="56">
        <f t="shared" ca="1" si="249"/>
        <v>76</v>
      </c>
      <c r="AB713" s="56">
        <f ca="1">_xlfn.CEILING.MATH(INDIRECT(ADDRESS(643,22+MATCH($P$30,'I.A. + Fasce'!$W$84:$AA$84,0),1,1) &amp; ":" &amp; ADDRESS(762,22+MATCH($P$30,'I.A. + Fasce'!$W$84:$AA$84,0),1,1))/Asta!$H$3)</f>
        <v>10</v>
      </c>
    </row>
    <row r="714" spans="1:28" ht="14.25" customHeight="1">
      <c r="A714" s="239" t="str">
        <f ca="1">IF(Giocatori!M116="","A",Giocatori!M116)</f>
        <v>A</v>
      </c>
      <c r="B714" s="239" t="str">
        <f ca="1">IF(Giocatori!N80="","ZZZ" &amp; ROW(),Giocatori!N80)</f>
        <v>PAVOLETTI</v>
      </c>
      <c r="C714" s="239" t="str">
        <f ca="1">IF(Giocatori!O80="","NDR" &amp; ROW(),Giocatori!O80)</f>
        <v>Cagliari</v>
      </c>
      <c r="D714" s="63">
        <f t="shared" ca="1" si="239"/>
        <v>85.007140000000007</v>
      </c>
      <c r="E714" s="63">
        <f t="shared" ca="1" si="240"/>
        <v>45.00714</v>
      </c>
      <c r="F714" s="64">
        <f t="shared" ca="1" si="241"/>
        <v>81.89463542483</v>
      </c>
      <c r="G714" s="63" t="str">
        <f t="shared" ca="1" si="242"/>
        <v>CONSIGLIATO</v>
      </c>
      <c r="H714" s="65">
        <f t="shared" ca="1" si="243"/>
        <v>80</v>
      </c>
      <c r="I714" s="63" t="str">
        <f t="shared" ca="1" si="244"/>
        <v xml:space="preserve">2R </v>
      </c>
      <c r="J714" s="63">
        <f t="shared" ca="1" si="238"/>
        <v>55.261571151930106</v>
      </c>
      <c r="K714" s="63">
        <f t="shared" ca="1" si="238"/>
        <v>55.261571151930106</v>
      </c>
      <c r="L714" s="63">
        <f ca="1">VLOOKUP(Tabella185[[#This Row],[Calciatore]],'Raccolta Aste'!$P$2:$T$33,4,FALSE)*Asta!$U$3/100</f>
        <v>14.315</v>
      </c>
      <c r="N714" s="58"/>
      <c r="O714" s="58"/>
      <c r="P714" s="58"/>
      <c r="Q714" s="58"/>
      <c r="R714" s="58"/>
      <c r="S714" s="58"/>
      <c r="W714" s="56">
        <f t="shared" ca="1" si="245"/>
        <v>13</v>
      </c>
      <c r="X714" s="56">
        <f t="shared" ca="1" si="246"/>
        <v>15</v>
      </c>
      <c r="Y714" s="56">
        <f t="shared" ca="1" si="247"/>
        <v>15</v>
      </c>
      <c r="Z714" s="56">
        <f t="shared" ca="1" si="248"/>
        <v>22</v>
      </c>
      <c r="AA714" s="56">
        <f t="shared" ca="1" si="249"/>
        <v>22</v>
      </c>
      <c r="AB714" s="56">
        <f ca="1">_xlfn.CEILING.MATH(INDIRECT(ADDRESS(643,22+MATCH($P$30,'I.A. + Fasce'!$W$84:$AA$84,0),1,1) &amp; ":" &amp; ADDRESS(762,22+MATCH($P$30,'I.A. + Fasce'!$W$84:$AA$84,0),1,1))/Asta!$H$3)</f>
        <v>3</v>
      </c>
    </row>
    <row r="715" spans="1:28" ht="14.25" customHeight="1">
      <c r="A715" s="239" t="str">
        <f ca="1">IF(Giocatori!M117="","A",Giocatori!M117)</f>
        <v>A</v>
      </c>
      <c r="B715" s="239" t="str">
        <f ca="1">IF(Giocatori!N81="","ZZZ" &amp; ROW(),Giocatori!N81)</f>
        <v>PAZZINI</v>
      </c>
      <c r="C715" s="239" t="str">
        <f ca="1">IF(Giocatori!O81="","NDR" &amp; ROW(),Giocatori!O81)</f>
        <v>Verona</v>
      </c>
      <c r="D715" s="63">
        <f t="shared" ca="1" si="239"/>
        <v>75.007149999999996</v>
      </c>
      <c r="E715" s="63">
        <f t="shared" ca="1" si="240"/>
        <v>43.007150000000003</v>
      </c>
      <c r="F715" s="64">
        <f t="shared" ca="1" si="241"/>
        <v>74.427757926020817</v>
      </c>
      <c r="G715" s="63" t="str">
        <f t="shared" ca="1" si="242"/>
        <v>CONSIGLIATO</v>
      </c>
      <c r="H715" s="65">
        <f t="shared" ca="1" si="243"/>
        <v>80</v>
      </c>
      <c r="I715" s="63" t="str">
        <f t="shared" ca="1" si="244"/>
        <v xml:space="preserve">1R </v>
      </c>
      <c r="J715" s="63">
        <f t="shared" ca="1" si="238"/>
        <v>20.307587184396969</v>
      </c>
      <c r="K715" s="63">
        <f t="shared" ca="1" si="238"/>
        <v>20.307587184396969</v>
      </c>
      <c r="L715" s="63" t="e">
        <f ca="1">VLOOKUP(Tabella185[[#This Row],[Calciatore]],'Raccolta Aste'!$P$2:$T$33,4,FALSE)*Asta!$U$3/100</f>
        <v>#N/A</v>
      </c>
      <c r="N715" s="58"/>
      <c r="O715" s="58"/>
      <c r="P715" s="58"/>
      <c r="Q715" s="58"/>
      <c r="R715" s="58"/>
      <c r="S715" s="58"/>
      <c r="W715" s="56">
        <f t="shared" ca="1" si="245"/>
        <v>46</v>
      </c>
      <c r="X715" s="56">
        <f t="shared" ca="1" si="246"/>
        <v>26</v>
      </c>
      <c r="Y715" s="56">
        <f t="shared" ca="1" si="247"/>
        <v>35</v>
      </c>
      <c r="Z715" s="56">
        <f t="shared" ca="1" si="248"/>
        <v>46</v>
      </c>
      <c r="AA715" s="56">
        <f t="shared" ca="1" si="249"/>
        <v>46</v>
      </c>
      <c r="AB715" s="56">
        <f ca="1">_xlfn.CEILING.MATH(INDIRECT(ADDRESS(643,22+MATCH($P$30,'I.A. + Fasce'!$W$84:$AA$84,0),1,1) &amp; ":" &amp; ADDRESS(762,22+MATCH($P$30,'I.A. + Fasce'!$W$84:$AA$84,0),1,1))/Asta!$H$3)</f>
        <v>6</v>
      </c>
    </row>
    <row r="716" spans="1:28" ht="14.25" customHeight="1">
      <c r="A716" s="239" t="str">
        <f ca="1">IF(Giocatori!M118="","A",Giocatori!M118)</f>
        <v>A</v>
      </c>
      <c r="B716" s="239" t="str">
        <f ca="1">IF(Giocatori!N82="","ZZZ" &amp; ROW(),Giocatori!N82)</f>
        <v>PELLEGRI</v>
      </c>
      <c r="C716" s="239" t="str">
        <f ca="1">IF(Giocatori!O82="","NDR" &amp; ROW(),Giocatori!O82)</f>
        <v>Genoa</v>
      </c>
      <c r="D716" s="63">
        <f t="shared" ca="1" si="239"/>
        <v>67.007159999999999</v>
      </c>
      <c r="E716" s="63">
        <f t="shared" ca="1" si="240"/>
        <v>38.007159999999999</v>
      </c>
      <c r="F716" s="64">
        <f t="shared" ca="1" si="241"/>
        <v>64.552188427213324</v>
      </c>
      <c r="G716" s="63" t="str">
        <f t="shared" ca="1" si="242"/>
        <v/>
      </c>
      <c r="H716" s="65">
        <f t="shared" ca="1" si="243"/>
        <v>60</v>
      </c>
      <c r="I716" s="63" t="str">
        <f t="shared" ca="1" si="244"/>
        <v/>
      </c>
      <c r="J716" s="63">
        <f t="shared" ca="1" si="238"/>
        <v>1.0071600000000001</v>
      </c>
      <c r="K716" s="63">
        <f t="shared" ca="1" si="238"/>
        <v>1.0071600000000001</v>
      </c>
      <c r="L716" s="63" t="e">
        <f ca="1">VLOOKUP(Tabella185[[#This Row],[Calciatore]],'Raccolta Aste'!$P$2:$T$33,4,FALSE)*Asta!$U$3/100</f>
        <v>#N/A</v>
      </c>
      <c r="N716" s="58"/>
      <c r="O716" s="58"/>
      <c r="P716" s="58"/>
      <c r="Q716" s="58"/>
      <c r="R716" s="58"/>
      <c r="S716" s="58"/>
      <c r="W716" s="56">
        <f t="shared" ca="1" si="245"/>
        <v>80</v>
      </c>
      <c r="X716" s="56">
        <f t="shared" ca="1" si="246"/>
        <v>67</v>
      </c>
      <c r="Y716" s="56">
        <f t="shared" ca="1" si="247"/>
        <v>73</v>
      </c>
      <c r="Z716" s="56">
        <f t="shared" ca="1" si="248"/>
        <v>75</v>
      </c>
      <c r="AA716" s="56">
        <f t="shared" ca="1" si="249"/>
        <v>75</v>
      </c>
      <c r="AB716" s="56">
        <f ca="1">_xlfn.CEILING.MATH(INDIRECT(ADDRESS(643,22+MATCH($P$30,'I.A. + Fasce'!$W$84:$AA$84,0),1,1) &amp; ":" &amp; ADDRESS(762,22+MATCH($P$30,'I.A. + Fasce'!$W$84:$AA$84,0),1,1))/Asta!$H$3)</f>
        <v>10</v>
      </c>
    </row>
    <row r="717" spans="1:28" ht="14.25" customHeight="1">
      <c r="A717" s="239" t="str">
        <f ca="1">IF(Giocatori!M119="","A",Giocatori!M119)</f>
        <v>A</v>
      </c>
      <c r="B717" s="239" t="str">
        <f ca="1">IF(Giocatori!N83="","ZZZ" &amp; ROW(),Giocatori!N83)</f>
        <v>PELLISSIER</v>
      </c>
      <c r="C717" s="239" t="str">
        <f ca="1">IF(Giocatori!O83="","NDR" &amp; ROW(),Giocatori!O83)</f>
        <v>Chievo</v>
      </c>
      <c r="D717" s="63">
        <f t="shared" ca="1" si="239"/>
        <v>75.007170000000002</v>
      </c>
      <c r="E717" s="63">
        <f t="shared" ca="1" si="240"/>
        <v>39.007170000000002</v>
      </c>
      <c r="F717" s="64">
        <f t="shared" ca="1" si="241"/>
        <v>69.694000928407505</v>
      </c>
      <c r="G717" s="63" t="str">
        <f t="shared" ca="1" si="242"/>
        <v>SORPRESA</v>
      </c>
      <c r="H717" s="65">
        <f t="shared" ca="1" si="243"/>
        <v>60</v>
      </c>
      <c r="I717" s="63" t="str">
        <f t="shared" ca="1" si="244"/>
        <v xml:space="preserve">1R </v>
      </c>
      <c r="J717" s="63">
        <f t="shared" ca="1" si="238"/>
        <v>1.0071699999999999</v>
      </c>
      <c r="K717" s="63">
        <f t="shared" ca="1" si="238"/>
        <v>1.0071699999999999</v>
      </c>
      <c r="L717" s="63" t="e">
        <f ca="1">VLOOKUP(Tabella185[[#This Row],[Calciatore]],'Raccolta Aste'!$P$2:$T$33,4,FALSE)*Asta!$U$3/100</f>
        <v>#N/A</v>
      </c>
      <c r="N717" s="58"/>
      <c r="O717" s="58"/>
      <c r="P717" s="58"/>
      <c r="Q717" s="58"/>
      <c r="R717" s="58"/>
      <c r="S717" s="58"/>
      <c r="W717" s="56">
        <f t="shared" ca="1" si="245"/>
        <v>45</v>
      </c>
      <c r="X717" s="56">
        <f t="shared" ca="1" si="246"/>
        <v>55</v>
      </c>
      <c r="Y717" s="56">
        <f t="shared" ca="1" si="247"/>
        <v>49</v>
      </c>
      <c r="Z717" s="56">
        <f t="shared" ca="1" si="248"/>
        <v>74</v>
      </c>
      <c r="AA717" s="56">
        <f t="shared" ca="1" si="249"/>
        <v>74</v>
      </c>
      <c r="AB717" s="56">
        <f ca="1">_xlfn.CEILING.MATH(INDIRECT(ADDRESS(643,22+MATCH($P$30,'I.A. + Fasce'!$W$84:$AA$84,0),1,1) &amp; ":" &amp; ADDRESS(762,22+MATCH($P$30,'I.A. + Fasce'!$W$84:$AA$84,0),1,1))/Asta!$H$3)</f>
        <v>10</v>
      </c>
    </row>
    <row r="718" spans="1:28" ht="14.25" customHeight="1">
      <c r="A718" s="239" t="str">
        <f ca="1">IF(Giocatori!M120="","A",Giocatori!M120)</f>
        <v>A</v>
      </c>
      <c r="B718" s="239" t="str">
        <f ca="1">IF(Giocatori!N84="","ZZZ" &amp; ROW(),Giocatori!N84)</f>
        <v>PERICA</v>
      </c>
      <c r="C718" s="239" t="str">
        <f ca="1">IF(Giocatori!O84="","NDR" &amp; ROW(),Giocatori!O84)</f>
        <v>Udinese</v>
      </c>
      <c r="D718" s="63">
        <f t="shared" ca="1" si="239"/>
        <v>79.007180000000005</v>
      </c>
      <c r="E718" s="63">
        <f t="shared" ca="1" si="240"/>
        <v>41.007179999999998</v>
      </c>
      <c r="F718" s="64">
        <f t="shared" ca="1" si="241"/>
        <v>74.027600096270021</v>
      </c>
      <c r="G718" s="63" t="str">
        <f t="shared" ca="1" si="242"/>
        <v/>
      </c>
      <c r="H718" s="65">
        <f t="shared" ca="1" si="243"/>
        <v>70</v>
      </c>
      <c r="I718" s="63" t="str">
        <f t="shared" ca="1" si="244"/>
        <v xml:space="preserve">1R </v>
      </c>
      <c r="J718" s="63">
        <f t="shared" ca="1" si="238"/>
        <v>23.566293091808742</v>
      </c>
      <c r="K718" s="63">
        <f t="shared" ca="1" si="238"/>
        <v>23.566293091808742</v>
      </c>
      <c r="L718" s="63" t="e">
        <f ca="1">VLOOKUP(Tabella185[[#This Row],[Calciatore]],'Raccolta Aste'!$P$2:$T$33,4,FALSE)*Asta!$U$3/100</f>
        <v>#N/A</v>
      </c>
      <c r="N718" s="58"/>
      <c r="O718" s="58"/>
      <c r="P718" s="58"/>
      <c r="Q718" s="58"/>
      <c r="R718" s="58"/>
      <c r="S718" s="58"/>
      <c r="W718" s="56">
        <f t="shared" ca="1" si="245"/>
        <v>27</v>
      </c>
      <c r="X718" s="56">
        <f t="shared" ca="1" si="246"/>
        <v>37</v>
      </c>
      <c r="Y718" s="56">
        <f t="shared" ca="1" si="247"/>
        <v>36</v>
      </c>
      <c r="Z718" s="56">
        <f t="shared" ca="1" si="248"/>
        <v>44</v>
      </c>
      <c r="AA718" s="56">
        <f t="shared" ca="1" si="249"/>
        <v>44</v>
      </c>
      <c r="AB718" s="56">
        <f ca="1">_xlfn.CEILING.MATH(INDIRECT(ADDRESS(643,22+MATCH($P$30,'I.A. + Fasce'!$W$84:$AA$84,0),1,1) &amp; ":" &amp; ADDRESS(762,22+MATCH($P$30,'I.A. + Fasce'!$W$84:$AA$84,0),1,1))/Asta!$H$3)</f>
        <v>6</v>
      </c>
    </row>
    <row r="719" spans="1:28" ht="14.25" customHeight="1">
      <c r="A719" s="239" t="str">
        <f ca="1">IF(Giocatori!M121="","A",Giocatori!M121)</f>
        <v>A</v>
      </c>
      <c r="B719" s="239" t="str">
        <f ca="1">IF(Giocatori!N85="","ZZZ" &amp; ROW(),Giocatori!N85)</f>
        <v>PETAGNA</v>
      </c>
      <c r="C719" s="239" t="str">
        <f ca="1">IF(Giocatori!O85="","NDR" &amp; ROW(),Giocatori!O85)</f>
        <v>Atalanta</v>
      </c>
      <c r="D719" s="63">
        <f t="shared" ca="1" si="239"/>
        <v>73.007189999999994</v>
      </c>
      <c r="E719" s="63">
        <f t="shared" ca="1" si="240"/>
        <v>43.007190000000001</v>
      </c>
      <c r="F719" s="64">
        <f t="shared" ca="1" si="241"/>
        <v>73.427866597467499</v>
      </c>
      <c r="G719" s="63" t="str">
        <f t="shared" ca="1" si="242"/>
        <v/>
      </c>
      <c r="H719" s="65">
        <f t="shared" ca="1" si="243"/>
        <v>80</v>
      </c>
      <c r="I719" s="63" t="str">
        <f t="shared" ca="1" si="244"/>
        <v/>
      </c>
      <c r="J719" s="63">
        <f t="shared" ca="1" si="238"/>
        <v>57.128381581658637</v>
      </c>
      <c r="K719" s="63">
        <f t="shared" ca="1" si="238"/>
        <v>57.128381581658637</v>
      </c>
      <c r="L719" s="63">
        <f ca="1">VLOOKUP(Tabella185[[#This Row],[Calciatore]],'Raccolta Aste'!$P$2:$T$33,4,FALSE)*Asta!$U$3/100</f>
        <v>19.495000000000001</v>
      </c>
      <c r="N719" s="58"/>
      <c r="O719" s="58"/>
      <c r="P719" s="58"/>
      <c r="Q719" s="58"/>
      <c r="R719" s="58"/>
      <c r="S719" s="58"/>
      <c r="W719" s="56">
        <f t="shared" ca="1" si="245"/>
        <v>53</v>
      </c>
      <c r="X719" s="56">
        <f t="shared" ca="1" si="246"/>
        <v>25</v>
      </c>
      <c r="Y719" s="56">
        <f t="shared" ca="1" si="247"/>
        <v>38</v>
      </c>
      <c r="Z719" s="56">
        <f t="shared" ca="1" si="248"/>
        <v>21</v>
      </c>
      <c r="AA719" s="56">
        <f t="shared" ca="1" si="249"/>
        <v>21</v>
      </c>
      <c r="AB719" s="56">
        <f ca="1">_xlfn.CEILING.MATH(INDIRECT(ADDRESS(643,22+MATCH($P$30,'I.A. + Fasce'!$W$84:$AA$84,0),1,1) &amp; ":" &amp; ADDRESS(762,22+MATCH($P$30,'I.A. + Fasce'!$W$84:$AA$84,0),1,1))/Asta!$H$3)</f>
        <v>3</v>
      </c>
    </row>
    <row r="720" spans="1:28" ht="14.25" customHeight="1">
      <c r="A720" s="239" t="str">
        <f ca="1">IF(Giocatori!M122="","A",Giocatori!M122)</f>
        <v>A</v>
      </c>
      <c r="B720" s="239" t="str">
        <f ca="1">IF(Giocatori!N86="","ZZZ" &amp; ROW(),Giocatori!N86)</f>
        <v>PETKOVIC</v>
      </c>
      <c r="C720" s="239" t="str">
        <f ca="1">IF(Giocatori!O86="","NDR" &amp; ROW(),Giocatori!O86)</f>
        <v>Bologna</v>
      </c>
      <c r="D720" s="63">
        <f t="shared" ca="1" si="239"/>
        <v>60.007199999999997</v>
      </c>
      <c r="E720" s="63">
        <f t="shared" ca="1" si="240"/>
        <v>35.007199999999997</v>
      </c>
      <c r="F720" s="64">
        <f t="shared" ca="1" si="241"/>
        <v>57.726933765333328</v>
      </c>
      <c r="G720" s="63" t="str">
        <f t="shared" ca="1" si="242"/>
        <v>SCONSIGLIATO</v>
      </c>
      <c r="H720" s="65">
        <f t="shared" ca="1" si="243"/>
        <v>50</v>
      </c>
      <c r="I720" s="63" t="str">
        <f t="shared" ca="1" si="244"/>
        <v/>
      </c>
      <c r="J720" s="63">
        <f t="shared" ca="1" si="238"/>
        <v>1.0072000000000001</v>
      </c>
      <c r="K720" s="63">
        <f t="shared" ca="1" si="238"/>
        <v>1.0072000000000001</v>
      </c>
      <c r="L720" s="63" t="e">
        <f ca="1">VLOOKUP(Tabella185[[#This Row],[Calciatore]],'Raccolta Aste'!$P$2:$T$33,4,FALSE)*Asta!$U$3/100</f>
        <v>#N/A</v>
      </c>
      <c r="N720" s="58"/>
      <c r="O720" s="58"/>
      <c r="P720" s="58"/>
      <c r="Q720" s="58"/>
      <c r="R720" s="58"/>
      <c r="S720" s="58"/>
      <c r="W720" s="56">
        <f t="shared" ca="1" si="245"/>
        <v>88</v>
      </c>
      <c r="X720" s="56">
        <f t="shared" ca="1" si="246"/>
        <v>79</v>
      </c>
      <c r="Y720" s="56">
        <f t="shared" ca="1" si="247"/>
        <v>89</v>
      </c>
      <c r="Z720" s="56">
        <f t="shared" ca="1" si="248"/>
        <v>73</v>
      </c>
      <c r="AA720" s="56">
        <f t="shared" ca="1" si="249"/>
        <v>73</v>
      </c>
      <c r="AB720" s="56">
        <f ca="1">_xlfn.CEILING.MATH(INDIRECT(ADDRESS(643,22+MATCH($P$30,'I.A. + Fasce'!$W$84:$AA$84,0),1,1) &amp; ":" &amp; ADDRESS(762,22+MATCH($P$30,'I.A. + Fasce'!$W$84:$AA$84,0),1,1))/Asta!$H$3)</f>
        <v>10</v>
      </c>
    </row>
    <row r="721" spans="1:28" ht="14.25" customHeight="1">
      <c r="A721" s="239" t="str">
        <f ca="1">IF(Giocatori!M123="","A",Giocatori!M123)</f>
        <v>A</v>
      </c>
      <c r="B721" s="239" t="str">
        <f ca="1">IF(Giocatori!N87="","ZZZ" &amp; ROW(),Giocatori!N87)</f>
        <v>PINAMONTI</v>
      </c>
      <c r="C721" s="239" t="str">
        <f ca="1">IF(Giocatori!O87="","NDR" &amp; ROW(),Giocatori!O87)</f>
        <v>Inter</v>
      </c>
      <c r="D721" s="63">
        <f t="shared" ca="1" si="239"/>
        <v>50.007210000000001</v>
      </c>
      <c r="E721" s="63">
        <f t="shared" ca="1" si="240"/>
        <v>34.007210000000001</v>
      </c>
      <c r="F721" s="64">
        <f t="shared" ca="1" si="241"/>
        <v>51.651839433200841</v>
      </c>
      <c r="G721" s="63" t="str">
        <f t="shared" ca="1" si="242"/>
        <v/>
      </c>
      <c r="H721" s="65">
        <f t="shared" ca="1" si="243"/>
        <v>40</v>
      </c>
      <c r="I721" s="63" t="str">
        <f t="shared" ca="1" si="244"/>
        <v/>
      </c>
      <c r="J721" s="63">
        <f t="shared" ca="1" si="238"/>
        <v>1.0072099999999999</v>
      </c>
      <c r="K721" s="63">
        <f t="shared" ca="1" si="238"/>
        <v>1.0072099999999999</v>
      </c>
      <c r="L721" s="63" t="e">
        <f ca="1">VLOOKUP(Tabella185[[#This Row],[Calciatore]],'Raccolta Aste'!$P$2:$T$33,4,FALSE)*Asta!$U$3/100</f>
        <v>#N/A</v>
      </c>
      <c r="N721" s="58"/>
      <c r="O721" s="58"/>
      <c r="P721" s="58"/>
      <c r="Q721" s="58"/>
      <c r="R721" s="58"/>
      <c r="S721" s="58"/>
      <c r="W721" s="56">
        <f t="shared" ca="1" si="245"/>
        <v>101</v>
      </c>
      <c r="X721" s="56">
        <f t="shared" ca="1" si="246"/>
        <v>87</v>
      </c>
      <c r="Y721" s="56">
        <f t="shared" ca="1" si="247"/>
        <v>98</v>
      </c>
      <c r="Z721" s="56">
        <f t="shared" ca="1" si="248"/>
        <v>72</v>
      </c>
      <c r="AA721" s="56">
        <f t="shared" ca="1" si="249"/>
        <v>72</v>
      </c>
      <c r="AB721" s="56">
        <f ca="1">_xlfn.CEILING.MATH(INDIRECT(ADDRESS(643,22+MATCH($P$30,'I.A. + Fasce'!$W$84:$AA$84,0),1,1) &amp; ":" &amp; ADDRESS(762,22+MATCH($P$30,'I.A. + Fasce'!$W$84:$AA$84,0),1,1))/Asta!$H$3)</f>
        <v>9</v>
      </c>
    </row>
    <row r="722" spans="1:28" ht="14.25" customHeight="1">
      <c r="A722" s="239" t="str">
        <f ca="1">IF(Giocatori!M124="","A",Giocatori!M124)</f>
        <v>A</v>
      </c>
      <c r="B722" s="239" t="str">
        <f ca="1">IF(Giocatori!N88="","ZZZ" &amp; ROW(),Giocatori!N88)</f>
        <v>PJACA</v>
      </c>
      <c r="C722" s="239" t="str">
        <f ca="1">IF(Giocatori!O88="","NDR" &amp; ROW(),Giocatori!O88)</f>
        <v>Juventus</v>
      </c>
      <c r="D722" s="63">
        <f t="shared" ca="1" si="239"/>
        <v>59.007219999999997</v>
      </c>
      <c r="E722" s="63">
        <f t="shared" ca="1" si="240"/>
        <v>39.007219999999997</v>
      </c>
      <c r="F722" s="64">
        <f t="shared" ca="1" si="241"/>
        <v>61.694133434403319</v>
      </c>
      <c r="G722" s="63" t="str">
        <f t="shared" ca="1" si="242"/>
        <v/>
      </c>
      <c r="H722" s="65">
        <f t="shared" ca="1" si="243"/>
        <v>50</v>
      </c>
      <c r="I722" s="63" t="str">
        <f t="shared" ca="1" si="244"/>
        <v/>
      </c>
      <c r="J722" s="63">
        <f t="shared" ca="1" si="238"/>
        <v>50.335193023350421</v>
      </c>
      <c r="K722" s="63">
        <f t="shared" ca="1" si="238"/>
        <v>50.335193023350421</v>
      </c>
      <c r="L722" s="63">
        <f ca="1">VLOOKUP(Tabella185[[#This Row],[Calciatore]],'Raccolta Aste'!$P$2:$T$33,4,FALSE)*Asta!$U$3/100</f>
        <v>0</v>
      </c>
      <c r="N722" s="58"/>
      <c r="O722" s="58"/>
      <c r="P722" s="58"/>
      <c r="Q722" s="58"/>
      <c r="R722" s="58"/>
      <c r="S722" s="58"/>
      <c r="W722" s="56">
        <f t="shared" ca="1" si="245"/>
        <v>92</v>
      </c>
      <c r="X722" s="56">
        <f t="shared" ca="1" si="246"/>
        <v>54</v>
      </c>
      <c r="Y722" s="56">
        <f t="shared" ca="1" si="247"/>
        <v>76</v>
      </c>
      <c r="Z722" s="56">
        <f t="shared" ca="1" si="248"/>
        <v>26</v>
      </c>
      <c r="AA722" s="56">
        <f t="shared" ca="1" si="249"/>
        <v>26</v>
      </c>
      <c r="AB722" s="56">
        <f ca="1">_xlfn.CEILING.MATH(INDIRECT(ADDRESS(643,22+MATCH($P$30,'I.A. + Fasce'!$W$84:$AA$84,0),1,1) &amp; ":" &amp; ADDRESS(762,22+MATCH($P$30,'I.A. + Fasce'!$W$84:$AA$84,0),1,1))/Asta!$H$3)</f>
        <v>4</v>
      </c>
    </row>
    <row r="723" spans="1:28" ht="14.25" customHeight="1">
      <c r="A723" s="239" t="str">
        <f ca="1">IF(Giocatori!M125="","A",Giocatori!M125)</f>
        <v>A</v>
      </c>
      <c r="B723" s="239" t="str">
        <f ca="1">IF(Giocatori!N89="","ZZZ" &amp; ROW(),Giocatori!N89)</f>
        <v>POLITANO</v>
      </c>
      <c r="C723" s="239" t="str">
        <f ca="1">IF(Giocatori!O89="","NDR" &amp; ROW(),Giocatori!O89)</f>
        <v>Sassuolo</v>
      </c>
      <c r="D723" s="63">
        <f t="shared" ca="1" si="239"/>
        <v>78.007230000000007</v>
      </c>
      <c r="E723" s="63">
        <f t="shared" ca="1" si="240"/>
        <v>41.00723</v>
      </c>
      <c r="F723" s="64">
        <f t="shared" ca="1" si="241"/>
        <v>73.527734268940847</v>
      </c>
      <c r="G723" s="63" t="str">
        <f t="shared" ca="1" si="242"/>
        <v/>
      </c>
      <c r="H723" s="65">
        <f t="shared" ca="1" si="243"/>
        <v>80</v>
      </c>
      <c r="I723" s="63" t="str">
        <f t="shared" ca="1" si="244"/>
        <v>3R 2P 2A</v>
      </c>
      <c r="J723" s="63">
        <f t="shared" ref="J723:K742" ca="1" si="250">IF(ISNA(VLOOKUP($B723,TabAlgTutti,3,FALSE)),0,VLOOKUP($B723,TabAlgTutti,3,FALSE))+ROW()/100000</f>
        <v>20.417175097773459</v>
      </c>
      <c r="K723" s="63">
        <f t="shared" ca="1" si="250"/>
        <v>20.417175097773459</v>
      </c>
      <c r="L723" s="63" t="e">
        <f ca="1">VLOOKUP(Tabella185[[#This Row],[Calciatore]],'Raccolta Aste'!$P$2:$T$33,4,FALSE)*Asta!$U$3/100</f>
        <v>#N/A</v>
      </c>
      <c r="N723" s="58"/>
      <c r="O723" s="58"/>
      <c r="P723" s="58"/>
      <c r="Q723" s="58"/>
      <c r="R723" s="58"/>
      <c r="S723" s="58"/>
      <c r="W723" s="56">
        <f t="shared" ca="1" si="245"/>
        <v>30</v>
      </c>
      <c r="X723" s="56">
        <f t="shared" ca="1" si="246"/>
        <v>36</v>
      </c>
      <c r="Y723" s="56">
        <f t="shared" ca="1" si="247"/>
        <v>37</v>
      </c>
      <c r="Z723" s="56">
        <f t="shared" ca="1" si="248"/>
        <v>45</v>
      </c>
      <c r="AA723" s="56">
        <f t="shared" ca="1" si="249"/>
        <v>45</v>
      </c>
      <c r="AB723" s="56">
        <f ca="1">_xlfn.CEILING.MATH(INDIRECT(ADDRESS(643,22+MATCH($P$30,'I.A. + Fasce'!$W$84:$AA$84,0),1,1) &amp; ":" &amp; ADDRESS(762,22+MATCH($P$30,'I.A. + Fasce'!$W$84:$AA$84,0),1,1))/Asta!$H$3)</f>
        <v>6</v>
      </c>
    </row>
    <row r="724" spans="1:28" ht="14.25" customHeight="1">
      <c r="A724" s="239" t="str">
        <f ca="1">IF(Giocatori!M126="","A",Giocatori!M126)</f>
        <v>A</v>
      </c>
      <c r="B724" s="239" t="str">
        <f ca="1">IF(Giocatori!N90="","ZZZ" &amp; ROW(),Giocatori!N90)</f>
        <v>PUCCIARELLI</v>
      </c>
      <c r="C724" s="239" t="str">
        <f ca="1">IF(Giocatori!O90="","NDR" &amp; ROW(),Giocatori!O90)</f>
        <v>Chievo</v>
      </c>
      <c r="D724" s="63">
        <f t="shared" ca="1" si="239"/>
        <v>71.007239999999996</v>
      </c>
      <c r="E724" s="63">
        <f t="shared" ca="1" si="240"/>
        <v>33.007240000000003</v>
      </c>
      <c r="F724" s="64">
        <f t="shared" ca="1" si="241"/>
        <v>61.093462436813333</v>
      </c>
      <c r="G724" s="63" t="str">
        <f t="shared" ca="1" si="242"/>
        <v/>
      </c>
      <c r="H724" s="65">
        <f t="shared" ca="1" si="243"/>
        <v>60</v>
      </c>
      <c r="I724" s="63" t="str">
        <f t="shared" ca="1" si="244"/>
        <v/>
      </c>
      <c r="J724" s="63">
        <f t="shared" ca="1" si="250"/>
        <v>1.0072399999999999</v>
      </c>
      <c r="K724" s="63">
        <f t="shared" ca="1" si="250"/>
        <v>1.0072399999999999</v>
      </c>
      <c r="L724" s="63" t="e">
        <f ca="1">VLOOKUP(Tabella185[[#This Row],[Calciatore]],'Raccolta Aste'!$P$2:$T$33,4,FALSE)*Asta!$U$3/100</f>
        <v>#N/A</v>
      </c>
      <c r="N724" s="58"/>
      <c r="O724" s="58"/>
      <c r="P724" s="58"/>
      <c r="Q724" s="58"/>
      <c r="R724" s="58"/>
      <c r="S724" s="58"/>
      <c r="W724" s="56">
        <f t="shared" ca="1" si="245"/>
        <v>66</v>
      </c>
      <c r="X724" s="56">
        <f t="shared" ca="1" si="246"/>
        <v>92</v>
      </c>
      <c r="Y724" s="56">
        <f t="shared" ca="1" si="247"/>
        <v>79</v>
      </c>
      <c r="Z724" s="56">
        <f t="shared" ca="1" si="248"/>
        <v>71</v>
      </c>
      <c r="AA724" s="56">
        <f t="shared" ca="1" si="249"/>
        <v>71</v>
      </c>
      <c r="AB724" s="56">
        <f ca="1">_xlfn.CEILING.MATH(INDIRECT(ADDRESS(643,22+MATCH($P$30,'I.A. + Fasce'!$W$84:$AA$84,0),1,1) &amp; ":" &amp; ADDRESS(762,22+MATCH($P$30,'I.A. + Fasce'!$W$84:$AA$84,0),1,1))/Asta!$H$3)</f>
        <v>9</v>
      </c>
    </row>
    <row r="725" spans="1:28" ht="14.25" customHeight="1">
      <c r="A725" s="239" t="str">
        <f ca="1">IF(Giocatori!M127="","A",Giocatori!M127)</f>
        <v>A</v>
      </c>
      <c r="B725" s="239" t="str">
        <f ca="1">IF(Giocatori!N91="","ZZZ" &amp; ROW(),Giocatori!N91)</f>
        <v>PUSCAS</v>
      </c>
      <c r="C725" s="239" t="str">
        <f ca="1">IF(Giocatori!O91="","NDR" &amp; ROW(),Giocatori!O91)</f>
        <v>Benevento</v>
      </c>
      <c r="D725" s="63">
        <f t="shared" ca="1" si="239"/>
        <v>71.007249999999999</v>
      </c>
      <c r="E725" s="63">
        <f t="shared" ca="1" si="240"/>
        <v>39.007249999999999</v>
      </c>
      <c r="F725" s="64">
        <f t="shared" ca="1" si="241"/>
        <v>67.69421293802084</v>
      </c>
      <c r="G725" s="63" t="str">
        <f t="shared" ca="1" si="242"/>
        <v>SORPRESA</v>
      </c>
      <c r="H725" s="65">
        <f t="shared" ca="1" si="243"/>
        <v>70</v>
      </c>
      <c r="I725" s="63" t="str">
        <f t="shared" ca="1" si="244"/>
        <v/>
      </c>
      <c r="J725" s="63">
        <f t="shared" ca="1" si="250"/>
        <v>1.00725</v>
      </c>
      <c r="K725" s="63">
        <f t="shared" ca="1" si="250"/>
        <v>1.00725</v>
      </c>
      <c r="L725" s="63" t="e">
        <f ca="1">VLOOKUP(Tabella185[[#This Row],[Calciatore]],'Raccolta Aste'!$P$2:$T$33,4,FALSE)*Asta!$U$3/100</f>
        <v>#N/A</v>
      </c>
      <c r="N725" s="58"/>
      <c r="O725" s="58"/>
      <c r="P725" s="58"/>
      <c r="Q725" s="58"/>
      <c r="R725" s="58"/>
      <c r="S725" s="58"/>
      <c r="W725" s="56">
        <f t="shared" ca="1" si="245"/>
        <v>65</v>
      </c>
      <c r="X725" s="56">
        <f t="shared" ca="1" si="246"/>
        <v>53</v>
      </c>
      <c r="Y725" s="56">
        <f t="shared" ca="1" si="247"/>
        <v>60</v>
      </c>
      <c r="Z725" s="56">
        <f t="shared" ca="1" si="248"/>
        <v>70</v>
      </c>
      <c r="AA725" s="56">
        <f t="shared" ca="1" si="249"/>
        <v>70</v>
      </c>
      <c r="AB725" s="56">
        <f ca="1">_xlfn.CEILING.MATH(INDIRECT(ADDRESS(643,22+MATCH($P$30,'I.A. + Fasce'!$W$84:$AA$84,0),1,1) &amp; ":" &amp; ADDRESS(762,22+MATCH($P$30,'I.A. + Fasce'!$W$84:$AA$84,0),1,1))/Asta!$H$3)</f>
        <v>9</v>
      </c>
    </row>
    <row r="726" spans="1:28" ht="14.25" customHeight="1">
      <c r="A726" s="239" t="str">
        <f ca="1">IF(Giocatori!M128="","A",Giocatori!M128)</f>
        <v>A</v>
      </c>
      <c r="B726" s="239" t="str">
        <f ca="1">IF(Giocatori!N92="","ZZZ" &amp; ROW(),Giocatori!N92)</f>
        <v>QUAGLIARELLA</v>
      </c>
      <c r="C726" s="239" t="str">
        <f ca="1">IF(Giocatori!O92="","NDR" &amp; ROW(),Giocatori!O92)</f>
        <v>Sampdoria</v>
      </c>
      <c r="D726" s="63">
        <f t="shared" ca="1" si="239"/>
        <v>81.007260000000002</v>
      </c>
      <c r="E726" s="63">
        <f t="shared" ca="1" si="240"/>
        <v>44.007260000000002</v>
      </c>
      <c r="F726" s="64">
        <f t="shared" ca="1" si="241"/>
        <v>78.653177772563339</v>
      </c>
      <c r="G726" s="63" t="str">
        <f t="shared" ca="1" si="242"/>
        <v>CONSIGLIATO</v>
      </c>
      <c r="H726" s="65">
        <f t="shared" ca="1" si="243"/>
        <v>80</v>
      </c>
      <c r="I726" s="63" t="str">
        <f t="shared" ca="1" si="244"/>
        <v/>
      </c>
      <c r="J726" s="63">
        <f t="shared" ca="1" si="250"/>
        <v>48.992246613345998</v>
      </c>
      <c r="K726" s="63">
        <f t="shared" ca="1" si="250"/>
        <v>48.992246613345998</v>
      </c>
      <c r="L726" s="63">
        <f ca="1">VLOOKUP(Tabella185[[#This Row],[Calciatore]],'Raccolta Aste'!$P$2:$T$33,4,FALSE)*Asta!$U$3/100</f>
        <v>32.094999999999999</v>
      </c>
      <c r="N726" s="58"/>
      <c r="O726" s="58"/>
      <c r="P726" s="58"/>
      <c r="Q726" s="58"/>
      <c r="R726" s="58"/>
      <c r="S726" s="58"/>
      <c r="W726" s="56">
        <f t="shared" ca="1" si="245"/>
        <v>20</v>
      </c>
      <c r="X726" s="56">
        <f t="shared" ca="1" si="246"/>
        <v>17</v>
      </c>
      <c r="Y726" s="56">
        <f t="shared" ca="1" si="247"/>
        <v>20</v>
      </c>
      <c r="Z726" s="56">
        <f t="shared" ca="1" si="248"/>
        <v>27</v>
      </c>
      <c r="AA726" s="56">
        <f t="shared" ca="1" si="249"/>
        <v>27</v>
      </c>
      <c r="AB726" s="56">
        <f ca="1">_xlfn.CEILING.MATH(INDIRECT(ADDRESS(643,22+MATCH($P$30,'I.A. + Fasce'!$W$84:$AA$84,0),1,1) &amp; ":" &amp; ADDRESS(762,22+MATCH($P$30,'I.A. + Fasce'!$W$84:$AA$84,0),1,1))/Asta!$H$3)</f>
        <v>4</v>
      </c>
    </row>
    <row r="727" spans="1:28" ht="14.25" customHeight="1">
      <c r="A727" s="239" t="str">
        <f ca="1">IF(Giocatori!M79="","A",Giocatori!M79)</f>
        <v>A</v>
      </c>
      <c r="B727" s="239" t="str">
        <f ca="1">IF(Giocatori!N93="","ZZZ" &amp; ROW(),Giocatori!N93)</f>
        <v>RAGUSA</v>
      </c>
      <c r="C727" s="239" t="str">
        <f ca="1">IF(Giocatori!O93="","NDR" &amp; ROW(),Giocatori!O93)</f>
        <v>Sassuolo</v>
      </c>
      <c r="D727" s="63">
        <f t="shared" ca="1" si="239"/>
        <v>70.007270000000005</v>
      </c>
      <c r="E727" s="63">
        <f t="shared" ca="1" si="240"/>
        <v>38.007269999999998</v>
      </c>
      <c r="F727" s="64">
        <f t="shared" ca="1" si="241"/>
        <v>66.052478107107504</v>
      </c>
      <c r="G727" s="63" t="str">
        <f t="shared" ca="1" si="242"/>
        <v/>
      </c>
      <c r="H727" s="65">
        <f t="shared" ca="1" si="243"/>
        <v>60</v>
      </c>
      <c r="I727" s="63" t="str">
        <f t="shared" ca="1" si="244"/>
        <v/>
      </c>
      <c r="J727" s="63">
        <f t="shared" ca="1" si="250"/>
        <v>1.0072700000000001</v>
      </c>
      <c r="K727" s="63">
        <f t="shared" ca="1" si="250"/>
        <v>1.0072700000000001</v>
      </c>
      <c r="L727" s="63" t="e">
        <f ca="1">VLOOKUP(Tabella185[[#This Row],[Calciatore]],'Raccolta Aste'!$P$2:$T$33,4,FALSE)*Asta!$U$3/100</f>
        <v>#N/A</v>
      </c>
      <c r="N727" s="58"/>
      <c r="O727" s="58"/>
      <c r="P727" s="58"/>
      <c r="Q727" s="58"/>
      <c r="R727" s="58"/>
      <c r="S727" s="58"/>
      <c r="W727" s="56">
        <f t="shared" ca="1" si="245"/>
        <v>68</v>
      </c>
      <c r="X727" s="56">
        <f t="shared" ca="1" si="246"/>
        <v>66</v>
      </c>
      <c r="Y727" s="56">
        <f t="shared" ca="1" si="247"/>
        <v>65</v>
      </c>
      <c r="Z727" s="56">
        <f t="shared" ca="1" si="248"/>
        <v>69</v>
      </c>
      <c r="AA727" s="56">
        <f t="shared" ca="1" si="249"/>
        <v>69</v>
      </c>
      <c r="AB727" s="56">
        <f ca="1">_xlfn.CEILING.MATH(INDIRECT(ADDRESS(643,22+MATCH($P$30,'I.A. + Fasce'!$W$84:$AA$84,0),1,1) &amp; ":" &amp; ADDRESS(762,22+MATCH($P$30,'I.A. + Fasce'!$W$84:$AA$84,0),1,1))/Asta!$H$3)</f>
        <v>9</v>
      </c>
    </row>
    <row r="728" spans="1:28" ht="14.25" customHeight="1">
      <c r="A728" s="239" t="str">
        <f ca="1">IF(Giocatori!M80="","A",Giocatori!M80)</f>
        <v>A</v>
      </c>
      <c r="B728" s="239" t="str">
        <f ca="1">IF(Giocatori!N94="","ZZZ" &amp; ROW(),Giocatori!N94)</f>
        <v>RICCI</v>
      </c>
      <c r="C728" s="239" t="str">
        <f ca="1">IF(Giocatori!O94="","NDR" &amp; ROW(),Giocatori!O94)</f>
        <v>Genoa</v>
      </c>
      <c r="D728" s="63">
        <f t="shared" ca="1" si="239"/>
        <v>74.007279999999994</v>
      </c>
      <c r="E728" s="63">
        <f t="shared" ca="1" si="240"/>
        <v>40.007280000000002</v>
      </c>
      <c r="F728" s="64">
        <f t="shared" ca="1" si="241"/>
        <v>70.352747108319988</v>
      </c>
      <c r="G728" s="63" t="str">
        <f t="shared" ca="1" si="242"/>
        <v>SORPRESA</v>
      </c>
      <c r="H728" s="65">
        <f t="shared" ca="1" si="243"/>
        <v>70</v>
      </c>
      <c r="I728" s="63" t="str">
        <f t="shared" ca="1" si="244"/>
        <v/>
      </c>
      <c r="J728" s="63">
        <f t="shared" ca="1" si="250"/>
        <v>13.56389368488839</v>
      </c>
      <c r="K728" s="63">
        <f t="shared" ca="1" si="250"/>
        <v>13.56389368488839</v>
      </c>
      <c r="L728" s="63" t="e">
        <f ca="1">VLOOKUP(Tabella185[[#This Row],[Calciatore]],'Raccolta Aste'!$P$2:$T$33,4,FALSE)*Asta!$U$3/100</f>
        <v>#N/A</v>
      </c>
      <c r="W728" s="56">
        <f t="shared" ca="1" si="245"/>
        <v>50</v>
      </c>
      <c r="X728" s="56">
        <f t="shared" ca="1" si="246"/>
        <v>43</v>
      </c>
      <c r="Y728" s="56">
        <f t="shared" ca="1" si="247"/>
        <v>47</v>
      </c>
      <c r="Z728" s="56">
        <f t="shared" ca="1" si="248"/>
        <v>50</v>
      </c>
      <c r="AA728" s="56">
        <f t="shared" ca="1" si="249"/>
        <v>50</v>
      </c>
      <c r="AB728" s="56">
        <f ca="1">_xlfn.CEILING.MATH(INDIRECT(ADDRESS(643,22+MATCH($P$30,'I.A. + Fasce'!$W$84:$AA$84,0),1,1) &amp; ":" &amp; ADDRESS(762,22+MATCH($P$30,'I.A. + Fasce'!$W$84:$AA$84,0),1,1))/Asta!$H$3)</f>
        <v>7</v>
      </c>
    </row>
    <row r="729" spans="1:28" ht="14.25" customHeight="1">
      <c r="A729" s="239" t="str">
        <f ca="1">IF(Giocatori!M81="","A",Giocatori!M81)</f>
        <v>A</v>
      </c>
      <c r="B729" s="239" t="str">
        <f ca="1">IF(Giocatori!N95="","ZZZ" &amp; ROW(),Giocatori!N95)</f>
        <v>SADIQ</v>
      </c>
      <c r="C729" s="239" t="str">
        <f ca="1">IF(Giocatori!O95="","NDR" &amp; ROW(),Giocatori!O95)</f>
        <v>Torino</v>
      </c>
      <c r="D729" s="63">
        <f t="shared" ca="1" si="239"/>
        <v>59.007289999999998</v>
      </c>
      <c r="E729" s="63">
        <f t="shared" ca="1" si="240"/>
        <v>34.007289999999998</v>
      </c>
      <c r="F729" s="64">
        <f t="shared" ca="1" si="241"/>
        <v>56.152044776200825</v>
      </c>
      <c r="G729" s="63" t="str">
        <f t="shared" ca="1" si="242"/>
        <v/>
      </c>
      <c r="H729" s="65">
        <f t="shared" ca="1" si="243"/>
        <v>40</v>
      </c>
      <c r="I729" s="63" t="str">
        <f t="shared" ca="1" si="244"/>
        <v/>
      </c>
      <c r="J729" s="63">
        <f t="shared" ca="1" si="250"/>
        <v>1.00729</v>
      </c>
      <c r="K729" s="63">
        <f t="shared" ca="1" si="250"/>
        <v>1.00729</v>
      </c>
      <c r="L729" s="63" t="e">
        <f ca="1">VLOOKUP(Tabella185[[#This Row],[Calciatore]],'Raccolta Aste'!$P$2:$T$33,4,FALSE)*Asta!$U$3/100</f>
        <v>#N/A</v>
      </c>
      <c r="O729" s="547" t="s">
        <v>704</v>
      </c>
      <c r="P729" s="547"/>
      <c r="W729" s="56">
        <f t="shared" ca="1" si="245"/>
        <v>91</v>
      </c>
      <c r="X729" s="56">
        <f t="shared" ca="1" si="246"/>
        <v>86</v>
      </c>
      <c r="Y729" s="56">
        <f t="shared" ca="1" si="247"/>
        <v>90</v>
      </c>
      <c r="Z729" s="56">
        <f t="shared" ca="1" si="248"/>
        <v>68</v>
      </c>
      <c r="AA729" s="56">
        <f t="shared" ca="1" si="249"/>
        <v>68</v>
      </c>
      <c r="AB729" s="56">
        <f ca="1">_xlfn.CEILING.MATH(INDIRECT(ADDRESS(643,22+MATCH($P$30,'I.A. + Fasce'!$W$84:$AA$84,0),1,1) &amp; ":" &amp; ADDRESS(762,22+MATCH($P$30,'I.A. + Fasce'!$W$84:$AA$84,0),1,1))/Asta!$H$3)</f>
        <v>9</v>
      </c>
    </row>
    <row r="730" spans="1:28" ht="14.25" customHeight="1">
      <c r="A730" s="239" t="str">
        <f ca="1">IF(Giocatori!M82="","A",Giocatori!M82)</f>
        <v>A</v>
      </c>
      <c r="B730" s="239" t="str">
        <f ca="1">IF(Giocatori!N96="","ZZZ" &amp; ROW(),Giocatori!N96)</f>
        <v>SALCEDO MORA</v>
      </c>
      <c r="C730" s="239" t="str">
        <f ca="1">IF(Giocatori!O96="","NDR" &amp; ROW(),Giocatori!O96)</f>
        <v>Genoa</v>
      </c>
      <c r="D730" s="63">
        <f t="shared" ca="1" si="239"/>
        <v>60.007300000000001</v>
      </c>
      <c r="E730" s="63">
        <f t="shared" ca="1" si="240"/>
        <v>38.007300000000001</v>
      </c>
      <c r="F730" s="64">
        <f t="shared" ca="1" si="241"/>
        <v>61.052557110750008</v>
      </c>
      <c r="G730" s="63" t="str">
        <f t="shared" ca="1" si="242"/>
        <v/>
      </c>
      <c r="H730" s="65">
        <f t="shared" ca="1" si="243"/>
        <v>60</v>
      </c>
      <c r="I730" s="63" t="str">
        <f t="shared" ca="1" si="244"/>
        <v/>
      </c>
      <c r="J730" s="63">
        <f t="shared" ca="1" si="250"/>
        <v>1.0073000000000001</v>
      </c>
      <c r="K730" s="63">
        <f t="shared" ca="1" si="250"/>
        <v>1.0073000000000001</v>
      </c>
      <c r="L730" s="63" t="e">
        <f ca="1">VLOOKUP(Tabella185[[#This Row],[Calciatore]],'Raccolta Aste'!$P$2:$T$33,4,FALSE)*Asta!$U$3/100</f>
        <v>#N/A</v>
      </c>
      <c r="W730" s="56">
        <f t="shared" ca="1" si="245"/>
        <v>87</v>
      </c>
      <c r="X730" s="56">
        <f t="shared" ca="1" si="246"/>
        <v>65</v>
      </c>
      <c r="Y730" s="56">
        <f t="shared" ca="1" si="247"/>
        <v>80</v>
      </c>
      <c r="Z730" s="56">
        <f t="shared" ca="1" si="248"/>
        <v>67</v>
      </c>
      <c r="AA730" s="56">
        <f t="shared" ca="1" si="249"/>
        <v>67</v>
      </c>
      <c r="AB730" s="56">
        <f ca="1">_xlfn.CEILING.MATH(INDIRECT(ADDRESS(643,22+MATCH($P$30,'I.A. + Fasce'!$W$84:$AA$84,0),1,1) &amp; ":" &amp; ADDRESS(762,22+MATCH($P$30,'I.A. + Fasce'!$W$84:$AA$84,0),1,1))/Asta!$H$3)</f>
        <v>9</v>
      </c>
    </row>
    <row r="731" spans="1:28" ht="14.25" customHeight="1">
      <c r="A731" s="239" t="str">
        <f ca="1">IF(Giocatori!M83="","A",Giocatori!M83)</f>
        <v>A</v>
      </c>
      <c r="B731" s="239" t="str">
        <f ca="1">IF(Giocatori!N97="","ZZZ" &amp; ROW(),Giocatori!N97)</f>
        <v>SAU</v>
      </c>
      <c r="C731" s="239" t="str">
        <f ca="1">IF(Giocatori!O97="","NDR" &amp; ROW(),Giocatori!O97)</f>
        <v>Cagliari</v>
      </c>
      <c r="D731" s="63">
        <f t="shared" ca="1" si="239"/>
        <v>77.007310000000004</v>
      </c>
      <c r="E731" s="63">
        <f t="shared" ca="1" si="240"/>
        <v>39.007309999999997</v>
      </c>
      <c r="F731" s="64">
        <f t="shared" ca="1" si="241"/>
        <v>70.69437194530083</v>
      </c>
      <c r="G731" s="63" t="str">
        <f t="shared" ca="1" si="242"/>
        <v/>
      </c>
      <c r="H731" s="65">
        <f t="shared" ca="1" si="243"/>
        <v>70</v>
      </c>
      <c r="I731" s="63" t="str">
        <f t="shared" ca="1" si="244"/>
        <v/>
      </c>
      <c r="J731" s="63">
        <f t="shared" ca="1" si="250"/>
        <v>11.458575801335297</v>
      </c>
      <c r="K731" s="63">
        <f t="shared" ca="1" si="250"/>
        <v>11.458575801335297</v>
      </c>
      <c r="L731" s="63" t="e">
        <f ca="1">VLOOKUP(Tabella185[[#This Row],[Calciatore]],'Raccolta Aste'!$P$2:$T$33,4,FALSE)*Asta!$U$3/100</f>
        <v>#N/A</v>
      </c>
      <c r="W731" s="56">
        <f t="shared" ca="1" si="245"/>
        <v>37</v>
      </c>
      <c r="X731" s="56">
        <f t="shared" ca="1" si="246"/>
        <v>52</v>
      </c>
      <c r="Y731" s="56">
        <f t="shared" ca="1" si="247"/>
        <v>46</v>
      </c>
      <c r="Z731" s="56">
        <f t="shared" ca="1" si="248"/>
        <v>53</v>
      </c>
      <c r="AA731" s="56">
        <f t="shared" ca="1" si="249"/>
        <v>53</v>
      </c>
      <c r="AB731" s="56">
        <f ca="1">_xlfn.CEILING.MATH(INDIRECT(ADDRESS(643,22+MATCH($P$30,'I.A. + Fasce'!$W$84:$AA$84,0),1,1) &amp; ":" &amp; ADDRESS(762,22+MATCH($P$30,'I.A. + Fasce'!$W$84:$AA$84,0),1,1))/Asta!$H$3)</f>
        <v>7</v>
      </c>
    </row>
    <row r="732" spans="1:28" ht="14.25" customHeight="1">
      <c r="A732" s="239" t="str">
        <f ca="1">IF(Giocatori!M84="","A",Giocatori!M84)</f>
        <v>A</v>
      </c>
      <c r="B732" s="239" t="str">
        <f ca="1">IF(Giocatori!N98="","ZZZ" &amp; ROW(),Giocatori!N98)</f>
        <v>SCAMACCA</v>
      </c>
      <c r="C732" s="239" t="str">
        <f ca="1">IF(Giocatori!O98="","NDR" &amp; ROW(),Giocatori!O98)</f>
        <v>Sassuolo</v>
      </c>
      <c r="D732" s="63">
        <f t="shared" ca="1" si="239"/>
        <v>60.00732</v>
      </c>
      <c r="E732" s="63">
        <f t="shared" ca="1" si="240"/>
        <v>30.00732</v>
      </c>
      <c r="F732" s="64">
        <f t="shared" ca="1" si="241"/>
        <v>52.518300446519994</v>
      </c>
      <c r="G732" s="63" t="str">
        <f t="shared" ca="1" si="242"/>
        <v/>
      </c>
      <c r="H732" s="65">
        <f t="shared" ca="1" si="243"/>
        <v>30</v>
      </c>
      <c r="I732" s="63" t="str">
        <f t="shared" ca="1" si="244"/>
        <v/>
      </c>
      <c r="J732" s="63">
        <f t="shared" ca="1" si="250"/>
        <v>1.00732</v>
      </c>
      <c r="K732" s="63">
        <f t="shared" ca="1" si="250"/>
        <v>1.00732</v>
      </c>
      <c r="L732" s="63" t="e">
        <f ca="1">VLOOKUP(Tabella185[[#This Row],[Calciatore]],'Raccolta Aste'!$P$2:$T$33,4,FALSE)*Asta!$U$3/100</f>
        <v>#N/A</v>
      </c>
      <c r="W732" s="56">
        <f t="shared" ca="1" si="245"/>
        <v>86</v>
      </c>
      <c r="X732" s="56">
        <f t="shared" ca="1" si="246"/>
        <v>101</v>
      </c>
      <c r="Y732" s="56">
        <f t="shared" ca="1" si="247"/>
        <v>97</v>
      </c>
      <c r="Z732" s="56">
        <f t="shared" ca="1" si="248"/>
        <v>66</v>
      </c>
      <c r="AA732" s="56">
        <f t="shared" ca="1" si="249"/>
        <v>66</v>
      </c>
      <c r="AB732" s="56">
        <f ca="1">_xlfn.CEILING.MATH(INDIRECT(ADDRESS(643,22+MATCH($P$30,'I.A. + Fasce'!$W$84:$AA$84,0),1,1) &amp; ":" &amp; ADDRESS(762,22+MATCH($P$30,'I.A. + Fasce'!$W$84:$AA$84,0),1,1))/Asta!$H$3)</f>
        <v>9</v>
      </c>
    </row>
    <row r="733" spans="1:28" ht="14.25" customHeight="1">
      <c r="A733" s="239" t="str">
        <f ca="1">IF(Giocatori!M85="","A",Giocatori!M85)</f>
        <v>A</v>
      </c>
      <c r="B733" s="239" t="str">
        <f ca="1">IF(Giocatori!N99="","ZZZ" &amp; ROW(),Giocatori!N99)</f>
        <v>SCHICK</v>
      </c>
      <c r="C733" s="239" t="str">
        <f ca="1">IF(Giocatori!O99="","NDR" &amp; ROW(),Giocatori!O99)</f>
        <v>Roma</v>
      </c>
      <c r="D733" s="63">
        <f t="shared" ca="1" si="239"/>
        <v>80.007329999999996</v>
      </c>
      <c r="E733" s="63">
        <f t="shared" ca="1" si="240"/>
        <v>46.007330000000003</v>
      </c>
      <c r="F733" s="64">
        <f t="shared" ca="1" si="241"/>
        <v>80.653613447740824</v>
      </c>
      <c r="G733" s="63" t="str">
        <f t="shared" ca="1" si="242"/>
        <v>CONSIGLIATO</v>
      </c>
      <c r="H733" s="65">
        <f t="shared" ca="1" si="243"/>
        <v>80</v>
      </c>
      <c r="I733" s="63" t="str">
        <f t="shared" ca="1" si="244"/>
        <v/>
      </c>
      <c r="J733" s="63">
        <f t="shared" ca="1" si="250"/>
        <v>106.16010730707974</v>
      </c>
      <c r="K733" s="63">
        <f t="shared" ca="1" si="250"/>
        <v>106.16010730707974</v>
      </c>
      <c r="L733" s="63">
        <f ca="1">VLOOKUP(Tabella185[[#This Row],[Calciatore]],'Raccolta Aste'!$P$2:$T$33,4,FALSE)*Asta!$U$3/100</f>
        <v>12.565</v>
      </c>
      <c r="W733" s="56">
        <f t="shared" ca="1" si="245"/>
        <v>22</v>
      </c>
      <c r="X733" s="56">
        <f t="shared" ca="1" si="246"/>
        <v>13</v>
      </c>
      <c r="Y733" s="56">
        <f t="shared" ca="1" si="247"/>
        <v>16</v>
      </c>
      <c r="Z733" s="56">
        <f t="shared" ca="1" si="248"/>
        <v>12</v>
      </c>
      <c r="AA733" s="56">
        <f t="shared" ca="1" si="249"/>
        <v>12</v>
      </c>
      <c r="AB733" s="56">
        <f ca="1">_xlfn.CEILING.MATH(INDIRECT(ADDRESS(643,22+MATCH($P$30,'I.A. + Fasce'!$W$84:$AA$84,0),1,1) &amp; ":" &amp; ADDRESS(762,22+MATCH($P$30,'I.A. + Fasce'!$W$84:$AA$84,0),1,1))/Asta!$H$3)</f>
        <v>2</v>
      </c>
    </row>
    <row r="734" spans="1:28" ht="14.25" customHeight="1">
      <c r="A734" s="239" t="str">
        <f ca="1">IF(Giocatori!M86="","A",Giocatori!M86)</f>
        <v>A</v>
      </c>
      <c r="B734" s="239" t="str">
        <f ca="1">IF(Giocatori!N100="","ZZZ" &amp; ROW(),Giocatori!N100)</f>
        <v>SIMEONE</v>
      </c>
      <c r="C734" s="239" t="str">
        <f ca="1">IF(Giocatori!O100="","NDR" &amp; ROW(),Giocatori!O100)</f>
        <v>Fiorentina</v>
      </c>
      <c r="D734" s="63">
        <f t="shared" ca="1" si="239"/>
        <v>84.007339999999999</v>
      </c>
      <c r="E734" s="63">
        <f t="shared" ca="1" si="240"/>
        <v>50.007339999999999</v>
      </c>
      <c r="F734" s="64">
        <f t="shared" ca="1" si="241"/>
        <v>87.854130448963332</v>
      </c>
      <c r="G734" s="63" t="str">
        <f t="shared" ca="1" si="242"/>
        <v>CONSIGLIATO</v>
      </c>
      <c r="H734" s="65">
        <f t="shared" ca="1" si="243"/>
        <v>80</v>
      </c>
      <c r="I734" s="63" t="str">
        <f t="shared" ca="1" si="244"/>
        <v xml:space="preserve">1R </v>
      </c>
      <c r="J734" s="63">
        <f t="shared" ca="1" si="250"/>
        <v>94.131022516013203</v>
      </c>
      <c r="K734" s="63">
        <f t="shared" ca="1" si="250"/>
        <v>94.131022516013203</v>
      </c>
      <c r="L734" s="63">
        <f ca="1">VLOOKUP(Tabella185[[#This Row],[Calciatore]],'Raccolta Aste'!$P$2:$T$33,4,FALSE)*Asta!$U$3/100</f>
        <v>55.475000000000001</v>
      </c>
      <c r="W734" s="56">
        <f t="shared" ca="1" si="245"/>
        <v>15</v>
      </c>
      <c r="X734" s="56">
        <f t="shared" ca="1" si="246"/>
        <v>7</v>
      </c>
      <c r="Y734" s="56">
        <f t="shared" ca="1" si="247"/>
        <v>11</v>
      </c>
      <c r="Z734" s="56">
        <f t="shared" ca="1" si="248"/>
        <v>14</v>
      </c>
      <c r="AA734" s="56">
        <f t="shared" ca="1" si="249"/>
        <v>14</v>
      </c>
      <c r="AB734" s="56">
        <f ca="1">_xlfn.CEILING.MATH(INDIRECT(ADDRESS(643,22+MATCH($P$30,'I.A. + Fasce'!$W$84:$AA$84,0),1,1) &amp; ":" &amp; ADDRESS(762,22+MATCH($P$30,'I.A. + Fasce'!$W$84:$AA$84,0),1,1))/Asta!$H$3)</f>
        <v>2</v>
      </c>
    </row>
    <row r="735" spans="1:28" ht="14.25" customHeight="1">
      <c r="A735" s="239" t="str">
        <f ca="1">IF(Giocatori!M87="","A",Giocatori!M87)</f>
        <v>A</v>
      </c>
      <c r="B735" s="239" t="str">
        <f ca="1">IF(Giocatori!N101="","ZZZ" &amp; ROW(),Giocatori!N101)</f>
        <v>SIMY</v>
      </c>
      <c r="C735" s="239" t="str">
        <f ca="1">IF(Giocatori!O101="","NDR" &amp; ROW(),Giocatori!O101)</f>
        <v>Crotone</v>
      </c>
      <c r="D735" s="63">
        <f t="shared" ca="1" si="239"/>
        <v>66.007350000000002</v>
      </c>
      <c r="E735" s="63">
        <f t="shared" ca="1" si="240"/>
        <v>34.007350000000002</v>
      </c>
      <c r="F735" s="64">
        <f t="shared" ca="1" si="241"/>
        <v>59.652198783520838</v>
      </c>
      <c r="G735" s="63" t="str">
        <f t="shared" ca="1" si="242"/>
        <v/>
      </c>
      <c r="H735" s="65">
        <f t="shared" ca="1" si="243"/>
        <v>50</v>
      </c>
      <c r="I735" s="63" t="str">
        <f t="shared" ca="1" si="244"/>
        <v/>
      </c>
      <c r="J735" s="63">
        <f t="shared" ca="1" si="250"/>
        <v>1.00735</v>
      </c>
      <c r="K735" s="63">
        <f t="shared" ca="1" si="250"/>
        <v>1.00735</v>
      </c>
      <c r="L735" s="63" t="e">
        <f ca="1">VLOOKUP(Tabella185[[#This Row],[Calciatore]],'Raccolta Aste'!$P$2:$T$33,4,FALSE)*Asta!$U$3/100</f>
        <v>#N/A</v>
      </c>
      <c r="W735" s="56">
        <f t="shared" ca="1" si="245"/>
        <v>83</v>
      </c>
      <c r="X735" s="56">
        <f t="shared" ca="1" si="246"/>
        <v>85</v>
      </c>
      <c r="Y735" s="56">
        <f t="shared" ca="1" si="247"/>
        <v>84</v>
      </c>
      <c r="Z735" s="56">
        <f t="shared" ca="1" si="248"/>
        <v>65</v>
      </c>
      <c r="AA735" s="56">
        <f t="shared" ca="1" si="249"/>
        <v>65</v>
      </c>
      <c r="AB735" s="56">
        <f ca="1">_xlfn.CEILING.MATH(INDIRECT(ADDRESS(643,22+MATCH($P$30,'I.A. + Fasce'!$W$84:$AA$84,0),1,1) &amp; ":" &amp; ADDRESS(762,22+MATCH($P$30,'I.A. + Fasce'!$W$84:$AA$84,0),1,1))/Asta!$H$3)</f>
        <v>9</v>
      </c>
    </row>
    <row r="736" spans="1:28" ht="14.25" customHeight="1">
      <c r="A736" s="239" t="str">
        <f ca="1">IF(Giocatori!M88="","A",Giocatori!M88)</f>
        <v>A</v>
      </c>
      <c r="B736" s="239" t="str">
        <f ca="1">IF(Giocatori!N102="","ZZZ" &amp; ROW(),Giocatori!N102)</f>
        <v>STEPINSKI</v>
      </c>
      <c r="C736" s="239" t="str">
        <f ca="1">IF(Giocatori!O102="","NDR" &amp; ROW(),Giocatori!O102)</f>
        <v>Chievo</v>
      </c>
      <c r="D736" s="63">
        <f t="shared" ca="1" si="239"/>
        <v>58.007359999999998</v>
      </c>
      <c r="E736" s="63">
        <f t="shared" ca="1" si="240"/>
        <v>31.007359999999998</v>
      </c>
      <c r="F736" s="64">
        <f t="shared" ca="1" si="241"/>
        <v>52.52685645141333</v>
      </c>
      <c r="G736" s="63" t="str">
        <f t="shared" ca="1" si="242"/>
        <v/>
      </c>
      <c r="H736" s="65">
        <f t="shared" ca="1" si="243"/>
        <v>50</v>
      </c>
      <c r="I736" s="63" t="str">
        <f t="shared" ca="1" si="244"/>
        <v/>
      </c>
      <c r="J736" s="63">
        <f t="shared" ca="1" si="250"/>
        <v>1.00736</v>
      </c>
      <c r="K736" s="63">
        <f t="shared" ca="1" si="250"/>
        <v>1.00736</v>
      </c>
      <c r="L736" s="63" t="e">
        <f ca="1">VLOOKUP(Tabella185[[#This Row],[Calciatore]],'Raccolta Aste'!$P$2:$T$33,4,FALSE)*Asta!$U$3/100</f>
        <v>#N/A</v>
      </c>
      <c r="W736" s="56">
        <f t="shared" ca="1" si="245"/>
        <v>95</v>
      </c>
      <c r="X736" s="56">
        <f t="shared" ca="1" si="246"/>
        <v>97</v>
      </c>
      <c r="Y736" s="56">
        <f t="shared" ca="1" si="247"/>
        <v>96</v>
      </c>
      <c r="Z736" s="56">
        <f t="shared" ca="1" si="248"/>
        <v>64</v>
      </c>
      <c r="AA736" s="56">
        <f t="shared" ca="1" si="249"/>
        <v>64</v>
      </c>
      <c r="AB736" s="56">
        <f ca="1">_xlfn.CEILING.MATH(INDIRECT(ADDRESS(643,22+MATCH($P$30,'I.A. + Fasce'!$W$84:$AA$84,0),1,1) &amp; ":" &amp; ADDRESS(762,22+MATCH($P$30,'I.A. + Fasce'!$W$84:$AA$84,0),1,1))/Asta!$H$3)</f>
        <v>8</v>
      </c>
    </row>
    <row r="737" spans="1:28" ht="14.25" customHeight="1">
      <c r="A737" s="239" t="str">
        <f ca="1">IF(Giocatori!M89="","A",Giocatori!M89)</f>
        <v>A</v>
      </c>
      <c r="B737" s="239" t="str">
        <f ca="1">IF(Giocatori!N103="","ZZZ" &amp; ROW(),Giocatori!N103)</f>
        <v>SUSO</v>
      </c>
      <c r="C737" s="239" t="str">
        <f ca="1">IF(Giocatori!O103="","NDR" &amp; ROW(),Giocatori!O103)</f>
        <v>Milan</v>
      </c>
      <c r="D737" s="63">
        <f t="shared" ca="1" si="239"/>
        <v>93.007369999999995</v>
      </c>
      <c r="E737" s="63">
        <f t="shared" ca="1" si="240"/>
        <v>43.007370000000002</v>
      </c>
      <c r="F737" s="64">
        <f t="shared" ca="1" si="241"/>
        <v>83.428355619307496</v>
      </c>
      <c r="G737" s="63" t="str">
        <f t="shared" ca="1" si="242"/>
        <v/>
      </c>
      <c r="H737" s="65">
        <f t="shared" ca="1" si="243"/>
        <v>80</v>
      </c>
      <c r="I737" s="63" t="str">
        <f t="shared" ca="1" si="244"/>
        <v xml:space="preserve">3P </v>
      </c>
      <c r="J737" s="63">
        <f t="shared" ca="1" si="250"/>
        <v>68.577963418510947</v>
      </c>
      <c r="K737" s="63">
        <f t="shared" ca="1" si="250"/>
        <v>68.577963418510947</v>
      </c>
      <c r="L737" s="63">
        <f ca="1">VLOOKUP(Tabella185[[#This Row],[Calciatore]],'Raccolta Aste'!$P$2:$T$33,4,FALSE)*Asta!$U$3/100</f>
        <v>25.69</v>
      </c>
      <c r="W737" s="56">
        <f t="shared" ca="1" si="245"/>
        <v>6</v>
      </c>
      <c r="X737" s="56">
        <f t="shared" ca="1" si="246"/>
        <v>24</v>
      </c>
      <c r="Y737" s="56">
        <f t="shared" ca="1" si="247"/>
        <v>13</v>
      </c>
      <c r="Z737" s="56">
        <f t="shared" ca="1" si="248"/>
        <v>18</v>
      </c>
      <c r="AA737" s="56">
        <f t="shared" ca="1" si="249"/>
        <v>18</v>
      </c>
      <c r="AB737" s="56">
        <f ca="1">_xlfn.CEILING.MATH(INDIRECT(ADDRESS(643,22+MATCH($P$30,'I.A. + Fasce'!$W$84:$AA$84,0),1,1) &amp; ":" &amp; ADDRESS(762,22+MATCH($P$30,'I.A. + Fasce'!$W$84:$AA$84,0),1,1))/Asta!$H$3)</f>
        <v>3</v>
      </c>
    </row>
    <row r="738" spans="1:28" ht="14.25" customHeight="1">
      <c r="A738" s="239" t="str">
        <f ca="1">IF(Giocatori!M90="","A",Giocatori!M90)</f>
        <v>A</v>
      </c>
      <c r="B738" s="239" t="str">
        <f ca="1">IF(Giocatori!N104="","ZZZ" &amp; ROW(),Giocatori!N104)</f>
        <v>TAARABT</v>
      </c>
      <c r="C738" s="239" t="str">
        <f ca="1">IF(Giocatori!O104="","NDR" &amp; ROW(),Giocatori!O104)</f>
        <v>Genoa</v>
      </c>
      <c r="D738" s="63">
        <f t="shared" ca="1" si="239"/>
        <v>67.007379999999998</v>
      </c>
      <c r="E738" s="63">
        <f t="shared" ca="1" si="240"/>
        <v>39.007379999999998</v>
      </c>
      <c r="F738" s="64">
        <f t="shared" ca="1" si="241"/>
        <v>65.69455745386999</v>
      </c>
      <c r="G738" s="63" t="str">
        <f t="shared" ca="1" si="242"/>
        <v/>
      </c>
      <c r="H738" s="65">
        <f t="shared" ca="1" si="243"/>
        <v>70</v>
      </c>
      <c r="I738" s="63" t="str">
        <f t="shared" ca="1" si="244"/>
        <v/>
      </c>
      <c r="J738" s="63">
        <f t="shared" ca="1" si="250"/>
        <v>4.2441712698681497</v>
      </c>
      <c r="K738" s="63">
        <f t="shared" ca="1" si="250"/>
        <v>4.2441712698681497</v>
      </c>
      <c r="L738" s="63" t="e">
        <f ca="1">VLOOKUP(Tabella185[[#This Row],[Calciatore]],'Raccolta Aste'!$P$2:$T$33,4,FALSE)*Asta!$U$3/100</f>
        <v>#N/A</v>
      </c>
      <c r="W738" s="56">
        <f t="shared" ca="1" si="245"/>
        <v>79</v>
      </c>
      <c r="X738" s="56">
        <f t="shared" ca="1" si="246"/>
        <v>51</v>
      </c>
      <c r="Y738" s="56">
        <f t="shared" ca="1" si="247"/>
        <v>67</v>
      </c>
      <c r="Z738" s="56">
        <f t="shared" ca="1" si="248"/>
        <v>57</v>
      </c>
      <c r="AA738" s="56">
        <f t="shared" ca="1" si="249"/>
        <v>57</v>
      </c>
      <c r="AB738" s="56">
        <f ca="1">_xlfn.CEILING.MATH(INDIRECT(ADDRESS(643,22+MATCH($P$30,'I.A. + Fasce'!$W$84:$AA$84,0),1,1) &amp; ":" &amp; ADDRESS(762,22+MATCH($P$30,'I.A. + Fasce'!$W$84:$AA$84,0),1,1))/Asta!$H$3)</f>
        <v>8</v>
      </c>
    </row>
    <row r="739" spans="1:28" ht="14.25" customHeight="1">
      <c r="A739" s="239" t="str">
        <f ca="1">IF(Giocatori!M91="","A",Giocatori!M91)</f>
        <v>A</v>
      </c>
      <c r="B739" s="239" t="str">
        <f ca="1">IF(Giocatori!N105="","ZZZ" &amp; ROW(),Giocatori!N105)</f>
        <v>THEREAU</v>
      </c>
      <c r="C739" s="239" t="str">
        <f ca="1">IF(Giocatori!O105="","NDR" &amp; ROW(),Giocatori!O105)</f>
        <v>Fiorentina</v>
      </c>
      <c r="D739" s="63">
        <f t="shared" ref="D739:D762" ca="1" si="251">IF(ISNA(VLOOKUP($B739,TabAlgTutti,6,FALSE)),0,VLOOKUP($B739,TabAlgTutti,6,FALSE))+ROW()/100000</f>
        <v>83.007390000000001</v>
      </c>
      <c r="E739" s="63">
        <f t="shared" ref="E739:E762" ca="1" si="252">IF(ISNA(VLOOKUP($B739,TabAlgTutti,5,FALSE)),0,VLOOKUP($B739,TabAlgTutti,5,FALSE))+ROW()/100000</f>
        <v>42.007390000000001</v>
      </c>
      <c r="F739" s="64">
        <f t="shared" ref="F739:F762" ca="1" si="253">($D739*$P$8+$E739*(1+$E739*100/60/100)*$S$8)/100+ROW()/100000</f>
        <v>77.219953455100821</v>
      </c>
      <c r="G739" s="63" t="str">
        <f t="shared" ref="G739:G762" ca="1" si="254">IF(ISNA(VLOOKUP($B739,TabAlgTutti,7,FALSE)),"",IF(VLOOKUP($B739,TabAlgTutti,7,FALSE)=-1,"SCONSIGLIATO",IF(VLOOKUP($B739,TabAlgTutti,7,FALSE)=0,"SORPRESA",IF(VLOOKUP($B739,TabAlgTutti,7,FALSE)=1,"CONSIGLIATO",""))))</f>
        <v/>
      </c>
      <c r="H739" s="65">
        <f t="shared" ref="H739:H762" ca="1" si="255">IF(ISNA(VLOOKUP($B739,TabAlgTutti,8,FALSE)),"",VLOOKUP($B739,TabAlgTutti,8,FALSE))</f>
        <v>70</v>
      </c>
      <c r="I739" s="63" t="str">
        <f t="shared" ref="I739:I762" ca="1" si="256">IF(ISNA(VLOOKUP($B739,TabAlgTutti,9,FALSE)),"",IF(VLOOKUP($B739,TabAlgTutti,9,FALSE)="","",VLOOKUP($B739,TabAlgTutti,9,FALSE)&amp;"R "))&amp;IF(ISNA(VLOOKUP($B739,TabAlgTutti,10,FALSE)),"",IF(VLOOKUP($B739,TabAlgTutti,10,FALSE)="","",VLOOKUP($B739,TabAlgTutti,10,FALSE)&amp;"P "))&amp;IF(ISNA(VLOOKUP($B739,TabAlgTutti,11,FALSE)),"",IF(VLOOKUP($B739,TabAlgTutti,11,FALSE)="","",VLOOKUP($B739,TabAlgTutti,11,FALSE)&amp;"A"))</f>
        <v/>
      </c>
      <c r="J739" s="63">
        <f t="shared" ca="1" si="250"/>
        <v>34.484675051004857</v>
      </c>
      <c r="K739" s="63">
        <f t="shared" ca="1" si="250"/>
        <v>34.484675051004857</v>
      </c>
      <c r="L739" s="63" t="e">
        <f ca="1">VLOOKUP(Tabella185[[#This Row],[Calciatore]],'Raccolta Aste'!$P$2:$T$33,4,FALSE)*Asta!$U$3/100</f>
        <v>#N/A</v>
      </c>
      <c r="W739" s="56">
        <f t="shared" ca="1" si="245"/>
        <v>18</v>
      </c>
      <c r="X739" s="56">
        <f t="shared" ca="1" si="246"/>
        <v>31</v>
      </c>
      <c r="Y739" s="56">
        <f t="shared" ca="1" si="247"/>
        <v>23</v>
      </c>
      <c r="Z739" s="56">
        <f t="shared" ca="1" si="248"/>
        <v>34</v>
      </c>
      <c r="AA739" s="56">
        <f t="shared" ca="1" si="249"/>
        <v>34</v>
      </c>
      <c r="AB739" s="56">
        <f ca="1">_xlfn.CEILING.MATH(INDIRECT(ADDRESS(643,22+MATCH($P$30,'I.A. + Fasce'!$W$84:$AA$84,0),1,1) &amp; ":" &amp; ADDRESS(762,22+MATCH($P$30,'I.A. + Fasce'!$W$84:$AA$84,0),1,1))/Asta!$H$3)</f>
        <v>5</v>
      </c>
    </row>
    <row r="740" spans="1:28" ht="14.25" customHeight="1">
      <c r="A740" s="239" t="str">
        <f ca="1">IF(Giocatori!M92="","A",Giocatori!M92)</f>
        <v>A</v>
      </c>
      <c r="B740" s="239" t="str">
        <f ca="1">IF(Giocatori!N106="","ZZZ" &amp; ROW(),Giocatori!N106)</f>
        <v>TONEV</v>
      </c>
      <c r="C740" s="239" t="str">
        <f ca="1">IF(Giocatori!O106="","NDR" &amp; ROW(),Giocatori!O106)</f>
        <v>Crotone</v>
      </c>
      <c r="D740" s="63">
        <f t="shared" ca="1" si="251"/>
        <v>66.007400000000004</v>
      </c>
      <c r="E740" s="63">
        <f t="shared" ca="1" si="252"/>
        <v>35.007399999999997</v>
      </c>
      <c r="F740" s="64">
        <f t="shared" ca="1" si="253"/>
        <v>60.727450456333337</v>
      </c>
      <c r="G740" s="63" t="str">
        <f t="shared" ca="1" si="254"/>
        <v/>
      </c>
      <c r="H740" s="65">
        <f t="shared" ca="1" si="255"/>
        <v>60</v>
      </c>
      <c r="I740" s="63" t="str">
        <f t="shared" ca="1" si="256"/>
        <v xml:space="preserve">4P </v>
      </c>
      <c r="J740" s="63">
        <f t="shared" ca="1" si="250"/>
        <v>1.0074000000000001</v>
      </c>
      <c r="K740" s="63">
        <f t="shared" ca="1" si="250"/>
        <v>1.0074000000000001</v>
      </c>
      <c r="L740" s="63" t="e">
        <f ca="1">VLOOKUP(Tabella185[[#This Row],[Calciatore]],'Raccolta Aste'!$P$2:$T$33,4,FALSE)*Asta!$U$3/100</f>
        <v>#N/A</v>
      </c>
      <c r="W740" s="56">
        <f t="shared" ca="1" si="245"/>
        <v>82</v>
      </c>
      <c r="X740" s="56">
        <f t="shared" ca="1" si="246"/>
        <v>78</v>
      </c>
      <c r="Y740" s="56">
        <f t="shared" ca="1" si="247"/>
        <v>81</v>
      </c>
      <c r="Z740" s="56">
        <f t="shared" ca="1" si="248"/>
        <v>63</v>
      </c>
      <c r="AA740" s="56">
        <f t="shared" ca="1" si="249"/>
        <v>63</v>
      </c>
      <c r="AB740" s="56">
        <f ca="1">_xlfn.CEILING.MATH(INDIRECT(ADDRESS(643,22+MATCH($P$30,'I.A. + Fasce'!$W$84:$AA$84,0),1,1) &amp; ":" &amp; ADDRESS(762,22+MATCH($P$30,'I.A. + Fasce'!$W$84:$AA$84,0),1,1))/Asta!$H$3)</f>
        <v>8</v>
      </c>
    </row>
    <row r="741" spans="1:28" ht="14.25" customHeight="1">
      <c r="A741" s="239" t="str">
        <f ca="1">IF(Giocatori!M93="","A",Giocatori!M93)</f>
        <v>A</v>
      </c>
      <c r="B741" s="239" t="str">
        <f ca="1">IF(Giocatori!N107="","ZZZ" &amp; ROW(),Giocatori!N107)</f>
        <v>TROTTA</v>
      </c>
      <c r="C741" s="239" t="str">
        <f ca="1">IF(Giocatori!O107="","NDR" &amp; ROW(),Giocatori!O107)</f>
        <v>Crotone</v>
      </c>
      <c r="D741" s="63">
        <f t="shared" ca="1" si="251"/>
        <v>73.007409999999993</v>
      </c>
      <c r="E741" s="63">
        <f t="shared" ca="1" si="252"/>
        <v>39.00741</v>
      </c>
      <c r="F741" s="64">
        <f t="shared" ca="1" si="253"/>
        <v>68.694636957567482</v>
      </c>
      <c r="G741" s="63" t="str">
        <f t="shared" ca="1" si="254"/>
        <v/>
      </c>
      <c r="H741" s="65">
        <f t="shared" ca="1" si="255"/>
        <v>80</v>
      </c>
      <c r="I741" s="63" t="str">
        <f t="shared" ca="1" si="256"/>
        <v xml:space="preserve">2R </v>
      </c>
      <c r="J741" s="63">
        <f t="shared" ca="1" si="250"/>
        <v>1.0074099999999999</v>
      </c>
      <c r="K741" s="63">
        <f t="shared" ca="1" si="250"/>
        <v>1.0074099999999999</v>
      </c>
      <c r="L741" s="63" t="e">
        <f ca="1">VLOOKUP(Tabella185[[#This Row],[Calciatore]],'Raccolta Aste'!$P$2:$T$33,4,FALSE)*Asta!$U$3/100</f>
        <v>#N/A</v>
      </c>
      <c r="W741" s="56">
        <f t="shared" ca="1" si="245"/>
        <v>52</v>
      </c>
      <c r="X741" s="56">
        <f t="shared" ca="1" si="246"/>
        <v>50</v>
      </c>
      <c r="Y741" s="56">
        <f t="shared" ca="1" si="247"/>
        <v>55</v>
      </c>
      <c r="Z741" s="56">
        <f t="shared" ca="1" si="248"/>
        <v>62</v>
      </c>
      <c r="AA741" s="56">
        <f t="shared" ca="1" si="249"/>
        <v>62</v>
      </c>
      <c r="AB741" s="56">
        <f ca="1">_xlfn.CEILING.MATH(INDIRECT(ADDRESS(643,22+MATCH($P$30,'I.A. + Fasce'!$W$84:$AA$84,0),1,1) &amp; ":" &amp; ADDRESS(762,22+MATCH($P$30,'I.A. + Fasce'!$W$84:$AA$84,0),1,1))/Asta!$H$3)</f>
        <v>8</v>
      </c>
    </row>
    <row r="742" spans="1:28" ht="14.25" customHeight="1">
      <c r="A742" s="239" t="str">
        <f ca="1">IF(Giocatori!M94="","A",Giocatori!M94)</f>
        <v>A</v>
      </c>
      <c r="B742" s="239" t="str">
        <f ca="1">IF(Giocatori!N108="","ZZZ" &amp; ROW(),Giocatori!N108)</f>
        <v>TUMMINELLO</v>
      </c>
      <c r="C742" s="239" t="str">
        <f ca="1">IF(Giocatori!O108="","NDR" &amp; ROW(),Giocatori!O108)</f>
        <v>Crotone</v>
      </c>
      <c r="D742" s="63">
        <f t="shared" ca="1" si="251"/>
        <v>70.007419999999996</v>
      </c>
      <c r="E742" s="63">
        <f t="shared" ca="1" si="252"/>
        <v>34.007420000000003</v>
      </c>
      <c r="F742" s="64">
        <f t="shared" ca="1" si="253"/>
        <v>61.652378458803341</v>
      </c>
      <c r="G742" s="63" t="str">
        <f t="shared" ca="1" si="254"/>
        <v/>
      </c>
      <c r="H742" s="65">
        <f t="shared" ca="1" si="255"/>
        <v>40</v>
      </c>
      <c r="I742" s="63" t="str">
        <f t="shared" ca="1" si="256"/>
        <v/>
      </c>
      <c r="J742" s="63">
        <f t="shared" ca="1" si="250"/>
        <v>1.00742</v>
      </c>
      <c r="K742" s="63">
        <f t="shared" ca="1" si="250"/>
        <v>1.00742</v>
      </c>
      <c r="L742" s="63" t="e">
        <f ca="1">VLOOKUP(Tabella185[[#This Row],[Calciatore]],'Raccolta Aste'!$P$2:$T$33,4,FALSE)*Asta!$U$3/100</f>
        <v>#N/A</v>
      </c>
      <c r="W742" s="56">
        <f t="shared" ca="1" si="245"/>
        <v>67</v>
      </c>
      <c r="X742" s="56">
        <f t="shared" ca="1" si="246"/>
        <v>84</v>
      </c>
      <c r="Y742" s="56">
        <f t="shared" ca="1" si="247"/>
        <v>77</v>
      </c>
      <c r="Z742" s="56">
        <f t="shared" ca="1" si="248"/>
        <v>61</v>
      </c>
      <c r="AA742" s="56">
        <f t="shared" ca="1" si="249"/>
        <v>61</v>
      </c>
      <c r="AB742" s="56">
        <f ca="1">_xlfn.CEILING.MATH(INDIRECT(ADDRESS(643,22+MATCH($P$30,'I.A. + Fasce'!$W$84:$AA$84,0),1,1) &amp; ":" &amp; ADDRESS(762,22+MATCH($P$30,'I.A. + Fasce'!$W$84:$AA$84,0),1,1))/Asta!$H$3)</f>
        <v>8</v>
      </c>
    </row>
    <row r="743" spans="1:28" ht="14.25" customHeight="1">
      <c r="A743" s="239" t="str">
        <f ca="1">IF(Giocatori!M95="","A",Giocatori!M95)</f>
        <v>A</v>
      </c>
      <c r="B743" s="239" t="str">
        <f ca="1">IF(Giocatori!N109="","ZZZ" &amp; ROW(),Giocatori!N109)</f>
        <v>VERDE</v>
      </c>
      <c r="C743" s="239" t="str">
        <f ca="1">IF(Giocatori!O109="","NDR" &amp; ROW(),Giocatori!O109)</f>
        <v>Verona</v>
      </c>
      <c r="D743" s="63">
        <f t="shared" ca="1" si="251"/>
        <v>72.007429999999999</v>
      </c>
      <c r="E743" s="63">
        <f t="shared" ca="1" si="252"/>
        <v>36.007429999999999</v>
      </c>
      <c r="F743" s="64">
        <f t="shared" ca="1" si="253"/>
        <v>64.819318460040833</v>
      </c>
      <c r="G743" s="63" t="str">
        <f t="shared" ca="1" si="254"/>
        <v>SORPRESA</v>
      </c>
      <c r="H743" s="65">
        <f t="shared" ca="1" si="255"/>
        <v>60</v>
      </c>
      <c r="I743" s="63" t="str">
        <f t="shared" ca="1" si="256"/>
        <v xml:space="preserve">2P </v>
      </c>
      <c r="J743" s="63">
        <f t="shared" ref="J743:K762" ca="1" si="257">IF(ISNA(VLOOKUP($B743,TabAlgTutti,3,FALSE)),0,VLOOKUP($B743,TabAlgTutti,3,FALSE))+ROW()/100000</f>
        <v>1.00743</v>
      </c>
      <c r="K743" s="63">
        <f t="shared" ca="1" si="257"/>
        <v>1.00743</v>
      </c>
      <c r="L743" s="63" t="e">
        <f ca="1">VLOOKUP(Tabella185[[#This Row],[Calciatore]],'Raccolta Aste'!$P$2:$T$33,4,FALSE)*Asta!$U$3/100</f>
        <v>#N/A</v>
      </c>
      <c r="W743" s="56">
        <f t="shared" ca="1" si="245"/>
        <v>58</v>
      </c>
      <c r="X743" s="56">
        <f t="shared" ca="1" si="246"/>
        <v>73</v>
      </c>
      <c r="Y743" s="56">
        <f t="shared" ca="1" si="247"/>
        <v>72</v>
      </c>
      <c r="Z743" s="56">
        <f t="shared" ca="1" si="248"/>
        <v>60</v>
      </c>
      <c r="AA743" s="56">
        <f t="shared" ca="1" si="249"/>
        <v>60</v>
      </c>
      <c r="AB743" s="56">
        <f ca="1">_xlfn.CEILING.MATH(INDIRECT(ADDRESS(643,22+MATCH($P$30,'I.A. + Fasce'!$W$84:$AA$84,0),1,1) &amp; ":" &amp; ADDRESS(762,22+MATCH($P$30,'I.A. + Fasce'!$W$84:$AA$84,0),1,1))/Asta!$H$3)</f>
        <v>8</v>
      </c>
    </row>
    <row r="744" spans="1:28" ht="14.25" customHeight="1">
      <c r="A744" s="239" t="str">
        <f ca="1">IF(Giocatori!M96="","A",Giocatori!M96)</f>
        <v>A</v>
      </c>
      <c r="B744" s="239" t="str">
        <f ca="1">IF(Giocatori!N110="","ZZZ" &amp; ROW(),Giocatori!N110)</f>
        <v>VERDI</v>
      </c>
      <c r="C744" s="239" t="str">
        <f ca="1">IF(Giocatori!O110="","NDR" &amp; ROW(),Giocatori!O110)</f>
        <v>Bologna</v>
      </c>
      <c r="D744" s="63">
        <f t="shared" ca="1" si="251"/>
        <v>91.007440000000003</v>
      </c>
      <c r="E744" s="63">
        <f t="shared" ca="1" si="252"/>
        <v>43.007440000000003</v>
      </c>
      <c r="F744" s="64">
        <f t="shared" ca="1" si="253"/>
        <v>82.428545794613342</v>
      </c>
      <c r="G744" s="63" t="str">
        <f t="shared" ca="1" si="254"/>
        <v>CONSIGLIATO</v>
      </c>
      <c r="H744" s="65">
        <f t="shared" ca="1" si="255"/>
        <v>90</v>
      </c>
      <c r="I744" s="63" t="str">
        <f t="shared" ca="1" si="256"/>
        <v>2R 1P 1A</v>
      </c>
      <c r="J744" s="63">
        <f t="shared" ca="1" si="257"/>
        <v>27.621607824584057</v>
      </c>
      <c r="K744" s="63">
        <f t="shared" ca="1" si="257"/>
        <v>27.621607824584057</v>
      </c>
      <c r="L744" s="63" t="e">
        <f ca="1">VLOOKUP(Tabella185[[#This Row],[Calciatore]],'Raccolta Aste'!$P$2:$T$33,4,FALSE)*Asta!$U$3/100</f>
        <v>#N/A</v>
      </c>
      <c r="W744" s="56">
        <f t="shared" ca="1" si="245"/>
        <v>10</v>
      </c>
      <c r="X744" s="56">
        <f t="shared" ca="1" si="246"/>
        <v>23</v>
      </c>
      <c r="Y744" s="56">
        <f t="shared" ca="1" si="247"/>
        <v>14</v>
      </c>
      <c r="Z744" s="56">
        <f t="shared" ca="1" si="248"/>
        <v>38</v>
      </c>
      <c r="AA744" s="56">
        <f t="shared" ca="1" si="249"/>
        <v>38</v>
      </c>
      <c r="AB744" s="56">
        <f ca="1">_xlfn.CEILING.MATH(INDIRECT(ADDRESS(643,22+MATCH($P$30,'I.A. + Fasce'!$W$84:$AA$84,0),1,1) &amp; ":" &amp; ADDRESS(762,22+MATCH($P$30,'I.A. + Fasce'!$W$84:$AA$84,0),1,1))/Asta!$H$3)</f>
        <v>5</v>
      </c>
    </row>
    <row r="745" spans="1:28" ht="14.25" customHeight="1">
      <c r="A745" s="239" t="str">
        <f ca="1">IF(Giocatori!M97="","A",Giocatori!M97)</f>
        <v>A</v>
      </c>
      <c r="B745" s="239" t="str">
        <f ca="1">IF(Giocatori!N111="","ZZZ" &amp; ROW(),Giocatori!N111)</f>
        <v>VIDO</v>
      </c>
      <c r="C745" s="239" t="str">
        <f ca="1">IF(Giocatori!O111="","NDR" &amp; ROW(),Giocatori!O111)</f>
        <v>Atalanta</v>
      </c>
      <c r="D745" s="63">
        <f t="shared" ca="1" si="251"/>
        <v>58.007449999999999</v>
      </c>
      <c r="E745" s="63">
        <f t="shared" ca="1" si="252"/>
        <v>38.007449999999999</v>
      </c>
      <c r="F745" s="64">
        <f t="shared" ca="1" si="253"/>
        <v>60.052952129187496</v>
      </c>
      <c r="G745" s="63" t="str">
        <f t="shared" ca="1" si="254"/>
        <v>SORPRESA</v>
      </c>
      <c r="H745" s="65">
        <f t="shared" ca="1" si="255"/>
        <v>40</v>
      </c>
      <c r="I745" s="63" t="str">
        <f t="shared" ca="1" si="256"/>
        <v xml:space="preserve">3R 4P </v>
      </c>
      <c r="J745" s="63">
        <f t="shared" ca="1" si="257"/>
        <v>19.111687977429135</v>
      </c>
      <c r="K745" s="63">
        <f t="shared" ca="1" si="257"/>
        <v>19.111687977429135</v>
      </c>
      <c r="L745" s="63" t="e">
        <f ca="1">VLOOKUP(Tabella185[[#This Row],[Calciatore]],'Raccolta Aste'!$P$2:$T$33,4,FALSE)*Asta!$U$3/100</f>
        <v>#N/A</v>
      </c>
      <c r="W745" s="56">
        <f t="shared" ca="1" si="245"/>
        <v>94</v>
      </c>
      <c r="X745" s="56">
        <f t="shared" ca="1" si="246"/>
        <v>64</v>
      </c>
      <c r="Y745" s="56">
        <f t="shared" ca="1" si="247"/>
        <v>83</v>
      </c>
      <c r="Z745" s="56">
        <f t="shared" ca="1" si="248"/>
        <v>48</v>
      </c>
      <c r="AA745" s="56">
        <f t="shared" ca="1" si="249"/>
        <v>48</v>
      </c>
      <c r="AB745" s="56">
        <f ca="1">_xlfn.CEILING.MATH(INDIRECT(ADDRESS(643,22+MATCH($P$30,'I.A. + Fasce'!$W$84:$AA$84,0),1,1) &amp; ":" &amp; ADDRESS(762,22+MATCH($P$30,'I.A. + Fasce'!$W$84:$AA$84,0),1,1))/Asta!$H$3)</f>
        <v>6</v>
      </c>
    </row>
    <row r="746" spans="1:28" ht="14.25" customHeight="1">
      <c r="A746" s="239" t="str">
        <f ca="1">IF(Giocatori!M98="","A",Giocatori!M98)</f>
        <v>A</v>
      </c>
      <c r="B746" s="239" t="str">
        <f ca="1">IF(Giocatori!N112="","ZZZ" &amp; ROW(),Giocatori!N112)</f>
        <v>ZAPATA D</v>
      </c>
      <c r="C746" s="239" t="str">
        <f ca="1">IF(Giocatori!O112="","NDR" &amp; ROW(),Giocatori!O112)</f>
        <v>Sampdoria</v>
      </c>
      <c r="D746" s="63">
        <f t="shared" ca="1" si="251"/>
        <v>83.007459999999995</v>
      </c>
      <c r="E746" s="63">
        <f t="shared" ca="1" si="252"/>
        <v>41.007460000000002</v>
      </c>
      <c r="F746" s="64">
        <f t="shared" ca="1" si="253"/>
        <v>76.028351463763329</v>
      </c>
      <c r="G746" s="63" t="str">
        <f t="shared" ca="1" si="254"/>
        <v>SORPRESA</v>
      </c>
      <c r="H746" s="65">
        <f t="shared" ca="1" si="255"/>
        <v>70</v>
      </c>
      <c r="I746" s="63" t="str">
        <f t="shared" ca="1" si="256"/>
        <v xml:space="preserve">2R </v>
      </c>
      <c r="J746" s="63">
        <f t="shared" ca="1" si="257"/>
        <v>27.382108388517981</v>
      </c>
      <c r="K746" s="63">
        <f t="shared" ca="1" si="257"/>
        <v>27.382108388517981</v>
      </c>
      <c r="L746" s="63" t="e">
        <f ca="1">VLOOKUP(Tabella185[[#This Row],[Calciatore]],'Raccolta Aste'!$P$2:$T$33,4,FALSE)*Asta!$U$3/100</f>
        <v>#N/A</v>
      </c>
      <c r="W746" s="56">
        <f t="shared" ca="1" si="245"/>
        <v>17</v>
      </c>
      <c r="X746" s="56">
        <f t="shared" ca="1" si="246"/>
        <v>35</v>
      </c>
      <c r="Y746" s="56">
        <f t="shared" ca="1" si="247"/>
        <v>28</v>
      </c>
      <c r="Z746" s="56">
        <f t="shared" ca="1" si="248"/>
        <v>39</v>
      </c>
      <c r="AA746" s="56">
        <f t="shared" ca="1" si="249"/>
        <v>39</v>
      </c>
      <c r="AB746" s="56">
        <f ca="1">_xlfn.CEILING.MATH(INDIRECT(ADDRESS(643,22+MATCH($P$30,'I.A. + Fasce'!$W$84:$AA$84,0),1,1) &amp; ":" &amp; ADDRESS(762,22+MATCH($P$30,'I.A. + Fasce'!$W$84:$AA$84,0),1,1))/Asta!$H$3)</f>
        <v>5</v>
      </c>
    </row>
    <row r="747" spans="1:28" ht="14.25" customHeight="1">
      <c r="A747" s="239" t="str">
        <f ca="1">IF(Giocatori!M99="","A",Giocatori!M99)</f>
        <v>A</v>
      </c>
      <c r="B747" s="239" t="str">
        <f ca="1">IF(Giocatori!N113="","ZZZ" &amp; ROW(),Giocatori!N113)</f>
        <v>ZZZ747</v>
      </c>
      <c r="C747" s="239" t="str">
        <f ca="1">IF(Giocatori!O113="","NDR" &amp; ROW(),Giocatori!O113)</f>
        <v>NDR747</v>
      </c>
      <c r="D747" s="63">
        <f t="shared" ca="1" si="251"/>
        <v>7.4700000000000001E-3</v>
      </c>
      <c r="E747" s="63">
        <f t="shared" ca="1" si="252"/>
        <v>7.4700000000000001E-3</v>
      </c>
      <c r="F747" s="64">
        <f t="shared" ca="1" si="253"/>
        <v>1.4940465007500001E-2</v>
      </c>
      <c r="G747" s="63" t="str">
        <f t="shared" ca="1" si="254"/>
        <v/>
      </c>
      <c r="H747" s="65" t="str">
        <f t="shared" ca="1" si="255"/>
        <v/>
      </c>
      <c r="I747" s="63" t="str">
        <f t="shared" ca="1" si="256"/>
        <v/>
      </c>
      <c r="J747" s="63">
        <f t="shared" ca="1" si="257"/>
        <v>7.4700000000000001E-3</v>
      </c>
      <c r="K747" s="63">
        <f t="shared" ca="1" si="257"/>
        <v>7.4700000000000001E-3</v>
      </c>
      <c r="L747" s="63" t="e">
        <f ca="1">VLOOKUP(Tabella185[[#This Row],[Calciatore]],'Raccolta Aste'!$P$2:$T$33,4,FALSE)*Asta!$U$3/100</f>
        <v>#N/A</v>
      </c>
      <c r="W747" s="56">
        <f t="shared" ca="1" si="245"/>
        <v>119</v>
      </c>
      <c r="X747" s="56">
        <f t="shared" ca="1" si="246"/>
        <v>119</v>
      </c>
      <c r="Y747" s="56">
        <f t="shared" ca="1" si="247"/>
        <v>120</v>
      </c>
      <c r="Z747" s="56">
        <f t="shared" ca="1" si="248"/>
        <v>120</v>
      </c>
      <c r="AA747" s="56">
        <f t="shared" ca="1" si="249"/>
        <v>120</v>
      </c>
      <c r="AB747" s="56">
        <f ca="1">_xlfn.CEILING.MATH(INDIRECT(ADDRESS(643,22+MATCH($P$30,'I.A. + Fasce'!$W$84:$AA$84,0),1,1) &amp; ":" &amp; ADDRESS(762,22+MATCH($P$30,'I.A. + Fasce'!$W$84:$AA$84,0),1,1))/Asta!$H$3)</f>
        <v>15</v>
      </c>
    </row>
    <row r="748" spans="1:28" ht="14.25" customHeight="1">
      <c r="A748" s="239" t="str">
        <f ca="1">IF(Giocatori!M100="","A",Giocatori!M100)</f>
        <v>A</v>
      </c>
      <c r="B748" s="239" t="str">
        <f ca="1">IF(Giocatori!N114="","ZZZ" &amp; ROW(),Giocatori!N114)</f>
        <v>ZZZ748</v>
      </c>
      <c r="C748" s="239" t="str">
        <f ca="1">IF(Giocatori!O114="","NDR" &amp; ROW(),Giocatori!O114)</f>
        <v>NDR748</v>
      </c>
      <c r="D748" s="63">
        <f t="shared" ca="1" si="251"/>
        <v>7.4799999999999997E-3</v>
      </c>
      <c r="E748" s="63">
        <f t="shared" ca="1" si="252"/>
        <v>7.4799999999999997E-3</v>
      </c>
      <c r="F748" s="64">
        <f t="shared" ca="1" si="253"/>
        <v>1.4960466253333332E-2</v>
      </c>
      <c r="G748" s="63" t="str">
        <f t="shared" ca="1" si="254"/>
        <v/>
      </c>
      <c r="H748" s="65" t="str">
        <f t="shared" ca="1" si="255"/>
        <v/>
      </c>
      <c r="I748" s="63" t="str">
        <f t="shared" ca="1" si="256"/>
        <v/>
      </c>
      <c r="J748" s="63">
        <f t="shared" ca="1" si="257"/>
        <v>7.4799999999999997E-3</v>
      </c>
      <c r="K748" s="63">
        <f t="shared" ca="1" si="257"/>
        <v>7.4799999999999997E-3</v>
      </c>
      <c r="L748" s="63" t="e">
        <f ca="1">VLOOKUP(Tabella185[[#This Row],[Calciatore]],'Raccolta Aste'!$P$2:$T$33,4,FALSE)*Asta!$U$3/100</f>
        <v>#N/A</v>
      </c>
      <c r="W748" s="56">
        <f t="shared" ca="1" si="245"/>
        <v>118</v>
      </c>
      <c r="X748" s="56">
        <f t="shared" ca="1" si="246"/>
        <v>118</v>
      </c>
      <c r="Y748" s="56">
        <f t="shared" ca="1" si="247"/>
        <v>119</v>
      </c>
      <c r="Z748" s="56">
        <f t="shared" ca="1" si="248"/>
        <v>119</v>
      </c>
      <c r="AA748" s="56">
        <f t="shared" ca="1" si="249"/>
        <v>119</v>
      </c>
      <c r="AB748" s="56">
        <f ca="1">_xlfn.CEILING.MATH(INDIRECT(ADDRESS(643,22+MATCH($P$30,'I.A. + Fasce'!$W$84:$AA$84,0),1,1) &amp; ":" &amp; ADDRESS(762,22+MATCH($P$30,'I.A. + Fasce'!$W$84:$AA$84,0),1,1))/Asta!$H$3)</f>
        <v>15</v>
      </c>
    </row>
    <row r="749" spans="1:28" ht="14.25" customHeight="1">
      <c r="A749" s="239" t="str">
        <f ca="1">IF(Giocatori!M101="","A",Giocatori!M101)</f>
        <v>A</v>
      </c>
      <c r="B749" s="239" t="str">
        <f ca="1">IF(Giocatori!N115="","ZZZ" &amp; ROW(),Giocatori!N115)</f>
        <v>ZZZ749</v>
      </c>
      <c r="C749" s="239" t="str">
        <f ca="1">IF(Giocatori!O115="","NDR" &amp; ROW(),Giocatori!O115)</f>
        <v>NDR749</v>
      </c>
      <c r="D749" s="63">
        <f t="shared" ca="1" si="251"/>
        <v>7.4900000000000001E-3</v>
      </c>
      <c r="E749" s="63">
        <f t="shared" ca="1" si="252"/>
        <v>7.4900000000000001E-3</v>
      </c>
      <c r="F749" s="64">
        <f t="shared" ca="1" si="253"/>
        <v>1.4980467500833334E-2</v>
      </c>
      <c r="G749" s="63" t="str">
        <f t="shared" ca="1" si="254"/>
        <v/>
      </c>
      <c r="H749" s="65" t="str">
        <f t="shared" ca="1" si="255"/>
        <v/>
      </c>
      <c r="I749" s="63" t="str">
        <f t="shared" ca="1" si="256"/>
        <v/>
      </c>
      <c r="J749" s="63">
        <f t="shared" ca="1" si="257"/>
        <v>7.4900000000000001E-3</v>
      </c>
      <c r="K749" s="63">
        <f t="shared" ca="1" si="257"/>
        <v>7.4900000000000001E-3</v>
      </c>
      <c r="L749" s="63" t="e">
        <f ca="1">VLOOKUP(Tabella185[[#This Row],[Calciatore]],'Raccolta Aste'!$P$2:$T$33,4,FALSE)*Asta!$U$3/100</f>
        <v>#N/A</v>
      </c>
      <c r="W749" s="56">
        <f t="shared" ca="1" si="245"/>
        <v>117</v>
      </c>
      <c r="X749" s="56">
        <f t="shared" ca="1" si="246"/>
        <v>117</v>
      </c>
      <c r="Y749" s="56">
        <f t="shared" ca="1" si="247"/>
        <v>118</v>
      </c>
      <c r="Z749" s="56">
        <f t="shared" ca="1" si="248"/>
        <v>118</v>
      </c>
      <c r="AA749" s="56">
        <f t="shared" ca="1" si="249"/>
        <v>118</v>
      </c>
      <c r="AB749" s="56">
        <f ca="1">_xlfn.CEILING.MATH(INDIRECT(ADDRESS(643,22+MATCH($P$30,'I.A. + Fasce'!$W$84:$AA$84,0),1,1) &amp; ":" &amp; ADDRESS(762,22+MATCH($P$30,'I.A. + Fasce'!$W$84:$AA$84,0),1,1))/Asta!$H$3)</f>
        <v>15</v>
      </c>
    </row>
    <row r="750" spans="1:28" ht="14.25" customHeight="1">
      <c r="A750" s="239" t="str">
        <f ca="1">IF(Giocatori!M102="","A",Giocatori!M102)</f>
        <v>A</v>
      </c>
      <c r="B750" s="239" t="str">
        <f ca="1">IF(Giocatori!N116="","ZZZ" &amp; ROW(),Giocatori!N116)</f>
        <v>ZZZ750</v>
      </c>
      <c r="C750" s="239" t="str">
        <f ca="1">IF(Giocatori!O116="","NDR" &amp; ROW(),Giocatori!O116)</f>
        <v>NDR750</v>
      </c>
      <c r="D750" s="63">
        <f t="shared" ca="1" si="251"/>
        <v>7.4999999999999997E-3</v>
      </c>
      <c r="E750" s="63">
        <f t="shared" ca="1" si="252"/>
        <v>7.4999999999999997E-3</v>
      </c>
      <c r="F750" s="64">
        <f t="shared" ca="1" si="253"/>
        <v>1.5000468749999999E-2</v>
      </c>
      <c r="G750" s="63" t="str">
        <f t="shared" ca="1" si="254"/>
        <v/>
      </c>
      <c r="H750" s="65" t="str">
        <f t="shared" ca="1" si="255"/>
        <v/>
      </c>
      <c r="I750" s="63" t="str">
        <f t="shared" ca="1" si="256"/>
        <v/>
      </c>
      <c r="J750" s="63">
        <f t="shared" ca="1" si="257"/>
        <v>7.4999999999999997E-3</v>
      </c>
      <c r="K750" s="63">
        <f t="shared" ca="1" si="257"/>
        <v>7.4999999999999997E-3</v>
      </c>
      <c r="L750" s="63" t="e">
        <f ca="1">VLOOKUP(Tabella185[[#This Row],[Calciatore]],'Raccolta Aste'!$P$2:$T$33,4,FALSE)*Asta!$U$3/100</f>
        <v>#N/A</v>
      </c>
      <c r="W750" s="56">
        <f t="shared" ca="1" si="245"/>
        <v>116</v>
      </c>
      <c r="X750" s="56">
        <f t="shared" ca="1" si="246"/>
        <v>116</v>
      </c>
      <c r="Y750" s="56">
        <f t="shared" ca="1" si="247"/>
        <v>117</v>
      </c>
      <c r="Z750" s="56">
        <f t="shared" ca="1" si="248"/>
        <v>117</v>
      </c>
      <c r="AA750" s="56">
        <f t="shared" ca="1" si="249"/>
        <v>117</v>
      </c>
      <c r="AB750" s="56">
        <f ca="1">_xlfn.CEILING.MATH(INDIRECT(ADDRESS(643,22+MATCH($P$30,'I.A. + Fasce'!$W$84:$AA$84,0),1,1) &amp; ":" &amp; ADDRESS(762,22+MATCH($P$30,'I.A. + Fasce'!$W$84:$AA$84,0),1,1))/Asta!$H$3)</f>
        <v>15</v>
      </c>
    </row>
    <row r="751" spans="1:28" ht="14.25" customHeight="1">
      <c r="A751" s="239" t="str">
        <f ca="1">IF(Giocatori!M103="","A",Giocatori!M103)</f>
        <v>A</v>
      </c>
      <c r="B751" s="239" t="str">
        <f ca="1">IF(Giocatori!N117="","ZZZ" &amp; ROW(),Giocatori!N117)</f>
        <v>ZZZ751</v>
      </c>
      <c r="C751" s="239" t="str">
        <f ca="1">IF(Giocatori!O117="","NDR" &amp; ROW(),Giocatori!O117)</f>
        <v>NDR751</v>
      </c>
      <c r="D751" s="63">
        <f t="shared" ca="1" si="251"/>
        <v>7.5100000000000002E-3</v>
      </c>
      <c r="E751" s="63">
        <f t="shared" ca="1" si="252"/>
        <v>7.5100000000000002E-3</v>
      </c>
      <c r="F751" s="64">
        <f t="shared" ca="1" si="253"/>
        <v>1.5020470000833334E-2</v>
      </c>
      <c r="G751" s="63" t="str">
        <f t="shared" ca="1" si="254"/>
        <v/>
      </c>
      <c r="H751" s="65" t="str">
        <f t="shared" ca="1" si="255"/>
        <v/>
      </c>
      <c r="I751" s="63" t="str">
        <f t="shared" ca="1" si="256"/>
        <v/>
      </c>
      <c r="J751" s="63">
        <f t="shared" ca="1" si="257"/>
        <v>7.5100000000000002E-3</v>
      </c>
      <c r="K751" s="63">
        <f t="shared" ca="1" si="257"/>
        <v>7.5100000000000002E-3</v>
      </c>
      <c r="L751" s="63" t="e">
        <f ca="1">VLOOKUP(Tabella185[[#This Row],[Calciatore]],'Raccolta Aste'!$P$2:$T$33,4,FALSE)*Asta!$U$3/100</f>
        <v>#N/A</v>
      </c>
      <c r="W751" s="56">
        <f t="shared" ca="1" si="245"/>
        <v>115</v>
      </c>
      <c r="X751" s="56">
        <f t="shared" ca="1" si="246"/>
        <v>115</v>
      </c>
      <c r="Y751" s="56">
        <f t="shared" ca="1" si="247"/>
        <v>116</v>
      </c>
      <c r="Z751" s="56">
        <f t="shared" ca="1" si="248"/>
        <v>116</v>
      </c>
      <c r="AA751" s="56">
        <f t="shared" ca="1" si="249"/>
        <v>116</v>
      </c>
      <c r="AB751" s="56">
        <f ca="1">_xlfn.CEILING.MATH(INDIRECT(ADDRESS(643,22+MATCH($P$30,'I.A. + Fasce'!$W$84:$AA$84,0),1,1) &amp; ":" &amp; ADDRESS(762,22+MATCH($P$30,'I.A. + Fasce'!$W$84:$AA$84,0),1,1))/Asta!$H$3)</f>
        <v>15</v>
      </c>
    </row>
    <row r="752" spans="1:28" ht="14.25" customHeight="1">
      <c r="A752" s="239" t="str">
        <f ca="1">IF(Giocatori!M104="","A",Giocatori!M104)</f>
        <v>A</v>
      </c>
      <c r="B752" s="239" t="str">
        <f ca="1">IF(Giocatori!N118="","ZZZ" &amp; ROW(),Giocatori!N118)</f>
        <v>ZZZ752</v>
      </c>
      <c r="C752" s="239" t="str">
        <f ca="1">IF(Giocatori!O118="","NDR" &amp; ROW(),Giocatori!O118)</f>
        <v>NDR752</v>
      </c>
      <c r="D752" s="63">
        <f t="shared" ca="1" si="251"/>
        <v>7.5199999999999998E-3</v>
      </c>
      <c r="E752" s="63">
        <f t="shared" ca="1" si="252"/>
        <v>7.5199999999999998E-3</v>
      </c>
      <c r="F752" s="64">
        <f t="shared" ca="1" si="253"/>
        <v>1.5040471253333333E-2</v>
      </c>
      <c r="G752" s="63" t="str">
        <f t="shared" ca="1" si="254"/>
        <v/>
      </c>
      <c r="H752" s="65" t="str">
        <f t="shared" ca="1" si="255"/>
        <v/>
      </c>
      <c r="I752" s="63" t="str">
        <f t="shared" ca="1" si="256"/>
        <v/>
      </c>
      <c r="J752" s="63">
        <f t="shared" ca="1" si="257"/>
        <v>7.5199999999999998E-3</v>
      </c>
      <c r="K752" s="63">
        <f t="shared" ca="1" si="257"/>
        <v>7.5199999999999998E-3</v>
      </c>
      <c r="L752" s="63" t="e">
        <f ca="1">VLOOKUP(Tabella185[[#This Row],[Calciatore]],'Raccolta Aste'!$P$2:$T$33,4,FALSE)*Asta!$U$3/100</f>
        <v>#N/A</v>
      </c>
      <c r="W752" s="56">
        <f t="shared" ca="1" si="245"/>
        <v>114</v>
      </c>
      <c r="X752" s="56">
        <f t="shared" ca="1" si="246"/>
        <v>114</v>
      </c>
      <c r="Y752" s="56">
        <f t="shared" ca="1" si="247"/>
        <v>115</v>
      </c>
      <c r="Z752" s="56">
        <f t="shared" ca="1" si="248"/>
        <v>115</v>
      </c>
      <c r="AA752" s="56">
        <f t="shared" ca="1" si="249"/>
        <v>115</v>
      </c>
      <c r="AB752" s="56">
        <f ca="1">_xlfn.CEILING.MATH(INDIRECT(ADDRESS(643,22+MATCH($P$30,'I.A. + Fasce'!$W$84:$AA$84,0),1,1) &amp; ":" &amp; ADDRESS(762,22+MATCH($P$30,'I.A. + Fasce'!$W$84:$AA$84,0),1,1))/Asta!$H$3)</f>
        <v>15</v>
      </c>
    </row>
    <row r="753" spans="1:28" ht="14.25" customHeight="1">
      <c r="A753" s="239" t="str">
        <f ca="1">IF(Giocatori!M105="","A",Giocatori!M105)</f>
        <v>A</v>
      </c>
      <c r="B753" s="239" t="str">
        <f ca="1">IF(Giocatori!N119="","ZZZ" &amp; ROW(),Giocatori!N119)</f>
        <v>ZZZ753</v>
      </c>
      <c r="C753" s="239" t="str">
        <f ca="1">IF(Giocatori!O119="","NDR" &amp; ROW(),Giocatori!O119)</f>
        <v>NDR753</v>
      </c>
      <c r="D753" s="63">
        <f t="shared" ca="1" si="251"/>
        <v>7.5300000000000002E-3</v>
      </c>
      <c r="E753" s="63">
        <f t="shared" ca="1" si="252"/>
        <v>7.5300000000000002E-3</v>
      </c>
      <c r="F753" s="64">
        <f t="shared" ca="1" si="253"/>
        <v>1.50604725075E-2</v>
      </c>
      <c r="G753" s="63" t="str">
        <f t="shared" ca="1" si="254"/>
        <v/>
      </c>
      <c r="H753" s="65" t="str">
        <f t="shared" ca="1" si="255"/>
        <v/>
      </c>
      <c r="I753" s="63" t="str">
        <f t="shared" ca="1" si="256"/>
        <v/>
      </c>
      <c r="J753" s="63">
        <f t="shared" ca="1" si="257"/>
        <v>7.5300000000000002E-3</v>
      </c>
      <c r="K753" s="63">
        <f t="shared" ca="1" si="257"/>
        <v>7.5300000000000002E-3</v>
      </c>
      <c r="L753" s="63" t="e">
        <f ca="1">VLOOKUP(Tabella185[[#This Row],[Calciatore]],'Raccolta Aste'!$P$2:$T$33,4,FALSE)*Asta!$U$3/100</f>
        <v>#N/A</v>
      </c>
      <c r="W753" s="56">
        <f t="shared" ca="1" si="245"/>
        <v>113</v>
      </c>
      <c r="X753" s="56">
        <f t="shared" ca="1" si="246"/>
        <v>113</v>
      </c>
      <c r="Y753" s="56">
        <f t="shared" ca="1" si="247"/>
        <v>114</v>
      </c>
      <c r="Z753" s="56">
        <f t="shared" ca="1" si="248"/>
        <v>114</v>
      </c>
      <c r="AA753" s="56">
        <f t="shared" ca="1" si="249"/>
        <v>114</v>
      </c>
      <c r="AB753" s="56">
        <f ca="1">_xlfn.CEILING.MATH(INDIRECT(ADDRESS(643,22+MATCH($P$30,'I.A. + Fasce'!$W$84:$AA$84,0),1,1) &amp; ":" &amp; ADDRESS(762,22+MATCH($P$30,'I.A. + Fasce'!$W$84:$AA$84,0),1,1))/Asta!$H$3)</f>
        <v>15</v>
      </c>
    </row>
    <row r="754" spans="1:28" ht="14.25" customHeight="1">
      <c r="A754" s="239" t="str">
        <f ca="1">IF(Giocatori!M106="","A",Giocatori!M106)</f>
        <v>A</v>
      </c>
      <c r="B754" s="239" t="str">
        <f ca="1">IF(Giocatori!N120="","ZZZ" &amp; ROW(),Giocatori!N120)</f>
        <v>ZZZ754</v>
      </c>
      <c r="C754" s="239" t="str">
        <f ca="1">IF(Giocatori!O120="","NDR" &amp; ROW(),Giocatori!O120)</f>
        <v>NDR754</v>
      </c>
      <c r="D754" s="63">
        <f t="shared" ca="1" si="251"/>
        <v>7.5399999999999998E-3</v>
      </c>
      <c r="E754" s="63">
        <f t="shared" ca="1" si="252"/>
        <v>7.5399999999999998E-3</v>
      </c>
      <c r="F754" s="64">
        <f t="shared" ca="1" si="253"/>
        <v>1.5080473763333333E-2</v>
      </c>
      <c r="G754" s="63" t="str">
        <f t="shared" ca="1" si="254"/>
        <v/>
      </c>
      <c r="H754" s="65" t="str">
        <f t="shared" ca="1" si="255"/>
        <v/>
      </c>
      <c r="I754" s="63" t="str">
        <f t="shared" ca="1" si="256"/>
        <v/>
      </c>
      <c r="J754" s="63">
        <f t="shared" ca="1" si="257"/>
        <v>7.5399999999999998E-3</v>
      </c>
      <c r="K754" s="63">
        <f t="shared" ca="1" si="257"/>
        <v>7.5399999999999998E-3</v>
      </c>
      <c r="L754" s="63" t="e">
        <f ca="1">VLOOKUP(Tabella185[[#This Row],[Calciatore]],'Raccolta Aste'!$P$2:$T$33,4,FALSE)*Asta!$U$3/100</f>
        <v>#N/A</v>
      </c>
      <c r="W754" s="56">
        <f t="shared" ca="1" si="245"/>
        <v>112</v>
      </c>
      <c r="X754" s="56">
        <f t="shared" ca="1" si="246"/>
        <v>112</v>
      </c>
      <c r="Y754" s="56">
        <f t="shared" ca="1" si="247"/>
        <v>113</v>
      </c>
      <c r="Z754" s="56">
        <f t="shared" ca="1" si="248"/>
        <v>113</v>
      </c>
      <c r="AA754" s="56">
        <f t="shared" ca="1" si="249"/>
        <v>113</v>
      </c>
      <c r="AB754" s="56">
        <f ca="1">_xlfn.CEILING.MATH(INDIRECT(ADDRESS(643,22+MATCH($P$30,'I.A. + Fasce'!$W$84:$AA$84,0),1,1) &amp; ":" &amp; ADDRESS(762,22+MATCH($P$30,'I.A. + Fasce'!$W$84:$AA$84,0),1,1))/Asta!$H$3)</f>
        <v>15</v>
      </c>
    </row>
    <row r="755" spans="1:28" ht="14.25" customHeight="1">
      <c r="A755" s="239" t="str">
        <f ca="1">IF(Giocatori!M107="","A",Giocatori!M107)</f>
        <v>A</v>
      </c>
      <c r="B755" s="239" t="str">
        <f ca="1">IF(Giocatori!N121="","ZZZ" &amp; ROW(),Giocatori!N121)</f>
        <v>ZZZ755</v>
      </c>
      <c r="C755" s="239" t="str">
        <f ca="1">IF(Giocatori!O121="","NDR" &amp; ROW(),Giocatori!O121)</f>
        <v>NDR755</v>
      </c>
      <c r="D755" s="63">
        <f t="shared" ca="1" si="251"/>
        <v>7.5500000000000003E-3</v>
      </c>
      <c r="E755" s="63">
        <f t="shared" ca="1" si="252"/>
        <v>7.5500000000000003E-3</v>
      </c>
      <c r="F755" s="64">
        <f t="shared" ca="1" si="253"/>
        <v>1.5100475020833334E-2</v>
      </c>
      <c r="G755" s="63" t="str">
        <f t="shared" ca="1" si="254"/>
        <v/>
      </c>
      <c r="H755" s="65" t="str">
        <f t="shared" ca="1" si="255"/>
        <v/>
      </c>
      <c r="I755" s="63" t="str">
        <f t="shared" ca="1" si="256"/>
        <v/>
      </c>
      <c r="J755" s="63">
        <f t="shared" ca="1" si="257"/>
        <v>7.5500000000000003E-3</v>
      </c>
      <c r="K755" s="63">
        <f t="shared" ca="1" si="257"/>
        <v>7.5500000000000003E-3</v>
      </c>
      <c r="L755" s="63" t="e">
        <f ca="1">VLOOKUP(Tabella185[[#This Row],[Calciatore]],'Raccolta Aste'!$P$2:$T$33,4,FALSE)*Asta!$U$3/100</f>
        <v>#N/A</v>
      </c>
      <c r="W755" s="56">
        <f t="shared" ca="1" si="245"/>
        <v>111</v>
      </c>
      <c r="X755" s="56">
        <f t="shared" ca="1" si="246"/>
        <v>111</v>
      </c>
      <c r="Y755" s="56">
        <f t="shared" ca="1" si="247"/>
        <v>112</v>
      </c>
      <c r="Z755" s="56">
        <f t="shared" ca="1" si="248"/>
        <v>112</v>
      </c>
      <c r="AA755" s="56">
        <f t="shared" ca="1" si="249"/>
        <v>112</v>
      </c>
      <c r="AB755" s="56">
        <f ca="1">_xlfn.CEILING.MATH(INDIRECT(ADDRESS(643,22+MATCH($P$30,'I.A. + Fasce'!$W$84:$AA$84,0),1,1) &amp; ":" &amp; ADDRESS(762,22+MATCH($P$30,'I.A. + Fasce'!$W$84:$AA$84,0),1,1))/Asta!$H$3)</f>
        <v>14</v>
      </c>
    </row>
    <row r="756" spans="1:28" ht="14.25" customHeight="1">
      <c r="A756" s="239" t="str">
        <f ca="1">IF(Giocatori!M108="","A",Giocatori!M108)</f>
        <v>A</v>
      </c>
      <c r="B756" s="239" t="str">
        <f ca="1">IF(Giocatori!N122="","ZZZ" &amp; ROW(),Giocatori!N122)</f>
        <v>ZZZ756</v>
      </c>
      <c r="C756" s="239" t="str">
        <f ca="1">IF(Giocatori!O122="","NDR" &amp; ROW(),Giocatori!O122)</f>
        <v>NDR756</v>
      </c>
      <c r="D756" s="63">
        <f t="shared" ca="1" si="251"/>
        <v>7.5599999999999999E-3</v>
      </c>
      <c r="E756" s="63">
        <f t="shared" ca="1" si="252"/>
        <v>7.5599999999999999E-3</v>
      </c>
      <c r="F756" s="64">
        <f t="shared" ca="1" si="253"/>
        <v>1.512047628E-2</v>
      </c>
      <c r="G756" s="63" t="str">
        <f t="shared" ca="1" si="254"/>
        <v/>
      </c>
      <c r="H756" s="65" t="str">
        <f t="shared" ca="1" si="255"/>
        <v/>
      </c>
      <c r="I756" s="63" t="str">
        <f t="shared" ca="1" si="256"/>
        <v/>
      </c>
      <c r="J756" s="63">
        <f t="shared" ca="1" si="257"/>
        <v>7.5599999999999999E-3</v>
      </c>
      <c r="K756" s="63">
        <f t="shared" ca="1" si="257"/>
        <v>7.5599999999999999E-3</v>
      </c>
      <c r="L756" s="63" t="e">
        <f ca="1">VLOOKUP(Tabella185[[#This Row],[Calciatore]],'Raccolta Aste'!$P$2:$T$33,4,FALSE)*Asta!$U$3/100</f>
        <v>#N/A</v>
      </c>
      <c r="W756" s="56">
        <f t="shared" ca="1" si="245"/>
        <v>110</v>
      </c>
      <c r="X756" s="56">
        <f t="shared" ca="1" si="246"/>
        <v>110</v>
      </c>
      <c r="Y756" s="56">
        <f t="shared" ca="1" si="247"/>
        <v>111</v>
      </c>
      <c r="Z756" s="56">
        <f t="shared" ca="1" si="248"/>
        <v>111</v>
      </c>
      <c r="AA756" s="56">
        <f t="shared" ca="1" si="249"/>
        <v>111</v>
      </c>
      <c r="AB756" s="56">
        <f ca="1">_xlfn.CEILING.MATH(INDIRECT(ADDRESS(643,22+MATCH($P$30,'I.A. + Fasce'!$W$84:$AA$84,0),1,1) &amp; ":" &amp; ADDRESS(762,22+MATCH($P$30,'I.A. + Fasce'!$W$84:$AA$84,0),1,1))/Asta!$H$3)</f>
        <v>14</v>
      </c>
    </row>
    <row r="757" spans="1:28" ht="14.25" customHeight="1">
      <c r="A757" s="239" t="str">
        <f ca="1">IF(Giocatori!M109="","A",Giocatori!M109)</f>
        <v>A</v>
      </c>
      <c r="B757" s="239" t="str">
        <f ca="1">IF(Giocatori!N123="","ZZZ" &amp; ROW(),Giocatori!N123)</f>
        <v>ZZZ757</v>
      </c>
      <c r="C757" s="239" t="str">
        <f ca="1">IF(Giocatori!O123="","NDR" &amp; ROW(),Giocatori!O123)</f>
        <v>NDR757</v>
      </c>
      <c r="D757" s="63">
        <f t="shared" ca="1" si="251"/>
        <v>7.5700000000000003E-3</v>
      </c>
      <c r="E757" s="63">
        <f t="shared" ca="1" si="252"/>
        <v>7.5700000000000003E-3</v>
      </c>
      <c r="F757" s="64">
        <f t="shared" ca="1" si="253"/>
        <v>1.5140477540833334E-2</v>
      </c>
      <c r="G757" s="63" t="str">
        <f t="shared" ca="1" si="254"/>
        <v/>
      </c>
      <c r="H757" s="65" t="str">
        <f t="shared" ca="1" si="255"/>
        <v/>
      </c>
      <c r="I757" s="63" t="str">
        <f t="shared" ca="1" si="256"/>
        <v/>
      </c>
      <c r="J757" s="63">
        <f t="shared" ca="1" si="257"/>
        <v>7.5700000000000003E-3</v>
      </c>
      <c r="K757" s="63">
        <f t="shared" ca="1" si="257"/>
        <v>7.5700000000000003E-3</v>
      </c>
      <c r="L757" s="63" t="e">
        <f ca="1">VLOOKUP(Tabella185[[#This Row],[Calciatore]],'Raccolta Aste'!$P$2:$T$33,4,FALSE)*Asta!$U$3/100</f>
        <v>#N/A</v>
      </c>
      <c r="W757" s="56">
        <f t="shared" ca="1" si="245"/>
        <v>109</v>
      </c>
      <c r="X757" s="56">
        <f t="shared" ca="1" si="246"/>
        <v>109</v>
      </c>
      <c r="Y757" s="56">
        <f t="shared" ca="1" si="247"/>
        <v>110</v>
      </c>
      <c r="Z757" s="56">
        <f t="shared" ca="1" si="248"/>
        <v>110</v>
      </c>
      <c r="AA757" s="56">
        <f t="shared" ca="1" si="249"/>
        <v>110</v>
      </c>
      <c r="AB757" s="56">
        <f ca="1">_xlfn.CEILING.MATH(INDIRECT(ADDRESS(643,22+MATCH($P$30,'I.A. + Fasce'!$W$84:$AA$84,0),1,1) &amp; ":" &amp; ADDRESS(762,22+MATCH($P$30,'I.A. + Fasce'!$W$84:$AA$84,0),1,1))/Asta!$H$3)</f>
        <v>14</v>
      </c>
    </row>
    <row r="758" spans="1:28" ht="14.25" customHeight="1">
      <c r="A758" s="239" t="str">
        <f ca="1">IF(Giocatori!M110="","A",Giocatori!M110)</f>
        <v>A</v>
      </c>
      <c r="B758" s="239" t="str">
        <f ca="1">IF(Giocatori!N124="","ZZZ" &amp; ROW(),Giocatori!N124)</f>
        <v>ZZZ758</v>
      </c>
      <c r="C758" s="239" t="str">
        <f ca="1">IF(Giocatori!O124="","NDR" &amp; ROW(),Giocatori!O124)</f>
        <v>NDR758</v>
      </c>
      <c r="D758" s="63">
        <f t="shared" ca="1" si="251"/>
        <v>7.5799999999999999E-3</v>
      </c>
      <c r="E758" s="63">
        <f t="shared" ca="1" si="252"/>
        <v>7.5799999999999999E-3</v>
      </c>
      <c r="F758" s="64">
        <f t="shared" ca="1" si="253"/>
        <v>1.5160478803333332E-2</v>
      </c>
      <c r="G758" s="63" t="str">
        <f t="shared" ca="1" si="254"/>
        <v/>
      </c>
      <c r="H758" s="65" t="str">
        <f t="shared" ca="1" si="255"/>
        <v/>
      </c>
      <c r="I758" s="63" t="str">
        <f t="shared" ca="1" si="256"/>
        <v/>
      </c>
      <c r="J758" s="63">
        <f t="shared" ca="1" si="257"/>
        <v>7.5799999999999999E-3</v>
      </c>
      <c r="K758" s="63">
        <f t="shared" ca="1" si="257"/>
        <v>7.5799999999999999E-3</v>
      </c>
      <c r="L758" s="63" t="e">
        <f ca="1">VLOOKUP(Tabella185[[#This Row],[Calciatore]],'Raccolta Aste'!$P$2:$T$33,4,FALSE)*Asta!$U$3/100</f>
        <v>#N/A</v>
      </c>
      <c r="W758" s="56">
        <f t="shared" ca="1" si="245"/>
        <v>108</v>
      </c>
      <c r="X758" s="56">
        <f t="shared" ca="1" si="246"/>
        <v>108</v>
      </c>
      <c r="Y758" s="56">
        <f t="shared" ca="1" si="247"/>
        <v>109</v>
      </c>
      <c r="Z758" s="56">
        <f t="shared" ca="1" si="248"/>
        <v>109</v>
      </c>
      <c r="AA758" s="56">
        <f t="shared" ca="1" si="249"/>
        <v>109</v>
      </c>
      <c r="AB758" s="56">
        <f ca="1">_xlfn.CEILING.MATH(INDIRECT(ADDRESS(643,22+MATCH($P$30,'I.A. + Fasce'!$W$84:$AA$84,0),1,1) &amp; ":" &amp; ADDRESS(762,22+MATCH($P$30,'I.A. + Fasce'!$W$84:$AA$84,0),1,1))/Asta!$H$3)</f>
        <v>14</v>
      </c>
    </row>
    <row r="759" spans="1:28" ht="14.25" customHeight="1">
      <c r="A759" s="239" t="str">
        <f ca="1">IF(Giocatori!M111="","A",Giocatori!M111)</f>
        <v>A</v>
      </c>
      <c r="B759" s="239" t="str">
        <f ca="1">IF(Giocatori!N125="","ZZZ" &amp; ROW(),Giocatori!N125)</f>
        <v>ZZZ759</v>
      </c>
      <c r="C759" s="239" t="str">
        <f ca="1">IF(Giocatori!O125="","NDR" &amp; ROW(),Giocatori!O125)</f>
        <v>NDR759</v>
      </c>
      <c r="D759" s="63">
        <f t="shared" ca="1" si="251"/>
        <v>7.5900000000000004E-3</v>
      </c>
      <c r="E759" s="63">
        <f t="shared" ca="1" si="252"/>
        <v>7.5900000000000004E-3</v>
      </c>
      <c r="F759" s="64">
        <f t="shared" ca="1" si="253"/>
        <v>1.5180480067500002E-2</v>
      </c>
      <c r="G759" s="63" t="str">
        <f t="shared" ca="1" si="254"/>
        <v/>
      </c>
      <c r="H759" s="65" t="str">
        <f t="shared" ca="1" si="255"/>
        <v/>
      </c>
      <c r="I759" s="63" t="str">
        <f t="shared" ca="1" si="256"/>
        <v/>
      </c>
      <c r="J759" s="63">
        <f t="shared" ca="1" si="257"/>
        <v>7.5900000000000004E-3</v>
      </c>
      <c r="K759" s="63">
        <f t="shared" ca="1" si="257"/>
        <v>7.5900000000000004E-3</v>
      </c>
      <c r="L759" s="63" t="e">
        <f ca="1">VLOOKUP(Tabella185[[#This Row],[Calciatore]],'Raccolta Aste'!$P$2:$T$33,4,FALSE)*Asta!$U$3/100</f>
        <v>#N/A</v>
      </c>
      <c r="W759" s="56">
        <f t="shared" ca="1" si="245"/>
        <v>107</v>
      </c>
      <c r="X759" s="56">
        <f t="shared" ca="1" si="246"/>
        <v>107</v>
      </c>
      <c r="Y759" s="56">
        <f t="shared" ca="1" si="247"/>
        <v>108</v>
      </c>
      <c r="Z759" s="56">
        <f t="shared" ca="1" si="248"/>
        <v>108</v>
      </c>
      <c r="AA759" s="56">
        <f t="shared" ca="1" si="249"/>
        <v>108</v>
      </c>
      <c r="AB759" s="56">
        <f ca="1">_xlfn.CEILING.MATH(INDIRECT(ADDRESS(643,22+MATCH($P$30,'I.A. + Fasce'!$W$84:$AA$84,0),1,1) &amp; ":" &amp; ADDRESS(762,22+MATCH($P$30,'I.A. + Fasce'!$W$84:$AA$84,0),1,1))/Asta!$H$3)</f>
        <v>14</v>
      </c>
    </row>
    <row r="760" spans="1:28" ht="14.25" customHeight="1">
      <c r="A760" s="239" t="str">
        <f ca="1">IF(Giocatori!M112="","A",Giocatori!M112)</f>
        <v>A</v>
      </c>
      <c r="B760" s="239" t="str">
        <f ca="1">IF(Giocatori!N126="","ZZZ" &amp; ROW(),Giocatori!N126)</f>
        <v>ZZZ760</v>
      </c>
      <c r="C760" s="239" t="str">
        <f ca="1">IF(Giocatori!O126="","NDR" &amp; ROW(),Giocatori!O126)</f>
        <v>NDR760</v>
      </c>
      <c r="D760" s="63">
        <f t="shared" ca="1" si="251"/>
        <v>7.6E-3</v>
      </c>
      <c r="E760" s="63">
        <f t="shared" ca="1" si="252"/>
        <v>7.6E-3</v>
      </c>
      <c r="F760" s="64">
        <f t="shared" ca="1" si="253"/>
        <v>1.5200481333333333E-2</v>
      </c>
      <c r="G760" s="63" t="str">
        <f t="shared" ca="1" si="254"/>
        <v/>
      </c>
      <c r="H760" s="65" t="str">
        <f t="shared" ca="1" si="255"/>
        <v/>
      </c>
      <c r="I760" s="63" t="str">
        <f t="shared" ca="1" si="256"/>
        <v/>
      </c>
      <c r="J760" s="63">
        <f t="shared" ca="1" si="257"/>
        <v>7.6E-3</v>
      </c>
      <c r="K760" s="63">
        <f t="shared" ca="1" si="257"/>
        <v>7.6E-3</v>
      </c>
      <c r="L760" s="63" t="e">
        <f ca="1">VLOOKUP(Tabella185[[#This Row],[Calciatore]],'Raccolta Aste'!$P$2:$T$33,4,FALSE)*Asta!$U$3/100</f>
        <v>#N/A</v>
      </c>
      <c r="W760" s="56">
        <f t="shared" ca="1" si="245"/>
        <v>106</v>
      </c>
      <c r="X760" s="56">
        <f t="shared" ca="1" si="246"/>
        <v>106</v>
      </c>
      <c r="Y760" s="56">
        <f t="shared" ca="1" si="247"/>
        <v>107</v>
      </c>
      <c r="Z760" s="56">
        <f t="shared" ca="1" si="248"/>
        <v>107</v>
      </c>
      <c r="AA760" s="56">
        <f t="shared" ca="1" si="249"/>
        <v>107</v>
      </c>
      <c r="AB760" s="56">
        <f ca="1">_xlfn.CEILING.MATH(INDIRECT(ADDRESS(643,22+MATCH($P$30,'I.A. + Fasce'!$W$84:$AA$84,0),1,1) &amp; ":" &amp; ADDRESS(762,22+MATCH($P$30,'I.A. + Fasce'!$W$84:$AA$84,0),1,1))/Asta!$H$3)</f>
        <v>14</v>
      </c>
    </row>
    <row r="761" spans="1:28" ht="14.25" customHeight="1">
      <c r="A761" s="239" t="str">
        <f ca="1">IF(Giocatori!M113="","A",Giocatori!M113)</f>
        <v>A</v>
      </c>
      <c r="B761" s="239" t="str">
        <f ca="1">IF(Giocatori!N127="","ZZZ" &amp; ROW(),Giocatori!N127)</f>
        <v>ZZZ761</v>
      </c>
      <c r="C761" s="239" t="str">
        <f ca="1">IF(Giocatori!O127="","NDR" &amp; ROW(),Giocatori!O127)</f>
        <v>NDR761</v>
      </c>
      <c r="D761" s="63">
        <f t="shared" ca="1" si="251"/>
        <v>7.6099999999999996E-3</v>
      </c>
      <c r="E761" s="63">
        <f t="shared" ca="1" si="252"/>
        <v>7.6099999999999996E-3</v>
      </c>
      <c r="F761" s="64">
        <f t="shared" ca="1" si="253"/>
        <v>1.5220482600833331E-2</v>
      </c>
      <c r="G761" s="63" t="str">
        <f t="shared" ca="1" si="254"/>
        <v/>
      </c>
      <c r="H761" s="65" t="str">
        <f t="shared" ca="1" si="255"/>
        <v/>
      </c>
      <c r="I761" s="63" t="str">
        <f t="shared" ca="1" si="256"/>
        <v/>
      </c>
      <c r="J761" s="63">
        <f t="shared" ca="1" si="257"/>
        <v>7.6099999999999996E-3</v>
      </c>
      <c r="K761" s="63">
        <f t="shared" ca="1" si="257"/>
        <v>7.6099999999999996E-3</v>
      </c>
      <c r="L761" s="63" t="e">
        <f ca="1">VLOOKUP(Tabella185[[#This Row],[Calciatore]],'Raccolta Aste'!$P$2:$T$33,4,FALSE)*Asta!$U$3/100</f>
        <v>#N/A</v>
      </c>
      <c r="W761" s="56">
        <f t="shared" ca="1" si="245"/>
        <v>105</v>
      </c>
      <c r="X761" s="56">
        <f t="shared" ca="1" si="246"/>
        <v>105</v>
      </c>
      <c r="Y761" s="56">
        <f t="shared" ca="1" si="247"/>
        <v>106</v>
      </c>
      <c r="Z761" s="56">
        <f t="shared" ca="1" si="248"/>
        <v>106</v>
      </c>
      <c r="AA761" s="56">
        <f t="shared" ca="1" si="249"/>
        <v>106</v>
      </c>
      <c r="AB761" s="56">
        <f ca="1">_xlfn.CEILING.MATH(INDIRECT(ADDRESS(643,22+MATCH($P$30,'I.A. + Fasce'!$W$84:$AA$84,0),1,1) &amp; ":" &amp; ADDRESS(762,22+MATCH($P$30,'I.A. + Fasce'!$W$84:$AA$84,0),1,1))/Asta!$H$3)</f>
        <v>14</v>
      </c>
    </row>
    <row r="762" spans="1:28" ht="14.25" customHeight="1">
      <c r="A762" s="239" t="str">
        <f ca="1">IF(Giocatori!M114="","A",Giocatori!M114)</f>
        <v>A</v>
      </c>
      <c r="B762" s="239" t="str">
        <f ca="1">IF(Giocatori!N128="","ZZZ" &amp; ROW(),Giocatori!N128)</f>
        <v>ZZZ762</v>
      </c>
      <c r="C762" s="239" t="str">
        <f ca="1">IF(Giocatori!O128="","NDR" &amp; ROW(),Giocatori!O128)</f>
        <v>NDR762</v>
      </c>
      <c r="D762" s="63">
        <f t="shared" ca="1" si="251"/>
        <v>7.62E-3</v>
      </c>
      <c r="E762" s="63">
        <f t="shared" ca="1" si="252"/>
        <v>7.62E-3</v>
      </c>
      <c r="F762" s="64">
        <f t="shared" ca="1" si="253"/>
        <v>1.524048387E-2</v>
      </c>
      <c r="G762" s="63" t="str">
        <f t="shared" ca="1" si="254"/>
        <v/>
      </c>
      <c r="H762" s="65" t="str">
        <f t="shared" ca="1" si="255"/>
        <v/>
      </c>
      <c r="I762" s="63" t="str">
        <f t="shared" ca="1" si="256"/>
        <v/>
      </c>
      <c r="J762" s="63">
        <f t="shared" ca="1" si="257"/>
        <v>7.62E-3</v>
      </c>
      <c r="K762" s="63">
        <f t="shared" ca="1" si="257"/>
        <v>7.62E-3</v>
      </c>
      <c r="L762" s="63" t="e">
        <f ca="1">VLOOKUP(Tabella185[[#This Row],[Calciatore]],'Raccolta Aste'!$P$2:$T$33,4,FALSE)*Asta!$U$3/100</f>
        <v>#N/A</v>
      </c>
      <c r="W762" s="56">
        <f t="shared" ca="1" si="245"/>
        <v>104</v>
      </c>
      <c r="X762" s="56">
        <f t="shared" ca="1" si="246"/>
        <v>104</v>
      </c>
      <c r="Y762" s="56">
        <f t="shared" ca="1" si="247"/>
        <v>105</v>
      </c>
      <c r="Z762" s="56">
        <f t="shared" ca="1" si="248"/>
        <v>105</v>
      </c>
      <c r="AA762" s="56">
        <f t="shared" ca="1" si="249"/>
        <v>105</v>
      </c>
      <c r="AB762" s="56">
        <f ca="1">_xlfn.CEILING.MATH(INDIRECT(ADDRESS(643,22+MATCH($P$30,'I.A. + Fasce'!$W$84:$AA$84,0),1,1) &amp; ":" &amp; ADDRESS(762,22+MATCH($P$30,'I.A. + Fasce'!$W$84:$AA$84,0),1,1))/Asta!$H$3)</f>
        <v>14</v>
      </c>
    </row>
    <row r="764" spans="1:28" ht="15.75">
      <c r="O764" s="547" t="s">
        <v>704</v>
      </c>
      <c r="P764" s="547"/>
    </row>
  </sheetData>
  <mergeCells count="73">
    <mergeCell ref="N30:O30"/>
    <mergeCell ref="P26:R26"/>
    <mergeCell ref="P27:R27"/>
    <mergeCell ref="P28:R28"/>
    <mergeCell ref="P29:R29"/>
    <mergeCell ref="P30:R30"/>
    <mergeCell ref="N28:O28"/>
    <mergeCell ref="A1:S1"/>
    <mergeCell ref="A3:B3"/>
    <mergeCell ref="C3:D3"/>
    <mergeCell ref="E3:H3"/>
    <mergeCell ref="I3:M3"/>
    <mergeCell ref="N3:O3"/>
    <mergeCell ref="P3:S3"/>
    <mergeCell ref="P81:S81"/>
    <mergeCell ref="A5:G5"/>
    <mergeCell ref="N5:S5"/>
    <mergeCell ref="N7:S7"/>
    <mergeCell ref="N8:O8"/>
    <mergeCell ref="Q8:R8"/>
    <mergeCell ref="J5:K5"/>
    <mergeCell ref="N22:S23"/>
    <mergeCell ref="N9:S11"/>
    <mergeCell ref="N25:S25"/>
    <mergeCell ref="N26:O26"/>
    <mergeCell ref="N27:O27"/>
    <mergeCell ref="N13:S14"/>
    <mergeCell ref="N16:S17"/>
    <mergeCell ref="N19:S20"/>
    <mergeCell ref="N29:O29"/>
    <mergeCell ref="A81:B81"/>
    <mergeCell ref="C81:D81"/>
    <mergeCell ref="E81:H81"/>
    <mergeCell ref="I81:M81"/>
    <mergeCell ref="N81:O81"/>
    <mergeCell ref="I307:M307"/>
    <mergeCell ref="N307:O307"/>
    <mergeCell ref="G83:H83"/>
    <mergeCell ref="O169:P169"/>
    <mergeCell ref="O205:P205"/>
    <mergeCell ref="O241:P241"/>
    <mergeCell ref="G309:H309"/>
    <mergeCell ref="A83:F83"/>
    <mergeCell ref="A307:B307"/>
    <mergeCell ref="C307:D307"/>
    <mergeCell ref="E307:H307"/>
    <mergeCell ref="G641:H641"/>
    <mergeCell ref="G535:H535"/>
    <mergeCell ref="P307:S307"/>
    <mergeCell ref="A309:F309"/>
    <mergeCell ref="A533:B533"/>
    <mergeCell ref="C533:D533"/>
    <mergeCell ref="E533:H533"/>
    <mergeCell ref="I533:M533"/>
    <mergeCell ref="N533:O533"/>
    <mergeCell ref="A641:F641"/>
    <mergeCell ref="A535:F535"/>
    <mergeCell ref="A639:B639"/>
    <mergeCell ref="C639:D639"/>
    <mergeCell ref="E639:H639"/>
    <mergeCell ref="I639:M639"/>
    <mergeCell ref="P533:S533"/>
    <mergeCell ref="O702:P702"/>
    <mergeCell ref="O729:P729"/>
    <mergeCell ref="O764:P764"/>
    <mergeCell ref="O275:P275"/>
    <mergeCell ref="O398:P398"/>
    <mergeCell ref="O432:P432"/>
    <mergeCell ref="O501:P501"/>
    <mergeCell ref="O581:P581"/>
    <mergeCell ref="O606:P606"/>
    <mergeCell ref="P639:S639"/>
    <mergeCell ref="N639:O639"/>
  </mergeCells>
  <conditionalFormatting sqref="G1:I2 G4:I5 G82:I82 G306:I306 G308:I308 G532:I532 G640:I640 G763:I765 G845:I924 G1052:I65536 G80:I80 J310:L310 J536:L536 J642:L642 K532:L532 K534:L534 K640:L640 G84:L84">
    <cfRule type="cellIs" dxfId="321" priority="101" stopIfTrue="1" operator="equal">
      <formula>"PRIMAVERA"</formula>
    </cfRule>
    <cfRule type="cellIs" dxfId="320" priority="102" stopIfTrue="1" operator="equal">
      <formula>"SORPRESA"</formula>
    </cfRule>
    <cfRule type="cellIs" dxfId="319" priority="103" stopIfTrue="1" operator="equal">
      <formula>"CONSIGLIATO"</formula>
    </cfRule>
  </conditionalFormatting>
  <conditionalFormatting sqref="G534:I534">
    <cfRule type="cellIs" dxfId="318" priority="126" stopIfTrue="1" operator="equal">
      <formula>"PRIMAVERA"</formula>
    </cfRule>
    <cfRule type="cellIs" dxfId="317" priority="127" stopIfTrue="1" operator="equal">
      <formula>"SORPRESA"</formula>
    </cfRule>
    <cfRule type="cellIs" dxfId="316" priority="128" stopIfTrue="1" operator="equal">
      <formula>"CONSIGLIATO"</formula>
    </cfRule>
  </conditionalFormatting>
  <conditionalFormatting sqref="G310">
    <cfRule type="cellIs" dxfId="315" priority="129" stopIfTrue="1" operator="equal">
      <formula>"PRIMAVERA"</formula>
    </cfRule>
    <cfRule type="cellIs" dxfId="314" priority="130" stopIfTrue="1" operator="equal">
      <formula>"SORPRESA"</formula>
    </cfRule>
    <cfRule type="cellIs" dxfId="313" priority="131" stopIfTrue="1" operator="equal">
      <formula>"CONSIGLIATO"</formula>
    </cfRule>
  </conditionalFormatting>
  <conditionalFormatting sqref="G536">
    <cfRule type="cellIs" dxfId="312" priority="137" stopIfTrue="1" operator="equal">
      <formula>"PRIMAVERA"</formula>
    </cfRule>
    <cfRule type="cellIs" dxfId="311" priority="138" stopIfTrue="1" operator="equal">
      <formula>"SORPRESA"</formula>
    </cfRule>
    <cfRule type="cellIs" dxfId="310" priority="139" stopIfTrue="1" operator="equal">
      <formula>"CONSIGLIATO"</formula>
    </cfRule>
  </conditionalFormatting>
  <conditionalFormatting sqref="G642">
    <cfRule type="cellIs" dxfId="309" priority="140" stopIfTrue="1" operator="equal">
      <formula>"PRIMAVERA"</formula>
    </cfRule>
    <cfRule type="cellIs" dxfId="308" priority="141" stopIfTrue="1" operator="equal">
      <formula>"SORPRESA"</formula>
    </cfRule>
    <cfRule type="cellIs" dxfId="307" priority="142" stopIfTrue="1" operator="equal">
      <formula>"CONSIGLIATO"</formula>
    </cfRule>
  </conditionalFormatting>
  <conditionalFormatting sqref="H310:I310">
    <cfRule type="cellIs" dxfId="306" priority="150" stopIfTrue="1" operator="equal">
      <formula>"PRIMAVERA"</formula>
    </cfRule>
    <cfRule type="cellIs" dxfId="305" priority="151" stopIfTrue="1" operator="equal">
      <formula>"SORPRESA"</formula>
    </cfRule>
    <cfRule type="cellIs" dxfId="304" priority="152" stopIfTrue="1" operator="equal">
      <formula>"CONSIGLIATO"</formula>
    </cfRule>
  </conditionalFormatting>
  <conditionalFormatting sqref="H536:I536">
    <cfRule type="cellIs" dxfId="303" priority="153" stopIfTrue="1" operator="equal">
      <formula>"PRIMAVERA"</formula>
    </cfRule>
    <cfRule type="cellIs" dxfId="302" priority="154" stopIfTrue="1" operator="equal">
      <formula>"SORPRESA"</formula>
    </cfRule>
    <cfRule type="cellIs" dxfId="301" priority="155" stopIfTrue="1" operator="equal">
      <formula>"CONSIGLIATO"</formula>
    </cfRule>
  </conditionalFormatting>
  <conditionalFormatting sqref="H642:I642">
    <cfRule type="cellIs" dxfId="300" priority="156" stopIfTrue="1" operator="equal">
      <formula>"PRIMAVERA"</formula>
    </cfRule>
    <cfRule type="cellIs" dxfId="299" priority="157" stopIfTrue="1" operator="equal">
      <formula>"SORPRESA"</formula>
    </cfRule>
    <cfRule type="cellIs" dxfId="298" priority="158" stopIfTrue="1" operator="equal">
      <formula>"CONSIGLIATO"</formula>
    </cfRule>
  </conditionalFormatting>
  <conditionalFormatting sqref="H85:H305">
    <cfRule type="dataBar" priority="99">
      <dataBar>
        <cfvo type="min"/>
        <cfvo type="max"/>
        <color theme="4" tint="0.39997558519241921"/>
      </dataBar>
      <extLst>
        <ext xmlns:x14="http://schemas.microsoft.com/office/spreadsheetml/2009/9/main" uri="{B025F937-C7B1-47D3-B67F-A62EFF666E3E}">
          <x14:id>{332D41B4-125C-4CA7-BDA9-FC965DF11121}</x14:id>
        </ext>
      </extLst>
    </cfRule>
  </conditionalFormatting>
  <conditionalFormatting sqref="H311:H531">
    <cfRule type="dataBar" priority="98">
      <dataBar>
        <cfvo type="min"/>
        <cfvo type="max"/>
        <color theme="4" tint="0.39997558519241921"/>
      </dataBar>
      <extLst>
        <ext xmlns:x14="http://schemas.microsoft.com/office/spreadsheetml/2009/9/main" uri="{B025F937-C7B1-47D3-B67F-A62EFF666E3E}">
          <x14:id>{01F211CA-2E6D-4C8D-84F4-982873521980}</x14:id>
        </ext>
      </extLst>
    </cfRule>
  </conditionalFormatting>
  <conditionalFormatting sqref="H538:H637">
    <cfRule type="dataBar" priority="97">
      <dataBar>
        <cfvo type="min"/>
        <cfvo type="max"/>
        <color theme="4" tint="0.39997558519241921"/>
      </dataBar>
      <extLst>
        <ext xmlns:x14="http://schemas.microsoft.com/office/spreadsheetml/2009/9/main" uri="{B025F937-C7B1-47D3-B67F-A62EFF666E3E}">
          <x14:id>{D81EC5C2-CCB8-4F66-879C-61D11F8F5DB0}</x14:id>
        </ext>
      </extLst>
    </cfRule>
  </conditionalFormatting>
  <conditionalFormatting sqref="H643:H762">
    <cfRule type="dataBar" priority="96">
      <dataBar>
        <cfvo type="min"/>
        <cfvo type="max"/>
        <color theme="4" tint="0.39997558519241921"/>
      </dataBar>
      <extLst>
        <ext xmlns:x14="http://schemas.microsoft.com/office/spreadsheetml/2009/9/main" uri="{B025F937-C7B1-47D3-B67F-A62EFF666E3E}">
          <x14:id>{17BF17BF-FC4D-4468-9AA9-A3256DF080B8}</x14:id>
        </ext>
      </extLst>
    </cfRule>
  </conditionalFormatting>
  <conditionalFormatting sqref="F538:F637 F643:F762 F85:F305 F311:F531">
    <cfRule type="iconSet" priority="95">
      <iconSet>
        <cfvo type="percent" val="0"/>
        <cfvo type="num" val="33"/>
        <cfvo type="num" val="67"/>
      </iconSet>
    </cfRule>
  </conditionalFormatting>
  <conditionalFormatting sqref="G1:G5 G80:G310 G312:G536 G538:G65536">
    <cfRule type="expression" dxfId="297" priority="94" stopIfTrue="1">
      <formula>$G1="CONSIGLIATO"</formula>
    </cfRule>
  </conditionalFormatting>
  <conditionalFormatting sqref="G6:L6">
    <cfRule type="cellIs" dxfId="296" priority="89" stopIfTrue="1" operator="equal">
      <formula>"PRIMAVERA"</formula>
    </cfRule>
    <cfRule type="cellIs" dxfId="295" priority="90" stopIfTrue="1" operator="equal">
      <formula>"SORPRESA"</formula>
    </cfRule>
    <cfRule type="cellIs" dxfId="294" priority="91" stopIfTrue="1" operator="equal">
      <formula>"CONSIGLIATO"</formula>
    </cfRule>
  </conditionalFormatting>
  <conditionalFormatting sqref="G6">
    <cfRule type="expression" dxfId="293" priority="86" stopIfTrue="1">
      <formula>$G6="SORPRESA"</formula>
    </cfRule>
    <cfRule type="expression" dxfId="292" priority="87" stopIfTrue="1">
      <formula>$G6="SCONSIGLIATO"</formula>
    </cfRule>
    <cfRule type="expression" dxfId="291" priority="88" stopIfTrue="1">
      <formula>$G6="CONSIGLIATO"</formula>
    </cfRule>
  </conditionalFormatting>
  <conditionalFormatting sqref="H7:H79">
    <cfRule type="dataBar" priority="80">
      <dataBar>
        <cfvo type="min"/>
        <cfvo type="max"/>
        <color theme="4" tint="0.39997558519241921"/>
      </dataBar>
      <extLst>
        <ext xmlns:x14="http://schemas.microsoft.com/office/spreadsheetml/2009/9/main" uri="{B025F937-C7B1-47D3-B67F-A62EFF666E3E}">
          <x14:id>{1A975C16-AB10-416A-8050-3A860A211710}</x14:id>
        </ext>
      </extLst>
    </cfRule>
  </conditionalFormatting>
  <conditionalFormatting sqref="F7:F79">
    <cfRule type="iconSet" priority="79">
      <iconSet>
        <cfvo type="percent" val="0"/>
        <cfvo type="num" val="33"/>
        <cfvo type="num" val="67"/>
      </iconSet>
    </cfRule>
  </conditionalFormatting>
  <conditionalFormatting sqref="G7:G79">
    <cfRule type="expression" dxfId="290" priority="76" stopIfTrue="1">
      <formula>$G7="SORPRESA"</formula>
    </cfRule>
    <cfRule type="expression" dxfId="289" priority="77" stopIfTrue="1">
      <formula>$G7="SCONSIGLIATO"</formula>
    </cfRule>
    <cfRule type="expression" dxfId="288" priority="78" stopIfTrue="1">
      <formula>$G7="CONSIGLIATO"</formula>
    </cfRule>
  </conditionalFormatting>
  <conditionalFormatting sqref="A7:C79">
    <cfRule type="expression" dxfId="287" priority="67" stopIfTrue="1">
      <formula>AND(COUNTIF($B$86:$B$305,A7)&gt;1,NOT(ISBLANK(A7)))</formula>
    </cfRule>
  </conditionalFormatting>
  <conditionalFormatting sqref="H537">
    <cfRule type="dataBar" priority="50">
      <dataBar>
        <cfvo type="min"/>
        <cfvo type="max"/>
        <color theme="4" tint="0.39997558519241921"/>
      </dataBar>
      <extLst>
        <ext xmlns:x14="http://schemas.microsoft.com/office/spreadsheetml/2009/9/main" uri="{B025F937-C7B1-47D3-B67F-A62EFF666E3E}">
          <x14:id>{8AFFFAC9-8A5D-4F75-8E18-03EAF584D4A2}</x14:id>
        </ext>
      </extLst>
    </cfRule>
  </conditionalFormatting>
  <conditionalFormatting sqref="F537">
    <cfRule type="iconSet" priority="49">
      <iconSet>
        <cfvo type="percent" val="0"/>
        <cfvo type="num" val="33"/>
        <cfvo type="num" val="67"/>
      </iconSet>
    </cfRule>
  </conditionalFormatting>
  <conditionalFormatting sqref="G537">
    <cfRule type="expression" dxfId="286" priority="46" stopIfTrue="1">
      <formula>$G537="SORPRESA"</formula>
    </cfRule>
    <cfRule type="expression" dxfId="285" priority="47" stopIfTrue="1">
      <formula>$G537="SCONSIGLIATO"</formula>
    </cfRule>
    <cfRule type="expression" dxfId="284" priority="48" stopIfTrue="1">
      <formula>$G537="CONSIGLIATO"</formula>
    </cfRule>
  </conditionalFormatting>
  <conditionalFormatting sqref="B7:B79">
    <cfRule type="expression" dxfId="283" priority="65" stopIfTrue="1">
      <formula>OR(COUNTIF($AC$5:$AC$211,$B7)&gt;0)</formula>
    </cfRule>
    <cfRule type="expression" dxfId="282" priority="66" stopIfTrue="1">
      <formula>OR(COUNTIF($AD$5:$AD$211,$B7)&gt;0)</formula>
    </cfRule>
  </conditionalFormatting>
  <conditionalFormatting sqref="B85:B305 B311:B531">
    <cfRule type="expression" dxfId="281" priority="62" stopIfTrue="1">
      <formula>OR(COUNTIF($AC$5:$AC$211,$B85)&gt;0)</formula>
    </cfRule>
    <cfRule type="expression" dxfId="280" priority="63" stopIfTrue="1">
      <formula>OR(COUNTIF($AE$5:$AE$211,$B85)&gt;0)</formula>
    </cfRule>
    <cfRule type="expression" dxfId="279" priority="64" stopIfTrue="1">
      <formula>AND(COUNTIF($B$86:$B$305,B85)&gt;1,NOT(ISBLANK(B85)))</formula>
    </cfRule>
  </conditionalFormatting>
  <conditionalFormatting sqref="G1:G5 G80:G536 G538:G65536">
    <cfRule type="expression" dxfId="278" priority="92" stopIfTrue="1">
      <formula>$G1="SORPRESA"</formula>
    </cfRule>
  </conditionalFormatting>
  <conditionalFormatting sqref="G1:G5 G80:G536 G538:G65536">
    <cfRule type="expression" dxfId="277" priority="93" stopIfTrue="1">
      <formula>$G1="SCONSIGLIATO"</formula>
    </cfRule>
  </conditionalFormatting>
  <conditionalFormatting sqref="B643:B762">
    <cfRule type="expression" dxfId="276" priority="43" stopIfTrue="1">
      <formula>OR(COUNTIF($AC$5:$AC$211,$B643)&gt;0)</formula>
    </cfRule>
    <cfRule type="expression" dxfId="275" priority="44" stopIfTrue="1">
      <formula>OR(COUNTIF($AG$5:$AG$211,$B643)&gt;0)</formula>
    </cfRule>
    <cfRule type="expression" dxfId="274" priority="45" stopIfTrue="1">
      <formula>AND(COUNTIF($B$86:$B$305,B643)&gt;1,NOT(ISBLANK(B643)))</formula>
    </cfRule>
  </conditionalFormatting>
  <conditionalFormatting sqref="B537:B637">
    <cfRule type="expression" dxfId="273" priority="51" stopIfTrue="1">
      <formula>OR(COUNTIF($AC$5:$AC$211,$B537)&gt;0)</formula>
    </cfRule>
    <cfRule type="expression" dxfId="272" priority="52" stopIfTrue="1">
      <formula>OR(COUNTIF($AH$5:$AH$211,$B537)&gt;0)</formula>
    </cfRule>
    <cfRule type="expression" dxfId="271" priority="53" stopIfTrue="1">
      <formula>AND(COUNTIF($B$86:$B$305,B537)&gt;1,NOT(ISBLANK(B537)))</formula>
    </cfRule>
  </conditionalFormatting>
  <conditionalFormatting sqref="R34:S45 R49:S60">
    <cfRule type="expression" dxfId="270" priority="109" stopIfTrue="1">
      <formula>OR(COUNTIF($AC$5:$AC$211,$R34)&gt;0)</formula>
    </cfRule>
    <cfRule type="expression" dxfId="269" priority="110" stopIfTrue="1">
      <formula>OR(COUNTIF($AD$5:$AD$211,$R34)&gt;0)</formula>
    </cfRule>
  </conditionalFormatting>
  <conditionalFormatting sqref="R85:S96 R100:S111 R115:S126 R130:S141 R145:S156">
    <cfRule type="expression" dxfId="268" priority="35" stopIfTrue="1">
      <formula>OR(COUNTIF($AE$5:$AE$211,$R85)&gt;0)</formula>
    </cfRule>
  </conditionalFormatting>
  <conditionalFormatting sqref="O1:P26 R1:S26 R31:S742 O31:P742 O27:O30 S27:S30">
    <cfRule type="containsBlanks" priority="6" stopIfTrue="1">
      <formula>LEN(TRIM(O1))=0</formula>
    </cfRule>
  </conditionalFormatting>
  <conditionalFormatting sqref="O34:P45 O49:P60">
    <cfRule type="expression" dxfId="267" priority="25" stopIfTrue="1">
      <formula>OR(COUNTIF($AC$5:$AC$211,$O34)&gt;0)</formula>
    </cfRule>
    <cfRule type="expression" dxfId="266" priority="26" stopIfTrue="1">
      <formula>OR(COUNTIF($AD$5:$AD$211,$O34)&gt;0)</formula>
    </cfRule>
  </conditionalFormatting>
  <conditionalFormatting sqref="R85:S96 R100:S111 R115:S126 R130:S141 R145:S156">
    <cfRule type="expression" dxfId="265" priority="23" stopIfTrue="1">
      <formula>OR(COUNTIF($AC$5:$AC$211,$R85)&gt;0)</formula>
    </cfRule>
  </conditionalFormatting>
  <conditionalFormatting sqref="O85:P96 O100:P111 O115:P126 O130:P141 O145:P156">
    <cfRule type="expression" dxfId="264" priority="21" stopIfTrue="1">
      <formula>OR(COUNTIF($AC$5:$AC$211,$O85)&gt;0)</formula>
    </cfRule>
    <cfRule type="expression" dxfId="263" priority="22" stopIfTrue="1">
      <formula>OR(COUNTIF($AE$5:$AE$211,$O85)&gt;0)</formula>
    </cfRule>
  </conditionalFormatting>
  <conditionalFormatting sqref="R311:S322 R326:S337 R341:S352 R356:S367 R371:S382">
    <cfRule type="expression" dxfId="262" priority="18" stopIfTrue="1">
      <formula>OR(COUNTIF($AC$5:$AC$211,$R311)&gt;0)</formula>
    </cfRule>
    <cfRule type="expression" dxfId="261" priority="19" stopIfTrue="1">
      <formula>OR(COUNTIF($AF$5:$AF$211,$R311)&gt;0)</formula>
    </cfRule>
  </conditionalFormatting>
  <conditionalFormatting sqref="O311:P322 O326:P337 O341:P352 O356:P367 O371:P382">
    <cfRule type="expression" dxfId="260" priority="17" stopIfTrue="1">
      <formula>OR(COUNTIF($AC$5:$AC$211,$O311)&gt;0)</formula>
    </cfRule>
    <cfRule type="expression" dxfId="259" priority="20" stopIfTrue="1">
      <formula>OR(COUNTIF($AF$5:$AF$211,$O311)&gt;0)</formula>
    </cfRule>
  </conditionalFormatting>
  <conditionalFormatting sqref="O537:P548 O552:P563 O567:P578">
    <cfRule type="expression" dxfId="258" priority="11" stopIfTrue="1">
      <formula>OR(COUNTIF($AC$5:$AC$211,$O537)&gt;0)</formula>
    </cfRule>
    <cfRule type="expression" dxfId="257" priority="14" stopIfTrue="1">
      <formula>OR(COUNTIF($AH$5:$AH$211,$O537)&gt;0)</formula>
    </cfRule>
  </conditionalFormatting>
  <conditionalFormatting sqref="R537:S548 R552:S563 R567:S578">
    <cfRule type="expression" dxfId="256" priority="12" stopIfTrue="1">
      <formula>OR(COUNTIF($AC$5:$AC$211,$R537)&gt;0)</formula>
    </cfRule>
    <cfRule type="expression" dxfId="255" priority="13" stopIfTrue="1">
      <formula>OR(COUNTIF($AH$5:$AH$211,$R537)&gt;0)</formula>
    </cfRule>
  </conditionalFormatting>
  <conditionalFormatting sqref="O643:P654 O658:P669 O673:P684 O688:P699">
    <cfRule type="expression" dxfId="254" priority="9" stopIfTrue="1">
      <formula>OR(COUNTIF($AC$5:$AC$211,$O643)&gt;0)</formula>
    </cfRule>
    <cfRule type="expression" dxfId="253" priority="16" stopIfTrue="1">
      <formula>OR(COUNTIF($AG$5:$AG$211,$O643)&gt;0)</formula>
    </cfRule>
  </conditionalFormatting>
  <conditionalFormatting sqref="R643:S654 R658:S669 R673:S684 R688:S699">
    <cfRule type="expression" dxfId="252" priority="7" stopIfTrue="1">
      <formula>OR(COUNTIF($AC$5:$AC$211,$R643)&gt;0)</formula>
    </cfRule>
    <cfRule type="expression" dxfId="251" priority="8" stopIfTrue="1">
      <formula>OR(COUNTIF($AG$5:$AG$211,$R643)&gt;0)</formula>
    </cfRule>
  </conditionalFormatting>
  <conditionalFormatting sqref="P27:P30 R27:R30">
    <cfRule type="containsBlanks" priority="1" stopIfTrue="1">
      <formula>LEN(TRIM(P27))=0</formula>
    </cfRule>
  </conditionalFormatting>
  <dataValidations count="1">
    <dataValidation type="list" allowBlank="1" showInputMessage="1" showErrorMessage="1" sqref="P26:P30" xr:uid="{00000000-0002-0000-0500-000000000000}">
      <formula1>$W$6:$AA$6</formula1>
    </dataValidation>
  </dataValidations>
  <hyperlinks>
    <hyperlink ref="A3" location="I!A. + Fasce.A8" display="Portieri" xr:uid="{00000000-0004-0000-0500-000000000000}"/>
    <hyperlink ref="C3" location="I!A. + Fasce.A83" display="Difensori" xr:uid="{00000000-0004-0000-0500-000001000000}"/>
    <hyperlink ref="E3" location="I!A. + Fasce.A309" display="Centrocampisti" xr:uid="{00000000-0004-0000-0500-000002000000}"/>
    <hyperlink ref="I3" location="I!A. + Fasce.A538" display="Trequartisti" xr:uid="{00000000-0004-0000-0500-000003000000}"/>
    <hyperlink ref="N3" location="I!A. + Fasce.A641" display="Attaccanti" xr:uid="{00000000-0004-0000-0500-000004000000}"/>
    <hyperlink ref="G641" location="'I.A. + Fasce'!A1" display="Torna Su" xr:uid="{00000000-0004-0000-0500-000005000000}"/>
    <hyperlink ref="A3:B3" location="'I.A. + Fasce'!A8" display="Portieri" xr:uid="{00000000-0004-0000-0500-000006000000}"/>
    <hyperlink ref="C3:D3" location="'I.A. + Fasce'!A86" display="Difensori" xr:uid="{00000000-0004-0000-0500-000007000000}"/>
    <hyperlink ref="E3:H3" location="'I.A. + Fasce'!A312" display="Centrocampisti" xr:uid="{00000000-0004-0000-0500-000008000000}"/>
    <hyperlink ref="I3:M3" location="'I.A. + Fasce'!A538" display="Trequartisti" xr:uid="{00000000-0004-0000-0500-000009000000}"/>
    <hyperlink ref="N3:O3" location="'I.A. + Fasce'!A644" display="Attaccanti" xr:uid="{00000000-0004-0000-0500-00000A000000}"/>
    <hyperlink ref="A81" location="I!A. + Fasce.A8" display="Portieri" xr:uid="{00000000-0004-0000-0500-00000B000000}"/>
    <hyperlink ref="C81" location="I!A. + Fasce.A83" display="Difensori" xr:uid="{00000000-0004-0000-0500-00000C000000}"/>
    <hyperlink ref="E81" location="I!A. + Fasce.A309" display="Centrocampisti" xr:uid="{00000000-0004-0000-0500-00000D000000}"/>
    <hyperlink ref="I81" location="I!A. + Fasce.A538" display="Trequartisti" xr:uid="{00000000-0004-0000-0500-00000E000000}"/>
    <hyperlink ref="A81:B81" location="'I.A. + Fasce'!A8" display="Portieri" xr:uid="{00000000-0004-0000-0500-00000F000000}"/>
    <hyperlink ref="C81:D81" location="'I.A. + Fasce'!A86" display="Difensori" xr:uid="{00000000-0004-0000-0500-000010000000}"/>
    <hyperlink ref="E81:H81" location="'I.A. + Fasce'!A312" display="Centrocampisti" xr:uid="{00000000-0004-0000-0500-000011000000}"/>
    <hyperlink ref="I81:M81" location="'I.A. + Fasce'!A538" display="Trequartisti" xr:uid="{00000000-0004-0000-0500-000012000000}"/>
    <hyperlink ref="A307" location="I!A. + Fasce.A8" display="Portieri" xr:uid="{00000000-0004-0000-0500-000013000000}"/>
    <hyperlink ref="C307" location="I!A. + Fasce.A83" display="Difensori" xr:uid="{00000000-0004-0000-0500-000014000000}"/>
    <hyperlink ref="E307" location="I!A. + Fasce.A309" display="Centrocampisti" xr:uid="{00000000-0004-0000-0500-000015000000}"/>
    <hyperlink ref="I307" location="I!A. + Fasce.A538" display="Trequartisti" xr:uid="{00000000-0004-0000-0500-000016000000}"/>
    <hyperlink ref="N307" location="I!A. + Fasce.A641" display="Attaccanti" xr:uid="{00000000-0004-0000-0500-000017000000}"/>
    <hyperlink ref="A307:B307" location="'I.A. + Fasce'!A8" display="Portieri" xr:uid="{00000000-0004-0000-0500-000018000000}"/>
    <hyperlink ref="C307:D307" location="'I.A. + Fasce'!A86" display="Difensori" xr:uid="{00000000-0004-0000-0500-000019000000}"/>
    <hyperlink ref="E307:H307" location="'I.A. + Fasce'!A312" display="Centrocampisti" xr:uid="{00000000-0004-0000-0500-00001A000000}"/>
    <hyperlink ref="I307:M307" location="'I.A. + Fasce'!A538" display="Trequartisti" xr:uid="{00000000-0004-0000-0500-00001B000000}"/>
    <hyperlink ref="N307:O307" location="'I.A. + Fasce'!A644" display="Attaccanti" xr:uid="{00000000-0004-0000-0500-00001C000000}"/>
    <hyperlink ref="A533" location="I!A. + Fasce.A8" display="Portieri" xr:uid="{00000000-0004-0000-0500-00001D000000}"/>
    <hyperlink ref="C533" location="I!A. + Fasce.A83" display="Difensori" xr:uid="{00000000-0004-0000-0500-00001E000000}"/>
    <hyperlink ref="E533" location="I!A. + Fasce.A309" display="Centrocampisti" xr:uid="{00000000-0004-0000-0500-00001F000000}"/>
    <hyperlink ref="I533" location="I!A. + Fasce.A538" display="Trequartisti" xr:uid="{00000000-0004-0000-0500-000020000000}"/>
    <hyperlink ref="N533" location="I!A. + Fasce.A641" display="Attaccanti" xr:uid="{00000000-0004-0000-0500-000021000000}"/>
    <hyperlink ref="A533:B533" location="'I.A. + Fasce'!A8" display="Portieri" xr:uid="{00000000-0004-0000-0500-000022000000}"/>
    <hyperlink ref="C533:D533" location="'I.A. + Fasce'!A86" display="Difensori" xr:uid="{00000000-0004-0000-0500-000023000000}"/>
    <hyperlink ref="E533:H533" location="'I.A. + Fasce'!A312" display="Centrocampisti" xr:uid="{00000000-0004-0000-0500-000024000000}"/>
    <hyperlink ref="I533:M533" location="'I.A. + Fasce'!A538" display="Trequartisti" xr:uid="{00000000-0004-0000-0500-000025000000}"/>
    <hyperlink ref="N533:O533" location="'I.A. + Fasce'!A644" display="Attaccanti" xr:uid="{00000000-0004-0000-0500-000026000000}"/>
    <hyperlink ref="A639" location="I!A. + Fasce.A8" display="Portieri" xr:uid="{00000000-0004-0000-0500-000027000000}"/>
    <hyperlink ref="C639" location="I!A. + Fasce.A83" display="Difensori" xr:uid="{00000000-0004-0000-0500-000028000000}"/>
    <hyperlink ref="E639" location="I!A. + Fasce.A309" display="Centrocampisti" xr:uid="{00000000-0004-0000-0500-000029000000}"/>
    <hyperlink ref="I639" location="I!A. + Fasce.A538" display="Trequartisti" xr:uid="{00000000-0004-0000-0500-00002A000000}"/>
    <hyperlink ref="N639" location="I!A. + Fasce.A641" display="Attaccanti" xr:uid="{00000000-0004-0000-0500-00002B000000}"/>
    <hyperlink ref="A639:B639" location="'I.A. + Fasce'!A8" display="Portieri" xr:uid="{00000000-0004-0000-0500-00002C000000}"/>
    <hyperlink ref="C639:D639" location="'I.A. + Fasce'!A86" display="Difensori" xr:uid="{00000000-0004-0000-0500-00002D000000}"/>
    <hyperlink ref="E639:H639" location="'I.A. + Fasce'!A312" display="Centrocampisti" xr:uid="{00000000-0004-0000-0500-00002E000000}"/>
    <hyperlink ref="I639:M639" location="'I.A. + Fasce'!A538" display="Trequartisti" xr:uid="{00000000-0004-0000-0500-00002F000000}"/>
    <hyperlink ref="N639:O639" location="'I.A. + Fasce'!A644" display="Attaccanti" xr:uid="{00000000-0004-0000-0500-000030000000}"/>
    <hyperlink ref="G535" location="'I.A. + Fasce'!A1" display="Torna Su" xr:uid="{00000000-0004-0000-0500-000031000000}"/>
    <hyperlink ref="G309" location="'I.A. + Fasce'!A1" display="Torna Su" xr:uid="{00000000-0004-0000-0500-000032000000}"/>
    <hyperlink ref="G83" location="'I.A. + Fasce'!A1" display="Torna Su" xr:uid="{00000000-0004-0000-0500-000033000000}"/>
    <hyperlink ref="O169" location="'I.A. + Fasce'!A1" display="Torna Su" xr:uid="{00000000-0004-0000-0500-000034000000}"/>
    <hyperlink ref="O205" location="'I.A. + Fasce'!A1" display="Torna Su" xr:uid="{00000000-0004-0000-0500-000035000000}"/>
    <hyperlink ref="O241" location="'I.A. + Fasce'!A1" display="Torna Su" xr:uid="{00000000-0004-0000-0500-000036000000}"/>
    <hyperlink ref="O275" location="'I.A. + Fasce'!A1" display="Torna Su" xr:uid="{00000000-0004-0000-0500-000037000000}"/>
    <hyperlink ref="O398" location="'I.A. + Fasce'!A1" display="Torna Su" xr:uid="{00000000-0004-0000-0500-000038000000}"/>
    <hyperlink ref="O432" location="'I.A. + Fasce'!A1" display="Torna Su" xr:uid="{00000000-0004-0000-0500-000039000000}"/>
    <hyperlink ref="O501" location="'I.A. + Fasce'!A1" display="Torna Su" xr:uid="{00000000-0004-0000-0500-00003A000000}"/>
    <hyperlink ref="O581" location="'I.A. + Fasce'!A1" display="Torna Su" xr:uid="{00000000-0004-0000-0500-00003B000000}"/>
    <hyperlink ref="O606" location="'I.A. + Fasce'!A1" display="Torna Su" xr:uid="{00000000-0004-0000-0500-00003C000000}"/>
    <hyperlink ref="O702" location="'I.A. + Fasce'!A1" display="Torna Su" xr:uid="{00000000-0004-0000-0500-00003D000000}"/>
    <hyperlink ref="O729" location="'I.A. + Fasce'!A1" display="Torna Su" xr:uid="{00000000-0004-0000-0500-00003E000000}"/>
    <hyperlink ref="O764" location="'I.A. + Fasce'!A1" display="Torna Su" xr:uid="{00000000-0004-0000-0500-00003F000000}"/>
    <hyperlink ref="N81" location="I!A. + Fasce.A641" display="Attaccanti" xr:uid="{00000000-0004-0000-0500-000040000000}"/>
    <hyperlink ref="N81:O81" location="'I.A. + Fasce'!A644" display="Attaccanti" xr:uid="{00000000-0004-0000-0500-000041000000}"/>
  </hyperlinks>
  <pageMargins left="0.7" right="0.7" top="0.75" bottom="0.75" header="0.51180555555555551" footer="0.51180555555555551"/>
  <pageSetup paperSize="9" firstPageNumber="0" orientation="portrait" horizontalDpi="300" verticalDpi="300" r:id="rId1"/>
  <headerFooter alignWithMargins="0"/>
  <tableParts count="5">
    <tablePart r:id="rId2"/>
    <tablePart r:id="rId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dataBar" id="{332D41B4-125C-4CA7-BDA9-FC965DF11121}">
            <x14:dataBar minLength="0" maxLength="100" negativeBarColorSameAsPositive="1" axisPosition="none">
              <x14:cfvo type="min"/>
              <x14:cfvo type="max"/>
            </x14:dataBar>
          </x14:cfRule>
          <xm:sqref>H85:H305</xm:sqref>
        </x14:conditionalFormatting>
        <x14:conditionalFormatting xmlns:xm="http://schemas.microsoft.com/office/excel/2006/main">
          <x14:cfRule type="dataBar" id="{01F211CA-2E6D-4C8D-84F4-982873521980}">
            <x14:dataBar minLength="0" maxLength="100" negativeBarColorSameAsPositive="1" axisPosition="none">
              <x14:cfvo type="min"/>
              <x14:cfvo type="max"/>
            </x14:dataBar>
          </x14:cfRule>
          <xm:sqref>H311:H531</xm:sqref>
        </x14:conditionalFormatting>
        <x14:conditionalFormatting xmlns:xm="http://schemas.microsoft.com/office/excel/2006/main">
          <x14:cfRule type="dataBar" id="{D81EC5C2-CCB8-4F66-879C-61D11F8F5DB0}">
            <x14:dataBar minLength="0" maxLength="100" negativeBarColorSameAsPositive="1" axisPosition="none">
              <x14:cfvo type="min"/>
              <x14:cfvo type="max"/>
            </x14:dataBar>
          </x14:cfRule>
          <xm:sqref>H538:H637</xm:sqref>
        </x14:conditionalFormatting>
        <x14:conditionalFormatting xmlns:xm="http://schemas.microsoft.com/office/excel/2006/main">
          <x14:cfRule type="dataBar" id="{17BF17BF-FC4D-4468-9AA9-A3256DF080B8}">
            <x14:dataBar minLength="0" maxLength="100" negativeBarColorSameAsPositive="1" axisPosition="none">
              <x14:cfvo type="min"/>
              <x14:cfvo type="max"/>
            </x14:dataBar>
          </x14:cfRule>
          <xm:sqref>H643:H762</xm:sqref>
        </x14:conditionalFormatting>
        <x14:conditionalFormatting xmlns:xm="http://schemas.microsoft.com/office/excel/2006/main">
          <x14:cfRule type="dataBar" id="{1A975C16-AB10-416A-8050-3A860A211710}">
            <x14:dataBar minLength="0" maxLength="100" negativeBarColorSameAsPositive="1" axisPosition="none">
              <x14:cfvo type="min"/>
              <x14:cfvo type="max"/>
            </x14:dataBar>
          </x14:cfRule>
          <xm:sqref>H7:H79</xm:sqref>
        </x14:conditionalFormatting>
        <x14:conditionalFormatting xmlns:xm="http://schemas.microsoft.com/office/excel/2006/main">
          <x14:cfRule type="dataBar" id="{8AFFFAC9-8A5D-4F75-8E18-03EAF584D4A2}">
            <x14:dataBar minLength="0" maxLength="100" negativeBarColorSameAsPositive="1" axisPosition="none">
              <x14:cfvo type="min"/>
              <x14:cfvo type="max"/>
            </x14:dataBar>
          </x14:cfRule>
          <xm:sqref>H537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4">
    <tabColor indexed="47"/>
  </sheetPr>
  <dimension ref="A1:AA43"/>
  <sheetViews>
    <sheetView workbookViewId="0">
      <selection activeCell="J32" sqref="J32"/>
    </sheetView>
  </sheetViews>
  <sheetFormatPr defaultRowHeight="12.75"/>
  <cols>
    <col min="1" max="1" width="5.28515625" style="69" bestFit="1" customWidth="1"/>
    <col min="2" max="21" width="5.140625" style="407" customWidth="1"/>
    <col min="22" max="22" width="5.140625" style="69" customWidth="1"/>
    <col min="23" max="24" width="11" style="69" customWidth="1"/>
    <col min="25" max="25" width="9.140625" style="69"/>
    <col min="26" max="27" width="11" style="69" customWidth="1"/>
    <col min="28" max="16384" width="9.140625" style="69"/>
  </cols>
  <sheetData>
    <row r="1" spans="1:27" ht="24" customHeight="1">
      <c r="A1" s="555" t="s">
        <v>1474</v>
      </c>
      <c r="B1" s="555"/>
      <c r="C1" s="555"/>
      <c r="D1" s="555"/>
      <c r="E1" s="555"/>
      <c r="F1" s="555"/>
      <c r="G1" s="555"/>
      <c r="H1" s="555"/>
      <c r="I1" s="555"/>
      <c r="J1" s="555"/>
      <c r="K1" s="555"/>
      <c r="L1" s="555"/>
      <c r="M1" s="555"/>
      <c r="N1" s="555"/>
      <c r="O1" s="555"/>
      <c r="P1" s="555"/>
      <c r="Q1" s="555"/>
      <c r="R1" s="555"/>
      <c r="S1" s="555"/>
      <c r="T1" s="555"/>
      <c r="U1" s="555"/>
      <c r="V1" s="70"/>
      <c r="W1" s="528" t="s">
        <v>711</v>
      </c>
      <c r="X1" s="528"/>
      <c r="Y1" s="528"/>
      <c r="Z1" s="528"/>
      <c r="AA1" s="528"/>
    </row>
    <row r="2" spans="1:27" ht="13.5" customHeight="1">
      <c r="A2" s="385"/>
      <c r="B2" s="388" t="s">
        <v>712</v>
      </c>
      <c r="C2" s="388" t="s">
        <v>1479</v>
      </c>
      <c r="D2" s="388" t="s">
        <v>713</v>
      </c>
      <c r="E2" s="388" t="s">
        <v>714</v>
      </c>
      <c r="F2" s="388" t="s">
        <v>715</v>
      </c>
      <c r="G2" s="388" t="s">
        <v>716</v>
      </c>
      <c r="H2" s="388" t="s">
        <v>717</v>
      </c>
      <c r="I2" s="388" t="s">
        <v>718</v>
      </c>
      <c r="J2" s="388" t="s">
        <v>719</v>
      </c>
      <c r="K2" s="388" t="s">
        <v>720</v>
      </c>
      <c r="L2" s="388" t="s">
        <v>721</v>
      </c>
      <c r="M2" s="388" t="s">
        <v>722</v>
      </c>
      <c r="N2" s="388" t="s">
        <v>723</v>
      </c>
      <c r="O2" s="388" t="s">
        <v>724</v>
      </c>
      <c r="P2" s="388" t="s">
        <v>725</v>
      </c>
      <c r="Q2" s="388" t="s">
        <v>726</v>
      </c>
      <c r="R2" s="388" t="s">
        <v>1480</v>
      </c>
      <c r="S2" s="388" t="s">
        <v>727</v>
      </c>
      <c r="T2" s="388" t="s">
        <v>728</v>
      </c>
      <c r="U2" s="389" t="s">
        <v>1481</v>
      </c>
      <c r="V2" s="71"/>
      <c r="Y2" s="71"/>
    </row>
    <row r="3" spans="1:27" ht="17.100000000000001" customHeight="1">
      <c r="A3" s="386" t="s">
        <v>712</v>
      </c>
      <c r="B3" s="390"/>
      <c r="C3" s="391">
        <v>16</v>
      </c>
      <c r="D3" s="392">
        <v>8</v>
      </c>
      <c r="E3" s="392">
        <v>18</v>
      </c>
      <c r="F3" s="392">
        <v>18</v>
      </c>
      <c r="G3" s="393">
        <v>28</v>
      </c>
      <c r="H3" s="392">
        <v>22</v>
      </c>
      <c r="I3" s="392">
        <v>18</v>
      </c>
      <c r="J3" s="392">
        <v>16</v>
      </c>
      <c r="K3" s="392">
        <v>16</v>
      </c>
      <c r="L3" s="392">
        <v>10</v>
      </c>
      <c r="M3" s="392">
        <v>22</v>
      </c>
      <c r="N3" s="393">
        <v>30</v>
      </c>
      <c r="O3" s="393">
        <v>28</v>
      </c>
      <c r="P3" s="392">
        <v>20</v>
      </c>
      <c r="Q3" s="392">
        <v>22</v>
      </c>
      <c r="R3" s="393">
        <v>30</v>
      </c>
      <c r="S3" s="392">
        <v>22</v>
      </c>
      <c r="T3" s="392">
        <v>16</v>
      </c>
      <c r="U3" s="394">
        <v>20</v>
      </c>
      <c r="V3" s="71"/>
      <c r="W3" s="556" t="s">
        <v>729</v>
      </c>
      <c r="X3" s="556"/>
      <c r="Y3" s="71"/>
      <c r="Z3" s="556" t="s">
        <v>730</v>
      </c>
      <c r="AA3" s="556"/>
    </row>
    <row r="4" spans="1:27" ht="17.100000000000001" customHeight="1">
      <c r="A4" s="386" t="s">
        <v>1479</v>
      </c>
      <c r="B4" s="394">
        <v>16</v>
      </c>
      <c r="C4" s="390"/>
      <c r="D4" s="391">
        <v>20</v>
      </c>
      <c r="E4" s="393">
        <v>30</v>
      </c>
      <c r="F4" s="393">
        <v>26</v>
      </c>
      <c r="G4" s="392">
        <v>16</v>
      </c>
      <c r="H4" s="392">
        <v>22</v>
      </c>
      <c r="I4" s="393">
        <v>26</v>
      </c>
      <c r="J4" s="392">
        <v>20</v>
      </c>
      <c r="K4" s="395">
        <v>32</v>
      </c>
      <c r="L4" s="392">
        <v>22</v>
      </c>
      <c r="M4" s="392">
        <v>18</v>
      </c>
      <c r="N4" s="392">
        <v>14</v>
      </c>
      <c r="O4" s="392">
        <v>16</v>
      </c>
      <c r="P4" s="392">
        <v>12</v>
      </c>
      <c r="Q4" s="396">
        <v>38</v>
      </c>
      <c r="R4" s="392">
        <v>18</v>
      </c>
      <c r="S4" s="392">
        <v>6</v>
      </c>
      <c r="T4" s="392">
        <v>16</v>
      </c>
      <c r="U4" s="394">
        <v>12</v>
      </c>
      <c r="V4" s="71"/>
      <c r="W4" s="71"/>
      <c r="X4" s="71"/>
      <c r="Y4" s="71"/>
      <c r="Z4" s="71"/>
      <c r="AA4" s="71"/>
    </row>
    <row r="5" spans="1:27" ht="17.100000000000001" customHeight="1">
      <c r="A5" s="386" t="s">
        <v>713</v>
      </c>
      <c r="B5" s="392">
        <v>8</v>
      </c>
      <c r="C5" s="394">
        <v>20</v>
      </c>
      <c r="D5" s="390"/>
      <c r="E5" s="391">
        <v>14</v>
      </c>
      <c r="F5" s="393">
        <v>26</v>
      </c>
      <c r="G5" s="392">
        <v>20</v>
      </c>
      <c r="H5" s="392">
        <v>14</v>
      </c>
      <c r="I5" s="392">
        <v>22</v>
      </c>
      <c r="J5" s="392">
        <v>8</v>
      </c>
      <c r="K5" s="392">
        <v>12</v>
      </c>
      <c r="L5" s="392">
        <v>18</v>
      </c>
      <c r="M5" s="393">
        <v>30</v>
      </c>
      <c r="N5" s="395">
        <v>34</v>
      </c>
      <c r="O5" s="392">
        <v>20</v>
      </c>
      <c r="P5" s="392">
        <v>16</v>
      </c>
      <c r="Q5" s="392">
        <v>18</v>
      </c>
      <c r="R5" s="396">
        <v>38</v>
      </c>
      <c r="S5" s="393">
        <v>26</v>
      </c>
      <c r="T5" s="392">
        <v>24</v>
      </c>
      <c r="U5" s="394">
        <v>12</v>
      </c>
      <c r="V5" s="71"/>
      <c r="W5" s="71" t="s">
        <v>1672</v>
      </c>
      <c r="X5" s="71" t="s">
        <v>685</v>
      </c>
      <c r="Y5" s="71"/>
      <c r="Z5" s="72" t="s">
        <v>676</v>
      </c>
      <c r="AA5" s="72" t="s">
        <v>1672</v>
      </c>
    </row>
    <row r="6" spans="1:27" ht="17.100000000000001" customHeight="1">
      <c r="A6" s="386" t="s">
        <v>714</v>
      </c>
      <c r="B6" s="392">
        <v>18</v>
      </c>
      <c r="C6" s="393">
        <v>30</v>
      </c>
      <c r="D6" s="394">
        <v>14</v>
      </c>
      <c r="E6" s="390"/>
      <c r="F6" s="391">
        <v>16</v>
      </c>
      <c r="G6" s="393">
        <v>30</v>
      </c>
      <c r="H6" s="392">
        <v>20</v>
      </c>
      <c r="I6" s="392">
        <v>12</v>
      </c>
      <c r="J6" s="392">
        <v>18</v>
      </c>
      <c r="K6" s="392">
        <v>2</v>
      </c>
      <c r="L6" s="392">
        <v>12</v>
      </c>
      <c r="M6" s="392">
        <v>20</v>
      </c>
      <c r="N6" s="393">
        <v>28</v>
      </c>
      <c r="O6" s="393">
        <v>26</v>
      </c>
      <c r="P6" s="393">
        <v>26</v>
      </c>
      <c r="Q6" s="392">
        <v>8</v>
      </c>
      <c r="R6" s="392">
        <v>24</v>
      </c>
      <c r="S6" s="397">
        <v>36</v>
      </c>
      <c r="T6" s="392">
        <v>18</v>
      </c>
      <c r="U6" s="394">
        <v>22</v>
      </c>
      <c r="V6" s="71"/>
      <c r="W6" s="71" t="s">
        <v>691</v>
      </c>
      <c r="X6" s="71" t="s">
        <v>1673</v>
      </c>
      <c r="Y6" s="71"/>
      <c r="Z6" s="72" t="s">
        <v>692</v>
      </c>
      <c r="AA6" s="72" t="s">
        <v>682</v>
      </c>
    </row>
    <row r="7" spans="1:27" ht="17.100000000000001" customHeight="1">
      <c r="A7" s="386" t="s">
        <v>715</v>
      </c>
      <c r="B7" s="392">
        <v>18</v>
      </c>
      <c r="C7" s="393">
        <v>26</v>
      </c>
      <c r="D7" s="393">
        <v>26</v>
      </c>
      <c r="E7" s="394">
        <v>16</v>
      </c>
      <c r="F7" s="390"/>
      <c r="G7" s="398">
        <v>30</v>
      </c>
      <c r="H7" s="392">
        <v>20</v>
      </c>
      <c r="I7" s="392">
        <v>4</v>
      </c>
      <c r="J7" s="393">
        <v>30</v>
      </c>
      <c r="K7" s="392">
        <v>18</v>
      </c>
      <c r="L7" s="392">
        <v>12</v>
      </c>
      <c r="M7" s="392">
        <v>8</v>
      </c>
      <c r="N7" s="392">
        <v>12</v>
      </c>
      <c r="O7" s="393">
        <v>26</v>
      </c>
      <c r="P7" s="395">
        <v>34</v>
      </c>
      <c r="Q7" s="392">
        <v>12</v>
      </c>
      <c r="R7" s="392">
        <v>12</v>
      </c>
      <c r="S7" s="392">
        <v>20</v>
      </c>
      <c r="T7" s="392">
        <v>18</v>
      </c>
      <c r="U7" s="399">
        <v>38</v>
      </c>
      <c r="V7" s="71"/>
      <c r="W7" s="71" t="s">
        <v>680</v>
      </c>
      <c r="X7" s="71" t="s">
        <v>1674</v>
      </c>
      <c r="Y7" s="71"/>
      <c r="Z7" s="71" t="s">
        <v>695</v>
      </c>
      <c r="AA7" s="71" t="s">
        <v>684</v>
      </c>
    </row>
    <row r="8" spans="1:27" ht="17.100000000000001" customHeight="1">
      <c r="A8" s="386" t="s">
        <v>716</v>
      </c>
      <c r="B8" s="393">
        <v>28</v>
      </c>
      <c r="C8" s="392">
        <v>16</v>
      </c>
      <c r="D8" s="392">
        <v>20</v>
      </c>
      <c r="E8" s="393">
        <v>30</v>
      </c>
      <c r="F8" s="400">
        <v>30</v>
      </c>
      <c r="G8" s="390"/>
      <c r="H8" s="391">
        <v>10</v>
      </c>
      <c r="I8" s="393">
        <v>30</v>
      </c>
      <c r="J8" s="392">
        <v>12</v>
      </c>
      <c r="K8" s="393">
        <v>28</v>
      </c>
      <c r="L8" s="395">
        <v>34</v>
      </c>
      <c r="M8" s="393">
        <v>26</v>
      </c>
      <c r="N8" s="392">
        <v>18</v>
      </c>
      <c r="O8" s="392">
        <v>4</v>
      </c>
      <c r="P8" s="392">
        <v>8</v>
      </c>
      <c r="Q8" s="392">
        <v>22</v>
      </c>
      <c r="R8" s="392">
        <v>18</v>
      </c>
      <c r="S8" s="392">
        <v>10</v>
      </c>
      <c r="T8" s="393">
        <v>28</v>
      </c>
      <c r="U8" s="394">
        <v>8</v>
      </c>
      <c r="V8" s="71"/>
      <c r="W8" s="72" t="s">
        <v>692</v>
      </c>
      <c r="X8" s="72" t="s">
        <v>684</v>
      </c>
      <c r="Y8" s="71"/>
      <c r="Z8" s="72" t="s">
        <v>685</v>
      </c>
      <c r="AA8" s="72" t="s">
        <v>687</v>
      </c>
    </row>
    <row r="9" spans="1:27" ht="17.100000000000001" customHeight="1">
      <c r="A9" s="386" t="s">
        <v>717</v>
      </c>
      <c r="B9" s="392">
        <v>22</v>
      </c>
      <c r="C9" s="392">
        <v>22</v>
      </c>
      <c r="D9" s="392">
        <v>14</v>
      </c>
      <c r="E9" s="392">
        <v>20</v>
      </c>
      <c r="F9" s="392">
        <v>20</v>
      </c>
      <c r="G9" s="394">
        <v>10</v>
      </c>
      <c r="H9" s="390"/>
      <c r="I9" s="391">
        <v>20</v>
      </c>
      <c r="J9" s="392">
        <v>10</v>
      </c>
      <c r="K9" s="392">
        <v>22</v>
      </c>
      <c r="L9" s="395">
        <v>32</v>
      </c>
      <c r="M9" s="393">
        <v>28</v>
      </c>
      <c r="N9" s="392">
        <v>24</v>
      </c>
      <c r="O9" s="392">
        <v>6</v>
      </c>
      <c r="P9" s="392">
        <v>18</v>
      </c>
      <c r="Q9" s="392">
        <v>16</v>
      </c>
      <c r="R9" s="392">
        <v>24</v>
      </c>
      <c r="S9" s="392">
        <v>16</v>
      </c>
      <c r="T9" s="396">
        <v>38</v>
      </c>
      <c r="U9" s="394">
        <v>18</v>
      </c>
      <c r="V9" s="71"/>
      <c r="W9" s="72" t="s">
        <v>679</v>
      </c>
      <c r="X9" s="72" t="s">
        <v>688</v>
      </c>
      <c r="Y9" s="71"/>
      <c r="Z9" s="72"/>
      <c r="AA9" s="72"/>
    </row>
    <row r="10" spans="1:27" ht="17.100000000000001" customHeight="1">
      <c r="A10" s="386" t="s">
        <v>718</v>
      </c>
      <c r="B10" s="392">
        <v>18</v>
      </c>
      <c r="C10" s="393">
        <v>26</v>
      </c>
      <c r="D10" s="392">
        <v>22</v>
      </c>
      <c r="E10" s="392">
        <v>12</v>
      </c>
      <c r="F10" s="392">
        <v>4</v>
      </c>
      <c r="G10" s="393">
        <v>30</v>
      </c>
      <c r="H10" s="394">
        <v>20</v>
      </c>
      <c r="I10" s="390"/>
      <c r="J10" s="398">
        <v>30</v>
      </c>
      <c r="K10" s="392">
        <v>14</v>
      </c>
      <c r="L10" s="392">
        <v>12</v>
      </c>
      <c r="M10" s="392">
        <v>8</v>
      </c>
      <c r="N10" s="392">
        <v>16</v>
      </c>
      <c r="O10" s="393">
        <v>26</v>
      </c>
      <c r="P10" s="396">
        <v>38</v>
      </c>
      <c r="Q10" s="392">
        <v>12</v>
      </c>
      <c r="R10" s="392">
        <v>16</v>
      </c>
      <c r="S10" s="392">
        <v>24</v>
      </c>
      <c r="T10" s="392">
        <v>18</v>
      </c>
      <c r="U10" s="401">
        <v>34</v>
      </c>
      <c r="V10" s="71"/>
      <c r="W10" s="72" t="s">
        <v>677</v>
      </c>
      <c r="X10" s="72" t="s">
        <v>678</v>
      </c>
      <c r="Y10" s="71"/>
      <c r="Z10" s="556" t="s">
        <v>731</v>
      </c>
      <c r="AA10" s="556"/>
    </row>
    <row r="11" spans="1:27" ht="17.100000000000001" customHeight="1">
      <c r="A11" s="386" t="s">
        <v>719</v>
      </c>
      <c r="B11" s="392">
        <v>16</v>
      </c>
      <c r="C11" s="392">
        <v>20</v>
      </c>
      <c r="D11" s="392">
        <v>8</v>
      </c>
      <c r="E11" s="392">
        <v>18</v>
      </c>
      <c r="F11" s="393">
        <v>30</v>
      </c>
      <c r="G11" s="392">
        <v>12</v>
      </c>
      <c r="H11" s="392">
        <v>10</v>
      </c>
      <c r="I11" s="400">
        <v>30</v>
      </c>
      <c r="J11" s="390"/>
      <c r="K11" s="391">
        <v>16</v>
      </c>
      <c r="L11" s="393">
        <v>26</v>
      </c>
      <c r="M11" s="396">
        <v>38</v>
      </c>
      <c r="N11" s="393">
        <v>30</v>
      </c>
      <c r="O11" s="392">
        <v>12</v>
      </c>
      <c r="P11" s="392">
        <v>8</v>
      </c>
      <c r="Q11" s="392">
        <v>18</v>
      </c>
      <c r="R11" s="393">
        <v>30</v>
      </c>
      <c r="S11" s="392">
        <v>22</v>
      </c>
      <c r="T11" s="393">
        <v>28</v>
      </c>
      <c r="U11" s="394">
        <v>8</v>
      </c>
      <c r="V11" s="71"/>
      <c r="W11" s="71" t="s">
        <v>676</v>
      </c>
      <c r="X11" s="71" t="s">
        <v>687</v>
      </c>
      <c r="Y11" s="71"/>
      <c r="Z11" s="72"/>
      <c r="AA11" s="72"/>
    </row>
    <row r="12" spans="1:27" ht="17.100000000000001" customHeight="1">
      <c r="A12" s="386" t="s">
        <v>720</v>
      </c>
      <c r="B12" s="392">
        <v>16</v>
      </c>
      <c r="C12" s="395">
        <v>32</v>
      </c>
      <c r="D12" s="392">
        <v>12</v>
      </c>
      <c r="E12" s="392">
        <v>2</v>
      </c>
      <c r="F12" s="392">
        <v>18</v>
      </c>
      <c r="G12" s="393">
        <v>28</v>
      </c>
      <c r="H12" s="392">
        <v>22</v>
      </c>
      <c r="I12" s="392">
        <v>14</v>
      </c>
      <c r="J12" s="394">
        <v>16</v>
      </c>
      <c r="K12" s="390"/>
      <c r="L12" s="391">
        <v>10</v>
      </c>
      <c r="M12" s="392">
        <v>22</v>
      </c>
      <c r="N12" s="393">
        <v>30</v>
      </c>
      <c r="O12" s="393">
        <v>28</v>
      </c>
      <c r="P12" s="392">
        <v>24</v>
      </c>
      <c r="Q12" s="392">
        <v>6</v>
      </c>
      <c r="R12" s="393">
        <v>26</v>
      </c>
      <c r="S12" s="396">
        <v>38</v>
      </c>
      <c r="T12" s="392">
        <v>16</v>
      </c>
      <c r="U12" s="394">
        <v>20</v>
      </c>
      <c r="V12" s="71"/>
      <c r="W12" s="71" t="s">
        <v>682</v>
      </c>
      <c r="X12" s="71" t="s">
        <v>695</v>
      </c>
      <c r="Y12" s="71"/>
      <c r="Z12" s="72" t="s">
        <v>681</v>
      </c>
      <c r="AA12" s="72" t="s">
        <v>686</v>
      </c>
    </row>
    <row r="13" spans="1:27" ht="17.100000000000001" customHeight="1">
      <c r="A13" s="386" t="s">
        <v>721</v>
      </c>
      <c r="B13" s="392">
        <v>10</v>
      </c>
      <c r="C13" s="392">
        <v>22</v>
      </c>
      <c r="D13" s="392">
        <v>18</v>
      </c>
      <c r="E13" s="392">
        <v>12</v>
      </c>
      <c r="F13" s="392">
        <v>12</v>
      </c>
      <c r="G13" s="395">
        <v>34</v>
      </c>
      <c r="H13" s="395">
        <v>32</v>
      </c>
      <c r="I13" s="392">
        <v>12</v>
      </c>
      <c r="J13" s="393">
        <v>26</v>
      </c>
      <c r="K13" s="394">
        <v>10</v>
      </c>
      <c r="L13" s="390"/>
      <c r="M13" s="391">
        <v>12</v>
      </c>
      <c r="N13" s="392">
        <v>20</v>
      </c>
      <c r="O13" s="396">
        <v>38</v>
      </c>
      <c r="P13" s="393">
        <v>26</v>
      </c>
      <c r="Q13" s="392">
        <v>16</v>
      </c>
      <c r="R13" s="392">
        <v>20</v>
      </c>
      <c r="S13" s="393">
        <v>28</v>
      </c>
      <c r="T13" s="392">
        <v>6</v>
      </c>
      <c r="U13" s="400">
        <v>26</v>
      </c>
      <c r="V13" s="71"/>
      <c r="W13" s="71"/>
      <c r="X13" s="71"/>
      <c r="Y13" s="71"/>
      <c r="Z13" s="72" t="s">
        <v>1672</v>
      </c>
      <c r="AA13" s="72" t="s">
        <v>700</v>
      </c>
    </row>
    <row r="14" spans="1:27" ht="17.100000000000001" customHeight="1">
      <c r="A14" s="386" t="s">
        <v>722</v>
      </c>
      <c r="B14" s="392">
        <v>22</v>
      </c>
      <c r="C14" s="392">
        <v>18</v>
      </c>
      <c r="D14" s="393">
        <v>30</v>
      </c>
      <c r="E14" s="392">
        <v>20</v>
      </c>
      <c r="F14" s="392">
        <v>8</v>
      </c>
      <c r="G14" s="393">
        <v>26</v>
      </c>
      <c r="H14" s="393">
        <v>28</v>
      </c>
      <c r="I14" s="392">
        <v>8</v>
      </c>
      <c r="J14" s="396">
        <v>38</v>
      </c>
      <c r="K14" s="392">
        <v>22</v>
      </c>
      <c r="L14" s="394">
        <v>12</v>
      </c>
      <c r="M14" s="390"/>
      <c r="N14" s="391">
        <v>8</v>
      </c>
      <c r="O14" s="393">
        <v>26</v>
      </c>
      <c r="P14" s="393">
        <v>30</v>
      </c>
      <c r="Q14" s="392">
        <v>20</v>
      </c>
      <c r="R14" s="392">
        <v>8</v>
      </c>
      <c r="S14" s="392">
        <v>16</v>
      </c>
      <c r="T14" s="392">
        <v>10</v>
      </c>
      <c r="U14" s="400">
        <v>30</v>
      </c>
      <c r="V14" s="71"/>
      <c r="W14" s="556" t="s">
        <v>732</v>
      </c>
      <c r="X14" s="556"/>
      <c r="Y14" s="71"/>
      <c r="Z14" s="72" t="s">
        <v>1673</v>
      </c>
      <c r="AA14" s="72" t="s">
        <v>686</v>
      </c>
    </row>
    <row r="15" spans="1:27" ht="17.100000000000001" customHeight="1">
      <c r="A15" s="386" t="s">
        <v>723</v>
      </c>
      <c r="B15" s="393">
        <v>30</v>
      </c>
      <c r="C15" s="392">
        <v>14</v>
      </c>
      <c r="D15" s="395">
        <v>34</v>
      </c>
      <c r="E15" s="393">
        <v>28</v>
      </c>
      <c r="F15" s="392">
        <v>12</v>
      </c>
      <c r="G15" s="392">
        <v>18</v>
      </c>
      <c r="H15" s="392">
        <v>24</v>
      </c>
      <c r="I15" s="392">
        <v>16</v>
      </c>
      <c r="J15" s="393">
        <v>30</v>
      </c>
      <c r="K15" s="393">
        <v>30</v>
      </c>
      <c r="L15" s="392">
        <v>20</v>
      </c>
      <c r="M15" s="394">
        <v>8</v>
      </c>
      <c r="N15" s="390"/>
      <c r="O15" s="391">
        <v>18</v>
      </c>
      <c r="P15" s="392">
        <v>22</v>
      </c>
      <c r="Q15" s="392">
        <v>24</v>
      </c>
      <c r="R15" s="392">
        <v>4</v>
      </c>
      <c r="S15" s="392">
        <v>8</v>
      </c>
      <c r="T15" s="392">
        <v>14</v>
      </c>
      <c r="U15" s="400">
        <v>26</v>
      </c>
      <c r="V15" s="71"/>
      <c r="W15" s="71"/>
      <c r="X15" s="71"/>
      <c r="Y15" s="71"/>
      <c r="Z15" s="72" t="s">
        <v>691</v>
      </c>
      <c r="AA15" s="72" t="s">
        <v>678</v>
      </c>
    </row>
    <row r="16" spans="1:27" ht="17.100000000000001" customHeight="1">
      <c r="A16" s="386" t="s">
        <v>724</v>
      </c>
      <c r="B16" s="393">
        <v>28</v>
      </c>
      <c r="C16" s="392">
        <v>16</v>
      </c>
      <c r="D16" s="392">
        <v>20</v>
      </c>
      <c r="E16" s="393">
        <v>26</v>
      </c>
      <c r="F16" s="393">
        <v>26</v>
      </c>
      <c r="G16" s="392">
        <v>4</v>
      </c>
      <c r="H16" s="392">
        <v>6</v>
      </c>
      <c r="I16" s="393">
        <v>26</v>
      </c>
      <c r="J16" s="392">
        <v>12</v>
      </c>
      <c r="K16" s="393">
        <v>28</v>
      </c>
      <c r="L16" s="396">
        <v>38</v>
      </c>
      <c r="M16" s="393">
        <v>26</v>
      </c>
      <c r="N16" s="394">
        <v>18</v>
      </c>
      <c r="O16" s="390"/>
      <c r="P16" s="391">
        <v>12</v>
      </c>
      <c r="Q16" s="392">
        <v>22</v>
      </c>
      <c r="R16" s="392">
        <v>18</v>
      </c>
      <c r="S16" s="392">
        <v>10</v>
      </c>
      <c r="T16" s="395">
        <v>32</v>
      </c>
      <c r="U16" s="394">
        <v>12</v>
      </c>
      <c r="V16" s="71"/>
      <c r="W16" s="72" t="s">
        <v>700</v>
      </c>
      <c r="X16" s="72" t="s">
        <v>687</v>
      </c>
      <c r="Y16" s="71"/>
      <c r="Z16" s="72" t="s">
        <v>700</v>
      </c>
      <c r="AA16" s="72" t="s">
        <v>701</v>
      </c>
    </row>
    <row r="17" spans="1:27" ht="17.100000000000001" customHeight="1">
      <c r="A17" s="386" t="s">
        <v>725</v>
      </c>
      <c r="B17" s="392">
        <v>20</v>
      </c>
      <c r="C17" s="392">
        <v>12</v>
      </c>
      <c r="D17" s="392">
        <v>16</v>
      </c>
      <c r="E17" s="393">
        <v>26</v>
      </c>
      <c r="F17" s="395">
        <v>34</v>
      </c>
      <c r="G17" s="392">
        <v>8</v>
      </c>
      <c r="H17" s="392">
        <v>18</v>
      </c>
      <c r="I17" s="396">
        <v>38</v>
      </c>
      <c r="J17" s="392">
        <v>8</v>
      </c>
      <c r="K17" s="392">
        <v>24</v>
      </c>
      <c r="L17" s="393">
        <v>26</v>
      </c>
      <c r="M17" s="393">
        <v>30</v>
      </c>
      <c r="N17" s="392">
        <v>22</v>
      </c>
      <c r="O17" s="394">
        <v>12</v>
      </c>
      <c r="P17" s="390"/>
      <c r="Q17" s="398">
        <v>26</v>
      </c>
      <c r="R17" s="392">
        <v>22</v>
      </c>
      <c r="S17" s="392">
        <v>14</v>
      </c>
      <c r="T17" s="392">
        <v>20</v>
      </c>
      <c r="U17" s="394">
        <v>4</v>
      </c>
      <c r="V17" s="71"/>
      <c r="W17" s="72"/>
      <c r="X17" s="72"/>
      <c r="Y17" s="71"/>
      <c r="Z17" s="72" t="s">
        <v>680</v>
      </c>
      <c r="AA17" s="72" t="s">
        <v>701</v>
      </c>
    </row>
    <row r="18" spans="1:27" ht="17.100000000000001" customHeight="1">
      <c r="A18" s="386" t="s">
        <v>726</v>
      </c>
      <c r="B18" s="392">
        <v>22</v>
      </c>
      <c r="C18" s="396">
        <v>38</v>
      </c>
      <c r="D18" s="392">
        <v>18</v>
      </c>
      <c r="E18" s="392">
        <v>8</v>
      </c>
      <c r="F18" s="392">
        <v>12</v>
      </c>
      <c r="G18" s="392">
        <v>22</v>
      </c>
      <c r="H18" s="392">
        <v>16</v>
      </c>
      <c r="I18" s="392">
        <v>12</v>
      </c>
      <c r="J18" s="392">
        <v>18</v>
      </c>
      <c r="K18" s="392">
        <v>6</v>
      </c>
      <c r="L18" s="392">
        <v>16</v>
      </c>
      <c r="M18" s="392">
        <v>20</v>
      </c>
      <c r="N18" s="392">
        <v>24</v>
      </c>
      <c r="O18" s="392">
        <v>22</v>
      </c>
      <c r="P18" s="400">
        <v>26</v>
      </c>
      <c r="Q18" s="390"/>
      <c r="R18" s="391">
        <v>20</v>
      </c>
      <c r="S18" s="395">
        <v>32</v>
      </c>
      <c r="T18" s="392">
        <v>22</v>
      </c>
      <c r="U18" s="400">
        <v>26</v>
      </c>
      <c r="V18" s="71"/>
      <c r="W18" s="556" t="s">
        <v>733</v>
      </c>
      <c r="X18" s="556"/>
      <c r="Y18" s="71"/>
      <c r="Z18" s="72" t="s">
        <v>680</v>
      </c>
      <c r="AA18" s="72" t="s">
        <v>677</v>
      </c>
    </row>
    <row r="19" spans="1:27" ht="17.100000000000001" customHeight="1">
      <c r="A19" s="386" t="s">
        <v>1480</v>
      </c>
      <c r="B19" s="393">
        <v>30</v>
      </c>
      <c r="C19" s="392">
        <v>18</v>
      </c>
      <c r="D19" s="396">
        <v>38</v>
      </c>
      <c r="E19" s="392">
        <v>24</v>
      </c>
      <c r="F19" s="392">
        <v>12</v>
      </c>
      <c r="G19" s="392">
        <v>18</v>
      </c>
      <c r="H19" s="392">
        <v>24</v>
      </c>
      <c r="I19" s="392">
        <v>16</v>
      </c>
      <c r="J19" s="393">
        <v>30</v>
      </c>
      <c r="K19" s="393">
        <v>26</v>
      </c>
      <c r="L19" s="392">
        <v>20</v>
      </c>
      <c r="M19" s="392">
        <v>8</v>
      </c>
      <c r="N19" s="392">
        <v>4</v>
      </c>
      <c r="O19" s="392">
        <v>18</v>
      </c>
      <c r="P19" s="392">
        <v>22</v>
      </c>
      <c r="Q19" s="394">
        <v>20</v>
      </c>
      <c r="R19" s="390"/>
      <c r="S19" s="391">
        <v>12</v>
      </c>
      <c r="T19" s="392">
        <v>14</v>
      </c>
      <c r="U19" s="400">
        <v>26</v>
      </c>
      <c r="V19" s="71"/>
      <c r="W19" s="72"/>
      <c r="X19" s="72"/>
      <c r="Y19" s="71"/>
      <c r="Z19" s="72" t="s">
        <v>701</v>
      </c>
      <c r="AA19" s="72" t="s">
        <v>679</v>
      </c>
    </row>
    <row r="20" spans="1:27" ht="17.100000000000001" customHeight="1">
      <c r="A20" s="386" t="s">
        <v>727</v>
      </c>
      <c r="B20" s="392">
        <v>22</v>
      </c>
      <c r="C20" s="392">
        <v>6</v>
      </c>
      <c r="D20" s="393">
        <v>26</v>
      </c>
      <c r="E20" s="397">
        <v>36</v>
      </c>
      <c r="F20" s="392">
        <v>20</v>
      </c>
      <c r="G20" s="392">
        <v>10</v>
      </c>
      <c r="H20" s="392">
        <v>16</v>
      </c>
      <c r="I20" s="392">
        <v>24</v>
      </c>
      <c r="J20" s="392">
        <v>22</v>
      </c>
      <c r="K20" s="396">
        <v>38</v>
      </c>
      <c r="L20" s="393">
        <v>28</v>
      </c>
      <c r="M20" s="392">
        <v>16</v>
      </c>
      <c r="N20" s="392">
        <v>8</v>
      </c>
      <c r="O20" s="392">
        <v>10</v>
      </c>
      <c r="P20" s="392">
        <v>14</v>
      </c>
      <c r="Q20" s="395">
        <v>32</v>
      </c>
      <c r="R20" s="394">
        <v>12</v>
      </c>
      <c r="S20" s="390"/>
      <c r="T20" s="391">
        <v>22</v>
      </c>
      <c r="U20" s="394">
        <v>18</v>
      </c>
      <c r="V20" s="71"/>
      <c r="W20" s="71" t="s">
        <v>691</v>
      </c>
      <c r="X20" s="71" t="s">
        <v>681</v>
      </c>
      <c r="Y20" s="71"/>
      <c r="Z20" s="72" t="s">
        <v>679</v>
      </c>
      <c r="AA20" s="72" t="s">
        <v>677</v>
      </c>
    </row>
    <row r="21" spans="1:27" ht="17.100000000000001" customHeight="1">
      <c r="A21" s="386" t="s">
        <v>728</v>
      </c>
      <c r="B21" s="392">
        <v>16</v>
      </c>
      <c r="C21" s="392">
        <v>16</v>
      </c>
      <c r="D21" s="392">
        <v>24</v>
      </c>
      <c r="E21" s="392">
        <v>18</v>
      </c>
      <c r="F21" s="392">
        <v>18</v>
      </c>
      <c r="G21" s="393">
        <v>28</v>
      </c>
      <c r="H21" s="396">
        <v>38</v>
      </c>
      <c r="I21" s="392">
        <v>18</v>
      </c>
      <c r="J21" s="393">
        <v>28</v>
      </c>
      <c r="K21" s="392">
        <v>16</v>
      </c>
      <c r="L21" s="392">
        <v>6</v>
      </c>
      <c r="M21" s="392">
        <v>10</v>
      </c>
      <c r="N21" s="392">
        <v>14</v>
      </c>
      <c r="O21" s="395">
        <v>32</v>
      </c>
      <c r="P21" s="392">
        <v>20</v>
      </c>
      <c r="Q21" s="392">
        <v>22</v>
      </c>
      <c r="R21" s="392">
        <v>14</v>
      </c>
      <c r="S21" s="394">
        <v>22</v>
      </c>
      <c r="T21" s="390"/>
      <c r="U21" s="402">
        <v>20</v>
      </c>
      <c r="V21" s="71"/>
      <c r="W21" s="72" t="s">
        <v>1674</v>
      </c>
      <c r="X21" s="72" t="s">
        <v>679</v>
      </c>
      <c r="Y21" s="71"/>
      <c r="Z21" s="72" t="s">
        <v>677</v>
      </c>
      <c r="AA21" s="72" t="s">
        <v>681</v>
      </c>
    </row>
    <row r="22" spans="1:27" ht="17.25" customHeight="1">
      <c r="A22" s="387" t="s">
        <v>1481</v>
      </c>
      <c r="B22" s="391">
        <v>20</v>
      </c>
      <c r="C22" s="391">
        <v>12</v>
      </c>
      <c r="D22" s="391">
        <v>12</v>
      </c>
      <c r="E22" s="391">
        <v>22</v>
      </c>
      <c r="F22" s="403">
        <v>38</v>
      </c>
      <c r="G22" s="391">
        <v>8</v>
      </c>
      <c r="H22" s="391">
        <v>18</v>
      </c>
      <c r="I22" s="404">
        <v>34</v>
      </c>
      <c r="J22" s="391">
        <v>8</v>
      </c>
      <c r="K22" s="391">
        <v>20</v>
      </c>
      <c r="L22" s="398">
        <v>26</v>
      </c>
      <c r="M22" s="398">
        <v>30</v>
      </c>
      <c r="N22" s="398">
        <v>26</v>
      </c>
      <c r="O22" s="391">
        <v>12</v>
      </c>
      <c r="P22" s="391">
        <v>4</v>
      </c>
      <c r="Q22" s="398">
        <v>26</v>
      </c>
      <c r="R22" s="398">
        <v>26</v>
      </c>
      <c r="S22" s="391">
        <v>18</v>
      </c>
      <c r="T22" s="402">
        <v>20</v>
      </c>
      <c r="U22" s="390"/>
      <c r="V22" s="71"/>
      <c r="Y22" s="71"/>
      <c r="Z22" s="72" t="s">
        <v>677</v>
      </c>
      <c r="AA22" s="72" t="s">
        <v>1673</v>
      </c>
    </row>
    <row r="23" spans="1:27" ht="16.5" customHeight="1">
      <c r="A23" s="554"/>
      <c r="B23" s="554"/>
      <c r="C23" s="554"/>
      <c r="D23" s="554"/>
      <c r="E23" s="554"/>
      <c r="F23" s="554"/>
      <c r="G23" s="554"/>
      <c r="H23" s="554"/>
      <c r="I23" s="554"/>
      <c r="J23" s="554"/>
      <c r="K23" s="554"/>
      <c r="L23" s="554"/>
      <c r="M23" s="554"/>
      <c r="N23" s="554"/>
      <c r="O23" s="554"/>
      <c r="P23" s="554"/>
      <c r="Q23" s="554"/>
      <c r="R23" s="554"/>
      <c r="S23" s="554"/>
      <c r="T23" s="554"/>
      <c r="U23" s="554"/>
      <c r="V23" s="71"/>
      <c r="W23" s="72"/>
      <c r="X23" s="72"/>
      <c r="Y23" s="71"/>
      <c r="Z23" s="72" t="s">
        <v>676</v>
      </c>
      <c r="AA23" s="72" t="s">
        <v>681</v>
      </c>
    </row>
    <row r="24" spans="1:27" ht="16.5" customHeight="1">
      <c r="A24" s="73"/>
      <c r="B24" s="405"/>
      <c r="C24" s="405"/>
      <c r="D24" s="405"/>
      <c r="E24" s="405"/>
      <c r="F24" s="405"/>
      <c r="G24" s="405"/>
      <c r="H24" s="405"/>
      <c r="I24" s="405"/>
      <c r="J24" s="405"/>
      <c r="K24" s="405"/>
      <c r="L24" s="405"/>
      <c r="M24" s="405"/>
      <c r="N24" s="405"/>
      <c r="O24" s="405"/>
      <c r="P24" s="405"/>
      <c r="Q24" s="405"/>
      <c r="R24" s="405"/>
      <c r="S24" s="405"/>
      <c r="T24" s="405"/>
      <c r="U24" s="405"/>
      <c r="V24" s="71"/>
      <c r="W24" s="72"/>
      <c r="X24" s="72"/>
      <c r="Y24" s="71"/>
      <c r="Z24" s="72" t="s">
        <v>678</v>
      </c>
      <c r="AA24" s="72" t="s">
        <v>700</v>
      </c>
    </row>
    <row r="25" spans="1:27" ht="16.5" customHeight="1">
      <c r="A25" s="558"/>
      <c r="B25" s="558"/>
      <c r="C25" s="558"/>
      <c r="D25" s="557"/>
      <c r="E25" s="557"/>
      <c r="F25" s="557"/>
      <c r="G25" s="74"/>
      <c r="I25" s="557"/>
      <c r="J25" s="557"/>
      <c r="K25" s="557"/>
      <c r="L25" s="557"/>
      <c r="M25" s="557"/>
      <c r="N25" s="557"/>
      <c r="O25" s="74"/>
      <c r="P25" s="405"/>
      <c r="Q25" s="405"/>
      <c r="R25" s="405"/>
      <c r="S25" s="405"/>
      <c r="T25" s="405"/>
      <c r="U25" s="405"/>
      <c r="V25" s="71"/>
      <c r="W25" s="72"/>
      <c r="X25" s="72"/>
      <c r="Y25" s="71"/>
      <c r="Z25" s="72" t="s">
        <v>678</v>
      </c>
      <c r="AA25" s="72" t="s">
        <v>688</v>
      </c>
    </row>
    <row r="26" spans="1:27" s="75" customFormat="1" ht="16.5" customHeight="1">
      <c r="A26" s="558"/>
      <c r="B26" s="558"/>
      <c r="C26" s="558"/>
      <c r="D26" s="557"/>
      <c r="E26" s="557"/>
      <c r="F26" s="557"/>
      <c r="G26" s="74"/>
      <c r="H26" s="407"/>
      <c r="I26" s="557"/>
      <c r="J26" s="557"/>
      <c r="K26" s="557"/>
      <c r="L26" s="557"/>
      <c r="M26" s="557"/>
      <c r="N26" s="557"/>
      <c r="O26" s="74"/>
      <c r="P26" s="406"/>
      <c r="Q26" s="406"/>
      <c r="R26" s="406"/>
      <c r="S26" s="406"/>
      <c r="T26" s="406"/>
      <c r="U26" s="406"/>
      <c r="V26" s="72"/>
      <c r="W26" s="72"/>
      <c r="X26" s="72"/>
      <c r="Y26" s="72"/>
      <c r="Z26" s="72" t="s">
        <v>678</v>
      </c>
      <c r="AA26" s="72" t="s">
        <v>1674</v>
      </c>
    </row>
    <row r="27" spans="1:27" ht="16.5" customHeight="1">
      <c r="A27" s="558"/>
      <c r="B27" s="558"/>
      <c r="C27" s="558"/>
      <c r="D27" s="557"/>
      <c r="E27" s="557"/>
      <c r="F27" s="557"/>
      <c r="G27" s="74"/>
      <c r="Q27" s="405"/>
      <c r="R27" s="405"/>
      <c r="S27" s="405"/>
      <c r="T27" s="405"/>
      <c r="U27" s="405"/>
      <c r="V27" s="73"/>
      <c r="W27" s="72"/>
      <c r="X27" s="72"/>
      <c r="Y27" s="71"/>
    </row>
    <row r="28" spans="1:27" ht="16.5" customHeight="1">
      <c r="A28" s="73"/>
      <c r="B28" s="405"/>
      <c r="C28" s="405"/>
      <c r="D28" s="405"/>
      <c r="E28" s="405"/>
      <c r="F28" s="405"/>
      <c r="G28" s="74"/>
      <c r="V28" s="71"/>
      <c r="W28" s="72"/>
      <c r="X28" s="72"/>
      <c r="Y28" s="71"/>
    </row>
    <row r="29" spans="1:27" ht="16.5" customHeight="1">
      <c r="Q29" s="405"/>
      <c r="R29" s="405"/>
      <c r="S29" s="405"/>
      <c r="T29" s="405"/>
      <c r="U29" s="405"/>
      <c r="V29" s="73"/>
      <c r="W29" s="74"/>
      <c r="Y29" s="71"/>
    </row>
    <row r="30" spans="1:27" ht="16.5" customHeight="1">
      <c r="Q30" s="405"/>
      <c r="R30" s="405"/>
      <c r="S30" s="405"/>
      <c r="T30" s="405"/>
      <c r="U30" s="405"/>
      <c r="V30" s="73"/>
      <c r="W30" s="74"/>
      <c r="Y30" s="71"/>
    </row>
    <row r="31" spans="1:27" ht="16.5" customHeight="1">
      <c r="Q31" s="405"/>
      <c r="R31" s="405"/>
      <c r="S31" s="405"/>
      <c r="T31" s="405"/>
      <c r="U31" s="405"/>
      <c r="V31" s="73"/>
      <c r="W31" s="74"/>
      <c r="Y31" s="71"/>
    </row>
    <row r="32" spans="1:27" ht="16.5" customHeight="1">
      <c r="Q32" s="405"/>
      <c r="R32" s="405"/>
      <c r="S32" s="405"/>
      <c r="T32" s="405"/>
      <c r="U32" s="405"/>
      <c r="V32" s="73"/>
      <c r="W32" s="74"/>
      <c r="Y32" s="71"/>
    </row>
    <row r="33" spans="17:25" ht="16.5" customHeight="1">
      <c r="Q33" s="405"/>
      <c r="R33" s="405"/>
      <c r="S33" s="405"/>
      <c r="T33" s="405"/>
      <c r="U33" s="405"/>
      <c r="V33" s="73"/>
      <c r="W33" s="74"/>
      <c r="X33" s="76"/>
      <c r="Y33" s="76"/>
    </row>
    <row r="34" spans="17:25" ht="16.5" customHeight="1">
      <c r="Q34" s="405"/>
      <c r="R34" s="405"/>
      <c r="S34" s="405"/>
      <c r="T34" s="405"/>
      <c r="U34" s="405"/>
      <c r="V34" s="73"/>
      <c r="W34" s="74"/>
      <c r="X34" s="76"/>
      <c r="Y34" s="76"/>
    </row>
    <row r="35" spans="17:25" ht="16.5" customHeight="1">
      <c r="V35" s="77"/>
      <c r="W35" s="74"/>
    </row>
    <row r="36" spans="17:25" ht="16.5" customHeight="1">
      <c r="V36" s="77"/>
      <c r="W36" s="74"/>
    </row>
    <row r="37" spans="17:25" ht="16.5" customHeight="1">
      <c r="V37" s="77"/>
      <c r="W37" s="74"/>
    </row>
    <row r="38" spans="17:25" ht="16.5" customHeight="1">
      <c r="V38" s="77"/>
      <c r="W38" s="74"/>
    </row>
    <row r="39" spans="17:25" ht="16.5" customHeight="1">
      <c r="V39" s="77"/>
      <c r="W39" s="74"/>
    </row>
    <row r="40" spans="17:25" ht="16.5" customHeight="1">
      <c r="V40" s="77"/>
      <c r="W40" s="74"/>
    </row>
    <row r="41" spans="17:25" ht="16.5" customHeight="1">
      <c r="V41" s="77"/>
      <c r="W41" s="74"/>
    </row>
    <row r="42" spans="17:25" ht="16.5" customHeight="1">
      <c r="V42" s="77"/>
      <c r="W42" s="74"/>
    </row>
    <row r="43" spans="17:25" ht="16.5" customHeight="1"/>
  </sheetData>
  <sheetProtection formatColumns="0" formatRows="0"/>
  <mergeCells count="18">
    <mergeCell ref="L26:N26"/>
    <mergeCell ref="A27:C27"/>
    <mergeCell ref="D27:F27"/>
    <mergeCell ref="A25:C25"/>
    <mergeCell ref="D25:F25"/>
    <mergeCell ref="I25:K25"/>
    <mergeCell ref="A26:C26"/>
    <mergeCell ref="D26:F26"/>
    <mergeCell ref="I26:K26"/>
    <mergeCell ref="L25:N25"/>
    <mergeCell ref="A23:U23"/>
    <mergeCell ref="A1:U1"/>
    <mergeCell ref="W1:AA1"/>
    <mergeCell ref="W3:X3"/>
    <mergeCell ref="Z3:AA3"/>
    <mergeCell ref="W14:X14"/>
    <mergeCell ref="W18:X18"/>
    <mergeCell ref="Z10:AA10"/>
  </mergeCells>
  <conditionalFormatting sqref="V11">
    <cfRule type="cellIs" dxfId="180" priority="3" stopIfTrue="1" operator="equal">
      <formula>19</formula>
    </cfRule>
  </conditionalFormatting>
  <conditionalFormatting sqref="B3:U22">
    <cfRule type="colorScale" priority="1">
      <colorScale>
        <cfvo type="min"/>
        <cfvo type="max"/>
        <color theme="0" tint="-0.499984740745262"/>
        <color theme="4" tint="-0.249977111117893"/>
      </colorScale>
    </cfRule>
  </conditionalFormatting>
  <pageMargins left="0.7" right="0.7" top="0.75" bottom="0.75" header="0.51180555555555551" footer="0.51180555555555551"/>
  <pageSetup paperSize="9" firstPageNumber="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g E A A B Q S w M E F A A C A A g A 7 k Q n S c v M A z m o A A A A + A A A A B I A H A B D b 2 5 m a W c v U G F j a 2 F n Z S 5 4 b W w g o h g A K K A U A A A A A A A A A A A A A A A A A A A A A A A A A A A A h Y / N C o J A G E V f R W b v / K h E y O e 4 a B U k B E W 0 H c Z J h 3 Q M Z 2 x 8 t x Y 9 U q + Q U F a 7 l v d y L p z 7 u N 0 h H 9 s m u K r e 6 s 5 k i G G K A m V k V 2 p T Z W h w p 3 C J c g 5 b I c + i U s E E G 5 u O V m e o d u 6 S E u K 9 x z 7 G X V + R i F J G j s V m J 2 v V i l A b 6 4 S R C n 1 W 5 f 8 V 4 n B 4 y f A I x w u c J H G C W c S A z D U U 2 n y R a D L G F M h P C a u h c U O v u H b h e g 9 k j k D e L / g T U E s D B B Q A A g A I A O 5 E J 0 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u R C d J M F z k Z v 4 A A A D T A Q A A E w A c A E Z v c m 1 1 b G F z L 1 N l Y 3 R p b 2 4 x L m 0 g o h g A K K A U A A A A A A A A A A A A A A A A A A A A A A A A A A A A d Z D B S s N A E I b v g b z D s l 5 a C C s F 0 U P p Q U I N P S S K D X g o P W y S i S 7 d z N T N B F p C 3 t 3 V a n t I n c v A / + 1 8 P 2 w L J R t C s T 7 t 2 T w M w q D 9 0 A 4 q k e s C r N U P M 7 E Q F j g M h J 9 n Z 9 4 N g o + W h x K s i j v n A P m N 3 K 4 g 2 k 2 m / S b T D S z k + V p u h 0 1 M y P 7 V N j p J b m R K l a l N q Z k E m z 1 J 7 / M H F l T u N L Y 1 u S Y m 2 z W Y H / f Q T n 5 L o 7 6 X r x 1 Z k p F g D w T D g Y d I 9 D L W t j R e 5 m C E 1 p + d r p w e 5 S v 1 q M R T 4 v M V 8 v 2 d + m 6 6 g G R 5 D a Q q U X 8 i 7 J o C 3 A l g T b c Z 8 b g 8 N 6 z G o l i 9 n D U a j z 9 Z R q K h 6 o o 8 H a X D N A w M / v e T 8 y 9 Q S w E C L Q A U A A I A C A D u R C d J y 8 w D O a g A A A D 4 A A A A E g A A A A A A A A A A A A A A A A A A A A A A Q 2 9 u Z m l n L 1 B h Y 2 t h Z 2 U u e G 1 s U E s B A i 0 A F A A C A A g A 7 k Q n S Q / K 6 a u k A A A A 6 Q A A A B M A A A A A A A A A A A A A A A A A 9 A A A A F t D b 2 5 0 Z W 5 0 X 1 R 5 c G V z X S 5 4 b W x Q S w E C L Q A U A A I A C A D u R C d J M F z k Z v 4 A A A D T A Q A A E w A A A A A A A A A A A A A A A A D l A Q A A R m 9 y b X V s Y X M v U 2 V j d G l v b j E u b V B L B Q Y A A A A A A w A D A M I A A A A w 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y A w A A A A A A A N A D 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l b G x h N z E 8 L 0 l 0 Z W 1 Q Y X R o P j w v S X R l b U x v Y 2 F 0 a W 9 u P j x T d G F i b G V F b n R y a W V z P j x F b n R y e S B U e X B l P S J S Z X N 1 b H R U e X B l I i B W Y W x 1 Z T 0 i c 0 V 4 Y 2 V w d G l v b i I g L z 4 8 R W 5 0 c n k g V H l w Z T 0 i Q n V m Z m V y T m V 4 d F J l Z n J l c 2 g i I F Z h b H V l P S J s M S I g L z 4 8 R W 5 0 c n k g V H l w Z T 0 i R m l s b F R v R G F 0 Y U 1 v Z G V s R W 5 h Y m x l Z C I g V m F s d W U 9 I m w w I i A v P j x F b n R y e S B U e X B l P S J B Z G R l Z F R v R G F 0 Y U 1 v Z G V s I i B W Y W x 1 Z T 0 i b D A i I C 8 + P C 9 T d G F i b G V F b n R y a W V z P j w v S X R l b T 4 8 S X R l b T 4 8 S X R l b U x v Y 2 F 0 a W 9 u P j x J d G V t V H l w Z T 5 G b 3 J t d W x h P C 9 J d G V t V H l w Z T 4 8 S X R l b V B h d G g + U 2 V j d G l v b j E v V G F i Z W x s Y T c x L 0 9 y a W d p b m U 8 L 0 l 0 Z W 1 Q Y X R o P j w v S X R l b U x v Y 2 F 0 a W 9 u P j x T d G F i b G V F b n R y a W V z I C 8 + P C 9 J d G V t P j x J d G V t P j x J d G V t T G 9 j Y X R p b 2 4 + P E l 0 Z W 1 U e X B l P k Z v c m 1 1 b G E 8 L 0 l 0 Z W 1 U e X B l P j x J d G V t U G F 0 a D 5 T Z W N 0 a W 9 u M S 9 U Y W J l b G x h N z E v T W 9 k a W Z p Y 2 F 0 b y U y M H R p c G 8 8 L 0 l 0 Z W 1 Q Y X R o P j w v S X R l b U x v Y 2 F 0 a W 9 u P j x T d G F i b G V F b n R y a W V z I C 8 + P C 9 J d G V t P j w v S X R l b X M + P C 9 M b 2 N h b F B h Y 2 t h Z 2 V N Z X R h Z G F 0 Y U Z p b G U + F g A A A F B L B Q Y A A A A A A A A A A A A A A A A A A A A A A A D a A A A A A Q A A A N C M n d 8 B F d E R j H o A w E / C l + s B A A A A w j z r U h q f i 0 6 z A 8 7 l / Y C y M Q A A A A A C A A A A A A A D Z g A A w A A A A B A A A A B D o C s p t 9 R D c 8 n j B P t M W h 8 S A A A A A A S A A A C g A A A A E A A A A O n 3 v o G Z O 5 f K r 9 9 X p t / c N 1 Z Q A A A A f i W q s W x i A V r / 9 a A 3 r l s u Z f I 9 a K e e 2 T 0 / B q 5 p s e T Q 6 0 M / k p a F t d X 9 e + D y D R Q 2 s J l z 6 k D y 2 L A j m D / 1 z E x J Z / M y t G g / f V 4 k H z b Z G E r W v W 8 x a E 8 U A A A A e m z 1 D 4 O s y o 7 y O R G N c Y x c J Z b F / n w = < / D a t a M a s h u p > 
</file>

<file path=customXml/itemProps1.xml><?xml version="1.0" encoding="utf-8"?>
<ds:datastoreItem xmlns:ds="http://schemas.openxmlformats.org/officeDocument/2006/customXml" ds:itemID="{D8933760-B4C9-4692-992C-A56B99FA10C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105</vt:i4>
      </vt:variant>
    </vt:vector>
  </HeadingPairs>
  <TitlesOfParts>
    <vt:vector size="137" baseType="lpstr">
      <vt:lpstr>Istruzioni</vt:lpstr>
      <vt:lpstr>Asta</vt:lpstr>
      <vt:lpstr>Rose</vt:lpstr>
      <vt:lpstr>Rose+Contratto</vt:lpstr>
      <vt:lpstr>Griglia per Ruolo</vt:lpstr>
      <vt:lpstr>Mia rosa + Org. Finanza</vt:lpstr>
      <vt:lpstr>Fasce</vt:lpstr>
      <vt:lpstr>I.A. + Fasce</vt:lpstr>
      <vt:lpstr>Griglia Portieri</vt:lpstr>
      <vt:lpstr>Griglia Difensori</vt:lpstr>
      <vt:lpstr>Formazioni Titolari GE</vt:lpstr>
      <vt:lpstr>Algoritmo by evilzzx</vt:lpstr>
      <vt:lpstr>Pesi</vt:lpstr>
      <vt:lpstr>Portieri</vt:lpstr>
      <vt:lpstr>Difensori</vt:lpstr>
      <vt:lpstr>Centrocampisti</vt:lpstr>
      <vt:lpstr>Attaccanti</vt:lpstr>
      <vt:lpstr>Tutti</vt:lpstr>
      <vt:lpstr>Squadre</vt:lpstr>
      <vt:lpstr>Fattore Casa</vt:lpstr>
      <vt:lpstr>Allenatore</vt:lpstr>
      <vt:lpstr>Copyright</vt:lpstr>
      <vt:lpstr>IA FG</vt:lpstr>
      <vt:lpstr>C.P.</vt:lpstr>
      <vt:lpstr>Raccolta Aste</vt:lpstr>
      <vt:lpstr>Giocatori</vt:lpstr>
      <vt:lpstr>Giocatori FG</vt:lpstr>
      <vt:lpstr>Giocatori FG ALTERNATIVA</vt:lpstr>
      <vt:lpstr>Giocatori FFC</vt:lpstr>
      <vt:lpstr>Giocatori Gazzetta No T</vt:lpstr>
      <vt:lpstr>Giocatori Gazzetta Con T</vt:lpstr>
      <vt:lpstr>Giocatori PianetaFantacalcio TO</vt:lpstr>
      <vt:lpstr>Sq10Att</vt:lpstr>
      <vt:lpstr>Sq10Cen</vt:lpstr>
      <vt:lpstr>Sq10Dif</vt:lpstr>
      <vt:lpstr>Sq10Por</vt:lpstr>
      <vt:lpstr>Sq11Att</vt:lpstr>
      <vt:lpstr>Sq11Cen</vt:lpstr>
      <vt:lpstr>Sq11Dif</vt:lpstr>
      <vt:lpstr>Sq11Por</vt:lpstr>
      <vt:lpstr>Sq12Att</vt:lpstr>
      <vt:lpstr>Sq12Cen</vt:lpstr>
      <vt:lpstr>Sq12Dif</vt:lpstr>
      <vt:lpstr>Sq12Por</vt:lpstr>
      <vt:lpstr>Sq13Att</vt:lpstr>
      <vt:lpstr>Sq13Cen</vt:lpstr>
      <vt:lpstr>Sq13Dif</vt:lpstr>
      <vt:lpstr>Sq13Por</vt:lpstr>
      <vt:lpstr>Sq14Att</vt:lpstr>
      <vt:lpstr>Sq14Cen</vt:lpstr>
      <vt:lpstr>Sq14Dif</vt:lpstr>
      <vt:lpstr>Sq14Por</vt:lpstr>
      <vt:lpstr>Sq15Att</vt:lpstr>
      <vt:lpstr>Sq15Cen</vt:lpstr>
      <vt:lpstr>Sq15Dif</vt:lpstr>
      <vt:lpstr>Sq15Por</vt:lpstr>
      <vt:lpstr>Sq16Att</vt:lpstr>
      <vt:lpstr>Sq16Cen</vt:lpstr>
      <vt:lpstr>Sq16Dif</vt:lpstr>
      <vt:lpstr>Sq16Por</vt:lpstr>
      <vt:lpstr>Sq17Att</vt:lpstr>
      <vt:lpstr>Sq17Cen</vt:lpstr>
      <vt:lpstr>Sq17Dif</vt:lpstr>
      <vt:lpstr>Sq17Por</vt:lpstr>
      <vt:lpstr>Sq18Att</vt:lpstr>
      <vt:lpstr>Sq18Cen</vt:lpstr>
      <vt:lpstr>Sq18Dif</vt:lpstr>
      <vt:lpstr>Sq18Por</vt:lpstr>
      <vt:lpstr>Sq19Att</vt:lpstr>
      <vt:lpstr>Sq19Cen</vt:lpstr>
      <vt:lpstr>Sq19Dif</vt:lpstr>
      <vt:lpstr>Sq19Por</vt:lpstr>
      <vt:lpstr>Sq1Att</vt:lpstr>
      <vt:lpstr>Sq1Cen</vt:lpstr>
      <vt:lpstr>Sq1Dif</vt:lpstr>
      <vt:lpstr>Sq1Por</vt:lpstr>
      <vt:lpstr>Sq20Att</vt:lpstr>
      <vt:lpstr>Sq20Cen</vt:lpstr>
      <vt:lpstr>Sq20Dif</vt:lpstr>
      <vt:lpstr>Sq20Por</vt:lpstr>
      <vt:lpstr>Sq21Att</vt:lpstr>
      <vt:lpstr>Sq21Cen</vt:lpstr>
      <vt:lpstr>Sq21Dif</vt:lpstr>
      <vt:lpstr>Sq21Por</vt:lpstr>
      <vt:lpstr>Sq22Att</vt:lpstr>
      <vt:lpstr>Sq22Cen</vt:lpstr>
      <vt:lpstr>Sq22Dif</vt:lpstr>
      <vt:lpstr>Sq22Por</vt:lpstr>
      <vt:lpstr>Sq23Att</vt:lpstr>
      <vt:lpstr>Sq23Cen</vt:lpstr>
      <vt:lpstr>Sq23Dif</vt:lpstr>
      <vt:lpstr>Sq23Por</vt:lpstr>
      <vt:lpstr>Sq24Att</vt:lpstr>
      <vt:lpstr>Sq24Cen</vt:lpstr>
      <vt:lpstr>Sq24Dif</vt:lpstr>
      <vt:lpstr>Sq24Por</vt:lpstr>
      <vt:lpstr>Sq2Att</vt:lpstr>
      <vt:lpstr>Sq2Cen</vt:lpstr>
      <vt:lpstr>Sq2Dif</vt:lpstr>
      <vt:lpstr>Sq2Por</vt:lpstr>
      <vt:lpstr>Sq3Att</vt:lpstr>
      <vt:lpstr>Sq3Cen</vt:lpstr>
      <vt:lpstr>Sq3Dif</vt:lpstr>
      <vt:lpstr>Sq3Por</vt:lpstr>
      <vt:lpstr>Sq4Att</vt:lpstr>
      <vt:lpstr>Sq4Cen</vt:lpstr>
      <vt:lpstr>Sq4Dif</vt:lpstr>
      <vt:lpstr>Sq4Por</vt:lpstr>
      <vt:lpstr>Sq5Att</vt:lpstr>
      <vt:lpstr>Sq5Cen</vt:lpstr>
      <vt:lpstr>Sq5Dif</vt:lpstr>
      <vt:lpstr>Sq5Por</vt:lpstr>
      <vt:lpstr>Sq6Att</vt:lpstr>
      <vt:lpstr>Sq6Cen</vt:lpstr>
      <vt:lpstr>Sq6Dif</vt:lpstr>
      <vt:lpstr>Sq6Por</vt:lpstr>
      <vt:lpstr>Sq7Att</vt:lpstr>
      <vt:lpstr>Sq7Cen</vt:lpstr>
      <vt:lpstr>Sq7Dif</vt:lpstr>
      <vt:lpstr>Sq7Por</vt:lpstr>
      <vt:lpstr>Sq8Att</vt:lpstr>
      <vt:lpstr>Sq8Cen</vt:lpstr>
      <vt:lpstr>Sq8Dif</vt:lpstr>
      <vt:lpstr>Sq8Por</vt:lpstr>
      <vt:lpstr>Sq9Att</vt:lpstr>
      <vt:lpstr>Sq9Cen</vt:lpstr>
      <vt:lpstr>Sq9Dif</vt:lpstr>
      <vt:lpstr>Sq9Por</vt:lpstr>
      <vt:lpstr>SQUADRA</vt:lpstr>
      <vt:lpstr>TabAlgAll</vt:lpstr>
      <vt:lpstr>TabAlgAtt</vt:lpstr>
      <vt:lpstr>TabAlgCen</vt:lpstr>
      <vt:lpstr>TabAlgDif</vt:lpstr>
      <vt:lpstr>TabAlgFC</vt:lpstr>
      <vt:lpstr>TabAlgPor</vt:lpstr>
      <vt:lpstr>TabAlgSqu</vt:lpstr>
      <vt:lpstr>TabAlgTutti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Paolo Macchi</cp:lastModifiedBy>
  <dcterms:created xsi:type="dcterms:W3CDTF">2016-08-22T21:49:37Z</dcterms:created>
  <dcterms:modified xsi:type="dcterms:W3CDTF">2017-09-06T08:43:29Z</dcterms:modified>
</cp:coreProperties>
</file>